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charts/chart40.xml" ContentType="application/vnd.openxmlformats-officedocument.drawingml.chart+xml"/>
  <Override PartName="/xl/drawings/drawing12.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Section_EAUX\2_Eaux de surface\STEP\Bilan annuel\Data STEP\2022\_Modèle\tel que publié siteweb\"/>
    </mc:Choice>
  </mc:AlternateContent>
  <bookViews>
    <workbookView xWindow="29295" yWindow="0" windowWidth="28800" windowHeight="12885" tabRatio="881"/>
  </bookViews>
  <sheets>
    <sheet name="info-FR,DE" sheetId="28" r:id="rId1"/>
    <sheet name="basis" sheetId="8" r:id="rId2"/>
    <sheet name="general" sheetId="14" r:id="rId3"/>
    <sheet name="analyses" sheetId="4" r:id="rId4"/>
    <sheet name="boues" sheetId="23" r:id="rId5"/>
    <sheet name="liste-STEP" sheetId="12" state="hidden" r:id="rId6"/>
    <sheet name="Energie+CHF" sheetId="37" r:id="rId7"/>
    <sheet name="BD" sheetId="24" state="hidden" r:id="rId8"/>
    <sheet name="calculs" sheetId="38" state="hidden" r:id="rId9"/>
    <sheet name="calcul-stats" sheetId="42" state="hidden" r:id="rId10"/>
    <sheet name="hab.rac" sheetId="45" state="hidden" r:id="rId11"/>
    <sheet name="rapport-individuel" sheetId="51" state="hidden" r:id="rId12"/>
    <sheet name="stats" sheetId="41" state="hidden" r:id="rId13"/>
    <sheet name="graph-EH-entrée" sheetId="47" r:id="rId14"/>
    <sheet name="graph-rapports" sheetId="50" r:id="rId15"/>
    <sheet name="graph-debits" sheetId="40" r:id="rId16"/>
    <sheet name="graph-concentrations" sheetId="43" r:id="rId17"/>
    <sheet name="graph-rendements" sheetId="49" r:id="rId18"/>
    <sheet name="graph-charges" sheetId="39" r:id="rId19"/>
    <sheet name="graph-ECP" sheetId="44" r:id="rId20"/>
    <sheet name="graph-bio" sheetId="46" r:id="rId21"/>
    <sheet name="schema" sheetId="16" r:id="rId22"/>
    <sheet name="constanten" sheetId="15" state="hidden" r:id="rId23"/>
  </sheets>
  <externalReferences>
    <externalReference r:id="rId24"/>
    <externalReference r:id="rId25"/>
    <externalReference r:id="rId26"/>
  </externalReferences>
  <definedNames>
    <definedName name="_2QTS" localSheetId="14">stats!#REF!</definedName>
    <definedName name="_2QTS" localSheetId="17">stats!#REF!</definedName>
    <definedName name="_2QTS" localSheetId="10">[1]graph1!$C$58</definedName>
    <definedName name="_2QTS">stats!#REF!</definedName>
    <definedName name="Analyses_effectuées_par_le_labo">'liste-STEP'!$AN$93</definedName>
    <definedName name="Analyses_effectuées_par_le_labo__N°_du_Labo">'liste-STEP'!$AM$93</definedName>
    <definedName name="AnCons">'liste-STEP'!#REF!</definedName>
    <definedName name="annee">basis!$G$3</definedName>
    <definedName name="AnTrans">'liste-STEP'!#REF!</definedName>
    <definedName name="Art" localSheetId="14">#REF!</definedName>
    <definedName name="Art" localSheetId="17">#REF!</definedName>
    <definedName name="Art">#REF!</definedName>
    <definedName name="ArtList" localSheetId="14">#REF!</definedName>
    <definedName name="ArtList" localSheetId="17">#REF!</definedName>
    <definedName name="ArtList">#REF!</definedName>
    <definedName name="ArtLookup" localSheetId="14">#REF!</definedName>
    <definedName name="ArtLookup" localSheetId="17">#REF!</definedName>
    <definedName name="ArtLookup">#REF!</definedName>
    <definedName name="autre">'liste-STEP'!$Q$93</definedName>
    <definedName name="Biofiltre">'liste-STEP'!$V$93</definedName>
    <definedName name="Biogaz_specifique_par_EH">constanten!$B$17</definedName>
    <definedName name="Boues_activées">'liste-STEP'!$S$93</definedName>
    <definedName name="boues_digerees_specifique_par_EH">constanten!$B$19</definedName>
    <definedName name="boues_fraiches_specifique_par_EH">constanten!$B$18</definedName>
    <definedName name="Bypass_DP_sans_eaux_usées_industrielles">'liste-STEP'!$AL$93</definedName>
    <definedName name="capbio">basis!$B$16</definedName>
    <definedName name="champs_de_reserve__disponible">'liste-STEP'!#REF!</definedName>
    <definedName name="Charbon_actif">'liste-STEP'!$AG$93</definedName>
    <definedName name="Chenal_d_oxydation">'liste-STEP'!$T$93</definedName>
    <definedName name="Choix_du_débimètre_utilisé_pour_calculs">'liste-STEP'!$AJ$93</definedName>
    <definedName name="choix_STEP" localSheetId="10">[1]liste!$D$101</definedName>
    <definedName name="choix_STEP">'liste-STEP'!$D$100</definedName>
    <definedName name="Classique">'liste-STEP'!$Y$93</definedName>
    <definedName name="commentaire_général">'liste-STEP'!$J$93</definedName>
    <definedName name="Coord_rejet_alt">'liste-STEP'!#REF!</definedName>
    <definedName name="Coord_rejet_X">'liste-STEP'!#REF!</definedName>
    <definedName name="Coord_rejet_Y">'liste-STEP'!#REF!</definedName>
    <definedName name="Coord_STEP_alt">'liste-STEP'!#REF!</definedName>
    <definedName name="Coord_STEP_X">'liste-STEP'!#REF!</definedName>
    <definedName name="Coord_STEP_Y">'liste-STEP'!#REF!</definedName>
    <definedName name="DBO5_specifique_par_EH">constanten!$B$7</definedName>
    <definedName name="DBO5c">'liste-STEP'!#REF!</definedName>
    <definedName name="DBO5rdt">'liste-STEP'!#REF!</definedName>
    <definedName name="DCO_specifique_par_EH">constanten!$B$8</definedName>
    <definedName name="DCOc">'liste-STEP'!$AW$93</definedName>
    <definedName name="DCOrdt">'liste-STEP'!$AX$93</definedName>
    <definedName name="debit_specifique_par_EH">constanten!$B$6</definedName>
    <definedName name="debit_specifique_parEH" localSheetId="10">[1]basis!$B$26</definedName>
    <definedName name="debit_traitee" localSheetId="14">#REF!</definedName>
    <definedName name="debit_traitee" localSheetId="17">#REF!</definedName>
    <definedName name="debit_traitee">#REF!</definedName>
    <definedName name="Décantation_primaire">'liste-STEP'!$R$93</definedName>
    <definedName name="Dégrilleur_grossier">'liste-STEP'!$L$93</definedName>
    <definedName name="Déshuileur">'liste-STEP'!$N$93</definedName>
    <definedName name="Déshydratation">'liste-STEP'!$AR$93</definedName>
    <definedName name="Dessableur">'liste-STEP'!$M$93</definedName>
    <definedName name="Disque_biologique">'liste-STEP'!$W$93</definedName>
    <definedName name="DOCc">'liste-STEP'!#REF!</definedName>
    <definedName name="DOCrdt">'liste-STEP'!#REF!</definedName>
    <definedName name="Echantillonnage_proportionnel_au_débit">'liste-STEP'!$BA$93</definedName>
    <definedName name="EH_part_indus">'liste-STEP'!$I$93</definedName>
    <definedName name="En_service">'liste-STEP'!$AU$93</definedName>
    <definedName name="Epaississement_des_boues">'liste-STEP'!$AO$93</definedName>
    <definedName name="Est_en_Valais">'liste-STEP'!$AV$93</definedName>
    <definedName name="EX_FIN_NOM">'liste-STEP'!#REF!</definedName>
    <definedName name="EX_IMM_NOM">'liste-STEP'!#REF!</definedName>
    <definedName name="Exploitant_nom">'liste-STEP'!$D$93</definedName>
    <definedName name="Exploitant_prénom">'liste-STEP'!$C$93</definedName>
    <definedName name="FBOUES">'liste-STEP'!#REF!</definedName>
    <definedName name="FCOD_ENTREE">'liste-STEP'!#REF!</definedName>
    <definedName name="FCOD_SORTIE">'liste-STEP'!#REF!</definedName>
    <definedName name="FCOT_ENTREE">'liste-STEP'!#REF!</definedName>
    <definedName name="FCOT_SORTIE">'liste-STEP'!#REF!</definedName>
    <definedName name="FDBO5_ENTREE">'liste-STEP'!#REF!</definedName>
    <definedName name="FDBO5_SORTIE">'liste-STEP'!#REF!</definedName>
    <definedName name="FDCO_ENTREE">'liste-STEP'!$AY$93</definedName>
    <definedName name="FDCO_SORTIE">'liste-STEP'!$AZ$93</definedName>
    <definedName name="Filtration">'liste-STEP'!$Z$93</definedName>
    <definedName name="Flottation">'liste-STEP'!$AC$93</definedName>
    <definedName name="flüssig" localSheetId="14">#REF!</definedName>
    <definedName name="flüssig" localSheetId="17">#REF!</definedName>
    <definedName name="flüssig">#REF!</definedName>
    <definedName name="flüssigList" localSheetId="14">#REF!</definedName>
    <definedName name="flüssigList" localSheetId="17">#REF!</definedName>
    <definedName name="flüssigList">#REF!</definedName>
    <definedName name="FMES_ENTREE">'liste-STEP'!#REF!</definedName>
    <definedName name="FMES_SORTIE">'liste-STEP'!#REF!</definedName>
    <definedName name="FNH4_ENTREE">'liste-STEP'!#REF!</definedName>
    <definedName name="FNH4_SORTIE">'liste-STEP'!#REF!</definedName>
    <definedName name="FNO2_ENTREE">'liste-STEP'!#REF!</definedName>
    <definedName name="FNO2_SORTIE">'liste-STEP'!#REF!</definedName>
    <definedName name="FNTOT_ENTREE">'liste-STEP'!#REF!</definedName>
    <definedName name="FNTOT_SORTIE">'liste-STEP'!#REF!</definedName>
    <definedName name="FPTOT_ENTREE">'liste-STEP'!#REF!</definedName>
    <definedName name="FPTOT_SORTIE">'liste-STEP'!#REF!</definedName>
    <definedName name="FQ_SORTIE">'liste-STEP'!#REF!</definedName>
    <definedName name="FTEMP">'liste-STEP'!#REF!</definedName>
    <definedName name="Habitants_rac.">'liste-STEP'!#REF!</definedName>
    <definedName name="Incinération">'liste-STEP'!$AT$93</definedName>
    <definedName name="Jahr">basis!$G$3</definedName>
    <definedName name="Lagunage_Phytoplancton">'liste-STEP'!$X$93</definedName>
    <definedName name="Langue">'liste-STEP'!$F$95</definedName>
    <definedName name="Le_preleveur_de_sortie_mesure">'liste-STEP'!$AK$93</definedName>
    <definedName name="liquide" localSheetId="14">#REF!</definedName>
    <definedName name="liquide" localSheetId="17">#REF!</definedName>
    <definedName name="liquide">#REF!</definedName>
    <definedName name="liquideflüssig" localSheetId="14">#REF!</definedName>
    <definedName name="liquideflüssig" localSheetId="17">#REF!</definedName>
    <definedName name="liquideflüssig">#REF!</definedName>
    <definedName name="liquideflüssigList" localSheetId="14">#REF!</definedName>
    <definedName name="liquideflüssigList" localSheetId="17">#REF!</definedName>
    <definedName name="liquideflüssigList">#REF!</definedName>
    <definedName name="liquideList" localSheetId="14">#REF!</definedName>
    <definedName name="liquideList" localSheetId="17">#REF!</definedName>
    <definedName name="liquideList">#REF!</definedName>
    <definedName name="List_STEP">'liste-STEP'!$A$3:$A$89</definedName>
    <definedName name="liste_noms_step" localSheetId="10">[2]liste!$A$3:$A$100</definedName>
    <definedName name="liste_noms_step">'liste-STEP'!$A$3:$A$72</definedName>
    <definedName name="Lit_bactérien">'liste-STEP'!$U$93</definedName>
    <definedName name="Lits_touristiques_rac.">'liste-STEP'!#REF!</definedName>
    <definedName name="Membrane">'liste-STEP'!$AB$93</definedName>
    <definedName name="MES_specifique_par_EH">constanten!$B$16</definedName>
    <definedName name="MESc">'liste-STEP'!#REF!</definedName>
    <definedName name="Methode_d_analyse_de_la_DBO5">'liste-STEP'!$AI$93</definedName>
    <definedName name="Micro_tamis">'liste-STEP'!$AA$93</definedName>
    <definedName name="mois" localSheetId="14">#REF!</definedName>
    <definedName name="mois" localSheetId="17">#REF!</definedName>
    <definedName name="mois">#REF!</definedName>
    <definedName name="NB_DEPASS" localSheetId="14">#REF!</definedName>
    <definedName name="NB_DEPASS" localSheetId="17">#REF!</definedName>
    <definedName name="NB_DEPASS">#REF!</definedName>
    <definedName name="Nb_jour_an">[3]Importations!$G$1</definedName>
    <definedName name="NB_PRELEV" localSheetId="14">#REF!</definedName>
    <definedName name="NB_PRELEV" localSheetId="17">#REF!</definedName>
    <definedName name="NB_PRELEV">#REF!</definedName>
    <definedName name="NH4__specifique_par_EH">constanten!$B$12</definedName>
    <definedName name="NNH4c">'liste-STEP'!#REF!</definedName>
    <definedName name="NNH4rdt">'liste-STEP'!#REF!</definedName>
    <definedName name="NO2c">'liste-STEP'!#REF!</definedName>
    <definedName name="NoSTEP">'liste-STEP'!$B$104</definedName>
    <definedName name="Ntot_specifique_par_EH">constanten!$B$10</definedName>
    <definedName name="Ozonation">'liste-STEP'!$AF$93</definedName>
    <definedName name="poudre" localSheetId="14">#REF!</definedName>
    <definedName name="poudre" localSheetId="17">#REF!</definedName>
    <definedName name="poudre">#REF!</definedName>
    <definedName name="poudreLiquide" localSheetId="14">#REF!</definedName>
    <definedName name="poudreLiquide" localSheetId="17">#REF!</definedName>
    <definedName name="poudreLiquide">#REF!</definedName>
    <definedName name="poudreList" localSheetId="14">#REF!</definedName>
    <definedName name="poudreList" localSheetId="17">#REF!</definedName>
    <definedName name="poudreList">#REF!</definedName>
    <definedName name="poudrepulver" localSheetId="14">#REF!</definedName>
    <definedName name="poudrepulver" localSheetId="17">#REF!</definedName>
    <definedName name="poudrepulver">#REF!</definedName>
    <definedName name="Ptot_specifique_par_EH">constanten!$B$15</definedName>
    <definedName name="Ptotc">'liste-STEP'!#REF!</definedName>
    <definedName name="Ptotrdt">'liste-STEP'!#REF!</definedName>
    <definedName name="pulver" localSheetId="14">#REF!</definedName>
    <definedName name="pulver" localSheetId="17">#REF!</definedName>
    <definedName name="pulver">#REF!</definedName>
    <definedName name="pulverList" localSheetId="14">#REF!</definedName>
    <definedName name="pulverList" localSheetId="17">#REF!</definedName>
    <definedName name="pulverList">#REF!</definedName>
    <definedName name="QSTEP">'liste-STEP'!#REF!</definedName>
    <definedName name="QTS" localSheetId="10">[1]graph1!$C$57</definedName>
    <definedName name="QTS">stats!$C$29</definedName>
    <definedName name="Relevage">'liste-STEP'!$K$93</definedName>
    <definedName name="Responsable">'liste-STEP'!$G$93</definedName>
    <definedName name="Salsnes">'liste-STEP'!$P$93</definedName>
    <definedName name="Séchage">'liste-STEP'!$AS$93</definedName>
    <definedName name="Sorte" localSheetId="14">#REF!</definedName>
    <definedName name="Sorte" localSheetId="17">#REF!</definedName>
    <definedName name="Sorte">#REF!</definedName>
    <definedName name="SorteList" localSheetId="14">#REF!</definedName>
    <definedName name="SorteList" localSheetId="17">#REF!</definedName>
    <definedName name="SorteList">#REF!</definedName>
    <definedName name="SorteLookup" localSheetId="14">#REF!</definedName>
    <definedName name="SorteLookup" localSheetId="17">#REF!</definedName>
    <definedName name="SorteLookup">#REF!</definedName>
    <definedName name="Stabilisation">'liste-STEP'!$AP$93</definedName>
    <definedName name="STEP">'liste-STEP'!$A$93</definedName>
    <definedName name="Tamiseur">'liste-STEP'!$O$93</definedName>
    <definedName name="TOC_specifique_par_EH">constanten!$B$9</definedName>
    <definedName name="Type_STEP">'liste-STEP'!$H$93</definedName>
    <definedName name="Valorisation_du_biogaz">'liste-STEP'!$AQ$93</definedName>
    <definedName name="VBio">'liste-STEP'!#REF!</definedName>
    <definedName name="_xlnm.Print_Area" localSheetId="13">'graph-EH-entrée'!$A$1:$T$261</definedName>
  </definedNames>
  <calcPr calcId="162913"/>
</workbook>
</file>

<file path=xl/calcChain.xml><?xml version="1.0" encoding="utf-8"?>
<calcChain xmlns="http://schemas.openxmlformats.org/spreadsheetml/2006/main">
  <c r="AH11" i="4" l="1"/>
  <c r="AH12" i="4"/>
  <c r="AH53" i="4" l="1"/>
  <c r="AX68" i="12" l="1"/>
  <c r="AX67" i="12"/>
  <c r="AX66" i="12"/>
  <c r="AX65" i="12"/>
  <c r="AX64" i="12"/>
  <c r="AX63" i="12"/>
  <c r="AX62" i="12"/>
  <c r="AX61" i="12"/>
  <c r="AX60" i="12"/>
  <c r="AX59" i="12"/>
  <c r="AX58" i="12"/>
  <c r="AX57" i="12"/>
  <c r="AX56" i="12"/>
  <c r="AX55" i="12"/>
  <c r="AX54" i="12"/>
  <c r="AX53" i="12"/>
  <c r="AX52" i="12"/>
  <c r="AX51" i="12"/>
  <c r="AX50" i="12"/>
  <c r="AX49" i="12"/>
  <c r="AX48" i="12"/>
  <c r="AX47" i="12"/>
  <c r="AX46" i="12"/>
  <c r="AX45" i="12"/>
  <c r="AX44" i="12"/>
  <c r="AX43" i="12"/>
  <c r="AX42" i="12"/>
  <c r="AX41" i="12"/>
  <c r="AX40" i="12"/>
  <c r="AX39" i="12"/>
  <c r="AX38" i="12"/>
  <c r="AX37" i="12"/>
  <c r="AX36" i="12"/>
  <c r="AX35" i="12"/>
  <c r="AX34" i="12"/>
  <c r="AX33" i="12"/>
  <c r="AX32" i="12"/>
  <c r="AX31" i="12"/>
  <c r="AX30" i="12"/>
  <c r="AX29" i="12"/>
  <c r="AX28" i="12"/>
  <c r="AX27" i="12"/>
  <c r="AX26" i="12"/>
  <c r="AX25" i="12"/>
  <c r="AX24" i="12"/>
  <c r="AX23" i="12"/>
  <c r="AX22" i="12"/>
  <c r="AX21" i="12"/>
  <c r="AX20" i="12"/>
  <c r="AX19" i="12"/>
  <c r="AX18" i="12"/>
  <c r="AX17" i="12"/>
  <c r="AX16" i="12"/>
  <c r="AX15" i="12"/>
  <c r="AX14" i="12"/>
  <c r="AX13" i="12"/>
  <c r="AX12" i="12"/>
  <c r="AX11" i="12"/>
  <c r="AX10" i="12"/>
  <c r="AX9" i="12"/>
  <c r="AX8" i="12"/>
  <c r="AX7" i="12"/>
  <c r="AX6" i="12"/>
  <c r="AX5" i="12"/>
  <c r="AX4" i="12"/>
  <c r="AX3" i="12"/>
  <c r="AH13" i="4" l="1"/>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O1" i="28" l="1"/>
  <c r="E101" i="49"/>
  <c r="F101" i="49"/>
  <c r="F106" i="49"/>
  <c r="F99" i="49"/>
  <c r="AY14" i="38" l="1"/>
  <c r="BF14" i="38" s="1"/>
  <c r="BO12" i="38" l="1"/>
  <c r="BO13" i="38"/>
  <c r="BO14" i="38"/>
  <c r="BO15" i="38"/>
  <c r="BO16" i="38"/>
  <c r="BO17" i="38"/>
  <c r="BO18" i="38"/>
  <c r="BO19" i="38"/>
  <c r="BO20" i="38"/>
  <c r="BO21" i="38"/>
  <c r="BO22" i="38"/>
  <c r="BO23" i="38"/>
  <c r="BO24" i="38"/>
  <c r="BO25" i="38"/>
  <c r="BO26" i="38"/>
  <c r="BO27" i="38"/>
  <c r="BO28" i="38"/>
  <c r="BO29" i="38"/>
  <c r="BO30" i="38"/>
  <c r="BO31" i="38"/>
  <c r="BO32" i="38"/>
  <c r="BO33" i="38"/>
  <c r="BO34" i="38"/>
  <c r="BO35" i="38"/>
  <c r="BO36" i="38"/>
  <c r="BO37" i="38"/>
  <c r="BO38" i="38"/>
  <c r="BO39" i="38"/>
  <c r="BO40" i="38"/>
  <c r="BO41" i="38"/>
  <c r="BO42" i="38"/>
  <c r="BO43" i="38"/>
  <c r="BO44" i="38"/>
  <c r="BO45" i="38"/>
  <c r="BO46" i="38"/>
  <c r="BO47" i="38"/>
  <c r="BO48" i="38"/>
  <c r="BO49" i="38"/>
  <c r="BO50" i="38"/>
  <c r="BO51" i="38"/>
  <c r="BO52" i="38"/>
  <c r="BO53" i="38"/>
  <c r="BO54" i="38"/>
  <c r="BO55" i="38"/>
  <c r="BO56" i="38"/>
  <c r="BO57" i="38"/>
  <c r="BO58" i="38"/>
  <c r="BO59" i="38"/>
  <c r="BO60" i="38"/>
  <c r="BO61" i="38"/>
  <c r="BO62" i="38"/>
  <c r="BO63" i="38"/>
  <c r="BO64" i="38"/>
  <c r="BO65" i="38"/>
  <c r="BO66" i="38"/>
  <c r="BO67" i="38"/>
  <c r="BO68" i="38"/>
  <c r="BO69" i="38"/>
  <c r="BO70" i="38"/>
  <c r="BO71" i="38"/>
  <c r="BO72" i="38"/>
  <c r="BO73" i="38"/>
  <c r="BO74" i="38"/>
  <c r="BO75" i="38"/>
  <c r="BO76" i="38"/>
  <c r="BO77" i="38"/>
  <c r="BO78" i="38"/>
  <c r="BO79" i="38"/>
  <c r="BO80" i="38"/>
  <c r="BO81" i="38"/>
  <c r="BO82" i="38"/>
  <c r="BO83" i="38"/>
  <c r="BO84" i="38"/>
  <c r="BO85" i="38"/>
  <c r="BO86" i="38"/>
  <c r="BO87" i="38"/>
  <c r="BO88" i="38"/>
  <c r="BO89" i="38"/>
  <c r="BO90" i="38"/>
  <c r="BO91" i="38"/>
  <c r="BO92" i="38"/>
  <c r="BO93" i="38"/>
  <c r="BO94" i="38"/>
  <c r="BO95" i="38"/>
  <c r="BO96" i="38"/>
  <c r="BO97" i="38"/>
  <c r="BO98" i="38"/>
  <c r="BO99" i="38"/>
  <c r="BO100" i="38"/>
  <c r="BO101" i="38"/>
  <c r="BO102" i="38"/>
  <c r="BO103" i="38"/>
  <c r="BO104" i="38"/>
  <c r="BO105" i="38"/>
  <c r="BO106" i="38"/>
  <c r="BO107" i="38"/>
  <c r="BO108" i="38"/>
  <c r="BO109" i="38"/>
  <c r="BO110" i="38"/>
  <c r="BO111" i="38"/>
  <c r="BO112" i="38"/>
  <c r="BO113" i="38"/>
  <c r="BO114" i="38"/>
  <c r="BO115" i="38"/>
  <c r="BO116" i="38"/>
  <c r="BO117" i="38"/>
  <c r="BO118" i="38"/>
  <c r="BO119" i="38"/>
  <c r="BO120" i="38"/>
  <c r="BO121" i="38"/>
  <c r="BO122" i="38"/>
  <c r="BO123" i="38"/>
  <c r="BO124" i="38"/>
  <c r="BO125" i="38"/>
  <c r="BO126" i="38"/>
  <c r="BO127" i="38"/>
  <c r="BO128" i="38"/>
  <c r="BO129" i="38"/>
  <c r="BO130" i="38"/>
  <c r="BO131" i="38"/>
  <c r="BO132" i="38"/>
  <c r="BO133" i="38"/>
  <c r="BO134" i="38"/>
  <c r="BO135" i="38"/>
  <c r="BO136" i="38"/>
  <c r="BO137" i="38"/>
  <c r="BO138" i="38"/>
  <c r="BO139" i="38"/>
  <c r="BO140" i="38"/>
  <c r="BO141" i="38"/>
  <c r="BO142" i="38"/>
  <c r="BO143" i="38"/>
  <c r="BO144" i="38"/>
  <c r="BO145" i="38"/>
  <c r="BO146" i="38"/>
  <c r="BO147" i="38"/>
  <c r="BO148" i="38"/>
  <c r="BO149" i="38"/>
  <c r="BO150" i="38"/>
  <c r="BO151" i="38"/>
  <c r="BO152" i="38"/>
  <c r="BO153" i="38"/>
  <c r="BO154" i="38"/>
  <c r="BO155" i="38"/>
  <c r="BO156" i="38"/>
  <c r="BO157" i="38"/>
  <c r="BO158" i="38"/>
  <c r="BO159" i="38"/>
  <c r="BO160" i="38"/>
  <c r="BO161" i="38"/>
  <c r="BO162" i="38"/>
  <c r="BO163" i="38"/>
  <c r="BO164" i="38"/>
  <c r="BO165" i="38"/>
  <c r="BO166" i="38"/>
  <c r="BO167" i="38"/>
  <c r="BO168" i="38"/>
  <c r="BO169" i="38"/>
  <c r="BO170" i="38"/>
  <c r="BO171" i="38"/>
  <c r="BO172" i="38"/>
  <c r="BO173" i="38"/>
  <c r="BO174" i="38"/>
  <c r="BO175" i="38"/>
  <c r="BO176" i="38"/>
  <c r="BO177" i="38"/>
  <c r="BO178" i="38"/>
  <c r="BO179" i="38"/>
  <c r="BO180" i="38"/>
  <c r="BO181" i="38"/>
  <c r="BO182" i="38"/>
  <c r="BO183" i="38"/>
  <c r="BO184" i="38"/>
  <c r="BO185" i="38"/>
  <c r="BO186" i="38"/>
  <c r="BO187" i="38"/>
  <c r="BO188" i="38"/>
  <c r="BO189" i="38"/>
  <c r="BO190" i="38"/>
  <c r="BO191" i="38"/>
  <c r="BO192" i="38"/>
  <c r="BO193" i="38"/>
  <c r="BO194" i="38"/>
  <c r="BO195" i="38"/>
  <c r="BO196" i="38"/>
  <c r="BO197" i="38"/>
  <c r="BO198" i="38"/>
  <c r="BO199" i="38"/>
  <c r="BO200" i="38"/>
  <c r="BO201" i="38"/>
  <c r="BO202" i="38"/>
  <c r="BO203" i="38"/>
  <c r="BO204" i="38"/>
  <c r="BO205" i="38"/>
  <c r="BO206" i="38"/>
  <c r="BO207" i="38"/>
  <c r="BO208" i="38"/>
  <c r="BO209" i="38"/>
  <c r="BO210" i="38"/>
  <c r="BO211" i="38"/>
  <c r="BO212" i="38"/>
  <c r="BO213" i="38"/>
  <c r="BO214" i="38"/>
  <c r="BO215" i="38"/>
  <c r="BO216" i="38"/>
  <c r="BO217" i="38"/>
  <c r="BO218" i="38"/>
  <c r="BO219" i="38"/>
  <c r="BO220" i="38"/>
  <c r="BO221" i="38"/>
  <c r="BO222" i="38"/>
  <c r="BO223" i="38"/>
  <c r="BO224" i="38"/>
  <c r="BO225" i="38"/>
  <c r="BO226" i="38"/>
  <c r="BO227" i="38"/>
  <c r="BO228" i="38"/>
  <c r="BO229" i="38"/>
  <c r="BO230" i="38"/>
  <c r="BO231" i="38"/>
  <c r="BO232" i="38"/>
  <c r="BO233" i="38"/>
  <c r="BO234" i="38"/>
  <c r="BO235" i="38"/>
  <c r="BO236" i="38"/>
  <c r="BO237" i="38"/>
  <c r="BO238" i="38"/>
  <c r="BO239" i="38"/>
  <c r="BO240" i="38"/>
  <c r="BO241" i="38"/>
  <c r="BO242" i="38"/>
  <c r="BO243" i="38"/>
  <c r="BO244" i="38"/>
  <c r="BO245" i="38"/>
  <c r="BO246" i="38"/>
  <c r="BO247" i="38"/>
  <c r="BO248" i="38"/>
  <c r="BO249" i="38"/>
  <c r="BO250" i="38"/>
  <c r="BO251" i="38"/>
  <c r="BO252" i="38"/>
  <c r="BO253" i="38"/>
  <c r="BO254" i="38"/>
  <c r="BO255" i="38"/>
  <c r="BO256" i="38"/>
  <c r="BO257" i="38"/>
  <c r="BO258" i="38"/>
  <c r="BO259" i="38"/>
  <c r="BO260" i="38"/>
  <c r="BO261" i="38"/>
  <c r="BO262" i="38"/>
  <c r="BO263" i="38"/>
  <c r="BO264" i="38"/>
  <c r="BO265" i="38"/>
  <c r="BO266" i="38"/>
  <c r="BO267" i="38"/>
  <c r="BO268" i="38"/>
  <c r="BO269" i="38"/>
  <c r="BO270" i="38"/>
  <c r="BO271" i="38"/>
  <c r="BO272" i="38"/>
  <c r="BO273" i="38"/>
  <c r="BO274" i="38"/>
  <c r="BO275" i="38"/>
  <c r="BO276" i="38"/>
  <c r="BO277" i="38"/>
  <c r="BO278" i="38"/>
  <c r="BO279" i="38"/>
  <c r="BO280" i="38"/>
  <c r="BO281" i="38"/>
  <c r="BO282" i="38"/>
  <c r="BO283" i="38"/>
  <c r="BO284" i="38"/>
  <c r="BO285" i="38"/>
  <c r="BO286" i="38"/>
  <c r="BO287" i="38"/>
  <c r="BO288" i="38"/>
  <c r="BO289" i="38"/>
  <c r="BO290" i="38"/>
  <c r="BO291" i="38"/>
  <c r="BO292" i="38"/>
  <c r="BO293" i="38"/>
  <c r="BO294" i="38"/>
  <c r="BO295" i="38"/>
  <c r="BO296" i="38"/>
  <c r="BO297" i="38"/>
  <c r="BO298" i="38"/>
  <c r="BO299" i="38"/>
  <c r="BO300" i="38"/>
  <c r="BO301" i="38"/>
  <c r="BO302" i="38"/>
  <c r="BO303" i="38"/>
  <c r="BO304" i="38"/>
  <c r="BO305" i="38"/>
  <c r="BO306" i="38"/>
  <c r="BO307" i="38"/>
  <c r="BO308" i="38"/>
  <c r="BO309" i="38"/>
  <c r="BO310" i="38"/>
  <c r="BO311" i="38"/>
  <c r="BO312" i="38"/>
  <c r="BO313" i="38"/>
  <c r="BO314" i="38"/>
  <c r="BO315" i="38"/>
  <c r="BO316" i="38"/>
  <c r="BO317" i="38"/>
  <c r="BO318" i="38"/>
  <c r="BO319" i="38"/>
  <c r="BO320" i="38"/>
  <c r="BO321" i="38"/>
  <c r="BO322" i="38"/>
  <c r="BO323" i="38"/>
  <c r="BO324" i="38"/>
  <c r="BO325" i="38"/>
  <c r="BO326" i="38"/>
  <c r="BO327" i="38"/>
  <c r="BO328" i="38"/>
  <c r="BO329" i="38"/>
  <c r="BO330" i="38"/>
  <c r="BO331" i="38"/>
  <c r="BO332" i="38"/>
  <c r="BO333" i="38"/>
  <c r="BO334" i="38"/>
  <c r="BO335" i="38"/>
  <c r="BO336" i="38"/>
  <c r="BO337" i="38"/>
  <c r="BO338" i="38"/>
  <c r="BO339" i="38"/>
  <c r="BO340" i="38"/>
  <c r="BO341" i="38"/>
  <c r="BO342" i="38"/>
  <c r="BO343" i="38"/>
  <c r="BO344" i="38"/>
  <c r="BO345" i="38"/>
  <c r="BO346" i="38"/>
  <c r="BO347" i="38"/>
  <c r="BO348" i="38"/>
  <c r="BO349" i="38"/>
  <c r="BO350" i="38"/>
  <c r="BO351" i="38"/>
  <c r="BO352" i="38"/>
  <c r="BO353" i="38"/>
  <c r="BO354" i="38"/>
  <c r="BO355" i="38"/>
  <c r="BO356" i="38"/>
  <c r="BO357" i="38"/>
  <c r="BO358" i="38"/>
  <c r="BO359" i="38"/>
  <c r="BO360" i="38"/>
  <c r="BO361" i="38"/>
  <c r="BO362" i="38"/>
  <c r="BO363" i="38"/>
  <c r="BO364" i="38"/>
  <c r="BO365" i="38"/>
  <c r="BO366" i="38"/>
  <c r="BO367" i="38"/>
  <c r="BO368" i="38"/>
  <c r="BO369" i="38"/>
  <c r="BO370" i="38"/>
  <c r="BO371" i="38"/>
  <c r="BO372" i="38"/>
  <c r="BO373" i="38"/>
  <c r="BO374" i="38"/>
  <c r="BO375" i="38"/>
  <c r="BO376" i="38"/>
  <c r="BO11" i="38"/>
  <c r="BN12" i="38"/>
  <c r="BN13" i="38"/>
  <c r="BN14" i="38"/>
  <c r="BN15" i="38"/>
  <c r="BN16" i="38"/>
  <c r="BN17" i="38"/>
  <c r="BN18" i="38"/>
  <c r="BN19" i="38"/>
  <c r="BN20" i="38"/>
  <c r="BN21" i="38"/>
  <c r="BN22" i="38"/>
  <c r="BN23" i="38"/>
  <c r="BN24" i="38"/>
  <c r="BN25" i="38"/>
  <c r="BN26" i="38"/>
  <c r="BN27" i="38"/>
  <c r="BN28" i="38"/>
  <c r="BN29" i="38"/>
  <c r="BN30" i="38"/>
  <c r="BN31" i="38"/>
  <c r="BN32" i="38"/>
  <c r="BN33" i="38"/>
  <c r="BN34" i="38"/>
  <c r="BN35" i="38"/>
  <c r="BN36" i="38"/>
  <c r="BN37" i="38"/>
  <c r="BN38" i="38"/>
  <c r="BN39" i="38"/>
  <c r="BN40" i="38"/>
  <c r="BN41" i="38"/>
  <c r="BN42" i="38"/>
  <c r="BN43" i="38"/>
  <c r="BN44" i="38"/>
  <c r="BN45" i="38"/>
  <c r="BN46" i="38"/>
  <c r="BN47" i="38"/>
  <c r="BN48" i="38"/>
  <c r="BN49" i="38"/>
  <c r="BN50" i="38"/>
  <c r="BN51" i="38"/>
  <c r="BN52" i="38"/>
  <c r="BN53" i="38"/>
  <c r="BN54" i="38"/>
  <c r="BN55" i="38"/>
  <c r="BN56" i="38"/>
  <c r="BN57" i="38"/>
  <c r="BN58" i="38"/>
  <c r="BN59" i="38"/>
  <c r="BN60" i="38"/>
  <c r="BN61" i="38"/>
  <c r="BN62" i="38"/>
  <c r="BN63" i="38"/>
  <c r="BN64" i="38"/>
  <c r="BN65" i="38"/>
  <c r="BN66" i="38"/>
  <c r="BN67" i="38"/>
  <c r="BN68" i="38"/>
  <c r="BN69" i="38"/>
  <c r="BN70" i="38"/>
  <c r="BN71" i="38"/>
  <c r="BN72" i="38"/>
  <c r="BN73" i="38"/>
  <c r="BN74" i="38"/>
  <c r="BN75" i="38"/>
  <c r="BN76" i="38"/>
  <c r="BN77" i="38"/>
  <c r="BN78" i="38"/>
  <c r="BN79" i="38"/>
  <c r="BN80" i="38"/>
  <c r="BN81" i="38"/>
  <c r="BN82" i="38"/>
  <c r="BN83" i="38"/>
  <c r="BN84" i="38"/>
  <c r="BN85" i="38"/>
  <c r="BN86" i="38"/>
  <c r="BN87" i="38"/>
  <c r="BN88" i="38"/>
  <c r="BN89" i="38"/>
  <c r="BN90" i="38"/>
  <c r="BN91" i="38"/>
  <c r="BN92" i="38"/>
  <c r="BN93" i="38"/>
  <c r="BN94" i="38"/>
  <c r="BN95" i="38"/>
  <c r="BN96" i="38"/>
  <c r="BN97" i="38"/>
  <c r="BN98" i="38"/>
  <c r="BN99" i="38"/>
  <c r="BN100" i="38"/>
  <c r="BN101" i="38"/>
  <c r="BN102" i="38"/>
  <c r="BN103" i="38"/>
  <c r="BN104" i="38"/>
  <c r="BN105" i="38"/>
  <c r="BN106" i="38"/>
  <c r="BN107" i="38"/>
  <c r="BN108" i="38"/>
  <c r="BN109" i="38"/>
  <c r="BN110" i="38"/>
  <c r="BN111" i="38"/>
  <c r="BN112" i="38"/>
  <c r="BN113" i="38"/>
  <c r="BN114" i="38"/>
  <c r="BN115" i="38"/>
  <c r="BN116" i="38"/>
  <c r="BN117" i="38"/>
  <c r="BN118" i="38"/>
  <c r="BN119" i="38"/>
  <c r="BN120" i="38"/>
  <c r="BN121" i="38"/>
  <c r="BN122" i="38"/>
  <c r="BN123" i="38"/>
  <c r="BN124" i="38"/>
  <c r="BN125" i="38"/>
  <c r="BN126" i="38"/>
  <c r="BN127" i="38"/>
  <c r="BN128" i="38"/>
  <c r="BN129" i="38"/>
  <c r="BN130" i="38"/>
  <c r="BN131" i="38"/>
  <c r="BN132" i="38"/>
  <c r="BN133" i="38"/>
  <c r="BN134" i="38"/>
  <c r="BN135" i="38"/>
  <c r="BN136" i="38"/>
  <c r="BN137" i="38"/>
  <c r="BN138" i="38"/>
  <c r="BN139" i="38"/>
  <c r="BN140" i="38"/>
  <c r="BN141" i="38"/>
  <c r="BN142" i="38"/>
  <c r="BN143" i="38"/>
  <c r="BN144" i="38"/>
  <c r="BN145" i="38"/>
  <c r="BN146" i="38"/>
  <c r="BN147" i="38"/>
  <c r="BN148" i="38"/>
  <c r="BN149" i="38"/>
  <c r="BN150" i="38"/>
  <c r="BN151" i="38"/>
  <c r="BN152" i="38"/>
  <c r="BN153" i="38"/>
  <c r="BN154" i="38"/>
  <c r="BN155" i="38"/>
  <c r="BN156" i="38"/>
  <c r="BN157" i="38"/>
  <c r="BN158" i="38"/>
  <c r="BN159" i="38"/>
  <c r="BN160" i="38"/>
  <c r="BN161" i="38"/>
  <c r="BN162" i="38"/>
  <c r="BN163" i="38"/>
  <c r="BN164" i="38"/>
  <c r="BN165" i="38"/>
  <c r="BN166" i="38"/>
  <c r="BN167" i="38"/>
  <c r="BN168" i="38"/>
  <c r="BN169" i="38"/>
  <c r="BN170" i="38"/>
  <c r="BN171" i="38"/>
  <c r="BN172" i="38"/>
  <c r="BN173" i="38"/>
  <c r="BN174" i="38"/>
  <c r="BN175" i="38"/>
  <c r="BN176" i="38"/>
  <c r="BN177" i="38"/>
  <c r="BN178" i="38"/>
  <c r="BN179" i="38"/>
  <c r="BN180" i="38"/>
  <c r="BN181" i="38"/>
  <c r="BN182" i="38"/>
  <c r="BN183" i="38"/>
  <c r="BN184" i="38"/>
  <c r="BN185" i="38"/>
  <c r="BN186" i="38"/>
  <c r="BN187" i="38"/>
  <c r="BN188" i="38"/>
  <c r="BN189" i="38"/>
  <c r="BN190" i="38"/>
  <c r="BN191" i="38"/>
  <c r="BN192" i="38"/>
  <c r="BN193" i="38"/>
  <c r="BN194" i="38"/>
  <c r="BN195" i="38"/>
  <c r="BN196" i="38"/>
  <c r="BN197" i="38"/>
  <c r="BN198" i="38"/>
  <c r="BN199" i="38"/>
  <c r="BN200" i="38"/>
  <c r="BN201" i="38"/>
  <c r="BN202" i="38"/>
  <c r="BN203" i="38"/>
  <c r="BN204" i="38"/>
  <c r="BN205" i="38"/>
  <c r="BN206" i="38"/>
  <c r="BN207" i="38"/>
  <c r="BN208" i="38"/>
  <c r="BN209" i="38"/>
  <c r="BN210" i="38"/>
  <c r="BN211" i="38"/>
  <c r="BN212" i="38"/>
  <c r="BN213" i="38"/>
  <c r="BN214" i="38"/>
  <c r="BN215" i="38"/>
  <c r="BN216" i="38"/>
  <c r="BN217" i="38"/>
  <c r="BN218" i="38"/>
  <c r="BN219" i="38"/>
  <c r="BN220" i="38"/>
  <c r="BN221" i="38"/>
  <c r="BN222" i="38"/>
  <c r="BN223" i="38"/>
  <c r="BN224" i="38"/>
  <c r="BN225" i="38"/>
  <c r="BN226" i="38"/>
  <c r="BN227" i="38"/>
  <c r="BN228" i="38"/>
  <c r="BN229" i="38"/>
  <c r="BN230" i="38"/>
  <c r="BN231" i="38"/>
  <c r="BN232" i="38"/>
  <c r="BN233" i="38"/>
  <c r="BN234" i="38"/>
  <c r="BN235" i="38"/>
  <c r="BN236" i="38"/>
  <c r="BN237" i="38"/>
  <c r="BN238" i="38"/>
  <c r="BN239" i="38"/>
  <c r="BN240" i="38"/>
  <c r="BN241" i="38"/>
  <c r="BN242" i="38"/>
  <c r="BN243" i="38"/>
  <c r="BN244" i="38"/>
  <c r="BN245" i="38"/>
  <c r="BN246" i="38"/>
  <c r="BN247" i="38"/>
  <c r="BN248" i="38"/>
  <c r="BN249" i="38"/>
  <c r="BN250" i="38"/>
  <c r="BN251" i="38"/>
  <c r="BN252" i="38"/>
  <c r="BN253" i="38"/>
  <c r="BN254" i="38"/>
  <c r="BN255" i="38"/>
  <c r="BN256" i="38"/>
  <c r="BN257" i="38"/>
  <c r="BN258" i="38"/>
  <c r="BN259" i="38"/>
  <c r="BN260" i="38"/>
  <c r="BN261" i="38"/>
  <c r="BN262" i="38"/>
  <c r="BN263" i="38"/>
  <c r="BN264" i="38"/>
  <c r="BN265" i="38"/>
  <c r="BN266" i="38"/>
  <c r="BN267" i="38"/>
  <c r="BN268" i="38"/>
  <c r="BN269" i="38"/>
  <c r="BN270" i="38"/>
  <c r="BN271" i="38"/>
  <c r="BN272" i="38"/>
  <c r="BN273" i="38"/>
  <c r="BN274" i="38"/>
  <c r="BN275" i="38"/>
  <c r="BN276" i="38"/>
  <c r="BN277" i="38"/>
  <c r="BN278" i="38"/>
  <c r="BN279" i="38"/>
  <c r="BN280" i="38"/>
  <c r="BN281" i="38"/>
  <c r="BN282" i="38"/>
  <c r="BN283" i="38"/>
  <c r="BN284" i="38"/>
  <c r="BN285" i="38"/>
  <c r="BN286" i="38"/>
  <c r="BN287" i="38"/>
  <c r="BN288" i="38"/>
  <c r="BN289" i="38"/>
  <c r="BN290" i="38"/>
  <c r="BN291" i="38"/>
  <c r="BN292" i="38"/>
  <c r="BN293" i="38"/>
  <c r="BN294" i="38"/>
  <c r="BN295" i="38"/>
  <c r="BN296" i="38"/>
  <c r="BN297" i="38"/>
  <c r="BN298" i="38"/>
  <c r="BN299" i="38"/>
  <c r="BN300" i="38"/>
  <c r="BN301" i="38"/>
  <c r="BN302" i="38"/>
  <c r="BN303" i="38"/>
  <c r="BN304" i="38"/>
  <c r="BN305" i="38"/>
  <c r="BN306" i="38"/>
  <c r="BN307" i="38"/>
  <c r="BN308" i="38"/>
  <c r="BN309" i="38"/>
  <c r="BN310" i="38"/>
  <c r="BN311" i="38"/>
  <c r="BN312" i="38"/>
  <c r="BN313" i="38"/>
  <c r="BN314" i="38"/>
  <c r="BN315" i="38"/>
  <c r="BN316" i="38"/>
  <c r="BN317" i="38"/>
  <c r="BN318" i="38"/>
  <c r="BN319" i="38"/>
  <c r="BN320" i="38"/>
  <c r="BN321" i="38"/>
  <c r="BN322" i="38"/>
  <c r="BN323" i="38"/>
  <c r="BN324" i="38"/>
  <c r="BN325" i="38"/>
  <c r="BN326" i="38"/>
  <c r="BN327" i="38"/>
  <c r="BN328" i="38"/>
  <c r="BN329" i="38"/>
  <c r="BN330" i="38"/>
  <c r="BN331" i="38"/>
  <c r="BN332" i="38"/>
  <c r="BN333" i="38"/>
  <c r="BN334" i="38"/>
  <c r="BN335" i="38"/>
  <c r="BN336" i="38"/>
  <c r="BN337" i="38"/>
  <c r="BN338" i="38"/>
  <c r="BN339" i="38"/>
  <c r="BN340" i="38"/>
  <c r="BN341" i="38"/>
  <c r="BN342" i="38"/>
  <c r="BN343" i="38"/>
  <c r="BN344" i="38"/>
  <c r="BN345" i="38"/>
  <c r="BN346" i="38"/>
  <c r="BN347" i="38"/>
  <c r="BN348" i="38"/>
  <c r="BN349" i="38"/>
  <c r="BN350" i="38"/>
  <c r="BN351" i="38"/>
  <c r="BN352" i="38"/>
  <c r="BN353" i="38"/>
  <c r="BN354" i="38"/>
  <c r="BN355" i="38"/>
  <c r="BN356" i="38"/>
  <c r="BN357" i="38"/>
  <c r="BN358" i="38"/>
  <c r="BN359" i="38"/>
  <c r="BN360" i="38"/>
  <c r="BN361" i="38"/>
  <c r="BN362" i="38"/>
  <c r="BN363" i="38"/>
  <c r="BN364" i="38"/>
  <c r="BN365" i="38"/>
  <c r="BN366" i="38"/>
  <c r="BN367" i="38"/>
  <c r="BN368" i="38"/>
  <c r="BN369" i="38"/>
  <c r="BN370" i="38"/>
  <c r="BN371" i="38"/>
  <c r="BN372" i="38"/>
  <c r="BN373" i="38"/>
  <c r="BN374" i="38"/>
  <c r="BN375" i="38"/>
  <c r="BN376" i="38"/>
  <c r="BN11" i="38"/>
  <c r="BM12" i="38"/>
  <c r="BM13" i="38"/>
  <c r="BM14" i="38"/>
  <c r="BM15" i="38"/>
  <c r="BM16" i="38"/>
  <c r="BM17" i="38"/>
  <c r="BM18" i="38"/>
  <c r="BM19" i="38"/>
  <c r="BM20" i="38"/>
  <c r="BM21" i="38"/>
  <c r="BM22" i="38"/>
  <c r="BM23" i="38"/>
  <c r="BM24" i="38"/>
  <c r="BM25" i="38"/>
  <c r="BM26" i="38"/>
  <c r="BM27" i="38"/>
  <c r="BM28" i="38"/>
  <c r="BM29" i="38"/>
  <c r="BM30" i="38"/>
  <c r="BM31" i="38"/>
  <c r="BM32" i="38"/>
  <c r="BM33" i="38"/>
  <c r="BM34" i="38"/>
  <c r="BM35" i="38"/>
  <c r="BM36" i="38"/>
  <c r="BM37" i="38"/>
  <c r="BM38" i="38"/>
  <c r="BM39" i="38"/>
  <c r="BM40" i="38"/>
  <c r="BM41" i="38"/>
  <c r="BM42" i="38"/>
  <c r="BM43" i="38"/>
  <c r="BM44" i="38"/>
  <c r="BM45" i="38"/>
  <c r="BM46" i="38"/>
  <c r="BM47" i="38"/>
  <c r="BM48" i="38"/>
  <c r="BM49" i="38"/>
  <c r="BM50" i="38"/>
  <c r="BM51" i="38"/>
  <c r="BM52" i="38"/>
  <c r="BM53" i="38"/>
  <c r="BM54" i="38"/>
  <c r="BM55" i="38"/>
  <c r="BM56" i="38"/>
  <c r="BM57" i="38"/>
  <c r="BM58" i="38"/>
  <c r="BM59" i="38"/>
  <c r="BM60" i="38"/>
  <c r="BM61" i="38"/>
  <c r="BM62" i="38"/>
  <c r="BM63" i="38"/>
  <c r="BM64" i="38"/>
  <c r="BM65" i="38"/>
  <c r="BM66" i="38"/>
  <c r="BM67" i="38"/>
  <c r="BM68" i="38"/>
  <c r="BM69" i="38"/>
  <c r="BM70" i="38"/>
  <c r="BM71" i="38"/>
  <c r="BM72" i="38"/>
  <c r="BM73" i="38"/>
  <c r="BM74" i="38"/>
  <c r="BM75" i="38"/>
  <c r="BM76" i="38"/>
  <c r="BM77" i="38"/>
  <c r="BM78" i="38"/>
  <c r="BM79" i="38"/>
  <c r="BM80" i="38"/>
  <c r="BM81" i="38"/>
  <c r="BM82" i="38"/>
  <c r="BM83" i="38"/>
  <c r="BM84" i="38"/>
  <c r="BM85" i="38"/>
  <c r="BM86" i="38"/>
  <c r="BM87" i="38"/>
  <c r="BM88" i="38"/>
  <c r="BM89" i="38"/>
  <c r="BM90" i="38"/>
  <c r="BM91" i="38"/>
  <c r="BM92" i="38"/>
  <c r="BM93" i="38"/>
  <c r="BM94" i="38"/>
  <c r="BM95" i="38"/>
  <c r="BM96" i="38"/>
  <c r="BM97" i="38"/>
  <c r="BM98" i="38"/>
  <c r="BM99" i="38"/>
  <c r="BM100" i="38"/>
  <c r="BM101" i="38"/>
  <c r="BM102" i="38"/>
  <c r="BM103" i="38"/>
  <c r="BM104" i="38"/>
  <c r="BM105" i="38"/>
  <c r="BM106" i="38"/>
  <c r="BM107" i="38"/>
  <c r="BM108" i="38"/>
  <c r="BM109" i="38"/>
  <c r="BM110" i="38"/>
  <c r="BM111" i="38"/>
  <c r="BM112" i="38"/>
  <c r="BM113" i="38"/>
  <c r="BM114" i="38"/>
  <c r="BM115" i="38"/>
  <c r="BM116" i="38"/>
  <c r="BM117" i="38"/>
  <c r="BM118" i="38"/>
  <c r="BM119" i="38"/>
  <c r="BM120" i="38"/>
  <c r="BM121" i="38"/>
  <c r="BM122" i="38"/>
  <c r="BM123" i="38"/>
  <c r="BM124" i="38"/>
  <c r="BM125" i="38"/>
  <c r="BM126" i="38"/>
  <c r="BM127" i="38"/>
  <c r="BM128" i="38"/>
  <c r="BM129" i="38"/>
  <c r="BM130" i="38"/>
  <c r="BM131" i="38"/>
  <c r="BM132" i="38"/>
  <c r="BM133" i="38"/>
  <c r="BM134" i="38"/>
  <c r="BM135" i="38"/>
  <c r="BM136" i="38"/>
  <c r="BM137" i="38"/>
  <c r="BM138" i="38"/>
  <c r="BM139" i="38"/>
  <c r="BM140" i="38"/>
  <c r="BM141" i="38"/>
  <c r="BM142" i="38"/>
  <c r="BM143" i="38"/>
  <c r="BM144" i="38"/>
  <c r="BM145" i="38"/>
  <c r="BM146" i="38"/>
  <c r="BM147" i="38"/>
  <c r="BM148" i="38"/>
  <c r="BM149" i="38"/>
  <c r="BM150" i="38"/>
  <c r="BM151" i="38"/>
  <c r="BM152" i="38"/>
  <c r="BM153" i="38"/>
  <c r="BM154" i="38"/>
  <c r="BM155" i="38"/>
  <c r="BM156" i="38"/>
  <c r="BM157" i="38"/>
  <c r="BM158" i="38"/>
  <c r="BM159" i="38"/>
  <c r="BM160" i="38"/>
  <c r="BM161" i="38"/>
  <c r="BM162" i="38"/>
  <c r="BM163" i="38"/>
  <c r="BM164" i="38"/>
  <c r="BM165" i="38"/>
  <c r="BM166" i="38"/>
  <c r="BM167" i="38"/>
  <c r="BM168" i="38"/>
  <c r="BM169" i="38"/>
  <c r="BM170" i="38"/>
  <c r="BM171" i="38"/>
  <c r="BM172" i="38"/>
  <c r="BM173" i="38"/>
  <c r="BM174" i="38"/>
  <c r="BM175" i="38"/>
  <c r="BM176" i="38"/>
  <c r="BM177" i="38"/>
  <c r="BM178" i="38"/>
  <c r="BM179" i="38"/>
  <c r="BM180" i="38"/>
  <c r="BM181" i="38"/>
  <c r="BM182" i="38"/>
  <c r="BM183" i="38"/>
  <c r="BM184" i="38"/>
  <c r="BM185" i="38"/>
  <c r="BM186" i="38"/>
  <c r="BM187" i="38"/>
  <c r="BM188" i="38"/>
  <c r="BM189" i="38"/>
  <c r="BM190" i="38"/>
  <c r="BM191" i="38"/>
  <c r="BM192" i="38"/>
  <c r="BM193" i="38"/>
  <c r="BM194" i="38"/>
  <c r="BM195" i="38"/>
  <c r="BM196" i="38"/>
  <c r="BM197" i="38"/>
  <c r="BM198" i="38"/>
  <c r="BM199" i="38"/>
  <c r="BM200" i="38"/>
  <c r="BM201" i="38"/>
  <c r="BM202" i="38"/>
  <c r="BM203" i="38"/>
  <c r="BM204" i="38"/>
  <c r="BM205" i="38"/>
  <c r="BM206" i="38"/>
  <c r="BM207" i="38"/>
  <c r="BM208" i="38"/>
  <c r="BM209" i="38"/>
  <c r="BM210" i="38"/>
  <c r="BM211" i="38"/>
  <c r="BM212" i="38"/>
  <c r="BM213" i="38"/>
  <c r="BM214" i="38"/>
  <c r="BM215" i="38"/>
  <c r="BM216" i="38"/>
  <c r="BM217" i="38"/>
  <c r="BM218" i="38"/>
  <c r="BM219" i="38"/>
  <c r="BM220" i="38"/>
  <c r="BM221" i="38"/>
  <c r="BM222" i="38"/>
  <c r="BM223" i="38"/>
  <c r="BM224" i="38"/>
  <c r="BM225" i="38"/>
  <c r="BM226" i="38"/>
  <c r="BM227" i="38"/>
  <c r="BM228" i="38"/>
  <c r="BM229" i="38"/>
  <c r="BM230" i="38"/>
  <c r="BM231" i="38"/>
  <c r="BM232" i="38"/>
  <c r="BM233" i="38"/>
  <c r="BM234" i="38"/>
  <c r="BM235" i="38"/>
  <c r="BM236" i="38"/>
  <c r="BM237" i="38"/>
  <c r="BM238" i="38"/>
  <c r="BM239" i="38"/>
  <c r="BM240" i="38"/>
  <c r="BM241" i="38"/>
  <c r="BM242" i="38"/>
  <c r="BM243" i="38"/>
  <c r="BM244" i="38"/>
  <c r="BM245" i="38"/>
  <c r="BM246" i="38"/>
  <c r="BM247" i="38"/>
  <c r="BM248" i="38"/>
  <c r="BM249" i="38"/>
  <c r="BM250" i="38"/>
  <c r="BM251" i="38"/>
  <c r="BM252" i="38"/>
  <c r="BM253" i="38"/>
  <c r="BM254" i="38"/>
  <c r="BM255" i="38"/>
  <c r="BM256" i="38"/>
  <c r="BM257" i="38"/>
  <c r="BM258" i="38"/>
  <c r="BM259" i="38"/>
  <c r="BM260" i="38"/>
  <c r="BM261" i="38"/>
  <c r="BM262" i="38"/>
  <c r="BM263" i="38"/>
  <c r="BM264" i="38"/>
  <c r="BM265" i="38"/>
  <c r="BM266" i="38"/>
  <c r="BM267" i="38"/>
  <c r="BM268" i="38"/>
  <c r="BM269" i="38"/>
  <c r="BM270" i="38"/>
  <c r="BM271" i="38"/>
  <c r="BM272" i="38"/>
  <c r="BM273" i="38"/>
  <c r="BM274" i="38"/>
  <c r="BM275" i="38"/>
  <c r="BM276" i="38"/>
  <c r="BM277" i="38"/>
  <c r="BM278" i="38"/>
  <c r="BM279" i="38"/>
  <c r="BM280" i="38"/>
  <c r="BM281" i="38"/>
  <c r="BM282" i="38"/>
  <c r="BM283" i="38"/>
  <c r="BM284" i="38"/>
  <c r="BM285" i="38"/>
  <c r="BM286" i="38"/>
  <c r="BM287" i="38"/>
  <c r="BM288" i="38"/>
  <c r="BM289" i="38"/>
  <c r="BM290" i="38"/>
  <c r="BM291" i="38"/>
  <c r="BM292" i="38"/>
  <c r="BM293" i="38"/>
  <c r="BM294" i="38"/>
  <c r="BM295" i="38"/>
  <c r="BM296" i="38"/>
  <c r="BM297" i="38"/>
  <c r="BM298" i="38"/>
  <c r="BM299" i="38"/>
  <c r="BM300" i="38"/>
  <c r="BM301" i="38"/>
  <c r="BM302" i="38"/>
  <c r="BM303" i="38"/>
  <c r="BM304" i="38"/>
  <c r="BM305" i="38"/>
  <c r="BM306" i="38"/>
  <c r="BM307" i="38"/>
  <c r="BM308" i="38"/>
  <c r="BM309" i="38"/>
  <c r="BM310" i="38"/>
  <c r="BM311" i="38"/>
  <c r="BM312" i="38"/>
  <c r="BM313" i="38"/>
  <c r="BM314" i="38"/>
  <c r="BM315" i="38"/>
  <c r="BM316" i="38"/>
  <c r="BM317" i="38"/>
  <c r="BM318" i="38"/>
  <c r="BM319" i="38"/>
  <c r="BM320" i="38"/>
  <c r="BM321" i="38"/>
  <c r="BM322" i="38"/>
  <c r="BM323" i="38"/>
  <c r="BM324" i="38"/>
  <c r="BM325" i="38"/>
  <c r="BM326" i="38"/>
  <c r="BM327" i="38"/>
  <c r="BM328" i="38"/>
  <c r="BM329" i="38"/>
  <c r="BM330" i="38"/>
  <c r="BM331" i="38"/>
  <c r="BM332" i="38"/>
  <c r="BM333" i="38"/>
  <c r="BM334" i="38"/>
  <c r="BM335" i="38"/>
  <c r="BM336" i="38"/>
  <c r="BM337" i="38"/>
  <c r="BM338" i="38"/>
  <c r="BM339" i="38"/>
  <c r="BM340" i="38"/>
  <c r="BM341" i="38"/>
  <c r="BM342" i="38"/>
  <c r="BM343" i="38"/>
  <c r="BM344" i="38"/>
  <c r="BM345" i="38"/>
  <c r="BM346" i="38"/>
  <c r="BM347" i="38"/>
  <c r="BM348" i="38"/>
  <c r="BM349" i="38"/>
  <c r="BM350" i="38"/>
  <c r="BM351" i="38"/>
  <c r="BM352" i="38"/>
  <c r="BM353" i="38"/>
  <c r="BM354" i="38"/>
  <c r="BM355" i="38"/>
  <c r="BM356" i="38"/>
  <c r="BM357" i="38"/>
  <c r="BM358" i="38"/>
  <c r="BM359" i="38"/>
  <c r="BM360" i="38"/>
  <c r="BM361" i="38"/>
  <c r="BM362" i="38"/>
  <c r="BM363" i="38"/>
  <c r="BM364" i="38"/>
  <c r="BM365" i="38"/>
  <c r="BM366" i="38"/>
  <c r="BM367" i="38"/>
  <c r="BM368" i="38"/>
  <c r="BM369" i="38"/>
  <c r="BM370" i="38"/>
  <c r="BM371" i="38"/>
  <c r="BM372" i="38"/>
  <c r="BM373" i="38"/>
  <c r="BM374" i="38"/>
  <c r="BM375" i="38"/>
  <c r="BM376" i="38"/>
  <c r="BM11" i="38"/>
  <c r="BL12" i="38"/>
  <c r="BL13" i="38"/>
  <c r="BL14" i="38"/>
  <c r="BL15" i="38"/>
  <c r="BL16" i="38"/>
  <c r="BL17" i="38"/>
  <c r="BL18" i="38"/>
  <c r="BL19" i="38"/>
  <c r="BL20" i="38"/>
  <c r="BL21" i="38"/>
  <c r="BL22" i="38"/>
  <c r="BL23" i="38"/>
  <c r="BL24" i="38"/>
  <c r="BL25" i="38"/>
  <c r="BL26" i="38"/>
  <c r="BL27" i="38"/>
  <c r="BL28" i="38"/>
  <c r="BL29" i="38"/>
  <c r="BL30" i="38"/>
  <c r="BL31" i="38"/>
  <c r="BL32" i="38"/>
  <c r="BL33" i="38"/>
  <c r="BL34" i="38"/>
  <c r="BL35" i="38"/>
  <c r="BL36" i="38"/>
  <c r="BL37" i="38"/>
  <c r="BL38" i="38"/>
  <c r="BL39" i="38"/>
  <c r="BL40" i="38"/>
  <c r="BL41" i="38"/>
  <c r="BL42" i="38"/>
  <c r="BL43" i="38"/>
  <c r="BL44" i="38"/>
  <c r="BL45" i="38"/>
  <c r="BL46" i="38"/>
  <c r="BL47" i="38"/>
  <c r="BL48" i="38"/>
  <c r="BL49" i="38"/>
  <c r="BL50" i="38"/>
  <c r="BL51" i="38"/>
  <c r="BL52" i="38"/>
  <c r="BL53" i="38"/>
  <c r="BL54" i="38"/>
  <c r="BL55" i="38"/>
  <c r="BL56" i="38"/>
  <c r="BL57" i="38"/>
  <c r="BL58" i="38"/>
  <c r="BL59" i="38"/>
  <c r="BL60" i="38"/>
  <c r="BL61" i="38"/>
  <c r="BL62" i="38"/>
  <c r="BL63" i="38"/>
  <c r="BL64" i="38"/>
  <c r="BL65" i="38"/>
  <c r="BL66" i="38"/>
  <c r="BL67" i="38"/>
  <c r="BL68" i="38"/>
  <c r="BL69" i="38"/>
  <c r="BL70" i="38"/>
  <c r="BL71" i="38"/>
  <c r="BL72" i="38"/>
  <c r="BL73" i="38"/>
  <c r="BL74" i="38"/>
  <c r="BL75" i="38"/>
  <c r="BL76" i="38"/>
  <c r="BL77" i="38"/>
  <c r="BL78" i="38"/>
  <c r="BL79" i="38"/>
  <c r="BL80" i="38"/>
  <c r="BL81" i="38"/>
  <c r="BL82" i="38"/>
  <c r="BL83" i="38"/>
  <c r="BL84" i="38"/>
  <c r="BL85" i="38"/>
  <c r="BL86" i="38"/>
  <c r="BL87" i="38"/>
  <c r="BL88" i="38"/>
  <c r="BL89" i="38"/>
  <c r="BL90" i="38"/>
  <c r="BL91" i="38"/>
  <c r="BL92" i="38"/>
  <c r="BL93" i="38"/>
  <c r="BL94" i="38"/>
  <c r="BL95" i="38"/>
  <c r="BL96" i="38"/>
  <c r="BL97" i="38"/>
  <c r="BL98" i="38"/>
  <c r="BL99" i="38"/>
  <c r="BL100" i="38"/>
  <c r="BL101" i="38"/>
  <c r="BL102" i="38"/>
  <c r="BL103" i="38"/>
  <c r="BL104" i="38"/>
  <c r="BL105" i="38"/>
  <c r="BL106" i="38"/>
  <c r="BL107" i="38"/>
  <c r="BL108" i="38"/>
  <c r="BL109" i="38"/>
  <c r="BL110" i="38"/>
  <c r="BL111" i="38"/>
  <c r="BL112" i="38"/>
  <c r="BL113" i="38"/>
  <c r="BL114" i="38"/>
  <c r="BL115" i="38"/>
  <c r="BL116" i="38"/>
  <c r="BL117" i="38"/>
  <c r="BL118" i="38"/>
  <c r="BL119" i="38"/>
  <c r="BL120" i="38"/>
  <c r="BL121" i="38"/>
  <c r="BL122" i="38"/>
  <c r="BL123" i="38"/>
  <c r="BL124" i="38"/>
  <c r="BL125" i="38"/>
  <c r="BL126" i="38"/>
  <c r="BL127" i="38"/>
  <c r="BL128" i="38"/>
  <c r="BL129" i="38"/>
  <c r="BL130" i="38"/>
  <c r="BL131" i="38"/>
  <c r="BL132" i="38"/>
  <c r="BL133" i="38"/>
  <c r="BL134" i="38"/>
  <c r="BL135" i="38"/>
  <c r="BL136" i="38"/>
  <c r="BL137" i="38"/>
  <c r="BL138" i="38"/>
  <c r="BL139" i="38"/>
  <c r="BL140" i="38"/>
  <c r="BL141" i="38"/>
  <c r="BL142" i="38"/>
  <c r="BL143" i="38"/>
  <c r="BL144" i="38"/>
  <c r="BL145" i="38"/>
  <c r="BL146" i="38"/>
  <c r="BL147" i="38"/>
  <c r="BL148" i="38"/>
  <c r="BL149" i="38"/>
  <c r="BL150" i="38"/>
  <c r="BL151" i="38"/>
  <c r="BL152" i="38"/>
  <c r="BL153" i="38"/>
  <c r="BL154" i="38"/>
  <c r="BL155" i="38"/>
  <c r="BL156" i="38"/>
  <c r="BL157" i="38"/>
  <c r="BL158" i="38"/>
  <c r="BL159" i="38"/>
  <c r="BL160" i="38"/>
  <c r="BL161" i="38"/>
  <c r="BL162" i="38"/>
  <c r="BL163" i="38"/>
  <c r="BL164" i="38"/>
  <c r="BL165" i="38"/>
  <c r="BL166" i="38"/>
  <c r="BL167" i="38"/>
  <c r="BL168" i="38"/>
  <c r="BL169" i="38"/>
  <c r="BL170" i="38"/>
  <c r="BL171" i="38"/>
  <c r="BL172" i="38"/>
  <c r="BL173" i="38"/>
  <c r="BL174" i="38"/>
  <c r="BL175" i="38"/>
  <c r="BL176" i="38"/>
  <c r="BL177" i="38"/>
  <c r="BL178" i="38"/>
  <c r="BL179" i="38"/>
  <c r="BL180" i="38"/>
  <c r="BL181" i="38"/>
  <c r="BL182" i="38"/>
  <c r="BL183" i="38"/>
  <c r="BL184" i="38"/>
  <c r="BL185" i="38"/>
  <c r="BL186" i="38"/>
  <c r="BL187" i="38"/>
  <c r="BL188" i="38"/>
  <c r="BL189" i="38"/>
  <c r="BL190" i="38"/>
  <c r="BL191" i="38"/>
  <c r="BL192" i="38"/>
  <c r="BL193" i="38"/>
  <c r="BL194" i="38"/>
  <c r="BL195" i="38"/>
  <c r="BL196" i="38"/>
  <c r="BL197" i="38"/>
  <c r="BL198" i="38"/>
  <c r="BL199" i="38"/>
  <c r="BL200" i="38"/>
  <c r="BL201" i="38"/>
  <c r="BL202" i="38"/>
  <c r="BL203" i="38"/>
  <c r="BL204" i="38"/>
  <c r="BL205" i="38"/>
  <c r="BL206" i="38"/>
  <c r="BL207" i="38"/>
  <c r="BL208" i="38"/>
  <c r="BL209" i="38"/>
  <c r="BL210" i="38"/>
  <c r="BL211" i="38"/>
  <c r="BL212" i="38"/>
  <c r="BL213" i="38"/>
  <c r="BL214" i="38"/>
  <c r="BL215" i="38"/>
  <c r="BL216" i="38"/>
  <c r="BL217" i="38"/>
  <c r="BL218" i="38"/>
  <c r="BL219" i="38"/>
  <c r="BL220" i="38"/>
  <c r="BL221" i="38"/>
  <c r="BL222" i="38"/>
  <c r="BL223" i="38"/>
  <c r="BL224" i="38"/>
  <c r="BL225" i="38"/>
  <c r="BL226" i="38"/>
  <c r="BL227" i="38"/>
  <c r="BL228" i="38"/>
  <c r="BL229" i="38"/>
  <c r="BL230" i="38"/>
  <c r="BL231" i="38"/>
  <c r="BL232" i="38"/>
  <c r="BL233" i="38"/>
  <c r="BL234" i="38"/>
  <c r="BL235" i="38"/>
  <c r="BL236" i="38"/>
  <c r="BL237" i="38"/>
  <c r="BL238" i="38"/>
  <c r="BL239" i="38"/>
  <c r="BL240" i="38"/>
  <c r="BL241" i="38"/>
  <c r="BL242" i="38"/>
  <c r="BL243" i="38"/>
  <c r="BL244" i="38"/>
  <c r="BL245" i="38"/>
  <c r="BL246" i="38"/>
  <c r="BL247" i="38"/>
  <c r="BL248" i="38"/>
  <c r="BL249" i="38"/>
  <c r="BL250" i="38"/>
  <c r="BL251" i="38"/>
  <c r="BL252" i="38"/>
  <c r="BL253" i="38"/>
  <c r="BL254" i="38"/>
  <c r="BL255" i="38"/>
  <c r="BL256" i="38"/>
  <c r="BL257" i="38"/>
  <c r="BL258" i="38"/>
  <c r="BL259" i="38"/>
  <c r="BL260" i="38"/>
  <c r="BL261" i="38"/>
  <c r="BL262" i="38"/>
  <c r="BL263" i="38"/>
  <c r="BL264" i="38"/>
  <c r="BL265" i="38"/>
  <c r="BL266" i="38"/>
  <c r="BL267" i="38"/>
  <c r="BL268" i="38"/>
  <c r="BL269" i="38"/>
  <c r="BL270" i="38"/>
  <c r="BL271" i="38"/>
  <c r="BL272" i="38"/>
  <c r="BL273" i="38"/>
  <c r="BL274" i="38"/>
  <c r="BL275" i="38"/>
  <c r="BL276" i="38"/>
  <c r="BL277" i="38"/>
  <c r="BL278" i="38"/>
  <c r="BL279" i="38"/>
  <c r="BL280" i="38"/>
  <c r="BL281" i="38"/>
  <c r="BL282" i="38"/>
  <c r="BL283" i="38"/>
  <c r="BL284" i="38"/>
  <c r="BL285" i="38"/>
  <c r="BL286" i="38"/>
  <c r="BL287" i="38"/>
  <c r="BL288" i="38"/>
  <c r="BL289" i="38"/>
  <c r="BL290" i="38"/>
  <c r="BL291" i="38"/>
  <c r="BL292" i="38"/>
  <c r="BL293" i="38"/>
  <c r="BL294" i="38"/>
  <c r="BL295" i="38"/>
  <c r="BL296" i="38"/>
  <c r="BL297" i="38"/>
  <c r="BL298" i="38"/>
  <c r="BL299" i="38"/>
  <c r="BL300" i="38"/>
  <c r="BL301" i="38"/>
  <c r="BL302" i="38"/>
  <c r="BL303" i="38"/>
  <c r="BL304" i="38"/>
  <c r="BL305" i="38"/>
  <c r="BL306" i="38"/>
  <c r="BL307" i="38"/>
  <c r="BL308" i="38"/>
  <c r="BL309" i="38"/>
  <c r="BL310" i="38"/>
  <c r="BL311" i="38"/>
  <c r="BL312" i="38"/>
  <c r="BL313" i="38"/>
  <c r="BL314" i="38"/>
  <c r="BL315" i="38"/>
  <c r="BL316" i="38"/>
  <c r="BL317" i="38"/>
  <c r="BL318" i="38"/>
  <c r="BL319" i="38"/>
  <c r="BL320" i="38"/>
  <c r="BL321" i="38"/>
  <c r="BL322" i="38"/>
  <c r="BL323" i="38"/>
  <c r="BL324" i="38"/>
  <c r="BL325" i="38"/>
  <c r="BL326" i="38"/>
  <c r="BL327" i="38"/>
  <c r="BL328" i="38"/>
  <c r="BL329" i="38"/>
  <c r="BL330" i="38"/>
  <c r="BL331" i="38"/>
  <c r="BL332" i="38"/>
  <c r="BL333" i="38"/>
  <c r="BL334" i="38"/>
  <c r="BL335" i="38"/>
  <c r="BL336" i="38"/>
  <c r="BL337" i="38"/>
  <c r="BL338" i="38"/>
  <c r="BL339" i="38"/>
  <c r="BL340" i="38"/>
  <c r="BL341" i="38"/>
  <c r="BL342" i="38"/>
  <c r="BL343" i="38"/>
  <c r="BL344" i="38"/>
  <c r="BL345" i="38"/>
  <c r="BL346" i="38"/>
  <c r="BL347" i="38"/>
  <c r="BL348" i="38"/>
  <c r="BL349" i="38"/>
  <c r="BL350" i="38"/>
  <c r="BL351" i="38"/>
  <c r="BL352" i="38"/>
  <c r="BL353" i="38"/>
  <c r="BL354" i="38"/>
  <c r="BL355" i="38"/>
  <c r="BL356" i="38"/>
  <c r="BL357" i="38"/>
  <c r="BL358" i="38"/>
  <c r="BL359" i="38"/>
  <c r="BL360" i="38"/>
  <c r="BL361" i="38"/>
  <c r="BL362" i="38"/>
  <c r="BL363" i="38"/>
  <c r="BL364" i="38"/>
  <c r="BL365" i="38"/>
  <c r="BL366" i="38"/>
  <c r="BL367" i="38"/>
  <c r="BL368" i="38"/>
  <c r="BL369" i="38"/>
  <c r="BL370" i="38"/>
  <c r="BL371" i="38"/>
  <c r="BL372" i="38"/>
  <c r="BL373" i="38"/>
  <c r="BL374" i="38"/>
  <c r="BL375" i="38"/>
  <c r="BL376" i="38"/>
  <c r="BL11" i="38"/>
  <c r="BC12" i="38"/>
  <c r="BC13" i="38"/>
  <c r="BC14" i="38"/>
  <c r="BC15" i="38"/>
  <c r="BC16" i="38"/>
  <c r="BC17" i="38"/>
  <c r="BC18" i="38"/>
  <c r="BC19" i="38"/>
  <c r="BC20" i="38"/>
  <c r="BC21" i="38"/>
  <c r="BC22" i="38"/>
  <c r="BC23" i="38"/>
  <c r="BC24" i="38"/>
  <c r="BC25" i="38"/>
  <c r="BC26" i="38"/>
  <c r="BC27" i="38"/>
  <c r="BC28" i="38"/>
  <c r="BC29" i="38"/>
  <c r="BC30" i="38"/>
  <c r="BC31" i="38"/>
  <c r="BC32" i="38"/>
  <c r="BC33" i="38"/>
  <c r="BC34" i="38"/>
  <c r="BC35" i="38"/>
  <c r="BC36" i="38"/>
  <c r="BC37" i="38"/>
  <c r="BC38" i="38"/>
  <c r="BC39" i="38"/>
  <c r="BC40" i="38"/>
  <c r="BC41" i="38"/>
  <c r="BC42" i="38"/>
  <c r="BC43" i="38"/>
  <c r="BC44" i="38"/>
  <c r="BC45" i="38"/>
  <c r="BC46" i="38"/>
  <c r="BC47" i="38"/>
  <c r="BC48" i="38"/>
  <c r="BC49" i="38"/>
  <c r="BC50" i="38"/>
  <c r="BC51" i="38"/>
  <c r="BC52" i="38"/>
  <c r="BC53" i="38"/>
  <c r="BC54" i="38"/>
  <c r="BC55" i="38"/>
  <c r="BC56" i="38"/>
  <c r="BC57" i="38"/>
  <c r="BC58" i="38"/>
  <c r="BC59" i="38"/>
  <c r="BC60" i="38"/>
  <c r="BC61" i="38"/>
  <c r="BC62" i="38"/>
  <c r="BC63" i="38"/>
  <c r="BC64" i="38"/>
  <c r="BC65" i="38"/>
  <c r="BC66" i="38"/>
  <c r="BC67" i="38"/>
  <c r="BC68" i="38"/>
  <c r="BC69" i="38"/>
  <c r="BC70" i="38"/>
  <c r="BC71" i="38"/>
  <c r="BC72" i="38"/>
  <c r="BC73" i="38"/>
  <c r="BC74" i="38"/>
  <c r="BC75" i="38"/>
  <c r="BC76" i="38"/>
  <c r="BC77" i="38"/>
  <c r="BC78" i="38"/>
  <c r="BC79" i="38"/>
  <c r="BC80" i="38"/>
  <c r="BC81" i="38"/>
  <c r="BC82" i="38"/>
  <c r="BC83" i="38"/>
  <c r="BC84" i="38"/>
  <c r="BC85" i="38"/>
  <c r="BC86" i="38"/>
  <c r="BC87" i="38"/>
  <c r="BC88" i="38"/>
  <c r="BC89" i="38"/>
  <c r="BC90" i="38"/>
  <c r="BC91" i="38"/>
  <c r="BC92" i="38"/>
  <c r="BC93" i="38"/>
  <c r="BC94" i="38"/>
  <c r="BC95" i="38"/>
  <c r="BC96" i="38"/>
  <c r="BC97" i="38"/>
  <c r="BC98" i="38"/>
  <c r="BC99" i="38"/>
  <c r="BC100" i="38"/>
  <c r="BC101" i="38"/>
  <c r="BC102" i="38"/>
  <c r="BC103" i="38"/>
  <c r="BC104" i="38"/>
  <c r="BC105" i="38"/>
  <c r="BC106" i="38"/>
  <c r="BC107" i="38"/>
  <c r="BC108" i="38"/>
  <c r="BC109" i="38"/>
  <c r="BC110" i="38"/>
  <c r="BC111" i="38"/>
  <c r="BC112" i="38"/>
  <c r="BC113" i="38"/>
  <c r="BC114" i="38"/>
  <c r="BC115" i="38"/>
  <c r="BC116" i="38"/>
  <c r="BC117" i="38"/>
  <c r="BC118" i="38"/>
  <c r="BC119" i="38"/>
  <c r="BC120" i="38"/>
  <c r="BC121" i="38"/>
  <c r="BC122" i="38"/>
  <c r="BC123" i="38"/>
  <c r="BC124" i="38"/>
  <c r="BC125" i="38"/>
  <c r="BC126" i="38"/>
  <c r="BC127" i="38"/>
  <c r="BC128" i="38"/>
  <c r="BC129" i="38"/>
  <c r="BC130" i="38"/>
  <c r="BC131" i="38"/>
  <c r="BC132" i="38"/>
  <c r="BC133" i="38"/>
  <c r="BC134" i="38"/>
  <c r="BC135" i="38"/>
  <c r="BC136" i="38"/>
  <c r="BC137" i="38"/>
  <c r="BC138" i="38"/>
  <c r="BC139" i="38"/>
  <c r="BC140" i="38"/>
  <c r="BC141" i="38"/>
  <c r="BC142" i="38"/>
  <c r="BC143" i="38"/>
  <c r="BC144" i="38"/>
  <c r="BC145" i="38"/>
  <c r="BC146" i="38"/>
  <c r="BC147" i="38"/>
  <c r="BC148" i="38"/>
  <c r="BC149" i="38"/>
  <c r="BC150" i="38"/>
  <c r="BC151" i="38"/>
  <c r="BC152" i="38"/>
  <c r="BC153" i="38"/>
  <c r="BC154" i="38"/>
  <c r="BC155" i="38"/>
  <c r="BC156" i="38"/>
  <c r="BC157" i="38"/>
  <c r="BC158" i="38"/>
  <c r="BC159" i="38"/>
  <c r="BC160" i="38"/>
  <c r="BC161" i="38"/>
  <c r="BC162" i="38"/>
  <c r="BC163" i="38"/>
  <c r="BC164" i="38"/>
  <c r="BC165" i="38"/>
  <c r="BC166" i="38"/>
  <c r="BC167" i="38"/>
  <c r="BC168" i="38"/>
  <c r="BC169" i="38"/>
  <c r="BC170" i="38"/>
  <c r="BC171" i="38"/>
  <c r="BC172" i="38"/>
  <c r="BC173" i="38"/>
  <c r="BC174" i="38"/>
  <c r="BC175" i="38"/>
  <c r="BC176" i="38"/>
  <c r="BC177" i="38"/>
  <c r="BC178" i="38"/>
  <c r="BC179" i="38"/>
  <c r="BC180" i="38"/>
  <c r="BC181" i="38"/>
  <c r="BC182" i="38"/>
  <c r="BC183" i="38"/>
  <c r="BC184" i="38"/>
  <c r="BC185" i="38"/>
  <c r="BC186" i="38"/>
  <c r="BC187" i="38"/>
  <c r="BC188" i="38"/>
  <c r="BC189" i="38"/>
  <c r="BC190" i="38"/>
  <c r="BC191" i="38"/>
  <c r="BC192" i="38"/>
  <c r="BC193" i="38"/>
  <c r="BC194" i="38"/>
  <c r="BC195" i="38"/>
  <c r="BC196" i="38"/>
  <c r="BC197" i="38"/>
  <c r="BC198" i="38"/>
  <c r="BC199" i="38"/>
  <c r="BC200" i="38"/>
  <c r="BC201" i="38"/>
  <c r="BC202" i="38"/>
  <c r="BC203" i="38"/>
  <c r="BC204" i="38"/>
  <c r="BC205" i="38"/>
  <c r="BC206" i="38"/>
  <c r="BC207" i="38"/>
  <c r="BC208" i="38"/>
  <c r="BC209" i="38"/>
  <c r="BC210" i="38"/>
  <c r="BC211" i="38"/>
  <c r="BC212" i="38"/>
  <c r="BC213" i="38"/>
  <c r="BC214" i="38"/>
  <c r="BC215" i="38"/>
  <c r="BC216" i="38"/>
  <c r="BC217" i="38"/>
  <c r="BC218" i="38"/>
  <c r="BC219" i="38"/>
  <c r="BC220" i="38"/>
  <c r="BC221" i="38"/>
  <c r="BC222" i="38"/>
  <c r="BC223" i="38"/>
  <c r="BC224" i="38"/>
  <c r="BC225" i="38"/>
  <c r="BC226" i="38"/>
  <c r="BC227" i="38"/>
  <c r="BC228" i="38"/>
  <c r="BC229" i="38"/>
  <c r="BC230" i="38"/>
  <c r="BC231" i="38"/>
  <c r="BC232" i="38"/>
  <c r="BC233" i="38"/>
  <c r="BC234" i="38"/>
  <c r="BC235" i="38"/>
  <c r="BC236" i="38"/>
  <c r="BC237" i="38"/>
  <c r="BC238" i="38"/>
  <c r="BC239" i="38"/>
  <c r="BC240" i="38"/>
  <c r="BC241" i="38"/>
  <c r="BC242" i="38"/>
  <c r="BC243" i="38"/>
  <c r="BC244" i="38"/>
  <c r="BC245" i="38"/>
  <c r="BC246" i="38"/>
  <c r="BC247" i="38"/>
  <c r="BC248" i="38"/>
  <c r="BC249" i="38"/>
  <c r="BC250" i="38"/>
  <c r="BC251" i="38"/>
  <c r="BC252" i="38"/>
  <c r="BC253" i="38"/>
  <c r="BC254" i="38"/>
  <c r="BC255" i="38"/>
  <c r="BC256" i="38"/>
  <c r="BC257" i="38"/>
  <c r="BC258" i="38"/>
  <c r="BC259" i="38"/>
  <c r="BC260" i="38"/>
  <c r="BC261" i="38"/>
  <c r="BC262" i="38"/>
  <c r="BC263" i="38"/>
  <c r="BC264" i="38"/>
  <c r="BC265" i="38"/>
  <c r="BC266" i="38"/>
  <c r="BC267" i="38"/>
  <c r="BC268" i="38"/>
  <c r="BC269" i="38"/>
  <c r="BC270" i="38"/>
  <c r="BC271" i="38"/>
  <c r="BC272" i="38"/>
  <c r="BC273" i="38"/>
  <c r="BC274" i="38"/>
  <c r="BC275" i="38"/>
  <c r="BC276" i="38"/>
  <c r="BC277" i="38"/>
  <c r="BC278" i="38"/>
  <c r="BC279" i="38"/>
  <c r="BC280" i="38"/>
  <c r="BC281" i="38"/>
  <c r="BC282" i="38"/>
  <c r="BC283" i="38"/>
  <c r="BC284" i="38"/>
  <c r="BC285" i="38"/>
  <c r="BC286" i="38"/>
  <c r="BC287" i="38"/>
  <c r="BC288" i="38"/>
  <c r="BC289" i="38"/>
  <c r="BC290" i="38"/>
  <c r="BC291" i="38"/>
  <c r="BC292" i="38"/>
  <c r="BC293" i="38"/>
  <c r="BC294" i="38"/>
  <c r="BC295" i="38"/>
  <c r="BC296" i="38"/>
  <c r="BC297" i="38"/>
  <c r="BC298" i="38"/>
  <c r="BC299" i="38"/>
  <c r="BC300" i="38"/>
  <c r="BC301" i="38"/>
  <c r="BC302" i="38"/>
  <c r="BC303" i="38"/>
  <c r="BC304" i="38"/>
  <c r="BC305" i="38"/>
  <c r="BC306" i="38"/>
  <c r="BC307" i="38"/>
  <c r="BC308" i="38"/>
  <c r="BC309" i="38"/>
  <c r="BC310" i="38"/>
  <c r="BC311" i="38"/>
  <c r="BC312" i="38"/>
  <c r="BC313" i="38"/>
  <c r="BC314" i="38"/>
  <c r="BC315" i="38"/>
  <c r="BC316" i="38"/>
  <c r="BC317" i="38"/>
  <c r="BC318" i="38"/>
  <c r="BC319" i="38"/>
  <c r="BC320" i="38"/>
  <c r="BC321" i="38"/>
  <c r="BC322" i="38"/>
  <c r="BC323" i="38"/>
  <c r="BC324" i="38"/>
  <c r="BC325" i="38"/>
  <c r="BC326" i="38"/>
  <c r="BC327" i="38"/>
  <c r="BC328" i="38"/>
  <c r="BC329" i="38"/>
  <c r="BC330" i="38"/>
  <c r="BC331" i="38"/>
  <c r="BC332" i="38"/>
  <c r="BC333" i="38"/>
  <c r="BC334" i="38"/>
  <c r="BC335" i="38"/>
  <c r="BC336" i="38"/>
  <c r="BC337" i="38"/>
  <c r="BC338" i="38"/>
  <c r="BC339" i="38"/>
  <c r="BC340" i="38"/>
  <c r="BC341" i="38"/>
  <c r="BC342" i="38"/>
  <c r="BC343" i="38"/>
  <c r="BC344" i="38"/>
  <c r="BC345" i="38"/>
  <c r="BC346" i="38"/>
  <c r="BC347" i="38"/>
  <c r="BC348" i="38"/>
  <c r="BC349" i="38"/>
  <c r="BC350" i="38"/>
  <c r="BC351" i="38"/>
  <c r="BC352" i="38"/>
  <c r="BC353" i="38"/>
  <c r="BC354" i="38"/>
  <c r="BC355" i="38"/>
  <c r="BC356" i="38"/>
  <c r="BC357" i="38"/>
  <c r="BC358" i="38"/>
  <c r="BC359" i="38"/>
  <c r="BC360" i="38"/>
  <c r="BC361" i="38"/>
  <c r="BC362" i="38"/>
  <c r="BC363" i="38"/>
  <c r="BC364" i="38"/>
  <c r="BC365" i="38"/>
  <c r="BC366" i="38"/>
  <c r="BC368" i="38"/>
  <c r="BC369" i="38"/>
  <c r="BC370" i="38"/>
  <c r="BC371" i="38"/>
  <c r="BC372" i="38"/>
  <c r="BC373" i="38"/>
  <c r="BC374" i="38"/>
  <c r="BC375" i="38"/>
  <c r="BC376" i="38"/>
  <c r="BC11" i="38"/>
  <c r="BB12" i="38"/>
  <c r="BB13" i="38"/>
  <c r="BB14" i="38"/>
  <c r="BB15" i="38"/>
  <c r="BB16" i="38"/>
  <c r="BB17" i="38"/>
  <c r="BB18" i="38"/>
  <c r="BB19" i="38"/>
  <c r="BB20" i="38"/>
  <c r="BB21" i="38"/>
  <c r="BB22" i="38"/>
  <c r="BB23" i="38"/>
  <c r="BB24" i="38"/>
  <c r="BB25" i="38"/>
  <c r="BB26" i="38"/>
  <c r="BB27" i="38"/>
  <c r="BB28" i="38"/>
  <c r="BB29" i="38"/>
  <c r="BB30" i="38"/>
  <c r="BB31" i="38"/>
  <c r="BB32" i="38"/>
  <c r="BB33" i="38"/>
  <c r="BB34" i="38"/>
  <c r="BB35" i="38"/>
  <c r="BB36" i="38"/>
  <c r="BB37" i="38"/>
  <c r="BB38" i="38"/>
  <c r="BB39" i="38"/>
  <c r="BB40" i="38"/>
  <c r="BB41" i="38"/>
  <c r="BB42" i="38"/>
  <c r="BB43" i="38"/>
  <c r="BB44" i="38"/>
  <c r="BB45" i="38"/>
  <c r="BB46" i="38"/>
  <c r="BB47" i="38"/>
  <c r="BB48" i="38"/>
  <c r="BB49" i="38"/>
  <c r="BB50" i="38"/>
  <c r="BB51" i="38"/>
  <c r="BB52" i="38"/>
  <c r="BB53" i="38"/>
  <c r="BB54" i="38"/>
  <c r="BB55" i="38"/>
  <c r="BB56" i="38"/>
  <c r="BB57" i="38"/>
  <c r="BB58" i="38"/>
  <c r="BB59" i="38"/>
  <c r="BB60" i="38"/>
  <c r="BB61" i="38"/>
  <c r="BB62" i="38"/>
  <c r="BB63" i="38"/>
  <c r="BB64" i="38"/>
  <c r="BB65" i="38"/>
  <c r="BB66" i="38"/>
  <c r="BB67" i="38"/>
  <c r="BB68" i="38"/>
  <c r="BB69" i="38"/>
  <c r="BB70" i="38"/>
  <c r="BB71" i="38"/>
  <c r="BB72" i="38"/>
  <c r="BB73" i="38"/>
  <c r="BB74" i="38"/>
  <c r="BB75" i="38"/>
  <c r="BB76" i="38"/>
  <c r="BB77" i="38"/>
  <c r="BB78" i="38"/>
  <c r="BB79" i="38"/>
  <c r="BB80" i="38"/>
  <c r="BB81" i="38"/>
  <c r="BB82" i="38"/>
  <c r="BB83" i="38"/>
  <c r="BB84" i="38"/>
  <c r="BB85" i="38"/>
  <c r="BB86" i="38"/>
  <c r="BB87" i="38"/>
  <c r="BB88" i="38"/>
  <c r="BB89" i="38"/>
  <c r="BB90" i="38"/>
  <c r="BB91" i="38"/>
  <c r="BB92" i="38"/>
  <c r="BB93" i="38"/>
  <c r="BB94" i="38"/>
  <c r="BB95" i="38"/>
  <c r="BB96" i="38"/>
  <c r="BB97" i="38"/>
  <c r="BB98" i="38"/>
  <c r="BB99" i="38"/>
  <c r="BB100" i="38"/>
  <c r="BB101" i="38"/>
  <c r="BB102" i="38"/>
  <c r="BB103" i="38"/>
  <c r="BB104" i="38"/>
  <c r="BB105" i="38"/>
  <c r="BB106" i="38"/>
  <c r="BB107" i="38"/>
  <c r="BB108" i="38"/>
  <c r="BB109" i="38"/>
  <c r="BB110" i="38"/>
  <c r="BB111" i="38"/>
  <c r="BB112" i="38"/>
  <c r="BB113" i="38"/>
  <c r="BB114" i="38"/>
  <c r="BB115" i="38"/>
  <c r="BB116" i="38"/>
  <c r="BB117" i="38"/>
  <c r="BB118" i="38"/>
  <c r="BB119" i="38"/>
  <c r="BB120" i="38"/>
  <c r="BB121" i="38"/>
  <c r="BB122" i="38"/>
  <c r="BB123" i="38"/>
  <c r="BB124" i="38"/>
  <c r="BB125" i="38"/>
  <c r="BB126" i="38"/>
  <c r="BB127" i="38"/>
  <c r="BB128" i="38"/>
  <c r="BB129" i="38"/>
  <c r="BB130" i="38"/>
  <c r="BB131" i="38"/>
  <c r="BB132" i="38"/>
  <c r="BB133" i="38"/>
  <c r="BB134" i="38"/>
  <c r="BB135" i="38"/>
  <c r="BB136" i="38"/>
  <c r="BB137" i="38"/>
  <c r="BB138" i="38"/>
  <c r="BB139" i="38"/>
  <c r="BB140" i="38"/>
  <c r="BB141" i="38"/>
  <c r="BB142" i="38"/>
  <c r="BB143" i="38"/>
  <c r="BB144" i="38"/>
  <c r="BB145" i="38"/>
  <c r="BB146" i="38"/>
  <c r="BB147" i="38"/>
  <c r="BB148" i="38"/>
  <c r="BB149" i="38"/>
  <c r="BB150" i="38"/>
  <c r="BB151" i="38"/>
  <c r="BB152" i="38"/>
  <c r="BB153" i="38"/>
  <c r="BB154" i="38"/>
  <c r="BB155" i="38"/>
  <c r="BB156" i="38"/>
  <c r="BB157" i="38"/>
  <c r="BB158" i="38"/>
  <c r="BB159" i="38"/>
  <c r="BB160" i="38"/>
  <c r="BB161" i="38"/>
  <c r="BB162" i="38"/>
  <c r="BB163" i="38"/>
  <c r="BB164" i="38"/>
  <c r="BB165" i="38"/>
  <c r="BB166" i="38"/>
  <c r="BB167" i="38"/>
  <c r="BB168" i="38"/>
  <c r="BB169" i="38"/>
  <c r="BB170" i="38"/>
  <c r="BB171" i="38"/>
  <c r="BB172" i="38"/>
  <c r="BB173" i="38"/>
  <c r="BB174" i="38"/>
  <c r="BB175" i="38"/>
  <c r="BB176" i="38"/>
  <c r="BB177" i="38"/>
  <c r="BB178" i="38"/>
  <c r="BB179" i="38"/>
  <c r="BB180" i="38"/>
  <c r="BB181" i="38"/>
  <c r="BB182" i="38"/>
  <c r="BB183" i="38"/>
  <c r="BB184" i="38"/>
  <c r="BB185" i="38"/>
  <c r="BB186" i="38"/>
  <c r="BB187" i="38"/>
  <c r="BB188" i="38"/>
  <c r="BB189" i="38"/>
  <c r="BB190" i="38"/>
  <c r="BB191" i="38"/>
  <c r="BB192" i="38"/>
  <c r="BB193" i="38"/>
  <c r="BB194" i="38"/>
  <c r="BB195" i="38"/>
  <c r="BB196" i="38"/>
  <c r="BB197" i="38"/>
  <c r="BB198" i="38"/>
  <c r="BB199" i="38"/>
  <c r="BB200" i="38"/>
  <c r="BB201" i="38"/>
  <c r="BB202" i="38"/>
  <c r="BB203" i="38"/>
  <c r="BB204" i="38"/>
  <c r="BB205" i="38"/>
  <c r="BB206" i="38"/>
  <c r="BB207" i="38"/>
  <c r="BB208" i="38"/>
  <c r="BB209" i="38"/>
  <c r="BB210" i="38"/>
  <c r="BB211" i="38"/>
  <c r="BB212" i="38"/>
  <c r="BB213" i="38"/>
  <c r="BB214" i="38"/>
  <c r="BB215" i="38"/>
  <c r="BB216" i="38"/>
  <c r="BB217" i="38"/>
  <c r="BB218" i="38"/>
  <c r="BB219" i="38"/>
  <c r="BB220" i="38"/>
  <c r="BB221" i="38"/>
  <c r="BB222" i="38"/>
  <c r="BB223" i="38"/>
  <c r="BB224" i="38"/>
  <c r="BB225" i="38"/>
  <c r="BB226" i="38"/>
  <c r="BB227" i="38"/>
  <c r="BB228" i="38"/>
  <c r="BB229" i="38"/>
  <c r="BB230" i="38"/>
  <c r="BB231" i="38"/>
  <c r="BB232" i="38"/>
  <c r="BB233" i="38"/>
  <c r="BB234" i="38"/>
  <c r="BB235" i="38"/>
  <c r="BB236" i="38"/>
  <c r="BB237" i="38"/>
  <c r="BB238" i="38"/>
  <c r="BB239" i="38"/>
  <c r="BB240" i="38"/>
  <c r="BB241" i="38"/>
  <c r="BB242" i="38"/>
  <c r="BB243" i="38"/>
  <c r="BB244" i="38"/>
  <c r="BB245" i="38"/>
  <c r="BB246" i="38"/>
  <c r="BB247" i="38"/>
  <c r="BB248" i="38"/>
  <c r="BB249" i="38"/>
  <c r="BB250" i="38"/>
  <c r="BB251" i="38"/>
  <c r="BB252" i="38"/>
  <c r="BB253" i="38"/>
  <c r="BB254" i="38"/>
  <c r="BB255" i="38"/>
  <c r="BB256" i="38"/>
  <c r="BB257" i="38"/>
  <c r="BB258" i="38"/>
  <c r="BB259" i="38"/>
  <c r="BB260" i="38"/>
  <c r="BB261" i="38"/>
  <c r="BB262" i="38"/>
  <c r="BB263" i="38"/>
  <c r="BB264" i="38"/>
  <c r="BB265" i="38"/>
  <c r="BB266" i="38"/>
  <c r="BB267" i="38"/>
  <c r="BB268" i="38"/>
  <c r="BB269" i="38"/>
  <c r="BB270" i="38"/>
  <c r="BB271" i="38"/>
  <c r="BB272" i="38"/>
  <c r="BB273" i="38"/>
  <c r="BB274" i="38"/>
  <c r="BB275" i="38"/>
  <c r="BB276" i="38"/>
  <c r="BB277" i="38"/>
  <c r="BB278" i="38"/>
  <c r="BB279" i="38"/>
  <c r="BB280" i="38"/>
  <c r="BB281" i="38"/>
  <c r="BB282" i="38"/>
  <c r="BB283" i="38"/>
  <c r="BB284" i="38"/>
  <c r="BB285" i="38"/>
  <c r="BB286" i="38"/>
  <c r="BB287" i="38"/>
  <c r="BB288" i="38"/>
  <c r="BB289" i="38"/>
  <c r="BB290" i="38"/>
  <c r="BB291" i="38"/>
  <c r="BB292" i="38"/>
  <c r="BB293" i="38"/>
  <c r="BB294" i="38"/>
  <c r="BB295" i="38"/>
  <c r="BB296" i="38"/>
  <c r="BB297" i="38"/>
  <c r="BB298" i="38"/>
  <c r="BB299" i="38"/>
  <c r="BB300" i="38"/>
  <c r="BB301" i="38"/>
  <c r="BB302" i="38"/>
  <c r="BB303" i="38"/>
  <c r="BB304" i="38"/>
  <c r="BB305" i="38"/>
  <c r="BB306" i="38"/>
  <c r="BB307" i="38"/>
  <c r="BB308" i="38"/>
  <c r="BB309" i="38"/>
  <c r="BB310" i="38"/>
  <c r="BB311" i="38"/>
  <c r="BB312" i="38"/>
  <c r="BB313" i="38"/>
  <c r="BB314" i="38"/>
  <c r="BB315" i="38"/>
  <c r="BB316" i="38"/>
  <c r="BB317" i="38"/>
  <c r="BB318" i="38"/>
  <c r="BB319" i="38"/>
  <c r="BB320" i="38"/>
  <c r="BB321" i="38"/>
  <c r="BB322" i="38"/>
  <c r="BB323" i="38"/>
  <c r="BB324" i="38"/>
  <c r="BB325" i="38"/>
  <c r="BB326" i="38"/>
  <c r="BB327" i="38"/>
  <c r="BB328" i="38"/>
  <c r="BB329" i="38"/>
  <c r="BB330" i="38"/>
  <c r="BB331" i="38"/>
  <c r="BB332" i="38"/>
  <c r="BB333" i="38"/>
  <c r="BB334" i="38"/>
  <c r="BB335" i="38"/>
  <c r="BB336" i="38"/>
  <c r="BB337" i="38"/>
  <c r="BB338" i="38"/>
  <c r="BB339" i="38"/>
  <c r="BB340" i="38"/>
  <c r="BB341" i="38"/>
  <c r="BB342" i="38"/>
  <c r="BB343" i="38"/>
  <c r="BB344" i="38"/>
  <c r="BB345" i="38"/>
  <c r="BB346" i="38"/>
  <c r="BB347" i="38"/>
  <c r="BB348" i="38"/>
  <c r="BB349" i="38"/>
  <c r="BB350" i="38"/>
  <c r="BB351" i="38"/>
  <c r="BB352" i="38"/>
  <c r="BB353" i="38"/>
  <c r="BB354" i="38"/>
  <c r="BB355" i="38"/>
  <c r="BB356" i="38"/>
  <c r="BB357" i="38"/>
  <c r="BB358" i="38"/>
  <c r="BB359" i="38"/>
  <c r="BB360" i="38"/>
  <c r="BB361" i="38"/>
  <c r="BB362" i="38"/>
  <c r="BB363" i="38"/>
  <c r="BB364" i="38"/>
  <c r="BB365" i="38"/>
  <c r="BB366" i="38"/>
  <c r="BB367" i="38"/>
  <c r="BB368" i="38"/>
  <c r="BB369" i="38"/>
  <c r="BB370" i="38"/>
  <c r="BB371" i="38"/>
  <c r="BB372" i="38"/>
  <c r="BB373" i="38"/>
  <c r="BB374" i="38"/>
  <c r="BB375" i="38"/>
  <c r="BB376" i="38"/>
  <c r="BB11" i="38"/>
  <c r="BA12" i="38"/>
  <c r="BA13" i="38"/>
  <c r="BA14" i="38"/>
  <c r="BA15" i="38"/>
  <c r="BA16" i="38"/>
  <c r="BA17" i="38"/>
  <c r="BA18" i="38"/>
  <c r="BA19" i="38"/>
  <c r="BA20" i="38"/>
  <c r="BA21" i="38"/>
  <c r="BA22" i="38"/>
  <c r="BA23" i="38"/>
  <c r="BA24" i="38"/>
  <c r="BA25" i="38"/>
  <c r="BA26" i="38"/>
  <c r="BA27" i="38"/>
  <c r="BA28" i="38"/>
  <c r="BA29" i="38"/>
  <c r="BA30" i="38"/>
  <c r="BA31" i="38"/>
  <c r="BA32" i="38"/>
  <c r="BA33" i="38"/>
  <c r="BA34" i="38"/>
  <c r="BA35" i="38"/>
  <c r="BA36" i="38"/>
  <c r="BA37" i="38"/>
  <c r="BA38" i="38"/>
  <c r="BA39" i="38"/>
  <c r="BA40" i="38"/>
  <c r="BA41" i="38"/>
  <c r="BA42" i="38"/>
  <c r="BA43" i="38"/>
  <c r="BA44" i="38"/>
  <c r="BA45" i="38"/>
  <c r="BA46" i="38"/>
  <c r="BA47" i="38"/>
  <c r="BA48" i="38"/>
  <c r="BA49" i="38"/>
  <c r="BA50" i="38"/>
  <c r="BA51" i="38"/>
  <c r="BA52" i="38"/>
  <c r="BA53" i="38"/>
  <c r="BA54" i="38"/>
  <c r="BA55" i="38"/>
  <c r="BA56" i="38"/>
  <c r="BA57" i="38"/>
  <c r="BA58" i="38"/>
  <c r="BA59" i="38"/>
  <c r="BA60" i="38"/>
  <c r="BA61" i="38"/>
  <c r="BA62" i="38"/>
  <c r="BA63" i="38"/>
  <c r="BA64" i="38"/>
  <c r="BA65" i="38"/>
  <c r="BA66" i="38"/>
  <c r="BA67" i="38"/>
  <c r="BA68" i="38"/>
  <c r="BA69" i="38"/>
  <c r="BA70" i="38"/>
  <c r="BA71" i="38"/>
  <c r="BA72" i="38"/>
  <c r="BA73" i="38"/>
  <c r="BA74" i="38"/>
  <c r="BA75" i="38"/>
  <c r="BA76" i="38"/>
  <c r="BA77" i="38"/>
  <c r="BA78" i="38"/>
  <c r="BA79" i="38"/>
  <c r="BA80" i="38"/>
  <c r="BA81" i="38"/>
  <c r="BA82" i="38"/>
  <c r="BA83" i="38"/>
  <c r="BA84" i="38"/>
  <c r="BA85" i="38"/>
  <c r="BA86" i="38"/>
  <c r="BA87" i="38"/>
  <c r="BA88" i="38"/>
  <c r="BA89" i="38"/>
  <c r="BA90" i="38"/>
  <c r="BA91" i="38"/>
  <c r="BA92" i="38"/>
  <c r="BA93" i="38"/>
  <c r="BA94" i="38"/>
  <c r="BA95" i="38"/>
  <c r="BA96" i="38"/>
  <c r="BA97" i="38"/>
  <c r="BA98" i="38"/>
  <c r="BA99" i="38"/>
  <c r="BA100" i="38"/>
  <c r="BA101" i="38"/>
  <c r="BA102" i="38"/>
  <c r="BA103" i="38"/>
  <c r="BA104" i="38"/>
  <c r="BA105" i="38"/>
  <c r="BA106" i="38"/>
  <c r="BA107" i="38"/>
  <c r="BA108" i="38"/>
  <c r="BA109" i="38"/>
  <c r="BA110" i="38"/>
  <c r="BA111" i="38"/>
  <c r="BA112" i="38"/>
  <c r="BA113" i="38"/>
  <c r="BA114" i="38"/>
  <c r="BA115" i="38"/>
  <c r="BA116" i="38"/>
  <c r="BA117" i="38"/>
  <c r="BA118" i="38"/>
  <c r="BA119" i="38"/>
  <c r="BA120" i="38"/>
  <c r="BA121" i="38"/>
  <c r="BA122" i="38"/>
  <c r="BA123" i="38"/>
  <c r="BA124" i="38"/>
  <c r="BA125" i="38"/>
  <c r="BA126" i="38"/>
  <c r="BA127" i="38"/>
  <c r="BA128" i="38"/>
  <c r="BA129" i="38"/>
  <c r="BA130" i="38"/>
  <c r="BA131" i="38"/>
  <c r="BA132" i="38"/>
  <c r="BA133" i="38"/>
  <c r="BA134" i="38"/>
  <c r="BA135" i="38"/>
  <c r="BA136" i="38"/>
  <c r="BA137" i="38"/>
  <c r="BA138" i="38"/>
  <c r="BA139" i="38"/>
  <c r="BA140" i="38"/>
  <c r="BA141" i="38"/>
  <c r="BA142" i="38"/>
  <c r="BA143" i="38"/>
  <c r="BA144" i="38"/>
  <c r="BA145" i="38"/>
  <c r="BA146" i="38"/>
  <c r="BA147" i="38"/>
  <c r="BA148" i="38"/>
  <c r="BA149" i="38"/>
  <c r="BA150" i="38"/>
  <c r="BA151" i="38"/>
  <c r="BA152" i="38"/>
  <c r="BA153" i="38"/>
  <c r="BA154" i="38"/>
  <c r="BA155" i="38"/>
  <c r="BA156" i="38"/>
  <c r="BA157" i="38"/>
  <c r="BA158" i="38"/>
  <c r="BA159" i="38"/>
  <c r="BA160" i="38"/>
  <c r="BA161" i="38"/>
  <c r="BA162" i="38"/>
  <c r="BA163" i="38"/>
  <c r="BA164" i="38"/>
  <c r="BA165" i="38"/>
  <c r="BA166" i="38"/>
  <c r="BA167" i="38"/>
  <c r="BA168" i="38"/>
  <c r="BA169" i="38"/>
  <c r="BA170" i="38"/>
  <c r="BA171" i="38"/>
  <c r="BA172" i="38"/>
  <c r="BA173" i="38"/>
  <c r="BA174" i="38"/>
  <c r="BA175" i="38"/>
  <c r="BA176" i="38"/>
  <c r="BA177" i="38"/>
  <c r="BA178" i="38"/>
  <c r="BA179" i="38"/>
  <c r="BA180" i="38"/>
  <c r="BA181" i="38"/>
  <c r="BA182" i="38"/>
  <c r="BA183" i="38"/>
  <c r="BA184" i="38"/>
  <c r="BA185" i="38"/>
  <c r="BA186" i="38"/>
  <c r="BA187" i="38"/>
  <c r="BA188" i="38"/>
  <c r="BA189" i="38"/>
  <c r="BA190" i="38"/>
  <c r="BA191" i="38"/>
  <c r="BA192" i="38"/>
  <c r="BA193" i="38"/>
  <c r="BA194" i="38"/>
  <c r="BA195" i="38"/>
  <c r="BA196" i="38"/>
  <c r="BA197" i="38"/>
  <c r="BA198" i="38"/>
  <c r="BA199" i="38"/>
  <c r="BA200" i="38"/>
  <c r="BA201" i="38"/>
  <c r="BA202" i="38"/>
  <c r="BA203" i="38"/>
  <c r="BA204" i="38"/>
  <c r="BA205" i="38"/>
  <c r="BA206" i="38"/>
  <c r="BA207" i="38"/>
  <c r="BA208" i="38"/>
  <c r="BA209" i="38"/>
  <c r="BA210" i="38"/>
  <c r="BA211" i="38"/>
  <c r="BA212" i="38"/>
  <c r="BA213" i="38"/>
  <c r="BA214" i="38"/>
  <c r="BA215" i="38"/>
  <c r="BA216" i="38"/>
  <c r="BA217" i="38"/>
  <c r="BA218" i="38"/>
  <c r="BA219" i="38"/>
  <c r="BA220" i="38"/>
  <c r="BA221" i="38"/>
  <c r="BA222" i="38"/>
  <c r="BA223" i="38"/>
  <c r="BA224" i="38"/>
  <c r="BA225" i="38"/>
  <c r="BA226" i="38"/>
  <c r="BA227" i="38"/>
  <c r="BA228" i="38"/>
  <c r="BA229" i="38"/>
  <c r="BA230" i="38"/>
  <c r="BA231" i="38"/>
  <c r="BA232" i="38"/>
  <c r="BA233" i="38"/>
  <c r="BA234" i="38"/>
  <c r="BA235" i="38"/>
  <c r="BA236" i="38"/>
  <c r="BA237" i="38"/>
  <c r="BA238" i="38"/>
  <c r="BA239" i="38"/>
  <c r="BA240" i="38"/>
  <c r="BA241" i="38"/>
  <c r="BA242" i="38"/>
  <c r="BA243" i="38"/>
  <c r="BA244" i="38"/>
  <c r="BA245" i="38"/>
  <c r="BA246" i="38"/>
  <c r="BA247" i="38"/>
  <c r="BA248" i="38"/>
  <c r="BA249" i="38"/>
  <c r="BA250" i="38"/>
  <c r="BA251" i="38"/>
  <c r="BA252" i="38"/>
  <c r="BA253" i="38"/>
  <c r="BA254" i="38"/>
  <c r="BA255" i="38"/>
  <c r="BA256" i="38"/>
  <c r="BA257" i="38"/>
  <c r="BA258" i="38"/>
  <c r="BA259" i="38"/>
  <c r="BA260" i="38"/>
  <c r="BA261" i="38"/>
  <c r="BA262" i="38"/>
  <c r="BA263" i="38"/>
  <c r="BA264" i="38"/>
  <c r="BA265" i="38"/>
  <c r="BA266" i="38"/>
  <c r="BA267" i="38"/>
  <c r="BA268" i="38"/>
  <c r="BA269" i="38"/>
  <c r="BA270" i="38"/>
  <c r="BA271" i="38"/>
  <c r="BA272" i="38"/>
  <c r="BA273" i="38"/>
  <c r="BA274" i="38"/>
  <c r="BA275" i="38"/>
  <c r="BA276" i="38"/>
  <c r="BA277" i="38"/>
  <c r="BA278" i="38"/>
  <c r="BA279" i="38"/>
  <c r="BA280" i="38"/>
  <c r="BA281" i="38"/>
  <c r="BA282" i="38"/>
  <c r="BA283" i="38"/>
  <c r="BA284" i="38"/>
  <c r="BA285" i="38"/>
  <c r="BA286" i="38"/>
  <c r="BA287" i="38"/>
  <c r="BA288" i="38"/>
  <c r="BA289" i="38"/>
  <c r="BA290" i="38"/>
  <c r="BA291" i="38"/>
  <c r="BA292" i="38"/>
  <c r="BA293" i="38"/>
  <c r="BA294" i="38"/>
  <c r="BA295" i="38"/>
  <c r="BA296" i="38"/>
  <c r="BA297" i="38"/>
  <c r="BA298" i="38"/>
  <c r="BA299" i="38"/>
  <c r="BA300" i="38"/>
  <c r="BA301" i="38"/>
  <c r="BA302" i="38"/>
  <c r="BA303" i="38"/>
  <c r="BA304" i="38"/>
  <c r="BA305" i="38"/>
  <c r="BA306" i="38"/>
  <c r="BA307" i="38"/>
  <c r="BA308" i="38"/>
  <c r="BA309" i="38"/>
  <c r="BA310" i="38"/>
  <c r="BA311" i="38"/>
  <c r="BA312" i="38"/>
  <c r="BA313" i="38"/>
  <c r="BA314" i="38"/>
  <c r="BA315" i="38"/>
  <c r="BA316" i="38"/>
  <c r="BA317" i="38"/>
  <c r="BA318" i="38"/>
  <c r="BA319" i="38"/>
  <c r="BA320" i="38"/>
  <c r="BA321" i="38"/>
  <c r="BA322" i="38"/>
  <c r="BA323" i="38"/>
  <c r="BA324" i="38"/>
  <c r="BA325" i="38"/>
  <c r="BA326" i="38"/>
  <c r="BA327" i="38"/>
  <c r="BA328" i="38"/>
  <c r="BA329" i="38"/>
  <c r="BA330" i="38"/>
  <c r="BA331" i="38"/>
  <c r="BA332" i="38"/>
  <c r="BA333" i="38"/>
  <c r="BA334" i="38"/>
  <c r="BA335" i="38"/>
  <c r="BA336" i="38"/>
  <c r="BA337" i="38"/>
  <c r="BA338" i="38"/>
  <c r="BA339" i="38"/>
  <c r="BA340" i="38"/>
  <c r="BA341" i="38"/>
  <c r="BA342" i="38"/>
  <c r="BA343" i="38"/>
  <c r="BA344" i="38"/>
  <c r="BA345" i="38"/>
  <c r="BA346" i="38"/>
  <c r="BA347" i="38"/>
  <c r="BA348" i="38"/>
  <c r="BA349" i="38"/>
  <c r="BA350" i="38"/>
  <c r="BA351" i="38"/>
  <c r="BA352" i="38"/>
  <c r="BA353" i="38"/>
  <c r="BA354" i="38"/>
  <c r="BA355" i="38"/>
  <c r="BA356" i="38"/>
  <c r="BA357" i="38"/>
  <c r="BA358" i="38"/>
  <c r="BA359" i="38"/>
  <c r="BA360" i="38"/>
  <c r="BA361" i="38"/>
  <c r="BA362" i="38"/>
  <c r="BA363" i="38"/>
  <c r="BA364" i="38"/>
  <c r="BA365" i="38"/>
  <c r="BA366" i="38"/>
  <c r="BA367" i="38"/>
  <c r="BA368" i="38"/>
  <c r="BA369" i="38"/>
  <c r="BA370" i="38"/>
  <c r="BA371" i="38"/>
  <c r="BA372" i="38"/>
  <c r="BA373" i="38"/>
  <c r="BA374" i="38"/>
  <c r="BA375" i="38"/>
  <c r="BA376" i="38"/>
  <c r="BA11" i="38"/>
  <c r="AZ12" i="38"/>
  <c r="AZ13" i="38"/>
  <c r="AZ14" i="38"/>
  <c r="AZ15" i="38"/>
  <c r="AZ16" i="38"/>
  <c r="AZ17" i="38"/>
  <c r="AZ18" i="38"/>
  <c r="AZ19" i="38"/>
  <c r="AZ20" i="38"/>
  <c r="AZ21" i="38"/>
  <c r="AZ22" i="38"/>
  <c r="AZ23" i="38"/>
  <c r="AZ24" i="38"/>
  <c r="AZ25" i="38"/>
  <c r="AZ26" i="38"/>
  <c r="AZ27" i="38"/>
  <c r="AZ28" i="38"/>
  <c r="AZ29" i="38"/>
  <c r="AZ30" i="38"/>
  <c r="AZ31" i="38"/>
  <c r="AZ32" i="38"/>
  <c r="AZ33" i="38"/>
  <c r="AZ34" i="38"/>
  <c r="AZ35" i="38"/>
  <c r="AZ36" i="38"/>
  <c r="AZ37" i="38"/>
  <c r="AZ38" i="38"/>
  <c r="AZ39" i="38"/>
  <c r="AZ40" i="38"/>
  <c r="AZ41" i="38"/>
  <c r="AZ42" i="38"/>
  <c r="AZ43" i="38"/>
  <c r="AZ44" i="38"/>
  <c r="AZ45" i="38"/>
  <c r="AZ46" i="38"/>
  <c r="AZ47" i="38"/>
  <c r="AZ48" i="38"/>
  <c r="AZ49" i="38"/>
  <c r="AZ50" i="38"/>
  <c r="AZ51" i="38"/>
  <c r="AZ52" i="38"/>
  <c r="AZ53" i="38"/>
  <c r="AZ54" i="38"/>
  <c r="AZ55" i="38"/>
  <c r="AZ56" i="38"/>
  <c r="AZ57" i="38"/>
  <c r="AZ58" i="38"/>
  <c r="AZ59" i="38"/>
  <c r="AZ60" i="38"/>
  <c r="AZ61" i="38"/>
  <c r="AZ62" i="38"/>
  <c r="AZ63" i="38"/>
  <c r="AZ64" i="38"/>
  <c r="AZ65" i="38"/>
  <c r="AZ66" i="38"/>
  <c r="AZ67" i="38"/>
  <c r="AZ68" i="38"/>
  <c r="AZ69" i="38"/>
  <c r="AZ70" i="38"/>
  <c r="AZ71" i="38"/>
  <c r="AZ72" i="38"/>
  <c r="AZ73" i="38"/>
  <c r="AZ74" i="38"/>
  <c r="AZ75" i="38"/>
  <c r="AZ76" i="38"/>
  <c r="AZ77" i="38"/>
  <c r="AZ78" i="38"/>
  <c r="AZ79" i="38"/>
  <c r="AZ80" i="38"/>
  <c r="AZ81" i="38"/>
  <c r="AZ82" i="38"/>
  <c r="AZ83" i="38"/>
  <c r="AZ84" i="38"/>
  <c r="AZ85" i="38"/>
  <c r="AZ86" i="38"/>
  <c r="AZ87" i="38"/>
  <c r="AZ88" i="38"/>
  <c r="AZ89" i="38"/>
  <c r="AZ90" i="38"/>
  <c r="AZ91" i="38"/>
  <c r="AZ92" i="38"/>
  <c r="AZ93" i="38"/>
  <c r="AZ94" i="38"/>
  <c r="AZ95" i="38"/>
  <c r="AZ96" i="38"/>
  <c r="AZ97" i="38"/>
  <c r="AZ98" i="38"/>
  <c r="AZ99" i="38"/>
  <c r="AZ100" i="38"/>
  <c r="AZ101" i="38"/>
  <c r="AZ102" i="38"/>
  <c r="AZ103" i="38"/>
  <c r="AZ104" i="38"/>
  <c r="AZ105" i="38"/>
  <c r="AZ106" i="38"/>
  <c r="AZ107" i="38"/>
  <c r="AZ108" i="38"/>
  <c r="AZ109" i="38"/>
  <c r="AZ110" i="38"/>
  <c r="AZ111" i="38"/>
  <c r="AZ112" i="38"/>
  <c r="AZ113" i="38"/>
  <c r="AZ114" i="38"/>
  <c r="AZ115" i="38"/>
  <c r="AZ116" i="38"/>
  <c r="AZ117" i="38"/>
  <c r="AZ118" i="38"/>
  <c r="AZ119" i="38"/>
  <c r="AZ120" i="38"/>
  <c r="AZ121" i="38"/>
  <c r="AZ122" i="38"/>
  <c r="AZ123" i="38"/>
  <c r="AZ124" i="38"/>
  <c r="AZ125" i="38"/>
  <c r="AZ126" i="38"/>
  <c r="AZ127" i="38"/>
  <c r="AZ128" i="38"/>
  <c r="AZ129" i="38"/>
  <c r="AZ130" i="38"/>
  <c r="AZ131" i="38"/>
  <c r="AZ132" i="38"/>
  <c r="AZ133" i="38"/>
  <c r="AZ134" i="38"/>
  <c r="AZ135" i="38"/>
  <c r="AZ136" i="38"/>
  <c r="AZ137" i="38"/>
  <c r="AZ138" i="38"/>
  <c r="AZ139" i="38"/>
  <c r="AZ140" i="38"/>
  <c r="AZ141" i="38"/>
  <c r="AZ142" i="38"/>
  <c r="AZ143" i="38"/>
  <c r="AZ144" i="38"/>
  <c r="AZ145" i="38"/>
  <c r="AZ146" i="38"/>
  <c r="AZ147" i="38"/>
  <c r="AZ148" i="38"/>
  <c r="AZ149" i="38"/>
  <c r="AZ150" i="38"/>
  <c r="AZ151" i="38"/>
  <c r="AZ152" i="38"/>
  <c r="AZ153" i="38"/>
  <c r="AZ154" i="38"/>
  <c r="AZ155" i="38"/>
  <c r="AZ156" i="38"/>
  <c r="AZ157" i="38"/>
  <c r="AZ158" i="38"/>
  <c r="AZ159" i="38"/>
  <c r="AZ160" i="38"/>
  <c r="AZ161" i="38"/>
  <c r="AZ162" i="38"/>
  <c r="AZ163" i="38"/>
  <c r="AZ164" i="38"/>
  <c r="AZ165" i="38"/>
  <c r="AZ166" i="38"/>
  <c r="AZ167" i="38"/>
  <c r="AZ168" i="38"/>
  <c r="AZ169" i="38"/>
  <c r="AZ170" i="38"/>
  <c r="AZ171" i="38"/>
  <c r="AZ172" i="38"/>
  <c r="AZ173" i="38"/>
  <c r="AZ174" i="38"/>
  <c r="AZ175" i="38"/>
  <c r="AZ176" i="38"/>
  <c r="AZ177" i="38"/>
  <c r="AZ178" i="38"/>
  <c r="AZ179" i="38"/>
  <c r="AZ180" i="38"/>
  <c r="AZ181" i="38"/>
  <c r="AZ182" i="38"/>
  <c r="AZ183" i="38"/>
  <c r="AZ184" i="38"/>
  <c r="AZ185" i="38"/>
  <c r="AZ186" i="38"/>
  <c r="AZ187" i="38"/>
  <c r="AZ188" i="38"/>
  <c r="AZ189" i="38"/>
  <c r="AZ190" i="38"/>
  <c r="AZ191" i="38"/>
  <c r="AZ192" i="38"/>
  <c r="AZ193" i="38"/>
  <c r="AZ194" i="38"/>
  <c r="AZ195" i="38"/>
  <c r="AZ196" i="38"/>
  <c r="AZ197" i="38"/>
  <c r="AZ198" i="38"/>
  <c r="AZ199" i="38"/>
  <c r="AZ200" i="38"/>
  <c r="AZ201" i="38"/>
  <c r="AZ202" i="38"/>
  <c r="AZ203" i="38"/>
  <c r="AZ204" i="38"/>
  <c r="AZ205" i="38"/>
  <c r="AZ206" i="38"/>
  <c r="AZ207" i="38"/>
  <c r="AZ208" i="38"/>
  <c r="AZ209" i="38"/>
  <c r="AZ210" i="38"/>
  <c r="AZ211" i="38"/>
  <c r="AZ212" i="38"/>
  <c r="AZ213" i="38"/>
  <c r="AZ214" i="38"/>
  <c r="AZ215" i="38"/>
  <c r="AZ216" i="38"/>
  <c r="AZ217" i="38"/>
  <c r="AZ218" i="38"/>
  <c r="AZ219" i="38"/>
  <c r="AZ220" i="38"/>
  <c r="AZ221" i="38"/>
  <c r="AZ222" i="38"/>
  <c r="AZ223" i="38"/>
  <c r="AZ224" i="38"/>
  <c r="AZ225" i="38"/>
  <c r="AZ226" i="38"/>
  <c r="AZ227" i="38"/>
  <c r="AZ228" i="38"/>
  <c r="AZ229" i="38"/>
  <c r="AZ230" i="38"/>
  <c r="AZ231" i="38"/>
  <c r="AZ232" i="38"/>
  <c r="AZ233" i="38"/>
  <c r="AZ234" i="38"/>
  <c r="AZ235" i="38"/>
  <c r="AZ236" i="38"/>
  <c r="AZ237" i="38"/>
  <c r="AZ238" i="38"/>
  <c r="AZ239" i="38"/>
  <c r="AZ240" i="38"/>
  <c r="AZ241" i="38"/>
  <c r="AZ242" i="38"/>
  <c r="AZ243" i="38"/>
  <c r="AZ244" i="38"/>
  <c r="AZ245" i="38"/>
  <c r="AZ246" i="38"/>
  <c r="AZ247" i="38"/>
  <c r="AZ248" i="38"/>
  <c r="AZ249" i="38"/>
  <c r="AZ250" i="38"/>
  <c r="AZ251" i="38"/>
  <c r="AZ252" i="38"/>
  <c r="AZ253" i="38"/>
  <c r="AZ254" i="38"/>
  <c r="AZ255" i="38"/>
  <c r="AZ256" i="38"/>
  <c r="AZ257" i="38"/>
  <c r="AZ258" i="38"/>
  <c r="AZ259" i="38"/>
  <c r="AZ260" i="38"/>
  <c r="AZ261" i="38"/>
  <c r="AZ262" i="38"/>
  <c r="AZ263" i="38"/>
  <c r="AZ264" i="38"/>
  <c r="AZ265" i="38"/>
  <c r="AZ266" i="38"/>
  <c r="AZ267" i="38"/>
  <c r="AZ268" i="38"/>
  <c r="AZ269" i="38"/>
  <c r="AZ270" i="38"/>
  <c r="AZ271" i="38"/>
  <c r="AZ272" i="38"/>
  <c r="AZ273" i="38"/>
  <c r="AZ274" i="38"/>
  <c r="AZ275" i="38"/>
  <c r="AZ276" i="38"/>
  <c r="AZ277" i="38"/>
  <c r="AZ278" i="38"/>
  <c r="AZ279" i="38"/>
  <c r="AZ280" i="38"/>
  <c r="AZ281" i="38"/>
  <c r="AZ282" i="38"/>
  <c r="AZ283" i="38"/>
  <c r="AZ284" i="38"/>
  <c r="AZ285" i="38"/>
  <c r="AZ286" i="38"/>
  <c r="AZ287" i="38"/>
  <c r="AZ288" i="38"/>
  <c r="AZ289" i="38"/>
  <c r="AZ290" i="38"/>
  <c r="AZ291" i="38"/>
  <c r="AZ292" i="38"/>
  <c r="AZ293" i="38"/>
  <c r="AZ294" i="38"/>
  <c r="AZ295" i="38"/>
  <c r="AZ296" i="38"/>
  <c r="AZ297" i="38"/>
  <c r="AZ298" i="38"/>
  <c r="AZ299" i="38"/>
  <c r="AZ300" i="38"/>
  <c r="AZ301" i="38"/>
  <c r="AZ302" i="38"/>
  <c r="AZ303" i="38"/>
  <c r="AZ304" i="38"/>
  <c r="AZ305" i="38"/>
  <c r="AZ306" i="38"/>
  <c r="AZ307" i="38"/>
  <c r="AZ308" i="38"/>
  <c r="AZ309" i="38"/>
  <c r="AZ310" i="38"/>
  <c r="AZ311" i="38"/>
  <c r="AZ312" i="38"/>
  <c r="AZ313" i="38"/>
  <c r="AZ314" i="38"/>
  <c r="AZ315" i="38"/>
  <c r="AZ316" i="38"/>
  <c r="AZ317" i="38"/>
  <c r="AZ318" i="38"/>
  <c r="AZ319" i="38"/>
  <c r="AZ320" i="38"/>
  <c r="AZ321" i="38"/>
  <c r="AZ322" i="38"/>
  <c r="AZ323" i="38"/>
  <c r="AZ324" i="38"/>
  <c r="AZ325" i="38"/>
  <c r="AZ326" i="38"/>
  <c r="AZ327" i="38"/>
  <c r="AZ328" i="38"/>
  <c r="AZ329" i="38"/>
  <c r="AZ330" i="38"/>
  <c r="AZ331" i="38"/>
  <c r="AZ332" i="38"/>
  <c r="AZ333" i="38"/>
  <c r="AZ334" i="38"/>
  <c r="AZ335" i="38"/>
  <c r="AZ336" i="38"/>
  <c r="AZ337" i="38"/>
  <c r="AZ338" i="38"/>
  <c r="AZ339" i="38"/>
  <c r="AZ340" i="38"/>
  <c r="AZ341" i="38"/>
  <c r="AZ342" i="38"/>
  <c r="AZ343" i="38"/>
  <c r="AZ344" i="38"/>
  <c r="AZ345" i="38"/>
  <c r="AZ346" i="38"/>
  <c r="AZ347" i="38"/>
  <c r="AZ348" i="38"/>
  <c r="AZ349" i="38"/>
  <c r="AZ350" i="38"/>
  <c r="AZ351" i="38"/>
  <c r="AZ352" i="38"/>
  <c r="AZ353" i="38"/>
  <c r="AZ354" i="38"/>
  <c r="AZ355" i="38"/>
  <c r="AZ356" i="38"/>
  <c r="AZ357" i="38"/>
  <c r="AZ358" i="38"/>
  <c r="AZ359" i="38"/>
  <c r="AZ360" i="38"/>
  <c r="AZ361" i="38"/>
  <c r="AZ362" i="38"/>
  <c r="AZ363" i="38"/>
  <c r="AZ364" i="38"/>
  <c r="AZ365" i="38"/>
  <c r="AZ366" i="38"/>
  <c r="AZ367" i="38"/>
  <c r="AZ368" i="38"/>
  <c r="AZ369" i="38"/>
  <c r="AZ370" i="38"/>
  <c r="AZ371" i="38"/>
  <c r="AZ372" i="38"/>
  <c r="AZ373" i="38"/>
  <c r="AZ374" i="38"/>
  <c r="AZ375" i="38"/>
  <c r="AZ376" i="38"/>
  <c r="AZ11" i="38"/>
  <c r="AY12" i="38"/>
  <c r="BF12" i="38" s="1"/>
  <c r="AY13" i="38"/>
  <c r="BF13" i="38" s="1"/>
  <c r="AY15" i="38"/>
  <c r="AY16" i="38"/>
  <c r="BF16" i="38" s="1"/>
  <c r="AY17" i="38"/>
  <c r="BF17" i="38" s="1"/>
  <c r="AY18" i="38"/>
  <c r="BF18" i="38" s="1"/>
  <c r="AY19" i="38"/>
  <c r="BF19" i="38" s="1"/>
  <c r="AY20" i="38"/>
  <c r="BF20" i="38" s="1"/>
  <c r="AY21" i="38"/>
  <c r="BF21" i="38" s="1"/>
  <c r="AY22" i="38"/>
  <c r="BF22" i="38" s="1"/>
  <c r="AY23" i="38"/>
  <c r="BF23" i="38" s="1"/>
  <c r="AY24" i="38"/>
  <c r="BF24" i="38" s="1"/>
  <c r="AY25" i="38"/>
  <c r="BF25" i="38" s="1"/>
  <c r="AY26" i="38"/>
  <c r="BF26" i="38" s="1"/>
  <c r="AY27" i="38"/>
  <c r="BF27" i="38" s="1"/>
  <c r="AY28" i="38"/>
  <c r="BF28" i="38" s="1"/>
  <c r="AY29" i="38"/>
  <c r="BF29" i="38" s="1"/>
  <c r="AY30" i="38"/>
  <c r="BF30" i="38" s="1"/>
  <c r="AY31" i="38"/>
  <c r="BF31" i="38" s="1"/>
  <c r="AY32" i="38"/>
  <c r="BF32" i="38" s="1"/>
  <c r="AY33" i="38"/>
  <c r="BF33" i="38" s="1"/>
  <c r="AY34" i="38"/>
  <c r="BF34" i="38" s="1"/>
  <c r="AY35" i="38"/>
  <c r="BF35" i="38" s="1"/>
  <c r="AY36" i="38"/>
  <c r="BF36" i="38" s="1"/>
  <c r="AY37" i="38"/>
  <c r="BF37" i="38" s="1"/>
  <c r="AY38" i="38"/>
  <c r="BF38" i="38" s="1"/>
  <c r="AY39" i="38"/>
  <c r="BF39" i="38" s="1"/>
  <c r="AY40" i="38"/>
  <c r="BF40" i="38" s="1"/>
  <c r="AY41" i="38"/>
  <c r="BF41" i="38" s="1"/>
  <c r="AY42" i="38"/>
  <c r="BF42" i="38" s="1"/>
  <c r="AY43" i="38"/>
  <c r="BF43" i="38" s="1"/>
  <c r="AY44" i="38"/>
  <c r="BF44" i="38" s="1"/>
  <c r="AY45" i="38"/>
  <c r="BF45" i="38" s="1"/>
  <c r="AY46" i="38"/>
  <c r="BF46" i="38" s="1"/>
  <c r="AY47" i="38"/>
  <c r="BF47" i="38" s="1"/>
  <c r="AY48" i="38"/>
  <c r="BF48" i="38" s="1"/>
  <c r="AY49" i="38"/>
  <c r="BF49" i="38" s="1"/>
  <c r="AY50" i="38"/>
  <c r="BF50" i="38" s="1"/>
  <c r="AY51" i="38"/>
  <c r="BF51" i="38" s="1"/>
  <c r="AY52" i="38"/>
  <c r="BF52" i="38" s="1"/>
  <c r="AY53" i="38"/>
  <c r="BF53" i="38" s="1"/>
  <c r="AY54" i="38"/>
  <c r="BF54" i="38" s="1"/>
  <c r="AY55" i="38"/>
  <c r="BF55" i="38" s="1"/>
  <c r="AY56" i="38"/>
  <c r="BF56" i="38" s="1"/>
  <c r="AY57" i="38"/>
  <c r="BF57" i="38" s="1"/>
  <c r="AY58" i="38"/>
  <c r="BF58" i="38" s="1"/>
  <c r="AY59" i="38"/>
  <c r="BF59" i="38" s="1"/>
  <c r="AY60" i="38"/>
  <c r="BF60" i="38" s="1"/>
  <c r="AY61" i="38"/>
  <c r="BF61" i="38" s="1"/>
  <c r="AY62" i="38"/>
  <c r="BF62" i="38" s="1"/>
  <c r="AY63" i="38"/>
  <c r="BF63" i="38" s="1"/>
  <c r="AY64" i="38"/>
  <c r="BF64" i="38" s="1"/>
  <c r="AY65" i="38"/>
  <c r="BF65" i="38" s="1"/>
  <c r="AY66" i="38"/>
  <c r="BF66" i="38" s="1"/>
  <c r="AY67" i="38"/>
  <c r="BF67" i="38" s="1"/>
  <c r="AY68" i="38"/>
  <c r="BF68" i="38" s="1"/>
  <c r="AY69" i="38"/>
  <c r="BF69" i="38" s="1"/>
  <c r="AY70" i="38"/>
  <c r="BF70" i="38" s="1"/>
  <c r="AY71" i="38"/>
  <c r="BF71" i="38" s="1"/>
  <c r="AY72" i="38"/>
  <c r="BF72" i="38" s="1"/>
  <c r="AY73" i="38"/>
  <c r="BF73" i="38" s="1"/>
  <c r="AY74" i="38"/>
  <c r="BF74" i="38" s="1"/>
  <c r="AY75" i="38"/>
  <c r="BF75" i="38" s="1"/>
  <c r="AY76" i="38"/>
  <c r="BF76" i="38" s="1"/>
  <c r="AY77" i="38"/>
  <c r="BF77" i="38" s="1"/>
  <c r="AY78" i="38"/>
  <c r="BF78" i="38" s="1"/>
  <c r="AY79" i="38"/>
  <c r="BF79" i="38" s="1"/>
  <c r="AY80" i="38"/>
  <c r="BF80" i="38" s="1"/>
  <c r="AY81" i="38"/>
  <c r="BF81" i="38" s="1"/>
  <c r="AY82" i="38"/>
  <c r="BF82" i="38" s="1"/>
  <c r="AY83" i="38"/>
  <c r="BF83" i="38" s="1"/>
  <c r="AY84" i="38"/>
  <c r="BF84" i="38" s="1"/>
  <c r="AY85" i="38"/>
  <c r="BF85" i="38" s="1"/>
  <c r="AY86" i="38"/>
  <c r="BF86" i="38" s="1"/>
  <c r="AY87" i="38"/>
  <c r="BF87" i="38" s="1"/>
  <c r="AY88" i="38"/>
  <c r="BF88" i="38" s="1"/>
  <c r="AY89" i="38"/>
  <c r="BF89" i="38" s="1"/>
  <c r="AY90" i="38"/>
  <c r="BF90" i="38" s="1"/>
  <c r="AY91" i="38"/>
  <c r="BF91" i="38" s="1"/>
  <c r="AY92" i="38"/>
  <c r="BF92" i="38" s="1"/>
  <c r="AY93" i="38"/>
  <c r="BF93" i="38" s="1"/>
  <c r="AY94" i="38"/>
  <c r="BF94" i="38" s="1"/>
  <c r="AY95" i="38"/>
  <c r="BF95" i="38" s="1"/>
  <c r="AY96" i="38"/>
  <c r="BF96" i="38" s="1"/>
  <c r="AY97" i="38"/>
  <c r="BF97" i="38" s="1"/>
  <c r="AY98" i="38"/>
  <c r="BF98" i="38" s="1"/>
  <c r="AY99" i="38"/>
  <c r="BF99" i="38" s="1"/>
  <c r="AY100" i="38"/>
  <c r="BF100" i="38" s="1"/>
  <c r="AY101" i="38"/>
  <c r="BF101" i="38" s="1"/>
  <c r="AY102" i="38"/>
  <c r="BF102" i="38" s="1"/>
  <c r="AY103" i="38"/>
  <c r="BF103" i="38" s="1"/>
  <c r="AY104" i="38"/>
  <c r="BF104" i="38" s="1"/>
  <c r="AY105" i="38"/>
  <c r="BF105" i="38" s="1"/>
  <c r="AY106" i="38"/>
  <c r="BF106" i="38" s="1"/>
  <c r="AY107" i="38"/>
  <c r="BF107" i="38" s="1"/>
  <c r="AY108" i="38"/>
  <c r="BF108" i="38" s="1"/>
  <c r="AY109" i="38"/>
  <c r="BF109" i="38" s="1"/>
  <c r="AY110" i="38"/>
  <c r="BF110" i="38" s="1"/>
  <c r="AY111" i="38"/>
  <c r="BF111" i="38" s="1"/>
  <c r="AY112" i="38"/>
  <c r="BF112" i="38" s="1"/>
  <c r="AY113" i="38"/>
  <c r="BF113" i="38" s="1"/>
  <c r="AY114" i="38"/>
  <c r="BF114" i="38" s="1"/>
  <c r="AY115" i="38"/>
  <c r="BF115" i="38" s="1"/>
  <c r="AY116" i="38"/>
  <c r="BF116" i="38" s="1"/>
  <c r="AY117" i="38"/>
  <c r="BF117" i="38" s="1"/>
  <c r="AY118" i="38"/>
  <c r="BF118" i="38" s="1"/>
  <c r="AY119" i="38"/>
  <c r="BF119" i="38" s="1"/>
  <c r="AY120" i="38"/>
  <c r="BF120" i="38" s="1"/>
  <c r="AY121" i="38"/>
  <c r="BF121" i="38" s="1"/>
  <c r="AY122" i="38"/>
  <c r="BF122" i="38" s="1"/>
  <c r="AY123" i="38"/>
  <c r="BF123" i="38" s="1"/>
  <c r="AY124" i="38"/>
  <c r="BF124" i="38" s="1"/>
  <c r="AY125" i="38"/>
  <c r="BF125" i="38" s="1"/>
  <c r="AY126" i="38"/>
  <c r="BF126" i="38" s="1"/>
  <c r="AY127" i="38"/>
  <c r="BF127" i="38" s="1"/>
  <c r="AY128" i="38"/>
  <c r="BF128" i="38" s="1"/>
  <c r="AY129" i="38"/>
  <c r="BF129" i="38" s="1"/>
  <c r="AY130" i="38"/>
  <c r="BF130" i="38" s="1"/>
  <c r="AY131" i="38"/>
  <c r="BF131" i="38" s="1"/>
  <c r="AY132" i="38"/>
  <c r="BF132" i="38" s="1"/>
  <c r="AY133" i="38"/>
  <c r="BF133" i="38" s="1"/>
  <c r="AY134" i="38"/>
  <c r="BF134" i="38" s="1"/>
  <c r="AY135" i="38"/>
  <c r="BF135" i="38" s="1"/>
  <c r="AY136" i="38"/>
  <c r="BF136" i="38" s="1"/>
  <c r="AY137" i="38"/>
  <c r="BF137" i="38" s="1"/>
  <c r="AY138" i="38"/>
  <c r="BF138" i="38" s="1"/>
  <c r="AY139" i="38"/>
  <c r="BF139" i="38" s="1"/>
  <c r="AY140" i="38"/>
  <c r="BF140" i="38" s="1"/>
  <c r="AY141" i="38"/>
  <c r="BF141" i="38" s="1"/>
  <c r="AY142" i="38"/>
  <c r="BF142" i="38" s="1"/>
  <c r="AY143" i="38"/>
  <c r="BF143" i="38" s="1"/>
  <c r="AY144" i="38"/>
  <c r="BF144" i="38" s="1"/>
  <c r="AY145" i="38"/>
  <c r="BF145" i="38" s="1"/>
  <c r="AY146" i="38"/>
  <c r="BF146" i="38" s="1"/>
  <c r="AY147" i="38"/>
  <c r="BF147" i="38" s="1"/>
  <c r="AY148" i="38"/>
  <c r="BF148" i="38" s="1"/>
  <c r="AY149" i="38"/>
  <c r="BF149" i="38" s="1"/>
  <c r="AY150" i="38"/>
  <c r="BF150" i="38" s="1"/>
  <c r="AY151" i="38"/>
  <c r="BF151" i="38" s="1"/>
  <c r="AY152" i="38"/>
  <c r="BF152" i="38" s="1"/>
  <c r="AY153" i="38"/>
  <c r="BF153" i="38" s="1"/>
  <c r="AY154" i="38"/>
  <c r="BF154" i="38" s="1"/>
  <c r="AY155" i="38"/>
  <c r="BF155" i="38" s="1"/>
  <c r="AY156" i="38"/>
  <c r="BF156" i="38" s="1"/>
  <c r="AY157" i="38"/>
  <c r="BF157" i="38" s="1"/>
  <c r="AY158" i="38"/>
  <c r="BF158" i="38" s="1"/>
  <c r="AY159" i="38"/>
  <c r="BF159" i="38" s="1"/>
  <c r="AY160" i="38"/>
  <c r="BF160" i="38" s="1"/>
  <c r="AY161" i="38"/>
  <c r="BF161" i="38" s="1"/>
  <c r="AY162" i="38"/>
  <c r="BF162" i="38" s="1"/>
  <c r="AY163" i="38"/>
  <c r="BF163" i="38" s="1"/>
  <c r="AY164" i="38"/>
  <c r="BF164" i="38" s="1"/>
  <c r="AY165" i="38"/>
  <c r="BF165" i="38" s="1"/>
  <c r="AY166" i="38"/>
  <c r="BF166" i="38" s="1"/>
  <c r="AY167" i="38"/>
  <c r="BF167" i="38" s="1"/>
  <c r="AY168" i="38"/>
  <c r="BF168" i="38" s="1"/>
  <c r="AY169" i="38"/>
  <c r="BF169" i="38" s="1"/>
  <c r="AY170" i="38"/>
  <c r="BF170" i="38" s="1"/>
  <c r="AY171" i="38"/>
  <c r="BF171" i="38" s="1"/>
  <c r="AY172" i="38"/>
  <c r="BF172" i="38" s="1"/>
  <c r="AY173" i="38"/>
  <c r="BF173" i="38" s="1"/>
  <c r="AY174" i="38"/>
  <c r="BF174" i="38" s="1"/>
  <c r="AY175" i="38"/>
  <c r="BF175" i="38" s="1"/>
  <c r="AY176" i="38"/>
  <c r="BF176" i="38" s="1"/>
  <c r="AY177" i="38"/>
  <c r="BF177" i="38" s="1"/>
  <c r="AY178" i="38"/>
  <c r="BF178" i="38" s="1"/>
  <c r="AY179" i="38"/>
  <c r="BF179" i="38" s="1"/>
  <c r="AY180" i="38"/>
  <c r="BF180" i="38" s="1"/>
  <c r="AY181" i="38"/>
  <c r="BF181" i="38" s="1"/>
  <c r="AY182" i="38"/>
  <c r="BF182" i="38" s="1"/>
  <c r="AY183" i="38"/>
  <c r="BF183" i="38" s="1"/>
  <c r="AY184" i="38"/>
  <c r="BF184" i="38" s="1"/>
  <c r="AY185" i="38"/>
  <c r="BF185" i="38" s="1"/>
  <c r="AY186" i="38"/>
  <c r="BF186" i="38" s="1"/>
  <c r="AY187" i="38"/>
  <c r="BF187" i="38" s="1"/>
  <c r="AY188" i="38"/>
  <c r="BF188" i="38" s="1"/>
  <c r="AY189" i="38"/>
  <c r="BF189" i="38" s="1"/>
  <c r="AY190" i="38"/>
  <c r="BF190" i="38" s="1"/>
  <c r="AY191" i="38"/>
  <c r="BF191" i="38" s="1"/>
  <c r="AY192" i="38"/>
  <c r="BF192" i="38" s="1"/>
  <c r="AY193" i="38"/>
  <c r="BF193" i="38" s="1"/>
  <c r="AY194" i="38"/>
  <c r="BF194" i="38" s="1"/>
  <c r="AY195" i="38"/>
  <c r="BF195" i="38" s="1"/>
  <c r="AY196" i="38"/>
  <c r="BF196" i="38" s="1"/>
  <c r="AY197" i="38"/>
  <c r="BF197" i="38" s="1"/>
  <c r="AY198" i="38"/>
  <c r="BF198" i="38" s="1"/>
  <c r="AY199" i="38"/>
  <c r="BF199" i="38" s="1"/>
  <c r="AY200" i="38"/>
  <c r="BF200" i="38" s="1"/>
  <c r="AY201" i="38"/>
  <c r="BF201" i="38" s="1"/>
  <c r="AY202" i="38"/>
  <c r="BF202" i="38" s="1"/>
  <c r="AY203" i="38"/>
  <c r="BF203" i="38" s="1"/>
  <c r="AY204" i="38"/>
  <c r="BF204" i="38" s="1"/>
  <c r="AY205" i="38"/>
  <c r="BF205" i="38" s="1"/>
  <c r="AY206" i="38"/>
  <c r="BF206" i="38" s="1"/>
  <c r="AY207" i="38"/>
  <c r="BF207" i="38" s="1"/>
  <c r="AY208" i="38"/>
  <c r="BF208" i="38" s="1"/>
  <c r="AY209" i="38"/>
  <c r="BF209" i="38" s="1"/>
  <c r="AY210" i="38"/>
  <c r="BF210" i="38" s="1"/>
  <c r="AY211" i="38"/>
  <c r="BF211" i="38" s="1"/>
  <c r="AY212" i="38"/>
  <c r="BF212" i="38" s="1"/>
  <c r="AY213" i="38"/>
  <c r="BF213" i="38" s="1"/>
  <c r="AY214" i="38"/>
  <c r="BF214" i="38" s="1"/>
  <c r="AY215" i="38"/>
  <c r="BF215" i="38" s="1"/>
  <c r="AY216" i="38"/>
  <c r="BF216" i="38" s="1"/>
  <c r="AY217" i="38"/>
  <c r="BF217" i="38" s="1"/>
  <c r="AY218" i="38"/>
  <c r="BF218" i="38" s="1"/>
  <c r="AY219" i="38"/>
  <c r="BF219" i="38" s="1"/>
  <c r="AY220" i="38"/>
  <c r="BF220" i="38" s="1"/>
  <c r="AY221" i="38"/>
  <c r="BF221" i="38" s="1"/>
  <c r="AY222" i="38"/>
  <c r="BF222" i="38" s="1"/>
  <c r="AY223" i="38"/>
  <c r="BF223" i="38" s="1"/>
  <c r="AY224" i="38"/>
  <c r="BF224" i="38" s="1"/>
  <c r="AY225" i="38"/>
  <c r="BF225" i="38" s="1"/>
  <c r="AY226" i="38"/>
  <c r="BF226" i="38" s="1"/>
  <c r="AY227" i="38"/>
  <c r="BF227" i="38" s="1"/>
  <c r="AY228" i="38"/>
  <c r="BF228" i="38" s="1"/>
  <c r="AY229" i="38"/>
  <c r="BF229" i="38" s="1"/>
  <c r="AY230" i="38"/>
  <c r="BF230" i="38" s="1"/>
  <c r="AY231" i="38"/>
  <c r="BF231" i="38" s="1"/>
  <c r="AY232" i="38"/>
  <c r="BF232" i="38" s="1"/>
  <c r="AY233" i="38"/>
  <c r="BF233" i="38" s="1"/>
  <c r="AY234" i="38"/>
  <c r="BF234" i="38" s="1"/>
  <c r="AY235" i="38"/>
  <c r="BF235" i="38" s="1"/>
  <c r="AY236" i="38"/>
  <c r="BF236" i="38" s="1"/>
  <c r="AY237" i="38"/>
  <c r="BF237" i="38" s="1"/>
  <c r="AY238" i="38"/>
  <c r="BF238" i="38" s="1"/>
  <c r="AY239" i="38"/>
  <c r="BF239" i="38" s="1"/>
  <c r="AY240" i="38"/>
  <c r="BF240" i="38" s="1"/>
  <c r="AY241" i="38"/>
  <c r="BF241" i="38" s="1"/>
  <c r="AY242" i="38"/>
  <c r="BF242" i="38" s="1"/>
  <c r="AY243" i="38"/>
  <c r="BF243" i="38" s="1"/>
  <c r="AY244" i="38"/>
  <c r="BF244" i="38" s="1"/>
  <c r="AY245" i="38"/>
  <c r="BF245" i="38" s="1"/>
  <c r="AY246" i="38"/>
  <c r="BF246" i="38" s="1"/>
  <c r="AY247" i="38"/>
  <c r="BF247" i="38" s="1"/>
  <c r="AY248" i="38"/>
  <c r="BF248" i="38" s="1"/>
  <c r="AY249" i="38"/>
  <c r="BF249" i="38" s="1"/>
  <c r="AY250" i="38"/>
  <c r="BF250" i="38" s="1"/>
  <c r="AY251" i="38"/>
  <c r="BF251" i="38" s="1"/>
  <c r="AY252" i="38"/>
  <c r="BF252" i="38" s="1"/>
  <c r="AY253" i="38"/>
  <c r="BF253" i="38" s="1"/>
  <c r="AY254" i="38"/>
  <c r="BF254" i="38" s="1"/>
  <c r="AY255" i="38"/>
  <c r="BF255" i="38" s="1"/>
  <c r="AY256" i="38"/>
  <c r="BF256" i="38" s="1"/>
  <c r="AY257" i="38"/>
  <c r="BF257" i="38" s="1"/>
  <c r="AY258" i="38"/>
  <c r="BF258" i="38" s="1"/>
  <c r="AY259" i="38"/>
  <c r="BF259" i="38" s="1"/>
  <c r="AY260" i="38"/>
  <c r="BF260" i="38" s="1"/>
  <c r="AY261" i="38"/>
  <c r="BF261" i="38" s="1"/>
  <c r="AY262" i="38"/>
  <c r="BF262" i="38" s="1"/>
  <c r="AY263" i="38"/>
  <c r="BF263" i="38" s="1"/>
  <c r="AY264" i="38"/>
  <c r="BF264" i="38" s="1"/>
  <c r="AY265" i="38"/>
  <c r="BF265" i="38" s="1"/>
  <c r="AY266" i="38"/>
  <c r="BF266" i="38" s="1"/>
  <c r="AY267" i="38"/>
  <c r="BF267" i="38" s="1"/>
  <c r="AY268" i="38"/>
  <c r="BF268" i="38" s="1"/>
  <c r="AY269" i="38"/>
  <c r="BF269" i="38" s="1"/>
  <c r="AY270" i="38"/>
  <c r="BF270" i="38" s="1"/>
  <c r="AY271" i="38"/>
  <c r="BF271" i="38" s="1"/>
  <c r="AY272" i="38"/>
  <c r="BF272" i="38" s="1"/>
  <c r="AY273" i="38"/>
  <c r="BF273" i="38" s="1"/>
  <c r="AY274" i="38"/>
  <c r="BF274" i="38" s="1"/>
  <c r="AY275" i="38"/>
  <c r="BF275" i="38" s="1"/>
  <c r="AY276" i="38"/>
  <c r="BF276" i="38" s="1"/>
  <c r="AY277" i="38"/>
  <c r="BF277" i="38" s="1"/>
  <c r="AY278" i="38"/>
  <c r="BF278" i="38" s="1"/>
  <c r="AY279" i="38"/>
  <c r="BF279" i="38" s="1"/>
  <c r="AY280" i="38"/>
  <c r="BF280" i="38" s="1"/>
  <c r="AY281" i="38"/>
  <c r="BF281" i="38" s="1"/>
  <c r="AY282" i="38"/>
  <c r="BF282" i="38" s="1"/>
  <c r="AY283" i="38"/>
  <c r="BF283" i="38" s="1"/>
  <c r="AY284" i="38"/>
  <c r="BF284" i="38" s="1"/>
  <c r="AY285" i="38"/>
  <c r="BF285" i="38" s="1"/>
  <c r="AY286" i="38"/>
  <c r="BF286" i="38" s="1"/>
  <c r="AY287" i="38"/>
  <c r="BF287" i="38" s="1"/>
  <c r="AY288" i="38"/>
  <c r="BF288" i="38" s="1"/>
  <c r="AY289" i="38"/>
  <c r="BF289" i="38" s="1"/>
  <c r="AY290" i="38"/>
  <c r="BF290" i="38" s="1"/>
  <c r="AY291" i="38"/>
  <c r="BF291" i="38" s="1"/>
  <c r="AY292" i="38"/>
  <c r="BF292" i="38" s="1"/>
  <c r="AY293" i="38"/>
  <c r="BF293" i="38" s="1"/>
  <c r="AY294" i="38"/>
  <c r="BF294" i="38" s="1"/>
  <c r="AY295" i="38"/>
  <c r="BF295" i="38" s="1"/>
  <c r="AY296" i="38"/>
  <c r="BF296" i="38" s="1"/>
  <c r="AY297" i="38"/>
  <c r="BF297" i="38" s="1"/>
  <c r="AY298" i="38"/>
  <c r="BF298" i="38" s="1"/>
  <c r="AY299" i="38"/>
  <c r="BF299" i="38" s="1"/>
  <c r="AY300" i="38"/>
  <c r="BF300" i="38" s="1"/>
  <c r="AY301" i="38"/>
  <c r="BF301" i="38" s="1"/>
  <c r="AY302" i="38"/>
  <c r="BF302" i="38" s="1"/>
  <c r="AY303" i="38"/>
  <c r="BF303" i="38" s="1"/>
  <c r="AY304" i="38"/>
  <c r="BF304" i="38" s="1"/>
  <c r="AY305" i="38"/>
  <c r="BF305" i="38" s="1"/>
  <c r="AY306" i="38"/>
  <c r="BF306" i="38" s="1"/>
  <c r="AY307" i="38"/>
  <c r="BF307" i="38" s="1"/>
  <c r="AY308" i="38"/>
  <c r="BF308" i="38" s="1"/>
  <c r="AY309" i="38"/>
  <c r="BF309" i="38" s="1"/>
  <c r="AY310" i="38"/>
  <c r="BF310" i="38" s="1"/>
  <c r="AY311" i="38"/>
  <c r="BF311" i="38" s="1"/>
  <c r="AY312" i="38"/>
  <c r="BF312" i="38" s="1"/>
  <c r="AY313" i="38"/>
  <c r="BF313" i="38" s="1"/>
  <c r="AY314" i="38"/>
  <c r="BF314" i="38" s="1"/>
  <c r="AY315" i="38"/>
  <c r="BF315" i="38" s="1"/>
  <c r="AY316" i="38"/>
  <c r="BF316" i="38" s="1"/>
  <c r="AY317" i="38"/>
  <c r="BF317" i="38" s="1"/>
  <c r="AY318" i="38"/>
  <c r="BF318" i="38" s="1"/>
  <c r="AY319" i="38"/>
  <c r="BF319" i="38" s="1"/>
  <c r="AY320" i="38"/>
  <c r="BF320" i="38" s="1"/>
  <c r="AY321" i="38"/>
  <c r="BF321" i="38" s="1"/>
  <c r="AY322" i="38"/>
  <c r="BF322" i="38" s="1"/>
  <c r="AY323" i="38"/>
  <c r="BF323" i="38" s="1"/>
  <c r="AY324" i="38"/>
  <c r="BF324" i="38" s="1"/>
  <c r="AY325" i="38"/>
  <c r="BF325" i="38" s="1"/>
  <c r="AY326" i="38"/>
  <c r="BF326" i="38" s="1"/>
  <c r="AY327" i="38"/>
  <c r="BF327" i="38" s="1"/>
  <c r="AY328" i="38"/>
  <c r="BF328" i="38" s="1"/>
  <c r="AY329" i="38"/>
  <c r="BF329" i="38" s="1"/>
  <c r="AY330" i="38"/>
  <c r="BF330" i="38" s="1"/>
  <c r="AY331" i="38"/>
  <c r="BF331" i="38" s="1"/>
  <c r="AY332" i="38"/>
  <c r="BF332" i="38" s="1"/>
  <c r="AY333" i="38"/>
  <c r="BF333" i="38" s="1"/>
  <c r="AY334" i="38"/>
  <c r="BF334" i="38" s="1"/>
  <c r="AY335" i="38"/>
  <c r="BF335" i="38" s="1"/>
  <c r="AY336" i="38"/>
  <c r="BF336" i="38" s="1"/>
  <c r="AY337" i="38"/>
  <c r="BF337" i="38" s="1"/>
  <c r="AY338" i="38"/>
  <c r="BF338" i="38" s="1"/>
  <c r="AY339" i="38"/>
  <c r="BF339" i="38" s="1"/>
  <c r="AY340" i="38"/>
  <c r="BF340" i="38" s="1"/>
  <c r="AY341" i="38"/>
  <c r="BF341" i="38" s="1"/>
  <c r="AY342" i="38"/>
  <c r="BF342" i="38" s="1"/>
  <c r="AY343" i="38"/>
  <c r="BF343" i="38" s="1"/>
  <c r="AY344" i="38"/>
  <c r="BF344" i="38" s="1"/>
  <c r="AY345" i="38"/>
  <c r="BF345" i="38" s="1"/>
  <c r="AY346" i="38"/>
  <c r="BF346" i="38" s="1"/>
  <c r="AY347" i="38"/>
  <c r="BF347" i="38" s="1"/>
  <c r="AY348" i="38"/>
  <c r="BF348" i="38" s="1"/>
  <c r="AY349" i="38"/>
  <c r="BF349" i="38" s="1"/>
  <c r="AY350" i="38"/>
  <c r="BF350" i="38" s="1"/>
  <c r="AY351" i="38"/>
  <c r="BF351" i="38" s="1"/>
  <c r="AY352" i="38"/>
  <c r="BF352" i="38" s="1"/>
  <c r="AY353" i="38"/>
  <c r="BF353" i="38" s="1"/>
  <c r="AY354" i="38"/>
  <c r="BF354" i="38" s="1"/>
  <c r="AY355" i="38"/>
  <c r="BF355" i="38" s="1"/>
  <c r="AY356" i="38"/>
  <c r="BF356" i="38" s="1"/>
  <c r="AY357" i="38"/>
  <c r="BF357" i="38" s="1"/>
  <c r="AY358" i="38"/>
  <c r="BF358" i="38" s="1"/>
  <c r="AY359" i="38"/>
  <c r="BF359" i="38" s="1"/>
  <c r="AY360" i="38"/>
  <c r="BF360" i="38" s="1"/>
  <c r="AY361" i="38"/>
  <c r="BF361" i="38" s="1"/>
  <c r="AY362" i="38"/>
  <c r="BF362" i="38" s="1"/>
  <c r="AY363" i="38"/>
  <c r="BF363" i="38" s="1"/>
  <c r="AY364" i="38"/>
  <c r="BF364" i="38" s="1"/>
  <c r="AY365" i="38"/>
  <c r="BF365" i="38" s="1"/>
  <c r="AY366" i="38"/>
  <c r="BF366" i="38" s="1"/>
  <c r="AY367" i="38"/>
  <c r="BF367" i="38" s="1"/>
  <c r="AY368" i="38"/>
  <c r="BF368" i="38" s="1"/>
  <c r="AY369" i="38"/>
  <c r="BF369" i="38" s="1"/>
  <c r="AY370" i="38"/>
  <c r="BF370" i="38" s="1"/>
  <c r="AY371" i="38"/>
  <c r="BF371" i="38" s="1"/>
  <c r="AY372" i="38"/>
  <c r="BF372" i="38" s="1"/>
  <c r="AY373" i="38"/>
  <c r="BF373" i="38" s="1"/>
  <c r="AY374" i="38"/>
  <c r="BF374" i="38" s="1"/>
  <c r="AY375" i="38"/>
  <c r="BF375" i="38" s="1"/>
  <c r="AY376" i="38"/>
  <c r="BF376" i="38" s="1"/>
  <c r="AY11" i="38"/>
  <c r="BF11" i="38" s="1"/>
  <c r="G382" i="4"/>
  <c r="E382" i="4"/>
  <c r="BF15" i="38" l="1"/>
  <c r="AY384" i="38"/>
  <c r="BB389" i="38"/>
  <c r="BB390" i="38" s="1"/>
  <c r="AZ380" i="38"/>
  <c r="BA380" i="38"/>
  <c r="BB380" i="38"/>
  <c r="BB387" i="38"/>
  <c r="BB385" i="38"/>
  <c r="BB383" i="38"/>
  <c r="BB381" i="38"/>
  <c r="AY385" i="38"/>
  <c r="BA389" i="38"/>
  <c r="BA390" i="38" s="1"/>
  <c r="BA387" i="38"/>
  <c r="BA385" i="38"/>
  <c r="BA383" i="38"/>
  <c r="BA381" i="38"/>
  <c r="AY380" i="38"/>
  <c r="AY386" i="38"/>
  <c r="AZ389" i="38"/>
  <c r="AZ390" i="38" s="1"/>
  <c r="AZ387" i="38"/>
  <c r="AZ385" i="38"/>
  <c r="AZ383" i="38"/>
  <c r="AZ381" i="38"/>
  <c r="AY381" i="38"/>
  <c r="AY387" i="38"/>
  <c r="BB388" i="38"/>
  <c r="BB386" i="38"/>
  <c r="BB384" i="38"/>
  <c r="BB382" i="38"/>
  <c r="AY382" i="38"/>
  <c r="AY388" i="38"/>
  <c r="BA388" i="38"/>
  <c r="BA386" i="38"/>
  <c r="BA384" i="38"/>
  <c r="BA382" i="38"/>
  <c r="AY383" i="38"/>
  <c r="AY389" i="38"/>
  <c r="AY390" i="38" s="1"/>
  <c r="AZ388" i="38"/>
  <c r="AZ386" i="38"/>
  <c r="AZ384" i="38"/>
  <c r="AZ382" i="38"/>
  <c r="J201" i="39"/>
  <c r="J367" i="39"/>
  <c r="J109" i="39"/>
  <c r="J332" i="39"/>
  <c r="J275" i="39"/>
  <c r="J26" i="39"/>
  <c r="J115" i="39"/>
  <c r="J92" i="39"/>
  <c r="J24" i="39"/>
  <c r="J222" i="39"/>
  <c r="J145" i="39"/>
  <c r="J206" i="39"/>
  <c r="J75" i="39"/>
  <c r="J17" i="39"/>
  <c r="J119" i="39"/>
  <c r="J220" i="39"/>
  <c r="J180" i="39"/>
  <c r="J142" i="39"/>
  <c r="J87" i="39"/>
  <c r="J79" i="39"/>
  <c r="J136" i="39"/>
  <c r="J352" i="39"/>
  <c r="J57" i="39"/>
  <c r="J169" i="39"/>
  <c r="J131" i="39"/>
  <c r="J65" i="39"/>
  <c r="J304" i="39"/>
  <c r="J159" i="39"/>
  <c r="J233" i="39"/>
  <c r="J183" i="39"/>
  <c r="J203" i="39"/>
  <c r="J239" i="39"/>
  <c r="J155" i="39"/>
  <c r="J280" i="39"/>
  <c r="J128" i="39"/>
  <c r="J293" i="39"/>
  <c r="J130" i="39"/>
  <c r="J49" i="39"/>
  <c r="J126" i="39"/>
  <c r="J334" i="39"/>
  <c r="J221" i="39"/>
  <c r="J262" i="39"/>
  <c r="J224" i="39"/>
  <c r="J349" i="39"/>
  <c r="J226" i="39"/>
  <c r="J339" i="39"/>
  <c r="J234" i="39"/>
  <c r="J241" i="39"/>
  <c r="J157" i="39"/>
  <c r="J110" i="39"/>
  <c r="J260" i="39"/>
  <c r="J252" i="39"/>
  <c r="J217" i="39"/>
  <c r="J164" i="39"/>
  <c r="J121" i="39"/>
  <c r="J325" i="39"/>
  <c r="J273" i="39"/>
  <c r="J274" i="39"/>
  <c r="J199" i="39"/>
  <c r="J247" i="39"/>
  <c r="J148" i="39"/>
  <c r="J295" i="39"/>
  <c r="J374" i="39"/>
  <c r="J48" i="39"/>
  <c r="J369" i="39"/>
  <c r="J158" i="39"/>
  <c r="J308" i="39"/>
  <c r="J139" i="39"/>
  <c r="J44" i="39"/>
  <c r="J336" i="39"/>
  <c r="J310" i="39"/>
  <c r="J168" i="39"/>
  <c r="J283" i="39"/>
  <c r="J212" i="39"/>
  <c r="J216" i="39"/>
  <c r="J101" i="39"/>
  <c r="J191" i="39"/>
  <c r="J258" i="39"/>
  <c r="J250" i="39"/>
  <c r="J323" i="39"/>
  <c r="J172" i="39"/>
  <c r="J264" i="39"/>
  <c r="J210" i="39"/>
  <c r="J231" i="39"/>
  <c r="J319" i="39"/>
  <c r="J138" i="39"/>
  <c r="J244" i="39"/>
  <c r="J279" i="39"/>
  <c r="J184" i="39"/>
  <c r="J353" i="39"/>
  <c r="J82" i="39"/>
  <c r="J208" i="39"/>
  <c r="J37" i="39"/>
  <c r="J144" i="39"/>
  <c r="J68" i="39"/>
  <c r="J350" i="39"/>
  <c r="J209" i="39"/>
  <c r="J259" i="39"/>
  <c r="J348" i="39"/>
  <c r="J290" i="39"/>
  <c r="J288" i="39"/>
  <c r="J257" i="39"/>
  <c r="J154" i="39"/>
  <c r="J181" i="39"/>
  <c r="J322" i="39"/>
  <c r="J60" i="39"/>
  <c r="J270" i="39"/>
  <c r="J28" i="39"/>
  <c r="J118" i="39"/>
  <c r="J162" i="39"/>
  <c r="J73" i="39"/>
  <c r="J320" i="39"/>
  <c r="J255" i="39"/>
  <c r="J35" i="39"/>
  <c r="J287" i="39"/>
  <c r="J218" i="39"/>
  <c r="J277" i="39"/>
  <c r="J86" i="39"/>
  <c r="J27" i="39"/>
  <c r="J307" i="39"/>
  <c r="J327" i="39"/>
  <c r="J271" i="39"/>
  <c r="J223" i="39"/>
  <c r="J193" i="39"/>
  <c r="J13" i="39"/>
  <c r="J104" i="39"/>
  <c r="J51" i="39"/>
  <c r="J61" i="39"/>
  <c r="J309" i="39"/>
  <c r="J89" i="39"/>
  <c r="J366" i="39"/>
  <c r="J365" i="39"/>
  <c r="J342" i="39"/>
  <c r="J196" i="39"/>
  <c r="J129" i="39"/>
  <c r="J166" i="39"/>
  <c r="J230" i="39"/>
  <c r="J375" i="39"/>
  <c r="J321" i="39"/>
  <c r="J314" i="39"/>
  <c r="J12" i="39"/>
  <c r="J95" i="39"/>
  <c r="J112" i="39"/>
  <c r="J326" i="39"/>
  <c r="J345" i="39"/>
  <c r="J38" i="39"/>
  <c r="J299" i="39"/>
  <c r="J156" i="39"/>
  <c r="J96" i="39"/>
  <c r="J344" i="39"/>
  <c r="J248" i="39"/>
  <c r="J330" i="39"/>
  <c r="J242" i="39"/>
  <c r="J78" i="39"/>
  <c r="J300" i="39"/>
  <c r="J263" i="39"/>
  <c r="J174" i="39"/>
  <c r="J337" i="39"/>
  <c r="J147" i="39"/>
  <c r="J286" i="39"/>
  <c r="J137" i="39"/>
  <c r="J55" i="39"/>
  <c r="J58" i="39"/>
  <c r="J36" i="39"/>
  <c r="J98" i="39"/>
  <c r="J99" i="39"/>
  <c r="J331" i="39"/>
  <c r="J111" i="39"/>
  <c r="J292" i="39"/>
  <c r="J272" i="39"/>
  <c r="J30" i="39"/>
  <c r="J91" i="39"/>
  <c r="J360" i="39"/>
  <c r="J243" i="39"/>
  <c r="J351" i="39"/>
  <c r="J305" i="39"/>
  <c r="J120" i="39"/>
  <c r="J16" i="39"/>
  <c r="J47" i="39"/>
  <c r="J124" i="39"/>
  <c r="J333" i="39"/>
  <c r="J53" i="39"/>
  <c r="J18" i="39"/>
  <c r="J90" i="39"/>
  <c r="J235" i="39"/>
  <c r="J123" i="39"/>
  <c r="J21" i="39"/>
  <c r="J76" i="39"/>
  <c r="J359" i="39"/>
  <c r="J278" i="39"/>
  <c r="J19" i="39"/>
  <c r="J261" i="39"/>
  <c r="J66" i="39"/>
  <c r="J296" i="39"/>
  <c r="J368" i="39"/>
  <c r="J140" i="39"/>
  <c r="J134" i="39"/>
  <c r="J173" i="39"/>
  <c r="J361" i="39"/>
  <c r="J70" i="39"/>
  <c r="J346" i="39"/>
  <c r="J165" i="39"/>
  <c r="J211" i="39"/>
  <c r="J354" i="39"/>
  <c r="J282" i="39"/>
  <c r="J294" i="39"/>
  <c r="J59" i="39"/>
  <c r="J291" i="39"/>
  <c r="J117" i="39"/>
  <c r="J376" i="39"/>
  <c r="J127" i="39"/>
  <c r="J167" i="39"/>
  <c r="J245" i="39"/>
  <c r="J50" i="39"/>
  <c r="J249" i="39"/>
  <c r="J329" i="39"/>
  <c r="J266" i="39"/>
  <c r="J303" i="39"/>
  <c r="J67" i="39"/>
  <c r="J232" i="39"/>
  <c r="J228" i="39"/>
  <c r="J11" i="39"/>
  <c r="J355" i="39"/>
  <c r="J150" i="39"/>
  <c r="J237" i="39"/>
  <c r="J94" i="39"/>
  <c r="J151" i="39"/>
  <c r="J103" i="39"/>
  <c r="J219" i="39"/>
  <c r="J100" i="39"/>
  <c r="J370" i="39"/>
  <c r="J141" i="39"/>
  <c r="J311" i="39"/>
  <c r="J202" i="39"/>
  <c r="J328" i="39"/>
  <c r="J213" i="39"/>
  <c r="J135" i="39"/>
  <c r="J43" i="39"/>
  <c r="J71" i="39"/>
  <c r="J357" i="39"/>
  <c r="J238" i="39"/>
  <c r="J85" i="39"/>
  <c r="J14" i="39"/>
  <c r="J358" i="39"/>
  <c r="J306" i="39"/>
  <c r="J318" i="39"/>
  <c r="J364" i="39"/>
  <c r="J33" i="39"/>
  <c r="J54" i="39"/>
  <c r="J302" i="39"/>
  <c r="J215" i="39"/>
  <c r="J371" i="39"/>
  <c r="J72" i="39"/>
  <c r="J207" i="39"/>
  <c r="J340" i="39"/>
  <c r="J297" i="39"/>
  <c r="J69" i="39"/>
  <c r="J186" i="39"/>
  <c r="J373" i="39"/>
  <c r="J317" i="39"/>
  <c r="J335" i="39"/>
  <c r="J62" i="39"/>
  <c r="J56" i="39"/>
  <c r="J356" i="39"/>
  <c r="J298" i="39"/>
  <c r="J41" i="39"/>
  <c r="J108" i="39"/>
  <c r="J63" i="39"/>
  <c r="J25" i="39"/>
  <c r="J198" i="39"/>
  <c r="J179" i="39"/>
  <c r="J122" i="39"/>
  <c r="J114" i="39"/>
  <c r="J251" i="39"/>
  <c r="J204" i="39"/>
  <c r="J105" i="39"/>
  <c r="J160" i="39"/>
  <c r="J83" i="39"/>
  <c r="J313" i="39"/>
  <c r="J77" i="39"/>
  <c r="J153" i="39"/>
  <c r="J225" i="39"/>
  <c r="J146" i="39"/>
  <c r="J192" i="39"/>
  <c r="J171" i="39"/>
  <c r="J152" i="39"/>
  <c r="J312" i="39"/>
  <c r="J149" i="39"/>
  <c r="J42" i="39"/>
  <c r="J194" i="39"/>
  <c r="J246" i="39"/>
  <c r="J284" i="39"/>
  <c r="J132" i="39"/>
  <c r="J236" i="39"/>
  <c r="J93" i="39"/>
  <c r="J64" i="39"/>
  <c r="J106" i="39"/>
  <c r="J32" i="39"/>
  <c r="J229" i="39"/>
  <c r="J20" i="39"/>
  <c r="J88" i="39"/>
  <c r="J116" i="39"/>
  <c r="J265" i="39"/>
  <c r="J188" i="39"/>
  <c r="J256" i="39"/>
  <c r="J363" i="39"/>
  <c r="J102" i="39"/>
  <c r="J316" i="39"/>
  <c r="J81" i="39"/>
  <c r="J45" i="39"/>
  <c r="J347" i="39"/>
  <c r="J185" i="39"/>
  <c r="J341" i="39"/>
  <c r="J187" i="39"/>
  <c r="J315" i="39"/>
  <c r="J254" i="39"/>
  <c r="J281" i="39"/>
  <c r="J205" i="39"/>
  <c r="J133" i="39"/>
  <c r="J301" i="39"/>
  <c r="J182" i="39"/>
  <c r="J200" i="39"/>
  <c r="J268" i="39"/>
  <c r="J74" i="39"/>
  <c r="J22" i="39"/>
  <c r="J267" i="39"/>
  <c r="J80" i="39"/>
  <c r="J161" i="39"/>
  <c r="J31" i="39"/>
  <c r="J269" i="39"/>
  <c r="J15" i="39"/>
  <c r="J227" i="39"/>
  <c r="J195" i="39"/>
  <c r="J177" i="39"/>
  <c r="J163" i="39"/>
  <c r="J175" i="39"/>
  <c r="J240" i="39"/>
  <c r="J39" i="39"/>
  <c r="J23" i="39"/>
  <c r="J34" i="39"/>
  <c r="J343" i="39"/>
  <c r="J324" i="39"/>
  <c r="J52" i="39"/>
  <c r="J176" i="39"/>
  <c r="J253" i="39"/>
  <c r="J125" i="39"/>
  <c r="J276" i="39"/>
  <c r="J289" i="39"/>
  <c r="J338" i="39"/>
  <c r="J29" i="39"/>
  <c r="J170" i="39"/>
  <c r="J107" i="39"/>
  <c r="J197" i="39"/>
  <c r="J40" i="39"/>
  <c r="J113" i="39"/>
  <c r="J97" i="39"/>
  <c r="J178" i="39"/>
  <c r="J46" i="39"/>
  <c r="J362" i="39"/>
  <c r="J214" i="39"/>
  <c r="J189" i="39"/>
  <c r="J190" i="39"/>
  <c r="J143" i="39"/>
  <c r="J372" i="39"/>
  <c r="J84" i="39"/>
  <c r="J285" i="39"/>
  <c r="BK12" i="38" l="1"/>
  <c r="BK13" i="38"/>
  <c r="BK14" i="38"/>
  <c r="BK15" i="38"/>
  <c r="BK16" i="38"/>
  <c r="BK17" i="38"/>
  <c r="BK18" i="38"/>
  <c r="BK19" i="38"/>
  <c r="BK20" i="38"/>
  <c r="BK21" i="38"/>
  <c r="BK22" i="38"/>
  <c r="BK23" i="38"/>
  <c r="BK24" i="38"/>
  <c r="BK25" i="38"/>
  <c r="BK26" i="38"/>
  <c r="BK27" i="38"/>
  <c r="BK28" i="38"/>
  <c r="BK29" i="38"/>
  <c r="BK30" i="38"/>
  <c r="BK31" i="38"/>
  <c r="BK32" i="38"/>
  <c r="BK33" i="38"/>
  <c r="BK34" i="38"/>
  <c r="BK35" i="38"/>
  <c r="BK36" i="38"/>
  <c r="BK37" i="38"/>
  <c r="BK38" i="38"/>
  <c r="BK39" i="38"/>
  <c r="BK40" i="38"/>
  <c r="BK41" i="38"/>
  <c r="BK42" i="38"/>
  <c r="BK43" i="38"/>
  <c r="BK44" i="38"/>
  <c r="BK45" i="38"/>
  <c r="BK46" i="38"/>
  <c r="BK47" i="38"/>
  <c r="BK48" i="38"/>
  <c r="BK49" i="38"/>
  <c r="BK50" i="38"/>
  <c r="BK51" i="38"/>
  <c r="BK52" i="38"/>
  <c r="BK53" i="38"/>
  <c r="BK54" i="38"/>
  <c r="BK55" i="38"/>
  <c r="BK56" i="38"/>
  <c r="BK57" i="38"/>
  <c r="BK58" i="38"/>
  <c r="BK59" i="38"/>
  <c r="BK60" i="38"/>
  <c r="BK61" i="38"/>
  <c r="BK62" i="38"/>
  <c r="BK63" i="38"/>
  <c r="BK64" i="38"/>
  <c r="BK65" i="38"/>
  <c r="BK66" i="38"/>
  <c r="BK67" i="38"/>
  <c r="BK68" i="38"/>
  <c r="BK69" i="38"/>
  <c r="BK70" i="38"/>
  <c r="BK71" i="38"/>
  <c r="BK72" i="38"/>
  <c r="BK73" i="38"/>
  <c r="BK74" i="38"/>
  <c r="BK75" i="38"/>
  <c r="BK76" i="38"/>
  <c r="BK77" i="38"/>
  <c r="BK78" i="38"/>
  <c r="BK79" i="38"/>
  <c r="BK80" i="38"/>
  <c r="BK81" i="38"/>
  <c r="BK82" i="38"/>
  <c r="BK83" i="38"/>
  <c r="BK84" i="38"/>
  <c r="BK85" i="38"/>
  <c r="BK86" i="38"/>
  <c r="BK87" i="38"/>
  <c r="BK88" i="38"/>
  <c r="BK89" i="38"/>
  <c r="BK90" i="38"/>
  <c r="BK91" i="38"/>
  <c r="BK92" i="38"/>
  <c r="BK93" i="38"/>
  <c r="BK94" i="38"/>
  <c r="BK95" i="38"/>
  <c r="BK96" i="38"/>
  <c r="BK97" i="38"/>
  <c r="BK98" i="38"/>
  <c r="BK99" i="38"/>
  <c r="BK100" i="38"/>
  <c r="BK101" i="38"/>
  <c r="BK102" i="38"/>
  <c r="BK103" i="38"/>
  <c r="BK104" i="38"/>
  <c r="BK105" i="38"/>
  <c r="BK106" i="38"/>
  <c r="BK107" i="38"/>
  <c r="BK108" i="38"/>
  <c r="BK109" i="38"/>
  <c r="BK110" i="38"/>
  <c r="BK111" i="38"/>
  <c r="BK112" i="38"/>
  <c r="BK113" i="38"/>
  <c r="BK114" i="38"/>
  <c r="BK115" i="38"/>
  <c r="BK116" i="38"/>
  <c r="BK117" i="38"/>
  <c r="BK118" i="38"/>
  <c r="BK119" i="38"/>
  <c r="BK120" i="38"/>
  <c r="BK121" i="38"/>
  <c r="BK122" i="38"/>
  <c r="BK123" i="38"/>
  <c r="BK124" i="38"/>
  <c r="BK125" i="38"/>
  <c r="BK126" i="38"/>
  <c r="BK127" i="38"/>
  <c r="BK128" i="38"/>
  <c r="BK129" i="38"/>
  <c r="BK130" i="38"/>
  <c r="BK131" i="38"/>
  <c r="BK132" i="38"/>
  <c r="BK133" i="38"/>
  <c r="BK134" i="38"/>
  <c r="BK135" i="38"/>
  <c r="BK136" i="38"/>
  <c r="BK137" i="38"/>
  <c r="BK138" i="38"/>
  <c r="BK139" i="38"/>
  <c r="BK140" i="38"/>
  <c r="BK141" i="38"/>
  <c r="BK142" i="38"/>
  <c r="BK143" i="38"/>
  <c r="BK144" i="38"/>
  <c r="BK145" i="38"/>
  <c r="BK146" i="38"/>
  <c r="BK147" i="38"/>
  <c r="BK148" i="38"/>
  <c r="BK149" i="38"/>
  <c r="BK150" i="38"/>
  <c r="BK151" i="38"/>
  <c r="BK152" i="38"/>
  <c r="BK153" i="38"/>
  <c r="BK154" i="38"/>
  <c r="BK155" i="38"/>
  <c r="BK156" i="38"/>
  <c r="BK157" i="38"/>
  <c r="BK158" i="38"/>
  <c r="BK159" i="38"/>
  <c r="BK160" i="38"/>
  <c r="BK161" i="38"/>
  <c r="BK162" i="38"/>
  <c r="BK163" i="38"/>
  <c r="BK164" i="38"/>
  <c r="BK165" i="38"/>
  <c r="BK166" i="38"/>
  <c r="BK167" i="38"/>
  <c r="BK168" i="38"/>
  <c r="BK169" i="38"/>
  <c r="BK170" i="38"/>
  <c r="BK171" i="38"/>
  <c r="BK172" i="38"/>
  <c r="BK173" i="38"/>
  <c r="BK174" i="38"/>
  <c r="BK175" i="38"/>
  <c r="BK176" i="38"/>
  <c r="BK177" i="38"/>
  <c r="BK178" i="38"/>
  <c r="BK179" i="38"/>
  <c r="BK180" i="38"/>
  <c r="BK181" i="38"/>
  <c r="BK182" i="38"/>
  <c r="BK183" i="38"/>
  <c r="BK184" i="38"/>
  <c r="BK185" i="38"/>
  <c r="BK186" i="38"/>
  <c r="BK187" i="38"/>
  <c r="BK188" i="38"/>
  <c r="BK189" i="38"/>
  <c r="BK190" i="38"/>
  <c r="BK191" i="38"/>
  <c r="BK192" i="38"/>
  <c r="BK193" i="38"/>
  <c r="BK194" i="38"/>
  <c r="BK195" i="38"/>
  <c r="BK196" i="38"/>
  <c r="BK197" i="38"/>
  <c r="BK198" i="38"/>
  <c r="BK199" i="38"/>
  <c r="BK200" i="38"/>
  <c r="BK201" i="38"/>
  <c r="BK202" i="38"/>
  <c r="BK203" i="38"/>
  <c r="BK204" i="38"/>
  <c r="BK205" i="38"/>
  <c r="BK206" i="38"/>
  <c r="BK207" i="38"/>
  <c r="BK208" i="38"/>
  <c r="BK209" i="38"/>
  <c r="BK210" i="38"/>
  <c r="BK211" i="38"/>
  <c r="BK212" i="38"/>
  <c r="BK213" i="38"/>
  <c r="BK214" i="38"/>
  <c r="BK215" i="38"/>
  <c r="BK216" i="38"/>
  <c r="BK217" i="38"/>
  <c r="BK218" i="38"/>
  <c r="BK219" i="38"/>
  <c r="BK220" i="38"/>
  <c r="BK221" i="38"/>
  <c r="BK222" i="38"/>
  <c r="BK223" i="38"/>
  <c r="BK224" i="38"/>
  <c r="BK225" i="38"/>
  <c r="BK226" i="38"/>
  <c r="BK227" i="38"/>
  <c r="BK228" i="38"/>
  <c r="BK229" i="38"/>
  <c r="BK230" i="38"/>
  <c r="BK231" i="38"/>
  <c r="BK232" i="38"/>
  <c r="BK233" i="38"/>
  <c r="BK234" i="38"/>
  <c r="BK235" i="38"/>
  <c r="BK236" i="38"/>
  <c r="BK237" i="38"/>
  <c r="BK238" i="38"/>
  <c r="BK239" i="38"/>
  <c r="BK240" i="38"/>
  <c r="BK241" i="38"/>
  <c r="BK242" i="38"/>
  <c r="BK243" i="38"/>
  <c r="BK244" i="38"/>
  <c r="BK245" i="38"/>
  <c r="BK246" i="38"/>
  <c r="BK247" i="38"/>
  <c r="BK248" i="38"/>
  <c r="BK249" i="38"/>
  <c r="BK250" i="38"/>
  <c r="BK251" i="38"/>
  <c r="BK252" i="38"/>
  <c r="BK253" i="38"/>
  <c r="BK254" i="38"/>
  <c r="BK255" i="38"/>
  <c r="BK256" i="38"/>
  <c r="BK257" i="38"/>
  <c r="BK258" i="38"/>
  <c r="BK259" i="38"/>
  <c r="BK260" i="38"/>
  <c r="BK261" i="38"/>
  <c r="BK262" i="38"/>
  <c r="BK263" i="38"/>
  <c r="BK264" i="38"/>
  <c r="BK265" i="38"/>
  <c r="BK266" i="38"/>
  <c r="BK267" i="38"/>
  <c r="BK268" i="38"/>
  <c r="BK269" i="38"/>
  <c r="BK270" i="38"/>
  <c r="BK271" i="38"/>
  <c r="BK272" i="38"/>
  <c r="BK273" i="38"/>
  <c r="BK274" i="38"/>
  <c r="BK275" i="38"/>
  <c r="BK276" i="38"/>
  <c r="BK277" i="38"/>
  <c r="BK278" i="38"/>
  <c r="BK279" i="38"/>
  <c r="BK280" i="38"/>
  <c r="BK281" i="38"/>
  <c r="BK282" i="38"/>
  <c r="BK283" i="38"/>
  <c r="BK284" i="38"/>
  <c r="BK285" i="38"/>
  <c r="BK286" i="38"/>
  <c r="BK287" i="38"/>
  <c r="BK288" i="38"/>
  <c r="BK289" i="38"/>
  <c r="BK290" i="38"/>
  <c r="BK291" i="38"/>
  <c r="BK292" i="38"/>
  <c r="BK293" i="38"/>
  <c r="BK294" i="38"/>
  <c r="BK295" i="38"/>
  <c r="BK296" i="38"/>
  <c r="BK297" i="38"/>
  <c r="BK298" i="38"/>
  <c r="BK299" i="38"/>
  <c r="BK300" i="38"/>
  <c r="BK301" i="38"/>
  <c r="BK302" i="38"/>
  <c r="BK303" i="38"/>
  <c r="BK304" i="38"/>
  <c r="BK305" i="38"/>
  <c r="BK306" i="38"/>
  <c r="BK307" i="38"/>
  <c r="BK308" i="38"/>
  <c r="BK309" i="38"/>
  <c r="BK310" i="38"/>
  <c r="BK311" i="38"/>
  <c r="BK312" i="38"/>
  <c r="BK313" i="38"/>
  <c r="BK314" i="38"/>
  <c r="BK315" i="38"/>
  <c r="BK316" i="38"/>
  <c r="BK317" i="38"/>
  <c r="BK318" i="38"/>
  <c r="BK319" i="38"/>
  <c r="BK320" i="38"/>
  <c r="BK321" i="38"/>
  <c r="BK322" i="38"/>
  <c r="BK323" i="38"/>
  <c r="BK324" i="38"/>
  <c r="BK325" i="38"/>
  <c r="BK326" i="38"/>
  <c r="BK327" i="38"/>
  <c r="BK328" i="38"/>
  <c r="BK329" i="38"/>
  <c r="BK330" i="38"/>
  <c r="BK331" i="38"/>
  <c r="BK332" i="38"/>
  <c r="BK333" i="38"/>
  <c r="BK334" i="38"/>
  <c r="BK335" i="38"/>
  <c r="BK336" i="38"/>
  <c r="BK337" i="38"/>
  <c r="BK338" i="38"/>
  <c r="BK339" i="38"/>
  <c r="BK340" i="38"/>
  <c r="BK341" i="38"/>
  <c r="BK342" i="38"/>
  <c r="BK343" i="38"/>
  <c r="BK344" i="38"/>
  <c r="BK345" i="38"/>
  <c r="BK346" i="38"/>
  <c r="BK347" i="38"/>
  <c r="BK348" i="38"/>
  <c r="BK349" i="38"/>
  <c r="BK350" i="38"/>
  <c r="BK351" i="38"/>
  <c r="BK352" i="38"/>
  <c r="BK353" i="38"/>
  <c r="BK354" i="38"/>
  <c r="BK355" i="38"/>
  <c r="BK356" i="38"/>
  <c r="BK357" i="38"/>
  <c r="BK358" i="38"/>
  <c r="BK359" i="38"/>
  <c r="BK360" i="38"/>
  <c r="BK361" i="38"/>
  <c r="BK362" i="38"/>
  <c r="BK363" i="38"/>
  <c r="BK364" i="38"/>
  <c r="BK365" i="38"/>
  <c r="BK366" i="38"/>
  <c r="BK367" i="38"/>
  <c r="BK368" i="38"/>
  <c r="BK369" i="38"/>
  <c r="BK370" i="38"/>
  <c r="BK371" i="38"/>
  <c r="BK372" i="38"/>
  <c r="BK373" i="38"/>
  <c r="BK374" i="38"/>
  <c r="BK375" i="38"/>
  <c r="BK376" i="38"/>
  <c r="BK11" i="38"/>
  <c r="BJ12" i="38"/>
  <c r="BJ13" i="38"/>
  <c r="BJ14" i="38"/>
  <c r="BJ15" i="38"/>
  <c r="BJ16" i="38"/>
  <c r="BJ17" i="38"/>
  <c r="BJ18" i="38"/>
  <c r="BJ19" i="38"/>
  <c r="BJ20" i="38"/>
  <c r="BJ21" i="38"/>
  <c r="BJ22" i="38"/>
  <c r="BJ23" i="38"/>
  <c r="BJ24" i="38"/>
  <c r="BJ25" i="38"/>
  <c r="BJ26" i="38"/>
  <c r="BJ27" i="38"/>
  <c r="BJ28" i="38"/>
  <c r="BJ29" i="38"/>
  <c r="BJ30" i="38"/>
  <c r="BJ31" i="38"/>
  <c r="BJ32" i="38"/>
  <c r="BJ33" i="38"/>
  <c r="BJ34" i="38"/>
  <c r="BJ35" i="38"/>
  <c r="BJ36" i="38"/>
  <c r="BJ37" i="38"/>
  <c r="BJ38" i="38"/>
  <c r="BJ39" i="38"/>
  <c r="BJ40" i="38"/>
  <c r="BJ41" i="38"/>
  <c r="BJ42" i="38"/>
  <c r="BJ43" i="38"/>
  <c r="BJ44" i="38"/>
  <c r="BJ45" i="38"/>
  <c r="BJ46" i="38"/>
  <c r="BJ47" i="38"/>
  <c r="BJ48" i="38"/>
  <c r="BJ49" i="38"/>
  <c r="BJ50" i="38"/>
  <c r="BJ51" i="38"/>
  <c r="BJ52" i="38"/>
  <c r="BJ53" i="38"/>
  <c r="BJ54" i="38"/>
  <c r="BJ55" i="38"/>
  <c r="BJ56" i="38"/>
  <c r="BJ57" i="38"/>
  <c r="BJ58" i="38"/>
  <c r="BJ59" i="38"/>
  <c r="BJ60" i="38"/>
  <c r="BJ61" i="38"/>
  <c r="BJ62" i="38"/>
  <c r="BJ63" i="38"/>
  <c r="BJ64" i="38"/>
  <c r="BJ65" i="38"/>
  <c r="BJ66" i="38"/>
  <c r="BJ67" i="38"/>
  <c r="BJ68" i="38"/>
  <c r="BJ69" i="38"/>
  <c r="BJ70" i="38"/>
  <c r="BJ71" i="38"/>
  <c r="BJ72" i="38"/>
  <c r="BJ73" i="38"/>
  <c r="BJ74" i="38"/>
  <c r="BJ75" i="38"/>
  <c r="BJ76" i="38"/>
  <c r="BJ77" i="38"/>
  <c r="BJ78" i="38"/>
  <c r="BJ79" i="38"/>
  <c r="BJ80" i="38"/>
  <c r="BJ81" i="38"/>
  <c r="BJ82" i="38"/>
  <c r="BJ83" i="38"/>
  <c r="BJ84" i="38"/>
  <c r="BJ85" i="38"/>
  <c r="BJ86" i="38"/>
  <c r="BJ87" i="38"/>
  <c r="BJ88" i="38"/>
  <c r="BJ89" i="38"/>
  <c r="BJ90" i="38"/>
  <c r="BJ91" i="38"/>
  <c r="BJ92" i="38"/>
  <c r="BJ93" i="38"/>
  <c r="BJ94" i="38"/>
  <c r="BJ95" i="38"/>
  <c r="BJ96" i="38"/>
  <c r="BJ97" i="38"/>
  <c r="BJ98" i="38"/>
  <c r="BJ99" i="38"/>
  <c r="BJ100" i="38"/>
  <c r="BJ101" i="38"/>
  <c r="BJ102" i="38"/>
  <c r="BJ103" i="38"/>
  <c r="BJ104" i="38"/>
  <c r="BJ105" i="38"/>
  <c r="BJ106" i="38"/>
  <c r="BJ107" i="38"/>
  <c r="BJ108" i="38"/>
  <c r="BJ109" i="38"/>
  <c r="BJ110" i="38"/>
  <c r="BJ111" i="38"/>
  <c r="BJ112" i="38"/>
  <c r="BJ113" i="38"/>
  <c r="BJ114" i="38"/>
  <c r="BJ115" i="38"/>
  <c r="BJ116" i="38"/>
  <c r="BJ117" i="38"/>
  <c r="BJ118" i="38"/>
  <c r="BJ119" i="38"/>
  <c r="BJ120" i="38"/>
  <c r="BJ121" i="38"/>
  <c r="BJ122" i="38"/>
  <c r="BJ123" i="38"/>
  <c r="BJ124" i="38"/>
  <c r="BJ125" i="38"/>
  <c r="BJ126" i="38"/>
  <c r="BJ127" i="38"/>
  <c r="BJ128" i="38"/>
  <c r="BJ129" i="38"/>
  <c r="BJ130" i="38"/>
  <c r="BJ131" i="38"/>
  <c r="BJ132" i="38"/>
  <c r="BJ133" i="38"/>
  <c r="BJ134" i="38"/>
  <c r="BJ135" i="38"/>
  <c r="BJ136" i="38"/>
  <c r="BJ137" i="38"/>
  <c r="BJ138" i="38"/>
  <c r="BJ139" i="38"/>
  <c r="BJ140" i="38"/>
  <c r="BJ141" i="38"/>
  <c r="BJ142" i="38"/>
  <c r="BJ143" i="38"/>
  <c r="BJ144" i="38"/>
  <c r="BJ145" i="38"/>
  <c r="BJ146" i="38"/>
  <c r="BJ147" i="38"/>
  <c r="BJ148" i="38"/>
  <c r="BJ149" i="38"/>
  <c r="BJ150" i="38"/>
  <c r="BJ151" i="38"/>
  <c r="BJ152" i="38"/>
  <c r="BJ153" i="38"/>
  <c r="BJ154" i="38"/>
  <c r="BJ155" i="38"/>
  <c r="BJ156" i="38"/>
  <c r="BJ157" i="38"/>
  <c r="BJ158" i="38"/>
  <c r="BJ159" i="38"/>
  <c r="BJ160" i="38"/>
  <c r="BJ161" i="38"/>
  <c r="BJ162" i="38"/>
  <c r="BJ163" i="38"/>
  <c r="BJ164" i="38"/>
  <c r="BJ165" i="38"/>
  <c r="BJ166" i="38"/>
  <c r="BJ167" i="38"/>
  <c r="BJ168" i="38"/>
  <c r="BJ169" i="38"/>
  <c r="BJ170" i="38"/>
  <c r="BJ171" i="38"/>
  <c r="BJ172" i="38"/>
  <c r="BJ173" i="38"/>
  <c r="BJ174" i="38"/>
  <c r="BJ175" i="38"/>
  <c r="BJ176" i="38"/>
  <c r="BJ177" i="38"/>
  <c r="BJ178" i="38"/>
  <c r="BJ179" i="38"/>
  <c r="BJ180" i="38"/>
  <c r="BJ181" i="38"/>
  <c r="BJ182" i="38"/>
  <c r="BJ183" i="38"/>
  <c r="BJ184" i="38"/>
  <c r="BJ185" i="38"/>
  <c r="BJ186" i="38"/>
  <c r="BJ187" i="38"/>
  <c r="BJ188" i="38"/>
  <c r="BJ189" i="38"/>
  <c r="BJ190" i="38"/>
  <c r="BJ191" i="38"/>
  <c r="BJ192" i="38"/>
  <c r="BJ193" i="38"/>
  <c r="BJ194" i="38"/>
  <c r="BJ195" i="38"/>
  <c r="BJ196" i="38"/>
  <c r="BJ197" i="38"/>
  <c r="BJ198" i="38"/>
  <c r="BJ199" i="38"/>
  <c r="BJ200" i="38"/>
  <c r="BJ201" i="38"/>
  <c r="BJ202" i="38"/>
  <c r="BJ203" i="38"/>
  <c r="BJ204" i="38"/>
  <c r="BJ205" i="38"/>
  <c r="BJ206" i="38"/>
  <c r="BJ207" i="38"/>
  <c r="BJ208" i="38"/>
  <c r="BJ209" i="38"/>
  <c r="BJ210" i="38"/>
  <c r="BJ211" i="38"/>
  <c r="BJ212" i="38"/>
  <c r="BJ213" i="38"/>
  <c r="BJ214" i="38"/>
  <c r="BJ215" i="38"/>
  <c r="BJ216" i="38"/>
  <c r="BJ217" i="38"/>
  <c r="BJ218" i="38"/>
  <c r="BJ219" i="38"/>
  <c r="BJ220" i="38"/>
  <c r="BJ221" i="38"/>
  <c r="BJ222" i="38"/>
  <c r="BJ223" i="38"/>
  <c r="BJ224" i="38"/>
  <c r="BJ225" i="38"/>
  <c r="BJ226" i="38"/>
  <c r="BJ227" i="38"/>
  <c r="BJ228" i="38"/>
  <c r="BJ229" i="38"/>
  <c r="BJ230" i="38"/>
  <c r="BJ231" i="38"/>
  <c r="BJ232" i="38"/>
  <c r="BJ233" i="38"/>
  <c r="BJ234" i="38"/>
  <c r="BJ235" i="38"/>
  <c r="BJ236" i="38"/>
  <c r="BJ237" i="38"/>
  <c r="BJ238" i="38"/>
  <c r="BJ239" i="38"/>
  <c r="BJ240" i="38"/>
  <c r="BJ241" i="38"/>
  <c r="BJ242" i="38"/>
  <c r="BJ243" i="38"/>
  <c r="BJ244" i="38"/>
  <c r="BJ245" i="38"/>
  <c r="BJ246" i="38"/>
  <c r="BJ247" i="38"/>
  <c r="BJ248" i="38"/>
  <c r="BJ249" i="38"/>
  <c r="BJ250" i="38"/>
  <c r="BJ251" i="38"/>
  <c r="BJ252" i="38"/>
  <c r="BJ253" i="38"/>
  <c r="BJ254" i="38"/>
  <c r="BJ255" i="38"/>
  <c r="BJ256" i="38"/>
  <c r="BJ257" i="38"/>
  <c r="BJ258" i="38"/>
  <c r="BJ259" i="38"/>
  <c r="BJ260" i="38"/>
  <c r="BJ261" i="38"/>
  <c r="BJ262" i="38"/>
  <c r="BJ263" i="38"/>
  <c r="BJ264" i="38"/>
  <c r="BJ265" i="38"/>
  <c r="BJ266" i="38"/>
  <c r="BJ267" i="38"/>
  <c r="BJ268" i="38"/>
  <c r="BJ269" i="38"/>
  <c r="BJ270" i="38"/>
  <c r="BJ271" i="38"/>
  <c r="BJ272" i="38"/>
  <c r="BJ273" i="38"/>
  <c r="BJ274" i="38"/>
  <c r="BJ275" i="38"/>
  <c r="BJ276" i="38"/>
  <c r="BJ277" i="38"/>
  <c r="BJ278" i="38"/>
  <c r="BJ279" i="38"/>
  <c r="BJ280" i="38"/>
  <c r="BJ281" i="38"/>
  <c r="BJ282" i="38"/>
  <c r="BJ283" i="38"/>
  <c r="BJ284" i="38"/>
  <c r="BJ285" i="38"/>
  <c r="BJ286" i="38"/>
  <c r="BJ287" i="38"/>
  <c r="BJ288" i="38"/>
  <c r="BJ289" i="38"/>
  <c r="BJ290" i="38"/>
  <c r="BJ291" i="38"/>
  <c r="BJ292" i="38"/>
  <c r="BJ293" i="38"/>
  <c r="BJ294" i="38"/>
  <c r="BJ295" i="38"/>
  <c r="BJ296" i="38"/>
  <c r="BJ297" i="38"/>
  <c r="BJ298" i="38"/>
  <c r="BJ299" i="38"/>
  <c r="BJ300" i="38"/>
  <c r="BJ301" i="38"/>
  <c r="BJ302" i="38"/>
  <c r="BJ303" i="38"/>
  <c r="BJ304" i="38"/>
  <c r="BJ305" i="38"/>
  <c r="BJ306" i="38"/>
  <c r="BJ307" i="38"/>
  <c r="BJ308" i="38"/>
  <c r="BJ309" i="38"/>
  <c r="BJ310" i="38"/>
  <c r="BJ311" i="38"/>
  <c r="BJ312" i="38"/>
  <c r="BJ313" i="38"/>
  <c r="BJ314" i="38"/>
  <c r="BJ315" i="38"/>
  <c r="BJ316" i="38"/>
  <c r="BJ317" i="38"/>
  <c r="BJ318" i="38"/>
  <c r="BJ319" i="38"/>
  <c r="BJ320" i="38"/>
  <c r="BJ321" i="38"/>
  <c r="BJ322" i="38"/>
  <c r="BJ323" i="38"/>
  <c r="BJ324" i="38"/>
  <c r="BJ325" i="38"/>
  <c r="BJ326" i="38"/>
  <c r="BJ327" i="38"/>
  <c r="BJ328" i="38"/>
  <c r="BJ329" i="38"/>
  <c r="BJ330" i="38"/>
  <c r="BJ331" i="38"/>
  <c r="BJ332" i="38"/>
  <c r="BJ333" i="38"/>
  <c r="BJ334" i="38"/>
  <c r="BJ335" i="38"/>
  <c r="BJ336" i="38"/>
  <c r="BJ337" i="38"/>
  <c r="BJ338" i="38"/>
  <c r="BJ339" i="38"/>
  <c r="BJ340" i="38"/>
  <c r="BJ341" i="38"/>
  <c r="BJ342" i="38"/>
  <c r="BJ343" i="38"/>
  <c r="BJ344" i="38"/>
  <c r="BJ345" i="38"/>
  <c r="BJ346" i="38"/>
  <c r="BJ347" i="38"/>
  <c r="BJ348" i="38"/>
  <c r="BJ349" i="38"/>
  <c r="BJ350" i="38"/>
  <c r="BJ351" i="38"/>
  <c r="BJ352" i="38"/>
  <c r="BJ353" i="38"/>
  <c r="BJ354" i="38"/>
  <c r="BJ355" i="38"/>
  <c r="BJ356" i="38"/>
  <c r="BJ357" i="38"/>
  <c r="BJ358" i="38"/>
  <c r="BJ359" i="38"/>
  <c r="BJ360" i="38"/>
  <c r="BJ361" i="38"/>
  <c r="BJ362" i="38"/>
  <c r="BJ363" i="38"/>
  <c r="BJ364" i="38"/>
  <c r="BJ365" i="38"/>
  <c r="BJ366" i="38"/>
  <c r="BJ367" i="38"/>
  <c r="BJ368" i="38"/>
  <c r="BJ369" i="38"/>
  <c r="BJ370" i="38"/>
  <c r="BJ371" i="38"/>
  <c r="BJ372" i="38"/>
  <c r="BJ373" i="38"/>
  <c r="BJ374" i="38"/>
  <c r="BJ375" i="38"/>
  <c r="BJ376" i="38"/>
  <c r="BJ11" i="38"/>
  <c r="BJ381" i="38" s="1"/>
  <c r="BI12" i="38"/>
  <c r="BI13" i="38"/>
  <c r="BI14" i="38"/>
  <c r="BI15" i="38"/>
  <c r="BI16" i="38"/>
  <c r="BI17" i="38"/>
  <c r="BI18" i="38"/>
  <c r="BI19" i="38"/>
  <c r="BI20" i="38"/>
  <c r="BI21" i="38"/>
  <c r="BI22" i="38"/>
  <c r="BI23" i="38"/>
  <c r="BI24" i="38"/>
  <c r="BI25" i="38"/>
  <c r="BI26" i="38"/>
  <c r="BI27" i="38"/>
  <c r="BI28" i="38"/>
  <c r="BI29" i="38"/>
  <c r="BI30" i="38"/>
  <c r="BI31" i="38"/>
  <c r="BI32" i="38"/>
  <c r="BI33" i="38"/>
  <c r="BI34" i="38"/>
  <c r="BI35" i="38"/>
  <c r="BI36" i="38"/>
  <c r="BI37" i="38"/>
  <c r="BI38" i="38"/>
  <c r="BI39" i="38"/>
  <c r="BI40" i="38"/>
  <c r="BI41" i="38"/>
  <c r="BI42" i="38"/>
  <c r="BI43" i="38"/>
  <c r="BI44" i="38"/>
  <c r="BI45" i="38"/>
  <c r="BI46" i="38"/>
  <c r="BI47" i="38"/>
  <c r="BI48" i="38"/>
  <c r="BI49" i="38"/>
  <c r="BI50" i="38"/>
  <c r="BI51" i="38"/>
  <c r="BI52" i="38"/>
  <c r="BI53" i="38"/>
  <c r="BI54" i="38"/>
  <c r="BI55" i="38"/>
  <c r="BI56" i="38"/>
  <c r="BI57" i="38"/>
  <c r="BI58" i="38"/>
  <c r="BI59" i="38"/>
  <c r="BI60" i="38"/>
  <c r="BI61" i="38"/>
  <c r="BI62" i="38"/>
  <c r="BI63" i="38"/>
  <c r="BI64" i="38"/>
  <c r="BI65" i="38"/>
  <c r="BI66" i="38"/>
  <c r="BI67" i="38"/>
  <c r="BI68" i="38"/>
  <c r="BI69" i="38"/>
  <c r="BI70" i="38"/>
  <c r="BI71" i="38"/>
  <c r="BI72" i="38"/>
  <c r="BI73" i="38"/>
  <c r="BI74" i="38"/>
  <c r="BI75" i="38"/>
  <c r="BI76" i="38"/>
  <c r="BI77" i="38"/>
  <c r="BI78" i="38"/>
  <c r="BI79" i="38"/>
  <c r="BI80" i="38"/>
  <c r="BI81" i="38"/>
  <c r="BI82" i="38"/>
  <c r="BI83" i="38"/>
  <c r="BI84" i="38"/>
  <c r="BI85" i="38"/>
  <c r="BI86" i="38"/>
  <c r="BI87" i="38"/>
  <c r="BI88" i="38"/>
  <c r="BI89" i="38"/>
  <c r="BI90" i="38"/>
  <c r="BI91" i="38"/>
  <c r="BI92" i="38"/>
  <c r="BI93" i="38"/>
  <c r="BI94" i="38"/>
  <c r="BI95" i="38"/>
  <c r="BI96" i="38"/>
  <c r="BI97" i="38"/>
  <c r="BI98" i="38"/>
  <c r="BI99" i="38"/>
  <c r="BI100" i="38"/>
  <c r="BI101" i="38"/>
  <c r="BI102" i="38"/>
  <c r="BI103" i="38"/>
  <c r="BI104" i="38"/>
  <c r="BI105" i="38"/>
  <c r="BI106" i="38"/>
  <c r="BI107" i="38"/>
  <c r="BI108" i="38"/>
  <c r="BI109" i="38"/>
  <c r="BI110" i="38"/>
  <c r="BI111" i="38"/>
  <c r="BI112" i="38"/>
  <c r="BI113" i="38"/>
  <c r="BI114" i="38"/>
  <c r="BI115" i="38"/>
  <c r="BI116" i="38"/>
  <c r="BI117" i="38"/>
  <c r="BI118" i="38"/>
  <c r="BI119" i="38"/>
  <c r="BI120" i="38"/>
  <c r="BI121" i="38"/>
  <c r="BI122" i="38"/>
  <c r="BI123" i="38"/>
  <c r="BI124" i="38"/>
  <c r="BI125" i="38"/>
  <c r="BI126" i="38"/>
  <c r="BI127" i="38"/>
  <c r="BI128" i="38"/>
  <c r="BI129" i="38"/>
  <c r="BI130" i="38"/>
  <c r="BI131" i="38"/>
  <c r="BI132" i="38"/>
  <c r="BI133" i="38"/>
  <c r="BI134" i="38"/>
  <c r="BI135" i="38"/>
  <c r="BI136" i="38"/>
  <c r="BI137" i="38"/>
  <c r="BI138" i="38"/>
  <c r="BI139" i="38"/>
  <c r="BI140" i="38"/>
  <c r="BI141" i="38"/>
  <c r="BI142" i="38"/>
  <c r="BI143" i="38"/>
  <c r="BI144" i="38"/>
  <c r="BI145" i="38"/>
  <c r="BI146" i="38"/>
  <c r="BI147" i="38"/>
  <c r="BI148" i="38"/>
  <c r="BI149" i="38"/>
  <c r="BI150" i="38"/>
  <c r="BI151" i="38"/>
  <c r="BI152" i="38"/>
  <c r="BI153" i="38"/>
  <c r="BI154" i="38"/>
  <c r="BI155" i="38"/>
  <c r="BI156" i="38"/>
  <c r="BI157" i="38"/>
  <c r="BI158" i="38"/>
  <c r="BI159" i="38"/>
  <c r="BI160" i="38"/>
  <c r="BI161" i="38"/>
  <c r="BI162" i="38"/>
  <c r="BI163" i="38"/>
  <c r="BI164" i="38"/>
  <c r="BI165" i="38"/>
  <c r="BI166" i="38"/>
  <c r="BI167" i="38"/>
  <c r="BI168" i="38"/>
  <c r="BI169" i="38"/>
  <c r="BI170" i="38"/>
  <c r="BI171" i="38"/>
  <c r="BI172" i="38"/>
  <c r="BI173" i="38"/>
  <c r="BI174" i="38"/>
  <c r="BI175" i="38"/>
  <c r="BI176" i="38"/>
  <c r="BI177" i="38"/>
  <c r="BI178" i="38"/>
  <c r="BI179" i="38"/>
  <c r="BI180" i="38"/>
  <c r="BI181" i="38"/>
  <c r="BI182" i="38"/>
  <c r="BI183" i="38"/>
  <c r="BI184" i="38"/>
  <c r="BI185" i="38"/>
  <c r="BI186" i="38"/>
  <c r="BI187" i="38"/>
  <c r="BI188" i="38"/>
  <c r="BI189" i="38"/>
  <c r="BI190" i="38"/>
  <c r="BI191" i="38"/>
  <c r="BI192" i="38"/>
  <c r="BI193" i="38"/>
  <c r="BI194" i="38"/>
  <c r="BI195" i="38"/>
  <c r="BI196" i="38"/>
  <c r="BI197" i="38"/>
  <c r="BI198" i="38"/>
  <c r="BI199" i="38"/>
  <c r="BI200" i="38"/>
  <c r="BI201" i="38"/>
  <c r="BI202" i="38"/>
  <c r="BI203" i="38"/>
  <c r="BI204" i="38"/>
  <c r="BI205" i="38"/>
  <c r="BI206" i="38"/>
  <c r="BI207" i="38"/>
  <c r="BI208" i="38"/>
  <c r="BI209" i="38"/>
  <c r="BI210" i="38"/>
  <c r="BI211" i="38"/>
  <c r="BI212" i="38"/>
  <c r="BI213" i="38"/>
  <c r="BI214" i="38"/>
  <c r="BI215" i="38"/>
  <c r="BI216" i="38"/>
  <c r="BI217" i="38"/>
  <c r="BI218" i="38"/>
  <c r="BI219" i="38"/>
  <c r="BI220" i="38"/>
  <c r="BI221" i="38"/>
  <c r="BI222" i="38"/>
  <c r="BI223" i="38"/>
  <c r="BI224" i="38"/>
  <c r="BI225" i="38"/>
  <c r="BI226" i="38"/>
  <c r="BI227" i="38"/>
  <c r="BI228" i="38"/>
  <c r="BI229" i="38"/>
  <c r="BI230" i="38"/>
  <c r="BI231" i="38"/>
  <c r="BI232" i="38"/>
  <c r="BI233" i="38"/>
  <c r="BI234" i="38"/>
  <c r="BI235" i="38"/>
  <c r="BI236" i="38"/>
  <c r="BI237" i="38"/>
  <c r="BI238" i="38"/>
  <c r="BI239" i="38"/>
  <c r="BI240" i="38"/>
  <c r="BI241" i="38"/>
  <c r="BI242" i="38"/>
  <c r="BI243" i="38"/>
  <c r="BI244" i="38"/>
  <c r="BI245" i="38"/>
  <c r="BI246" i="38"/>
  <c r="BI247" i="38"/>
  <c r="BI248" i="38"/>
  <c r="BI249" i="38"/>
  <c r="BI250" i="38"/>
  <c r="BI251" i="38"/>
  <c r="BI252" i="38"/>
  <c r="BI253" i="38"/>
  <c r="BI254" i="38"/>
  <c r="BI255" i="38"/>
  <c r="BI256" i="38"/>
  <c r="BI257" i="38"/>
  <c r="BI258" i="38"/>
  <c r="BI259" i="38"/>
  <c r="BI260" i="38"/>
  <c r="BI261" i="38"/>
  <c r="BI262" i="38"/>
  <c r="BI263" i="38"/>
  <c r="BI264" i="38"/>
  <c r="BI265" i="38"/>
  <c r="BI266" i="38"/>
  <c r="BI267" i="38"/>
  <c r="BI268" i="38"/>
  <c r="BI269" i="38"/>
  <c r="BI270" i="38"/>
  <c r="BI271" i="38"/>
  <c r="BI272" i="38"/>
  <c r="BI273" i="38"/>
  <c r="BI274" i="38"/>
  <c r="BI275" i="38"/>
  <c r="BI276" i="38"/>
  <c r="BI277" i="38"/>
  <c r="BI278" i="38"/>
  <c r="BI279" i="38"/>
  <c r="BI280" i="38"/>
  <c r="BI281" i="38"/>
  <c r="BI282" i="38"/>
  <c r="BI283" i="38"/>
  <c r="BI284" i="38"/>
  <c r="BI285" i="38"/>
  <c r="BI286" i="38"/>
  <c r="BI287" i="38"/>
  <c r="BI288" i="38"/>
  <c r="BI289" i="38"/>
  <c r="BI290" i="38"/>
  <c r="BI291" i="38"/>
  <c r="BI292" i="38"/>
  <c r="BI293" i="38"/>
  <c r="BI294" i="38"/>
  <c r="BI295" i="38"/>
  <c r="BI296" i="38"/>
  <c r="BI297" i="38"/>
  <c r="BI298" i="38"/>
  <c r="BI299" i="38"/>
  <c r="BI300" i="38"/>
  <c r="BI301" i="38"/>
  <c r="BI302" i="38"/>
  <c r="BI303" i="38"/>
  <c r="BI304" i="38"/>
  <c r="BI305" i="38"/>
  <c r="BI306" i="38"/>
  <c r="BI307" i="38"/>
  <c r="BI308" i="38"/>
  <c r="BI309" i="38"/>
  <c r="BI310" i="38"/>
  <c r="BI311" i="38"/>
  <c r="BI312" i="38"/>
  <c r="BI313" i="38"/>
  <c r="BI314" i="38"/>
  <c r="BI315" i="38"/>
  <c r="BI316" i="38"/>
  <c r="BI317" i="38"/>
  <c r="BI318" i="38"/>
  <c r="BI319" i="38"/>
  <c r="BI320" i="38"/>
  <c r="BI321" i="38"/>
  <c r="BI322" i="38"/>
  <c r="BI323" i="38"/>
  <c r="BI324" i="38"/>
  <c r="BI325" i="38"/>
  <c r="BI326" i="38"/>
  <c r="BI327" i="38"/>
  <c r="BI328" i="38"/>
  <c r="BI329" i="38"/>
  <c r="BI330" i="38"/>
  <c r="BI331" i="38"/>
  <c r="BI332" i="38"/>
  <c r="BI333" i="38"/>
  <c r="BI334" i="38"/>
  <c r="BI335" i="38"/>
  <c r="BI336" i="38"/>
  <c r="BI337" i="38"/>
  <c r="BI338" i="38"/>
  <c r="BI339" i="38"/>
  <c r="BI340" i="38"/>
  <c r="BI341" i="38"/>
  <c r="BI342" i="38"/>
  <c r="BI343" i="38"/>
  <c r="BI344" i="38"/>
  <c r="BI345" i="38"/>
  <c r="BI346" i="38"/>
  <c r="BI347" i="38"/>
  <c r="BI348" i="38"/>
  <c r="BI349" i="38"/>
  <c r="BI350" i="38"/>
  <c r="BI351" i="38"/>
  <c r="BI352" i="38"/>
  <c r="BI353" i="38"/>
  <c r="BI354" i="38"/>
  <c r="BI355" i="38"/>
  <c r="BI356" i="38"/>
  <c r="BI357" i="38"/>
  <c r="BI358" i="38"/>
  <c r="BI359" i="38"/>
  <c r="BI360" i="38"/>
  <c r="BI361" i="38"/>
  <c r="BI362" i="38"/>
  <c r="BI363" i="38"/>
  <c r="BI364" i="38"/>
  <c r="BI365" i="38"/>
  <c r="BI366" i="38"/>
  <c r="BI367" i="38"/>
  <c r="BI368" i="38"/>
  <c r="BI369" i="38"/>
  <c r="BI370" i="38"/>
  <c r="BI371" i="38"/>
  <c r="BI372" i="38"/>
  <c r="BI373" i="38"/>
  <c r="BI374" i="38"/>
  <c r="BI375" i="38"/>
  <c r="BI376" i="38"/>
  <c r="BI11" i="38"/>
  <c r="BI382" i="38" s="1"/>
  <c r="BH12" i="38"/>
  <c r="BH13" i="38"/>
  <c r="BH14" i="38"/>
  <c r="BH15" i="38"/>
  <c r="BH16" i="38"/>
  <c r="BH17" i="38"/>
  <c r="BH18" i="38"/>
  <c r="BH19" i="38"/>
  <c r="BH20" i="38"/>
  <c r="BH21" i="38"/>
  <c r="BH22" i="38"/>
  <c r="BH23" i="38"/>
  <c r="BH24" i="38"/>
  <c r="BH25" i="38"/>
  <c r="BH26" i="38"/>
  <c r="BH27" i="38"/>
  <c r="BH28" i="38"/>
  <c r="BH29" i="38"/>
  <c r="BH30" i="38"/>
  <c r="BH31" i="38"/>
  <c r="BH32" i="38"/>
  <c r="BH33" i="38"/>
  <c r="BH34" i="38"/>
  <c r="BH35" i="38"/>
  <c r="BH36" i="38"/>
  <c r="BH37" i="38"/>
  <c r="BH38" i="38"/>
  <c r="BH39" i="38"/>
  <c r="BH40" i="38"/>
  <c r="BH41" i="38"/>
  <c r="BH42" i="38"/>
  <c r="BH43" i="38"/>
  <c r="BH44" i="38"/>
  <c r="BH45" i="38"/>
  <c r="BH46" i="38"/>
  <c r="BH47" i="38"/>
  <c r="BH48" i="38"/>
  <c r="BH49" i="38"/>
  <c r="BH50" i="38"/>
  <c r="BH51" i="38"/>
  <c r="BH52" i="38"/>
  <c r="BH53" i="38"/>
  <c r="BH54" i="38"/>
  <c r="BH55" i="38"/>
  <c r="BH56" i="38"/>
  <c r="BH57" i="38"/>
  <c r="BH58" i="38"/>
  <c r="BH59" i="38"/>
  <c r="BH60" i="38"/>
  <c r="BH61" i="38"/>
  <c r="BH62" i="38"/>
  <c r="BH63" i="38"/>
  <c r="BH64" i="38"/>
  <c r="BH65" i="38"/>
  <c r="BH66" i="38"/>
  <c r="BH67" i="38"/>
  <c r="BH68" i="38"/>
  <c r="BH69" i="38"/>
  <c r="BH70" i="38"/>
  <c r="BH71" i="38"/>
  <c r="BH72" i="38"/>
  <c r="BH73" i="38"/>
  <c r="BH74" i="38"/>
  <c r="BH75" i="38"/>
  <c r="BH76" i="38"/>
  <c r="BH77" i="38"/>
  <c r="BH78" i="38"/>
  <c r="BH79" i="38"/>
  <c r="BH80" i="38"/>
  <c r="BH81" i="38"/>
  <c r="BH82" i="38"/>
  <c r="BH83" i="38"/>
  <c r="BH84" i="38"/>
  <c r="BH85" i="38"/>
  <c r="BH86" i="38"/>
  <c r="BH87" i="38"/>
  <c r="BH88" i="38"/>
  <c r="BH89" i="38"/>
  <c r="BH90" i="38"/>
  <c r="BH91" i="38"/>
  <c r="BH92" i="38"/>
  <c r="BH93" i="38"/>
  <c r="BH94" i="38"/>
  <c r="BH95" i="38"/>
  <c r="BH96" i="38"/>
  <c r="BH97" i="38"/>
  <c r="BH98" i="38"/>
  <c r="BH99" i="38"/>
  <c r="BH100" i="38"/>
  <c r="BH101" i="38"/>
  <c r="BH102" i="38"/>
  <c r="BH103" i="38"/>
  <c r="BH104" i="38"/>
  <c r="BH105" i="38"/>
  <c r="BH106" i="38"/>
  <c r="BH107" i="38"/>
  <c r="BH108" i="38"/>
  <c r="BH109" i="38"/>
  <c r="BH110" i="38"/>
  <c r="BH111" i="38"/>
  <c r="BH112" i="38"/>
  <c r="BH113" i="38"/>
  <c r="BH114" i="38"/>
  <c r="BH115" i="38"/>
  <c r="BH116" i="38"/>
  <c r="BH117" i="38"/>
  <c r="BH118" i="38"/>
  <c r="BH119" i="38"/>
  <c r="BH120" i="38"/>
  <c r="BH121" i="38"/>
  <c r="BH122" i="38"/>
  <c r="BH123" i="38"/>
  <c r="BH124" i="38"/>
  <c r="BH125" i="38"/>
  <c r="BH126" i="38"/>
  <c r="BH127" i="38"/>
  <c r="BH128" i="38"/>
  <c r="BH129" i="38"/>
  <c r="BH130" i="38"/>
  <c r="BH131" i="38"/>
  <c r="BH132" i="38"/>
  <c r="BH133" i="38"/>
  <c r="BH134" i="38"/>
  <c r="BH135" i="38"/>
  <c r="BH136" i="38"/>
  <c r="BH137" i="38"/>
  <c r="BH138" i="38"/>
  <c r="BH139" i="38"/>
  <c r="BH140" i="38"/>
  <c r="BH141" i="38"/>
  <c r="BH142" i="38"/>
  <c r="BH143" i="38"/>
  <c r="BH144" i="38"/>
  <c r="BH145" i="38"/>
  <c r="BH146" i="38"/>
  <c r="BH147" i="38"/>
  <c r="BH148" i="38"/>
  <c r="BH149" i="38"/>
  <c r="BH150" i="38"/>
  <c r="BH151" i="38"/>
  <c r="BH152" i="38"/>
  <c r="BH153" i="38"/>
  <c r="BH154" i="38"/>
  <c r="BH155" i="38"/>
  <c r="BH156" i="38"/>
  <c r="BH157" i="38"/>
  <c r="BH158" i="38"/>
  <c r="BH159" i="38"/>
  <c r="BH160" i="38"/>
  <c r="BH161" i="38"/>
  <c r="BH162" i="38"/>
  <c r="BH163" i="38"/>
  <c r="BH164" i="38"/>
  <c r="BH165" i="38"/>
  <c r="BH166" i="38"/>
  <c r="BH167" i="38"/>
  <c r="BH168" i="38"/>
  <c r="BH169" i="38"/>
  <c r="BH170" i="38"/>
  <c r="BH171" i="38"/>
  <c r="BH172" i="38"/>
  <c r="BH173" i="38"/>
  <c r="BH174" i="38"/>
  <c r="BH175" i="38"/>
  <c r="BH176" i="38"/>
  <c r="BH177" i="38"/>
  <c r="BH178" i="38"/>
  <c r="BH179" i="38"/>
  <c r="BH180" i="38"/>
  <c r="BH181" i="38"/>
  <c r="BH182" i="38"/>
  <c r="BH183" i="38"/>
  <c r="BH184" i="38"/>
  <c r="BH185" i="38"/>
  <c r="BH186" i="38"/>
  <c r="BH187" i="38"/>
  <c r="BH188" i="38"/>
  <c r="BH189" i="38"/>
  <c r="BH190" i="38"/>
  <c r="BH191" i="38"/>
  <c r="BH192" i="38"/>
  <c r="BH193" i="38"/>
  <c r="BH194" i="38"/>
  <c r="BH195" i="38"/>
  <c r="BH196" i="38"/>
  <c r="BH197" i="38"/>
  <c r="BH198" i="38"/>
  <c r="BH199" i="38"/>
  <c r="BH200" i="38"/>
  <c r="BH201" i="38"/>
  <c r="BH202" i="38"/>
  <c r="BH203" i="38"/>
  <c r="BH204" i="38"/>
  <c r="BH205" i="38"/>
  <c r="BH206" i="38"/>
  <c r="BH207" i="38"/>
  <c r="BH208" i="38"/>
  <c r="BH209" i="38"/>
  <c r="BH210" i="38"/>
  <c r="BH211" i="38"/>
  <c r="BH212" i="38"/>
  <c r="BH213" i="38"/>
  <c r="BH214" i="38"/>
  <c r="BH215" i="38"/>
  <c r="BH216" i="38"/>
  <c r="BH217" i="38"/>
  <c r="BH218" i="38"/>
  <c r="BH219" i="38"/>
  <c r="BH220" i="38"/>
  <c r="BH221" i="38"/>
  <c r="BH222" i="38"/>
  <c r="BH223" i="38"/>
  <c r="BH224" i="38"/>
  <c r="BH225" i="38"/>
  <c r="BH226" i="38"/>
  <c r="BH227" i="38"/>
  <c r="BH228" i="38"/>
  <c r="BH229" i="38"/>
  <c r="BH230" i="38"/>
  <c r="BH231" i="38"/>
  <c r="BH232" i="38"/>
  <c r="BH233" i="38"/>
  <c r="BH234" i="38"/>
  <c r="BH235" i="38"/>
  <c r="BH236" i="38"/>
  <c r="BH237" i="38"/>
  <c r="BH238" i="38"/>
  <c r="BH239" i="38"/>
  <c r="BH240" i="38"/>
  <c r="BH241" i="38"/>
  <c r="BH242" i="38"/>
  <c r="BH243" i="38"/>
  <c r="BH244" i="38"/>
  <c r="BH245" i="38"/>
  <c r="BH246" i="38"/>
  <c r="BH247" i="38"/>
  <c r="BH248" i="38"/>
  <c r="BH249" i="38"/>
  <c r="BH250" i="38"/>
  <c r="BH251" i="38"/>
  <c r="BH252" i="38"/>
  <c r="BH253" i="38"/>
  <c r="BH254" i="38"/>
  <c r="BH255" i="38"/>
  <c r="BH256" i="38"/>
  <c r="BH257" i="38"/>
  <c r="BH258" i="38"/>
  <c r="BH259" i="38"/>
  <c r="BH260" i="38"/>
  <c r="BH261" i="38"/>
  <c r="BH262" i="38"/>
  <c r="BH263" i="38"/>
  <c r="BH264" i="38"/>
  <c r="BH265" i="38"/>
  <c r="BH266" i="38"/>
  <c r="BH267" i="38"/>
  <c r="BH268" i="38"/>
  <c r="BH269" i="38"/>
  <c r="BH270" i="38"/>
  <c r="BH271" i="38"/>
  <c r="BH272" i="38"/>
  <c r="BH273" i="38"/>
  <c r="BH274" i="38"/>
  <c r="BH275" i="38"/>
  <c r="BH276" i="38"/>
  <c r="BH277" i="38"/>
  <c r="BH278" i="38"/>
  <c r="BH279" i="38"/>
  <c r="BH280" i="38"/>
  <c r="BH281" i="38"/>
  <c r="BH282" i="38"/>
  <c r="BH283" i="38"/>
  <c r="BH284" i="38"/>
  <c r="BH285" i="38"/>
  <c r="BH286" i="38"/>
  <c r="BH287" i="38"/>
  <c r="BH288" i="38"/>
  <c r="BH289" i="38"/>
  <c r="BH290" i="38"/>
  <c r="BH291" i="38"/>
  <c r="BH292" i="38"/>
  <c r="BH293" i="38"/>
  <c r="BH294" i="38"/>
  <c r="BH295" i="38"/>
  <c r="BH296" i="38"/>
  <c r="BH297" i="38"/>
  <c r="BH298" i="38"/>
  <c r="BH299" i="38"/>
  <c r="BH300" i="38"/>
  <c r="BH301" i="38"/>
  <c r="BH302" i="38"/>
  <c r="BH303" i="38"/>
  <c r="BH304" i="38"/>
  <c r="BH305" i="38"/>
  <c r="BH306" i="38"/>
  <c r="BH307" i="38"/>
  <c r="BH308" i="38"/>
  <c r="BH309" i="38"/>
  <c r="BH310" i="38"/>
  <c r="BH311" i="38"/>
  <c r="BH312" i="38"/>
  <c r="BH313" i="38"/>
  <c r="BH314" i="38"/>
  <c r="BH315" i="38"/>
  <c r="BH316" i="38"/>
  <c r="BH317" i="38"/>
  <c r="BH318" i="38"/>
  <c r="BH319" i="38"/>
  <c r="BH320" i="38"/>
  <c r="BH321" i="38"/>
  <c r="BH322" i="38"/>
  <c r="BH323" i="38"/>
  <c r="BH324" i="38"/>
  <c r="BH325" i="38"/>
  <c r="BH326" i="38"/>
  <c r="BH327" i="38"/>
  <c r="BH328" i="38"/>
  <c r="BH329" i="38"/>
  <c r="BH330" i="38"/>
  <c r="BH331" i="38"/>
  <c r="BH332" i="38"/>
  <c r="BH333" i="38"/>
  <c r="BH334" i="38"/>
  <c r="BH335" i="38"/>
  <c r="BH336" i="38"/>
  <c r="BH337" i="38"/>
  <c r="BH338" i="38"/>
  <c r="BH339" i="38"/>
  <c r="BH340" i="38"/>
  <c r="BH341" i="38"/>
  <c r="BH342" i="38"/>
  <c r="BH343" i="38"/>
  <c r="BH344" i="38"/>
  <c r="BH345" i="38"/>
  <c r="BH346" i="38"/>
  <c r="BH347" i="38"/>
  <c r="BH348" i="38"/>
  <c r="BH349" i="38"/>
  <c r="BH350" i="38"/>
  <c r="BH351" i="38"/>
  <c r="BH352" i="38"/>
  <c r="BH353" i="38"/>
  <c r="BH354" i="38"/>
  <c r="BH355" i="38"/>
  <c r="BH356" i="38"/>
  <c r="BH357" i="38"/>
  <c r="BH358" i="38"/>
  <c r="BH359" i="38"/>
  <c r="BH360" i="38"/>
  <c r="BH361" i="38"/>
  <c r="BH362" i="38"/>
  <c r="BH363" i="38"/>
  <c r="BH364" i="38"/>
  <c r="BH365" i="38"/>
  <c r="BH366" i="38"/>
  <c r="BH367" i="38"/>
  <c r="BH368" i="38"/>
  <c r="BH369" i="38"/>
  <c r="BH370" i="38"/>
  <c r="BH371" i="38"/>
  <c r="BH372" i="38"/>
  <c r="BH373" i="38"/>
  <c r="BH374" i="38"/>
  <c r="BH375" i="38"/>
  <c r="BH376" i="38"/>
  <c r="BH11" i="38"/>
  <c r="BH382" i="38" s="1"/>
  <c r="BG12" i="38"/>
  <c r="BG13" i="38"/>
  <c r="BG14" i="38"/>
  <c r="BG15" i="38"/>
  <c r="BG16" i="38"/>
  <c r="BG17" i="38"/>
  <c r="BG18" i="38"/>
  <c r="BG19" i="38"/>
  <c r="BG20" i="38"/>
  <c r="BG21" i="38"/>
  <c r="BG22" i="38"/>
  <c r="BG23" i="38"/>
  <c r="BG24" i="38"/>
  <c r="BG25" i="38"/>
  <c r="BG26" i="38"/>
  <c r="BG27" i="38"/>
  <c r="BG28" i="38"/>
  <c r="BG29" i="38"/>
  <c r="BG30" i="38"/>
  <c r="BG31" i="38"/>
  <c r="BG32" i="38"/>
  <c r="BG33" i="38"/>
  <c r="BG34" i="38"/>
  <c r="BG35" i="38"/>
  <c r="BG36" i="38"/>
  <c r="BG37" i="38"/>
  <c r="BG38" i="38"/>
  <c r="BG39" i="38"/>
  <c r="BG40" i="38"/>
  <c r="BG41" i="38"/>
  <c r="BG42" i="38"/>
  <c r="BG43" i="38"/>
  <c r="BG44" i="38"/>
  <c r="BG45" i="38"/>
  <c r="BG46" i="38"/>
  <c r="BG47" i="38"/>
  <c r="BG48" i="38"/>
  <c r="BG49" i="38"/>
  <c r="BG50" i="38"/>
  <c r="BG51" i="38"/>
  <c r="BG52" i="38"/>
  <c r="BG53" i="38"/>
  <c r="BG54" i="38"/>
  <c r="BG55" i="38"/>
  <c r="BG56" i="38"/>
  <c r="BG57" i="38"/>
  <c r="BG58" i="38"/>
  <c r="BG59" i="38"/>
  <c r="BG60" i="38"/>
  <c r="BG61" i="38"/>
  <c r="BG62" i="38"/>
  <c r="BG63" i="38"/>
  <c r="BG64" i="38"/>
  <c r="BG65" i="38"/>
  <c r="BG66" i="38"/>
  <c r="BG67" i="38"/>
  <c r="BG68" i="38"/>
  <c r="BG69" i="38"/>
  <c r="BG70" i="38"/>
  <c r="BG71" i="38"/>
  <c r="BG72" i="38"/>
  <c r="BG73" i="38"/>
  <c r="BG74" i="38"/>
  <c r="BG75" i="38"/>
  <c r="BG76" i="38"/>
  <c r="BG77" i="38"/>
  <c r="BG78" i="38"/>
  <c r="BG79" i="38"/>
  <c r="BG80" i="38"/>
  <c r="BG81" i="38"/>
  <c r="BG82" i="38"/>
  <c r="BG83" i="38"/>
  <c r="BG84" i="38"/>
  <c r="BG85" i="38"/>
  <c r="BG86" i="38"/>
  <c r="BG87" i="38"/>
  <c r="BG88" i="38"/>
  <c r="BG89" i="38"/>
  <c r="BG90" i="38"/>
  <c r="BG91" i="38"/>
  <c r="BG92" i="38"/>
  <c r="BG93" i="38"/>
  <c r="BG94" i="38"/>
  <c r="BG95" i="38"/>
  <c r="BG96" i="38"/>
  <c r="BG97" i="38"/>
  <c r="BG98" i="38"/>
  <c r="BG99" i="38"/>
  <c r="BG100" i="38"/>
  <c r="BG101" i="38"/>
  <c r="BG102" i="38"/>
  <c r="BG103" i="38"/>
  <c r="BG104" i="38"/>
  <c r="BG105" i="38"/>
  <c r="BG106" i="38"/>
  <c r="BG107" i="38"/>
  <c r="BG108" i="38"/>
  <c r="BG109" i="38"/>
  <c r="BG110" i="38"/>
  <c r="BG111" i="38"/>
  <c r="BG112" i="38"/>
  <c r="BG113" i="38"/>
  <c r="BG114" i="38"/>
  <c r="BG115" i="38"/>
  <c r="BG116" i="38"/>
  <c r="BG117" i="38"/>
  <c r="BG118" i="38"/>
  <c r="BG119" i="38"/>
  <c r="BG120" i="38"/>
  <c r="BG121" i="38"/>
  <c r="BG122" i="38"/>
  <c r="BG123" i="38"/>
  <c r="BG124" i="38"/>
  <c r="BG125" i="38"/>
  <c r="BG126" i="38"/>
  <c r="BG127" i="38"/>
  <c r="BG128" i="38"/>
  <c r="BG129" i="38"/>
  <c r="BG130" i="38"/>
  <c r="BG131" i="38"/>
  <c r="BG132" i="38"/>
  <c r="BG133" i="38"/>
  <c r="BG134" i="38"/>
  <c r="BG135" i="38"/>
  <c r="BG136" i="38"/>
  <c r="BG137" i="38"/>
  <c r="BG138" i="38"/>
  <c r="BG139" i="38"/>
  <c r="BG140" i="38"/>
  <c r="BG141" i="38"/>
  <c r="BG142" i="38"/>
  <c r="BG143" i="38"/>
  <c r="BG144" i="38"/>
  <c r="BG145" i="38"/>
  <c r="BG146" i="38"/>
  <c r="BG147" i="38"/>
  <c r="BG148" i="38"/>
  <c r="BG149" i="38"/>
  <c r="BG150" i="38"/>
  <c r="BG151" i="38"/>
  <c r="BG152" i="38"/>
  <c r="BG153" i="38"/>
  <c r="BG154" i="38"/>
  <c r="BG155" i="38"/>
  <c r="BG156" i="38"/>
  <c r="BG157" i="38"/>
  <c r="BG158" i="38"/>
  <c r="BG159" i="38"/>
  <c r="BG160" i="38"/>
  <c r="BG161" i="38"/>
  <c r="BG162" i="38"/>
  <c r="BG163" i="38"/>
  <c r="BG164" i="38"/>
  <c r="BG165" i="38"/>
  <c r="BG166" i="38"/>
  <c r="BG167" i="38"/>
  <c r="BG168" i="38"/>
  <c r="BG169" i="38"/>
  <c r="BG170" i="38"/>
  <c r="BG171" i="38"/>
  <c r="BG172" i="38"/>
  <c r="BG173" i="38"/>
  <c r="BG174" i="38"/>
  <c r="BG175" i="38"/>
  <c r="BG176" i="38"/>
  <c r="BG177" i="38"/>
  <c r="BG178" i="38"/>
  <c r="BG179" i="38"/>
  <c r="BG180" i="38"/>
  <c r="BG181" i="38"/>
  <c r="BG182" i="38"/>
  <c r="BG183" i="38"/>
  <c r="BG184" i="38"/>
  <c r="BG185" i="38"/>
  <c r="BG186" i="38"/>
  <c r="BG187" i="38"/>
  <c r="BG188" i="38"/>
  <c r="BG189" i="38"/>
  <c r="BG190" i="38"/>
  <c r="BG191" i="38"/>
  <c r="BG192" i="38"/>
  <c r="BG193" i="38"/>
  <c r="BG194" i="38"/>
  <c r="BG195" i="38"/>
  <c r="BG196" i="38"/>
  <c r="BG197" i="38"/>
  <c r="BG198" i="38"/>
  <c r="BG199" i="38"/>
  <c r="BG200" i="38"/>
  <c r="BG201" i="38"/>
  <c r="BG202" i="38"/>
  <c r="BG203" i="38"/>
  <c r="BG204" i="38"/>
  <c r="BG205" i="38"/>
  <c r="BG206" i="38"/>
  <c r="BG207" i="38"/>
  <c r="BG208" i="38"/>
  <c r="BG209" i="38"/>
  <c r="BG210" i="38"/>
  <c r="BG211" i="38"/>
  <c r="BG212" i="38"/>
  <c r="BG213" i="38"/>
  <c r="BG214" i="38"/>
  <c r="BG215" i="38"/>
  <c r="BG216" i="38"/>
  <c r="BG217" i="38"/>
  <c r="BG218" i="38"/>
  <c r="BG219" i="38"/>
  <c r="BG220" i="38"/>
  <c r="BG221" i="38"/>
  <c r="BG222" i="38"/>
  <c r="BG223" i="38"/>
  <c r="BG224" i="38"/>
  <c r="BG225" i="38"/>
  <c r="BG226" i="38"/>
  <c r="BG227" i="38"/>
  <c r="BG228" i="38"/>
  <c r="BG229" i="38"/>
  <c r="BG230" i="38"/>
  <c r="BG231" i="38"/>
  <c r="BG232" i="38"/>
  <c r="BG233" i="38"/>
  <c r="BG234" i="38"/>
  <c r="BG235" i="38"/>
  <c r="BG236" i="38"/>
  <c r="BG237" i="38"/>
  <c r="BG238" i="38"/>
  <c r="BG239" i="38"/>
  <c r="BG240" i="38"/>
  <c r="BG241" i="38"/>
  <c r="BG242" i="38"/>
  <c r="BG243" i="38"/>
  <c r="BG244" i="38"/>
  <c r="BG245" i="38"/>
  <c r="BG246" i="38"/>
  <c r="BG247" i="38"/>
  <c r="BG248" i="38"/>
  <c r="BG249" i="38"/>
  <c r="BG250" i="38"/>
  <c r="BG251" i="38"/>
  <c r="BG252" i="38"/>
  <c r="BG253" i="38"/>
  <c r="BG254" i="38"/>
  <c r="BG255" i="38"/>
  <c r="BG256" i="38"/>
  <c r="BG257" i="38"/>
  <c r="BG258" i="38"/>
  <c r="BG259" i="38"/>
  <c r="BG260" i="38"/>
  <c r="BG261" i="38"/>
  <c r="BG262" i="38"/>
  <c r="BG263" i="38"/>
  <c r="BG264" i="38"/>
  <c r="BG265" i="38"/>
  <c r="BG266" i="38"/>
  <c r="BG267" i="38"/>
  <c r="BG268" i="38"/>
  <c r="BG269" i="38"/>
  <c r="BG270" i="38"/>
  <c r="BG271" i="38"/>
  <c r="BG272" i="38"/>
  <c r="BG273" i="38"/>
  <c r="BG274" i="38"/>
  <c r="BG275" i="38"/>
  <c r="BG276" i="38"/>
  <c r="BG277" i="38"/>
  <c r="BG278" i="38"/>
  <c r="BG279" i="38"/>
  <c r="BG280" i="38"/>
  <c r="BG281" i="38"/>
  <c r="BG282" i="38"/>
  <c r="BG283" i="38"/>
  <c r="BG284" i="38"/>
  <c r="BG285" i="38"/>
  <c r="BG286" i="38"/>
  <c r="BG287" i="38"/>
  <c r="BG288" i="38"/>
  <c r="BG289" i="38"/>
  <c r="BG290" i="38"/>
  <c r="BG291" i="38"/>
  <c r="BG292" i="38"/>
  <c r="BG293" i="38"/>
  <c r="BG294" i="38"/>
  <c r="BG295" i="38"/>
  <c r="BG296" i="38"/>
  <c r="BG297" i="38"/>
  <c r="BG298" i="38"/>
  <c r="BG299" i="38"/>
  <c r="BG300" i="38"/>
  <c r="BG301" i="38"/>
  <c r="BG302" i="38"/>
  <c r="BG303" i="38"/>
  <c r="BG304" i="38"/>
  <c r="BG305" i="38"/>
  <c r="BG306" i="38"/>
  <c r="BG307" i="38"/>
  <c r="BG308" i="38"/>
  <c r="BG309" i="38"/>
  <c r="BG310" i="38"/>
  <c r="BG311" i="38"/>
  <c r="BG312" i="38"/>
  <c r="BG313" i="38"/>
  <c r="BG314" i="38"/>
  <c r="BG315" i="38"/>
  <c r="BG316" i="38"/>
  <c r="BG317" i="38"/>
  <c r="BG318" i="38"/>
  <c r="BG319" i="38"/>
  <c r="BG320" i="38"/>
  <c r="BG321" i="38"/>
  <c r="BG322" i="38"/>
  <c r="BG323" i="38"/>
  <c r="BG324" i="38"/>
  <c r="BG325" i="38"/>
  <c r="BG326" i="38"/>
  <c r="BG327" i="38"/>
  <c r="BG328" i="38"/>
  <c r="BG329" i="38"/>
  <c r="BG330" i="38"/>
  <c r="BG331" i="38"/>
  <c r="BG332" i="38"/>
  <c r="BG333" i="38"/>
  <c r="BG334" i="38"/>
  <c r="BG335" i="38"/>
  <c r="BG336" i="38"/>
  <c r="BG337" i="38"/>
  <c r="BG338" i="38"/>
  <c r="BG339" i="38"/>
  <c r="BG340" i="38"/>
  <c r="BG341" i="38"/>
  <c r="BG342" i="38"/>
  <c r="BG343" i="38"/>
  <c r="BG344" i="38"/>
  <c r="BG345" i="38"/>
  <c r="BG346" i="38"/>
  <c r="BG347" i="38"/>
  <c r="BG348" i="38"/>
  <c r="BG349" i="38"/>
  <c r="BG350" i="38"/>
  <c r="BG351" i="38"/>
  <c r="BG352" i="38"/>
  <c r="BG353" i="38"/>
  <c r="BG354" i="38"/>
  <c r="BG355" i="38"/>
  <c r="BG356" i="38"/>
  <c r="BG357" i="38"/>
  <c r="BG358" i="38"/>
  <c r="BG359" i="38"/>
  <c r="BG360" i="38"/>
  <c r="BG361" i="38"/>
  <c r="BG362" i="38"/>
  <c r="BG363" i="38"/>
  <c r="BG364" i="38"/>
  <c r="BG365" i="38"/>
  <c r="BG366" i="38"/>
  <c r="BG367" i="38"/>
  <c r="BG368" i="38"/>
  <c r="BG369" i="38"/>
  <c r="BG370" i="38"/>
  <c r="BG371" i="38"/>
  <c r="BG372" i="38"/>
  <c r="BG373" i="38"/>
  <c r="BG374" i="38"/>
  <c r="BG375" i="38"/>
  <c r="BG376" i="38"/>
  <c r="BG11" i="38"/>
  <c r="BG385" i="38" s="1"/>
  <c r="BG380" i="38" l="1"/>
  <c r="BG386" i="38"/>
  <c r="BJ389" i="38"/>
  <c r="BJ390" i="38" s="1"/>
  <c r="BJ387" i="38"/>
  <c r="BJ385" i="38"/>
  <c r="BJ383" i="38"/>
  <c r="BI381" i="38"/>
  <c r="BG381" i="38"/>
  <c r="BG387" i="38"/>
  <c r="BI389" i="38"/>
  <c r="BI390" i="38" s="1"/>
  <c r="BI387" i="38"/>
  <c r="BI385" i="38"/>
  <c r="BI383" i="38"/>
  <c r="BH381" i="38"/>
  <c r="BG382" i="38"/>
  <c r="BG388" i="38"/>
  <c r="BH389" i="38"/>
  <c r="BH390" i="38" s="1"/>
  <c r="BH387" i="38"/>
  <c r="BH385" i="38"/>
  <c r="BH383" i="38"/>
  <c r="BJ380" i="38"/>
  <c r="BG383" i="38"/>
  <c r="BG389" i="38"/>
  <c r="BG390" i="38" s="1"/>
  <c r="BJ388" i="38"/>
  <c r="BJ386" i="38"/>
  <c r="BJ384" i="38"/>
  <c r="BJ382" i="38"/>
  <c r="BI380" i="38"/>
  <c r="BK381" i="38"/>
  <c r="BG384" i="38"/>
  <c r="BI388" i="38"/>
  <c r="BI386" i="38"/>
  <c r="BI384" i="38"/>
  <c r="BH380" i="38"/>
  <c r="BH388" i="38"/>
  <c r="BH386" i="38"/>
  <c r="BH384" i="38"/>
  <c r="BK389" i="38"/>
  <c r="BK390" i="38" s="1"/>
  <c r="BK387" i="38"/>
  <c r="BK385" i="38"/>
  <c r="BK383" i="38"/>
  <c r="BK380" i="38"/>
  <c r="BK388" i="38"/>
  <c r="BK386" i="38"/>
  <c r="BK384" i="38"/>
  <c r="BK382" i="38"/>
  <c r="Q11" i="38" l="1"/>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P11" i="38"/>
  <c r="P12" i="38"/>
  <c r="P13" i="38"/>
  <c r="P14" i="38"/>
  <c r="P15" i="38"/>
  <c r="P16" i="38"/>
  <c r="P17" i="38"/>
  <c r="P18" i="38"/>
  <c r="P19" i="38"/>
  <c r="P20" i="38"/>
  <c r="P21" i="38"/>
  <c r="P22" i="38"/>
  <c r="P23" i="38"/>
  <c r="P24" i="38"/>
  <c r="P25" i="38"/>
  <c r="P26" i="38"/>
  <c r="P27" i="38"/>
  <c r="P28" i="38"/>
  <c r="P29" i="38"/>
  <c r="P30" i="38"/>
  <c r="P31" i="38"/>
  <c r="P32" i="38"/>
  <c r="P33" i="38"/>
  <c r="P34" i="38"/>
  <c r="P35" i="38"/>
  <c r="P36" i="38"/>
  <c r="P37" i="38"/>
  <c r="P38" i="38"/>
  <c r="P39" i="38"/>
  <c r="P40" i="38"/>
  <c r="P41" i="38"/>
  <c r="P42" i="38"/>
  <c r="P43" i="38"/>
  <c r="P44" i="38"/>
  <c r="P45" i="38"/>
  <c r="P46" i="38"/>
  <c r="P47" i="38"/>
  <c r="P48" i="38"/>
  <c r="P49" i="38"/>
  <c r="P50" i="38"/>
  <c r="P51" i="38"/>
  <c r="P52" i="38"/>
  <c r="P53" i="38"/>
  <c r="P54" i="38"/>
  <c r="P55" i="38"/>
  <c r="P56" i="38"/>
  <c r="P57" i="38"/>
  <c r="P58" i="38"/>
  <c r="P59" i="38"/>
  <c r="P60" i="38"/>
  <c r="P61" i="38"/>
  <c r="P62" i="38"/>
  <c r="P63" i="38"/>
  <c r="P64" i="38"/>
  <c r="P65" i="38"/>
  <c r="P66" i="38"/>
  <c r="P67" i="38"/>
  <c r="P68" i="38"/>
  <c r="P69" i="38"/>
  <c r="P70" i="38"/>
  <c r="P71" i="38"/>
  <c r="P72" i="38"/>
  <c r="P73" i="38"/>
  <c r="P74" i="38"/>
  <c r="P75" i="38"/>
  <c r="P76" i="38"/>
  <c r="P77" i="38"/>
  <c r="P78" i="38"/>
  <c r="P79" i="38"/>
  <c r="P80" i="38"/>
  <c r="P81" i="38"/>
  <c r="P82" i="38"/>
  <c r="P83" i="38"/>
  <c r="P84" i="38"/>
  <c r="P85" i="38"/>
  <c r="P86" i="38"/>
  <c r="P87" i="38"/>
  <c r="P88" i="38"/>
  <c r="P89" i="38"/>
  <c r="P90" i="38"/>
  <c r="P91" i="38"/>
  <c r="P92" i="38"/>
  <c r="P93" i="38"/>
  <c r="P94" i="38"/>
  <c r="P95" i="38"/>
  <c r="P96" i="38"/>
  <c r="P97" i="38"/>
  <c r="P98" i="38"/>
  <c r="P99" i="38"/>
  <c r="P100" i="38"/>
  <c r="P101" i="38"/>
  <c r="P102" i="38"/>
  <c r="P103" i="38"/>
  <c r="P104" i="38"/>
  <c r="P105" i="38"/>
  <c r="P106" i="38"/>
  <c r="P107" i="38"/>
  <c r="P108" i="38"/>
  <c r="P109" i="38"/>
  <c r="P110" i="38"/>
  <c r="P111" i="38"/>
  <c r="P112" i="38"/>
  <c r="P113" i="38"/>
  <c r="P114" i="38"/>
  <c r="P115" i="38"/>
  <c r="P116" i="38"/>
  <c r="P117" i="38"/>
  <c r="P118" i="38"/>
  <c r="P119" i="38"/>
  <c r="P120" i="38"/>
  <c r="P121" i="38"/>
  <c r="P122" i="38"/>
  <c r="P123" i="38"/>
  <c r="P124" i="38"/>
  <c r="P125" i="38"/>
  <c r="P126" i="38"/>
  <c r="P127" i="38"/>
  <c r="P128" i="38"/>
  <c r="P129" i="38"/>
  <c r="P130" i="38"/>
  <c r="P131" i="38"/>
  <c r="P132" i="38"/>
  <c r="P133" i="38"/>
  <c r="P134" i="38"/>
  <c r="P135" i="38"/>
  <c r="P136" i="38"/>
  <c r="P137" i="38"/>
  <c r="P138" i="38"/>
  <c r="P139" i="38"/>
  <c r="P140" i="38"/>
  <c r="P141" i="38"/>
  <c r="P142" i="38"/>
  <c r="P143" i="38"/>
  <c r="P144" i="38"/>
  <c r="P145" i="38"/>
  <c r="P146" i="38"/>
  <c r="P147" i="38"/>
  <c r="P148" i="38"/>
  <c r="P149" i="38"/>
  <c r="P150" i="38"/>
  <c r="P151" i="38"/>
  <c r="P152" i="38"/>
  <c r="P153" i="38"/>
  <c r="P154" i="38"/>
  <c r="P155" i="38"/>
  <c r="P156" i="38"/>
  <c r="P157" i="38"/>
  <c r="P158" i="38"/>
  <c r="P159" i="38"/>
  <c r="P160" i="38"/>
  <c r="P161" i="38"/>
  <c r="P162" i="38"/>
  <c r="P163" i="38"/>
  <c r="P164" i="38"/>
  <c r="P165" i="38"/>
  <c r="P166" i="38"/>
  <c r="P167" i="38"/>
  <c r="P168" i="38"/>
  <c r="P169" i="38"/>
  <c r="P170" i="38"/>
  <c r="P171" i="38"/>
  <c r="P172" i="38"/>
  <c r="P173" i="38"/>
  <c r="P174" i="38"/>
  <c r="P175" i="38"/>
  <c r="P176" i="38"/>
  <c r="P177" i="38"/>
  <c r="P178" i="38"/>
  <c r="P179" i="38"/>
  <c r="P180" i="38"/>
  <c r="P181" i="38"/>
  <c r="P182" i="38"/>
  <c r="P183" i="38"/>
  <c r="P184" i="38"/>
  <c r="P185" i="38"/>
  <c r="P186" i="38"/>
  <c r="P187" i="38"/>
  <c r="P188" i="38"/>
  <c r="P189" i="38"/>
  <c r="P190" i="38"/>
  <c r="P191" i="38"/>
  <c r="P192" i="38"/>
  <c r="P193" i="38"/>
  <c r="P194" i="38"/>
  <c r="P195" i="38"/>
  <c r="P196" i="38"/>
  <c r="P197" i="38"/>
  <c r="P198" i="38"/>
  <c r="P199" i="38"/>
  <c r="P200" i="38"/>
  <c r="P201" i="38"/>
  <c r="P202" i="38"/>
  <c r="P203" i="38"/>
  <c r="P204" i="38"/>
  <c r="P205" i="38"/>
  <c r="P206" i="38"/>
  <c r="P207" i="38"/>
  <c r="P208" i="38"/>
  <c r="P209" i="38"/>
  <c r="P210" i="38"/>
  <c r="P211" i="38"/>
  <c r="P212" i="38"/>
  <c r="P213" i="38"/>
  <c r="P214" i="38"/>
  <c r="P215" i="38"/>
  <c r="P216" i="38"/>
  <c r="P217" i="38"/>
  <c r="P218" i="38"/>
  <c r="P219" i="38"/>
  <c r="P220" i="38"/>
  <c r="P221" i="38"/>
  <c r="P222" i="38"/>
  <c r="P223" i="38"/>
  <c r="P224" i="38"/>
  <c r="P225" i="38"/>
  <c r="P226" i="38"/>
  <c r="P227" i="38"/>
  <c r="P228" i="38"/>
  <c r="P229" i="38"/>
  <c r="P230" i="38"/>
  <c r="P231" i="38"/>
  <c r="P232" i="38"/>
  <c r="P233" i="38"/>
  <c r="P234" i="38"/>
  <c r="P235" i="38"/>
  <c r="P236" i="38"/>
  <c r="P237" i="38"/>
  <c r="P238" i="38"/>
  <c r="P239" i="38"/>
  <c r="P240" i="38"/>
  <c r="P241" i="38"/>
  <c r="P242" i="38"/>
  <c r="P243" i="38"/>
  <c r="P244" i="38"/>
  <c r="P245" i="38"/>
  <c r="P246" i="38"/>
  <c r="P247" i="38"/>
  <c r="P248" i="38"/>
  <c r="P249" i="38"/>
  <c r="P250" i="38"/>
  <c r="P251" i="38"/>
  <c r="P252" i="38"/>
  <c r="P253" i="38"/>
  <c r="P254" i="38"/>
  <c r="P255" i="38"/>
  <c r="P256" i="38"/>
  <c r="P257" i="38"/>
  <c r="P258" i="38"/>
  <c r="P259" i="38"/>
  <c r="P260" i="38"/>
  <c r="P261" i="38"/>
  <c r="P262" i="38"/>
  <c r="P263" i="38"/>
  <c r="P264" i="38"/>
  <c r="P265" i="38"/>
  <c r="P266" i="38"/>
  <c r="P267" i="38"/>
  <c r="P268" i="38"/>
  <c r="P269" i="38"/>
  <c r="P270" i="38"/>
  <c r="P271" i="38"/>
  <c r="P272" i="38"/>
  <c r="P273" i="38"/>
  <c r="P274" i="38"/>
  <c r="P275" i="38"/>
  <c r="P276" i="38"/>
  <c r="P277" i="38"/>
  <c r="P278" i="38"/>
  <c r="P279" i="38"/>
  <c r="P280" i="38"/>
  <c r="P281" i="38"/>
  <c r="P282" i="38"/>
  <c r="P283" i="38"/>
  <c r="P284" i="38"/>
  <c r="P285" i="38"/>
  <c r="P286" i="38"/>
  <c r="P287" i="38"/>
  <c r="P288" i="38"/>
  <c r="P289" i="38"/>
  <c r="P290" i="38"/>
  <c r="P291" i="38"/>
  <c r="P292" i="38"/>
  <c r="P293" i="38"/>
  <c r="P294" i="38"/>
  <c r="P295" i="38"/>
  <c r="P296" i="38"/>
  <c r="P297" i="38"/>
  <c r="P298" i="38"/>
  <c r="P299" i="38"/>
  <c r="P300" i="38"/>
  <c r="P301" i="38"/>
  <c r="P302" i="38"/>
  <c r="P303" i="38"/>
  <c r="P304" i="38"/>
  <c r="P305" i="38"/>
  <c r="P306" i="38"/>
  <c r="P307" i="38"/>
  <c r="P308" i="38"/>
  <c r="P309" i="38"/>
  <c r="P310" i="38"/>
  <c r="P311" i="38"/>
  <c r="P312" i="38"/>
  <c r="P313" i="38"/>
  <c r="P314" i="38"/>
  <c r="P315" i="38"/>
  <c r="P316" i="38"/>
  <c r="P317" i="38"/>
  <c r="P318" i="38"/>
  <c r="P319" i="38"/>
  <c r="P320" i="38"/>
  <c r="P321" i="38"/>
  <c r="P322" i="38"/>
  <c r="P323" i="38"/>
  <c r="P324" i="38"/>
  <c r="P325" i="38"/>
  <c r="P326" i="38"/>
  <c r="P327" i="38"/>
  <c r="P328" i="38"/>
  <c r="P329" i="38"/>
  <c r="P330" i="38"/>
  <c r="P331" i="38"/>
  <c r="P332" i="38"/>
  <c r="P333" i="38"/>
  <c r="P334" i="38"/>
  <c r="P335" i="38"/>
  <c r="P336" i="38"/>
  <c r="P337" i="38"/>
  <c r="P338" i="38"/>
  <c r="P339" i="38"/>
  <c r="P340" i="38"/>
  <c r="P341" i="38"/>
  <c r="P342" i="38"/>
  <c r="P343" i="38"/>
  <c r="P344" i="38"/>
  <c r="P345" i="38"/>
  <c r="P346" i="38"/>
  <c r="P347" i="38"/>
  <c r="P348" i="38"/>
  <c r="P349" i="38"/>
  <c r="P350" i="38"/>
  <c r="P351" i="38"/>
  <c r="P352" i="38"/>
  <c r="P353" i="38"/>
  <c r="P354" i="38"/>
  <c r="P355" i="38"/>
  <c r="P356" i="38"/>
  <c r="P357" i="38"/>
  <c r="P358" i="38"/>
  <c r="P359" i="38"/>
  <c r="P360" i="38"/>
  <c r="P361" i="38"/>
  <c r="P362" i="38"/>
  <c r="P363" i="38"/>
  <c r="P364" i="38"/>
  <c r="P365" i="38"/>
  <c r="P366" i="38"/>
  <c r="P367" i="38"/>
  <c r="P368" i="38"/>
  <c r="P369" i="38"/>
  <c r="P370" i="38"/>
  <c r="P371" i="38"/>
  <c r="P372" i="38"/>
  <c r="P373" i="38"/>
  <c r="P374" i="38"/>
  <c r="P375" i="38"/>
  <c r="P376"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O203" i="38"/>
  <c r="O204" i="38"/>
  <c r="O205" i="38"/>
  <c r="O206" i="38"/>
  <c r="O207" i="38"/>
  <c r="O208" i="38"/>
  <c r="O209" i="38"/>
  <c r="O210" i="38"/>
  <c r="O211" i="38"/>
  <c r="O212" i="38"/>
  <c r="O213" i="38"/>
  <c r="O214" i="38"/>
  <c r="O215" i="38"/>
  <c r="O216" i="38"/>
  <c r="O217" i="38"/>
  <c r="O218" i="38"/>
  <c r="O219" i="38"/>
  <c r="O220" i="38"/>
  <c r="O221" i="38"/>
  <c r="O222" i="38"/>
  <c r="O223" i="38"/>
  <c r="O224" i="38"/>
  <c r="O225" i="38"/>
  <c r="O226" i="38"/>
  <c r="O227" i="38"/>
  <c r="O228" i="38"/>
  <c r="O229" i="38"/>
  <c r="O230" i="38"/>
  <c r="O231" i="38"/>
  <c r="O232" i="38"/>
  <c r="O233" i="38"/>
  <c r="O234" i="38"/>
  <c r="O235" i="38"/>
  <c r="O236" i="38"/>
  <c r="O237" i="38"/>
  <c r="O238" i="38"/>
  <c r="O239" i="38"/>
  <c r="O240" i="38"/>
  <c r="O241" i="38"/>
  <c r="O242" i="38"/>
  <c r="O243" i="38"/>
  <c r="O244" i="38"/>
  <c r="O245" i="38"/>
  <c r="O246" i="38"/>
  <c r="O247" i="38"/>
  <c r="O248" i="38"/>
  <c r="O249" i="38"/>
  <c r="O250" i="38"/>
  <c r="O251" i="38"/>
  <c r="O252" i="38"/>
  <c r="O253" i="38"/>
  <c r="O254" i="38"/>
  <c r="O255" i="38"/>
  <c r="O256" i="38"/>
  <c r="O257" i="38"/>
  <c r="O258" i="38"/>
  <c r="O259" i="38"/>
  <c r="O260" i="38"/>
  <c r="O261" i="38"/>
  <c r="O262" i="38"/>
  <c r="O263" i="38"/>
  <c r="O264" i="38"/>
  <c r="O265" i="38"/>
  <c r="O266" i="38"/>
  <c r="O267" i="38"/>
  <c r="O268" i="38"/>
  <c r="O269" i="38"/>
  <c r="O270" i="38"/>
  <c r="O271" i="38"/>
  <c r="O272" i="38"/>
  <c r="O273" i="38"/>
  <c r="O274" i="38"/>
  <c r="O275" i="38"/>
  <c r="O276" i="38"/>
  <c r="O277" i="38"/>
  <c r="O278" i="38"/>
  <c r="O279" i="38"/>
  <c r="O280" i="38"/>
  <c r="O281" i="38"/>
  <c r="O282" i="38"/>
  <c r="O283" i="38"/>
  <c r="O284" i="38"/>
  <c r="O285" i="38"/>
  <c r="O286" i="38"/>
  <c r="O287" i="38"/>
  <c r="O288" i="38"/>
  <c r="O289" i="38"/>
  <c r="O290" i="38"/>
  <c r="O291" i="38"/>
  <c r="O292" i="38"/>
  <c r="O293" i="38"/>
  <c r="O294" i="38"/>
  <c r="O295" i="38"/>
  <c r="O296" i="38"/>
  <c r="O297" i="38"/>
  <c r="O298" i="38"/>
  <c r="O299" i="38"/>
  <c r="O300" i="38"/>
  <c r="O301" i="38"/>
  <c r="O302" i="38"/>
  <c r="O303" i="38"/>
  <c r="O304" i="38"/>
  <c r="O305" i="38"/>
  <c r="O306" i="38"/>
  <c r="O307" i="38"/>
  <c r="O308" i="38"/>
  <c r="O309" i="38"/>
  <c r="O310" i="38"/>
  <c r="O311" i="38"/>
  <c r="O312" i="38"/>
  <c r="O313" i="38"/>
  <c r="O314" i="38"/>
  <c r="O315" i="38"/>
  <c r="O316" i="38"/>
  <c r="O317" i="38"/>
  <c r="O318" i="38"/>
  <c r="O319" i="38"/>
  <c r="O320" i="38"/>
  <c r="O321" i="38"/>
  <c r="O322" i="38"/>
  <c r="O323" i="38"/>
  <c r="O324" i="38"/>
  <c r="O325" i="38"/>
  <c r="O326" i="38"/>
  <c r="O327" i="38"/>
  <c r="O328" i="38"/>
  <c r="O329" i="38"/>
  <c r="O330" i="38"/>
  <c r="O331" i="38"/>
  <c r="O332" i="38"/>
  <c r="O333" i="38"/>
  <c r="O334" i="38"/>
  <c r="O335" i="38"/>
  <c r="O336" i="38"/>
  <c r="O337" i="38"/>
  <c r="O338" i="38"/>
  <c r="O339" i="38"/>
  <c r="O340" i="38"/>
  <c r="O341" i="38"/>
  <c r="O342" i="38"/>
  <c r="O343" i="38"/>
  <c r="O344" i="38"/>
  <c r="O345" i="38"/>
  <c r="O346" i="38"/>
  <c r="O347" i="38"/>
  <c r="O348" i="38"/>
  <c r="O349" i="38"/>
  <c r="O350" i="38"/>
  <c r="O351" i="38"/>
  <c r="O352" i="38"/>
  <c r="O353" i="38"/>
  <c r="O354" i="38"/>
  <c r="O355" i="38"/>
  <c r="O356" i="38"/>
  <c r="O357" i="38"/>
  <c r="O358" i="38"/>
  <c r="O359" i="38"/>
  <c r="O360" i="38"/>
  <c r="O361" i="38"/>
  <c r="O362" i="38"/>
  <c r="O363" i="38"/>
  <c r="O364" i="38"/>
  <c r="O365" i="38"/>
  <c r="O366" i="38"/>
  <c r="O367" i="38"/>
  <c r="O368" i="38"/>
  <c r="O369" i="38"/>
  <c r="O370" i="38"/>
  <c r="O371" i="38"/>
  <c r="O372" i="38"/>
  <c r="O373" i="38"/>
  <c r="O374" i="38"/>
  <c r="O375" i="38"/>
  <c r="O376" i="38"/>
  <c r="M11" i="38"/>
  <c r="M12" i="38"/>
  <c r="M13" i="38"/>
  <c r="M14" i="38"/>
  <c r="M15" i="38"/>
  <c r="M16"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326" i="38"/>
  <c r="M327" i="38"/>
  <c r="M328" i="38"/>
  <c r="M329" i="38"/>
  <c r="M330" i="38"/>
  <c r="M331" i="38"/>
  <c r="M332" i="38"/>
  <c r="M333" i="38"/>
  <c r="M334" i="38"/>
  <c r="M335" i="38"/>
  <c r="M336" i="38"/>
  <c r="M337" i="38"/>
  <c r="M338" i="38"/>
  <c r="M339" i="38"/>
  <c r="M340" i="38"/>
  <c r="M341" i="38"/>
  <c r="M342" i="38"/>
  <c r="M343" i="38"/>
  <c r="M344" i="38"/>
  <c r="M345" i="38"/>
  <c r="M346" i="38"/>
  <c r="M347" i="38"/>
  <c r="M348" i="38"/>
  <c r="M349" i="38"/>
  <c r="M350" i="38"/>
  <c r="M351" i="38"/>
  <c r="M352" i="38"/>
  <c r="M353" i="38"/>
  <c r="M354" i="38"/>
  <c r="M355" i="38"/>
  <c r="M356" i="38"/>
  <c r="M357" i="38"/>
  <c r="M358" i="38"/>
  <c r="M359" i="38"/>
  <c r="M360" i="38"/>
  <c r="M361" i="38"/>
  <c r="M362" i="38"/>
  <c r="M363" i="38"/>
  <c r="M364" i="38"/>
  <c r="M365" i="38"/>
  <c r="M366" i="38"/>
  <c r="M367" i="38"/>
  <c r="M368" i="38"/>
  <c r="M369" i="38"/>
  <c r="M370" i="38"/>
  <c r="M371" i="38"/>
  <c r="M372" i="38"/>
  <c r="M373" i="38"/>
  <c r="M374" i="38"/>
  <c r="M375" i="38"/>
  <c r="M376"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L101" i="38"/>
  <c r="L102" i="38"/>
  <c r="L103" i="38"/>
  <c r="L104" i="38"/>
  <c r="L105" i="38"/>
  <c r="L106" i="38"/>
  <c r="L107" i="38"/>
  <c r="L108" i="38"/>
  <c r="L109" i="38"/>
  <c r="L110" i="38"/>
  <c r="L111" i="38"/>
  <c r="L112" i="38"/>
  <c r="L113" i="38"/>
  <c r="L114" i="38"/>
  <c r="L115" i="38"/>
  <c r="L116" i="38"/>
  <c r="L117" i="38"/>
  <c r="L118" i="38"/>
  <c r="L119" i="38"/>
  <c r="L120" i="38"/>
  <c r="L121" i="38"/>
  <c r="L122" i="38"/>
  <c r="L123" i="38"/>
  <c r="L124" i="38"/>
  <c r="L125" i="38"/>
  <c r="L126" i="38"/>
  <c r="L127" i="38"/>
  <c r="L128" i="38"/>
  <c r="L129" i="38"/>
  <c r="L130" i="38"/>
  <c r="L131" i="38"/>
  <c r="L132" i="38"/>
  <c r="L133" i="38"/>
  <c r="L134" i="38"/>
  <c r="L135" i="38"/>
  <c r="L136" i="38"/>
  <c r="L137" i="38"/>
  <c r="L138" i="38"/>
  <c r="L139" i="38"/>
  <c r="L140" i="38"/>
  <c r="L141" i="38"/>
  <c r="L142" i="38"/>
  <c r="L143" i="38"/>
  <c r="L144" i="38"/>
  <c r="L145" i="38"/>
  <c r="L146" i="38"/>
  <c r="L147" i="38"/>
  <c r="L148" i="38"/>
  <c r="L149" i="38"/>
  <c r="L150" i="38"/>
  <c r="L151" i="38"/>
  <c r="L152" i="38"/>
  <c r="L153" i="38"/>
  <c r="L154" i="38"/>
  <c r="L155" i="38"/>
  <c r="L156" i="38"/>
  <c r="L157" i="38"/>
  <c r="L158" i="38"/>
  <c r="L159" i="38"/>
  <c r="L160" i="38"/>
  <c r="L161" i="38"/>
  <c r="L162" i="38"/>
  <c r="L163" i="38"/>
  <c r="L164" i="38"/>
  <c r="L165" i="38"/>
  <c r="L166" i="38"/>
  <c r="L167" i="38"/>
  <c r="L168" i="38"/>
  <c r="L169" i="38"/>
  <c r="L170" i="38"/>
  <c r="L171" i="38"/>
  <c r="L172" i="38"/>
  <c r="L173" i="38"/>
  <c r="L174" i="38"/>
  <c r="L175" i="38"/>
  <c r="L176" i="38"/>
  <c r="L177" i="38"/>
  <c r="L178" i="38"/>
  <c r="L179" i="38"/>
  <c r="L180" i="38"/>
  <c r="L181" i="38"/>
  <c r="L182" i="38"/>
  <c r="L183" i="38"/>
  <c r="L184" i="38"/>
  <c r="L185" i="38"/>
  <c r="L186" i="38"/>
  <c r="L187" i="38"/>
  <c r="L188" i="38"/>
  <c r="L189" i="38"/>
  <c r="L190" i="38"/>
  <c r="L191" i="38"/>
  <c r="L192" i="38"/>
  <c r="L193" i="38"/>
  <c r="L194" i="38"/>
  <c r="L195" i="38"/>
  <c r="L196" i="38"/>
  <c r="L197" i="38"/>
  <c r="L198" i="38"/>
  <c r="L199" i="38"/>
  <c r="L200" i="38"/>
  <c r="L201" i="38"/>
  <c r="L202" i="38"/>
  <c r="L203" i="38"/>
  <c r="L204" i="38"/>
  <c r="L205" i="38"/>
  <c r="L206" i="38"/>
  <c r="L207" i="38"/>
  <c r="L208" i="38"/>
  <c r="L209" i="38"/>
  <c r="L210" i="38"/>
  <c r="L211" i="38"/>
  <c r="L212" i="38"/>
  <c r="L213" i="38"/>
  <c r="L214" i="38"/>
  <c r="L215" i="38"/>
  <c r="L216" i="38"/>
  <c r="L217" i="38"/>
  <c r="L218" i="38"/>
  <c r="L219" i="38"/>
  <c r="L220" i="38"/>
  <c r="L221" i="38"/>
  <c r="L222" i="38"/>
  <c r="L223" i="38"/>
  <c r="L224" i="38"/>
  <c r="L225" i="38"/>
  <c r="L226" i="38"/>
  <c r="L227" i="38"/>
  <c r="L228" i="38"/>
  <c r="L229" i="38"/>
  <c r="L230" i="38"/>
  <c r="L231" i="38"/>
  <c r="L232" i="38"/>
  <c r="L233" i="38"/>
  <c r="L234" i="38"/>
  <c r="L235" i="38"/>
  <c r="L236" i="38"/>
  <c r="L237" i="38"/>
  <c r="L238" i="38"/>
  <c r="L239" i="38"/>
  <c r="L240" i="38"/>
  <c r="L241" i="38"/>
  <c r="L242" i="38"/>
  <c r="L243" i="38"/>
  <c r="L244" i="38"/>
  <c r="L245" i="38"/>
  <c r="L246" i="38"/>
  <c r="L247" i="38"/>
  <c r="L248" i="38"/>
  <c r="L249" i="38"/>
  <c r="L250" i="38"/>
  <c r="L251" i="38"/>
  <c r="L252" i="38"/>
  <c r="L253" i="38"/>
  <c r="L254" i="38"/>
  <c r="L255" i="38"/>
  <c r="L256" i="38"/>
  <c r="L257" i="38"/>
  <c r="L258" i="38"/>
  <c r="L259" i="38"/>
  <c r="L260" i="38"/>
  <c r="L261" i="38"/>
  <c r="L262" i="38"/>
  <c r="L263" i="38"/>
  <c r="L264" i="38"/>
  <c r="L265" i="38"/>
  <c r="L266" i="38"/>
  <c r="L267" i="38"/>
  <c r="L268" i="38"/>
  <c r="L269" i="38"/>
  <c r="L270" i="38"/>
  <c r="L271" i="38"/>
  <c r="L272" i="38"/>
  <c r="L273" i="38"/>
  <c r="L274" i="38"/>
  <c r="L275" i="38"/>
  <c r="L276" i="38"/>
  <c r="L277" i="38"/>
  <c r="L278" i="38"/>
  <c r="L279" i="38"/>
  <c r="L280" i="38"/>
  <c r="L281" i="38"/>
  <c r="L282" i="38"/>
  <c r="L283" i="38"/>
  <c r="L284" i="38"/>
  <c r="L285" i="38"/>
  <c r="L286" i="38"/>
  <c r="L287" i="38"/>
  <c r="L288" i="38"/>
  <c r="L289" i="38"/>
  <c r="L290" i="38"/>
  <c r="L291" i="38"/>
  <c r="L292" i="38"/>
  <c r="L293" i="38"/>
  <c r="L294" i="38"/>
  <c r="L295" i="38"/>
  <c r="L296" i="38"/>
  <c r="L297" i="38"/>
  <c r="L298" i="38"/>
  <c r="L299" i="38"/>
  <c r="L300" i="38"/>
  <c r="L301" i="38"/>
  <c r="L302" i="38"/>
  <c r="L303" i="38"/>
  <c r="L304" i="38"/>
  <c r="L305" i="38"/>
  <c r="L306" i="38"/>
  <c r="L307" i="38"/>
  <c r="L308" i="38"/>
  <c r="L309" i="38"/>
  <c r="L310" i="38"/>
  <c r="L311" i="38"/>
  <c r="L312" i="38"/>
  <c r="L313" i="38"/>
  <c r="L314" i="38"/>
  <c r="L315" i="38"/>
  <c r="L316" i="38"/>
  <c r="L317" i="38"/>
  <c r="L318" i="38"/>
  <c r="L319" i="38"/>
  <c r="L320" i="38"/>
  <c r="L321" i="38"/>
  <c r="L322" i="38"/>
  <c r="L323" i="38"/>
  <c r="L324" i="38"/>
  <c r="L325" i="38"/>
  <c r="L326" i="38"/>
  <c r="L327" i="38"/>
  <c r="L328" i="38"/>
  <c r="L329" i="38"/>
  <c r="L330" i="38"/>
  <c r="L331" i="38"/>
  <c r="L332" i="38"/>
  <c r="L333" i="38"/>
  <c r="L334" i="38"/>
  <c r="L335" i="38"/>
  <c r="L336" i="38"/>
  <c r="L337" i="38"/>
  <c r="L338" i="38"/>
  <c r="L339" i="38"/>
  <c r="L340" i="38"/>
  <c r="L341" i="38"/>
  <c r="L342" i="38"/>
  <c r="L343" i="38"/>
  <c r="L344" i="38"/>
  <c r="L345" i="38"/>
  <c r="L346" i="38"/>
  <c r="L347" i="38"/>
  <c r="L348" i="38"/>
  <c r="L349" i="38"/>
  <c r="L350" i="38"/>
  <c r="L351" i="38"/>
  <c r="L352" i="38"/>
  <c r="L353" i="38"/>
  <c r="L354" i="38"/>
  <c r="L355" i="38"/>
  <c r="L356" i="38"/>
  <c r="L357" i="38"/>
  <c r="L358" i="38"/>
  <c r="L359" i="38"/>
  <c r="L360" i="38"/>
  <c r="L361" i="38"/>
  <c r="L362" i="38"/>
  <c r="L363" i="38"/>
  <c r="L364" i="38"/>
  <c r="L365" i="38"/>
  <c r="L366" i="38"/>
  <c r="L367" i="38"/>
  <c r="L368" i="38"/>
  <c r="L369" i="38"/>
  <c r="L370" i="38"/>
  <c r="L371" i="38"/>
  <c r="L372" i="38"/>
  <c r="L373" i="38"/>
  <c r="L374" i="38"/>
  <c r="L375" i="38"/>
  <c r="L376"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K231" i="38"/>
  <c r="K232" i="38"/>
  <c r="K233" i="38"/>
  <c r="K234" i="38"/>
  <c r="K235" i="38"/>
  <c r="K236" i="38"/>
  <c r="K237" i="38"/>
  <c r="K238" i="38"/>
  <c r="K239" i="38"/>
  <c r="K240" i="38"/>
  <c r="K241" i="38"/>
  <c r="K242" i="38"/>
  <c r="K243" i="38"/>
  <c r="K244" i="38"/>
  <c r="K245" i="38"/>
  <c r="K246" i="38"/>
  <c r="K247" i="38"/>
  <c r="K248" i="38"/>
  <c r="K249" i="38"/>
  <c r="K250" i="38"/>
  <c r="K251" i="38"/>
  <c r="K252" i="38"/>
  <c r="K253" i="38"/>
  <c r="K254" i="38"/>
  <c r="K255" i="38"/>
  <c r="K256" i="38"/>
  <c r="K257" i="38"/>
  <c r="K258" i="38"/>
  <c r="K259" i="38"/>
  <c r="K260" i="38"/>
  <c r="K261" i="38"/>
  <c r="K262" i="38"/>
  <c r="K263" i="38"/>
  <c r="K264" i="38"/>
  <c r="K265" i="38"/>
  <c r="K266" i="38"/>
  <c r="K267" i="38"/>
  <c r="K268" i="38"/>
  <c r="K269" i="38"/>
  <c r="K270" i="38"/>
  <c r="K271" i="38"/>
  <c r="K272" i="38"/>
  <c r="K273" i="38"/>
  <c r="K274" i="38"/>
  <c r="K275" i="38"/>
  <c r="K276" i="38"/>
  <c r="K277" i="38"/>
  <c r="K278" i="38"/>
  <c r="K279" i="38"/>
  <c r="K280" i="38"/>
  <c r="K281" i="38"/>
  <c r="K282" i="38"/>
  <c r="K283" i="38"/>
  <c r="K284" i="38"/>
  <c r="K285" i="38"/>
  <c r="K286" i="38"/>
  <c r="K287" i="38"/>
  <c r="K288" i="38"/>
  <c r="K289" i="38"/>
  <c r="K290" i="38"/>
  <c r="K291" i="38"/>
  <c r="K292" i="38"/>
  <c r="K293" i="38"/>
  <c r="K294" i="38"/>
  <c r="K295" i="38"/>
  <c r="K296" i="38"/>
  <c r="K297" i="38"/>
  <c r="K298" i="38"/>
  <c r="K299" i="38"/>
  <c r="K300" i="38"/>
  <c r="K301" i="38"/>
  <c r="K302" i="38"/>
  <c r="K303" i="38"/>
  <c r="K304" i="38"/>
  <c r="K305" i="38"/>
  <c r="K306" i="38"/>
  <c r="K307" i="38"/>
  <c r="K308" i="38"/>
  <c r="K309" i="38"/>
  <c r="K310" i="38"/>
  <c r="K311" i="38"/>
  <c r="K312" i="38"/>
  <c r="K313" i="38"/>
  <c r="K314" i="38"/>
  <c r="K315" i="38"/>
  <c r="K316" i="38"/>
  <c r="K317" i="38"/>
  <c r="K318" i="38"/>
  <c r="K319" i="38"/>
  <c r="K320" i="38"/>
  <c r="K321" i="38"/>
  <c r="K322" i="38"/>
  <c r="K323" i="38"/>
  <c r="K324" i="38"/>
  <c r="K325" i="38"/>
  <c r="K326" i="38"/>
  <c r="K327" i="38"/>
  <c r="K328" i="38"/>
  <c r="K329" i="38"/>
  <c r="K330" i="38"/>
  <c r="K331" i="38"/>
  <c r="K332" i="38"/>
  <c r="K333" i="38"/>
  <c r="K334" i="38"/>
  <c r="K335" i="38"/>
  <c r="K336" i="38"/>
  <c r="K337" i="38"/>
  <c r="K338" i="38"/>
  <c r="K339" i="38"/>
  <c r="K340" i="38"/>
  <c r="K341" i="38"/>
  <c r="K342" i="38"/>
  <c r="K343" i="38"/>
  <c r="K344" i="38"/>
  <c r="K345" i="38"/>
  <c r="K346" i="38"/>
  <c r="K347" i="38"/>
  <c r="K348" i="38"/>
  <c r="K349" i="38"/>
  <c r="K350" i="38"/>
  <c r="K351" i="38"/>
  <c r="K352" i="38"/>
  <c r="K353" i="38"/>
  <c r="K354" i="38"/>
  <c r="K355" i="38"/>
  <c r="K356" i="38"/>
  <c r="K357" i="38"/>
  <c r="K358" i="38"/>
  <c r="K359" i="38"/>
  <c r="K360" i="38"/>
  <c r="K361" i="38"/>
  <c r="K362" i="38"/>
  <c r="K363" i="38"/>
  <c r="K364" i="38"/>
  <c r="K365" i="38"/>
  <c r="K366" i="38"/>
  <c r="K367" i="38"/>
  <c r="K368" i="38"/>
  <c r="K369" i="38"/>
  <c r="K370" i="38"/>
  <c r="K371" i="38"/>
  <c r="K372" i="38"/>
  <c r="K373" i="38"/>
  <c r="K374" i="38"/>
  <c r="K375" i="38"/>
  <c r="K376"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179" i="38"/>
  <c r="I180" i="38"/>
  <c r="I181" i="38"/>
  <c r="I182" i="38"/>
  <c r="I183" i="38"/>
  <c r="I184" i="38"/>
  <c r="I185" i="38"/>
  <c r="I186" i="38"/>
  <c r="I187" i="38"/>
  <c r="I188" i="38"/>
  <c r="I189" i="38"/>
  <c r="I190" i="38"/>
  <c r="I191" i="38"/>
  <c r="I192" i="38"/>
  <c r="I193" i="38"/>
  <c r="I194" i="38"/>
  <c r="I195" i="38"/>
  <c r="I196" i="38"/>
  <c r="I197" i="38"/>
  <c r="I198" i="38"/>
  <c r="I199" i="38"/>
  <c r="I200" i="38"/>
  <c r="I201" i="38"/>
  <c r="I202" i="38"/>
  <c r="I203" i="38"/>
  <c r="I204" i="38"/>
  <c r="I205" i="38"/>
  <c r="I206" i="38"/>
  <c r="I207" i="38"/>
  <c r="I208" i="38"/>
  <c r="I209" i="38"/>
  <c r="I210" i="38"/>
  <c r="I211" i="38"/>
  <c r="I212" i="38"/>
  <c r="I213" i="38"/>
  <c r="I214" i="38"/>
  <c r="I215" i="38"/>
  <c r="I216" i="38"/>
  <c r="I217" i="38"/>
  <c r="I218" i="38"/>
  <c r="I219" i="38"/>
  <c r="I220" i="38"/>
  <c r="I221" i="38"/>
  <c r="I222" i="38"/>
  <c r="I223" i="38"/>
  <c r="I224" i="38"/>
  <c r="I225" i="38"/>
  <c r="I226" i="38"/>
  <c r="I227" i="38"/>
  <c r="I228" i="38"/>
  <c r="I229" i="38"/>
  <c r="I230" i="38"/>
  <c r="I231" i="38"/>
  <c r="I232" i="38"/>
  <c r="I233" i="38"/>
  <c r="I234" i="38"/>
  <c r="I235" i="38"/>
  <c r="I236" i="38"/>
  <c r="I237" i="38"/>
  <c r="I238" i="38"/>
  <c r="I239" i="38"/>
  <c r="I240" i="38"/>
  <c r="I241" i="38"/>
  <c r="I242" i="38"/>
  <c r="I243" i="38"/>
  <c r="I244" i="38"/>
  <c r="I245" i="38"/>
  <c r="I246" i="38"/>
  <c r="I247" i="38"/>
  <c r="I248" i="38"/>
  <c r="I249" i="38"/>
  <c r="I250" i="38"/>
  <c r="I251" i="38"/>
  <c r="I252" i="38"/>
  <c r="I253" i="38"/>
  <c r="I254" i="38"/>
  <c r="I255" i="38"/>
  <c r="I256" i="38"/>
  <c r="I257" i="38"/>
  <c r="I258" i="38"/>
  <c r="I259" i="38"/>
  <c r="I260" i="38"/>
  <c r="I261" i="38"/>
  <c r="I262" i="38"/>
  <c r="I263" i="38"/>
  <c r="I264" i="38"/>
  <c r="I265" i="38"/>
  <c r="I266" i="38"/>
  <c r="I267" i="38"/>
  <c r="I268" i="38"/>
  <c r="I269" i="38"/>
  <c r="I270" i="38"/>
  <c r="I271" i="38"/>
  <c r="I272" i="38"/>
  <c r="I273" i="38"/>
  <c r="I274" i="38"/>
  <c r="I275" i="38"/>
  <c r="I276" i="38"/>
  <c r="I277" i="38"/>
  <c r="I278" i="38"/>
  <c r="I279" i="38"/>
  <c r="I280" i="38"/>
  <c r="I281" i="38"/>
  <c r="I282" i="38"/>
  <c r="I283" i="38"/>
  <c r="I284" i="38"/>
  <c r="I285" i="38"/>
  <c r="I286" i="38"/>
  <c r="I287" i="38"/>
  <c r="I288" i="38"/>
  <c r="I289" i="38"/>
  <c r="I290" i="38"/>
  <c r="I291" i="38"/>
  <c r="I292" i="38"/>
  <c r="I293" i="38"/>
  <c r="I294" i="38"/>
  <c r="I295" i="38"/>
  <c r="I296" i="38"/>
  <c r="I297" i="38"/>
  <c r="I298" i="38"/>
  <c r="I299" i="38"/>
  <c r="I300" i="38"/>
  <c r="I301" i="38"/>
  <c r="I302" i="38"/>
  <c r="I303" i="38"/>
  <c r="I304" i="38"/>
  <c r="I305" i="38"/>
  <c r="I306" i="38"/>
  <c r="I307" i="38"/>
  <c r="I308" i="38"/>
  <c r="I309" i="38"/>
  <c r="I310" i="38"/>
  <c r="I311" i="38"/>
  <c r="I312" i="38"/>
  <c r="I313" i="38"/>
  <c r="I314" i="38"/>
  <c r="I315" i="38"/>
  <c r="I316" i="38"/>
  <c r="I317" i="38"/>
  <c r="I318" i="38"/>
  <c r="I319" i="38"/>
  <c r="I320" i="38"/>
  <c r="I321" i="38"/>
  <c r="I322" i="38"/>
  <c r="I323" i="38"/>
  <c r="I324" i="38"/>
  <c r="I325" i="38"/>
  <c r="I326" i="38"/>
  <c r="I327" i="38"/>
  <c r="I328" i="38"/>
  <c r="I329" i="38"/>
  <c r="I330" i="38"/>
  <c r="I331" i="38"/>
  <c r="I332" i="38"/>
  <c r="I333" i="38"/>
  <c r="I334" i="38"/>
  <c r="I335" i="38"/>
  <c r="I336" i="38"/>
  <c r="I337" i="38"/>
  <c r="I338" i="38"/>
  <c r="I339" i="38"/>
  <c r="I340" i="38"/>
  <c r="I341" i="38"/>
  <c r="I342" i="38"/>
  <c r="I343" i="38"/>
  <c r="I344" i="38"/>
  <c r="I345" i="38"/>
  <c r="I346" i="38"/>
  <c r="I347" i="38"/>
  <c r="I348" i="38"/>
  <c r="I349" i="38"/>
  <c r="I350" i="38"/>
  <c r="I351" i="38"/>
  <c r="I352" i="38"/>
  <c r="I353" i="38"/>
  <c r="I354" i="38"/>
  <c r="I355" i="38"/>
  <c r="I356" i="38"/>
  <c r="I357" i="38"/>
  <c r="I358" i="38"/>
  <c r="I359" i="38"/>
  <c r="I360" i="38"/>
  <c r="I361" i="38"/>
  <c r="I362" i="38"/>
  <c r="I363" i="38"/>
  <c r="I364" i="38"/>
  <c r="I365" i="38"/>
  <c r="I366" i="38"/>
  <c r="I367" i="38"/>
  <c r="BC367" i="38" s="1"/>
  <c r="I368" i="38"/>
  <c r="I369" i="38"/>
  <c r="I370" i="38"/>
  <c r="I371" i="38"/>
  <c r="I372" i="38"/>
  <c r="I373" i="38"/>
  <c r="I374" i="38"/>
  <c r="I375" i="38"/>
  <c r="I376"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H80" i="38"/>
  <c r="H81" i="38"/>
  <c r="H82" i="38"/>
  <c r="H83" i="38"/>
  <c r="H84" i="38"/>
  <c r="H85" i="38"/>
  <c r="H86" i="38"/>
  <c r="H87" i="38"/>
  <c r="H88" i="38"/>
  <c r="H89" i="38"/>
  <c r="H90" i="38"/>
  <c r="H91" i="38"/>
  <c r="H92" i="38"/>
  <c r="H93" i="38"/>
  <c r="H94" i="38"/>
  <c r="H95" i="38"/>
  <c r="H96" i="38"/>
  <c r="H97" i="38"/>
  <c r="H98" i="38"/>
  <c r="H99" i="38"/>
  <c r="H100" i="38"/>
  <c r="H101" i="38"/>
  <c r="H102" i="38"/>
  <c r="H103" i="38"/>
  <c r="H104" i="38"/>
  <c r="H105" i="38"/>
  <c r="H106" i="38"/>
  <c r="H107" i="38"/>
  <c r="H108" i="38"/>
  <c r="H109" i="38"/>
  <c r="H110" i="38"/>
  <c r="H111" i="38"/>
  <c r="H112" i="38"/>
  <c r="H113" i="38"/>
  <c r="H114" i="38"/>
  <c r="H115" i="38"/>
  <c r="H116" i="38"/>
  <c r="H117" i="38"/>
  <c r="H118" i="38"/>
  <c r="H119" i="38"/>
  <c r="H120" i="38"/>
  <c r="H121" i="38"/>
  <c r="H122" i="38"/>
  <c r="H123" i="38"/>
  <c r="H124" i="38"/>
  <c r="H125" i="38"/>
  <c r="H126" i="38"/>
  <c r="H127" i="38"/>
  <c r="H128" i="38"/>
  <c r="H129" i="38"/>
  <c r="H130" i="38"/>
  <c r="H131" i="38"/>
  <c r="H132" i="38"/>
  <c r="H133" i="38"/>
  <c r="H134" i="38"/>
  <c r="H135" i="38"/>
  <c r="H136" i="38"/>
  <c r="H137" i="38"/>
  <c r="H138" i="38"/>
  <c r="H139" i="38"/>
  <c r="H140" i="38"/>
  <c r="H141" i="38"/>
  <c r="H142" i="38"/>
  <c r="H143" i="38"/>
  <c r="H144" i="38"/>
  <c r="H145" i="38"/>
  <c r="H146" i="38"/>
  <c r="H147" i="38"/>
  <c r="H148" i="38"/>
  <c r="H149" i="38"/>
  <c r="H150" i="38"/>
  <c r="H151" i="38"/>
  <c r="H152" i="38"/>
  <c r="H153" i="38"/>
  <c r="H154" i="38"/>
  <c r="H155" i="38"/>
  <c r="H156" i="38"/>
  <c r="H157" i="38"/>
  <c r="H158" i="38"/>
  <c r="H159" i="38"/>
  <c r="H160" i="38"/>
  <c r="H161" i="38"/>
  <c r="H162" i="38"/>
  <c r="H163" i="38"/>
  <c r="H164" i="38"/>
  <c r="H165" i="38"/>
  <c r="H166" i="38"/>
  <c r="H167" i="38"/>
  <c r="H168" i="38"/>
  <c r="H169" i="38"/>
  <c r="H170" i="38"/>
  <c r="H171" i="38"/>
  <c r="H172" i="38"/>
  <c r="H173" i="38"/>
  <c r="H174" i="38"/>
  <c r="H175" i="38"/>
  <c r="H176" i="38"/>
  <c r="H177" i="38"/>
  <c r="H178" i="38"/>
  <c r="H179" i="38"/>
  <c r="H180" i="38"/>
  <c r="H181" i="38"/>
  <c r="H182" i="38"/>
  <c r="H183" i="38"/>
  <c r="H184" i="38"/>
  <c r="H185" i="38"/>
  <c r="H186" i="38"/>
  <c r="H187" i="38"/>
  <c r="H188" i="38"/>
  <c r="H189" i="38"/>
  <c r="H190" i="38"/>
  <c r="H191" i="38"/>
  <c r="H192" i="38"/>
  <c r="H193" i="38"/>
  <c r="H194" i="38"/>
  <c r="H195" i="38"/>
  <c r="H196" i="38"/>
  <c r="H197" i="38"/>
  <c r="H198" i="38"/>
  <c r="H199" i="38"/>
  <c r="H200" i="38"/>
  <c r="H201" i="38"/>
  <c r="H202" i="38"/>
  <c r="H203" i="38"/>
  <c r="H204" i="38"/>
  <c r="H205" i="38"/>
  <c r="H206" i="38"/>
  <c r="H207" i="38"/>
  <c r="H208" i="38"/>
  <c r="H209" i="38"/>
  <c r="H210" i="38"/>
  <c r="H211" i="38"/>
  <c r="H212" i="38"/>
  <c r="H213" i="38"/>
  <c r="H214" i="38"/>
  <c r="H215" i="38"/>
  <c r="H216" i="38"/>
  <c r="H217" i="38"/>
  <c r="H218" i="38"/>
  <c r="H219" i="38"/>
  <c r="H220" i="38"/>
  <c r="H221" i="38"/>
  <c r="H222" i="38"/>
  <c r="H223" i="38"/>
  <c r="H224" i="38"/>
  <c r="H225" i="38"/>
  <c r="H226" i="38"/>
  <c r="H227" i="38"/>
  <c r="H228" i="38"/>
  <c r="H229" i="38"/>
  <c r="H230" i="38"/>
  <c r="H231" i="38"/>
  <c r="H232" i="38"/>
  <c r="H233" i="38"/>
  <c r="H234" i="38"/>
  <c r="H235" i="38"/>
  <c r="H236" i="38"/>
  <c r="H237" i="38"/>
  <c r="H238" i="38"/>
  <c r="H239" i="38"/>
  <c r="H240" i="38"/>
  <c r="H241" i="38"/>
  <c r="H242" i="38"/>
  <c r="H243" i="38"/>
  <c r="H244" i="38"/>
  <c r="H245" i="38"/>
  <c r="H246" i="38"/>
  <c r="H247" i="38"/>
  <c r="H248" i="38"/>
  <c r="H249" i="38"/>
  <c r="H250" i="38"/>
  <c r="H251" i="38"/>
  <c r="H252" i="38"/>
  <c r="H253" i="38"/>
  <c r="H254" i="38"/>
  <c r="H255" i="38"/>
  <c r="H256" i="38"/>
  <c r="H257" i="38"/>
  <c r="H258" i="38"/>
  <c r="H259" i="38"/>
  <c r="H260" i="38"/>
  <c r="H261" i="38"/>
  <c r="H262" i="38"/>
  <c r="H263" i="38"/>
  <c r="H264" i="38"/>
  <c r="H265" i="38"/>
  <c r="H266" i="38"/>
  <c r="H267" i="38"/>
  <c r="H268" i="38"/>
  <c r="H269" i="38"/>
  <c r="H270" i="38"/>
  <c r="H271" i="38"/>
  <c r="H272" i="38"/>
  <c r="H273" i="38"/>
  <c r="H274" i="38"/>
  <c r="H275" i="38"/>
  <c r="H276" i="38"/>
  <c r="H277" i="38"/>
  <c r="H278" i="38"/>
  <c r="H279" i="38"/>
  <c r="H280" i="38"/>
  <c r="H281" i="38"/>
  <c r="H282" i="38"/>
  <c r="H283" i="38"/>
  <c r="H284" i="38"/>
  <c r="H285" i="38"/>
  <c r="H286" i="38"/>
  <c r="H287" i="38"/>
  <c r="H288" i="38"/>
  <c r="H289" i="38"/>
  <c r="H290" i="38"/>
  <c r="H291" i="38"/>
  <c r="H292" i="38"/>
  <c r="H293" i="38"/>
  <c r="H294" i="38"/>
  <c r="H295" i="38"/>
  <c r="H296" i="38"/>
  <c r="H297" i="38"/>
  <c r="H298" i="38"/>
  <c r="H299" i="38"/>
  <c r="H300" i="38"/>
  <c r="H301" i="38"/>
  <c r="H302" i="38"/>
  <c r="H303" i="38"/>
  <c r="H304" i="38"/>
  <c r="H305" i="38"/>
  <c r="H306" i="38"/>
  <c r="H307" i="38"/>
  <c r="H308" i="38"/>
  <c r="H309" i="38"/>
  <c r="H310" i="38"/>
  <c r="H311" i="38"/>
  <c r="H312" i="38"/>
  <c r="H313" i="38"/>
  <c r="H314" i="38"/>
  <c r="H315" i="38"/>
  <c r="H316" i="38"/>
  <c r="H317" i="38"/>
  <c r="H318" i="38"/>
  <c r="H319" i="38"/>
  <c r="H320" i="38"/>
  <c r="H321" i="38"/>
  <c r="H322" i="38"/>
  <c r="H323" i="38"/>
  <c r="H324" i="38"/>
  <c r="H325" i="38"/>
  <c r="H326" i="38"/>
  <c r="H327" i="38"/>
  <c r="H328" i="38"/>
  <c r="H329" i="38"/>
  <c r="H330" i="38"/>
  <c r="H331" i="38"/>
  <c r="H332" i="38"/>
  <c r="H333" i="38"/>
  <c r="H334" i="38"/>
  <c r="H335" i="38"/>
  <c r="H336" i="38"/>
  <c r="H337" i="38"/>
  <c r="H338" i="38"/>
  <c r="H339" i="38"/>
  <c r="H340" i="38"/>
  <c r="H341" i="38"/>
  <c r="H342" i="38"/>
  <c r="H343" i="38"/>
  <c r="H344" i="38"/>
  <c r="H345" i="38"/>
  <c r="H346" i="38"/>
  <c r="H347" i="38"/>
  <c r="H348" i="38"/>
  <c r="H349" i="38"/>
  <c r="H350" i="38"/>
  <c r="H351" i="38"/>
  <c r="H352" i="38"/>
  <c r="H353" i="38"/>
  <c r="H354" i="38"/>
  <c r="H355" i="38"/>
  <c r="H356" i="38"/>
  <c r="H357" i="38"/>
  <c r="H358" i="38"/>
  <c r="H359" i="38"/>
  <c r="H360" i="38"/>
  <c r="H361" i="38"/>
  <c r="H362" i="38"/>
  <c r="H363" i="38"/>
  <c r="H364" i="38"/>
  <c r="H365" i="38"/>
  <c r="H366" i="38"/>
  <c r="H367" i="38"/>
  <c r="H368" i="38"/>
  <c r="H369" i="38"/>
  <c r="H370" i="38"/>
  <c r="H371" i="38"/>
  <c r="H372" i="38"/>
  <c r="H373" i="38"/>
  <c r="H374" i="38"/>
  <c r="H375" i="38"/>
  <c r="H376" i="38"/>
  <c r="G11" i="38"/>
  <c r="G12" i="38"/>
  <c r="G13" i="38"/>
  <c r="G14" i="38"/>
  <c r="G15" i="38"/>
  <c r="G16" i="38"/>
  <c r="G17" i="38"/>
  <c r="G18" i="38"/>
  <c r="G19" i="38"/>
  <c r="G20" i="38"/>
  <c r="G21" i="38"/>
  <c r="G22" i="38"/>
  <c r="G23" i="38"/>
  <c r="G24" i="38"/>
  <c r="G25" i="38"/>
  <c r="G26" i="38"/>
  <c r="G27" i="38"/>
  <c r="G28" i="38"/>
  <c r="G29" i="38"/>
  <c r="G30" i="38"/>
  <c r="G31" i="38"/>
  <c r="G32" i="38"/>
  <c r="G33" i="38"/>
  <c r="G34" i="38"/>
  <c r="G35" i="38"/>
  <c r="G36" i="38"/>
  <c r="G37" i="38"/>
  <c r="G38" i="38"/>
  <c r="G3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F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5" i="38"/>
  <c r="F46" i="38"/>
  <c r="F47" i="38"/>
  <c r="F48" i="38"/>
  <c r="F49" i="38"/>
  <c r="F50" i="38"/>
  <c r="F51" i="38"/>
  <c r="F52" i="38"/>
  <c r="F53" i="38"/>
  <c r="F54" i="38"/>
  <c r="F55" i="38"/>
  <c r="F56" i="38"/>
  <c r="F57" i="38"/>
  <c r="F58" i="38"/>
  <c r="F59" i="38"/>
  <c r="F60" i="38"/>
  <c r="F61" i="38"/>
  <c r="F62" i="38"/>
  <c r="F63" i="38"/>
  <c r="F64" i="38"/>
  <c r="F65" i="38"/>
  <c r="F66" i="38"/>
  <c r="F67" i="38"/>
  <c r="F68" i="38"/>
  <c r="F69" i="38"/>
  <c r="F70" i="38"/>
  <c r="F71" i="38"/>
  <c r="F72" i="38"/>
  <c r="F73" i="38"/>
  <c r="F74" i="38"/>
  <c r="F75" i="38"/>
  <c r="F76" i="38"/>
  <c r="F77" i="38"/>
  <c r="F78" i="38"/>
  <c r="F79" i="38"/>
  <c r="F80" i="38"/>
  <c r="F81" i="38"/>
  <c r="F82" i="38"/>
  <c r="F83" i="38"/>
  <c r="F84" i="38"/>
  <c r="F85" i="38"/>
  <c r="F86" i="38"/>
  <c r="F87" i="38"/>
  <c r="F88" i="38"/>
  <c r="F89" i="38"/>
  <c r="F90" i="38"/>
  <c r="F91" i="38"/>
  <c r="F92" i="38"/>
  <c r="F93" i="38"/>
  <c r="F94" i="38"/>
  <c r="F95" i="38"/>
  <c r="F96" i="38"/>
  <c r="F97" i="38"/>
  <c r="F98" i="38"/>
  <c r="F99" i="38"/>
  <c r="F100" i="38"/>
  <c r="F101" i="38"/>
  <c r="F102" i="38"/>
  <c r="F103" i="38"/>
  <c r="F104" i="38"/>
  <c r="F105" i="38"/>
  <c r="F106" i="38"/>
  <c r="F107" i="38"/>
  <c r="F108" i="38"/>
  <c r="F109" i="38"/>
  <c r="F110" i="38"/>
  <c r="F111" i="38"/>
  <c r="F112" i="38"/>
  <c r="F113" i="38"/>
  <c r="F114" i="38"/>
  <c r="F115" i="38"/>
  <c r="F116" i="38"/>
  <c r="F117" i="38"/>
  <c r="F118" i="38"/>
  <c r="F119" i="38"/>
  <c r="F120" i="38"/>
  <c r="F121" i="38"/>
  <c r="F122" i="38"/>
  <c r="F123" i="38"/>
  <c r="F124" i="38"/>
  <c r="F125" i="38"/>
  <c r="F126" i="38"/>
  <c r="F127" i="38"/>
  <c r="F128" i="38"/>
  <c r="F129" i="38"/>
  <c r="F130" i="38"/>
  <c r="F131" i="38"/>
  <c r="F132" i="38"/>
  <c r="F133" i="38"/>
  <c r="F134" i="38"/>
  <c r="F135" i="38"/>
  <c r="F136" i="38"/>
  <c r="F137" i="38"/>
  <c r="F138" i="38"/>
  <c r="F139" i="38"/>
  <c r="F140" i="38"/>
  <c r="F141" i="38"/>
  <c r="F142" i="38"/>
  <c r="F143" i="38"/>
  <c r="F144" i="38"/>
  <c r="F145" i="38"/>
  <c r="F146" i="38"/>
  <c r="F147" i="38"/>
  <c r="F148" i="38"/>
  <c r="F149" i="38"/>
  <c r="F150" i="38"/>
  <c r="F151" i="38"/>
  <c r="F152" i="38"/>
  <c r="F153" i="38"/>
  <c r="F154" i="38"/>
  <c r="F155" i="38"/>
  <c r="F156" i="38"/>
  <c r="F157" i="38"/>
  <c r="F158" i="38"/>
  <c r="F159" i="38"/>
  <c r="F160" i="38"/>
  <c r="F161" i="38"/>
  <c r="F162" i="38"/>
  <c r="F163" i="38"/>
  <c r="F164" i="38"/>
  <c r="F165" i="38"/>
  <c r="F166" i="38"/>
  <c r="F167" i="38"/>
  <c r="F168" i="38"/>
  <c r="F169" i="38"/>
  <c r="F170" i="38"/>
  <c r="F171" i="38"/>
  <c r="F172" i="38"/>
  <c r="F173" i="38"/>
  <c r="F174" i="38"/>
  <c r="F175" i="38"/>
  <c r="F176" i="38"/>
  <c r="F177" i="38"/>
  <c r="F178" i="38"/>
  <c r="F179" i="38"/>
  <c r="F180" i="38"/>
  <c r="F181" i="38"/>
  <c r="F182" i="38"/>
  <c r="F183" i="38"/>
  <c r="F184" i="38"/>
  <c r="F185" i="38"/>
  <c r="F186" i="38"/>
  <c r="F187" i="38"/>
  <c r="F188" i="38"/>
  <c r="F189" i="38"/>
  <c r="F190" i="38"/>
  <c r="F191" i="38"/>
  <c r="F192" i="38"/>
  <c r="F193" i="38"/>
  <c r="F194" i="38"/>
  <c r="F195" i="38"/>
  <c r="F196" i="38"/>
  <c r="F197" i="38"/>
  <c r="F198" i="38"/>
  <c r="F199" i="38"/>
  <c r="F200" i="38"/>
  <c r="F201" i="38"/>
  <c r="F202" i="38"/>
  <c r="F203" i="38"/>
  <c r="F204" i="38"/>
  <c r="F205" i="38"/>
  <c r="F206" i="38"/>
  <c r="F207" i="38"/>
  <c r="F208" i="38"/>
  <c r="F209" i="38"/>
  <c r="F210" i="38"/>
  <c r="F211" i="38"/>
  <c r="F212" i="38"/>
  <c r="F213" i="38"/>
  <c r="F214" i="38"/>
  <c r="F215" i="38"/>
  <c r="F216" i="38"/>
  <c r="F217" i="38"/>
  <c r="F218" i="38"/>
  <c r="F219" i="38"/>
  <c r="F220" i="38"/>
  <c r="F221" i="38"/>
  <c r="F222" i="38"/>
  <c r="F223" i="38"/>
  <c r="F224" i="38"/>
  <c r="F225" i="38"/>
  <c r="F226" i="38"/>
  <c r="F227" i="38"/>
  <c r="F228" i="38"/>
  <c r="F229" i="38"/>
  <c r="F230" i="38"/>
  <c r="F231" i="38"/>
  <c r="F232" i="38"/>
  <c r="F233" i="38"/>
  <c r="F234" i="38"/>
  <c r="F235" i="38"/>
  <c r="F236" i="38"/>
  <c r="F237" i="38"/>
  <c r="F238" i="38"/>
  <c r="F239" i="38"/>
  <c r="F240" i="38"/>
  <c r="F241" i="38"/>
  <c r="F242" i="38"/>
  <c r="F243" i="38"/>
  <c r="F244" i="38"/>
  <c r="F245" i="38"/>
  <c r="F246" i="38"/>
  <c r="F247" i="38"/>
  <c r="F248" i="38"/>
  <c r="F249" i="38"/>
  <c r="F250" i="38"/>
  <c r="F251" i="38"/>
  <c r="F252" i="38"/>
  <c r="F253" i="38"/>
  <c r="F254" i="38"/>
  <c r="F255" i="38"/>
  <c r="F256" i="38"/>
  <c r="F257" i="38"/>
  <c r="F258" i="38"/>
  <c r="F259" i="38"/>
  <c r="F260" i="38"/>
  <c r="F261" i="38"/>
  <c r="F262" i="38"/>
  <c r="F263" i="38"/>
  <c r="F264" i="38"/>
  <c r="F265" i="38"/>
  <c r="F266" i="38"/>
  <c r="F267" i="38"/>
  <c r="F268" i="38"/>
  <c r="F269" i="38"/>
  <c r="F270" i="38"/>
  <c r="F271" i="38"/>
  <c r="F272" i="38"/>
  <c r="F273" i="38"/>
  <c r="F274" i="38"/>
  <c r="F275" i="38"/>
  <c r="F276" i="38"/>
  <c r="F277" i="38"/>
  <c r="F278" i="38"/>
  <c r="F279" i="38"/>
  <c r="F280" i="38"/>
  <c r="F281" i="38"/>
  <c r="F282" i="38"/>
  <c r="F283" i="38"/>
  <c r="F284" i="38"/>
  <c r="F285" i="38"/>
  <c r="F286" i="38"/>
  <c r="F287" i="38"/>
  <c r="F288" i="38"/>
  <c r="F289" i="38"/>
  <c r="F290" i="38"/>
  <c r="F291" i="38"/>
  <c r="F292" i="38"/>
  <c r="F293" i="38"/>
  <c r="F294" i="38"/>
  <c r="F295" i="38"/>
  <c r="F296" i="38"/>
  <c r="F297" i="38"/>
  <c r="F298" i="38"/>
  <c r="F299" i="38"/>
  <c r="F300" i="38"/>
  <c r="F301" i="38"/>
  <c r="F302" i="38"/>
  <c r="F303" i="38"/>
  <c r="F304" i="38"/>
  <c r="F305" i="38"/>
  <c r="F306" i="38"/>
  <c r="F307" i="38"/>
  <c r="F308" i="38"/>
  <c r="F309" i="38"/>
  <c r="F310" i="38"/>
  <c r="F311" i="38"/>
  <c r="F312" i="38"/>
  <c r="F313" i="38"/>
  <c r="F314" i="38"/>
  <c r="F315" i="38"/>
  <c r="F316" i="38"/>
  <c r="F317" i="38"/>
  <c r="F318" i="38"/>
  <c r="F319" i="38"/>
  <c r="F320" i="38"/>
  <c r="F321" i="38"/>
  <c r="F322" i="38"/>
  <c r="F323" i="38"/>
  <c r="F324" i="38"/>
  <c r="F325" i="38"/>
  <c r="F326" i="38"/>
  <c r="F327" i="38"/>
  <c r="F328" i="38"/>
  <c r="F329" i="38"/>
  <c r="F330" i="38"/>
  <c r="F331" i="38"/>
  <c r="F332" i="38"/>
  <c r="F333" i="38"/>
  <c r="F334" i="38"/>
  <c r="F335" i="38"/>
  <c r="F336" i="38"/>
  <c r="F337" i="38"/>
  <c r="F338" i="38"/>
  <c r="F339" i="38"/>
  <c r="F340" i="38"/>
  <c r="F341" i="38"/>
  <c r="F342" i="38"/>
  <c r="F343" i="38"/>
  <c r="F344" i="38"/>
  <c r="F345" i="38"/>
  <c r="F346" i="38"/>
  <c r="F347" i="38"/>
  <c r="F348" i="38"/>
  <c r="F349" i="38"/>
  <c r="F350" i="38"/>
  <c r="F351" i="38"/>
  <c r="F352" i="38"/>
  <c r="F353" i="38"/>
  <c r="F354" i="38"/>
  <c r="F355" i="38"/>
  <c r="F356" i="38"/>
  <c r="F357" i="38"/>
  <c r="F358" i="38"/>
  <c r="F359" i="38"/>
  <c r="F360" i="38"/>
  <c r="F361" i="38"/>
  <c r="F362" i="38"/>
  <c r="F363" i="38"/>
  <c r="F364" i="38"/>
  <c r="F365" i="38"/>
  <c r="F366" i="38"/>
  <c r="F367" i="38"/>
  <c r="F368" i="38"/>
  <c r="F369" i="38"/>
  <c r="F370" i="38"/>
  <c r="F371" i="38"/>
  <c r="F372" i="38"/>
  <c r="F373" i="38"/>
  <c r="F374" i="38"/>
  <c r="F375" i="38"/>
  <c r="F376" i="38"/>
  <c r="BC384" i="38" l="1"/>
  <c r="BC382" i="38"/>
  <c r="BC386" i="38"/>
  <c r="BC380" i="38"/>
  <c r="BC388" i="38"/>
  <c r="BC387" i="38"/>
  <c r="BC385" i="38"/>
  <c r="BC383" i="38"/>
  <c r="BC381" i="38"/>
  <c r="BC389" i="38"/>
  <c r="BC390" i="38" s="1"/>
  <c r="F380" i="38"/>
  <c r="G380" i="38"/>
  <c r="H380" i="38"/>
  <c r="I380" i="38"/>
  <c r="K380" i="38"/>
  <c r="L380" i="38"/>
  <c r="M380" i="38"/>
  <c r="O380" i="38"/>
  <c r="P380" i="38"/>
  <c r="Q380" i="38"/>
  <c r="F381" i="38"/>
  <c r="G381" i="38"/>
  <c r="H381" i="38"/>
  <c r="I381" i="38"/>
  <c r="K381" i="38"/>
  <c r="L381" i="38"/>
  <c r="M381" i="38"/>
  <c r="O381" i="38"/>
  <c r="P381" i="38"/>
  <c r="Q381" i="38"/>
  <c r="F382" i="38"/>
  <c r="G382" i="38"/>
  <c r="H382" i="38"/>
  <c r="I382" i="38"/>
  <c r="K382" i="38"/>
  <c r="L382" i="38"/>
  <c r="M382" i="38"/>
  <c r="O382" i="38"/>
  <c r="P382" i="38"/>
  <c r="Q382" i="38"/>
  <c r="F383" i="38"/>
  <c r="G383" i="38"/>
  <c r="H383" i="38"/>
  <c r="I383" i="38"/>
  <c r="K383" i="38"/>
  <c r="L383" i="38"/>
  <c r="M383" i="38"/>
  <c r="O383" i="38"/>
  <c r="P383" i="38"/>
  <c r="Q383" i="38"/>
  <c r="F384" i="38"/>
  <c r="G384" i="38"/>
  <c r="H384" i="38"/>
  <c r="I384" i="38"/>
  <c r="K384" i="38"/>
  <c r="L384" i="38"/>
  <c r="M384" i="38"/>
  <c r="O384" i="38"/>
  <c r="P384" i="38"/>
  <c r="Q384" i="38"/>
  <c r="F385" i="38"/>
  <c r="G385" i="38"/>
  <c r="H385" i="38"/>
  <c r="I385" i="38"/>
  <c r="K385" i="38"/>
  <c r="L385" i="38"/>
  <c r="M385" i="38"/>
  <c r="O385" i="38"/>
  <c r="P385" i="38"/>
  <c r="Q385" i="38"/>
  <c r="F386" i="38"/>
  <c r="G386" i="38"/>
  <c r="H386" i="38"/>
  <c r="I386" i="38"/>
  <c r="K386" i="38"/>
  <c r="L386" i="38"/>
  <c r="M386" i="38"/>
  <c r="O386" i="38"/>
  <c r="P386" i="38"/>
  <c r="Q386" i="38"/>
  <c r="F387" i="38"/>
  <c r="G387" i="38"/>
  <c r="H387" i="38"/>
  <c r="I387" i="38"/>
  <c r="K387" i="38"/>
  <c r="L387" i="38"/>
  <c r="M387" i="38"/>
  <c r="O387" i="38"/>
  <c r="P387" i="38"/>
  <c r="Q387" i="38"/>
  <c r="F388" i="38"/>
  <c r="G388" i="38"/>
  <c r="H388" i="38"/>
  <c r="I388" i="38"/>
  <c r="K388" i="38"/>
  <c r="L388" i="38"/>
  <c r="M388" i="38"/>
  <c r="O388" i="38"/>
  <c r="P388" i="38"/>
  <c r="Q388" i="38"/>
  <c r="F389" i="38"/>
  <c r="F390" i="38" s="1"/>
  <c r="G389" i="38"/>
  <c r="H389" i="38"/>
  <c r="H390" i="38" s="1"/>
  <c r="I389" i="38"/>
  <c r="I390" i="38" s="1"/>
  <c r="K389" i="38"/>
  <c r="L389" i="38"/>
  <c r="L390" i="38" s="1"/>
  <c r="M389" i="38"/>
  <c r="M390" i="38" s="1"/>
  <c r="O389" i="38"/>
  <c r="P389" i="38"/>
  <c r="P390" i="38" s="1"/>
  <c r="Q389" i="38"/>
  <c r="Q390" i="38" s="1"/>
  <c r="G390" i="38"/>
  <c r="K390" i="38"/>
  <c r="O390" i="38"/>
  <c r="N11" i="38" l="1"/>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E11" i="38"/>
  <c r="E12" i="38"/>
  <c r="E13" i="38"/>
  <c r="E14" i="38"/>
  <c r="E15" i="38"/>
  <c r="E16" i="38"/>
  <c r="E17" i="38"/>
  <c r="E18" i="38"/>
  <c r="E19" i="38"/>
  <c r="E20" i="38"/>
  <c r="E21" i="38"/>
  <c r="E22" i="38"/>
  <c r="E23" i="38"/>
  <c r="E24" i="38"/>
  <c r="E25" i="38"/>
  <c r="E26" i="38"/>
  <c r="E27" i="38"/>
  <c r="E28" i="38"/>
  <c r="E29" i="38"/>
  <c r="E30" i="38"/>
  <c r="E31" i="38"/>
  <c r="E32" i="38"/>
  <c r="E33" i="38"/>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98" i="38"/>
  <c r="E99" i="38"/>
  <c r="E100" i="38"/>
  <c r="E101" i="38"/>
  <c r="E102" i="38"/>
  <c r="E103" i="38"/>
  <c r="E104" i="38"/>
  <c r="E105" i="38"/>
  <c r="E106" i="38"/>
  <c r="E107" i="38"/>
  <c r="E108" i="38"/>
  <c r="E109" i="38"/>
  <c r="E110" i="38"/>
  <c r="E111" i="38"/>
  <c r="E112" i="38"/>
  <c r="E113" i="38"/>
  <c r="E114" i="38"/>
  <c r="E115" i="38"/>
  <c r="E116" i="38"/>
  <c r="E117" i="38"/>
  <c r="E118" i="38"/>
  <c r="E119" i="38"/>
  <c r="E120" i="38"/>
  <c r="E121" i="38"/>
  <c r="E122" i="38"/>
  <c r="E123" i="38"/>
  <c r="E124" i="38"/>
  <c r="E125"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E153" i="38"/>
  <c r="E154" i="38"/>
  <c r="E155" i="38"/>
  <c r="E156" i="38"/>
  <c r="E157" i="38"/>
  <c r="E158" i="38"/>
  <c r="E159" i="38"/>
  <c r="E160" i="38"/>
  <c r="E161" i="38"/>
  <c r="E162" i="38"/>
  <c r="E163" i="38"/>
  <c r="E164"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90" i="38"/>
  <c r="E191" i="38"/>
  <c r="E192" i="38"/>
  <c r="E193" i="38"/>
  <c r="E194" i="38"/>
  <c r="E195" i="38"/>
  <c r="E196" i="38"/>
  <c r="E197" i="38"/>
  <c r="E198" i="38"/>
  <c r="E199" i="38"/>
  <c r="E200" i="38"/>
  <c r="E201" i="38"/>
  <c r="E202" i="38"/>
  <c r="E203" i="38"/>
  <c r="E204" i="38"/>
  <c r="E205" i="38"/>
  <c r="E206" i="38"/>
  <c r="E207" i="38"/>
  <c r="E208" i="38"/>
  <c r="E209" i="38"/>
  <c r="E210" i="38"/>
  <c r="E211" i="38"/>
  <c r="E212" i="38"/>
  <c r="E213" i="38"/>
  <c r="E214" i="38"/>
  <c r="E215" i="38"/>
  <c r="E216" i="38"/>
  <c r="E217" i="38"/>
  <c r="E218" i="38"/>
  <c r="E219" i="38"/>
  <c r="E220" i="38"/>
  <c r="E221" i="38"/>
  <c r="E222" i="38"/>
  <c r="E223" i="38"/>
  <c r="E224" i="38"/>
  <c r="E225" i="38"/>
  <c r="E226" i="38"/>
  <c r="E227" i="38"/>
  <c r="E228" i="38"/>
  <c r="E229" i="38"/>
  <c r="E230" i="38"/>
  <c r="E231" i="38"/>
  <c r="E232" i="38"/>
  <c r="E233" i="38"/>
  <c r="E234" i="38"/>
  <c r="E235" i="38"/>
  <c r="E236" i="38"/>
  <c r="E237" i="38"/>
  <c r="E238" i="38"/>
  <c r="E239" i="38"/>
  <c r="E240" i="38"/>
  <c r="E241" i="38"/>
  <c r="E242" i="38"/>
  <c r="E243" i="38"/>
  <c r="E244" i="38"/>
  <c r="E245" i="38"/>
  <c r="E246" i="38"/>
  <c r="E247" i="38"/>
  <c r="E248" i="38"/>
  <c r="E249" i="38"/>
  <c r="E250" i="38"/>
  <c r="E251" i="38"/>
  <c r="E252" i="38"/>
  <c r="E253" i="38"/>
  <c r="E254" i="38"/>
  <c r="E255" i="38"/>
  <c r="E256" i="38"/>
  <c r="E257" i="38"/>
  <c r="E258" i="38"/>
  <c r="E259" i="38"/>
  <c r="E260"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E333" i="38"/>
  <c r="E334" i="38"/>
  <c r="E335" i="38"/>
  <c r="E336" i="38"/>
  <c r="E337" i="38"/>
  <c r="E338" i="38"/>
  <c r="E339" i="38"/>
  <c r="E340" i="38"/>
  <c r="E341" i="38"/>
  <c r="E342" i="38"/>
  <c r="E343" i="38"/>
  <c r="E344" i="38"/>
  <c r="E345" i="38"/>
  <c r="E346" i="38"/>
  <c r="E347" i="38"/>
  <c r="E348" i="38"/>
  <c r="E349" i="38"/>
  <c r="E350" i="38"/>
  <c r="E351" i="38"/>
  <c r="E352" i="38"/>
  <c r="E353" i="38"/>
  <c r="E354" i="38"/>
  <c r="E355" i="38"/>
  <c r="E356" i="38"/>
  <c r="E357" i="38"/>
  <c r="E358" i="38"/>
  <c r="E359" i="38"/>
  <c r="E360" i="38"/>
  <c r="E361" i="38"/>
  <c r="E362" i="38"/>
  <c r="E363" i="38"/>
  <c r="E364" i="38"/>
  <c r="E365" i="38"/>
  <c r="E366" i="38"/>
  <c r="E367" i="38"/>
  <c r="E368" i="38"/>
  <c r="E369" i="38"/>
  <c r="E370" i="38"/>
  <c r="E371" i="38"/>
  <c r="E372" i="38"/>
  <c r="E373" i="38"/>
  <c r="E374" i="38"/>
  <c r="E375" i="38"/>
  <c r="E376"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84" i="38" l="1"/>
  <c r="D388" i="38"/>
  <c r="D382" i="38"/>
  <c r="D389" i="38"/>
  <c r="D390" i="38" s="1"/>
  <c r="D383" i="38"/>
  <c r="D381" i="38"/>
  <c r="D387" i="38"/>
  <c r="D386" i="38"/>
  <c r="D380" i="38"/>
  <c r="D385" i="38"/>
  <c r="E380" i="38"/>
  <c r="E386" i="38"/>
  <c r="E381" i="38"/>
  <c r="E387" i="38"/>
  <c r="E382" i="38"/>
  <c r="E388" i="38"/>
  <c r="E384" i="38"/>
  <c r="E383" i="38"/>
  <c r="E389" i="38"/>
  <c r="E390" i="38" s="1"/>
  <c r="E385" i="38"/>
  <c r="J381" i="38"/>
  <c r="J387" i="38"/>
  <c r="J385" i="38"/>
  <c r="J382" i="38"/>
  <c r="J388" i="38"/>
  <c r="J383" i="38"/>
  <c r="J389" i="38"/>
  <c r="J390" i="38" s="1"/>
  <c r="J384" i="38"/>
  <c r="J380" i="38"/>
  <c r="J386" i="38"/>
  <c r="N383" i="38"/>
  <c r="N384" i="38"/>
  <c r="N387" i="38"/>
  <c r="N385" i="38"/>
  <c r="N380" i="38"/>
  <c r="N386" i="38"/>
  <c r="N382" i="38"/>
  <c r="N388" i="38"/>
  <c r="N389" i="38"/>
  <c r="N390" i="38" s="1"/>
  <c r="N381" i="38"/>
  <c r="J376" i="44"/>
  <c r="I376" i="44"/>
  <c r="G376" i="44"/>
  <c r="H376" i="44"/>
  <c r="BP12" i="38" l="1"/>
  <c r="BQ12" i="38"/>
  <c r="BR12" i="38"/>
  <c r="BP13" i="38"/>
  <c r="BQ13" i="38"/>
  <c r="BR13" i="38"/>
  <c r="BP14" i="38"/>
  <c r="BQ14" i="38"/>
  <c r="BR14" i="38"/>
  <c r="BP15" i="38"/>
  <c r="BQ15" i="38"/>
  <c r="BR15" i="38"/>
  <c r="BP16" i="38"/>
  <c r="BQ16" i="38"/>
  <c r="BR16" i="38"/>
  <c r="BP17" i="38"/>
  <c r="BQ17" i="38"/>
  <c r="BR17" i="38"/>
  <c r="BP18" i="38"/>
  <c r="BQ18" i="38"/>
  <c r="BR18" i="38"/>
  <c r="BP19" i="38"/>
  <c r="BQ19" i="38"/>
  <c r="BR19" i="38"/>
  <c r="BP20" i="38"/>
  <c r="BQ20" i="38"/>
  <c r="BR20" i="38"/>
  <c r="BP21" i="38"/>
  <c r="BQ21" i="38"/>
  <c r="BR21" i="38"/>
  <c r="BP22" i="38"/>
  <c r="BQ22" i="38"/>
  <c r="BR22" i="38"/>
  <c r="BP23" i="38"/>
  <c r="BQ23" i="38"/>
  <c r="BR23" i="38"/>
  <c r="BP24" i="38"/>
  <c r="BQ24" i="38"/>
  <c r="BR24" i="38"/>
  <c r="BP25" i="38"/>
  <c r="BQ25" i="38"/>
  <c r="BR25" i="38"/>
  <c r="BP26" i="38"/>
  <c r="BQ26" i="38"/>
  <c r="BR26" i="38"/>
  <c r="BP27" i="38"/>
  <c r="BQ27" i="38"/>
  <c r="BR27" i="38"/>
  <c r="BP28" i="38"/>
  <c r="BQ28" i="38"/>
  <c r="BR28" i="38"/>
  <c r="BP29" i="38"/>
  <c r="BQ29" i="38"/>
  <c r="BR29" i="38"/>
  <c r="BP30" i="38"/>
  <c r="BQ30" i="38"/>
  <c r="BR30" i="38"/>
  <c r="BP31" i="38"/>
  <c r="BQ31" i="38"/>
  <c r="BR31" i="38"/>
  <c r="BP32" i="38"/>
  <c r="BQ32" i="38"/>
  <c r="BR32" i="38"/>
  <c r="BP33" i="38"/>
  <c r="BQ33" i="38"/>
  <c r="BR33" i="38"/>
  <c r="BP34" i="38"/>
  <c r="BQ34" i="38"/>
  <c r="BR34" i="38"/>
  <c r="BP35" i="38"/>
  <c r="BQ35" i="38"/>
  <c r="BR35" i="38"/>
  <c r="BP36" i="38"/>
  <c r="BQ36" i="38"/>
  <c r="BR36" i="38"/>
  <c r="BP37" i="38"/>
  <c r="BQ37" i="38"/>
  <c r="BR37" i="38"/>
  <c r="BP38" i="38"/>
  <c r="BQ38" i="38"/>
  <c r="BR38" i="38"/>
  <c r="BP39" i="38"/>
  <c r="BQ39" i="38"/>
  <c r="BR39" i="38"/>
  <c r="BP40" i="38"/>
  <c r="BQ40" i="38"/>
  <c r="BR40" i="38"/>
  <c r="BP41" i="38"/>
  <c r="BQ41" i="38"/>
  <c r="BR41" i="38"/>
  <c r="BP42" i="38"/>
  <c r="BQ42" i="38"/>
  <c r="BR42" i="38"/>
  <c r="BP43" i="38"/>
  <c r="BQ43" i="38"/>
  <c r="BR43" i="38"/>
  <c r="BP44" i="38"/>
  <c r="BQ44" i="38"/>
  <c r="BR44" i="38"/>
  <c r="BP45" i="38"/>
  <c r="BQ45" i="38"/>
  <c r="BR45" i="38"/>
  <c r="BP46" i="38"/>
  <c r="BQ46" i="38"/>
  <c r="BR46" i="38"/>
  <c r="BP47" i="38"/>
  <c r="BQ47" i="38"/>
  <c r="BR47" i="38"/>
  <c r="BP48" i="38"/>
  <c r="BQ48" i="38"/>
  <c r="BR48" i="38"/>
  <c r="BP49" i="38"/>
  <c r="BQ49" i="38"/>
  <c r="BR49" i="38"/>
  <c r="BP50" i="38"/>
  <c r="BQ50" i="38"/>
  <c r="BR50" i="38"/>
  <c r="BP51" i="38"/>
  <c r="BQ51" i="38"/>
  <c r="BR51" i="38"/>
  <c r="BP52" i="38"/>
  <c r="BQ52" i="38"/>
  <c r="BR52" i="38"/>
  <c r="BP53" i="38"/>
  <c r="BQ53" i="38"/>
  <c r="BR53" i="38"/>
  <c r="BP54" i="38"/>
  <c r="BQ54" i="38"/>
  <c r="BR54" i="38"/>
  <c r="BP55" i="38"/>
  <c r="BQ55" i="38"/>
  <c r="BR55" i="38"/>
  <c r="BP56" i="38"/>
  <c r="BQ56" i="38"/>
  <c r="BR56" i="38"/>
  <c r="BP57" i="38"/>
  <c r="BQ57" i="38"/>
  <c r="BR57" i="38"/>
  <c r="BP58" i="38"/>
  <c r="BQ58" i="38"/>
  <c r="BR58" i="38"/>
  <c r="BP59" i="38"/>
  <c r="BQ59" i="38"/>
  <c r="BR59" i="38"/>
  <c r="BP60" i="38"/>
  <c r="BQ60" i="38"/>
  <c r="BR60" i="38"/>
  <c r="BP61" i="38"/>
  <c r="BQ61" i="38"/>
  <c r="BR61" i="38"/>
  <c r="BP62" i="38"/>
  <c r="BQ62" i="38"/>
  <c r="BR62" i="38"/>
  <c r="BP63" i="38"/>
  <c r="BQ63" i="38"/>
  <c r="BR63" i="38"/>
  <c r="BP64" i="38"/>
  <c r="BQ64" i="38"/>
  <c r="BR64" i="38"/>
  <c r="BP65" i="38"/>
  <c r="BQ65" i="38"/>
  <c r="BR65" i="38"/>
  <c r="BP66" i="38"/>
  <c r="BQ66" i="38"/>
  <c r="BR66" i="38"/>
  <c r="BP67" i="38"/>
  <c r="BQ67" i="38"/>
  <c r="BR67" i="38"/>
  <c r="BP68" i="38"/>
  <c r="BQ68" i="38"/>
  <c r="BR68" i="38"/>
  <c r="BP69" i="38"/>
  <c r="BQ69" i="38"/>
  <c r="BR69" i="38"/>
  <c r="BP70" i="38"/>
  <c r="BQ70" i="38"/>
  <c r="BR70" i="38"/>
  <c r="BP71" i="38"/>
  <c r="BQ71" i="38"/>
  <c r="BR71" i="38"/>
  <c r="BP72" i="38"/>
  <c r="BQ72" i="38"/>
  <c r="BR72" i="38"/>
  <c r="BP73" i="38"/>
  <c r="BQ73" i="38"/>
  <c r="BR73" i="38"/>
  <c r="BP74" i="38"/>
  <c r="BQ74" i="38"/>
  <c r="BR74" i="38"/>
  <c r="BP75" i="38"/>
  <c r="BQ75" i="38"/>
  <c r="BR75" i="38"/>
  <c r="BP76" i="38"/>
  <c r="BQ76" i="38"/>
  <c r="BR76" i="38"/>
  <c r="BP77" i="38"/>
  <c r="BQ77" i="38"/>
  <c r="BR77" i="38"/>
  <c r="BP78" i="38"/>
  <c r="BQ78" i="38"/>
  <c r="BR78" i="38"/>
  <c r="BP79" i="38"/>
  <c r="BQ79" i="38"/>
  <c r="BR79" i="38"/>
  <c r="BP80" i="38"/>
  <c r="BQ80" i="38"/>
  <c r="BR80" i="38"/>
  <c r="BP81" i="38"/>
  <c r="BQ81" i="38"/>
  <c r="BR81" i="38"/>
  <c r="BP82" i="38"/>
  <c r="BQ82" i="38"/>
  <c r="BR82" i="38"/>
  <c r="BP83" i="38"/>
  <c r="BQ83" i="38"/>
  <c r="BR83" i="38"/>
  <c r="BP84" i="38"/>
  <c r="BQ84" i="38"/>
  <c r="BR84" i="38"/>
  <c r="BP85" i="38"/>
  <c r="BQ85" i="38"/>
  <c r="BR85" i="38"/>
  <c r="BP86" i="38"/>
  <c r="BQ86" i="38"/>
  <c r="BR86" i="38"/>
  <c r="BP87" i="38"/>
  <c r="BQ87" i="38"/>
  <c r="BR87" i="38"/>
  <c r="BP88" i="38"/>
  <c r="BQ88" i="38"/>
  <c r="BR88" i="38"/>
  <c r="BP89" i="38"/>
  <c r="BQ89" i="38"/>
  <c r="BR89" i="38"/>
  <c r="BP90" i="38"/>
  <c r="BQ90" i="38"/>
  <c r="BR90" i="38"/>
  <c r="BP91" i="38"/>
  <c r="BQ91" i="38"/>
  <c r="BR91" i="38"/>
  <c r="BP92" i="38"/>
  <c r="BQ92" i="38"/>
  <c r="BR92" i="38"/>
  <c r="BP93" i="38"/>
  <c r="BQ93" i="38"/>
  <c r="BR93" i="38"/>
  <c r="BP94" i="38"/>
  <c r="BQ94" i="38"/>
  <c r="BR94" i="38"/>
  <c r="BP95" i="38"/>
  <c r="BQ95" i="38"/>
  <c r="BR95" i="38"/>
  <c r="BP96" i="38"/>
  <c r="BQ96" i="38"/>
  <c r="BR96" i="38"/>
  <c r="BP97" i="38"/>
  <c r="BQ97" i="38"/>
  <c r="BR97" i="38"/>
  <c r="BP98" i="38"/>
  <c r="BQ98" i="38"/>
  <c r="BR98" i="38"/>
  <c r="BP99" i="38"/>
  <c r="BQ99" i="38"/>
  <c r="BR99" i="38"/>
  <c r="BP100" i="38"/>
  <c r="BQ100" i="38"/>
  <c r="BR100" i="38"/>
  <c r="BP101" i="38"/>
  <c r="BQ101" i="38"/>
  <c r="BR101" i="38"/>
  <c r="BP102" i="38"/>
  <c r="BQ102" i="38"/>
  <c r="BR102" i="38"/>
  <c r="BP103" i="38"/>
  <c r="BQ103" i="38"/>
  <c r="BR103" i="38"/>
  <c r="BP104" i="38"/>
  <c r="BQ104" i="38"/>
  <c r="BR104" i="38"/>
  <c r="BP105" i="38"/>
  <c r="BQ105" i="38"/>
  <c r="BR105" i="38"/>
  <c r="BP106" i="38"/>
  <c r="BQ106" i="38"/>
  <c r="BR106" i="38"/>
  <c r="BP107" i="38"/>
  <c r="BQ107" i="38"/>
  <c r="BR107" i="38"/>
  <c r="BP108" i="38"/>
  <c r="BQ108" i="38"/>
  <c r="BR108" i="38"/>
  <c r="BP109" i="38"/>
  <c r="BQ109" i="38"/>
  <c r="BR109" i="38"/>
  <c r="BP110" i="38"/>
  <c r="BQ110" i="38"/>
  <c r="BR110" i="38"/>
  <c r="BP111" i="38"/>
  <c r="BQ111" i="38"/>
  <c r="BR111" i="38"/>
  <c r="BP112" i="38"/>
  <c r="BQ112" i="38"/>
  <c r="BR112" i="38"/>
  <c r="BP113" i="38"/>
  <c r="BQ113" i="38"/>
  <c r="BR113" i="38"/>
  <c r="BP114" i="38"/>
  <c r="BQ114" i="38"/>
  <c r="BR114" i="38"/>
  <c r="BP115" i="38"/>
  <c r="BQ115" i="38"/>
  <c r="BR115" i="38"/>
  <c r="BP116" i="38"/>
  <c r="BQ116" i="38"/>
  <c r="BR116" i="38"/>
  <c r="BP117" i="38"/>
  <c r="BQ117" i="38"/>
  <c r="BR117" i="38"/>
  <c r="BP118" i="38"/>
  <c r="BQ118" i="38"/>
  <c r="BR118" i="38"/>
  <c r="BP119" i="38"/>
  <c r="BQ119" i="38"/>
  <c r="BR119" i="38"/>
  <c r="BP120" i="38"/>
  <c r="BQ120" i="38"/>
  <c r="BR120" i="38"/>
  <c r="BP121" i="38"/>
  <c r="BQ121" i="38"/>
  <c r="BR121" i="38"/>
  <c r="BP122" i="38"/>
  <c r="BQ122" i="38"/>
  <c r="BR122" i="38"/>
  <c r="BP123" i="38"/>
  <c r="BQ123" i="38"/>
  <c r="BR123" i="38"/>
  <c r="BP124" i="38"/>
  <c r="BQ124" i="38"/>
  <c r="BR124" i="38"/>
  <c r="BP125" i="38"/>
  <c r="BQ125" i="38"/>
  <c r="BR125" i="38"/>
  <c r="BP126" i="38"/>
  <c r="BQ126" i="38"/>
  <c r="BR126" i="38"/>
  <c r="BP127" i="38"/>
  <c r="BQ127" i="38"/>
  <c r="BR127" i="38"/>
  <c r="BP128" i="38"/>
  <c r="BQ128" i="38"/>
  <c r="BR128" i="38"/>
  <c r="BP129" i="38"/>
  <c r="BQ129" i="38"/>
  <c r="BR129" i="38"/>
  <c r="BP130" i="38"/>
  <c r="BQ130" i="38"/>
  <c r="BR130" i="38"/>
  <c r="BP131" i="38"/>
  <c r="BQ131" i="38"/>
  <c r="BR131" i="38"/>
  <c r="BP132" i="38"/>
  <c r="BQ132" i="38"/>
  <c r="BR132" i="38"/>
  <c r="BP133" i="38"/>
  <c r="BQ133" i="38"/>
  <c r="BR133" i="38"/>
  <c r="BP134" i="38"/>
  <c r="BQ134" i="38"/>
  <c r="BR134" i="38"/>
  <c r="BP135" i="38"/>
  <c r="BQ135" i="38"/>
  <c r="BR135" i="38"/>
  <c r="BP136" i="38"/>
  <c r="BQ136" i="38"/>
  <c r="BR136" i="38"/>
  <c r="BP137" i="38"/>
  <c r="BQ137" i="38"/>
  <c r="BR137" i="38"/>
  <c r="BP138" i="38"/>
  <c r="BQ138" i="38"/>
  <c r="BR138" i="38"/>
  <c r="BP139" i="38"/>
  <c r="BQ139" i="38"/>
  <c r="BR139" i="38"/>
  <c r="BP140" i="38"/>
  <c r="BQ140" i="38"/>
  <c r="BR140" i="38"/>
  <c r="BP141" i="38"/>
  <c r="BQ141" i="38"/>
  <c r="BR141" i="38"/>
  <c r="BP142" i="38"/>
  <c r="BQ142" i="38"/>
  <c r="BR142" i="38"/>
  <c r="BP143" i="38"/>
  <c r="BQ143" i="38"/>
  <c r="BR143" i="38"/>
  <c r="BP144" i="38"/>
  <c r="BQ144" i="38"/>
  <c r="BR144" i="38"/>
  <c r="BP145" i="38"/>
  <c r="BQ145" i="38"/>
  <c r="BR145" i="38"/>
  <c r="BP146" i="38"/>
  <c r="BQ146" i="38"/>
  <c r="BR146" i="38"/>
  <c r="BP147" i="38"/>
  <c r="BQ147" i="38"/>
  <c r="BR147" i="38"/>
  <c r="BP148" i="38"/>
  <c r="BQ148" i="38"/>
  <c r="BR148" i="38"/>
  <c r="BP149" i="38"/>
  <c r="BQ149" i="38"/>
  <c r="BR149" i="38"/>
  <c r="BP150" i="38"/>
  <c r="BQ150" i="38"/>
  <c r="BR150" i="38"/>
  <c r="BP151" i="38"/>
  <c r="BQ151" i="38"/>
  <c r="BR151" i="38"/>
  <c r="BP152" i="38"/>
  <c r="BQ152" i="38"/>
  <c r="BR152" i="38"/>
  <c r="BP153" i="38"/>
  <c r="BQ153" i="38"/>
  <c r="BR153" i="38"/>
  <c r="BP154" i="38"/>
  <c r="BQ154" i="38"/>
  <c r="BR154" i="38"/>
  <c r="BP155" i="38"/>
  <c r="BQ155" i="38"/>
  <c r="BR155" i="38"/>
  <c r="BP156" i="38"/>
  <c r="BQ156" i="38"/>
  <c r="BR156" i="38"/>
  <c r="BP157" i="38"/>
  <c r="BQ157" i="38"/>
  <c r="BR157" i="38"/>
  <c r="BP158" i="38"/>
  <c r="BQ158" i="38"/>
  <c r="BR158" i="38"/>
  <c r="BP159" i="38"/>
  <c r="BQ159" i="38"/>
  <c r="BR159" i="38"/>
  <c r="BP160" i="38"/>
  <c r="BQ160" i="38"/>
  <c r="BR160" i="38"/>
  <c r="BP161" i="38"/>
  <c r="BQ161" i="38"/>
  <c r="BR161" i="38"/>
  <c r="BP162" i="38"/>
  <c r="BQ162" i="38"/>
  <c r="BR162" i="38"/>
  <c r="BP163" i="38"/>
  <c r="BQ163" i="38"/>
  <c r="BR163" i="38"/>
  <c r="BP164" i="38"/>
  <c r="BQ164" i="38"/>
  <c r="BR164" i="38"/>
  <c r="BP165" i="38"/>
  <c r="BQ165" i="38"/>
  <c r="BR165" i="38"/>
  <c r="BP166" i="38"/>
  <c r="BQ166" i="38"/>
  <c r="BR166" i="38"/>
  <c r="BP167" i="38"/>
  <c r="BQ167" i="38"/>
  <c r="BR167" i="38"/>
  <c r="BP168" i="38"/>
  <c r="BQ168" i="38"/>
  <c r="BR168" i="38"/>
  <c r="BP169" i="38"/>
  <c r="BQ169" i="38"/>
  <c r="BR169" i="38"/>
  <c r="BP170" i="38"/>
  <c r="BQ170" i="38"/>
  <c r="BR170" i="38"/>
  <c r="BP171" i="38"/>
  <c r="BQ171" i="38"/>
  <c r="BR171" i="38"/>
  <c r="BP172" i="38"/>
  <c r="BQ172" i="38"/>
  <c r="BR172" i="38"/>
  <c r="BP173" i="38"/>
  <c r="BQ173" i="38"/>
  <c r="BR173" i="38"/>
  <c r="BP174" i="38"/>
  <c r="BQ174" i="38"/>
  <c r="BR174" i="38"/>
  <c r="BP175" i="38"/>
  <c r="BQ175" i="38"/>
  <c r="BR175" i="38"/>
  <c r="BP176" i="38"/>
  <c r="BQ176" i="38"/>
  <c r="BR176" i="38"/>
  <c r="BP177" i="38"/>
  <c r="BQ177" i="38"/>
  <c r="BR177" i="38"/>
  <c r="BP178" i="38"/>
  <c r="BQ178" i="38"/>
  <c r="BR178" i="38"/>
  <c r="BP179" i="38"/>
  <c r="BQ179" i="38"/>
  <c r="BR179" i="38"/>
  <c r="BP180" i="38"/>
  <c r="BQ180" i="38"/>
  <c r="BR180" i="38"/>
  <c r="BP181" i="38"/>
  <c r="BQ181" i="38"/>
  <c r="BR181" i="38"/>
  <c r="BP182" i="38"/>
  <c r="BQ182" i="38"/>
  <c r="BR182" i="38"/>
  <c r="BP183" i="38"/>
  <c r="BQ183" i="38"/>
  <c r="BR183" i="38"/>
  <c r="BP184" i="38"/>
  <c r="BQ184" i="38"/>
  <c r="BR184" i="38"/>
  <c r="BP185" i="38"/>
  <c r="BQ185" i="38"/>
  <c r="BR185" i="38"/>
  <c r="BP186" i="38"/>
  <c r="BQ186" i="38"/>
  <c r="BR186" i="38"/>
  <c r="BP187" i="38"/>
  <c r="BQ187" i="38"/>
  <c r="BR187" i="38"/>
  <c r="BP188" i="38"/>
  <c r="BQ188" i="38"/>
  <c r="BR188" i="38"/>
  <c r="BP189" i="38"/>
  <c r="BQ189" i="38"/>
  <c r="BR189" i="38"/>
  <c r="BP190" i="38"/>
  <c r="BQ190" i="38"/>
  <c r="BR190" i="38"/>
  <c r="BP191" i="38"/>
  <c r="BQ191" i="38"/>
  <c r="BR191" i="38"/>
  <c r="BP192" i="38"/>
  <c r="BQ192" i="38"/>
  <c r="BR192" i="38"/>
  <c r="BP193" i="38"/>
  <c r="BQ193" i="38"/>
  <c r="BR193" i="38"/>
  <c r="BP194" i="38"/>
  <c r="BQ194" i="38"/>
  <c r="BR194" i="38"/>
  <c r="BP195" i="38"/>
  <c r="BQ195" i="38"/>
  <c r="BR195" i="38"/>
  <c r="BP196" i="38"/>
  <c r="BQ196" i="38"/>
  <c r="BR196" i="38"/>
  <c r="BP197" i="38"/>
  <c r="BQ197" i="38"/>
  <c r="BR197" i="38"/>
  <c r="BP198" i="38"/>
  <c r="BQ198" i="38"/>
  <c r="BR198" i="38"/>
  <c r="BP199" i="38"/>
  <c r="BQ199" i="38"/>
  <c r="BR199" i="38"/>
  <c r="BP200" i="38"/>
  <c r="BQ200" i="38"/>
  <c r="BR200" i="38"/>
  <c r="BP201" i="38"/>
  <c r="BQ201" i="38"/>
  <c r="BR201" i="38"/>
  <c r="BP202" i="38"/>
  <c r="BQ202" i="38"/>
  <c r="BR202" i="38"/>
  <c r="BP203" i="38"/>
  <c r="BQ203" i="38"/>
  <c r="BR203" i="38"/>
  <c r="BP204" i="38"/>
  <c r="BQ204" i="38"/>
  <c r="BR204" i="38"/>
  <c r="BP205" i="38"/>
  <c r="BQ205" i="38"/>
  <c r="BR205" i="38"/>
  <c r="BP206" i="38"/>
  <c r="BQ206" i="38"/>
  <c r="BR206" i="38"/>
  <c r="BP207" i="38"/>
  <c r="BQ207" i="38"/>
  <c r="BR207" i="38"/>
  <c r="BP208" i="38"/>
  <c r="BQ208" i="38"/>
  <c r="BR208" i="38"/>
  <c r="BP209" i="38"/>
  <c r="BQ209" i="38"/>
  <c r="BR209" i="38"/>
  <c r="BP210" i="38"/>
  <c r="BQ210" i="38"/>
  <c r="BR210" i="38"/>
  <c r="BP211" i="38"/>
  <c r="BQ211" i="38"/>
  <c r="BR211" i="38"/>
  <c r="BP212" i="38"/>
  <c r="BQ212" i="38"/>
  <c r="BR212" i="38"/>
  <c r="BP213" i="38"/>
  <c r="BQ213" i="38"/>
  <c r="BR213" i="38"/>
  <c r="BP214" i="38"/>
  <c r="BQ214" i="38"/>
  <c r="BR214" i="38"/>
  <c r="BP215" i="38"/>
  <c r="BQ215" i="38"/>
  <c r="BR215" i="38"/>
  <c r="BP216" i="38"/>
  <c r="BQ216" i="38"/>
  <c r="BR216" i="38"/>
  <c r="BP217" i="38"/>
  <c r="BQ217" i="38"/>
  <c r="BR217" i="38"/>
  <c r="BP218" i="38"/>
  <c r="BQ218" i="38"/>
  <c r="BR218" i="38"/>
  <c r="BP219" i="38"/>
  <c r="BQ219" i="38"/>
  <c r="BR219" i="38"/>
  <c r="BP220" i="38"/>
  <c r="BQ220" i="38"/>
  <c r="BR220" i="38"/>
  <c r="BP221" i="38"/>
  <c r="BQ221" i="38"/>
  <c r="BR221" i="38"/>
  <c r="BP222" i="38"/>
  <c r="BQ222" i="38"/>
  <c r="BR222" i="38"/>
  <c r="BP223" i="38"/>
  <c r="BQ223" i="38"/>
  <c r="BR223" i="38"/>
  <c r="BP224" i="38"/>
  <c r="BQ224" i="38"/>
  <c r="BR224" i="38"/>
  <c r="BP225" i="38"/>
  <c r="BQ225" i="38"/>
  <c r="BR225" i="38"/>
  <c r="BP226" i="38"/>
  <c r="BQ226" i="38"/>
  <c r="BR226" i="38"/>
  <c r="BP227" i="38"/>
  <c r="BQ227" i="38"/>
  <c r="BR227" i="38"/>
  <c r="BP228" i="38"/>
  <c r="BQ228" i="38"/>
  <c r="BR228" i="38"/>
  <c r="BP229" i="38"/>
  <c r="BQ229" i="38"/>
  <c r="BR229" i="38"/>
  <c r="BP230" i="38"/>
  <c r="BQ230" i="38"/>
  <c r="BR230" i="38"/>
  <c r="BP231" i="38"/>
  <c r="BQ231" i="38"/>
  <c r="BR231" i="38"/>
  <c r="BP232" i="38"/>
  <c r="BQ232" i="38"/>
  <c r="BR232" i="38"/>
  <c r="BP233" i="38"/>
  <c r="BQ233" i="38"/>
  <c r="BR233" i="38"/>
  <c r="BP234" i="38"/>
  <c r="BQ234" i="38"/>
  <c r="BR234" i="38"/>
  <c r="BP235" i="38"/>
  <c r="BQ235" i="38"/>
  <c r="BR235" i="38"/>
  <c r="BP236" i="38"/>
  <c r="BQ236" i="38"/>
  <c r="BR236" i="38"/>
  <c r="BP237" i="38"/>
  <c r="BQ237" i="38"/>
  <c r="BR237" i="38"/>
  <c r="BP238" i="38"/>
  <c r="BQ238" i="38"/>
  <c r="BR238" i="38"/>
  <c r="BP239" i="38"/>
  <c r="BQ239" i="38"/>
  <c r="BR239" i="38"/>
  <c r="BP240" i="38"/>
  <c r="BQ240" i="38"/>
  <c r="BR240" i="38"/>
  <c r="BP241" i="38"/>
  <c r="BQ241" i="38"/>
  <c r="BR241" i="38"/>
  <c r="BP242" i="38"/>
  <c r="BQ242" i="38"/>
  <c r="BR242" i="38"/>
  <c r="BP243" i="38"/>
  <c r="BQ243" i="38"/>
  <c r="BR243" i="38"/>
  <c r="BP244" i="38"/>
  <c r="BQ244" i="38"/>
  <c r="BR244" i="38"/>
  <c r="BP245" i="38"/>
  <c r="BQ245" i="38"/>
  <c r="BR245" i="38"/>
  <c r="BP246" i="38"/>
  <c r="BQ246" i="38"/>
  <c r="BR246" i="38"/>
  <c r="BP247" i="38"/>
  <c r="BQ247" i="38"/>
  <c r="BR247" i="38"/>
  <c r="BP248" i="38"/>
  <c r="BQ248" i="38"/>
  <c r="BR248" i="38"/>
  <c r="BP249" i="38"/>
  <c r="BQ249" i="38"/>
  <c r="BR249" i="38"/>
  <c r="BP250" i="38"/>
  <c r="BQ250" i="38"/>
  <c r="BR250" i="38"/>
  <c r="BP251" i="38"/>
  <c r="BQ251" i="38"/>
  <c r="BR251" i="38"/>
  <c r="BP252" i="38"/>
  <c r="BQ252" i="38"/>
  <c r="BR252" i="38"/>
  <c r="BP253" i="38"/>
  <c r="BQ253" i="38"/>
  <c r="BR253" i="38"/>
  <c r="BP254" i="38"/>
  <c r="BQ254" i="38"/>
  <c r="BR254" i="38"/>
  <c r="BP255" i="38"/>
  <c r="BQ255" i="38"/>
  <c r="BR255" i="38"/>
  <c r="BP256" i="38"/>
  <c r="BQ256" i="38"/>
  <c r="BR256" i="38"/>
  <c r="BP257" i="38"/>
  <c r="BQ257" i="38"/>
  <c r="BR257" i="38"/>
  <c r="BP258" i="38"/>
  <c r="BQ258" i="38"/>
  <c r="BR258" i="38"/>
  <c r="BP259" i="38"/>
  <c r="BQ259" i="38"/>
  <c r="BR259" i="38"/>
  <c r="BP260" i="38"/>
  <c r="BQ260" i="38"/>
  <c r="BR260" i="38"/>
  <c r="BP261" i="38"/>
  <c r="BQ261" i="38"/>
  <c r="BR261" i="38"/>
  <c r="BP262" i="38"/>
  <c r="BQ262" i="38"/>
  <c r="BR262" i="38"/>
  <c r="BP263" i="38"/>
  <c r="BQ263" i="38"/>
  <c r="BR263" i="38"/>
  <c r="BP264" i="38"/>
  <c r="BQ264" i="38"/>
  <c r="BR264" i="38"/>
  <c r="BP265" i="38"/>
  <c r="BQ265" i="38"/>
  <c r="BR265" i="38"/>
  <c r="BP266" i="38"/>
  <c r="BQ266" i="38"/>
  <c r="BR266" i="38"/>
  <c r="BP267" i="38"/>
  <c r="BQ267" i="38"/>
  <c r="BR267" i="38"/>
  <c r="BP268" i="38"/>
  <c r="BQ268" i="38"/>
  <c r="BR268" i="38"/>
  <c r="BP269" i="38"/>
  <c r="BQ269" i="38"/>
  <c r="BR269" i="38"/>
  <c r="BP270" i="38"/>
  <c r="BQ270" i="38"/>
  <c r="BR270" i="38"/>
  <c r="BP271" i="38"/>
  <c r="BQ271" i="38"/>
  <c r="BR271" i="38"/>
  <c r="BP272" i="38"/>
  <c r="BQ272" i="38"/>
  <c r="BR272" i="38"/>
  <c r="BP273" i="38"/>
  <c r="BQ273" i="38"/>
  <c r="BR273" i="38"/>
  <c r="BP274" i="38"/>
  <c r="BQ274" i="38"/>
  <c r="BR274" i="38"/>
  <c r="BP275" i="38"/>
  <c r="BQ275" i="38"/>
  <c r="BR275" i="38"/>
  <c r="BP276" i="38"/>
  <c r="BQ276" i="38"/>
  <c r="BR276" i="38"/>
  <c r="BP277" i="38"/>
  <c r="BQ277" i="38"/>
  <c r="BR277" i="38"/>
  <c r="BP278" i="38"/>
  <c r="BQ278" i="38"/>
  <c r="BR278" i="38"/>
  <c r="BP279" i="38"/>
  <c r="BQ279" i="38"/>
  <c r="BR279" i="38"/>
  <c r="BP280" i="38"/>
  <c r="BQ280" i="38"/>
  <c r="BR280" i="38"/>
  <c r="BP281" i="38"/>
  <c r="BQ281" i="38"/>
  <c r="BR281" i="38"/>
  <c r="BP282" i="38"/>
  <c r="BQ282" i="38"/>
  <c r="BR282" i="38"/>
  <c r="BP283" i="38"/>
  <c r="BQ283" i="38"/>
  <c r="BR283" i="38"/>
  <c r="BP284" i="38"/>
  <c r="BQ284" i="38"/>
  <c r="BR284" i="38"/>
  <c r="BP285" i="38"/>
  <c r="BQ285" i="38"/>
  <c r="BR285" i="38"/>
  <c r="BP286" i="38"/>
  <c r="BQ286" i="38"/>
  <c r="BR286" i="38"/>
  <c r="BP287" i="38"/>
  <c r="BQ287" i="38"/>
  <c r="BR287" i="38"/>
  <c r="BP288" i="38"/>
  <c r="BQ288" i="38"/>
  <c r="BR288" i="38"/>
  <c r="BP289" i="38"/>
  <c r="BQ289" i="38"/>
  <c r="BR289" i="38"/>
  <c r="BP290" i="38"/>
  <c r="BQ290" i="38"/>
  <c r="BR290" i="38"/>
  <c r="BP291" i="38"/>
  <c r="BQ291" i="38"/>
  <c r="BR291" i="38"/>
  <c r="BP292" i="38"/>
  <c r="BQ292" i="38"/>
  <c r="BR292" i="38"/>
  <c r="BP293" i="38"/>
  <c r="BQ293" i="38"/>
  <c r="BR293" i="38"/>
  <c r="BP294" i="38"/>
  <c r="BQ294" i="38"/>
  <c r="BR294" i="38"/>
  <c r="BP295" i="38"/>
  <c r="BQ295" i="38"/>
  <c r="BR295" i="38"/>
  <c r="BP296" i="38"/>
  <c r="BQ296" i="38"/>
  <c r="BR296" i="38"/>
  <c r="BP297" i="38"/>
  <c r="BQ297" i="38"/>
  <c r="BR297" i="38"/>
  <c r="BP298" i="38"/>
  <c r="BQ298" i="38"/>
  <c r="BR298" i="38"/>
  <c r="BP299" i="38"/>
  <c r="BQ299" i="38"/>
  <c r="BR299" i="38"/>
  <c r="BP300" i="38"/>
  <c r="BQ300" i="38"/>
  <c r="BR300" i="38"/>
  <c r="BP301" i="38"/>
  <c r="BQ301" i="38"/>
  <c r="BR301" i="38"/>
  <c r="BP302" i="38"/>
  <c r="BQ302" i="38"/>
  <c r="BR302" i="38"/>
  <c r="BP303" i="38"/>
  <c r="BQ303" i="38"/>
  <c r="BR303" i="38"/>
  <c r="BP304" i="38"/>
  <c r="BQ304" i="38"/>
  <c r="BR304" i="38"/>
  <c r="BP305" i="38"/>
  <c r="BQ305" i="38"/>
  <c r="BR305" i="38"/>
  <c r="BP306" i="38"/>
  <c r="BQ306" i="38"/>
  <c r="BR306" i="38"/>
  <c r="BP307" i="38"/>
  <c r="BQ307" i="38"/>
  <c r="BR307" i="38"/>
  <c r="BP308" i="38"/>
  <c r="BQ308" i="38"/>
  <c r="BR308" i="38"/>
  <c r="BP309" i="38"/>
  <c r="BQ309" i="38"/>
  <c r="BR309" i="38"/>
  <c r="BP310" i="38"/>
  <c r="BQ310" i="38"/>
  <c r="BR310" i="38"/>
  <c r="BP311" i="38"/>
  <c r="BQ311" i="38"/>
  <c r="BR311" i="38"/>
  <c r="BP312" i="38"/>
  <c r="BQ312" i="38"/>
  <c r="BR312" i="38"/>
  <c r="BP313" i="38"/>
  <c r="BQ313" i="38"/>
  <c r="BR313" i="38"/>
  <c r="BP314" i="38"/>
  <c r="BQ314" i="38"/>
  <c r="BR314" i="38"/>
  <c r="BP315" i="38"/>
  <c r="BQ315" i="38"/>
  <c r="BR315" i="38"/>
  <c r="BP316" i="38"/>
  <c r="BQ316" i="38"/>
  <c r="BR316" i="38"/>
  <c r="BP317" i="38"/>
  <c r="BQ317" i="38"/>
  <c r="BR317" i="38"/>
  <c r="BP318" i="38"/>
  <c r="BQ318" i="38"/>
  <c r="BR318" i="38"/>
  <c r="BP319" i="38"/>
  <c r="BQ319" i="38"/>
  <c r="BR319" i="38"/>
  <c r="BP320" i="38"/>
  <c r="BQ320" i="38"/>
  <c r="BR320" i="38"/>
  <c r="BP321" i="38"/>
  <c r="BQ321" i="38"/>
  <c r="BR321" i="38"/>
  <c r="BP322" i="38"/>
  <c r="BQ322" i="38"/>
  <c r="BR322" i="38"/>
  <c r="BP323" i="38"/>
  <c r="BQ323" i="38"/>
  <c r="BR323" i="38"/>
  <c r="BP324" i="38"/>
  <c r="BQ324" i="38"/>
  <c r="BR324" i="38"/>
  <c r="BP325" i="38"/>
  <c r="BQ325" i="38"/>
  <c r="BR325" i="38"/>
  <c r="BP326" i="38"/>
  <c r="BQ326" i="38"/>
  <c r="BR326" i="38"/>
  <c r="BP327" i="38"/>
  <c r="BQ327" i="38"/>
  <c r="BR327" i="38"/>
  <c r="BP328" i="38"/>
  <c r="BQ328" i="38"/>
  <c r="BR328" i="38"/>
  <c r="BP329" i="38"/>
  <c r="BQ329" i="38"/>
  <c r="BR329" i="38"/>
  <c r="BP330" i="38"/>
  <c r="BQ330" i="38"/>
  <c r="BR330" i="38"/>
  <c r="BP331" i="38"/>
  <c r="BQ331" i="38"/>
  <c r="BR331" i="38"/>
  <c r="BP332" i="38"/>
  <c r="BQ332" i="38"/>
  <c r="BR332" i="38"/>
  <c r="BP333" i="38"/>
  <c r="BQ333" i="38"/>
  <c r="BR333" i="38"/>
  <c r="BP334" i="38"/>
  <c r="BQ334" i="38"/>
  <c r="BR334" i="38"/>
  <c r="BP335" i="38"/>
  <c r="BQ335" i="38"/>
  <c r="BR335" i="38"/>
  <c r="BP336" i="38"/>
  <c r="BQ336" i="38"/>
  <c r="BR336" i="38"/>
  <c r="BP337" i="38"/>
  <c r="BQ337" i="38"/>
  <c r="BR337" i="38"/>
  <c r="BP338" i="38"/>
  <c r="BQ338" i="38"/>
  <c r="BR338" i="38"/>
  <c r="BP339" i="38"/>
  <c r="BQ339" i="38"/>
  <c r="BR339" i="38"/>
  <c r="BP340" i="38"/>
  <c r="BQ340" i="38"/>
  <c r="BR340" i="38"/>
  <c r="BP341" i="38"/>
  <c r="BQ341" i="38"/>
  <c r="BR341" i="38"/>
  <c r="BP342" i="38"/>
  <c r="BQ342" i="38"/>
  <c r="BR342" i="38"/>
  <c r="BP343" i="38"/>
  <c r="BQ343" i="38"/>
  <c r="BR343" i="38"/>
  <c r="BP344" i="38"/>
  <c r="BQ344" i="38"/>
  <c r="BR344" i="38"/>
  <c r="BP345" i="38"/>
  <c r="BQ345" i="38"/>
  <c r="BR345" i="38"/>
  <c r="BP346" i="38"/>
  <c r="BQ346" i="38"/>
  <c r="BR346" i="38"/>
  <c r="BP347" i="38"/>
  <c r="BQ347" i="38"/>
  <c r="BR347" i="38"/>
  <c r="BP348" i="38"/>
  <c r="BQ348" i="38"/>
  <c r="BR348" i="38"/>
  <c r="BP349" i="38"/>
  <c r="BQ349" i="38"/>
  <c r="BR349" i="38"/>
  <c r="BP350" i="38"/>
  <c r="BQ350" i="38"/>
  <c r="BR350" i="38"/>
  <c r="BP351" i="38"/>
  <c r="BQ351" i="38"/>
  <c r="BR351" i="38"/>
  <c r="BP352" i="38"/>
  <c r="BQ352" i="38"/>
  <c r="BR352" i="38"/>
  <c r="BP353" i="38"/>
  <c r="BQ353" i="38"/>
  <c r="BR353" i="38"/>
  <c r="BP354" i="38"/>
  <c r="BQ354" i="38"/>
  <c r="BR354" i="38"/>
  <c r="BP355" i="38"/>
  <c r="BQ355" i="38"/>
  <c r="BR355" i="38"/>
  <c r="BP356" i="38"/>
  <c r="BQ356" i="38"/>
  <c r="BR356" i="38"/>
  <c r="BP357" i="38"/>
  <c r="BQ357" i="38"/>
  <c r="BR357" i="38"/>
  <c r="BP358" i="38"/>
  <c r="BQ358" i="38"/>
  <c r="BR358" i="38"/>
  <c r="BP359" i="38"/>
  <c r="BQ359" i="38"/>
  <c r="BR359" i="38"/>
  <c r="BP360" i="38"/>
  <c r="BQ360" i="38"/>
  <c r="BR360" i="38"/>
  <c r="BP361" i="38"/>
  <c r="BQ361" i="38"/>
  <c r="BR361" i="38"/>
  <c r="BP362" i="38"/>
  <c r="BQ362" i="38"/>
  <c r="BR362" i="38"/>
  <c r="BP363" i="38"/>
  <c r="BQ363" i="38"/>
  <c r="BR363" i="38"/>
  <c r="BP364" i="38"/>
  <c r="BQ364" i="38"/>
  <c r="BR364" i="38"/>
  <c r="BP365" i="38"/>
  <c r="BQ365" i="38"/>
  <c r="BR365" i="38"/>
  <c r="BP366" i="38"/>
  <c r="BQ366" i="38"/>
  <c r="BR366" i="38"/>
  <c r="BP367" i="38"/>
  <c r="BQ367" i="38"/>
  <c r="BR367" i="38"/>
  <c r="BP368" i="38"/>
  <c r="BQ368" i="38"/>
  <c r="BR368" i="38"/>
  <c r="BP369" i="38"/>
  <c r="BQ369" i="38"/>
  <c r="BR369" i="38"/>
  <c r="BP370" i="38"/>
  <c r="BQ370" i="38"/>
  <c r="BR370" i="38"/>
  <c r="BP371" i="38"/>
  <c r="BQ371" i="38"/>
  <c r="BR371" i="38"/>
  <c r="BP372" i="38"/>
  <c r="BQ372" i="38"/>
  <c r="BR372" i="38"/>
  <c r="BP373" i="38"/>
  <c r="BQ373" i="38"/>
  <c r="BR373" i="38"/>
  <c r="BP374" i="38"/>
  <c r="BQ374" i="38"/>
  <c r="BR374" i="38"/>
  <c r="BP375" i="38"/>
  <c r="BQ375" i="38"/>
  <c r="BR375" i="38"/>
  <c r="BP376" i="38"/>
  <c r="BQ376" i="38"/>
  <c r="BR376" i="38"/>
  <c r="BR11" i="38"/>
  <c r="BQ11" i="38"/>
  <c r="BP11" i="38"/>
  <c r="DN104" i="12" l="1"/>
  <c r="DM104" i="12"/>
  <c r="DN103" i="12"/>
  <c r="DM103" i="12"/>
  <c r="K376" i="50" l="1"/>
  <c r="L376" i="50"/>
  <c r="M376" i="50"/>
  <c r="N376" i="50"/>
  <c r="O376" i="50"/>
  <c r="P376" i="50"/>
  <c r="J376" i="50"/>
  <c r="J13" i="50"/>
  <c r="K13" i="50"/>
  <c r="L13" i="50"/>
  <c r="M13" i="50"/>
  <c r="N13" i="50"/>
  <c r="O13" i="50"/>
  <c r="P13" i="50"/>
  <c r="J14" i="50"/>
  <c r="K14" i="50"/>
  <c r="L14" i="50"/>
  <c r="M14" i="50"/>
  <c r="N14" i="50"/>
  <c r="O14" i="50"/>
  <c r="P14" i="50"/>
  <c r="J15" i="50"/>
  <c r="K15" i="50"/>
  <c r="L15" i="50"/>
  <c r="M15" i="50"/>
  <c r="N15" i="50"/>
  <c r="O15" i="50"/>
  <c r="P15" i="50"/>
  <c r="J16" i="50"/>
  <c r="K16" i="50"/>
  <c r="L16" i="50"/>
  <c r="M16" i="50"/>
  <c r="N16" i="50"/>
  <c r="O16" i="50"/>
  <c r="P16" i="50"/>
  <c r="J17" i="50"/>
  <c r="K17" i="50"/>
  <c r="L17" i="50"/>
  <c r="M17" i="50"/>
  <c r="N17" i="50"/>
  <c r="O17" i="50"/>
  <c r="P17" i="50"/>
  <c r="J18" i="50"/>
  <c r="K18" i="50"/>
  <c r="L18" i="50"/>
  <c r="M18" i="50"/>
  <c r="N18" i="50"/>
  <c r="O18" i="50"/>
  <c r="P18" i="50"/>
  <c r="J19" i="50"/>
  <c r="K19" i="50"/>
  <c r="L19" i="50"/>
  <c r="M19" i="50"/>
  <c r="N19" i="50"/>
  <c r="O19" i="50"/>
  <c r="P19" i="50"/>
  <c r="J20" i="50"/>
  <c r="K20" i="50"/>
  <c r="L20" i="50"/>
  <c r="M20" i="50"/>
  <c r="N20" i="50"/>
  <c r="O20" i="50"/>
  <c r="P20" i="50"/>
  <c r="J21" i="50"/>
  <c r="K21" i="50"/>
  <c r="L21" i="50"/>
  <c r="M21" i="50"/>
  <c r="N21" i="50"/>
  <c r="O21" i="50"/>
  <c r="P21" i="50"/>
  <c r="J22" i="50"/>
  <c r="K22" i="50"/>
  <c r="L22" i="50"/>
  <c r="M22" i="50"/>
  <c r="N22" i="50"/>
  <c r="O22" i="50"/>
  <c r="P22" i="50"/>
  <c r="J23" i="50"/>
  <c r="K23" i="50"/>
  <c r="L23" i="50"/>
  <c r="M23" i="50"/>
  <c r="N23" i="50"/>
  <c r="O23" i="50"/>
  <c r="P23" i="50"/>
  <c r="J24" i="50"/>
  <c r="K24" i="50"/>
  <c r="L24" i="50"/>
  <c r="M24" i="50"/>
  <c r="N24" i="50"/>
  <c r="O24" i="50"/>
  <c r="P24" i="50"/>
  <c r="J25" i="50"/>
  <c r="K25" i="50"/>
  <c r="L25" i="50"/>
  <c r="M25" i="50"/>
  <c r="N25" i="50"/>
  <c r="O25" i="50"/>
  <c r="P25" i="50"/>
  <c r="J26" i="50"/>
  <c r="K26" i="50"/>
  <c r="L26" i="50"/>
  <c r="M26" i="50"/>
  <c r="N26" i="50"/>
  <c r="O26" i="50"/>
  <c r="P26" i="50"/>
  <c r="J27" i="50"/>
  <c r="K27" i="50"/>
  <c r="L27" i="50"/>
  <c r="M27" i="50"/>
  <c r="N27" i="50"/>
  <c r="O27" i="50"/>
  <c r="P27" i="50"/>
  <c r="J28" i="50"/>
  <c r="K28" i="50"/>
  <c r="L28" i="50"/>
  <c r="M28" i="50"/>
  <c r="N28" i="50"/>
  <c r="O28" i="50"/>
  <c r="P28" i="50"/>
  <c r="J29" i="50"/>
  <c r="K29" i="50"/>
  <c r="L29" i="50"/>
  <c r="M29" i="50"/>
  <c r="N29" i="50"/>
  <c r="O29" i="50"/>
  <c r="P29" i="50"/>
  <c r="J30" i="50"/>
  <c r="K30" i="50"/>
  <c r="L30" i="50"/>
  <c r="M30" i="50"/>
  <c r="N30" i="50"/>
  <c r="O30" i="50"/>
  <c r="P30" i="50"/>
  <c r="J31" i="50"/>
  <c r="K31" i="50"/>
  <c r="L31" i="50"/>
  <c r="M31" i="50"/>
  <c r="N31" i="50"/>
  <c r="O31" i="50"/>
  <c r="P31" i="50"/>
  <c r="J32" i="50"/>
  <c r="K32" i="50"/>
  <c r="L32" i="50"/>
  <c r="M32" i="50"/>
  <c r="N32" i="50"/>
  <c r="O32" i="50"/>
  <c r="P32" i="50"/>
  <c r="J33" i="50"/>
  <c r="K33" i="50"/>
  <c r="L33" i="50"/>
  <c r="M33" i="50"/>
  <c r="N33" i="50"/>
  <c r="O33" i="50"/>
  <c r="P33" i="50"/>
  <c r="J34" i="50"/>
  <c r="K34" i="50"/>
  <c r="L34" i="50"/>
  <c r="M34" i="50"/>
  <c r="N34" i="50"/>
  <c r="O34" i="50"/>
  <c r="P34" i="50"/>
  <c r="J35" i="50"/>
  <c r="K35" i="50"/>
  <c r="L35" i="50"/>
  <c r="M35" i="50"/>
  <c r="N35" i="50"/>
  <c r="O35" i="50"/>
  <c r="P35" i="50"/>
  <c r="J36" i="50"/>
  <c r="K36" i="50"/>
  <c r="L36" i="50"/>
  <c r="M36" i="50"/>
  <c r="N36" i="50"/>
  <c r="O36" i="50"/>
  <c r="P36" i="50"/>
  <c r="J37" i="50"/>
  <c r="K37" i="50"/>
  <c r="L37" i="50"/>
  <c r="M37" i="50"/>
  <c r="N37" i="50"/>
  <c r="O37" i="50"/>
  <c r="P37" i="50"/>
  <c r="J38" i="50"/>
  <c r="K38" i="50"/>
  <c r="L38" i="50"/>
  <c r="M38" i="50"/>
  <c r="N38" i="50"/>
  <c r="O38" i="50"/>
  <c r="P38" i="50"/>
  <c r="J39" i="50"/>
  <c r="K39" i="50"/>
  <c r="L39" i="50"/>
  <c r="M39" i="50"/>
  <c r="N39" i="50"/>
  <c r="O39" i="50"/>
  <c r="P39" i="50"/>
  <c r="J40" i="50"/>
  <c r="K40" i="50"/>
  <c r="L40" i="50"/>
  <c r="M40" i="50"/>
  <c r="N40" i="50"/>
  <c r="O40" i="50"/>
  <c r="P40" i="50"/>
  <c r="J41" i="50"/>
  <c r="K41" i="50"/>
  <c r="L41" i="50"/>
  <c r="M41" i="50"/>
  <c r="N41" i="50"/>
  <c r="O41" i="50"/>
  <c r="P41" i="50"/>
  <c r="J42" i="50"/>
  <c r="K42" i="50"/>
  <c r="L42" i="50"/>
  <c r="M42" i="50"/>
  <c r="N42" i="50"/>
  <c r="O42" i="50"/>
  <c r="P42" i="50"/>
  <c r="J43" i="50"/>
  <c r="K43" i="50"/>
  <c r="L43" i="50"/>
  <c r="M43" i="50"/>
  <c r="N43" i="50"/>
  <c r="O43" i="50"/>
  <c r="P43" i="50"/>
  <c r="J44" i="50"/>
  <c r="K44" i="50"/>
  <c r="L44" i="50"/>
  <c r="M44" i="50"/>
  <c r="N44" i="50"/>
  <c r="O44" i="50"/>
  <c r="P44" i="50"/>
  <c r="J45" i="50"/>
  <c r="K45" i="50"/>
  <c r="L45" i="50"/>
  <c r="M45" i="50"/>
  <c r="N45" i="50"/>
  <c r="O45" i="50"/>
  <c r="P45" i="50"/>
  <c r="J46" i="50"/>
  <c r="K46" i="50"/>
  <c r="L46" i="50"/>
  <c r="M46" i="50"/>
  <c r="N46" i="50"/>
  <c r="O46" i="50"/>
  <c r="P46" i="50"/>
  <c r="J47" i="50"/>
  <c r="K47" i="50"/>
  <c r="L47" i="50"/>
  <c r="M47" i="50"/>
  <c r="N47" i="50"/>
  <c r="O47" i="50"/>
  <c r="P47" i="50"/>
  <c r="J48" i="50"/>
  <c r="K48" i="50"/>
  <c r="L48" i="50"/>
  <c r="M48" i="50"/>
  <c r="N48" i="50"/>
  <c r="O48" i="50"/>
  <c r="P48" i="50"/>
  <c r="J49" i="50"/>
  <c r="K49" i="50"/>
  <c r="L49" i="50"/>
  <c r="M49" i="50"/>
  <c r="N49" i="50"/>
  <c r="O49" i="50"/>
  <c r="P49" i="50"/>
  <c r="J50" i="50"/>
  <c r="K50" i="50"/>
  <c r="L50" i="50"/>
  <c r="M50" i="50"/>
  <c r="N50" i="50"/>
  <c r="O50" i="50"/>
  <c r="P50" i="50"/>
  <c r="J51" i="50"/>
  <c r="K51" i="50"/>
  <c r="L51" i="50"/>
  <c r="M51" i="50"/>
  <c r="N51" i="50"/>
  <c r="O51" i="50"/>
  <c r="P51" i="50"/>
  <c r="J52" i="50"/>
  <c r="K52" i="50"/>
  <c r="L52" i="50"/>
  <c r="M52" i="50"/>
  <c r="N52" i="50"/>
  <c r="O52" i="50"/>
  <c r="P52" i="50"/>
  <c r="J53" i="50"/>
  <c r="K53" i="50"/>
  <c r="L53" i="50"/>
  <c r="M53" i="50"/>
  <c r="N53" i="50"/>
  <c r="O53" i="50"/>
  <c r="P53" i="50"/>
  <c r="J54" i="50"/>
  <c r="K54" i="50"/>
  <c r="L54" i="50"/>
  <c r="M54" i="50"/>
  <c r="N54" i="50"/>
  <c r="O54" i="50"/>
  <c r="P54" i="50"/>
  <c r="J55" i="50"/>
  <c r="K55" i="50"/>
  <c r="L55" i="50"/>
  <c r="M55" i="50"/>
  <c r="N55" i="50"/>
  <c r="O55" i="50"/>
  <c r="P55" i="50"/>
  <c r="J56" i="50"/>
  <c r="K56" i="50"/>
  <c r="L56" i="50"/>
  <c r="M56" i="50"/>
  <c r="N56" i="50"/>
  <c r="O56" i="50"/>
  <c r="P56" i="50"/>
  <c r="J57" i="50"/>
  <c r="K57" i="50"/>
  <c r="L57" i="50"/>
  <c r="M57" i="50"/>
  <c r="N57" i="50"/>
  <c r="O57" i="50"/>
  <c r="P57" i="50"/>
  <c r="J58" i="50"/>
  <c r="K58" i="50"/>
  <c r="L58" i="50"/>
  <c r="M58" i="50"/>
  <c r="N58" i="50"/>
  <c r="O58" i="50"/>
  <c r="P58" i="50"/>
  <c r="J59" i="50"/>
  <c r="K59" i="50"/>
  <c r="L59" i="50"/>
  <c r="M59" i="50"/>
  <c r="N59" i="50"/>
  <c r="O59" i="50"/>
  <c r="P59" i="50"/>
  <c r="J60" i="50"/>
  <c r="K60" i="50"/>
  <c r="L60" i="50"/>
  <c r="M60" i="50"/>
  <c r="N60" i="50"/>
  <c r="O60" i="50"/>
  <c r="P60" i="50"/>
  <c r="J61" i="50"/>
  <c r="K61" i="50"/>
  <c r="L61" i="50"/>
  <c r="M61" i="50"/>
  <c r="N61" i="50"/>
  <c r="O61" i="50"/>
  <c r="P61" i="50"/>
  <c r="J62" i="50"/>
  <c r="K62" i="50"/>
  <c r="L62" i="50"/>
  <c r="M62" i="50"/>
  <c r="N62" i="50"/>
  <c r="O62" i="50"/>
  <c r="P62" i="50"/>
  <c r="J63" i="50"/>
  <c r="K63" i="50"/>
  <c r="L63" i="50"/>
  <c r="M63" i="50"/>
  <c r="N63" i="50"/>
  <c r="O63" i="50"/>
  <c r="P63" i="50"/>
  <c r="J64" i="50"/>
  <c r="K64" i="50"/>
  <c r="L64" i="50"/>
  <c r="M64" i="50"/>
  <c r="N64" i="50"/>
  <c r="O64" i="50"/>
  <c r="P64" i="50"/>
  <c r="J65" i="50"/>
  <c r="K65" i="50"/>
  <c r="L65" i="50"/>
  <c r="M65" i="50"/>
  <c r="N65" i="50"/>
  <c r="O65" i="50"/>
  <c r="P65" i="50"/>
  <c r="J66" i="50"/>
  <c r="K66" i="50"/>
  <c r="L66" i="50"/>
  <c r="M66" i="50"/>
  <c r="N66" i="50"/>
  <c r="O66" i="50"/>
  <c r="P66" i="50"/>
  <c r="J67" i="50"/>
  <c r="K67" i="50"/>
  <c r="L67" i="50"/>
  <c r="M67" i="50"/>
  <c r="N67" i="50"/>
  <c r="O67" i="50"/>
  <c r="P67" i="50"/>
  <c r="J68" i="50"/>
  <c r="K68" i="50"/>
  <c r="L68" i="50"/>
  <c r="M68" i="50"/>
  <c r="N68" i="50"/>
  <c r="O68" i="50"/>
  <c r="P68" i="50"/>
  <c r="J69" i="50"/>
  <c r="K69" i="50"/>
  <c r="L69" i="50"/>
  <c r="M69" i="50"/>
  <c r="N69" i="50"/>
  <c r="O69" i="50"/>
  <c r="P69" i="50"/>
  <c r="J70" i="50"/>
  <c r="K70" i="50"/>
  <c r="L70" i="50"/>
  <c r="M70" i="50"/>
  <c r="N70" i="50"/>
  <c r="O70" i="50"/>
  <c r="P70" i="50"/>
  <c r="J71" i="50"/>
  <c r="K71" i="50"/>
  <c r="L71" i="50"/>
  <c r="M71" i="50"/>
  <c r="N71" i="50"/>
  <c r="O71" i="50"/>
  <c r="P71" i="50"/>
  <c r="J72" i="50"/>
  <c r="K72" i="50"/>
  <c r="L72" i="50"/>
  <c r="M72" i="50"/>
  <c r="N72" i="50"/>
  <c r="O72" i="50"/>
  <c r="P72" i="50"/>
  <c r="J73" i="50"/>
  <c r="K73" i="50"/>
  <c r="L73" i="50"/>
  <c r="M73" i="50"/>
  <c r="N73" i="50"/>
  <c r="O73" i="50"/>
  <c r="P73" i="50"/>
  <c r="J74" i="50"/>
  <c r="K74" i="50"/>
  <c r="L74" i="50"/>
  <c r="M74" i="50"/>
  <c r="N74" i="50"/>
  <c r="O74" i="50"/>
  <c r="P74" i="50"/>
  <c r="J75" i="50"/>
  <c r="K75" i="50"/>
  <c r="L75" i="50"/>
  <c r="M75" i="50"/>
  <c r="N75" i="50"/>
  <c r="O75" i="50"/>
  <c r="P75" i="50"/>
  <c r="J76" i="50"/>
  <c r="K76" i="50"/>
  <c r="L76" i="50"/>
  <c r="M76" i="50"/>
  <c r="N76" i="50"/>
  <c r="O76" i="50"/>
  <c r="P76" i="50"/>
  <c r="J77" i="50"/>
  <c r="K77" i="50"/>
  <c r="L77" i="50"/>
  <c r="M77" i="50"/>
  <c r="N77" i="50"/>
  <c r="O77" i="50"/>
  <c r="P77" i="50"/>
  <c r="J78" i="50"/>
  <c r="K78" i="50"/>
  <c r="L78" i="50"/>
  <c r="M78" i="50"/>
  <c r="N78" i="50"/>
  <c r="O78" i="50"/>
  <c r="P78" i="50"/>
  <c r="J79" i="50"/>
  <c r="K79" i="50"/>
  <c r="L79" i="50"/>
  <c r="M79" i="50"/>
  <c r="N79" i="50"/>
  <c r="O79" i="50"/>
  <c r="P79" i="50"/>
  <c r="J80" i="50"/>
  <c r="K80" i="50"/>
  <c r="L80" i="50"/>
  <c r="M80" i="50"/>
  <c r="N80" i="50"/>
  <c r="O80" i="50"/>
  <c r="P80" i="50"/>
  <c r="J81" i="50"/>
  <c r="K81" i="50"/>
  <c r="L81" i="50"/>
  <c r="M81" i="50"/>
  <c r="N81" i="50"/>
  <c r="O81" i="50"/>
  <c r="P81" i="50"/>
  <c r="J82" i="50"/>
  <c r="K82" i="50"/>
  <c r="L82" i="50"/>
  <c r="M82" i="50"/>
  <c r="N82" i="50"/>
  <c r="O82" i="50"/>
  <c r="P82" i="50"/>
  <c r="J83" i="50"/>
  <c r="K83" i="50"/>
  <c r="L83" i="50"/>
  <c r="M83" i="50"/>
  <c r="N83" i="50"/>
  <c r="O83" i="50"/>
  <c r="P83" i="50"/>
  <c r="J84" i="50"/>
  <c r="K84" i="50"/>
  <c r="L84" i="50"/>
  <c r="M84" i="50"/>
  <c r="N84" i="50"/>
  <c r="O84" i="50"/>
  <c r="P84" i="50"/>
  <c r="J85" i="50"/>
  <c r="K85" i="50"/>
  <c r="L85" i="50"/>
  <c r="M85" i="50"/>
  <c r="N85" i="50"/>
  <c r="O85" i="50"/>
  <c r="P85" i="50"/>
  <c r="J86" i="50"/>
  <c r="K86" i="50"/>
  <c r="L86" i="50"/>
  <c r="M86" i="50"/>
  <c r="N86" i="50"/>
  <c r="O86" i="50"/>
  <c r="P86" i="50"/>
  <c r="J87" i="50"/>
  <c r="K87" i="50"/>
  <c r="L87" i="50"/>
  <c r="M87" i="50"/>
  <c r="N87" i="50"/>
  <c r="O87" i="50"/>
  <c r="P87" i="50"/>
  <c r="J88" i="50"/>
  <c r="K88" i="50"/>
  <c r="L88" i="50"/>
  <c r="M88" i="50"/>
  <c r="N88" i="50"/>
  <c r="O88" i="50"/>
  <c r="P88" i="50"/>
  <c r="J89" i="50"/>
  <c r="K89" i="50"/>
  <c r="L89" i="50"/>
  <c r="M89" i="50"/>
  <c r="N89" i="50"/>
  <c r="O89" i="50"/>
  <c r="P89" i="50"/>
  <c r="J90" i="50"/>
  <c r="K90" i="50"/>
  <c r="L90" i="50"/>
  <c r="M90" i="50"/>
  <c r="N90" i="50"/>
  <c r="O90" i="50"/>
  <c r="P90" i="50"/>
  <c r="J91" i="50"/>
  <c r="K91" i="50"/>
  <c r="L91" i="50"/>
  <c r="M91" i="50"/>
  <c r="N91" i="50"/>
  <c r="O91" i="50"/>
  <c r="P91" i="50"/>
  <c r="J92" i="50"/>
  <c r="K92" i="50"/>
  <c r="L92" i="50"/>
  <c r="M92" i="50"/>
  <c r="N92" i="50"/>
  <c r="O92" i="50"/>
  <c r="P92" i="50"/>
  <c r="J93" i="50"/>
  <c r="K93" i="50"/>
  <c r="L93" i="50"/>
  <c r="M93" i="50"/>
  <c r="N93" i="50"/>
  <c r="O93" i="50"/>
  <c r="P93" i="50"/>
  <c r="J94" i="50"/>
  <c r="K94" i="50"/>
  <c r="L94" i="50"/>
  <c r="M94" i="50"/>
  <c r="N94" i="50"/>
  <c r="O94" i="50"/>
  <c r="P94" i="50"/>
  <c r="J95" i="50"/>
  <c r="K95" i="50"/>
  <c r="L95" i="50"/>
  <c r="M95" i="50"/>
  <c r="N95" i="50"/>
  <c r="O95" i="50"/>
  <c r="P95" i="50"/>
  <c r="J96" i="50"/>
  <c r="K96" i="50"/>
  <c r="L96" i="50"/>
  <c r="M96" i="50"/>
  <c r="N96" i="50"/>
  <c r="O96" i="50"/>
  <c r="P96" i="50"/>
  <c r="J97" i="50"/>
  <c r="K97" i="50"/>
  <c r="L97" i="50"/>
  <c r="M97" i="50"/>
  <c r="N97" i="50"/>
  <c r="O97" i="50"/>
  <c r="P97" i="50"/>
  <c r="J98" i="50"/>
  <c r="K98" i="50"/>
  <c r="L98" i="50"/>
  <c r="M98" i="50"/>
  <c r="N98" i="50"/>
  <c r="O98" i="50"/>
  <c r="P98" i="50"/>
  <c r="J99" i="50"/>
  <c r="K99" i="50"/>
  <c r="L99" i="50"/>
  <c r="M99" i="50"/>
  <c r="N99" i="50"/>
  <c r="O99" i="50"/>
  <c r="P99" i="50"/>
  <c r="J100" i="50"/>
  <c r="K100" i="50"/>
  <c r="L100" i="50"/>
  <c r="M100" i="50"/>
  <c r="N100" i="50"/>
  <c r="O100" i="50"/>
  <c r="P100" i="50"/>
  <c r="J101" i="50"/>
  <c r="K101" i="50"/>
  <c r="L101" i="50"/>
  <c r="M101" i="50"/>
  <c r="N101" i="50"/>
  <c r="O101" i="50"/>
  <c r="P101" i="50"/>
  <c r="J102" i="50"/>
  <c r="K102" i="50"/>
  <c r="L102" i="50"/>
  <c r="M102" i="50"/>
  <c r="N102" i="50"/>
  <c r="O102" i="50"/>
  <c r="P102" i="50"/>
  <c r="J103" i="50"/>
  <c r="K103" i="50"/>
  <c r="L103" i="50"/>
  <c r="M103" i="50"/>
  <c r="N103" i="50"/>
  <c r="O103" i="50"/>
  <c r="P103" i="50"/>
  <c r="J104" i="50"/>
  <c r="K104" i="50"/>
  <c r="L104" i="50"/>
  <c r="M104" i="50"/>
  <c r="N104" i="50"/>
  <c r="O104" i="50"/>
  <c r="P104" i="50"/>
  <c r="J105" i="50"/>
  <c r="K105" i="50"/>
  <c r="L105" i="50"/>
  <c r="M105" i="50"/>
  <c r="N105" i="50"/>
  <c r="O105" i="50"/>
  <c r="P105" i="50"/>
  <c r="J106" i="50"/>
  <c r="K106" i="50"/>
  <c r="L106" i="50"/>
  <c r="M106" i="50"/>
  <c r="N106" i="50"/>
  <c r="O106" i="50"/>
  <c r="P106" i="50"/>
  <c r="J107" i="50"/>
  <c r="K107" i="50"/>
  <c r="L107" i="50"/>
  <c r="M107" i="50"/>
  <c r="N107" i="50"/>
  <c r="O107" i="50"/>
  <c r="P107" i="50"/>
  <c r="J108" i="50"/>
  <c r="K108" i="50"/>
  <c r="L108" i="50"/>
  <c r="M108" i="50"/>
  <c r="N108" i="50"/>
  <c r="O108" i="50"/>
  <c r="P108" i="50"/>
  <c r="J109" i="50"/>
  <c r="K109" i="50"/>
  <c r="L109" i="50"/>
  <c r="M109" i="50"/>
  <c r="N109" i="50"/>
  <c r="O109" i="50"/>
  <c r="P109" i="50"/>
  <c r="J110" i="50"/>
  <c r="K110" i="50"/>
  <c r="L110" i="50"/>
  <c r="M110" i="50"/>
  <c r="N110" i="50"/>
  <c r="O110" i="50"/>
  <c r="P110" i="50"/>
  <c r="J111" i="50"/>
  <c r="K111" i="50"/>
  <c r="L111" i="50"/>
  <c r="M111" i="50"/>
  <c r="N111" i="50"/>
  <c r="O111" i="50"/>
  <c r="P111" i="50"/>
  <c r="J112" i="50"/>
  <c r="K112" i="50"/>
  <c r="L112" i="50"/>
  <c r="M112" i="50"/>
  <c r="N112" i="50"/>
  <c r="O112" i="50"/>
  <c r="P112" i="50"/>
  <c r="J113" i="50"/>
  <c r="K113" i="50"/>
  <c r="L113" i="50"/>
  <c r="M113" i="50"/>
  <c r="N113" i="50"/>
  <c r="O113" i="50"/>
  <c r="P113" i="50"/>
  <c r="J114" i="50"/>
  <c r="K114" i="50"/>
  <c r="L114" i="50"/>
  <c r="M114" i="50"/>
  <c r="N114" i="50"/>
  <c r="O114" i="50"/>
  <c r="P114" i="50"/>
  <c r="J115" i="50"/>
  <c r="K115" i="50"/>
  <c r="L115" i="50"/>
  <c r="M115" i="50"/>
  <c r="N115" i="50"/>
  <c r="O115" i="50"/>
  <c r="P115" i="50"/>
  <c r="J116" i="50"/>
  <c r="K116" i="50"/>
  <c r="L116" i="50"/>
  <c r="M116" i="50"/>
  <c r="N116" i="50"/>
  <c r="O116" i="50"/>
  <c r="P116" i="50"/>
  <c r="J117" i="50"/>
  <c r="K117" i="50"/>
  <c r="L117" i="50"/>
  <c r="M117" i="50"/>
  <c r="N117" i="50"/>
  <c r="O117" i="50"/>
  <c r="P117" i="50"/>
  <c r="J118" i="50"/>
  <c r="K118" i="50"/>
  <c r="L118" i="50"/>
  <c r="M118" i="50"/>
  <c r="N118" i="50"/>
  <c r="O118" i="50"/>
  <c r="P118" i="50"/>
  <c r="J119" i="50"/>
  <c r="K119" i="50"/>
  <c r="L119" i="50"/>
  <c r="M119" i="50"/>
  <c r="N119" i="50"/>
  <c r="O119" i="50"/>
  <c r="P119" i="50"/>
  <c r="J120" i="50"/>
  <c r="K120" i="50"/>
  <c r="L120" i="50"/>
  <c r="M120" i="50"/>
  <c r="N120" i="50"/>
  <c r="O120" i="50"/>
  <c r="P120" i="50"/>
  <c r="J121" i="50"/>
  <c r="K121" i="50"/>
  <c r="L121" i="50"/>
  <c r="M121" i="50"/>
  <c r="N121" i="50"/>
  <c r="O121" i="50"/>
  <c r="P121" i="50"/>
  <c r="J122" i="50"/>
  <c r="K122" i="50"/>
  <c r="L122" i="50"/>
  <c r="M122" i="50"/>
  <c r="N122" i="50"/>
  <c r="O122" i="50"/>
  <c r="P122" i="50"/>
  <c r="J123" i="50"/>
  <c r="K123" i="50"/>
  <c r="L123" i="50"/>
  <c r="M123" i="50"/>
  <c r="N123" i="50"/>
  <c r="O123" i="50"/>
  <c r="P123" i="50"/>
  <c r="J124" i="50"/>
  <c r="K124" i="50"/>
  <c r="L124" i="50"/>
  <c r="M124" i="50"/>
  <c r="N124" i="50"/>
  <c r="O124" i="50"/>
  <c r="P124" i="50"/>
  <c r="J125" i="50"/>
  <c r="K125" i="50"/>
  <c r="L125" i="50"/>
  <c r="M125" i="50"/>
  <c r="N125" i="50"/>
  <c r="O125" i="50"/>
  <c r="P125" i="50"/>
  <c r="J126" i="50"/>
  <c r="K126" i="50"/>
  <c r="L126" i="50"/>
  <c r="M126" i="50"/>
  <c r="N126" i="50"/>
  <c r="O126" i="50"/>
  <c r="P126" i="50"/>
  <c r="J127" i="50"/>
  <c r="K127" i="50"/>
  <c r="L127" i="50"/>
  <c r="M127" i="50"/>
  <c r="N127" i="50"/>
  <c r="O127" i="50"/>
  <c r="P127" i="50"/>
  <c r="J128" i="50"/>
  <c r="K128" i="50"/>
  <c r="L128" i="50"/>
  <c r="M128" i="50"/>
  <c r="N128" i="50"/>
  <c r="O128" i="50"/>
  <c r="P128" i="50"/>
  <c r="J129" i="50"/>
  <c r="K129" i="50"/>
  <c r="L129" i="50"/>
  <c r="M129" i="50"/>
  <c r="N129" i="50"/>
  <c r="O129" i="50"/>
  <c r="P129" i="50"/>
  <c r="J130" i="50"/>
  <c r="K130" i="50"/>
  <c r="L130" i="50"/>
  <c r="M130" i="50"/>
  <c r="N130" i="50"/>
  <c r="O130" i="50"/>
  <c r="P130" i="50"/>
  <c r="J131" i="50"/>
  <c r="K131" i="50"/>
  <c r="L131" i="50"/>
  <c r="M131" i="50"/>
  <c r="N131" i="50"/>
  <c r="O131" i="50"/>
  <c r="P131" i="50"/>
  <c r="J132" i="50"/>
  <c r="K132" i="50"/>
  <c r="L132" i="50"/>
  <c r="M132" i="50"/>
  <c r="N132" i="50"/>
  <c r="O132" i="50"/>
  <c r="P132" i="50"/>
  <c r="J133" i="50"/>
  <c r="K133" i="50"/>
  <c r="L133" i="50"/>
  <c r="M133" i="50"/>
  <c r="N133" i="50"/>
  <c r="O133" i="50"/>
  <c r="P133" i="50"/>
  <c r="J134" i="50"/>
  <c r="K134" i="50"/>
  <c r="L134" i="50"/>
  <c r="M134" i="50"/>
  <c r="N134" i="50"/>
  <c r="O134" i="50"/>
  <c r="P134" i="50"/>
  <c r="J135" i="50"/>
  <c r="K135" i="50"/>
  <c r="L135" i="50"/>
  <c r="M135" i="50"/>
  <c r="N135" i="50"/>
  <c r="O135" i="50"/>
  <c r="P135" i="50"/>
  <c r="J136" i="50"/>
  <c r="K136" i="50"/>
  <c r="L136" i="50"/>
  <c r="M136" i="50"/>
  <c r="N136" i="50"/>
  <c r="O136" i="50"/>
  <c r="P136" i="50"/>
  <c r="J137" i="50"/>
  <c r="K137" i="50"/>
  <c r="L137" i="50"/>
  <c r="M137" i="50"/>
  <c r="N137" i="50"/>
  <c r="O137" i="50"/>
  <c r="P137" i="50"/>
  <c r="J138" i="50"/>
  <c r="K138" i="50"/>
  <c r="L138" i="50"/>
  <c r="M138" i="50"/>
  <c r="N138" i="50"/>
  <c r="O138" i="50"/>
  <c r="P138" i="50"/>
  <c r="J139" i="50"/>
  <c r="K139" i="50"/>
  <c r="L139" i="50"/>
  <c r="M139" i="50"/>
  <c r="N139" i="50"/>
  <c r="O139" i="50"/>
  <c r="P139" i="50"/>
  <c r="J140" i="50"/>
  <c r="K140" i="50"/>
  <c r="L140" i="50"/>
  <c r="M140" i="50"/>
  <c r="N140" i="50"/>
  <c r="O140" i="50"/>
  <c r="P140" i="50"/>
  <c r="J141" i="50"/>
  <c r="K141" i="50"/>
  <c r="L141" i="50"/>
  <c r="M141" i="50"/>
  <c r="N141" i="50"/>
  <c r="O141" i="50"/>
  <c r="P141" i="50"/>
  <c r="J142" i="50"/>
  <c r="K142" i="50"/>
  <c r="L142" i="50"/>
  <c r="M142" i="50"/>
  <c r="N142" i="50"/>
  <c r="O142" i="50"/>
  <c r="P142" i="50"/>
  <c r="J143" i="50"/>
  <c r="K143" i="50"/>
  <c r="L143" i="50"/>
  <c r="M143" i="50"/>
  <c r="N143" i="50"/>
  <c r="O143" i="50"/>
  <c r="P143" i="50"/>
  <c r="J144" i="50"/>
  <c r="K144" i="50"/>
  <c r="L144" i="50"/>
  <c r="M144" i="50"/>
  <c r="N144" i="50"/>
  <c r="O144" i="50"/>
  <c r="P144" i="50"/>
  <c r="J145" i="50"/>
  <c r="K145" i="50"/>
  <c r="L145" i="50"/>
  <c r="M145" i="50"/>
  <c r="N145" i="50"/>
  <c r="O145" i="50"/>
  <c r="P145" i="50"/>
  <c r="J146" i="50"/>
  <c r="K146" i="50"/>
  <c r="L146" i="50"/>
  <c r="M146" i="50"/>
  <c r="N146" i="50"/>
  <c r="O146" i="50"/>
  <c r="P146" i="50"/>
  <c r="J147" i="50"/>
  <c r="K147" i="50"/>
  <c r="L147" i="50"/>
  <c r="M147" i="50"/>
  <c r="N147" i="50"/>
  <c r="O147" i="50"/>
  <c r="P147" i="50"/>
  <c r="J148" i="50"/>
  <c r="K148" i="50"/>
  <c r="L148" i="50"/>
  <c r="M148" i="50"/>
  <c r="N148" i="50"/>
  <c r="O148" i="50"/>
  <c r="P148" i="50"/>
  <c r="J149" i="50"/>
  <c r="K149" i="50"/>
  <c r="L149" i="50"/>
  <c r="M149" i="50"/>
  <c r="N149" i="50"/>
  <c r="O149" i="50"/>
  <c r="P149" i="50"/>
  <c r="J150" i="50"/>
  <c r="K150" i="50"/>
  <c r="L150" i="50"/>
  <c r="M150" i="50"/>
  <c r="N150" i="50"/>
  <c r="O150" i="50"/>
  <c r="P150" i="50"/>
  <c r="J151" i="50"/>
  <c r="K151" i="50"/>
  <c r="L151" i="50"/>
  <c r="M151" i="50"/>
  <c r="N151" i="50"/>
  <c r="O151" i="50"/>
  <c r="P151" i="50"/>
  <c r="J152" i="50"/>
  <c r="K152" i="50"/>
  <c r="L152" i="50"/>
  <c r="M152" i="50"/>
  <c r="N152" i="50"/>
  <c r="O152" i="50"/>
  <c r="P152" i="50"/>
  <c r="J153" i="50"/>
  <c r="K153" i="50"/>
  <c r="L153" i="50"/>
  <c r="M153" i="50"/>
  <c r="N153" i="50"/>
  <c r="O153" i="50"/>
  <c r="P153" i="50"/>
  <c r="J154" i="50"/>
  <c r="K154" i="50"/>
  <c r="L154" i="50"/>
  <c r="M154" i="50"/>
  <c r="N154" i="50"/>
  <c r="O154" i="50"/>
  <c r="P154" i="50"/>
  <c r="J155" i="50"/>
  <c r="K155" i="50"/>
  <c r="L155" i="50"/>
  <c r="M155" i="50"/>
  <c r="N155" i="50"/>
  <c r="O155" i="50"/>
  <c r="P155" i="50"/>
  <c r="J156" i="50"/>
  <c r="K156" i="50"/>
  <c r="L156" i="50"/>
  <c r="M156" i="50"/>
  <c r="N156" i="50"/>
  <c r="O156" i="50"/>
  <c r="P156" i="50"/>
  <c r="J157" i="50"/>
  <c r="K157" i="50"/>
  <c r="L157" i="50"/>
  <c r="M157" i="50"/>
  <c r="N157" i="50"/>
  <c r="O157" i="50"/>
  <c r="P157" i="50"/>
  <c r="J158" i="50"/>
  <c r="K158" i="50"/>
  <c r="L158" i="50"/>
  <c r="M158" i="50"/>
  <c r="N158" i="50"/>
  <c r="O158" i="50"/>
  <c r="P158" i="50"/>
  <c r="J159" i="50"/>
  <c r="K159" i="50"/>
  <c r="L159" i="50"/>
  <c r="M159" i="50"/>
  <c r="N159" i="50"/>
  <c r="O159" i="50"/>
  <c r="P159" i="50"/>
  <c r="J160" i="50"/>
  <c r="K160" i="50"/>
  <c r="L160" i="50"/>
  <c r="M160" i="50"/>
  <c r="N160" i="50"/>
  <c r="O160" i="50"/>
  <c r="P160" i="50"/>
  <c r="J161" i="50"/>
  <c r="K161" i="50"/>
  <c r="L161" i="50"/>
  <c r="M161" i="50"/>
  <c r="N161" i="50"/>
  <c r="O161" i="50"/>
  <c r="P161" i="50"/>
  <c r="J162" i="50"/>
  <c r="K162" i="50"/>
  <c r="L162" i="50"/>
  <c r="M162" i="50"/>
  <c r="N162" i="50"/>
  <c r="O162" i="50"/>
  <c r="P162" i="50"/>
  <c r="J163" i="50"/>
  <c r="K163" i="50"/>
  <c r="L163" i="50"/>
  <c r="M163" i="50"/>
  <c r="N163" i="50"/>
  <c r="O163" i="50"/>
  <c r="P163" i="50"/>
  <c r="J164" i="50"/>
  <c r="K164" i="50"/>
  <c r="L164" i="50"/>
  <c r="M164" i="50"/>
  <c r="N164" i="50"/>
  <c r="O164" i="50"/>
  <c r="P164" i="50"/>
  <c r="J165" i="50"/>
  <c r="K165" i="50"/>
  <c r="L165" i="50"/>
  <c r="M165" i="50"/>
  <c r="N165" i="50"/>
  <c r="O165" i="50"/>
  <c r="P165" i="50"/>
  <c r="J166" i="50"/>
  <c r="K166" i="50"/>
  <c r="L166" i="50"/>
  <c r="M166" i="50"/>
  <c r="N166" i="50"/>
  <c r="O166" i="50"/>
  <c r="P166" i="50"/>
  <c r="J167" i="50"/>
  <c r="K167" i="50"/>
  <c r="L167" i="50"/>
  <c r="M167" i="50"/>
  <c r="N167" i="50"/>
  <c r="O167" i="50"/>
  <c r="P167" i="50"/>
  <c r="J168" i="50"/>
  <c r="K168" i="50"/>
  <c r="L168" i="50"/>
  <c r="M168" i="50"/>
  <c r="N168" i="50"/>
  <c r="O168" i="50"/>
  <c r="P168" i="50"/>
  <c r="J169" i="50"/>
  <c r="K169" i="50"/>
  <c r="L169" i="50"/>
  <c r="M169" i="50"/>
  <c r="N169" i="50"/>
  <c r="O169" i="50"/>
  <c r="P169" i="50"/>
  <c r="J170" i="50"/>
  <c r="K170" i="50"/>
  <c r="L170" i="50"/>
  <c r="M170" i="50"/>
  <c r="N170" i="50"/>
  <c r="O170" i="50"/>
  <c r="P170" i="50"/>
  <c r="J171" i="50"/>
  <c r="K171" i="50"/>
  <c r="L171" i="50"/>
  <c r="M171" i="50"/>
  <c r="N171" i="50"/>
  <c r="O171" i="50"/>
  <c r="P171" i="50"/>
  <c r="J172" i="50"/>
  <c r="K172" i="50"/>
  <c r="L172" i="50"/>
  <c r="M172" i="50"/>
  <c r="N172" i="50"/>
  <c r="O172" i="50"/>
  <c r="P172" i="50"/>
  <c r="J173" i="50"/>
  <c r="K173" i="50"/>
  <c r="L173" i="50"/>
  <c r="M173" i="50"/>
  <c r="N173" i="50"/>
  <c r="O173" i="50"/>
  <c r="P173" i="50"/>
  <c r="J174" i="50"/>
  <c r="K174" i="50"/>
  <c r="L174" i="50"/>
  <c r="M174" i="50"/>
  <c r="N174" i="50"/>
  <c r="O174" i="50"/>
  <c r="P174" i="50"/>
  <c r="J175" i="50"/>
  <c r="K175" i="50"/>
  <c r="L175" i="50"/>
  <c r="M175" i="50"/>
  <c r="N175" i="50"/>
  <c r="O175" i="50"/>
  <c r="P175" i="50"/>
  <c r="J176" i="50"/>
  <c r="K176" i="50"/>
  <c r="L176" i="50"/>
  <c r="M176" i="50"/>
  <c r="N176" i="50"/>
  <c r="O176" i="50"/>
  <c r="P176" i="50"/>
  <c r="J177" i="50"/>
  <c r="K177" i="50"/>
  <c r="L177" i="50"/>
  <c r="M177" i="50"/>
  <c r="N177" i="50"/>
  <c r="O177" i="50"/>
  <c r="P177" i="50"/>
  <c r="J178" i="50"/>
  <c r="K178" i="50"/>
  <c r="L178" i="50"/>
  <c r="M178" i="50"/>
  <c r="N178" i="50"/>
  <c r="O178" i="50"/>
  <c r="P178" i="50"/>
  <c r="J179" i="50"/>
  <c r="K179" i="50"/>
  <c r="L179" i="50"/>
  <c r="M179" i="50"/>
  <c r="N179" i="50"/>
  <c r="O179" i="50"/>
  <c r="P179" i="50"/>
  <c r="J180" i="50"/>
  <c r="K180" i="50"/>
  <c r="L180" i="50"/>
  <c r="M180" i="50"/>
  <c r="N180" i="50"/>
  <c r="O180" i="50"/>
  <c r="P180" i="50"/>
  <c r="J181" i="50"/>
  <c r="K181" i="50"/>
  <c r="L181" i="50"/>
  <c r="M181" i="50"/>
  <c r="N181" i="50"/>
  <c r="O181" i="50"/>
  <c r="P181" i="50"/>
  <c r="J182" i="50"/>
  <c r="K182" i="50"/>
  <c r="L182" i="50"/>
  <c r="M182" i="50"/>
  <c r="N182" i="50"/>
  <c r="O182" i="50"/>
  <c r="P182" i="50"/>
  <c r="J183" i="50"/>
  <c r="K183" i="50"/>
  <c r="L183" i="50"/>
  <c r="M183" i="50"/>
  <c r="N183" i="50"/>
  <c r="O183" i="50"/>
  <c r="P183" i="50"/>
  <c r="J184" i="50"/>
  <c r="K184" i="50"/>
  <c r="L184" i="50"/>
  <c r="M184" i="50"/>
  <c r="N184" i="50"/>
  <c r="O184" i="50"/>
  <c r="P184" i="50"/>
  <c r="J185" i="50"/>
  <c r="K185" i="50"/>
  <c r="L185" i="50"/>
  <c r="M185" i="50"/>
  <c r="N185" i="50"/>
  <c r="O185" i="50"/>
  <c r="P185" i="50"/>
  <c r="J186" i="50"/>
  <c r="K186" i="50"/>
  <c r="L186" i="50"/>
  <c r="M186" i="50"/>
  <c r="N186" i="50"/>
  <c r="O186" i="50"/>
  <c r="P186" i="50"/>
  <c r="J187" i="50"/>
  <c r="K187" i="50"/>
  <c r="L187" i="50"/>
  <c r="M187" i="50"/>
  <c r="N187" i="50"/>
  <c r="O187" i="50"/>
  <c r="P187" i="50"/>
  <c r="J188" i="50"/>
  <c r="K188" i="50"/>
  <c r="L188" i="50"/>
  <c r="M188" i="50"/>
  <c r="N188" i="50"/>
  <c r="O188" i="50"/>
  <c r="P188" i="50"/>
  <c r="J189" i="50"/>
  <c r="K189" i="50"/>
  <c r="L189" i="50"/>
  <c r="M189" i="50"/>
  <c r="N189" i="50"/>
  <c r="O189" i="50"/>
  <c r="P189" i="50"/>
  <c r="J190" i="50"/>
  <c r="K190" i="50"/>
  <c r="L190" i="50"/>
  <c r="M190" i="50"/>
  <c r="N190" i="50"/>
  <c r="O190" i="50"/>
  <c r="P190" i="50"/>
  <c r="J191" i="50"/>
  <c r="K191" i="50"/>
  <c r="L191" i="50"/>
  <c r="M191" i="50"/>
  <c r="N191" i="50"/>
  <c r="O191" i="50"/>
  <c r="P191" i="50"/>
  <c r="J192" i="50"/>
  <c r="K192" i="50"/>
  <c r="L192" i="50"/>
  <c r="M192" i="50"/>
  <c r="N192" i="50"/>
  <c r="O192" i="50"/>
  <c r="P192" i="50"/>
  <c r="J193" i="50"/>
  <c r="K193" i="50"/>
  <c r="L193" i="50"/>
  <c r="M193" i="50"/>
  <c r="N193" i="50"/>
  <c r="O193" i="50"/>
  <c r="P193" i="50"/>
  <c r="J194" i="50"/>
  <c r="K194" i="50"/>
  <c r="L194" i="50"/>
  <c r="M194" i="50"/>
  <c r="N194" i="50"/>
  <c r="O194" i="50"/>
  <c r="P194" i="50"/>
  <c r="J195" i="50"/>
  <c r="K195" i="50"/>
  <c r="L195" i="50"/>
  <c r="M195" i="50"/>
  <c r="N195" i="50"/>
  <c r="O195" i="50"/>
  <c r="P195" i="50"/>
  <c r="J196" i="50"/>
  <c r="K196" i="50"/>
  <c r="L196" i="50"/>
  <c r="M196" i="50"/>
  <c r="N196" i="50"/>
  <c r="O196" i="50"/>
  <c r="P196" i="50"/>
  <c r="J197" i="50"/>
  <c r="K197" i="50"/>
  <c r="L197" i="50"/>
  <c r="M197" i="50"/>
  <c r="N197" i="50"/>
  <c r="O197" i="50"/>
  <c r="P197" i="50"/>
  <c r="J198" i="50"/>
  <c r="K198" i="50"/>
  <c r="L198" i="50"/>
  <c r="M198" i="50"/>
  <c r="N198" i="50"/>
  <c r="O198" i="50"/>
  <c r="P198" i="50"/>
  <c r="J199" i="50"/>
  <c r="K199" i="50"/>
  <c r="L199" i="50"/>
  <c r="M199" i="50"/>
  <c r="N199" i="50"/>
  <c r="O199" i="50"/>
  <c r="P199" i="50"/>
  <c r="J200" i="50"/>
  <c r="K200" i="50"/>
  <c r="L200" i="50"/>
  <c r="M200" i="50"/>
  <c r="N200" i="50"/>
  <c r="O200" i="50"/>
  <c r="P200" i="50"/>
  <c r="J201" i="50"/>
  <c r="K201" i="50"/>
  <c r="L201" i="50"/>
  <c r="M201" i="50"/>
  <c r="N201" i="50"/>
  <c r="O201" i="50"/>
  <c r="P201" i="50"/>
  <c r="J202" i="50"/>
  <c r="K202" i="50"/>
  <c r="L202" i="50"/>
  <c r="M202" i="50"/>
  <c r="N202" i="50"/>
  <c r="O202" i="50"/>
  <c r="P202" i="50"/>
  <c r="J203" i="50"/>
  <c r="K203" i="50"/>
  <c r="L203" i="50"/>
  <c r="M203" i="50"/>
  <c r="N203" i="50"/>
  <c r="O203" i="50"/>
  <c r="P203" i="50"/>
  <c r="J204" i="50"/>
  <c r="K204" i="50"/>
  <c r="L204" i="50"/>
  <c r="M204" i="50"/>
  <c r="N204" i="50"/>
  <c r="O204" i="50"/>
  <c r="P204" i="50"/>
  <c r="J205" i="50"/>
  <c r="K205" i="50"/>
  <c r="L205" i="50"/>
  <c r="M205" i="50"/>
  <c r="N205" i="50"/>
  <c r="O205" i="50"/>
  <c r="P205" i="50"/>
  <c r="J206" i="50"/>
  <c r="K206" i="50"/>
  <c r="L206" i="50"/>
  <c r="M206" i="50"/>
  <c r="N206" i="50"/>
  <c r="O206" i="50"/>
  <c r="P206" i="50"/>
  <c r="J207" i="50"/>
  <c r="K207" i="50"/>
  <c r="L207" i="50"/>
  <c r="M207" i="50"/>
  <c r="N207" i="50"/>
  <c r="O207" i="50"/>
  <c r="P207" i="50"/>
  <c r="J208" i="50"/>
  <c r="K208" i="50"/>
  <c r="L208" i="50"/>
  <c r="M208" i="50"/>
  <c r="N208" i="50"/>
  <c r="O208" i="50"/>
  <c r="P208" i="50"/>
  <c r="J209" i="50"/>
  <c r="K209" i="50"/>
  <c r="L209" i="50"/>
  <c r="M209" i="50"/>
  <c r="N209" i="50"/>
  <c r="O209" i="50"/>
  <c r="P209" i="50"/>
  <c r="J210" i="50"/>
  <c r="K210" i="50"/>
  <c r="L210" i="50"/>
  <c r="M210" i="50"/>
  <c r="N210" i="50"/>
  <c r="O210" i="50"/>
  <c r="P210" i="50"/>
  <c r="J211" i="50"/>
  <c r="K211" i="50"/>
  <c r="L211" i="50"/>
  <c r="M211" i="50"/>
  <c r="N211" i="50"/>
  <c r="O211" i="50"/>
  <c r="P211" i="50"/>
  <c r="J212" i="50"/>
  <c r="K212" i="50"/>
  <c r="L212" i="50"/>
  <c r="M212" i="50"/>
  <c r="N212" i="50"/>
  <c r="O212" i="50"/>
  <c r="P212" i="50"/>
  <c r="J213" i="50"/>
  <c r="K213" i="50"/>
  <c r="L213" i="50"/>
  <c r="M213" i="50"/>
  <c r="N213" i="50"/>
  <c r="O213" i="50"/>
  <c r="P213" i="50"/>
  <c r="J214" i="50"/>
  <c r="K214" i="50"/>
  <c r="L214" i="50"/>
  <c r="M214" i="50"/>
  <c r="N214" i="50"/>
  <c r="O214" i="50"/>
  <c r="P214" i="50"/>
  <c r="J215" i="50"/>
  <c r="K215" i="50"/>
  <c r="L215" i="50"/>
  <c r="M215" i="50"/>
  <c r="N215" i="50"/>
  <c r="O215" i="50"/>
  <c r="P215" i="50"/>
  <c r="J216" i="50"/>
  <c r="K216" i="50"/>
  <c r="L216" i="50"/>
  <c r="M216" i="50"/>
  <c r="N216" i="50"/>
  <c r="O216" i="50"/>
  <c r="P216" i="50"/>
  <c r="J217" i="50"/>
  <c r="K217" i="50"/>
  <c r="L217" i="50"/>
  <c r="M217" i="50"/>
  <c r="N217" i="50"/>
  <c r="O217" i="50"/>
  <c r="P217" i="50"/>
  <c r="J218" i="50"/>
  <c r="K218" i="50"/>
  <c r="L218" i="50"/>
  <c r="M218" i="50"/>
  <c r="N218" i="50"/>
  <c r="O218" i="50"/>
  <c r="P218" i="50"/>
  <c r="J219" i="50"/>
  <c r="K219" i="50"/>
  <c r="L219" i="50"/>
  <c r="M219" i="50"/>
  <c r="N219" i="50"/>
  <c r="O219" i="50"/>
  <c r="P219" i="50"/>
  <c r="J220" i="50"/>
  <c r="K220" i="50"/>
  <c r="L220" i="50"/>
  <c r="M220" i="50"/>
  <c r="N220" i="50"/>
  <c r="O220" i="50"/>
  <c r="P220" i="50"/>
  <c r="J221" i="50"/>
  <c r="K221" i="50"/>
  <c r="L221" i="50"/>
  <c r="M221" i="50"/>
  <c r="N221" i="50"/>
  <c r="O221" i="50"/>
  <c r="P221" i="50"/>
  <c r="J222" i="50"/>
  <c r="K222" i="50"/>
  <c r="L222" i="50"/>
  <c r="M222" i="50"/>
  <c r="N222" i="50"/>
  <c r="O222" i="50"/>
  <c r="P222" i="50"/>
  <c r="J223" i="50"/>
  <c r="K223" i="50"/>
  <c r="L223" i="50"/>
  <c r="M223" i="50"/>
  <c r="N223" i="50"/>
  <c r="O223" i="50"/>
  <c r="P223" i="50"/>
  <c r="J224" i="50"/>
  <c r="K224" i="50"/>
  <c r="L224" i="50"/>
  <c r="M224" i="50"/>
  <c r="N224" i="50"/>
  <c r="O224" i="50"/>
  <c r="P224" i="50"/>
  <c r="J225" i="50"/>
  <c r="K225" i="50"/>
  <c r="L225" i="50"/>
  <c r="M225" i="50"/>
  <c r="N225" i="50"/>
  <c r="O225" i="50"/>
  <c r="P225" i="50"/>
  <c r="J226" i="50"/>
  <c r="K226" i="50"/>
  <c r="L226" i="50"/>
  <c r="M226" i="50"/>
  <c r="N226" i="50"/>
  <c r="O226" i="50"/>
  <c r="P226" i="50"/>
  <c r="J227" i="50"/>
  <c r="K227" i="50"/>
  <c r="L227" i="50"/>
  <c r="M227" i="50"/>
  <c r="N227" i="50"/>
  <c r="O227" i="50"/>
  <c r="P227" i="50"/>
  <c r="J228" i="50"/>
  <c r="K228" i="50"/>
  <c r="L228" i="50"/>
  <c r="M228" i="50"/>
  <c r="N228" i="50"/>
  <c r="O228" i="50"/>
  <c r="P228" i="50"/>
  <c r="J229" i="50"/>
  <c r="K229" i="50"/>
  <c r="L229" i="50"/>
  <c r="M229" i="50"/>
  <c r="N229" i="50"/>
  <c r="O229" i="50"/>
  <c r="P229" i="50"/>
  <c r="J230" i="50"/>
  <c r="K230" i="50"/>
  <c r="L230" i="50"/>
  <c r="M230" i="50"/>
  <c r="N230" i="50"/>
  <c r="O230" i="50"/>
  <c r="P230" i="50"/>
  <c r="J231" i="50"/>
  <c r="K231" i="50"/>
  <c r="L231" i="50"/>
  <c r="M231" i="50"/>
  <c r="N231" i="50"/>
  <c r="O231" i="50"/>
  <c r="P231" i="50"/>
  <c r="J232" i="50"/>
  <c r="K232" i="50"/>
  <c r="L232" i="50"/>
  <c r="M232" i="50"/>
  <c r="N232" i="50"/>
  <c r="O232" i="50"/>
  <c r="P232" i="50"/>
  <c r="J233" i="50"/>
  <c r="K233" i="50"/>
  <c r="L233" i="50"/>
  <c r="M233" i="50"/>
  <c r="N233" i="50"/>
  <c r="O233" i="50"/>
  <c r="P233" i="50"/>
  <c r="J234" i="50"/>
  <c r="K234" i="50"/>
  <c r="L234" i="50"/>
  <c r="M234" i="50"/>
  <c r="N234" i="50"/>
  <c r="O234" i="50"/>
  <c r="P234" i="50"/>
  <c r="J235" i="50"/>
  <c r="K235" i="50"/>
  <c r="L235" i="50"/>
  <c r="M235" i="50"/>
  <c r="N235" i="50"/>
  <c r="O235" i="50"/>
  <c r="P235" i="50"/>
  <c r="J236" i="50"/>
  <c r="K236" i="50"/>
  <c r="L236" i="50"/>
  <c r="M236" i="50"/>
  <c r="N236" i="50"/>
  <c r="O236" i="50"/>
  <c r="P236" i="50"/>
  <c r="J237" i="50"/>
  <c r="K237" i="50"/>
  <c r="L237" i="50"/>
  <c r="M237" i="50"/>
  <c r="N237" i="50"/>
  <c r="O237" i="50"/>
  <c r="P237" i="50"/>
  <c r="J238" i="50"/>
  <c r="K238" i="50"/>
  <c r="L238" i="50"/>
  <c r="M238" i="50"/>
  <c r="N238" i="50"/>
  <c r="O238" i="50"/>
  <c r="P238" i="50"/>
  <c r="J239" i="50"/>
  <c r="K239" i="50"/>
  <c r="L239" i="50"/>
  <c r="M239" i="50"/>
  <c r="N239" i="50"/>
  <c r="O239" i="50"/>
  <c r="P239" i="50"/>
  <c r="J240" i="50"/>
  <c r="K240" i="50"/>
  <c r="L240" i="50"/>
  <c r="M240" i="50"/>
  <c r="N240" i="50"/>
  <c r="O240" i="50"/>
  <c r="P240" i="50"/>
  <c r="J241" i="50"/>
  <c r="K241" i="50"/>
  <c r="L241" i="50"/>
  <c r="M241" i="50"/>
  <c r="N241" i="50"/>
  <c r="O241" i="50"/>
  <c r="P241" i="50"/>
  <c r="J242" i="50"/>
  <c r="K242" i="50"/>
  <c r="L242" i="50"/>
  <c r="M242" i="50"/>
  <c r="N242" i="50"/>
  <c r="O242" i="50"/>
  <c r="P242" i="50"/>
  <c r="J243" i="50"/>
  <c r="K243" i="50"/>
  <c r="L243" i="50"/>
  <c r="M243" i="50"/>
  <c r="N243" i="50"/>
  <c r="O243" i="50"/>
  <c r="P243" i="50"/>
  <c r="J244" i="50"/>
  <c r="K244" i="50"/>
  <c r="L244" i="50"/>
  <c r="M244" i="50"/>
  <c r="N244" i="50"/>
  <c r="O244" i="50"/>
  <c r="P244" i="50"/>
  <c r="J245" i="50"/>
  <c r="K245" i="50"/>
  <c r="L245" i="50"/>
  <c r="M245" i="50"/>
  <c r="N245" i="50"/>
  <c r="O245" i="50"/>
  <c r="P245" i="50"/>
  <c r="J246" i="50"/>
  <c r="K246" i="50"/>
  <c r="L246" i="50"/>
  <c r="M246" i="50"/>
  <c r="N246" i="50"/>
  <c r="O246" i="50"/>
  <c r="P246" i="50"/>
  <c r="J247" i="50"/>
  <c r="K247" i="50"/>
  <c r="L247" i="50"/>
  <c r="M247" i="50"/>
  <c r="N247" i="50"/>
  <c r="O247" i="50"/>
  <c r="P247" i="50"/>
  <c r="J248" i="50"/>
  <c r="K248" i="50"/>
  <c r="L248" i="50"/>
  <c r="M248" i="50"/>
  <c r="N248" i="50"/>
  <c r="O248" i="50"/>
  <c r="P248" i="50"/>
  <c r="J249" i="50"/>
  <c r="K249" i="50"/>
  <c r="L249" i="50"/>
  <c r="M249" i="50"/>
  <c r="N249" i="50"/>
  <c r="O249" i="50"/>
  <c r="P249" i="50"/>
  <c r="J250" i="50"/>
  <c r="K250" i="50"/>
  <c r="L250" i="50"/>
  <c r="M250" i="50"/>
  <c r="N250" i="50"/>
  <c r="O250" i="50"/>
  <c r="P250" i="50"/>
  <c r="J251" i="50"/>
  <c r="K251" i="50"/>
  <c r="L251" i="50"/>
  <c r="M251" i="50"/>
  <c r="N251" i="50"/>
  <c r="O251" i="50"/>
  <c r="P251" i="50"/>
  <c r="J252" i="50"/>
  <c r="K252" i="50"/>
  <c r="L252" i="50"/>
  <c r="M252" i="50"/>
  <c r="N252" i="50"/>
  <c r="O252" i="50"/>
  <c r="P252" i="50"/>
  <c r="J253" i="50"/>
  <c r="K253" i="50"/>
  <c r="L253" i="50"/>
  <c r="M253" i="50"/>
  <c r="N253" i="50"/>
  <c r="O253" i="50"/>
  <c r="P253" i="50"/>
  <c r="J254" i="50"/>
  <c r="K254" i="50"/>
  <c r="L254" i="50"/>
  <c r="M254" i="50"/>
  <c r="N254" i="50"/>
  <c r="O254" i="50"/>
  <c r="P254" i="50"/>
  <c r="J255" i="50"/>
  <c r="K255" i="50"/>
  <c r="L255" i="50"/>
  <c r="M255" i="50"/>
  <c r="N255" i="50"/>
  <c r="O255" i="50"/>
  <c r="P255" i="50"/>
  <c r="J256" i="50"/>
  <c r="K256" i="50"/>
  <c r="L256" i="50"/>
  <c r="M256" i="50"/>
  <c r="N256" i="50"/>
  <c r="O256" i="50"/>
  <c r="P256" i="50"/>
  <c r="J257" i="50"/>
  <c r="K257" i="50"/>
  <c r="L257" i="50"/>
  <c r="M257" i="50"/>
  <c r="N257" i="50"/>
  <c r="O257" i="50"/>
  <c r="P257" i="50"/>
  <c r="J258" i="50"/>
  <c r="K258" i="50"/>
  <c r="L258" i="50"/>
  <c r="M258" i="50"/>
  <c r="N258" i="50"/>
  <c r="O258" i="50"/>
  <c r="P258" i="50"/>
  <c r="J259" i="50"/>
  <c r="K259" i="50"/>
  <c r="L259" i="50"/>
  <c r="M259" i="50"/>
  <c r="N259" i="50"/>
  <c r="O259" i="50"/>
  <c r="P259" i="50"/>
  <c r="J260" i="50"/>
  <c r="K260" i="50"/>
  <c r="L260" i="50"/>
  <c r="M260" i="50"/>
  <c r="N260" i="50"/>
  <c r="O260" i="50"/>
  <c r="P260" i="50"/>
  <c r="J261" i="50"/>
  <c r="K261" i="50"/>
  <c r="L261" i="50"/>
  <c r="M261" i="50"/>
  <c r="N261" i="50"/>
  <c r="O261" i="50"/>
  <c r="P261" i="50"/>
  <c r="J262" i="50"/>
  <c r="K262" i="50"/>
  <c r="L262" i="50"/>
  <c r="M262" i="50"/>
  <c r="N262" i="50"/>
  <c r="O262" i="50"/>
  <c r="P262" i="50"/>
  <c r="J263" i="50"/>
  <c r="K263" i="50"/>
  <c r="L263" i="50"/>
  <c r="M263" i="50"/>
  <c r="N263" i="50"/>
  <c r="O263" i="50"/>
  <c r="P263" i="50"/>
  <c r="J264" i="50"/>
  <c r="K264" i="50"/>
  <c r="L264" i="50"/>
  <c r="M264" i="50"/>
  <c r="N264" i="50"/>
  <c r="O264" i="50"/>
  <c r="P264" i="50"/>
  <c r="J265" i="50"/>
  <c r="K265" i="50"/>
  <c r="L265" i="50"/>
  <c r="M265" i="50"/>
  <c r="N265" i="50"/>
  <c r="O265" i="50"/>
  <c r="P265" i="50"/>
  <c r="J266" i="50"/>
  <c r="K266" i="50"/>
  <c r="L266" i="50"/>
  <c r="M266" i="50"/>
  <c r="N266" i="50"/>
  <c r="O266" i="50"/>
  <c r="P266" i="50"/>
  <c r="J267" i="50"/>
  <c r="K267" i="50"/>
  <c r="L267" i="50"/>
  <c r="M267" i="50"/>
  <c r="N267" i="50"/>
  <c r="O267" i="50"/>
  <c r="P267" i="50"/>
  <c r="J268" i="50"/>
  <c r="K268" i="50"/>
  <c r="L268" i="50"/>
  <c r="M268" i="50"/>
  <c r="N268" i="50"/>
  <c r="O268" i="50"/>
  <c r="P268" i="50"/>
  <c r="J269" i="50"/>
  <c r="K269" i="50"/>
  <c r="L269" i="50"/>
  <c r="M269" i="50"/>
  <c r="N269" i="50"/>
  <c r="O269" i="50"/>
  <c r="P269" i="50"/>
  <c r="J270" i="50"/>
  <c r="K270" i="50"/>
  <c r="L270" i="50"/>
  <c r="M270" i="50"/>
  <c r="N270" i="50"/>
  <c r="O270" i="50"/>
  <c r="P270" i="50"/>
  <c r="J271" i="50"/>
  <c r="K271" i="50"/>
  <c r="L271" i="50"/>
  <c r="M271" i="50"/>
  <c r="N271" i="50"/>
  <c r="O271" i="50"/>
  <c r="P271" i="50"/>
  <c r="J272" i="50"/>
  <c r="K272" i="50"/>
  <c r="L272" i="50"/>
  <c r="M272" i="50"/>
  <c r="N272" i="50"/>
  <c r="O272" i="50"/>
  <c r="P272" i="50"/>
  <c r="J273" i="50"/>
  <c r="K273" i="50"/>
  <c r="L273" i="50"/>
  <c r="M273" i="50"/>
  <c r="N273" i="50"/>
  <c r="O273" i="50"/>
  <c r="P273" i="50"/>
  <c r="J274" i="50"/>
  <c r="K274" i="50"/>
  <c r="L274" i="50"/>
  <c r="M274" i="50"/>
  <c r="N274" i="50"/>
  <c r="O274" i="50"/>
  <c r="P274" i="50"/>
  <c r="J275" i="50"/>
  <c r="K275" i="50"/>
  <c r="L275" i="50"/>
  <c r="M275" i="50"/>
  <c r="N275" i="50"/>
  <c r="O275" i="50"/>
  <c r="P275" i="50"/>
  <c r="J276" i="50"/>
  <c r="K276" i="50"/>
  <c r="L276" i="50"/>
  <c r="M276" i="50"/>
  <c r="N276" i="50"/>
  <c r="O276" i="50"/>
  <c r="P276" i="50"/>
  <c r="J277" i="50"/>
  <c r="K277" i="50"/>
  <c r="L277" i="50"/>
  <c r="M277" i="50"/>
  <c r="N277" i="50"/>
  <c r="O277" i="50"/>
  <c r="P277" i="50"/>
  <c r="J278" i="50"/>
  <c r="K278" i="50"/>
  <c r="L278" i="50"/>
  <c r="M278" i="50"/>
  <c r="N278" i="50"/>
  <c r="O278" i="50"/>
  <c r="P278" i="50"/>
  <c r="J279" i="50"/>
  <c r="K279" i="50"/>
  <c r="L279" i="50"/>
  <c r="M279" i="50"/>
  <c r="N279" i="50"/>
  <c r="O279" i="50"/>
  <c r="P279" i="50"/>
  <c r="J280" i="50"/>
  <c r="K280" i="50"/>
  <c r="L280" i="50"/>
  <c r="M280" i="50"/>
  <c r="N280" i="50"/>
  <c r="O280" i="50"/>
  <c r="P280" i="50"/>
  <c r="J281" i="50"/>
  <c r="K281" i="50"/>
  <c r="L281" i="50"/>
  <c r="M281" i="50"/>
  <c r="N281" i="50"/>
  <c r="O281" i="50"/>
  <c r="P281" i="50"/>
  <c r="J282" i="50"/>
  <c r="K282" i="50"/>
  <c r="L282" i="50"/>
  <c r="M282" i="50"/>
  <c r="N282" i="50"/>
  <c r="O282" i="50"/>
  <c r="P282" i="50"/>
  <c r="J283" i="50"/>
  <c r="K283" i="50"/>
  <c r="L283" i="50"/>
  <c r="M283" i="50"/>
  <c r="N283" i="50"/>
  <c r="O283" i="50"/>
  <c r="P283" i="50"/>
  <c r="J284" i="50"/>
  <c r="K284" i="50"/>
  <c r="L284" i="50"/>
  <c r="M284" i="50"/>
  <c r="N284" i="50"/>
  <c r="O284" i="50"/>
  <c r="P284" i="50"/>
  <c r="J285" i="50"/>
  <c r="K285" i="50"/>
  <c r="L285" i="50"/>
  <c r="M285" i="50"/>
  <c r="N285" i="50"/>
  <c r="O285" i="50"/>
  <c r="P285" i="50"/>
  <c r="J286" i="50"/>
  <c r="K286" i="50"/>
  <c r="L286" i="50"/>
  <c r="M286" i="50"/>
  <c r="N286" i="50"/>
  <c r="O286" i="50"/>
  <c r="P286" i="50"/>
  <c r="J287" i="50"/>
  <c r="K287" i="50"/>
  <c r="L287" i="50"/>
  <c r="M287" i="50"/>
  <c r="N287" i="50"/>
  <c r="O287" i="50"/>
  <c r="P287" i="50"/>
  <c r="J288" i="50"/>
  <c r="K288" i="50"/>
  <c r="L288" i="50"/>
  <c r="M288" i="50"/>
  <c r="N288" i="50"/>
  <c r="O288" i="50"/>
  <c r="P288" i="50"/>
  <c r="J289" i="50"/>
  <c r="K289" i="50"/>
  <c r="L289" i="50"/>
  <c r="M289" i="50"/>
  <c r="N289" i="50"/>
  <c r="O289" i="50"/>
  <c r="P289" i="50"/>
  <c r="J290" i="50"/>
  <c r="K290" i="50"/>
  <c r="L290" i="50"/>
  <c r="M290" i="50"/>
  <c r="N290" i="50"/>
  <c r="O290" i="50"/>
  <c r="P290" i="50"/>
  <c r="J291" i="50"/>
  <c r="K291" i="50"/>
  <c r="L291" i="50"/>
  <c r="M291" i="50"/>
  <c r="N291" i="50"/>
  <c r="O291" i="50"/>
  <c r="P291" i="50"/>
  <c r="J292" i="50"/>
  <c r="K292" i="50"/>
  <c r="L292" i="50"/>
  <c r="M292" i="50"/>
  <c r="N292" i="50"/>
  <c r="O292" i="50"/>
  <c r="P292" i="50"/>
  <c r="J293" i="50"/>
  <c r="K293" i="50"/>
  <c r="L293" i="50"/>
  <c r="M293" i="50"/>
  <c r="N293" i="50"/>
  <c r="O293" i="50"/>
  <c r="P293" i="50"/>
  <c r="J294" i="50"/>
  <c r="K294" i="50"/>
  <c r="L294" i="50"/>
  <c r="M294" i="50"/>
  <c r="N294" i="50"/>
  <c r="O294" i="50"/>
  <c r="P294" i="50"/>
  <c r="J295" i="50"/>
  <c r="K295" i="50"/>
  <c r="L295" i="50"/>
  <c r="M295" i="50"/>
  <c r="N295" i="50"/>
  <c r="O295" i="50"/>
  <c r="P295" i="50"/>
  <c r="J296" i="50"/>
  <c r="K296" i="50"/>
  <c r="L296" i="50"/>
  <c r="M296" i="50"/>
  <c r="N296" i="50"/>
  <c r="O296" i="50"/>
  <c r="P296" i="50"/>
  <c r="J297" i="50"/>
  <c r="K297" i="50"/>
  <c r="L297" i="50"/>
  <c r="M297" i="50"/>
  <c r="N297" i="50"/>
  <c r="O297" i="50"/>
  <c r="P297" i="50"/>
  <c r="J298" i="50"/>
  <c r="K298" i="50"/>
  <c r="L298" i="50"/>
  <c r="M298" i="50"/>
  <c r="N298" i="50"/>
  <c r="O298" i="50"/>
  <c r="P298" i="50"/>
  <c r="J299" i="50"/>
  <c r="K299" i="50"/>
  <c r="L299" i="50"/>
  <c r="M299" i="50"/>
  <c r="N299" i="50"/>
  <c r="O299" i="50"/>
  <c r="P299" i="50"/>
  <c r="J300" i="50"/>
  <c r="K300" i="50"/>
  <c r="L300" i="50"/>
  <c r="M300" i="50"/>
  <c r="N300" i="50"/>
  <c r="O300" i="50"/>
  <c r="P300" i="50"/>
  <c r="J301" i="50"/>
  <c r="K301" i="50"/>
  <c r="L301" i="50"/>
  <c r="M301" i="50"/>
  <c r="N301" i="50"/>
  <c r="O301" i="50"/>
  <c r="P301" i="50"/>
  <c r="J302" i="50"/>
  <c r="K302" i="50"/>
  <c r="L302" i="50"/>
  <c r="M302" i="50"/>
  <c r="N302" i="50"/>
  <c r="O302" i="50"/>
  <c r="P302" i="50"/>
  <c r="J303" i="50"/>
  <c r="K303" i="50"/>
  <c r="L303" i="50"/>
  <c r="M303" i="50"/>
  <c r="N303" i="50"/>
  <c r="O303" i="50"/>
  <c r="P303" i="50"/>
  <c r="J304" i="50"/>
  <c r="K304" i="50"/>
  <c r="L304" i="50"/>
  <c r="M304" i="50"/>
  <c r="N304" i="50"/>
  <c r="O304" i="50"/>
  <c r="P304" i="50"/>
  <c r="J305" i="50"/>
  <c r="K305" i="50"/>
  <c r="L305" i="50"/>
  <c r="M305" i="50"/>
  <c r="N305" i="50"/>
  <c r="O305" i="50"/>
  <c r="P305" i="50"/>
  <c r="J306" i="50"/>
  <c r="K306" i="50"/>
  <c r="L306" i="50"/>
  <c r="M306" i="50"/>
  <c r="N306" i="50"/>
  <c r="O306" i="50"/>
  <c r="P306" i="50"/>
  <c r="J307" i="50"/>
  <c r="K307" i="50"/>
  <c r="L307" i="50"/>
  <c r="M307" i="50"/>
  <c r="N307" i="50"/>
  <c r="O307" i="50"/>
  <c r="P307" i="50"/>
  <c r="J308" i="50"/>
  <c r="K308" i="50"/>
  <c r="L308" i="50"/>
  <c r="M308" i="50"/>
  <c r="N308" i="50"/>
  <c r="O308" i="50"/>
  <c r="P308" i="50"/>
  <c r="J309" i="50"/>
  <c r="K309" i="50"/>
  <c r="L309" i="50"/>
  <c r="M309" i="50"/>
  <c r="N309" i="50"/>
  <c r="O309" i="50"/>
  <c r="P309" i="50"/>
  <c r="J310" i="50"/>
  <c r="K310" i="50"/>
  <c r="L310" i="50"/>
  <c r="M310" i="50"/>
  <c r="N310" i="50"/>
  <c r="O310" i="50"/>
  <c r="P310" i="50"/>
  <c r="J311" i="50"/>
  <c r="K311" i="50"/>
  <c r="L311" i="50"/>
  <c r="M311" i="50"/>
  <c r="N311" i="50"/>
  <c r="O311" i="50"/>
  <c r="P311" i="50"/>
  <c r="J312" i="50"/>
  <c r="K312" i="50"/>
  <c r="L312" i="50"/>
  <c r="M312" i="50"/>
  <c r="N312" i="50"/>
  <c r="O312" i="50"/>
  <c r="P312" i="50"/>
  <c r="J313" i="50"/>
  <c r="K313" i="50"/>
  <c r="L313" i="50"/>
  <c r="M313" i="50"/>
  <c r="N313" i="50"/>
  <c r="O313" i="50"/>
  <c r="P313" i="50"/>
  <c r="J314" i="50"/>
  <c r="K314" i="50"/>
  <c r="L314" i="50"/>
  <c r="M314" i="50"/>
  <c r="N314" i="50"/>
  <c r="O314" i="50"/>
  <c r="P314" i="50"/>
  <c r="J315" i="50"/>
  <c r="K315" i="50"/>
  <c r="L315" i="50"/>
  <c r="M315" i="50"/>
  <c r="N315" i="50"/>
  <c r="O315" i="50"/>
  <c r="P315" i="50"/>
  <c r="J316" i="50"/>
  <c r="K316" i="50"/>
  <c r="L316" i="50"/>
  <c r="M316" i="50"/>
  <c r="N316" i="50"/>
  <c r="O316" i="50"/>
  <c r="P316" i="50"/>
  <c r="J317" i="50"/>
  <c r="K317" i="50"/>
  <c r="L317" i="50"/>
  <c r="M317" i="50"/>
  <c r="N317" i="50"/>
  <c r="O317" i="50"/>
  <c r="P317" i="50"/>
  <c r="J318" i="50"/>
  <c r="K318" i="50"/>
  <c r="L318" i="50"/>
  <c r="M318" i="50"/>
  <c r="N318" i="50"/>
  <c r="O318" i="50"/>
  <c r="P318" i="50"/>
  <c r="J319" i="50"/>
  <c r="K319" i="50"/>
  <c r="L319" i="50"/>
  <c r="M319" i="50"/>
  <c r="N319" i="50"/>
  <c r="O319" i="50"/>
  <c r="P319" i="50"/>
  <c r="J320" i="50"/>
  <c r="K320" i="50"/>
  <c r="L320" i="50"/>
  <c r="M320" i="50"/>
  <c r="N320" i="50"/>
  <c r="O320" i="50"/>
  <c r="P320" i="50"/>
  <c r="J321" i="50"/>
  <c r="K321" i="50"/>
  <c r="L321" i="50"/>
  <c r="M321" i="50"/>
  <c r="N321" i="50"/>
  <c r="O321" i="50"/>
  <c r="P321" i="50"/>
  <c r="J322" i="50"/>
  <c r="K322" i="50"/>
  <c r="L322" i="50"/>
  <c r="M322" i="50"/>
  <c r="N322" i="50"/>
  <c r="O322" i="50"/>
  <c r="P322" i="50"/>
  <c r="J323" i="50"/>
  <c r="K323" i="50"/>
  <c r="L323" i="50"/>
  <c r="M323" i="50"/>
  <c r="N323" i="50"/>
  <c r="O323" i="50"/>
  <c r="P323" i="50"/>
  <c r="J324" i="50"/>
  <c r="K324" i="50"/>
  <c r="L324" i="50"/>
  <c r="M324" i="50"/>
  <c r="N324" i="50"/>
  <c r="O324" i="50"/>
  <c r="P324" i="50"/>
  <c r="J325" i="50"/>
  <c r="K325" i="50"/>
  <c r="L325" i="50"/>
  <c r="M325" i="50"/>
  <c r="N325" i="50"/>
  <c r="O325" i="50"/>
  <c r="P325" i="50"/>
  <c r="J326" i="50"/>
  <c r="K326" i="50"/>
  <c r="L326" i="50"/>
  <c r="M326" i="50"/>
  <c r="N326" i="50"/>
  <c r="O326" i="50"/>
  <c r="P326" i="50"/>
  <c r="J327" i="50"/>
  <c r="K327" i="50"/>
  <c r="L327" i="50"/>
  <c r="M327" i="50"/>
  <c r="N327" i="50"/>
  <c r="O327" i="50"/>
  <c r="P327" i="50"/>
  <c r="J328" i="50"/>
  <c r="K328" i="50"/>
  <c r="L328" i="50"/>
  <c r="M328" i="50"/>
  <c r="N328" i="50"/>
  <c r="O328" i="50"/>
  <c r="P328" i="50"/>
  <c r="J329" i="50"/>
  <c r="K329" i="50"/>
  <c r="L329" i="50"/>
  <c r="M329" i="50"/>
  <c r="N329" i="50"/>
  <c r="O329" i="50"/>
  <c r="P329" i="50"/>
  <c r="J330" i="50"/>
  <c r="K330" i="50"/>
  <c r="L330" i="50"/>
  <c r="M330" i="50"/>
  <c r="N330" i="50"/>
  <c r="O330" i="50"/>
  <c r="P330" i="50"/>
  <c r="J331" i="50"/>
  <c r="K331" i="50"/>
  <c r="L331" i="50"/>
  <c r="M331" i="50"/>
  <c r="N331" i="50"/>
  <c r="O331" i="50"/>
  <c r="P331" i="50"/>
  <c r="J332" i="50"/>
  <c r="K332" i="50"/>
  <c r="L332" i="50"/>
  <c r="M332" i="50"/>
  <c r="N332" i="50"/>
  <c r="O332" i="50"/>
  <c r="P332" i="50"/>
  <c r="J333" i="50"/>
  <c r="K333" i="50"/>
  <c r="L333" i="50"/>
  <c r="M333" i="50"/>
  <c r="N333" i="50"/>
  <c r="O333" i="50"/>
  <c r="P333" i="50"/>
  <c r="J334" i="50"/>
  <c r="K334" i="50"/>
  <c r="L334" i="50"/>
  <c r="M334" i="50"/>
  <c r="N334" i="50"/>
  <c r="O334" i="50"/>
  <c r="P334" i="50"/>
  <c r="J335" i="50"/>
  <c r="K335" i="50"/>
  <c r="L335" i="50"/>
  <c r="M335" i="50"/>
  <c r="N335" i="50"/>
  <c r="O335" i="50"/>
  <c r="P335" i="50"/>
  <c r="J336" i="50"/>
  <c r="K336" i="50"/>
  <c r="L336" i="50"/>
  <c r="M336" i="50"/>
  <c r="N336" i="50"/>
  <c r="O336" i="50"/>
  <c r="P336" i="50"/>
  <c r="J337" i="50"/>
  <c r="K337" i="50"/>
  <c r="L337" i="50"/>
  <c r="M337" i="50"/>
  <c r="N337" i="50"/>
  <c r="O337" i="50"/>
  <c r="P337" i="50"/>
  <c r="J338" i="50"/>
  <c r="K338" i="50"/>
  <c r="L338" i="50"/>
  <c r="M338" i="50"/>
  <c r="N338" i="50"/>
  <c r="O338" i="50"/>
  <c r="P338" i="50"/>
  <c r="J339" i="50"/>
  <c r="K339" i="50"/>
  <c r="L339" i="50"/>
  <c r="M339" i="50"/>
  <c r="N339" i="50"/>
  <c r="O339" i="50"/>
  <c r="P339" i="50"/>
  <c r="J340" i="50"/>
  <c r="K340" i="50"/>
  <c r="L340" i="50"/>
  <c r="M340" i="50"/>
  <c r="N340" i="50"/>
  <c r="O340" i="50"/>
  <c r="P340" i="50"/>
  <c r="J341" i="50"/>
  <c r="K341" i="50"/>
  <c r="L341" i="50"/>
  <c r="M341" i="50"/>
  <c r="N341" i="50"/>
  <c r="O341" i="50"/>
  <c r="P341" i="50"/>
  <c r="J342" i="50"/>
  <c r="K342" i="50"/>
  <c r="L342" i="50"/>
  <c r="M342" i="50"/>
  <c r="N342" i="50"/>
  <c r="O342" i="50"/>
  <c r="P342" i="50"/>
  <c r="J343" i="50"/>
  <c r="K343" i="50"/>
  <c r="L343" i="50"/>
  <c r="M343" i="50"/>
  <c r="N343" i="50"/>
  <c r="O343" i="50"/>
  <c r="P343" i="50"/>
  <c r="J344" i="50"/>
  <c r="K344" i="50"/>
  <c r="L344" i="50"/>
  <c r="M344" i="50"/>
  <c r="N344" i="50"/>
  <c r="O344" i="50"/>
  <c r="P344" i="50"/>
  <c r="J345" i="50"/>
  <c r="K345" i="50"/>
  <c r="L345" i="50"/>
  <c r="M345" i="50"/>
  <c r="N345" i="50"/>
  <c r="O345" i="50"/>
  <c r="P345" i="50"/>
  <c r="J346" i="50"/>
  <c r="K346" i="50"/>
  <c r="L346" i="50"/>
  <c r="M346" i="50"/>
  <c r="N346" i="50"/>
  <c r="O346" i="50"/>
  <c r="P346" i="50"/>
  <c r="J347" i="50"/>
  <c r="K347" i="50"/>
  <c r="L347" i="50"/>
  <c r="M347" i="50"/>
  <c r="N347" i="50"/>
  <c r="O347" i="50"/>
  <c r="P347" i="50"/>
  <c r="J348" i="50"/>
  <c r="K348" i="50"/>
  <c r="L348" i="50"/>
  <c r="M348" i="50"/>
  <c r="N348" i="50"/>
  <c r="O348" i="50"/>
  <c r="P348" i="50"/>
  <c r="J349" i="50"/>
  <c r="K349" i="50"/>
  <c r="L349" i="50"/>
  <c r="M349" i="50"/>
  <c r="N349" i="50"/>
  <c r="O349" i="50"/>
  <c r="P349" i="50"/>
  <c r="J350" i="50"/>
  <c r="K350" i="50"/>
  <c r="L350" i="50"/>
  <c r="M350" i="50"/>
  <c r="N350" i="50"/>
  <c r="O350" i="50"/>
  <c r="P350" i="50"/>
  <c r="J351" i="50"/>
  <c r="K351" i="50"/>
  <c r="L351" i="50"/>
  <c r="M351" i="50"/>
  <c r="N351" i="50"/>
  <c r="O351" i="50"/>
  <c r="P351" i="50"/>
  <c r="J352" i="50"/>
  <c r="K352" i="50"/>
  <c r="L352" i="50"/>
  <c r="M352" i="50"/>
  <c r="N352" i="50"/>
  <c r="O352" i="50"/>
  <c r="P352" i="50"/>
  <c r="J353" i="50"/>
  <c r="K353" i="50"/>
  <c r="L353" i="50"/>
  <c r="M353" i="50"/>
  <c r="N353" i="50"/>
  <c r="O353" i="50"/>
  <c r="P353" i="50"/>
  <c r="J354" i="50"/>
  <c r="K354" i="50"/>
  <c r="L354" i="50"/>
  <c r="M354" i="50"/>
  <c r="N354" i="50"/>
  <c r="O354" i="50"/>
  <c r="P354" i="50"/>
  <c r="J355" i="50"/>
  <c r="K355" i="50"/>
  <c r="L355" i="50"/>
  <c r="M355" i="50"/>
  <c r="N355" i="50"/>
  <c r="O355" i="50"/>
  <c r="P355" i="50"/>
  <c r="J356" i="50"/>
  <c r="K356" i="50"/>
  <c r="L356" i="50"/>
  <c r="M356" i="50"/>
  <c r="N356" i="50"/>
  <c r="O356" i="50"/>
  <c r="P356" i="50"/>
  <c r="J357" i="50"/>
  <c r="K357" i="50"/>
  <c r="L357" i="50"/>
  <c r="M357" i="50"/>
  <c r="N357" i="50"/>
  <c r="O357" i="50"/>
  <c r="P357" i="50"/>
  <c r="J358" i="50"/>
  <c r="K358" i="50"/>
  <c r="L358" i="50"/>
  <c r="M358" i="50"/>
  <c r="N358" i="50"/>
  <c r="O358" i="50"/>
  <c r="P358" i="50"/>
  <c r="J359" i="50"/>
  <c r="K359" i="50"/>
  <c r="L359" i="50"/>
  <c r="M359" i="50"/>
  <c r="N359" i="50"/>
  <c r="O359" i="50"/>
  <c r="P359" i="50"/>
  <c r="J360" i="50"/>
  <c r="K360" i="50"/>
  <c r="L360" i="50"/>
  <c r="M360" i="50"/>
  <c r="N360" i="50"/>
  <c r="O360" i="50"/>
  <c r="P360" i="50"/>
  <c r="J361" i="50"/>
  <c r="K361" i="50"/>
  <c r="L361" i="50"/>
  <c r="M361" i="50"/>
  <c r="N361" i="50"/>
  <c r="O361" i="50"/>
  <c r="P361" i="50"/>
  <c r="J362" i="50"/>
  <c r="K362" i="50"/>
  <c r="L362" i="50"/>
  <c r="M362" i="50"/>
  <c r="N362" i="50"/>
  <c r="O362" i="50"/>
  <c r="P362" i="50"/>
  <c r="J363" i="50"/>
  <c r="K363" i="50"/>
  <c r="L363" i="50"/>
  <c r="M363" i="50"/>
  <c r="N363" i="50"/>
  <c r="O363" i="50"/>
  <c r="P363" i="50"/>
  <c r="J364" i="50"/>
  <c r="K364" i="50"/>
  <c r="L364" i="50"/>
  <c r="M364" i="50"/>
  <c r="N364" i="50"/>
  <c r="O364" i="50"/>
  <c r="P364" i="50"/>
  <c r="J365" i="50"/>
  <c r="K365" i="50"/>
  <c r="L365" i="50"/>
  <c r="M365" i="50"/>
  <c r="N365" i="50"/>
  <c r="O365" i="50"/>
  <c r="P365" i="50"/>
  <c r="J366" i="50"/>
  <c r="K366" i="50"/>
  <c r="L366" i="50"/>
  <c r="M366" i="50"/>
  <c r="N366" i="50"/>
  <c r="O366" i="50"/>
  <c r="P366" i="50"/>
  <c r="J367" i="50"/>
  <c r="K367" i="50"/>
  <c r="L367" i="50"/>
  <c r="M367" i="50"/>
  <c r="N367" i="50"/>
  <c r="O367" i="50"/>
  <c r="P367" i="50"/>
  <c r="J368" i="50"/>
  <c r="K368" i="50"/>
  <c r="L368" i="50"/>
  <c r="M368" i="50"/>
  <c r="N368" i="50"/>
  <c r="O368" i="50"/>
  <c r="P368" i="50"/>
  <c r="J369" i="50"/>
  <c r="K369" i="50"/>
  <c r="L369" i="50"/>
  <c r="M369" i="50"/>
  <c r="N369" i="50"/>
  <c r="O369" i="50"/>
  <c r="P369" i="50"/>
  <c r="J370" i="50"/>
  <c r="K370" i="50"/>
  <c r="L370" i="50"/>
  <c r="M370" i="50"/>
  <c r="N370" i="50"/>
  <c r="O370" i="50"/>
  <c r="P370" i="50"/>
  <c r="J371" i="50"/>
  <c r="K371" i="50"/>
  <c r="L371" i="50"/>
  <c r="M371" i="50"/>
  <c r="N371" i="50"/>
  <c r="O371" i="50"/>
  <c r="P371" i="50"/>
  <c r="J372" i="50"/>
  <c r="K372" i="50"/>
  <c r="L372" i="50"/>
  <c r="M372" i="50"/>
  <c r="N372" i="50"/>
  <c r="O372" i="50"/>
  <c r="P372" i="50"/>
  <c r="J373" i="50"/>
  <c r="K373" i="50"/>
  <c r="L373" i="50"/>
  <c r="M373" i="50"/>
  <c r="N373" i="50"/>
  <c r="O373" i="50"/>
  <c r="P373" i="50"/>
  <c r="J374" i="50"/>
  <c r="K374" i="50"/>
  <c r="L374" i="50"/>
  <c r="M374" i="50"/>
  <c r="N374" i="50"/>
  <c r="O374" i="50"/>
  <c r="P374" i="50"/>
  <c r="K12" i="50"/>
  <c r="L12" i="50"/>
  <c r="M12" i="50"/>
  <c r="N12" i="50"/>
  <c r="O12" i="50"/>
  <c r="P12" i="50"/>
  <c r="J12" i="50"/>
  <c r="AR379" i="42"/>
  <c r="AR380" i="42"/>
  <c r="AR382" i="42"/>
  <c r="AR383" i="42"/>
  <c r="AR381" i="42" s="1"/>
  <c r="AR384" i="42"/>
  <c r="AR385" i="42"/>
  <c r="AR386" i="42"/>
  <c r="AR387" i="42"/>
  <c r="AR388" i="42"/>
  <c r="AR389" i="42"/>
  <c r="R12" i="38"/>
  <c r="S12" i="38" s="1"/>
  <c r="T12" i="38" s="1"/>
  <c r="U12" i="38" s="1"/>
  <c r="R13" i="38"/>
  <c r="S13" i="38" s="1"/>
  <c r="T13" i="38" s="1"/>
  <c r="U13" i="38" s="1"/>
  <c r="R14" i="38"/>
  <c r="S14" i="38" s="1"/>
  <c r="T14" i="38" s="1"/>
  <c r="U14" i="38" s="1"/>
  <c r="R15" i="38"/>
  <c r="R16" i="38"/>
  <c r="S16" i="38" s="1"/>
  <c r="T16" i="38" s="1"/>
  <c r="U16" i="38" s="1"/>
  <c r="R17" i="38"/>
  <c r="R18" i="38"/>
  <c r="S18" i="38" s="1"/>
  <c r="T18" i="38" s="1"/>
  <c r="U18" i="38" s="1"/>
  <c r="R19" i="38"/>
  <c r="R20" i="38"/>
  <c r="S20" i="38" s="1"/>
  <c r="T20" i="38" s="1"/>
  <c r="U20" i="38" s="1"/>
  <c r="R21" i="38"/>
  <c r="R22" i="38"/>
  <c r="AE22" i="38" s="1"/>
  <c r="AF22" i="38" s="1"/>
  <c r="AG22" i="38" s="1"/>
  <c r="R23" i="38"/>
  <c r="AK23" i="38" s="1"/>
  <c r="AL23" i="38" s="1"/>
  <c r="AM23" i="38" s="1"/>
  <c r="R24" i="38"/>
  <c r="AK24" i="38" s="1"/>
  <c r="AL24" i="38" s="1"/>
  <c r="AM24" i="38" s="1"/>
  <c r="R25" i="38"/>
  <c r="Y25" i="38" s="1"/>
  <c r="Z25" i="38" s="1"/>
  <c r="AA25" i="38" s="1"/>
  <c r="R26" i="38"/>
  <c r="R27" i="38"/>
  <c r="R28" i="38"/>
  <c r="AK28" i="38" s="1"/>
  <c r="AL28" i="38" s="1"/>
  <c r="AM28" i="38" s="1"/>
  <c r="R29" i="38"/>
  <c r="R30" i="38"/>
  <c r="AK30" i="38" s="1"/>
  <c r="AL30" i="38" s="1"/>
  <c r="R31" i="38"/>
  <c r="AK31" i="38" s="1"/>
  <c r="AL31" i="38" s="1"/>
  <c r="AM31" i="38" s="1"/>
  <c r="R32" i="38"/>
  <c r="Y32" i="38" s="1"/>
  <c r="Z32" i="38" s="1"/>
  <c r="R33" i="38"/>
  <c r="R34" i="38"/>
  <c r="R35" i="38"/>
  <c r="S35" i="38" s="1"/>
  <c r="T35" i="38" s="1"/>
  <c r="U35" i="38" s="1"/>
  <c r="R36" i="38"/>
  <c r="R37" i="38"/>
  <c r="R38" i="38"/>
  <c r="R39" i="38"/>
  <c r="S39" i="38" s="1"/>
  <c r="T39" i="38" s="1"/>
  <c r="U39" i="38" s="1"/>
  <c r="R40" i="38"/>
  <c r="R41" i="38"/>
  <c r="AK41" i="38" s="1"/>
  <c r="AL41" i="38" s="1"/>
  <c r="S41" i="38"/>
  <c r="T41" i="38" s="1"/>
  <c r="U41" i="38" s="1"/>
  <c r="R42" i="38"/>
  <c r="S42" i="38" s="1"/>
  <c r="T42" i="38" s="1"/>
  <c r="U42" i="38" s="1"/>
  <c r="R43" i="38"/>
  <c r="R44" i="38"/>
  <c r="R45" i="38"/>
  <c r="S45" i="38" s="1"/>
  <c r="T45" i="38" s="1"/>
  <c r="R46" i="38"/>
  <c r="AE46" i="38" s="1"/>
  <c r="AF46" i="38" s="1"/>
  <c r="AG46" i="38" s="1"/>
  <c r="R47" i="38"/>
  <c r="R48" i="38"/>
  <c r="S48" i="38" s="1"/>
  <c r="T48" i="38" s="1"/>
  <c r="U48" i="38" s="1"/>
  <c r="R49" i="38"/>
  <c r="Y49" i="38" s="1"/>
  <c r="Z49" i="38" s="1"/>
  <c r="R50" i="38"/>
  <c r="R51" i="38"/>
  <c r="R52" i="38"/>
  <c r="AE52" i="38" s="1"/>
  <c r="AF52" i="38" s="1"/>
  <c r="AG52" i="38" s="1"/>
  <c r="R53" i="38"/>
  <c r="R54" i="38"/>
  <c r="AK54" i="38" s="1"/>
  <c r="AL54" i="38" s="1"/>
  <c r="AM54" i="38" s="1"/>
  <c r="R55" i="38"/>
  <c r="R56" i="38"/>
  <c r="R57" i="38"/>
  <c r="S57" i="38" s="1"/>
  <c r="T57" i="38" s="1"/>
  <c r="U57" i="38" s="1"/>
  <c r="R58" i="38"/>
  <c r="AK58" i="38" s="1"/>
  <c r="AL58" i="38" s="1"/>
  <c r="AM58" i="38" s="1"/>
  <c r="R59" i="38"/>
  <c r="R60" i="38"/>
  <c r="AE60" i="38" s="1"/>
  <c r="AF60" i="38" s="1"/>
  <c r="AG60" i="38" s="1"/>
  <c r="R61" i="38"/>
  <c r="S61" i="38" s="1"/>
  <c r="T61" i="38" s="1"/>
  <c r="U61" i="38" s="1"/>
  <c r="R62" i="38"/>
  <c r="AE62" i="38" s="1"/>
  <c r="AF62" i="38" s="1"/>
  <c r="AG62" i="38" s="1"/>
  <c r="R63" i="38"/>
  <c r="R64" i="38"/>
  <c r="Y64" i="38" s="1"/>
  <c r="Z64" i="38" s="1"/>
  <c r="AA64" i="38" s="1"/>
  <c r="R65" i="38"/>
  <c r="Y65" i="38" s="1"/>
  <c r="Z65" i="38" s="1"/>
  <c r="AA65" i="38" s="1"/>
  <c r="R66" i="38"/>
  <c r="AE66" i="38" s="1"/>
  <c r="AF66" i="38" s="1"/>
  <c r="AG66" i="38" s="1"/>
  <c r="R67" i="38"/>
  <c r="R68" i="38"/>
  <c r="AE68" i="38" s="1"/>
  <c r="AF68" i="38" s="1"/>
  <c r="AG68" i="38" s="1"/>
  <c r="S68" i="38"/>
  <c r="T68" i="38" s="1"/>
  <c r="R69" i="38"/>
  <c r="R70" i="38"/>
  <c r="Y70" i="38" s="1"/>
  <c r="Z70" i="38" s="1"/>
  <c r="AA70" i="38" s="1"/>
  <c r="R71" i="38"/>
  <c r="R72" i="38"/>
  <c r="S72" i="38" s="1"/>
  <c r="T72" i="38" s="1"/>
  <c r="U72" i="38" s="1"/>
  <c r="R73" i="38"/>
  <c r="R74" i="38"/>
  <c r="Y74" i="38" s="1"/>
  <c r="Z74" i="38" s="1"/>
  <c r="AA74" i="38" s="1"/>
  <c r="R75" i="38"/>
  <c r="Y75" i="38" s="1"/>
  <c r="Z75" i="38" s="1"/>
  <c r="AA75" i="38" s="1"/>
  <c r="R76" i="38"/>
  <c r="Y76" i="38" s="1"/>
  <c r="Z76" i="38" s="1"/>
  <c r="AA76" i="38" s="1"/>
  <c r="R77" i="38"/>
  <c r="Y77" i="38" s="1"/>
  <c r="Z77" i="38" s="1"/>
  <c r="AA77" i="38" s="1"/>
  <c r="R78" i="38"/>
  <c r="S78" i="38" s="1"/>
  <c r="T78" i="38" s="1"/>
  <c r="U78" i="38" s="1"/>
  <c r="R79" i="38"/>
  <c r="R80" i="38"/>
  <c r="R81" i="38"/>
  <c r="R82" i="38"/>
  <c r="S82" i="38" s="1"/>
  <c r="T82" i="38" s="1"/>
  <c r="U82" i="38" s="1"/>
  <c r="R83" i="38"/>
  <c r="AK83" i="38" s="1"/>
  <c r="AL83" i="38" s="1"/>
  <c r="AM83" i="38" s="1"/>
  <c r="R84" i="38"/>
  <c r="S84" i="38" s="1"/>
  <c r="T84" i="38" s="1"/>
  <c r="R85" i="38"/>
  <c r="R86" i="38"/>
  <c r="Y86" i="38" s="1"/>
  <c r="Z86" i="38" s="1"/>
  <c r="AA86" i="38" s="1"/>
  <c r="R87" i="38"/>
  <c r="AK87" i="38" s="1"/>
  <c r="AL87" i="38" s="1"/>
  <c r="AM87" i="38" s="1"/>
  <c r="R88" i="38"/>
  <c r="R89" i="38"/>
  <c r="AK89" i="38" s="1"/>
  <c r="AL89" i="38" s="1"/>
  <c r="AM89" i="38" s="1"/>
  <c r="R90" i="38"/>
  <c r="S90" i="38" s="1"/>
  <c r="T90" i="38" s="1"/>
  <c r="R91" i="38"/>
  <c r="R92" i="38"/>
  <c r="Y92" i="38" s="1"/>
  <c r="Z92" i="38" s="1"/>
  <c r="AA92" i="38" s="1"/>
  <c r="R93" i="38"/>
  <c r="Y93" i="38" s="1"/>
  <c r="Z93" i="38" s="1"/>
  <c r="AA93" i="38" s="1"/>
  <c r="R94" i="38"/>
  <c r="Y94" i="38" s="1"/>
  <c r="Z94" i="38" s="1"/>
  <c r="R95" i="38"/>
  <c r="Y95" i="38" s="1"/>
  <c r="Z95" i="38" s="1"/>
  <c r="AA95" i="38" s="1"/>
  <c r="R96" i="38"/>
  <c r="Y96" i="38" s="1"/>
  <c r="Z96" i="38" s="1"/>
  <c r="AA96" i="38" s="1"/>
  <c r="R97" i="38"/>
  <c r="R98" i="38"/>
  <c r="AK98" i="38" s="1"/>
  <c r="AL98" i="38" s="1"/>
  <c r="R99" i="38"/>
  <c r="R100" i="38"/>
  <c r="Y100" i="38" s="1"/>
  <c r="Z100" i="38" s="1"/>
  <c r="AA100" i="38" s="1"/>
  <c r="R101" i="38"/>
  <c r="Y101" i="38" s="1"/>
  <c r="Z101" i="38" s="1"/>
  <c r="AA101" i="38" s="1"/>
  <c r="R102" i="38"/>
  <c r="R103" i="38"/>
  <c r="R104" i="38"/>
  <c r="S104" i="38" s="1"/>
  <c r="T104" i="38" s="1"/>
  <c r="U104" i="38" s="1"/>
  <c r="R105" i="38"/>
  <c r="R106" i="38"/>
  <c r="Y106" i="38" s="1"/>
  <c r="Z106" i="38" s="1"/>
  <c r="AA106" i="38" s="1"/>
  <c r="R107" i="38"/>
  <c r="AK107" i="38" s="1"/>
  <c r="AL107" i="38" s="1"/>
  <c r="AM107" i="38" s="1"/>
  <c r="R108" i="38"/>
  <c r="R109" i="38"/>
  <c r="R110" i="38"/>
  <c r="Y110" i="38" s="1"/>
  <c r="Z110" i="38" s="1"/>
  <c r="AA110" i="38" s="1"/>
  <c r="R111" i="38"/>
  <c r="R112" i="38"/>
  <c r="AE112" i="38" s="1"/>
  <c r="AF112" i="38" s="1"/>
  <c r="AG112" i="38" s="1"/>
  <c r="R113" i="38"/>
  <c r="R114" i="38"/>
  <c r="R115" i="38"/>
  <c r="S115" i="38" s="1"/>
  <c r="T115" i="38" s="1"/>
  <c r="U115" i="38" s="1"/>
  <c r="R116" i="38"/>
  <c r="Y116" i="38" s="1"/>
  <c r="Z116" i="38" s="1"/>
  <c r="AA116" i="38" s="1"/>
  <c r="R117" i="38"/>
  <c r="R118" i="38"/>
  <c r="Y118" i="38" s="1"/>
  <c r="Z118" i="38" s="1"/>
  <c r="AA118" i="38" s="1"/>
  <c r="R119" i="38"/>
  <c r="S119" i="38" s="1"/>
  <c r="T119" i="38" s="1"/>
  <c r="U119" i="38" s="1"/>
  <c r="R120" i="38"/>
  <c r="R121" i="38"/>
  <c r="R122" i="38"/>
  <c r="AE122" i="38" s="1"/>
  <c r="AF122" i="38" s="1"/>
  <c r="R123" i="38"/>
  <c r="R124" i="38"/>
  <c r="Y124" i="38" s="1"/>
  <c r="Z124" i="38" s="1"/>
  <c r="AA124" i="38" s="1"/>
  <c r="R125" i="38"/>
  <c r="Y125" i="38" s="1"/>
  <c r="Z125" i="38" s="1"/>
  <c r="AA125" i="38" s="1"/>
  <c r="R126" i="38"/>
  <c r="R127" i="38"/>
  <c r="AE127" i="38" s="1"/>
  <c r="AF127" i="38" s="1"/>
  <c r="AG127" i="38" s="1"/>
  <c r="R128" i="38"/>
  <c r="R129" i="38"/>
  <c r="S129" i="38" s="1"/>
  <c r="T129" i="38" s="1"/>
  <c r="R130" i="38"/>
  <c r="S130" i="38" s="1"/>
  <c r="T130" i="38" s="1"/>
  <c r="U130" i="38" s="1"/>
  <c r="R131" i="38"/>
  <c r="S131" i="38" s="1"/>
  <c r="T131" i="38" s="1"/>
  <c r="U131" i="38" s="1"/>
  <c r="R132" i="38"/>
  <c r="R133" i="38"/>
  <c r="Y133" i="38" s="1"/>
  <c r="Z133" i="38" s="1"/>
  <c r="AA133" i="38" s="1"/>
  <c r="R134" i="38"/>
  <c r="S134" i="38" s="1"/>
  <c r="T134" i="38" s="1"/>
  <c r="U134" i="38" s="1"/>
  <c r="R135" i="38"/>
  <c r="S135" i="38" s="1"/>
  <c r="T135" i="38" s="1"/>
  <c r="R136" i="38"/>
  <c r="S136" i="38" s="1"/>
  <c r="T136" i="38" s="1"/>
  <c r="U136" i="38" s="1"/>
  <c r="R137" i="38"/>
  <c r="S137" i="38" s="1"/>
  <c r="T137" i="38" s="1"/>
  <c r="U137" i="38" s="1"/>
  <c r="R138" i="38"/>
  <c r="R139" i="38"/>
  <c r="S139" i="38" s="1"/>
  <c r="T139" i="38" s="1"/>
  <c r="U139" i="38" s="1"/>
  <c r="R140" i="38"/>
  <c r="S140" i="38" s="1"/>
  <c r="T140" i="38" s="1"/>
  <c r="U140" i="38" s="1"/>
  <c r="R141" i="38"/>
  <c r="AE141" i="38" s="1"/>
  <c r="AF141" i="38" s="1"/>
  <c r="AG141" i="38" s="1"/>
  <c r="R142" i="38"/>
  <c r="R143" i="38"/>
  <c r="R144" i="38"/>
  <c r="S144" i="38" s="1"/>
  <c r="T144" i="38" s="1"/>
  <c r="U144" i="38" s="1"/>
  <c r="R145" i="38"/>
  <c r="S145" i="38" s="1"/>
  <c r="T145" i="38" s="1"/>
  <c r="U145" i="38" s="1"/>
  <c r="R146" i="38"/>
  <c r="Y146" i="38" s="1"/>
  <c r="Z146" i="38" s="1"/>
  <c r="AA146" i="38" s="1"/>
  <c r="R147" i="38"/>
  <c r="AE147" i="38" s="1"/>
  <c r="AF147" i="38" s="1"/>
  <c r="AG147" i="38" s="1"/>
  <c r="R148" i="38"/>
  <c r="S148" i="38" s="1"/>
  <c r="T148" i="38" s="1"/>
  <c r="U148" i="38" s="1"/>
  <c r="R149" i="38"/>
  <c r="R150" i="38"/>
  <c r="S150" i="38" s="1"/>
  <c r="T150" i="38" s="1"/>
  <c r="U150" i="38" s="1"/>
  <c r="R151" i="38"/>
  <c r="R152" i="38"/>
  <c r="S152" i="38" s="1"/>
  <c r="T152" i="38" s="1"/>
  <c r="U152" i="38" s="1"/>
  <c r="R153" i="38"/>
  <c r="AE153" i="38" s="1"/>
  <c r="AF153" i="38" s="1"/>
  <c r="AG153" i="38" s="1"/>
  <c r="R154" i="38"/>
  <c r="S154" i="38" s="1"/>
  <c r="T154" i="38" s="1"/>
  <c r="U154" i="38" s="1"/>
  <c r="R155" i="38"/>
  <c r="R156" i="38"/>
  <c r="R157" i="38"/>
  <c r="Y157" i="38" s="1"/>
  <c r="Z157" i="38" s="1"/>
  <c r="R158" i="38"/>
  <c r="S158" i="38" s="1"/>
  <c r="T158" i="38" s="1"/>
  <c r="U158" i="38" s="1"/>
  <c r="R159" i="38"/>
  <c r="AE159" i="38" s="1"/>
  <c r="AF159" i="38" s="1"/>
  <c r="AG159" i="38" s="1"/>
  <c r="R160" i="38"/>
  <c r="R161" i="38"/>
  <c r="R162" i="38"/>
  <c r="S162" i="38" s="1"/>
  <c r="T162" i="38" s="1"/>
  <c r="U162" i="38" s="1"/>
  <c r="R163" i="38"/>
  <c r="S163" i="38" s="1"/>
  <c r="T163" i="38" s="1"/>
  <c r="U163" i="38" s="1"/>
  <c r="R164" i="38"/>
  <c r="R165" i="38"/>
  <c r="S165" i="38" s="1"/>
  <c r="T165" i="38" s="1"/>
  <c r="U165" i="38" s="1"/>
  <c r="R166" i="38"/>
  <c r="AE166" i="38" s="1"/>
  <c r="AF166" i="38" s="1"/>
  <c r="AG166" i="38" s="1"/>
  <c r="R167" i="38"/>
  <c r="R168" i="38"/>
  <c r="S168" i="38" s="1"/>
  <c r="T168" i="38" s="1"/>
  <c r="U168" i="38" s="1"/>
  <c r="R169" i="38"/>
  <c r="AE169" i="38" s="1"/>
  <c r="AF169" i="38" s="1"/>
  <c r="AG169" i="38" s="1"/>
  <c r="R170" i="38"/>
  <c r="S170" i="38" s="1"/>
  <c r="T170" i="38" s="1"/>
  <c r="R171" i="38"/>
  <c r="R172" i="38"/>
  <c r="Y172" i="38" s="1"/>
  <c r="Z172" i="38" s="1"/>
  <c r="AA172" i="38" s="1"/>
  <c r="R173" i="38"/>
  <c r="R174" i="38"/>
  <c r="S174" i="38" s="1"/>
  <c r="T174" i="38" s="1"/>
  <c r="U174" i="38" s="1"/>
  <c r="R175" i="38"/>
  <c r="S175" i="38" s="1"/>
  <c r="T175" i="38" s="1"/>
  <c r="U175" i="38" s="1"/>
  <c r="R176" i="38"/>
  <c r="S176" i="38" s="1"/>
  <c r="T176" i="38" s="1"/>
  <c r="R177" i="38"/>
  <c r="R178" i="38"/>
  <c r="Y178" i="38" s="1"/>
  <c r="Z178" i="38" s="1"/>
  <c r="AA178" i="38" s="1"/>
  <c r="R179" i="38"/>
  <c r="R180" i="38"/>
  <c r="S180" i="38" s="1"/>
  <c r="T180" i="38" s="1"/>
  <c r="U180" i="38" s="1"/>
  <c r="R181" i="38"/>
  <c r="AK181" i="38" s="1"/>
  <c r="AL181" i="38" s="1"/>
  <c r="AM181" i="38" s="1"/>
  <c r="R182" i="38"/>
  <c r="S182" i="38" s="1"/>
  <c r="T182" i="38" s="1"/>
  <c r="U182" i="38" s="1"/>
  <c r="R183" i="38"/>
  <c r="S183" i="38" s="1"/>
  <c r="T183" i="38" s="1"/>
  <c r="U183" i="38" s="1"/>
  <c r="R184" i="38"/>
  <c r="S184" i="38" s="1"/>
  <c r="T184" i="38" s="1"/>
  <c r="U184" i="38" s="1"/>
  <c r="R185" i="38"/>
  <c r="R186" i="38"/>
  <c r="S186" i="38" s="1"/>
  <c r="T186" i="38" s="1"/>
  <c r="U186" i="38" s="1"/>
  <c r="R187" i="38"/>
  <c r="AE187" i="38" s="1"/>
  <c r="AF187" i="38" s="1"/>
  <c r="AG187" i="38" s="1"/>
  <c r="R188" i="38"/>
  <c r="S188" i="38" s="1"/>
  <c r="T188" i="38" s="1"/>
  <c r="U188" i="38" s="1"/>
  <c r="R189" i="38"/>
  <c r="S189" i="38" s="1"/>
  <c r="T189" i="38" s="1"/>
  <c r="U189" i="38" s="1"/>
  <c r="R190" i="38"/>
  <c r="Y190" i="38" s="1"/>
  <c r="Z190" i="38" s="1"/>
  <c r="AA190" i="38" s="1"/>
  <c r="R191" i="38"/>
  <c r="R192" i="38"/>
  <c r="S192" i="38" s="1"/>
  <c r="T192" i="38" s="1"/>
  <c r="U192" i="38" s="1"/>
  <c r="R193" i="38"/>
  <c r="AK193" i="38" s="1"/>
  <c r="AL193" i="38" s="1"/>
  <c r="AM193" i="38" s="1"/>
  <c r="R194" i="38"/>
  <c r="S194" i="38" s="1"/>
  <c r="T194" i="38" s="1"/>
  <c r="U194" i="38" s="1"/>
  <c r="R195" i="38"/>
  <c r="S195" i="38" s="1"/>
  <c r="T195" i="38" s="1"/>
  <c r="U195" i="38" s="1"/>
  <c r="R196" i="38"/>
  <c r="AE196" i="38" s="1"/>
  <c r="AF196" i="38" s="1"/>
  <c r="AG196" i="38" s="1"/>
  <c r="R197" i="38"/>
  <c r="R198" i="38"/>
  <c r="S198" i="38" s="1"/>
  <c r="T198" i="38" s="1"/>
  <c r="U198" i="38" s="1"/>
  <c r="R199" i="38"/>
  <c r="AE199" i="38" s="1"/>
  <c r="AF199" i="38" s="1"/>
  <c r="AG199" i="38" s="1"/>
  <c r="R200" i="38"/>
  <c r="R201" i="38"/>
  <c r="Y201" i="38" s="1"/>
  <c r="Z201" i="38" s="1"/>
  <c r="AA201" i="38" s="1"/>
  <c r="R202" i="38"/>
  <c r="AK202" i="38" s="1"/>
  <c r="AL202" i="38" s="1"/>
  <c r="AM202" i="38" s="1"/>
  <c r="R203" i="38"/>
  <c r="R204" i="38"/>
  <c r="S204" i="38" s="1"/>
  <c r="T204" i="38" s="1"/>
  <c r="U204" i="38" s="1"/>
  <c r="R205" i="38"/>
  <c r="Y205" i="38" s="1"/>
  <c r="Z205" i="38" s="1"/>
  <c r="AA205" i="38" s="1"/>
  <c r="R206" i="38"/>
  <c r="R207" i="38"/>
  <c r="Y207" i="38" s="1"/>
  <c r="Z207" i="38" s="1"/>
  <c r="AA207" i="38" s="1"/>
  <c r="R208" i="38"/>
  <c r="AK208" i="38" s="1"/>
  <c r="AL208" i="38" s="1"/>
  <c r="AM208" i="38" s="1"/>
  <c r="R209" i="38"/>
  <c r="R210" i="38"/>
  <c r="S210" i="38" s="1"/>
  <c r="T210" i="38" s="1"/>
  <c r="U210" i="38" s="1"/>
  <c r="R211" i="38"/>
  <c r="S211" i="38" s="1"/>
  <c r="T211" i="38" s="1"/>
  <c r="U211" i="38" s="1"/>
  <c r="R212" i="38"/>
  <c r="AE212" i="38" s="1"/>
  <c r="AF212" i="38" s="1"/>
  <c r="AG212" i="38" s="1"/>
  <c r="R213" i="38"/>
  <c r="Y213" i="38" s="1"/>
  <c r="Z213" i="38" s="1"/>
  <c r="AA213" i="38" s="1"/>
  <c r="R214" i="38"/>
  <c r="Y214" i="38" s="1"/>
  <c r="Z214" i="38" s="1"/>
  <c r="AA214" i="38" s="1"/>
  <c r="R215" i="38"/>
  <c r="S215" i="38" s="1"/>
  <c r="T215" i="38" s="1"/>
  <c r="R216" i="38"/>
  <c r="R217" i="38"/>
  <c r="AE217" i="38" s="1"/>
  <c r="AF217" i="38" s="1"/>
  <c r="AG217" i="38" s="1"/>
  <c r="S217" i="38"/>
  <c r="T217" i="38" s="1"/>
  <c r="U217" i="38" s="1"/>
  <c r="R218" i="38"/>
  <c r="AK218" i="38" s="1"/>
  <c r="AL218" i="38" s="1"/>
  <c r="AM218" i="38" s="1"/>
  <c r="R219" i="38"/>
  <c r="R220" i="38"/>
  <c r="R221" i="38"/>
  <c r="S221" i="38" s="1"/>
  <c r="T221" i="38" s="1"/>
  <c r="U221" i="38" s="1"/>
  <c r="R222" i="38"/>
  <c r="R223" i="38"/>
  <c r="AE223" i="38" s="1"/>
  <c r="AF223" i="38" s="1"/>
  <c r="AG223" i="38" s="1"/>
  <c r="R224" i="38"/>
  <c r="S224" i="38" s="1"/>
  <c r="T224" i="38" s="1"/>
  <c r="U224" i="38" s="1"/>
  <c r="R225" i="38"/>
  <c r="R226" i="38"/>
  <c r="S226" i="38" s="1"/>
  <c r="T226" i="38" s="1"/>
  <c r="U226" i="38" s="1"/>
  <c r="R227" i="38"/>
  <c r="Y227" i="38" s="1"/>
  <c r="Z227" i="38" s="1"/>
  <c r="AA227" i="38" s="1"/>
  <c r="R228" i="38"/>
  <c r="R229" i="38"/>
  <c r="AE229" i="38" s="1"/>
  <c r="AF229" i="38" s="1"/>
  <c r="AG229" i="38" s="1"/>
  <c r="R230" i="38"/>
  <c r="S230" i="38" s="1"/>
  <c r="T230" i="38" s="1"/>
  <c r="R231" i="38"/>
  <c r="R232" i="38"/>
  <c r="S232" i="38" s="1"/>
  <c r="T232" i="38" s="1"/>
  <c r="U232" i="38" s="1"/>
  <c r="R233" i="38"/>
  <c r="AE233" i="38" s="1"/>
  <c r="AF233" i="38" s="1"/>
  <c r="AG233" i="38" s="1"/>
  <c r="R234" i="38"/>
  <c r="R235" i="38"/>
  <c r="S235" i="38" s="1"/>
  <c r="T235" i="38" s="1"/>
  <c r="U235" i="38" s="1"/>
  <c r="R236" i="38"/>
  <c r="S236" i="38" s="1"/>
  <c r="T236" i="38" s="1"/>
  <c r="U236" i="38" s="1"/>
  <c r="R237" i="38"/>
  <c r="AE237" i="38" s="1"/>
  <c r="AF237" i="38" s="1"/>
  <c r="R238" i="38"/>
  <c r="Y238" i="38" s="1"/>
  <c r="Z238" i="38" s="1"/>
  <c r="AA238" i="38" s="1"/>
  <c r="R239" i="38"/>
  <c r="AE239" i="38" s="1"/>
  <c r="AF239" i="38" s="1"/>
  <c r="AG239" i="38" s="1"/>
  <c r="R240" i="38"/>
  <c r="R241" i="38"/>
  <c r="S241" i="38" s="1"/>
  <c r="T241" i="38" s="1"/>
  <c r="U241" i="38" s="1"/>
  <c r="R242" i="38"/>
  <c r="Y242" i="38" s="1"/>
  <c r="Z242" i="38" s="1"/>
  <c r="AA242" i="38" s="1"/>
  <c r="S242" i="38"/>
  <c r="T242" i="38" s="1"/>
  <c r="U242" i="38" s="1"/>
  <c r="R243" i="38"/>
  <c r="AE243" i="38" s="1"/>
  <c r="AF243" i="38" s="1"/>
  <c r="AG243" i="38" s="1"/>
  <c r="R244" i="38"/>
  <c r="Y244" i="38" s="1"/>
  <c r="Z244" i="38" s="1"/>
  <c r="AA244" i="38" s="1"/>
  <c r="R245" i="38"/>
  <c r="Y245" i="38" s="1"/>
  <c r="Z245" i="38" s="1"/>
  <c r="AA245" i="38" s="1"/>
  <c r="R246" i="38"/>
  <c r="R247" i="38"/>
  <c r="AE247" i="38" s="1"/>
  <c r="AF247" i="38" s="1"/>
  <c r="AG247" i="38" s="1"/>
  <c r="R248" i="38"/>
  <c r="AK248" i="38" s="1"/>
  <c r="AL248" i="38" s="1"/>
  <c r="R249" i="38"/>
  <c r="Y249" i="38" s="1"/>
  <c r="Z249" i="38" s="1"/>
  <c r="AA249" i="38" s="1"/>
  <c r="R250" i="38"/>
  <c r="S250" i="38" s="1"/>
  <c r="T250" i="38" s="1"/>
  <c r="U250" i="38" s="1"/>
  <c r="R251" i="38"/>
  <c r="AE251" i="38" s="1"/>
  <c r="AF251" i="38" s="1"/>
  <c r="AG251" i="38" s="1"/>
  <c r="S251" i="38"/>
  <c r="T251" i="38" s="1"/>
  <c r="R252" i="38"/>
  <c r="R253" i="38"/>
  <c r="AE253" i="38" s="1"/>
  <c r="AF253" i="38" s="1"/>
  <c r="AG253" i="38" s="1"/>
  <c r="R254" i="38"/>
  <c r="AK254" i="38" s="1"/>
  <c r="AL254" i="38" s="1"/>
  <c r="AM254" i="38" s="1"/>
  <c r="R255" i="38"/>
  <c r="AK255" i="38" s="1"/>
  <c r="AL255" i="38" s="1"/>
  <c r="AM255" i="38" s="1"/>
  <c r="R256" i="38"/>
  <c r="R257" i="38"/>
  <c r="AE257" i="38" s="1"/>
  <c r="AF257" i="38" s="1"/>
  <c r="AG257" i="38" s="1"/>
  <c r="R258" i="38"/>
  <c r="R259" i="38"/>
  <c r="AE259" i="38" s="1"/>
  <c r="AF259" i="38" s="1"/>
  <c r="AG259" i="38" s="1"/>
  <c r="R260" i="38"/>
  <c r="AK260" i="38" s="1"/>
  <c r="AL260" i="38" s="1"/>
  <c r="AM260" i="38" s="1"/>
  <c r="R261" i="38"/>
  <c r="AK261" i="38" s="1"/>
  <c r="AL261" i="38" s="1"/>
  <c r="AM261" i="38" s="1"/>
  <c r="R262" i="38"/>
  <c r="S262" i="38" s="1"/>
  <c r="T262" i="38" s="1"/>
  <c r="U262" i="38" s="1"/>
  <c r="R263" i="38"/>
  <c r="AK263" i="38" s="1"/>
  <c r="AL263" i="38" s="1"/>
  <c r="AM263" i="38" s="1"/>
  <c r="R264" i="38"/>
  <c r="R265" i="38"/>
  <c r="Y265" i="38" s="1"/>
  <c r="Z265" i="38" s="1"/>
  <c r="AA265" i="38" s="1"/>
  <c r="R266" i="38"/>
  <c r="S266" i="38" s="1"/>
  <c r="T266" i="38" s="1"/>
  <c r="U266" i="38" s="1"/>
  <c r="R267" i="38"/>
  <c r="R268" i="38"/>
  <c r="S268" i="38" s="1"/>
  <c r="T268" i="38" s="1"/>
  <c r="U268" i="38" s="1"/>
  <c r="R269" i="38"/>
  <c r="AE269" i="38" s="1"/>
  <c r="AF269" i="38" s="1"/>
  <c r="R270" i="38"/>
  <c r="S270" i="38" s="1"/>
  <c r="T270" i="38" s="1"/>
  <c r="U270" i="38" s="1"/>
  <c r="R271" i="38"/>
  <c r="AE271" i="38" s="1"/>
  <c r="AF271" i="38" s="1"/>
  <c r="AG271" i="38" s="1"/>
  <c r="R272" i="38"/>
  <c r="Y272" i="38" s="1"/>
  <c r="Z272" i="38" s="1"/>
  <c r="AA272" i="38" s="1"/>
  <c r="R273" i="38"/>
  <c r="S273" i="38" s="1"/>
  <c r="T273" i="38" s="1"/>
  <c r="U273" i="38" s="1"/>
  <c r="R274" i="38"/>
  <c r="AK274" i="38" s="1"/>
  <c r="AL274" i="38" s="1"/>
  <c r="AM274" i="38" s="1"/>
  <c r="R275" i="38"/>
  <c r="R276" i="38"/>
  <c r="Y276" i="38" s="1"/>
  <c r="Z276" i="38" s="1"/>
  <c r="AA276" i="38" s="1"/>
  <c r="R277" i="38"/>
  <c r="Y277" i="38" s="1"/>
  <c r="Z277" i="38" s="1"/>
  <c r="AA277" i="38" s="1"/>
  <c r="R278" i="38"/>
  <c r="Y278" i="38" s="1"/>
  <c r="Z278" i="38" s="1"/>
  <c r="AA278" i="38" s="1"/>
  <c r="R279" i="38"/>
  <c r="S279" i="38" s="1"/>
  <c r="T279" i="38" s="1"/>
  <c r="U279" i="38" s="1"/>
  <c r="R280" i="38"/>
  <c r="AE280" i="38" s="1"/>
  <c r="AF280" i="38" s="1"/>
  <c r="AG280" i="38" s="1"/>
  <c r="R281" i="38"/>
  <c r="R282" i="38"/>
  <c r="R283" i="38"/>
  <c r="Y283" i="38" s="1"/>
  <c r="Z283" i="38" s="1"/>
  <c r="AA283" i="38" s="1"/>
  <c r="R284" i="38"/>
  <c r="AE284" i="38" s="1"/>
  <c r="AF284" i="38" s="1"/>
  <c r="AG284" i="38" s="1"/>
  <c r="R285" i="38"/>
  <c r="R286" i="38"/>
  <c r="AE286" i="38" s="1"/>
  <c r="AF286" i="38" s="1"/>
  <c r="AG286" i="38" s="1"/>
  <c r="R287" i="38"/>
  <c r="R288" i="38"/>
  <c r="S288" i="38" s="1"/>
  <c r="T288" i="38" s="1"/>
  <c r="U288" i="38" s="1"/>
  <c r="R289" i="38"/>
  <c r="S289" i="38" s="1"/>
  <c r="T289" i="38" s="1"/>
  <c r="U289" i="38" s="1"/>
  <c r="R290" i="38"/>
  <c r="AE290" i="38" s="1"/>
  <c r="AF290" i="38" s="1"/>
  <c r="AG290" i="38" s="1"/>
  <c r="R291" i="38"/>
  <c r="S291" i="38" s="1"/>
  <c r="T291" i="38" s="1"/>
  <c r="U291" i="38" s="1"/>
  <c r="R292" i="38"/>
  <c r="Y292" i="38" s="1"/>
  <c r="Z292" i="38" s="1"/>
  <c r="AA292" i="38" s="1"/>
  <c r="R293" i="38"/>
  <c r="R294" i="38"/>
  <c r="AK294" i="38" s="1"/>
  <c r="AL294" i="38" s="1"/>
  <c r="AM294" i="38" s="1"/>
  <c r="R295" i="38"/>
  <c r="S295" i="38" s="1"/>
  <c r="T295" i="38" s="1"/>
  <c r="U295" i="38" s="1"/>
  <c r="R296" i="38"/>
  <c r="Y296" i="38" s="1"/>
  <c r="Z296" i="38" s="1"/>
  <c r="AA296" i="38" s="1"/>
  <c r="R297" i="38"/>
  <c r="Y297" i="38" s="1"/>
  <c r="Z297" i="38" s="1"/>
  <c r="AA297" i="38" s="1"/>
  <c r="R298" i="38"/>
  <c r="Y298" i="38" s="1"/>
  <c r="Z298" i="38" s="1"/>
  <c r="AA298" i="38" s="1"/>
  <c r="R299" i="38"/>
  <c r="R300" i="38"/>
  <c r="S300" i="38" s="1"/>
  <c r="T300" i="38" s="1"/>
  <c r="U300" i="38" s="1"/>
  <c r="R301" i="38"/>
  <c r="S301" i="38" s="1"/>
  <c r="T301" i="38" s="1"/>
  <c r="U301" i="38" s="1"/>
  <c r="R302" i="38"/>
  <c r="S302" i="38" s="1"/>
  <c r="T302" i="38" s="1"/>
  <c r="U302" i="38" s="1"/>
  <c r="R303" i="38"/>
  <c r="S303" i="38" s="1"/>
  <c r="T303" i="38" s="1"/>
  <c r="U303" i="38" s="1"/>
  <c r="R304" i="38"/>
  <c r="AE304" i="38" s="1"/>
  <c r="AF304" i="38" s="1"/>
  <c r="AG304" i="38" s="1"/>
  <c r="R305" i="38"/>
  <c r="S305" i="38" s="1"/>
  <c r="T305" i="38" s="1"/>
  <c r="U305" i="38" s="1"/>
  <c r="R306" i="38"/>
  <c r="R307" i="38"/>
  <c r="S307" i="38" s="1"/>
  <c r="T307" i="38" s="1"/>
  <c r="U307" i="38" s="1"/>
  <c r="R308" i="38"/>
  <c r="S308" i="38" s="1"/>
  <c r="T308" i="38" s="1"/>
  <c r="U308" i="38" s="1"/>
  <c r="R309" i="38"/>
  <c r="AE309" i="38" s="1"/>
  <c r="AF309" i="38" s="1"/>
  <c r="R310" i="38"/>
  <c r="S310" i="38" s="1"/>
  <c r="T310" i="38" s="1"/>
  <c r="U310" i="38" s="1"/>
  <c r="R311" i="38"/>
  <c r="AE311" i="38" s="1"/>
  <c r="AF311" i="38" s="1"/>
  <c r="AG311" i="38" s="1"/>
  <c r="R312" i="38"/>
  <c r="AE312" i="38" s="1"/>
  <c r="AF312" i="38" s="1"/>
  <c r="AG312" i="38" s="1"/>
  <c r="R313" i="38"/>
  <c r="R314" i="38"/>
  <c r="S314" i="38" s="1"/>
  <c r="T314" i="38" s="1"/>
  <c r="U314" i="38" s="1"/>
  <c r="R315" i="38"/>
  <c r="Y315" i="38" s="1"/>
  <c r="Z315" i="38" s="1"/>
  <c r="R316" i="38"/>
  <c r="Y316" i="38" s="1"/>
  <c r="Z316" i="38" s="1"/>
  <c r="AA316" i="38" s="1"/>
  <c r="R317" i="38"/>
  <c r="Y317" i="38" s="1"/>
  <c r="Z317" i="38" s="1"/>
  <c r="AA317" i="38" s="1"/>
  <c r="R318" i="38"/>
  <c r="R319" i="38"/>
  <c r="Y319" i="38" s="1"/>
  <c r="Z319" i="38" s="1"/>
  <c r="AA319" i="38" s="1"/>
  <c r="R320" i="38"/>
  <c r="R321" i="38"/>
  <c r="S321" i="38" s="1"/>
  <c r="T321" i="38" s="1"/>
  <c r="U321" i="38" s="1"/>
  <c r="R322" i="38"/>
  <c r="S322" i="38" s="1"/>
  <c r="T322" i="38" s="1"/>
  <c r="U322" i="38" s="1"/>
  <c r="AE322" i="38"/>
  <c r="AF322" i="38" s="1"/>
  <c r="AG322" i="38" s="1"/>
  <c r="R323" i="38"/>
  <c r="R324" i="38"/>
  <c r="AE324" i="38" s="1"/>
  <c r="AF324" i="38" s="1"/>
  <c r="AG324" i="38" s="1"/>
  <c r="R325" i="38"/>
  <c r="AK325" i="38" s="1"/>
  <c r="AL325" i="38" s="1"/>
  <c r="AM325" i="38" s="1"/>
  <c r="R326" i="38"/>
  <c r="R327" i="38"/>
  <c r="S327" i="38" s="1"/>
  <c r="T327" i="38" s="1"/>
  <c r="U327" i="38" s="1"/>
  <c r="R328" i="38"/>
  <c r="AE328" i="38" s="1"/>
  <c r="AF328" i="38" s="1"/>
  <c r="AG328" i="38" s="1"/>
  <c r="R329" i="38"/>
  <c r="Y329" i="38" s="1"/>
  <c r="Z329" i="38" s="1"/>
  <c r="AA329" i="38" s="1"/>
  <c r="R330" i="38"/>
  <c r="R331" i="38"/>
  <c r="AE331" i="38" s="1"/>
  <c r="AF331" i="38" s="1"/>
  <c r="AG331" i="38" s="1"/>
  <c r="R332" i="38"/>
  <c r="R333" i="38"/>
  <c r="Y333" i="38" s="1"/>
  <c r="Z333" i="38" s="1"/>
  <c r="AA333" i="38" s="1"/>
  <c r="R334" i="38"/>
  <c r="Y334" i="38" s="1"/>
  <c r="Z334" i="38" s="1"/>
  <c r="AA334" i="38" s="1"/>
  <c r="R335" i="38"/>
  <c r="AE335" i="38" s="1"/>
  <c r="AF335" i="38" s="1"/>
  <c r="R336" i="38"/>
  <c r="Y336" i="38" s="1"/>
  <c r="Z336" i="38" s="1"/>
  <c r="AA336" i="38" s="1"/>
  <c r="R337" i="38"/>
  <c r="S337" i="38" s="1"/>
  <c r="T337" i="38" s="1"/>
  <c r="U337" i="38" s="1"/>
  <c r="R338" i="38"/>
  <c r="R339" i="38"/>
  <c r="Y339" i="38" s="1"/>
  <c r="Z339" i="38" s="1"/>
  <c r="AA339" i="38" s="1"/>
  <c r="R340" i="38"/>
  <c r="S340" i="38" s="1"/>
  <c r="T340" i="38" s="1"/>
  <c r="U340" i="38" s="1"/>
  <c r="R341" i="38"/>
  <c r="Y341" i="38" s="1"/>
  <c r="Z341" i="38" s="1"/>
  <c r="AA341" i="38" s="1"/>
  <c r="R342" i="38"/>
  <c r="AE342" i="38" s="1"/>
  <c r="AF342" i="38" s="1"/>
  <c r="AG342" i="38" s="1"/>
  <c r="R343" i="38"/>
  <c r="S343" i="38" s="1"/>
  <c r="T343" i="38" s="1"/>
  <c r="U343" i="38" s="1"/>
  <c r="R344" i="38"/>
  <c r="R345" i="38"/>
  <c r="Y345" i="38" s="1"/>
  <c r="Z345" i="38" s="1"/>
  <c r="AA345" i="38" s="1"/>
  <c r="R346" i="38"/>
  <c r="Y346" i="38" s="1"/>
  <c r="Z346" i="38" s="1"/>
  <c r="AA346" i="38" s="1"/>
  <c r="R347" i="38"/>
  <c r="AK347" i="38" s="1"/>
  <c r="AL347" i="38" s="1"/>
  <c r="R348" i="38"/>
  <c r="AE348" i="38" s="1"/>
  <c r="AF348" i="38" s="1"/>
  <c r="AG348" i="38" s="1"/>
  <c r="R349" i="38"/>
  <c r="Y349" i="38" s="1"/>
  <c r="Z349" i="38" s="1"/>
  <c r="AA349" i="38" s="1"/>
  <c r="R350" i="38"/>
  <c r="R351" i="38"/>
  <c r="AK351" i="38" s="1"/>
  <c r="AL351" i="38" s="1"/>
  <c r="AM351" i="38" s="1"/>
  <c r="R352" i="38"/>
  <c r="AE352" i="38" s="1"/>
  <c r="AF352" i="38" s="1"/>
  <c r="AG352" i="38" s="1"/>
  <c r="R353" i="38"/>
  <c r="AK353" i="38" s="1"/>
  <c r="AL353" i="38" s="1"/>
  <c r="R354" i="38"/>
  <c r="AE354" i="38" s="1"/>
  <c r="AF354" i="38" s="1"/>
  <c r="AG354" i="38" s="1"/>
  <c r="R355" i="38"/>
  <c r="S355" i="38" s="1"/>
  <c r="T355" i="38" s="1"/>
  <c r="U355" i="38" s="1"/>
  <c r="R356" i="38"/>
  <c r="R357" i="38"/>
  <c r="S357" i="38" s="1"/>
  <c r="T357" i="38" s="1"/>
  <c r="U357" i="38" s="1"/>
  <c r="R358" i="38"/>
  <c r="AE358" i="38" s="1"/>
  <c r="AF358" i="38" s="1"/>
  <c r="AG358" i="38" s="1"/>
  <c r="R359" i="38"/>
  <c r="AK359" i="38" s="1"/>
  <c r="AL359" i="38" s="1"/>
  <c r="AM359" i="38" s="1"/>
  <c r="R360" i="38"/>
  <c r="AE360" i="38" s="1"/>
  <c r="AF360" i="38" s="1"/>
  <c r="AG360" i="38" s="1"/>
  <c r="R361" i="38"/>
  <c r="Y361" i="38" s="1"/>
  <c r="Z361" i="38" s="1"/>
  <c r="AA361" i="38" s="1"/>
  <c r="R362" i="38"/>
  <c r="R363" i="38"/>
  <c r="S363" i="38" s="1"/>
  <c r="T363" i="38" s="1"/>
  <c r="U363" i="38" s="1"/>
  <c r="R364" i="38"/>
  <c r="AK364" i="38" s="1"/>
  <c r="AL364" i="38" s="1"/>
  <c r="AM364" i="38" s="1"/>
  <c r="R365" i="38"/>
  <c r="R366" i="38"/>
  <c r="Y366" i="38" s="1"/>
  <c r="Z366" i="38" s="1"/>
  <c r="AA366" i="38" s="1"/>
  <c r="R367" i="38"/>
  <c r="R368" i="38"/>
  <c r="AE368" i="38" s="1"/>
  <c r="AF368" i="38" s="1"/>
  <c r="AG368" i="38" s="1"/>
  <c r="R369" i="38"/>
  <c r="AK369" i="38" s="1"/>
  <c r="AL369" i="38" s="1"/>
  <c r="AM369" i="38" s="1"/>
  <c r="R370" i="38"/>
  <c r="Y370" i="38" s="1"/>
  <c r="Z370" i="38" s="1"/>
  <c r="AK370" i="38"/>
  <c r="AL370" i="38" s="1"/>
  <c r="R371" i="38"/>
  <c r="R372" i="38"/>
  <c r="Y372" i="38" s="1"/>
  <c r="Z372" i="38" s="1"/>
  <c r="AA372" i="38" s="1"/>
  <c r="R373" i="38"/>
  <c r="R374" i="38"/>
  <c r="AE374" i="38" s="1"/>
  <c r="AF374" i="38" s="1"/>
  <c r="AG374" i="38" s="1"/>
  <c r="R375" i="38"/>
  <c r="AE375" i="38" s="1"/>
  <c r="AF375" i="38" s="1"/>
  <c r="AG375" i="38" s="1"/>
  <c r="R376" i="38"/>
  <c r="AK376" i="38" s="1"/>
  <c r="AL376" i="38" s="1"/>
  <c r="J124" i="44"/>
  <c r="I271" i="44"/>
  <c r="G139" i="44"/>
  <c r="J202" i="44"/>
  <c r="G235" i="44"/>
  <c r="I169" i="44"/>
  <c r="G35" i="44"/>
  <c r="I60" i="44"/>
  <c r="I360" i="44"/>
  <c r="H116" i="44"/>
  <c r="I153" i="44"/>
  <c r="I159" i="44"/>
  <c r="H207" i="44"/>
  <c r="H349" i="44"/>
  <c r="H346" i="44"/>
  <c r="H178" i="44"/>
  <c r="G291" i="44"/>
  <c r="H93" i="44"/>
  <c r="H95" i="44"/>
  <c r="H336" i="44"/>
  <c r="G308" i="44"/>
  <c r="I257" i="44"/>
  <c r="J274" i="44"/>
  <c r="H100" i="44"/>
  <c r="G268" i="44"/>
  <c r="G273" i="44"/>
  <c r="I324" i="44"/>
  <c r="I141" i="44"/>
  <c r="G82" i="44"/>
  <c r="G302" i="44"/>
  <c r="J357" i="44"/>
  <c r="I62" i="44"/>
  <c r="I76" i="44"/>
  <c r="I311" i="44"/>
  <c r="G226" i="44"/>
  <c r="G352" i="44"/>
  <c r="G13" i="44"/>
  <c r="I290" i="44"/>
  <c r="H242" i="44"/>
  <c r="H133" i="44"/>
  <c r="H292" i="44"/>
  <c r="H341" i="44"/>
  <c r="G327" i="44"/>
  <c r="I322" i="44"/>
  <c r="G210" i="44"/>
  <c r="H110" i="44"/>
  <c r="I212" i="44"/>
  <c r="J24" i="44"/>
  <c r="H361" i="44"/>
  <c r="H303" i="44"/>
  <c r="G152" i="44"/>
  <c r="J31" i="44"/>
  <c r="G232" i="44"/>
  <c r="G12" i="44"/>
  <c r="H238" i="44"/>
  <c r="G175" i="44"/>
  <c r="G18" i="44"/>
  <c r="H372" i="44"/>
  <c r="J218" i="44"/>
  <c r="G182" i="44"/>
  <c r="G303" i="44"/>
  <c r="G115" i="44"/>
  <c r="G168" i="44"/>
  <c r="H92" i="44"/>
  <c r="H76" i="44"/>
  <c r="G150" i="44"/>
  <c r="G41" i="44"/>
  <c r="I284" i="44"/>
  <c r="I375" i="44"/>
  <c r="G198" i="44"/>
  <c r="I22" i="44"/>
  <c r="H125" i="44"/>
  <c r="J83" i="44"/>
  <c r="J261" i="44"/>
  <c r="J325" i="44"/>
  <c r="G148" i="44"/>
  <c r="I127" i="44"/>
  <c r="J260" i="44"/>
  <c r="G163" i="44"/>
  <c r="J23" i="44"/>
  <c r="H249" i="44"/>
  <c r="I328" i="44"/>
  <c r="G162" i="44"/>
  <c r="I166" i="44"/>
  <c r="H146" i="44"/>
  <c r="I112" i="44"/>
  <c r="G279" i="44"/>
  <c r="G165" i="44"/>
  <c r="I199" i="44"/>
  <c r="H172" i="44"/>
  <c r="G236" i="44"/>
  <c r="I52" i="44"/>
  <c r="J369" i="44"/>
  <c r="G118" i="44"/>
  <c r="I251" i="44"/>
  <c r="I354" i="44"/>
  <c r="G192" i="44"/>
  <c r="H276" i="44"/>
  <c r="H296" i="44"/>
  <c r="G134" i="44"/>
  <c r="I236" i="44"/>
  <c r="I374" i="44"/>
  <c r="H319" i="44"/>
  <c r="I238" i="44"/>
  <c r="J359" i="44"/>
  <c r="H201" i="44"/>
  <c r="G325" i="44"/>
  <c r="J54" i="44"/>
  <c r="G348" i="44"/>
  <c r="H213" i="44"/>
  <c r="J107" i="44"/>
  <c r="H265" i="44"/>
  <c r="H277" i="44"/>
  <c r="G211" i="44"/>
  <c r="G322" i="44"/>
  <c r="G140" i="44"/>
  <c r="J364" i="44"/>
  <c r="G262" i="44"/>
  <c r="J263" i="44"/>
  <c r="J58" i="44"/>
  <c r="H74" i="44"/>
  <c r="H272" i="44"/>
  <c r="I253" i="44"/>
  <c r="G14" i="44"/>
  <c r="H86" i="44"/>
  <c r="G145" i="44"/>
  <c r="J208" i="44"/>
  <c r="H205" i="44"/>
  <c r="H244" i="44"/>
  <c r="J169" i="44"/>
  <c r="J87" i="44"/>
  <c r="J28" i="44"/>
  <c r="G314" i="44"/>
  <c r="I223" i="44"/>
  <c r="H298" i="44"/>
  <c r="J255" i="44"/>
  <c r="H70" i="44"/>
  <c r="J351" i="44"/>
  <c r="G355" i="44"/>
  <c r="I247" i="44"/>
  <c r="I368" i="44"/>
  <c r="G305" i="44"/>
  <c r="H245" i="44"/>
  <c r="H317" i="44"/>
  <c r="I259" i="44"/>
  <c r="H366" i="44"/>
  <c r="I66" i="44"/>
  <c r="G188" i="44"/>
  <c r="G289" i="44"/>
  <c r="G137" i="44"/>
  <c r="I304" i="44"/>
  <c r="G136" i="44"/>
  <c r="I342" i="44"/>
  <c r="I239" i="44"/>
  <c r="G158" i="44"/>
  <c r="G195" i="44"/>
  <c r="I68" i="44"/>
  <c r="J181" i="44"/>
  <c r="I280" i="44"/>
  <c r="H64" i="44"/>
  <c r="H75" i="44"/>
  <c r="G288" i="44"/>
  <c r="H283" i="44"/>
  <c r="I196" i="44"/>
  <c r="G241" i="44"/>
  <c r="G78" i="44"/>
  <c r="H124" i="44"/>
  <c r="J294" i="44"/>
  <c r="G204" i="44"/>
  <c r="G39" i="44"/>
  <c r="I233" i="44"/>
  <c r="H140" i="44"/>
  <c r="G310" i="44"/>
  <c r="I46" i="44"/>
  <c r="H227" i="44"/>
  <c r="G131" i="44"/>
  <c r="I187" i="44"/>
  <c r="H118" i="44"/>
  <c r="G20" i="44"/>
  <c r="I217" i="44"/>
  <c r="G363" i="44"/>
  <c r="H65" i="44"/>
  <c r="G72" i="44"/>
  <c r="G48" i="44"/>
  <c r="I312" i="44"/>
  <c r="H96" i="44"/>
  <c r="G214" i="44"/>
  <c r="G343" i="44"/>
  <c r="G340" i="44"/>
  <c r="H25" i="44"/>
  <c r="I352" i="44"/>
  <c r="G321" i="44"/>
  <c r="I286" i="44"/>
  <c r="H101" i="44"/>
  <c r="H316" i="44"/>
  <c r="H190" i="44"/>
  <c r="G301" i="44"/>
  <c r="G57" i="44"/>
  <c r="H348" i="44"/>
  <c r="G250" i="44"/>
  <c r="H329" i="44"/>
  <c r="G189" i="44"/>
  <c r="G144" i="44"/>
  <c r="G154" i="44"/>
  <c r="G270" i="44"/>
  <c r="G174" i="44"/>
  <c r="I358" i="44"/>
  <c r="G119" i="44"/>
  <c r="G266" i="44"/>
  <c r="I348" i="44"/>
  <c r="J254" i="44"/>
  <c r="G194" i="44"/>
  <c r="J193" i="44"/>
  <c r="G180" i="44"/>
  <c r="G295" i="44"/>
  <c r="H297" i="44"/>
  <c r="I243" i="44"/>
  <c r="I147" i="44"/>
  <c r="H278" i="44"/>
  <c r="I229" i="44"/>
  <c r="G217" i="44"/>
  <c r="G337" i="44"/>
  <c r="I331" i="44"/>
  <c r="H345" i="44"/>
  <c r="H77" i="44"/>
  <c r="H333" i="44"/>
  <c r="G221" i="44"/>
  <c r="G186" i="44"/>
  <c r="H339" i="44"/>
  <c r="H334" i="44"/>
  <c r="G357" i="44"/>
  <c r="H106" i="44"/>
  <c r="H214" i="44"/>
  <c r="G242" i="44"/>
  <c r="G307" i="44"/>
  <c r="G42" i="44"/>
  <c r="G61" i="44"/>
  <c r="G16" i="44"/>
  <c r="G184" i="44"/>
  <c r="G183" i="44"/>
  <c r="G300" i="44"/>
  <c r="J89" i="44"/>
  <c r="G130" i="44"/>
  <c r="G224" i="44"/>
  <c r="G104" i="44"/>
  <c r="AN376" i="38" l="1"/>
  <c r="AO376" i="38" s="1"/>
  <c r="AM376" i="38"/>
  <c r="AE376" i="38"/>
  <c r="AF376" i="38" s="1"/>
  <c r="AK124" i="38"/>
  <c r="AL124" i="38" s="1"/>
  <c r="AM124" i="38" s="1"/>
  <c r="Y376" i="38"/>
  <c r="Z376" i="38" s="1"/>
  <c r="AK357" i="38"/>
  <c r="AL357" i="38" s="1"/>
  <c r="AM357" i="38" s="1"/>
  <c r="Y348" i="38"/>
  <c r="Z348" i="38" s="1"/>
  <c r="AA348" i="38" s="1"/>
  <c r="AK169" i="38"/>
  <c r="AL169" i="38" s="1"/>
  <c r="AM169" i="38" s="1"/>
  <c r="Y140" i="38"/>
  <c r="Z140" i="38" s="1"/>
  <c r="AA140" i="38" s="1"/>
  <c r="S118" i="38"/>
  <c r="T118" i="38" s="1"/>
  <c r="U118" i="38" s="1"/>
  <c r="S376" i="38"/>
  <c r="T376" i="38" s="1"/>
  <c r="AE357" i="38"/>
  <c r="AF357" i="38" s="1"/>
  <c r="AH357" i="38" s="1"/>
  <c r="AI357" i="38" s="1"/>
  <c r="S352" i="38"/>
  <c r="T352" i="38" s="1"/>
  <c r="U352" i="38" s="1"/>
  <c r="S348" i="38"/>
  <c r="T348" i="38" s="1"/>
  <c r="U348" i="38" s="1"/>
  <c r="S325" i="38"/>
  <c r="T325" i="38" s="1"/>
  <c r="U325" i="38" s="1"/>
  <c r="Y303" i="38"/>
  <c r="Z303" i="38" s="1"/>
  <c r="AA303" i="38" s="1"/>
  <c r="AE236" i="38"/>
  <c r="AF236" i="38" s="1"/>
  <c r="AG236" i="38" s="1"/>
  <c r="S214" i="38"/>
  <c r="T214" i="38" s="1"/>
  <c r="U214" i="38" s="1"/>
  <c r="AE76" i="38"/>
  <c r="AF76" i="38" s="1"/>
  <c r="AG76" i="38" s="1"/>
  <c r="AK374" i="38"/>
  <c r="AL374" i="38" s="1"/>
  <c r="S370" i="38"/>
  <c r="T370" i="38" s="1"/>
  <c r="AE242" i="38"/>
  <c r="AF242" i="38" s="1"/>
  <c r="AE238" i="38"/>
  <c r="AF238" i="38" s="1"/>
  <c r="AG238" i="38" s="1"/>
  <c r="Y360" i="38"/>
  <c r="Z360" i="38" s="1"/>
  <c r="AA360" i="38" s="1"/>
  <c r="Y223" i="38"/>
  <c r="Z223" i="38" s="1"/>
  <c r="AA223" i="38" s="1"/>
  <c r="Y139" i="38"/>
  <c r="Z139" i="38" s="1"/>
  <c r="AA139" i="38" s="1"/>
  <c r="AR139" i="38" s="1"/>
  <c r="AE124" i="38"/>
  <c r="AF124" i="38" s="1"/>
  <c r="AG124" i="38" s="1"/>
  <c r="Y104" i="38"/>
  <c r="Z104" i="38" s="1"/>
  <c r="AA104" i="38" s="1"/>
  <c r="AR104" i="38" s="1"/>
  <c r="AK84" i="38"/>
  <c r="AL84" i="38" s="1"/>
  <c r="AM84" i="38" s="1"/>
  <c r="AK309" i="38"/>
  <c r="AL309" i="38" s="1"/>
  <c r="AM309" i="38" s="1"/>
  <c r="AK92" i="38"/>
  <c r="AL92" i="38" s="1"/>
  <c r="AM92" i="38" s="1"/>
  <c r="Y84" i="38"/>
  <c r="Z84" i="38" s="1"/>
  <c r="AA84" i="38" s="1"/>
  <c r="AK329" i="38"/>
  <c r="AL329" i="38" s="1"/>
  <c r="Y309" i="38"/>
  <c r="Z309" i="38" s="1"/>
  <c r="AB309" i="38" s="1"/>
  <c r="AC309" i="38" s="1"/>
  <c r="AK295" i="38"/>
  <c r="AL295" i="38" s="1"/>
  <c r="AM295" i="38" s="1"/>
  <c r="AK184" i="38"/>
  <c r="AL184" i="38" s="1"/>
  <c r="AM184" i="38" s="1"/>
  <c r="AE163" i="38"/>
  <c r="AF163" i="38" s="1"/>
  <c r="AG163" i="38" s="1"/>
  <c r="S112" i="38"/>
  <c r="T112" i="38" s="1"/>
  <c r="U112" i="38" s="1"/>
  <c r="S107" i="38"/>
  <c r="T107" i="38" s="1"/>
  <c r="U107" i="38" s="1"/>
  <c r="AE92" i="38"/>
  <c r="AF92" i="38" s="1"/>
  <c r="AG92" i="38" s="1"/>
  <c r="AK333" i="38"/>
  <c r="AL333" i="38" s="1"/>
  <c r="AM333" i="38" s="1"/>
  <c r="S309" i="38"/>
  <c r="T309" i="38" s="1"/>
  <c r="U309" i="38" s="1"/>
  <c r="Y295" i="38"/>
  <c r="Z295" i="38" s="1"/>
  <c r="AA295" i="38" s="1"/>
  <c r="AR295" i="38" s="1"/>
  <c r="AK278" i="38"/>
  <c r="AL278" i="38" s="1"/>
  <c r="AK241" i="38"/>
  <c r="AL241" i="38" s="1"/>
  <c r="AM241" i="38" s="1"/>
  <c r="AK199" i="38"/>
  <c r="AL199" i="38" s="1"/>
  <c r="AM199" i="38" s="1"/>
  <c r="AE178" i="38"/>
  <c r="AF178" i="38" s="1"/>
  <c r="AG178" i="38" s="1"/>
  <c r="AE157" i="38"/>
  <c r="AF157" i="38" s="1"/>
  <c r="AG157" i="38" s="1"/>
  <c r="AE152" i="38"/>
  <c r="AF152" i="38" s="1"/>
  <c r="AG152" i="38" s="1"/>
  <c r="AK137" i="38"/>
  <c r="AL137" i="38" s="1"/>
  <c r="AM137" i="38" s="1"/>
  <c r="S92" i="38"/>
  <c r="T92" i="38" s="1"/>
  <c r="S374" i="38"/>
  <c r="T374" i="38" s="1"/>
  <c r="U374" i="38" s="1"/>
  <c r="S346" i="38"/>
  <c r="T346" i="38" s="1"/>
  <c r="U346" i="38" s="1"/>
  <c r="AK305" i="38"/>
  <c r="AL305" i="38" s="1"/>
  <c r="AM305" i="38" s="1"/>
  <c r="S244" i="38"/>
  <c r="T244" i="38" s="1"/>
  <c r="U244" i="38" s="1"/>
  <c r="Y217" i="38"/>
  <c r="Z217" i="38" s="1"/>
  <c r="AA217" i="38" s="1"/>
  <c r="AR217" i="38" s="1"/>
  <c r="AK214" i="38"/>
  <c r="AL214" i="38" s="1"/>
  <c r="AM214" i="38" s="1"/>
  <c r="AH199" i="38"/>
  <c r="AI199" i="38" s="1"/>
  <c r="AE140" i="38"/>
  <c r="AF140" i="38" s="1"/>
  <c r="AG140" i="38" s="1"/>
  <c r="AK127" i="38"/>
  <c r="AL127" i="38" s="1"/>
  <c r="AN127" i="38" s="1"/>
  <c r="AO127" i="38" s="1"/>
  <c r="S124" i="38"/>
  <c r="T124" i="38" s="1"/>
  <c r="U124" i="38" s="1"/>
  <c r="AR124" i="38" s="1"/>
  <c r="AE106" i="38"/>
  <c r="AF106" i="38" s="1"/>
  <c r="AG106" i="38" s="1"/>
  <c r="AE45" i="38"/>
  <c r="AF45" i="38" s="1"/>
  <c r="AG45" i="38" s="1"/>
  <c r="AE305" i="38"/>
  <c r="AF305" i="38" s="1"/>
  <c r="AG305" i="38" s="1"/>
  <c r="AK271" i="38"/>
  <c r="AL271" i="38" s="1"/>
  <c r="AM271" i="38" s="1"/>
  <c r="AK315" i="38"/>
  <c r="AL315" i="38" s="1"/>
  <c r="Y305" i="38"/>
  <c r="Z305" i="38" s="1"/>
  <c r="AA305" i="38" s="1"/>
  <c r="AR305" i="38" s="1"/>
  <c r="Y271" i="38"/>
  <c r="Z271" i="38" s="1"/>
  <c r="AA271" i="38" s="1"/>
  <c r="Y187" i="38"/>
  <c r="Z187" i="38" s="1"/>
  <c r="AA187" i="38" s="1"/>
  <c r="AK158" i="38"/>
  <c r="AL158" i="38" s="1"/>
  <c r="AM158" i="38" s="1"/>
  <c r="AK112" i="38"/>
  <c r="AL112" i="38" s="1"/>
  <c r="AN112" i="38" s="1"/>
  <c r="AO112" i="38" s="1"/>
  <c r="AE86" i="38"/>
  <c r="AF86" i="38" s="1"/>
  <c r="AG86" i="38" s="1"/>
  <c r="AK74" i="38"/>
  <c r="AL74" i="38" s="1"/>
  <c r="AM74" i="38" s="1"/>
  <c r="AE48" i="38"/>
  <c r="AF48" i="38" s="1"/>
  <c r="AG48" i="38" s="1"/>
  <c r="AK372" i="38"/>
  <c r="AL372" i="38" s="1"/>
  <c r="AM372" i="38" s="1"/>
  <c r="AE364" i="38"/>
  <c r="AF364" i="38" s="1"/>
  <c r="AH364" i="38" s="1"/>
  <c r="AI364" i="38" s="1"/>
  <c r="AE319" i="38"/>
  <c r="AF319" i="38" s="1"/>
  <c r="AG319" i="38" s="1"/>
  <c r="AE315" i="38"/>
  <c r="AF315" i="38" s="1"/>
  <c r="AG315" i="38" s="1"/>
  <c r="S271" i="38"/>
  <c r="T271" i="38" s="1"/>
  <c r="U271" i="38" s="1"/>
  <c r="AR271" i="38" s="1"/>
  <c r="S260" i="38"/>
  <c r="T260" i="38" s="1"/>
  <c r="U260" i="38" s="1"/>
  <c r="AK242" i="38"/>
  <c r="AL242" i="38" s="1"/>
  <c r="AM242" i="38" s="1"/>
  <c r="AK224" i="38"/>
  <c r="AL224" i="38" s="1"/>
  <c r="AM224" i="38" s="1"/>
  <c r="S187" i="38"/>
  <c r="T187" i="38" s="1"/>
  <c r="U187" i="38" s="1"/>
  <c r="AE172" i="38"/>
  <c r="AF172" i="38" s="1"/>
  <c r="AG172" i="38" s="1"/>
  <c r="Y158" i="38"/>
  <c r="Z158" i="38" s="1"/>
  <c r="AA158" i="38" s="1"/>
  <c r="AR158" i="38" s="1"/>
  <c r="AK139" i="38"/>
  <c r="AL139" i="38" s="1"/>
  <c r="AM139" i="38" s="1"/>
  <c r="Y112" i="38"/>
  <c r="Z112" i="38" s="1"/>
  <c r="AA112" i="38" s="1"/>
  <c r="AK104" i="38"/>
  <c r="AL104" i="38" s="1"/>
  <c r="AM104" i="38" s="1"/>
  <c r="S86" i="38"/>
  <c r="T86" i="38" s="1"/>
  <c r="AE83" i="38"/>
  <c r="AF83" i="38" s="1"/>
  <c r="AG83" i="38" s="1"/>
  <c r="S74" i="38"/>
  <c r="T74" i="38" s="1"/>
  <c r="U74" i="38" s="1"/>
  <c r="S64" i="38"/>
  <c r="T64" i="38" s="1"/>
  <c r="U64" i="38" s="1"/>
  <c r="S372" i="38"/>
  <c r="T372" i="38" s="1"/>
  <c r="U372" i="38" s="1"/>
  <c r="AE359" i="38"/>
  <c r="AF359" i="38" s="1"/>
  <c r="AH359" i="38" s="1"/>
  <c r="AI359" i="38" s="1"/>
  <c r="AE347" i="38"/>
  <c r="AF347" i="38" s="1"/>
  <c r="AG347" i="38" s="1"/>
  <c r="AK327" i="38"/>
  <c r="AL327" i="38" s="1"/>
  <c r="AM327" i="38" s="1"/>
  <c r="S315" i="38"/>
  <c r="T315" i="38" s="1"/>
  <c r="V315" i="38" s="1"/>
  <c r="W315" i="38" s="1"/>
  <c r="S254" i="38"/>
  <c r="T254" i="38" s="1"/>
  <c r="U254" i="38" s="1"/>
  <c r="AK245" i="38"/>
  <c r="AL245" i="38" s="1"/>
  <c r="AM245" i="38" s="1"/>
  <c r="AE215" i="38"/>
  <c r="AF215" i="38" s="1"/>
  <c r="AG215" i="38" s="1"/>
  <c r="AM112" i="38"/>
  <c r="AH242" i="38"/>
  <c r="AI242" i="38" s="1"/>
  <c r="AG242" i="38"/>
  <c r="AR242" i="38" s="1"/>
  <c r="V230" i="38"/>
  <c r="W230" i="38" s="1"/>
  <c r="U230" i="38"/>
  <c r="AH122" i="38"/>
  <c r="AI122" i="38" s="1"/>
  <c r="AG122" i="38"/>
  <c r="V92" i="38"/>
  <c r="W92" i="38" s="1"/>
  <c r="U92" i="38"/>
  <c r="AR92" i="38" s="1"/>
  <c r="AK340" i="38"/>
  <c r="AL340" i="38" s="1"/>
  <c r="AM340" i="38" s="1"/>
  <c r="AE339" i="38"/>
  <c r="AF339" i="38" s="1"/>
  <c r="AG339" i="38" s="1"/>
  <c r="Y284" i="38"/>
  <c r="Z284" i="38" s="1"/>
  <c r="AA284" i="38" s="1"/>
  <c r="AK266" i="38"/>
  <c r="AL266" i="38" s="1"/>
  <c r="AM266" i="38" s="1"/>
  <c r="S238" i="38"/>
  <c r="T238" i="38" s="1"/>
  <c r="U238" i="38" s="1"/>
  <c r="AE224" i="38"/>
  <c r="AF224" i="38" s="1"/>
  <c r="V215" i="38"/>
  <c r="W215" i="38" s="1"/>
  <c r="U215" i="38"/>
  <c r="AE181" i="38"/>
  <c r="AF181" i="38" s="1"/>
  <c r="AG181" i="38" s="1"/>
  <c r="AB178" i="38"/>
  <c r="AC178" i="38" s="1"/>
  <c r="AK166" i="38"/>
  <c r="AL166" i="38" s="1"/>
  <c r="AM166" i="38" s="1"/>
  <c r="AB157" i="38"/>
  <c r="AC157" i="38" s="1"/>
  <c r="AA157" i="38"/>
  <c r="AE129" i="38"/>
  <c r="AF129" i="38" s="1"/>
  <c r="AG129" i="38" s="1"/>
  <c r="AE118" i="38"/>
  <c r="AF118" i="38" s="1"/>
  <c r="AG118" i="38" s="1"/>
  <c r="AE84" i="38"/>
  <c r="AF84" i="38" s="1"/>
  <c r="AG84" i="38" s="1"/>
  <c r="AE65" i="38"/>
  <c r="AF65" i="38" s="1"/>
  <c r="AG65" i="38" s="1"/>
  <c r="AE41" i="38"/>
  <c r="AF41" i="38" s="1"/>
  <c r="AE35" i="38"/>
  <c r="AF35" i="38" s="1"/>
  <c r="AG35" i="38" s="1"/>
  <c r="AH335" i="38"/>
  <c r="AI335" i="38" s="1"/>
  <c r="AG335" i="38"/>
  <c r="AG357" i="38"/>
  <c r="AK345" i="38"/>
  <c r="AL345" i="38" s="1"/>
  <c r="AM345" i="38" s="1"/>
  <c r="AN329" i="38"/>
  <c r="AO329" i="38" s="1"/>
  <c r="AM329" i="38"/>
  <c r="Y269" i="38"/>
  <c r="Z269" i="38" s="1"/>
  <c r="Y259" i="38"/>
  <c r="Z259" i="38" s="1"/>
  <c r="AA259" i="38" s="1"/>
  <c r="Y181" i="38"/>
  <c r="Z181" i="38" s="1"/>
  <c r="AA181" i="38" s="1"/>
  <c r="V129" i="38"/>
  <c r="W129" i="38" s="1"/>
  <c r="U129" i="38"/>
  <c r="AK68" i="38"/>
  <c r="AL68" i="38" s="1"/>
  <c r="AM68" i="38" s="1"/>
  <c r="AK52" i="38"/>
  <c r="AL52" i="38" s="1"/>
  <c r="AM52" i="38" s="1"/>
  <c r="AK20" i="38"/>
  <c r="AL20" i="38" s="1"/>
  <c r="AM20" i="38" s="1"/>
  <c r="Y357" i="38"/>
  <c r="Z357" i="38" s="1"/>
  <c r="AA357" i="38" s="1"/>
  <c r="AR357" i="38" s="1"/>
  <c r="AE351" i="38"/>
  <c r="AF351" i="38" s="1"/>
  <c r="S345" i="38"/>
  <c r="T345" i="38" s="1"/>
  <c r="U345" i="38" s="1"/>
  <c r="AE340" i="38"/>
  <c r="AF340" i="38" s="1"/>
  <c r="AG340" i="38" s="1"/>
  <c r="AB315" i="38"/>
  <c r="AC315" i="38" s="1"/>
  <c r="AA315" i="38"/>
  <c r="AE303" i="38"/>
  <c r="AF303" i="38" s="1"/>
  <c r="AE295" i="38"/>
  <c r="AF295" i="38" s="1"/>
  <c r="AG295" i="38" s="1"/>
  <c r="S269" i="38"/>
  <c r="T269" i="38" s="1"/>
  <c r="U269" i="38" s="1"/>
  <c r="S259" i="38"/>
  <c r="T259" i="38" s="1"/>
  <c r="U259" i="38" s="1"/>
  <c r="AH237" i="38"/>
  <c r="AI237" i="38" s="1"/>
  <c r="AG237" i="38"/>
  <c r="AK232" i="38"/>
  <c r="AL232" i="38" s="1"/>
  <c r="AM232" i="38" s="1"/>
  <c r="S227" i="38"/>
  <c r="T227" i="38" s="1"/>
  <c r="U227" i="38" s="1"/>
  <c r="AK223" i="38"/>
  <c r="AL223" i="38" s="1"/>
  <c r="AM223" i="38" s="1"/>
  <c r="AE214" i="38"/>
  <c r="AF214" i="38" s="1"/>
  <c r="AG214" i="38" s="1"/>
  <c r="AE190" i="38"/>
  <c r="AF190" i="38" s="1"/>
  <c r="AG190" i="38" s="1"/>
  <c r="S181" i="38"/>
  <c r="T181" i="38" s="1"/>
  <c r="U181" i="38" s="1"/>
  <c r="AR181" i="38" s="1"/>
  <c r="V170" i="38"/>
  <c r="W170" i="38" s="1"/>
  <c r="U170" i="38"/>
  <c r="AE139" i="38"/>
  <c r="AF139" i="38" s="1"/>
  <c r="AG139" i="38" s="1"/>
  <c r="V135" i="38"/>
  <c r="W135" i="38" s="1"/>
  <c r="U135" i="38"/>
  <c r="AK86" i="38"/>
  <c r="AL86" i="38" s="1"/>
  <c r="AM86" i="38" s="1"/>
  <c r="V84" i="38"/>
  <c r="W84" i="38" s="1"/>
  <c r="U84" i="38"/>
  <c r="AR84" i="38" s="1"/>
  <c r="Y72" i="38"/>
  <c r="Z72" i="38" s="1"/>
  <c r="AA72" i="38" s="1"/>
  <c r="AR72" i="38" s="1"/>
  <c r="Y68" i="38"/>
  <c r="Z68" i="38" s="1"/>
  <c r="S58" i="38"/>
  <c r="T58" i="38" s="1"/>
  <c r="U58" i="38" s="1"/>
  <c r="S52" i="38"/>
  <c r="T52" i="38" s="1"/>
  <c r="U52" i="38" s="1"/>
  <c r="AN41" i="38"/>
  <c r="AO41" i="38" s="1"/>
  <c r="AM41" i="38"/>
  <c r="AE20" i="38"/>
  <c r="AF20" i="38" s="1"/>
  <c r="AG20" i="38" s="1"/>
  <c r="AH269" i="38"/>
  <c r="AI269" i="38" s="1"/>
  <c r="AG269" i="38"/>
  <c r="AN248" i="38"/>
  <c r="AO248" i="38" s="1"/>
  <c r="AM248" i="38"/>
  <c r="V176" i="38"/>
  <c r="W176" i="38" s="1"/>
  <c r="U176" i="38"/>
  <c r="AM127" i="38"/>
  <c r="V68" i="38"/>
  <c r="W68" i="38" s="1"/>
  <c r="U68" i="38"/>
  <c r="AK297" i="38"/>
  <c r="AL297" i="38" s="1"/>
  <c r="AM297" i="38" s="1"/>
  <c r="AK268" i="38"/>
  <c r="AL268" i="38" s="1"/>
  <c r="AM268" i="38" s="1"/>
  <c r="Y226" i="38"/>
  <c r="Z226" i="38" s="1"/>
  <c r="AA226" i="38" s="1"/>
  <c r="AR226" i="38" s="1"/>
  <c r="S223" i="38"/>
  <c r="T223" i="38" s="1"/>
  <c r="U223" i="38" s="1"/>
  <c r="AR223" i="38" s="1"/>
  <c r="AK207" i="38"/>
  <c r="AL207" i="38" s="1"/>
  <c r="AM207" i="38" s="1"/>
  <c r="S169" i="38"/>
  <c r="T169" i="38" s="1"/>
  <c r="U169" i="38" s="1"/>
  <c r="AE158" i="38"/>
  <c r="AF158" i="38" s="1"/>
  <c r="AG158" i="38" s="1"/>
  <c r="AK154" i="38"/>
  <c r="AL154" i="38" s="1"/>
  <c r="AM154" i="38" s="1"/>
  <c r="S127" i="38"/>
  <c r="T127" i="38" s="1"/>
  <c r="U127" i="38" s="1"/>
  <c r="AK116" i="38"/>
  <c r="AL116" i="38" s="1"/>
  <c r="AM116" i="38" s="1"/>
  <c r="AB94" i="38"/>
  <c r="AC94" i="38" s="1"/>
  <c r="AA94" i="38"/>
  <c r="AE90" i="38"/>
  <c r="AF90" i="38" s="1"/>
  <c r="AG90" i="38" s="1"/>
  <c r="V86" i="38"/>
  <c r="W86" i="38" s="1"/>
  <c r="U86" i="38"/>
  <c r="V45" i="38"/>
  <c r="W45" i="38" s="1"/>
  <c r="U45" i="38"/>
  <c r="AB32" i="38"/>
  <c r="AC32" i="38" s="1"/>
  <c r="AA32" i="38"/>
  <c r="AN370" i="38"/>
  <c r="AO370" i="38" s="1"/>
  <c r="AM370" i="38"/>
  <c r="V370" i="38"/>
  <c r="W370" i="38" s="1"/>
  <c r="U370" i="38"/>
  <c r="AN347" i="38"/>
  <c r="AO347" i="38" s="1"/>
  <c r="AM347" i="38"/>
  <c r="Y340" i="38"/>
  <c r="Z340" i="38" s="1"/>
  <c r="AA340" i="38" s="1"/>
  <c r="AR340" i="38" s="1"/>
  <c r="AK331" i="38"/>
  <c r="AL331" i="38" s="1"/>
  <c r="AM331" i="38" s="1"/>
  <c r="AB370" i="38"/>
  <c r="AC370" i="38" s="1"/>
  <c r="AA370" i="38"/>
  <c r="S358" i="38"/>
  <c r="T358" i="38" s="1"/>
  <c r="U358" i="38" s="1"/>
  <c r="AK349" i="38"/>
  <c r="AL349" i="38" s="1"/>
  <c r="AK346" i="38"/>
  <c r="AL346" i="38" s="1"/>
  <c r="AM346" i="38" s="1"/>
  <c r="Y335" i="38"/>
  <c r="Z335" i="38" s="1"/>
  <c r="Y331" i="38"/>
  <c r="Z331" i="38" s="1"/>
  <c r="AA331" i="38" s="1"/>
  <c r="AK321" i="38"/>
  <c r="AL321" i="38" s="1"/>
  <c r="AM321" i="38" s="1"/>
  <c r="AE316" i="38"/>
  <c r="AF316" i="38" s="1"/>
  <c r="AG316" i="38" s="1"/>
  <c r="AH309" i="38"/>
  <c r="AI309" i="38" s="1"/>
  <c r="AG309" i="38"/>
  <c r="V302" i="38"/>
  <c r="W302" i="38" s="1"/>
  <c r="AE297" i="38"/>
  <c r="AF297" i="38" s="1"/>
  <c r="AG297" i="38" s="1"/>
  <c r="Y294" i="38"/>
  <c r="Z294" i="38" s="1"/>
  <c r="AA294" i="38" s="1"/>
  <c r="AE273" i="38"/>
  <c r="AF273" i="38" s="1"/>
  <c r="AG273" i="38" s="1"/>
  <c r="Y268" i="38"/>
  <c r="Z268" i="38" s="1"/>
  <c r="AA268" i="38" s="1"/>
  <c r="AR268" i="38" s="1"/>
  <c r="Y257" i="38"/>
  <c r="Z257" i="38" s="1"/>
  <c r="AA257" i="38" s="1"/>
  <c r="AK251" i="38"/>
  <c r="AL251" i="38" s="1"/>
  <c r="AM251" i="38" s="1"/>
  <c r="AE235" i="38"/>
  <c r="AF235" i="38" s="1"/>
  <c r="AG235" i="38" s="1"/>
  <c r="AK230" i="38"/>
  <c r="AL230" i="38" s="1"/>
  <c r="AK213" i="38"/>
  <c r="AL213" i="38" s="1"/>
  <c r="AM213" i="38" s="1"/>
  <c r="AE207" i="38"/>
  <c r="AF207" i="38" s="1"/>
  <c r="AG207" i="38" s="1"/>
  <c r="AE154" i="38"/>
  <c r="AF154" i="38" s="1"/>
  <c r="AG154" i="38" s="1"/>
  <c r="AE98" i="38"/>
  <c r="AF98" i="38" s="1"/>
  <c r="AG98" i="38" s="1"/>
  <c r="V90" i="38"/>
  <c r="W90" i="38" s="1"/>
  <c r="U90" i="38"/>
  <c r="AK70" i="38"/>
  <c r="AL70" i="38" s="1"/>
  <c r="AM70" i="38" s="1"/>
  <c r="AN374" i="38"/>
  <c r="AO374" i="38" s="1"/>
  <c r="AM374" i="38"/>
  <c r="S369" i="38"/>
  <c r="T369" i="38" s="1"/>
  <c r="U369" i="38" s="1"/>
  <c r="S349" i="38"/>
  <c r="T349" i="38" s="1"/>
  <c r="U349" i="38" s="1"/>
  <c r="AE346" i="38"/>
  <c r="AF346" i="38" s="1"/>
  <c r="AG346" i="38" s="1"/>
  <c r="S335" i="38"/>
  <c r="T335" i="38" s="1"/>
  <c r="U335" i="38" s="1"/>
  <c r="S331" i="38"/>
  <c r="T331" i="38" s="1"/>
  <c r="U331" i="38" s="1"/>
  <c r="AR331" i="38" s="1"/>
  <c r="Y321" i="38"/>
  <c r="Z321" i="38" s="1"/>
  <c r="AA321" i="38" s="1"/>
  <c r="AR321" i="38" s="1"/>
  <c r="Y311" i="38"/>
  <c r="Z311" i="38" s="1"/>
  <c r="AA311" i="38" s="1"/>
  <c r="S297" i="38"/>
  <c r="T297" i="38" s="1"/>
  <c r="U297" i="38" s="1"/>
  <c r="AR297" i="38" s="1"/>
  <c r="AE270" i="38"/>
  <c r="AF270" i="38" s="1"/>
  <c r="Y251" i="38"/>
  <c r="Z251" i="38" s="1"/>
  <c r="AA251" i="38" s="1"/>
  <c r="AK238" i="38"/>
  <c r="AL238" i="38" s="1"/>
  <c r="AM238" i="38" s="1"/>
  <c r="AK178" i="38"/>
  <c r="AL178" i="38" s="1"/>
  <c r="AM178" i="38" s="1"/>
  <c r="Y154" i="38"/>
  <c r="Z154" i="38" s="1"/>
  <c r="AA154" i="38" s="1"/>
  <c r="AR154" i="38" s="1"/>
  <c r="AK118" i="38"/>
  <c r="AL118" i="38" s="1"/>
  <c r="AM118" i="38" s="1"/>
  <c r="S116" i="38"/>
  <c r="T116" i="38" s="1"/>
  <c r="S98" i="38"/>
  <c r="T98" i="38" s="1"/>
  <c r="U98" i="38" s="1"/>
  <c r="AE89" i="38"/>
  <c r="AF89" i="38" s="1"/>
  <c r="AG89" i="38" s="1"/>
  <c r="AB49" i="38"/>
  <c r="AC49" i="38" s="1"/>
  <c r="AA49" i="38"/>
  <c r="AN30" i="38"/>
  <c r="AO30" i="38" s="1"/>
  <c r="AM30" i="38"/>
  <c r="AN353" i="38"/>
  <c r="AO353" i="38" s="1"/>
  <c r="AM353" i="38"/>
  <c r="AN315" i="38"/>
  <c r="AO315" i="38" s="1"/>
  <c r="AM315" i="38"/>
  <c r="AN278" i="38"/>
  <c r="AO278" i="38" s="1"/>
  <c r="AM278" i="38"/>
  <c r="V251" i="38"/>
  <c r="W251" i="38" s="1"/>
  <c r="U251" i="38"/>
  <c r="AN98" i="38"/>
  <c r="AO98" i="38" s="1"/>
  <c r="AM98" i="38"/>
  <c r="AH316" i="38"/>
  <c r="AI316" i="38" s="1"/>
  <c r="AH346" i="38"/>
  <c r="AI346" i="38" s="1"/>
  <c r="AB349" i="38"/>
  <c r="AC349" i="38" s="1"/>
  <c r="V346" i="38"/>
  <c r="W346" i="38" s="1"/>
  <c r="AH331" i="38"/>
  <c r="AI331" i="38" s="1"/>
  <c r="V235" i="38"/>
  <c r="W235" i="38" s="1"/>
  <c r="V72" i="38"/>
  <c r="W72" i="38" s="1"/>
  <c r="AN92" i="38"/>
  <c r="AO92" i="38" s="1"/>
  <c r="AB76" i="38"/>
  <c r="AC76" i="38" s="1"/>
  <c r="AH271" i="38"/>
  <c r="AI271" i="38" s="1"/>
  <c r="AN364" i="38"/>
  <c r="AO364" i="38" s="1"/>
  <c r="AN274" i="38"/>
  <c r="AO274" i="38" s="1"/>
  <c r="Y364" i="38"/>
  <c r="Z364" i="38" s="1"/>
  <c r="S361" i="38"/>
  <c r="T361" i="38" s="1"/>
  <c r="U361" i="38" s="1"/>
  <c r="S354" i="38"/>
  <c r="T354" i="38" s="1"/>
  <c r="U354" i="38" s="1"/>
  <c r="AE349" i="38"/>
  <c r="AF349" i="38" s="1"/>
  <c r="AG349" i="38" s="1"/>
  <c r="AE345" i="38"/>
  <c r="AF345" i="38" s="1"/>
  <c r="AG345" i="38" s="1"/>
  <c r="AK341" i="38"/>
  <c r="AL341" i="38" s="1"/>
  <c r="S339" i="38"/>
  <c r="T339" i="38" s="1"/>
  <c r="U339" i="38" s="1"/>
  <c r="S333" i="38"/>
  <c r="T333" i="38" s="1"/>
  <c r="U333" i="38" s="1"/>
  <c r="Y327" i="38"/>
  <c r="Z327" i="38" s="1"/>
  <c r="AA327" i="38" s="1"/>
  <c r="AR327" i="38" s="1"/>
  <c r="AK316" i="38"/>
  <c r="AL316" i="38" s="1"/>
  <c r="AM316" i="38" s="1"/>
  <c r="S316" i="38"/>
  <c r="T316" i="38" s="1"/>
  <c r="U316" i="38" s="1"/>
  <c r="AR316" i="38" s="1"/>
  <c r="S311" i="38"/>
  <c r="T311" i="38" s="1"/>
  <c r="U311" i="38" s="1"/>
  <c r="S294" i="38"/>
  <c r="T294" i="38" s="1"/>
  <c r="U294" i="38" s="1"/>
  <c r="Y290" i="38"/>
  <c r="Z290" i="38" s="1"/>
  <c r="AA290" i="38" s="1"/>
  <c r="Y286" i="38"/>
  <c r="Z286" i="38" s="1"/>
  <c r="AA286" i="38" s="1"/>
  <c r="S283" i="38"/>
  <c r="T283" i="38" s="1"/>
  <c r="U283" i="38" s="1"/>
  <c r="Y266" i="38"/>
  <c r="Z266" i="38" s="1"/>
  <c r="AA266" i="38" s="1"/>
  <c r="AR266" i="38" s="1"/>
  <c r="S245" i="38"/>
  <c r="T245" i="38" s="1"/>
  <c r="U245" i="38" s="1"/>
  <c r="Y236" i="38"/>
  <c r="Z236" i="38" s="1"/>
  <c r="AA236" i="38" s="1"/>
  <c r="AE218" i="38"/>
  <c r="AF218" i="38" s="1"/>
  <c r="AG218" i="38" s="1"/>
  <c r="AK211" i="38"/>
  <c r="AL211" i="38" s="1"/>
  <c r="AM211" i="38" s="1"/>
  <c r="Y196" i="38"/>
  <c r="Z196" i="38" s="1"/>
  <c r="AA196" i="38" s="1"/>
  <c r="AE193" i="38"/>
  <c r="AF193" i="38" s="1"/>
  <c r="AG193" i="38" s="1"/>
  <c r="Y152" i="38"/>
  <c r="Z152" i="38" s="1"/>
  <c r="AA152" i="38" s="1"/>
  <c r="AR152" i="38" s="1"/>
  <c r="Y137" i="38"/>
  <c r="Z137" i="38" s="1"/>
  <c r="AA137" i="38" s="1"/>
  <c r="AR137" i="38" s="1"/>
  <c r="AE110" i="38"/>
  <c r="AF110" i="38" s="1"/>
  <c r="AG110" i="38" s="1"/>
  <c r="AE101" i="38"/>
  <c r="AF101" i="38" s="1"/>
  <c r="AG101" i="38" s="1"/>
  <c r="AH86" i="38"/>
  <c r="AI86" i="38" s="1"/>
  <c r="AB84" i="38"/>
  <c r="AC84" i="38" s="1"/>
  <c r="AK82" i="38"/>
  <c r="AL82" i="38" s="1"/>
  <c r="AM82" i="38" s="1"/>
  <c r="S77" i="38"/>
  <c r="T77" i="38" s="1"/>
  <c r="U77" i="38" s="1"/>
  <c r="S76" i="38"/>
  <c r="T76" i="38" s="1"/>
  <c r="U76" i="38" s="1"/>
  <c r="AR76" i="38" s="1"/>
  <c r="AE28" i="38"/>
  <c r="AF28" i="38" s="1"/>
  <c r="AG28" i="38" s="1"/>
  <c r="Y24" i="38"/>
  <c r="Z24" i="38" s="1"/>
  <c r="AA24" i="38" s="1"/>
  <c r="AK14" i="38"/>
  <c r="AL14" i="38" s="1"/>
  <c r="AM14" i="38" s="1"/>
  <c r="AK366" i="38"/>
  <c r="AL366" i="38" s="1"/>
  <c r="AM366" i="38" s="1"/>
  <c r="AE341" i="38"/>
  <c r="AF341" i="38" s="1"/>
  <c r="AG341" i="38" s="1"/>
  <c r="Y248" i="38"/>
  <c r="Z248" i="38" s="1"/>
  <c r="AA248" i="38" s="1"/>
  <c r="Y229" i="38"/>
  <c r="Z229" i="38" s="1"/>
  <c r="AA229" i="38" s="1"/>
  <c r="AK226" i="38"/>
  <c r="AL226" i="38" s="1"/>
  <c r="AM226" i="38" s="1"/>
  <c r="Y218" i="38"/>
  <c r="Z218" i="38" s="1"/>
  <c r="AA218" i="38" s="1"/>
  <c r="AE211" i="38"/>
  <c r="AF211" i="38" s="1"/>
  <c r="AG211" i="38" s="1"/>
  <c r="Y193" i="38"/>
  <c r="Z193" i="38" s="1"/>
  <c r="AA193" i="38" s="1"/>
  <c r="AK115" i="38"/>
  <c r="AL115" i="38" s="1"/>
  <c r="AM115" i="38" s="1"/>
  <c r="AE82" i="38"/>
  <c r="AF82" i="38" s="1"/>
  <c r="AG82" i="38" s="1"/>
  <c r="AK72" i="38"/>
  <c r="AL72" i="38" s="1"/>
  <c r="AM72" i="38" s="1"/>
  <c r="Y62" i="38"/>
  <c r="Z62" i="38" s="1"/>
  <c r="AA62" i="38" s="1"/>
  <c r="AK48" i="38"/>
  <c r="AL48" i="38" s="1"/>
  <c r="AM48" i="38" s="1"/>
  <c r="AK42" i="38"/>
  <c r="AL42" i="38" s="1"/>
  <c r="AM42" i="38" s="1"/>
  <c r="Y28" i="38"/>
  <c r="Z28" i="38" s="1"/>
  <c r="AA28" i="38" s="1"/>
  <c r="Y351" i="38"/>
  <c r="Z351" i="38" s="1"/>
  <c r="AA351" i="38" s="1"/>
  <c r="Y374" i="38"/>
  <c r="Z374" i="38" s="1"/>
  <c r="AA374" i="38" s="1"/>
  <c r="S366" i="38"/>
  <c r="T366" i="38" s="1"/>
  <c r="U366" i="38" s="1"/>
  <c r="S364" i="38"/>
  <c r="T364" i="38" s="1"/>
  <c r="U364" i="38" s="1"/>
  <c r="AK360" i="38"/>
  <c r="AL360" i="38" s="1"/>
  <c r="AM360" i="38" s="1"/>
  <c r="AK355" i="38"/>
  <c r="AL355" i="38" s="1"/>
  <c r="AE353" i="38"/>
  <c r="AF353" i="38" s="1"/>
  <c r="S351" i="38"/>
  <c r="T351" i="38" s="1"/>
  <c r="U351" i="38" s="1"/>
  <c r="S341" i="38"/>
  <c r="T341" i="38" s="1"/>
  <c r="AK322" i="38"/>
  <c r="AL322" i="38" s="1"/>
  <c r="AM322" i="38" s="1"/>
  <c r="S276" i="38"/>
  <c r="T276" i="38" s="1"/>
  <c r="U276" i="38" s="1"/>
  <c r="AE265" i="38"/>
  <c r="AF265" i="38" s="1"/>
  <c r="AG265" i="38" s="1"/>
  <c r="Y260" i="38"/>
  <c r="Z260" i="38" s="1"/>
  <c r="AA260" i="38" s="1"/>
  <c r="AK257" i="38"/>
  <c r="AL257" i="38" s="1"/>
  <c r="AM257" i="38" s="1"/>
  <c r="Y254" i="38"/>
  <c r="Z254" i="38" s="1"/>
  <c r="AA254" i="38" s="1"/>
  <c r="S248" i="38"/>
  <c r="T248" i="38" s="1"/>
  <c r="U248" i="38" s="1"/>
  <c r="AK244" i="38"/>
  <c r="AL244" i="38" s="1"/>
  <c r="AM244" i="38" s="1"/>
  <c r="AK235" i="38"/>
  <c r="AL235" i="38" s="1"/>
  <c r="S229" i="38"/>
  <c r="T229" i="38" s="1"/>
  <c r="U229" i="38" s="1"/>
  <c r="AR229" i="38" s="1"/>
  <c r="AE226" i="38"/>
  <c r="AF226" i="38" s="1"/>
  <c r="AG226" i="38" s="1"/>
  <c r="S218" i="38"/>
  <c r="T218" i="38" s="1"/>
  <c r="U218" i="38" s="1"/>
  <c r="AR218" i="38" s="1"/>
  <c r="AK215" i="38"/>
  <c r="AL215" i="38" s="1"/>
  <c r="AM215" i="38" s="1"/>
  <c r="Y211" i="38"/>
  <c r="Z211" i="38" s="1"/>
  <c r="AA211" i="38" s="1"/>
  <c r="AR211" i="38" s="1"/>
  <c r="S196" i="38"/>
  <c r="T196" i="38" s="1"/>
  <c r="U196" i="38" s="1"/>
  <c r="S193" i="38"/>
  <c r="T193" i="38" s="1"/>
  <c r="U193" i="38" s="1"/>
  <c r="AR193" i="38" s="1"/>
  <c r="AE188" i="38"/>
  <c r="AF188" i="38" s="1"/>
  <c r="AG188" i="38" s="1"/>
  <c r="AK172" i="38"/>
  <c r="AL172" i="38" s="1"/>
  <c r="AM172" i="38" s="1"/>
  <c r="AK163" i="38"/>
  <c r="AL163" i="38" s="1"/>
  <c r="AM163" i="38" s="1"/>
  <c r="AK157" i="38"/>
  <c r="AL157" i="38" s="1"/>
  <c r="AM157" i="38" s="1"/>
  <c r="Y127" i="38"/>
  <c r="Z127" i="38" s="1"/>
  <c r="AA127" i="38" s="1"/>
  <c r="AE115" i="38"/>
  <c r="AF115" i="38" s="1"/>
  <c r="AG115" i="38" s="1"/>
  <c r="AK90" i="38"/>
  <c r="AL90" i="38" s="1"/>
  <c r="AM90" i="38" s="1"/>
  <c r="Y82" i="38"/>
  <c r="Z82" i="38" s="1"/>
  <c r="AA82" i="38" s="1"/>
  <c r="AR82" i="38" s="1"/>
  <c r="AK76" i="38"/>
  <c r="AL76" i="38" s="1"/>
  <c r="AM76" i="38" s="1"/>
  <c r="AE72" i="38"/>
  <c r="AF72" i="38" s="1"/>
  <c r="AG72" i="38" s="1"/>
  <c r="S62" i="38"/>
  <c r="T62" i="38" s="1"/>
  <c r="U62" i="38" s="1"/>
  <c r="AK45" i="38"/>
  <c r="AL45" i="38" s="1"/>
  <c r="AM45" i="38" s="1"/>
  <c r="AE42" i="38"/>
  <c r="AF42" i="38" s="1"/>
  <c r="AG42" i="38" s="1"/>
  <c r="S28" i="38"/>
  <c r="T28" i="38" s="1"/>
  <c r="AK18" i="38"/>
  <c r="AL18" i="38" s="1"/>
  <c r="AM18" i="38" s="1"/>
  <c r="AK354" i="38"/>
  <c r="AL354" i="38" s="1"/>
  <c r="AM354" i="38" s="1"/>
  <c r="AK291" i="38"/>
  <c r="AL291" i="38" s="1"/>
  <c r="AM291" i="38" s="1"/>
  <c r="AK288" i="38"/>
  <c r="AL288" i="38" s="1"/>
  <c r="AM288" i="38" s="1"/>
  <c r="Y235" i="38"/>
  <c r="Z235" i="38" s="1"/>
  <c r="AA235" i="38" s="1"/>
  <c r="AE232" i="38"/>
  <c r="AF232" i="38" s="1"/>
  <c r="AG232" i="38" s="1"/>
  <c r="AK217" i="38"/>
  <c r="AL217" i="38" s="1"/>
  <c r="AM217" i="38" s="1"/>
  <c r="Y215" i="38"/>
  <c r="Z215" i="38" s="1"/>
  <c r="AK205" i="38"/>
  <c r="AL205" i="38" s="1"/>
  <c r="AM205" i="38" s="1"/>
  <c r="AK201" i="38"/>
  <c r="AL201" i="38" s="1"/>
  <c r="AM201" i="38" s="1"/>
  <c r="AK187" i="38"/>
  <c r="AL187" i="38" s="1"/>
  <c r="AM187" i="38" s="1"/>
  <c r="AK176" i="38"/>
  <c r="AL176" i="38" s="1"/>
  <c r="AB172" i="38"/>
  <c r="AC172" i="38" s="1"/>
  <c r="AH166" i="38"/>
  <c r="AI166" i="38" s="1"/>
  <c r="Y129" i="38"/>
  <c r="Z129" i="38" s="1"/>
  <c r="AA129" i="38" s="1"/>
  <c r="AN87" i="38"/>
  <c r="AO87" i="38" s="1"/>
  <c r="AE74" i="38"/>
  <c r="AF74" i="38" s="1"/>
  <c r="AG74" i="38" s="1"/>
  <c r="Y61" i="38"/>
  <c r="Z61" i="38" s="1"/>
  <c r="AA61" i="38" s="1"/>
  <c r="AR61" i="38" s="1"/>
  <c r="Y48" i="38"/>
  <c r="Z48" i="38" s="1"/>
  <c r="AA48" i="38" s="1"/>
  <c r="AR48" i="38" s="1"/>
  <c r="Y45" i="38"/>
  <c r="Z45" i="38" s="1"/>
  <c r="AA45" i="38" s="1"/>
  <c r="AE370" i="38"/>
  <c r="AF370" i="38" s="1"/>
  <c r="AK368" i="38"/>
  <c r="AL368" i="38" s="1"/>
  <c r="AK363" i="38"/>
  <c r="AL363" i="38" s="1"/>
  <c r="AM363" i="38" s="1"/>
  <c r="AE333" i="38"/>
  <c r="AF333" i="38" s="1"/>
  <c r="AG333" i="38" s="1"/>
  <c r="Y322" i="38"/>
  <c r="Z322" i="38" s="1"/>
  <c r="AA322" i="38" s="1"/>
  <c r="AR322" i="38" s="1"/>
  <c r="Y368" i="38"/>
  <c r="Z368" i="38" s="1"/>
  <c r="AA368" i="38" s="1"/>
  <c r="AE363" i="38"/>
  <c r="AF363" i="38" s="1"/>
  <c r="S360" i="38"/>
  <c r="T360" i="38" s="1"/>
  <c r="U360" i="38" s="1"/>
  <c r="AR360" i="38" s="1"/>
  <c r="AK348" i="38"/>
  <c r="AL348" i="38" s="1"/>
  <c r="AM348" i="38" s="1"/>
  <c r="AH340" i="38"/>
  <c r="AI340" i="38" s="1"/>
  <c r="AK335" i="38"/>
  <c r="AL335" i="38" s="1"/>
  <c r="AM335" i="38" s="1"/>
  <c r="AK324" i="38"/>
  <c r="AL324" i="38" s="1"/>
  <c r="AM324" i="38" s="1"/>
  <c r="AK311" i="38"/>
  <c r="AL311" i="38" s="1"/>
  <c r="AM311" i="38" s="1"/>
  <c r="AE291" i="38"/>
  <c r="AF291" i="38" s="1"/>
  <c r="AG291" i="38" s="1"/>
  <c r="AE288" i="38"/>
  <c r="AF288" i="38" s="1"/>
  <c r="AG288" i="38" s="1"/>
  <c r="AK283" i="38"/>
  <c r="AL283" i="38" s="1"/>
  <c r="AM283" i="38" s="1"/>
  <c r="AK279" i="38"/>
  <c r="AL279" i="38" s="1"/>
  <c r="AM279" i="38" s="1"/>
  <c r="AK276" i="38"/>
  <c r="AL276" i="38" s="1"/>
  <c r="AM276" i="38" s="1"/>
  <c r="AK259" i="38"/>
  <c r="AL259" i="38" s="1"/>
  <c r="AM259" i="38" s="1"/>
  <c r="S257" i="38"/>
  <c r="T257" i="38" s="1"/>
  <c r="U257" i="38" s="1"/>
  <c r="AR257" i="38" s="1"/>
  <c r="AK253" i="38"/>
  <c r="AL253" i="38" s="1"/>
  <c r="AM253" i="38" s="1"/>
  <c r="Y232" i="38"/>
  <c r="Z232" i="38" s="1"/>
  <c r="AA232" i="38" s="1"/>
  <c r="AR232" i="38" s="1"/>
  <c r="AK229" i="38"/>
  <c r="AL229" i="38" s="1"/>
  <c r="AM229" i="38" s="1"/>
  <c r="AE227" i="38"/>
  <c r="AF227" i="38" s="1"/>
  <c r="AG227" i="38" s="1"/>
  <c r="AE213" i="38"/>
  <c r="AF213" i="38" s="1"/>
  <c r="AG213" i="38" s="1"/>
  <c r="AE205" i="38"/>
  <c r="AF205" i="38" s="1"/>
  <c r="AG205" i="38" s="1"/>
  <c r="AE201" i="38"/>
  <c r="AF201" i="38" s="1"/>
  <c r="AG201" i="38" s="1"/>
  <c r="AE194" i="38"/>
  <c r="AF194" i="38" s="1"/>
  <c r="AG194" i="38" s="1"/>
  <c r="S172" i="38"/>
  <c r="T172" i="38" s="1"/>
  <c r="U172" i="38" s="1"/>
  <c r="Y169" i="38"/>
  <c r="Z169" i="38" s="1"/>
  <c r="AA169" i="38" s="1"/>
  <c r="Y166" i="38"/>
  <c r="Z166" i="38" s="1"/>
  <c r="AA166" i="38" s="1"/>
  <c r="Y163" i="38"/>
  <c r="Z163" i="38" s="1"/>
  <c r="AA163" i="38" s="1"/>
  <c r="AR163" i="38" s="1"/>
  <c r="S157" i="38"/>
  <c r="T157" i="38" s="1"/>
  <c r="U157" i="38" s="1"/>
  <c r="AR157" i="38" s="1"/>
  <c r="AK133" i="38"/>
  <c r="AL133" i="38" s="1"/>
  <c r="AM133" i="38" s="1"/>
  <c r="AB116" i="38"/>
  <c r="AC116" i="38" s="1"/>
  <c r="Y90" i="38"/>
  <c r="Z90" i="38" s="1"/>
  <c r="AA90" i="38" s="1"/>
  <c r="AE87" i="38"/>
  <c r="AF87" i="38" s="1"/>
  <c r="AG87" i="38" s="1"/>
  <c r="AK62" i="38"/>
  <c r="AL62" i="38" s="1"/>
  <c r="AM62" i="38" s="1"/>
  <c r="AE57" i="38"/>
  <c r="AF57" i="38" s="1"/>
  <c r="AG57" i="38" s="1"/>
  <c r="Y41" i="38"/>
  <c r="Z41" i="38" s="1"/>
  <c r="AK35" i="38"/>
  <c r="AL35" i="38" s="1"/>
  <c r="AM35" i="38" s="1"/>
  <c r="AK16" i="38"/>
  <c r="AL16" i="38" s="1"/>
  <c r="AM16" i="38" s="1"/>
  <c r="S375" i="38"/>
  <c r="T375" i="38" s="1"/>
  <c r="U375" i="38" s="1"/>
  <c r="S368" i="38"/>
  <c r="T368" i="38" s="1"/>
  <c r="Y354" i="38"/>
  <c r="Z354" i="38" s="1"/>
  <c r="AA354" i="38" s="1"/>
  <c r="AH339" i="38"/>
  <c r="AI339" i="38" s="1"/>
  <c r="S324" i="38"/>
  <c r="T324" i="38" s="1"/>
  <c r="U324" i="38" s="1"/>
  <c r="AE294" i="38"/>
  <c r="AF294" i="38" s="1"/>
  <c r="AG294" i="38" s="1"/>
  <c r="Y291" i="38"/>
  <c r="Z291" i="38" s="1"/>
  <c r="AA291" i="38" s="1"/>
  <c r="AR291" i="38" s="1"/>
  <c r="AE283" i="38"/>
  <c r="AF283" i="38" s="1"/>
  <c r="AG283" i="38" s="1"/>
  <c r="AE279" i="38"/>
  <c r="AF279" i="38" s="1"/>
  <c r="AG279" i="38" s="1"/>
  <c r="AE276" i="38"/>
  <c r="AF276" i="38" s="1"/>
  <c r="AG276" i="38" s="1"/>
  <c r="AK236" i="38"/>
  <c r="AL236" i="38" s="1"/>
  <c r="V227" i="38"/>
  <c r="W227" i="38" s="1"/>
  <c r="S205" i="38"/>
  <c r="T205" i="38" s="1"/>
  <c r="U205" i="38" s="1"/>
  <c r="AK196" i="38"/>
  <c r="AL196" i="38" s="1"/>
  <c r="AM196" i="38" s="1"/>
  <c r="AE133" i="38"/>
  <c r="AF133" i="38" s="1"/>
  <c r="AG133" i="38" s="1"/>
  <c r="AK110" i="38"/>
  <c r="AL110" i="38" s="1"/>
  <c r="Y35" i="38"/>
  <c r="Z35" i="38" s="1"/>
  <c r="AA35" i="38" s="1"/>
  <c r="AR35" i="38" s="1"/>
  <c r="AE24" i="38"/>
  <c r="AF24" i="38" s="1"/>
  <c r="Y30" i="38"/>
  <c r="Z30" i="38" s="1"/>
  <c r="AA30" i="38" s="1"/>
  <c r="S30" i="38"/>
  <c r="T30" i="38" s="1"/>
  <c r="U30" i="38" s="1"/>
  <c r="V352" i="38"/>
  <c r="W352" i="38" s="1"/>
  <c r="AN357" i="38"/>
  <c r="AO357" i="38" s="1"/>
  <c r="AB339" i="38"/>
  <c r="AC339" i="38" s="1"/>
  <c r="AB321" i="38"/>
  <c r="AC321" i="38" s="1"/>
  <c r="AB346" i="38"/>
  <c r="AC346" i="38" s="1"/>
  <c r="V310" i="38"/>
  <c r="W310" i="38" s="1"/>
  <c r="AB360" i="38"/>
  <c r="AC360" i="38" s="1"/>
  <c r="AN283" i="38"/>
  <c r="AO283" i="38" s="1"/>
  <c r="AB348" i="38"/>
  <c r="AC348" i="38" s="1"/>
  <c r="V343" i="38"/>
  <c r="W343" i="38" s="1"/>
  <c r="AN325" i="38"/>
  <c r="AO325" i="38" s="1"/>
  <c r="V375" i="38"/>
  <c r="W375" i="38" s="1"/>
  <c r="AH374" i="38"/>
  <c r="AI374" i="38" s="1"/>
  <c r="AN351" i="38"/>
  <c r="AO351" i="38" s="1"/>
  <c r="V358" i="38"/>
  <c r="W358" i="38" s="1"/>
  <c r="AH375" i="38"/>
  <c r="AI375" i="38" s="1"/>
  <c r="V369" i="38"/>
  <c r="W369" i="38" s="1"/>
  <c r="AH368" i="38"/>
  <c r="AI368" i="38" s="1"/>
  <c r="AB361" i="38"/>
  <c r="AC361" i="38" s="1"/>
  <c r="V345" i="38"/>
  <c r="W345" i="38" s="1"/>
  <c r="AH347" i="38"/>
  <c r="AI347" i="38" s="1"/>
  <c r="AH322" i="38"/>
  <c r="AI322" i="38" s="1"/>
  <c r="AB277" i="38"/>
  <c r="AC277" i="38" s="1"/>
  <c r="AH110" i="38"/>
  <c r="AI110" i="38" s="1"/>
  <c r="AE334" i="38"/>
  <c r="AF334" i="38" s="1"/>
  <c r="AG334" i="38" s="1"/>
  <c r="AN294" i="38"/>
  <c r="AO294" i="38" s="1"/>
  <c r="V224" i="38"/>
  <c r="W224" i="38" s="1"/>
  <c r="V112" i="38"/>
  <c r="W112" i="38" s="1"/>
  <c r="AK81" i="38"/>
  <c r="AL81" i="38" s="1"/>
  <c r="AM81" i="38" s="1"/>
  <c r="S81" i="38"/>
  <c r="T81" i="38" s="1"/>
  <c r="U81" i="38" s="1"/>
  <c r="Y81" i="38"/>
  <c r="Z81" i="38" s="1"/>
  <c r="AA81" i="38" s="1"/>
  <c r="AE81" i="38"/>
  <c r="AF81" i="38" s="1"/>
  <c r="AG81" i="38" s="1"/>
  <c r="AB70" i="38"/>
  <c r="AC70" i="38" s="1"/>
  <c r="AE372" i="38"/>
  <c r="AF372" i="38" s="1"/>
  <c r="AG372" i="38" s="1"/>
  <c r="AE366" i="38"/>
  <c r="AF366" i="38" s="1"/>
  <c r="AG366" i="38" s="1"/>
  <c r="Y363" i="38"/>
  <c r="Z363" i="38" s="1"/>
  <c r="AA363" i="38" s="1"/>
  <c r="Y359" i="38"/>
  <c r="Z359" i="38" s="1"/>
  <c r="AA359" i="38" s="1"/>
  <c r="AE355" i="38"/>
  <c r="AF355" i="38" s="1"/>
  <c r="AG355" i="38" s="1"/>
  <c r="Y353" i="38"/>
  <c r="Z353" i="38" s="1"/>
  <c r="AA353" i="38" s="1"/>
  <c r="Y347" i="38"/>
  <c r="Z347" i="38" s="1"/>
  <c r="AA347" i="38" s="1"/>
  <c r="AK343" i="38"/>
  <c r="AL343" i="38" s="1"/>
  <c r="AM343" i="38" s="1"/>
  <c r="AK342" i="38"/>
  <c r="AL342" i="38" s="1"/>
  <c r="AM342" i="38" s="1"/>
  <c r="AE329" i="38"/>
  <c r="AF329" i="38" s="1"/>
  <c r="Y328" i="38"/>
  <c r="Z328" i="38" s="1"/>
  <c r="AA328" i="38" s="1"/>
  <c r="AH315" i="38"/>
  <c r="AI315" i="38" s="1"/>
  <c r="AN309" i="38"/>
  <c r="AO309" i="38" s="1"/>
  <c r="V309" i="38"/>
  <c r="W309" i="38" s="1"/>
  <c r="AN288" i="38"/>
  <c r="AO288" i="38" s="1"/>
  <c r="Y274" i="38"/>
  <c r="Z274" i="38" s="1"/>
  <c r="AA274" i="38" s="1"/>
  <c r="S274" i="38"/>
  <c r="T274" i="38" s="1"/>
  <c r="U274" i="38" s="1"/>
  <c r="AE274" i="38"/>
  <c r="AF274" i="38" s="1"/>
  <c r="AG274" i="38" s="1"/>
  <c r="AN242" i="38"/>
  <c r="AO242" i="38" s="1"/>
  <c r="S160" i="38"/>
  <c r="T160" i="38" s="1"/>
  <c r="U160" i="38" s="1"/>
  <c r="AR160" i="38" s="1"/>
  <c r="AE160" i="38"/>
  <c r="AF160" i="38" s="1"/>
  <c r="AG160" i="38" s="1"/>
  <c r="AK160" i="38"/>
  <c r="AL160" i="38" s="1"/>
  <c r="AM160" i="38" s="1"/>
  <c r="Y160" i="38"/>
  <c r="Z160" i="38" s="1"/>
  <c r="AA160" i="38" s="1"/>
  <c r="V289" i="38"/>
  <c r="W289" i="38" s="1"/>
  <c r="V283" i="38"/>
  <c r="W283" i="38" s="1"/>
  <c r="Y282" i="38"/>
  <c r="Z282" i="38" s="1"/>
  <c r="AA282" i="38" s="1"/>
  <c r="AE282" i="38"/>
  <c r="AF282" i="38" s="1"/>
  <c r="AG282" i="38" s="1"/>
  <c r="AN316" i="38"/>
  <c r="AO316" i="38" s="1"/>
  <c r="AK310" i="38"/>
  <c r="AL310" i="38" s="1"/>
  <c r="Y310" i="38"/>
  <c r="Z310" i="38" s="1"/>
  <c r="AB297" i="38"/>
  <c r="AC297" i="38" s="1"/>
  <c r="V291" i="38"/>
  <c r="W291" i="38" s="1"/>
  <c r="AE289" i="38"/>
  <c r="AF289" i="38" s="1"/>
  <c r="AG289" i="38" s="1"/>
  <c r="Y289" i="38"/>
  <c r="Z289" i="38" s="1"/>
  <c r="AA289" i="38" s="1"/>
  <c r="AR289" i="38" s="1"/>
  <c r="AK289" i="38"/>
  <c r="AL289" i="38" s="1"/>
  <c r="AM289" i="38" s="1"/>
  <c r="AK151" i="38"/>
  <c r="AL151" i="38" s="1"/>
  <c r="AM151" i="38" s="1"/>
  <c r="Y151" i="38"/>
  <c r="Z151" i="38" s="1"/>
  <c r="AA151" i="38" s="1"/>
  <c r="AE151" i="38"/>
  <c r="AF151" i="38" s="1"/>
  <c r="AG151" i="38" s="1"/>
  <c r="S151" i="38"/>
  <c r="T151" i="38" s="1"/>
  <c r="U151" i="38" s="1"/>
  <c r="Y375" i="38"/>
  <c r="Z375" i="38" s="1"/>
  <c r="AA375" i="38" s="1"/>
  <c r="Y369" i="38"/>
  <c r="Z369" i="38" s="1"/>
  <c r="AA369" i="38" s="1"/>
  <c r="AE361" i="38"/>
  <c r="AF361" i="38" s="1"/>
  <c r="AG361" i="38" s="1"/>
  <c r="S359" i="38"/>
  <c r="T359" i="38" s="1"/>
  <c r="U359" i="38" s="1"/>
  <c r="Y358" i="38"/>
  <c r="Z358" i="38" s="1"/>
  <c r="AA358" i="38" s="1"/>
  <c r="AB354" i="38"/>
  <c r="AC354" i="38" s="1"/>
  <c r="S353" i="38"/>
  <c r="T353" i="38" s="1"/>
  <c r="U353" i="38" s="1"/>
  <c r="Y352" i="38"/>
  <c r="Z352" i="38" s="1"/>
  <c r="AA352" i="38" s="1"/>
  <c r="S347" i="38"/>
  <c r="T347" i="38" s="1"/>
  <c r="U347" i="38" s="1"/>
  <c r="AR347" i="38" s="1"/>
  <c r="AH345" i="38"/>
  <c r="AI345" i="38" s="1"/>
  <c r="AE343" i="38"/>
  <c r="AF343" i="38" s="1"/>
  <c r="AG343" i="38" s="1"/>
  <c r="S342" i="38"/>
  <c r="T342" i="38" s="1"/>
  <c r="U342" i="38" s="1"/>
  <c r="S329" i="38"/>
  <c r="T329" i="38" s="1"/>
  <c r="S328" i="38"/>
  <c r="T328" i="38" s="1"/>
  <c r="U328" i="38" s="1"/>
  <c r="Y323" i="38"/>
  <c r="Z323" i="38" s="1"/>
  <c r="AA323" i="38" s="1"/>
  <c r="AE323" i="38"/>
  <c r="AF323" i="38" s="1"/>
  <c r="AG323" i="38" s="1"/>
  <c r="S304" i="38"/>
  <c r="T304" i="38" s="1"/>
  <c r="U304" i="38" s="1"/>
  <c r="AR304" i="38" s="1"/>
  <c r="AK304" i="38"/>
  <c r="AL304" i="38" s="1"/>
  <c r="AM304" i="38" s="1"/>
  <c r="Y304" i="38"/>
  <c r="Z304" i="38" s="1"/>
  <c r="AA304" i="38" s="1"/>
  <c r="AB303" i="38"/>
  <c r="AC303" i="38" s="1"/>
  <c r="V297" i="38"/>
  <c r="W297" i="38" s="1"/>
  <c r="AK282" i="38"/>
  <c r="AL282" i="38" s="1"/>
  <c r="AM282" i="38" s="1"/>
  <c r="AK277" i="38"/>
  <c r="AL277" i="38" s="1"/>
  <c r="AM277" i="38" s="1"/>
  <c r="AH247" i="38"/>
  <c r="AI247" i="38" s="1"/>
  <c r="AH193" i="38"/>
  <c r="AI193" i="38" s="1"/>
  <c r="S155" i="38"/>
  <c r="T155" i="38" s="1"/>
  <c r="Y155" i="38"/>
  <c r="Z155" i="38" s="1"/>
  <c r="AA155" i="38" s="1"/>
  <c r="AE155" i="38"/>
  <c r="AF155" i="38" s="1"/>
  <c r="AG155" i="38" s="1"/>
  <c r="AE285" i="38"/>
  <c r="AF285" i="38" s="1"/>
  <c r="AG285" i="38" s="1"/>
  <c r="Y285" i="38"/>
  <c r="Z285" i="38" s="1"/>
  <c r="AA285" i="38" s="1"/>
  <c r="AK285" i="38"/>
  <c r="AL285" i="38" s="1"/>
  <c r="AM285" i="38" s="1"/>
  <c r="AE369" i="38"/>
  <c r="AF369" i="38" s="1"/>
  <c r="AG369" i="38" s="1"/>
  <c r="AK375" i="38"/>
  <c r="AL375" i="38" s="1"/>
  <c r="AM375" i="38" s="1"/>
  <c r="Y355" i="38"/>
  <c r="Z355" i="38" s="1"/>
  <c r="AA355" i="38" s="1"/>
  <c r="Y343" i="38"/>
  <c r="Z343" i="38" s="1"/>
  <c r="AA343" i="38" s="1"/>
  <c r="AR343" i="38" s="1"/>
  <c r="AK339" i="38"/>
  <c r="AL339" i="38" s="1"/>
  <c r="AM339" i="38" s="1"/>
  <c r="Y337" i="38"/>
  <c r="Z337" i="38" s="1"/>
  <c r="AA337" i="38" s="1"/>
  <c r="AR337" i="38" s="1"/>
  <c r="AE337" i="38"/>
  <c r="AF337" i="38" s="1"/>
  <c r="AG337" i="38" s="1"/>
  <c r="AK337" i="38"/>
  <c r="AL337" i="38" s="1"/>
  <c r="AM337" i="38" s="1"/>
  <c r="V327" i="38"/>
  <c r="W327" i="38" s="1"/>
  <c r="V325" i="38"/>
  <c r="W325" i="38" s="1"/>
  <c r="AE310" i="38"/>
  <c r="AF310" i="38" s="1"/>
  <c r="AG310" i="38" s="1"/>
  <c r="V303" i="38"/>
  <c r="W303" i="38" s="1"/>
  <c r="AB295" i="38"/>
  <c r="AC295" i="38" s="1"/>
  <c r="AE277" i="38"/>
  <c r="AF277" i="38" s="1"/>
  <c r="AG277" i="38" s="1"/>
  <c r="AN166" i="38"/>
  <c r="AO166" i="38" s="1"/>
  <c r="V124" i="38"/>
  <c r="W124" i="38" s="1"/>
  <c r="S121" i="38"/>
  <c r="T121" i="38" s="1"/>
  <c r="U121" i="38" s="1"/>
  <c r="Y121" i="38"/>
  <c r="Z121" i="38" s="1"/>
  <c r="AA121" i="38" s="1"/>
  <c r="AE121" i="38"/>
  <c r="AF121" i="38" s="1"/>
  <c r="AG121" i="38" s="1"/>
  <c r="AK121" i="38"/>
  <c r="AL121" i="38" s="1"/>
  <c r="AM121" i="38" s="1"/>
  <c r="AE317" i="38"/>
  <c r="AF317" i="38" s="1"/>
  <c r="AG317" i="38" s="1"/>
  <c r="AK317" i="38"/>
  <c r="AL317" i="38" s="1"/>
  <c r="AM317" i="38" s="1"/>
  <c r="AE142" i="38"/>
  <c r="AF142" i="38" s="1"/>
  <c r="AG142" i="38" s="1"/>
  <c r="Y142" i="38"/>
  <c r="Z142" i="38" s="1"/>
  <c r="AA142" i="38" s="1"/>
  <c r="AK142" i="38"/>
  <c r="AL142" i="38" s="1"/>
  <c r="AM142" i="38" s="1"/>
  <c r="S142" i="38"/>
  <c r="T142" i="38" s="1"/>
  <c r="U142" i="38" s="1"/>
  <c r="AR142" i="38" s="1"/>
  <c r="AK361" i="38"/>
  <c r="AL361" i="38" s="1"/>
  <c r="AM361" i="38" s="1"/>
  <c r="AN333" i="38"/>
  <c r="AO333" i="38" s="1"/>
  <c r="AK358" i="38"/>
  <c r="AL358" i="38" s="1"/>
  <c r="AM358" i="38" s="1"/>
  <c r="AK352" i="38"/>
  <c r="AL352" i="38" s="1"/>
  <c r="AM352" i="38" s="1"/>
  <c r="AN345" i="38"/>
  <c r="AO345" i="38" s="1"/>
  <c r="AK334" i="38"/>
  <c r="AL334" i="38" s="1"/>
  <c r="AM334" i="38" s="1"/>
  <c r="S334" i="38"/>
  <c r="T334" i="38" s="1"/>
  <c r="U334" i="38" s="1"/>
  <c r="AB333" i="38"/>
  <c r="AC333" i="38" s="1"/>
  <c r="AK328" i="38"/>
  <c r="AL328" i="38" s="1"/>
  <c r="AM328" i="38" s="1"/>
  <c r="AN327" i="38"/>
  <c r="AO327" i="38" s="1"/>
  <c r="Y325" i="38"/>
  <c r="Z325" i="38" s="1"/>
  <c r="AA325" i="38" s="1"/>
  <c r="AE325" i="38"/>
  <c r="AF325" i="38" s="1"/>
  <c r="AG325" i="38" s="1"/>
  <c r="S317" i="38"/>
  <c r="T317" i="38" s="1"/>
  <c r="U317" i="38" s="1"/>
  <c r="Y312" i="38"/>
  <c r="Z312" i="38" s="1"/>
  <c r="AA312" i="38" s="1"/>
  <c r="Y300" i="38"/>
  <c r="Z300" i="38" s="1"/>
  <c r="AA300" i="38" s="1"/>
  <c r="AR300" i="38" s="1"/>
  <c r="AE300" i="38"/>
  <c r="AF300" i="38" s="1"/>
  <c r="AG300" i="38" s="1"/>
  <c r="AK300" i="38"/>
  <c r="AL300" i="38" s="1"/>
  <c r="AM300" i="38" s="1"/>
  <c r="V295" i="38"/>
  <c r="W295" i="38" s="1"/>
  <c r="AB291" i="38"/>
  <c r="AC291" i="38" s="1"/>
  <c r="S285" i="38"/>
  <c r="T285" i="38" s="1"/>
  <c r="U285" i="38" s="1"/>
  <c r="AR285" i="38" s="1"/>
  <c r="S282" i="38"/>
  <c r="T282" i="38" s="1"/>
  <c r="U282" i="38" s="1"/>
  <c r="AR282" i="38" s="1"/>
  <c r="S277" i="38"/>
  <c r="T277" i="38" s="1"/>
  <c r="U277" i="38" s="1"/>
  <c r="AB276" i="38"/>
  <c r="AC276" i="38" s="1"/>
  <c r="AK256" i="38"/>
  <c r="AL256" i="38" s="1"/>
  <c r="AM256" i="38" s="1"/>
  <c r="Y256" i="38"/>
  <c r="Z256" i="38" s="1"/>
  <c r="AA256" i="38" s="1"/>
  <c r="S256" i="38"/>
  <c r="T256" i="38" s="1"/>
  <c r="U256" i="38" s="1"/>
  <c r="Y220" i="38"/>
  <c r="Z220" i="38" s="1"/>
  <c r="AA220" i="38" s="1"/>
  <c r="AE220" i="38"/>
  <c r="AF220" i="38" s="1"/>
  <c r="AG220" i="38" s="1"/>
  <c r="S220" i="38"/>
  <c r="T220" i="38" s="1"/>
  <c r="U220" i="38" s="1"/>
  <c r="AK220" i="38"/>
  <c r="AL220" i="38" s="1"/>
  <c r="AM220" i="38" s="1"/>
  <c r="S208" i="38"/>
  <c r="T208" i="38" s="1"/>
  <c r="U208" i="38" s="1"/>
  <c r="Y208" i="38"/>
  <c r="Z208" i="38" s="1"/>
  <c r="AA208" i="38" s="1"/>
  <c r="AE208" i="38"/>
  <c r="AF208" i="38" s="1"/>
  <c r="AG208" i="38" s="1"/>
  <c r="S202" i="38"/>
  <c r="T202" i="38" s="1"/>
  <c r="U202" i="38" s="1"/>
  <c r="Y202" i="38"/>
  <c r="Z202" i="38" s="1"/>
  <c r="AA202" i="38" s="1"/>
  <c r="AE202" i="38"/>
  <c r="AF202" i="38" s="1"/>
  <c r="AG202" i="38" s="1"/>
  <c r="Y128" i="38"/>
  <c r="Z128" i="38" s="1"/>
  <c r="AA128" i="38" s="1"/>
  <c r="S128" i="38"/>
  <c r="T128" i="38" s="1"/>
  <c r="U128" i="38" s="1"/>
  <c r="AB82" i="38"/>
  <c r="AC82" i="38" s="1"/>
  <c r="V78" i="38"/>
  <c r="W78" i="38" s="1"/>
  <c r="AB61" i="38"/>
  <c r="AC61" i="38" s="1"/>
  <c r="Y288" i="38"/>
  <c r="Z288" i="38" s="1"/>
  <c r="AA288" i="38" s="1"/>
  <c r="AR288" i="38" s="1"/>
  <c r="Y279" i="38"/>
  <c r="Z279" i="38" s="1"/>
  <c r="AA279" i="38" s="1"/>
  <c r="AR279" i="38" s="1"/>
  <c r="AE278" i="38"/>
  <c r="AF278" i="38" s="1"/>
  <c r="AG278" i="38" s="1"/>
  <c r="Y270" i="38"/>
  <c r="Z270" i="38" s="1"/>
  <c r="AA270" i="38" s="1"/>
  <c r="AE267" i="38"/>
  <c r="AF267" i="38" s="1"/>
  <c r="AG267" i="38" s="1"/>
  <c r="S267" i="38"/>
  <c r="T267" i="38" s="1"/>
  <c r="Y267" i="38"/>
  <c r="Z267" i="38" s="1"/>
  <c r="AA267" i="38" s="1"/>
  <c r="AK267" i="38"/>
  <c r="AL267" i="38" s="1"/>
  <c r="AM267" i="38" s="1"/>
  <c r="AE261" i="38"/>
  <c r="AF261" i="38" s="1"/>
  <c r="AG261" i="38" s="1"/>
  <c r="S261" i="38"/>
  <c r="T261" i="38" s="1"/>
  <c r="Y261" i="38"/>
  <c r="Z261" i="38" s="1"/>
  <c r="AA261" i="38" s="1"/>
  <c r="Y253" i="38"/>
  <c r="Z253" i="38" s="1"/>
  <c r="AA253" i="38" s="1"/>
  <c r="S247" i="38"/>
  <c r="T247" i="38" s="1"/>
  <c r="Y247" i="38"/>
  <c r="Z247" i="38" s="1"/>
  <c r="AA247" i="38" s="1"/>
  <c r="AK237" i="38"/>
  <c r="AL237" i="38" s="1"/>
  <c r="AM237" i="38" s="1"/>
  <c r="Y224" i="38"/>
  <c r="Z224" i="38" s="1"/>
  <c r="AA224" i="38" s="1"/>
  <c r="Y199" i="38"/>
  <c r="Z199" i="38" s="1"/>
  <c r="AA199" i="38" s="1"/>
  <c r="AK183" i="38"/>
  <c r="AL183" i="38" s="1"/>
  <c r="AM183" i="38" s="1"/>
  <c r="Y176" i="38"/>
  <c r="Z176" i="38" s="1"/>
  <c r="AE176" i="38"/>
  <c r="AF176" i="38" s="1"/>
  <c r="AH172" i="38"/>
  <c r="AI172" i="38" s="1"/>
  <c r="Y170" i="38"/>
  <c r="Z170" i="38" s="1"/>
  <c r="AE170" i="38"/>
  <c r="AF170" i="38" s="1"/>
  <c r="AK170" i="38"/>
  <c r="AL170" i="38" s="1"/>
  <c r="AB166" i="38"/>
  <c r="AC166" i="38" s="1"/>
  <c r="AB127" i="38"/>
  <c r="AC127" i="38" s="1"/>
  <c r="S88" i="38"/>
  <c r="T88" i="38" s="1"/>
  <c r="U88" i="38" s="1"/>
  <c r="AR88" i="38" s="1"/>
  <c r="Y88" i="38"/>
  <c r="Z88" i="38" s="1"/>
  <c r="AA88" i="38" s="1"/>
  <c r="AE88" i="38"/>
  <c r="AF88" i="38" s="1"/>
  <c r="AG88" i="38" s="1"/>
  <c r="AK88" i="38"/>
  <c r="AL88" i="38" s="1"/>
  <c r="AM88" i="38" s="1"/>
  <c r="S80" i="38"/>
  <c r="T80" i="38" s="1"/>
  <c r="U80" i="38" s="1"/>
  <c r="AE80" i="38"/>
  <c r="AF80" i="38" s="1"/>
  <c r="AG80" i="38" s="1"/>
  <c r="Y80" i="38"/>
  <c r="Z80" i="38" s="1"/>
  <c r="AA80" i="38" s="1"/>
  <c r="AK80" i="38"/>
  <c r="AL80" i="38" s="1"/>
  <c r="AM80" i="38" s="1"/>
  <c r="AN35" i="38"/>
  <c r="AO35" i="38" s="1"/>
  <c r="AE327" i="38"/>
  <c r="AF327" i="38" s="1"/>
  <c r="AG327" i="38" s="1"/>
  <c r="AE321" i="38"/>
  <c r="AF321" i="38" s="1"/>
  <c r="AG321" i="38" s="1"/>
  <c r="AK303" i="38"/>
  <c r="AL303" i="38" s="1"/>
  <c r="AM303" i="38" s="1"/>
  <c r="Y280" i="38"/>
  <c r="Z280" i="38" s="1"/>
  <c r="AA280" i="38" s="1"/>
  <c r="Y273" i="38"/>
  <c r="Z273" i="38" s="1"/>
  <c r="AA273" i="38" s="1"/>
  <c r="AR273" i="38" s="1"/>
  <c r="AK273" i="38"/>
  <c r="AL273" i="38" s="1"/>
  <c r="AM273" i="38" s="1"/>
  <c r="AK270" i="38"/>
  <c r="AL270" i="38" s="1"/>
  <c r="AM270" i="38" s="1"/>
  <c r="V269" i="38"/>
  <c r="W269" i="38" s="1"/>
  <c r="AE255" i="38"/>
  <c r="AF255" i="38" s="1"/>
  <c r="AG255" i="38" s="1"/>
  <c r="S255" i="38"/>
  <c r="T255" i="38" s="1"/>
  <c r="Y255" i="38"/>
  <c r="Z255" i="38" s="1"/>
  <c r="AA255" i="38" s="1"/>
  <c r="S253" i="38"/>
  <c r="T253" i="38" s="1"/>
  <c r="U253" i="38" s="1"/>
  <c r="AR253" i="38" s="1"/>
  <c r="AE249" i="38"/>
  <c r="AF249" i="38" s="1"/>
  <c r="AG249" i="38" s="1"/>
  <c r="AK249" i="38"/>
  <c r="AL249" i="38" s="1"/>
  <c r="AM249" i="38" s="1"/>
  <c r="S249" i="38"/>
  <c r="T249" i="38" s="1"/>
  <c r="AK247" i="38"/>
  <c r="AL247" i="38" s="1"/>
  <c r="AM247" i="38" s="1"/>
  <c r="Y233" i="38"/>
  <c r="Z233" i="38" s="1"/>
  <c r="AA233" i="38" s="1"/>
  <c r="AK233" i="38"/>
  <c r="AL233" i="38" s="1"/>
  <c r="AM233" i="38" s="1"/>
  <c r="S233" i="38"/>
  <c r="T233" i="38" s="1"/>
  <c r="U233" i="38" s="1"/>
  <c r="Y230" i="38"/>
  <c r="Z230" i="38" s="1"/>
  <c r="AA230" i="38" s="1"/>
  <c r="AE230" i="38"/>
  <c r="AF230" i="38" s="1"/>
  <c r="AG230" i="38" s="1"/>
  <c r="Y221" i="38"/>
  <c r="Z221" i="38" s="1"/>
  <c r="AA221" i="38" s="1"/>
  <c r="AR221" i="38" s="1"/>
  <c r="AE221" i="38"/>
  <c r="AF221" i="38" s="1"/>
  <c r="AG221" i="38" s="1"/>
  <c r="AN215" i="38"/>
  <c r="AO215" i="38" s="1"/>
  <c r="AH214" i="38"/>
  <c r="AI214" i="38" s="1"/>
  <c r="S199" i="38"/>
  <c r="T199" i="38" s="1"/>
  <c r="U199" i="38" s="1"/>
  <c r="AR199" i="38" s="1"/>
  <c r="Y145" i="38"/>
  <c r="Z145" i="38" s="1"/>
  <c r="AA145" i="38" s="1"/>
  <c r="AR145" i="38" s="1"/>
  <c r="AE145" i="38"/>
  <c r="AF145" i="38" s="1"/>
  <c r="AG145" i="38" s="1"/>
  <c r="AK145" i="38"/>
  <c r="AL145" i="38" s="1"/>
  <c r="AM145" i="38" s="1"/>
  <c r="V127" i="38"/>
  <c r="W127" i="38" s="1"/>
  <c r="S109" i="38"/>
  <c r="T109" i="38" s="1"/>
  <c r="U109" i="38" s="1"/>
  <c r="Y109" i="38"/>
  <c r="Z109" i="38" s="1"/>
  <c r="AA109" i="38" s="1"/>
  <c r="AE109" i="38"/>
  <c r="AF109" i="38" s="1"/>
  <c r="AG109" i="38" s="1"/>
  <c r="AK109" i="38"/>
  <c r="AL109" i="38" s="1"/>
  <c r="AM109" i="38" s="1"/>
  <c r="S278" i="38"/>
  <c r="T278" i="38" s="1"/>
  <c r="AK265" i="38"/>
  <c r="AL265" i="38" s="1"/>
  <c r="AM265" i="38" s="1"/>
  <c r="S265" i="38"/>
  <c r="T265" i="38" s="1"/>
  <c r="U265" i="38" s="1"/>
  <c r="AE263" i="38"/>
  <c r="AF263" i="38" s="1"/>
  <c r="AG263" i="38" s="1"/>
  <c r="S263" i="38"/>
  <c r="T263" i="38" s="1"/>
  <c r="U263" i="38" s="1"/>
  <c r="Y263" i="38"/>
  <c r="Z263" i="38" s="1"/>
  <c r="AA263" i="38" s="1"/>
  <c r="Y241" i="38"/>
  <c r="Z241" i="38" s="1"/>
  <c r="AE241" i="38"/>
  <c r="AF241" i="38" s="1"/>
  <c r="AG241" i="38" s="1"/>
  <c r="AH217" i="38"/>
  <c r="AI217" i="38" s="1"/>
  <c r="Y189" i="38"/>
  <c r="Z189" i="38" s="1"/>
  <c r="AA189" i="38" s="1"/>
  <c r="AR189" i="38" s="1"/>
  <c r="AE189" i="38"/>
  <c r="AF189" i="38" s="1"/>
  <c r="AG189" i="38" s="1"/>
  <c r="AK189" i="38"/>
  <c r="AL189" i="38" s="1"/>
  <c r="AM189" i="38" s="1"/>
  <c r="AN184" i="38"/>
  <c r="AO184" i="38" s="1"/>
  <c r="Y183" i="38"/>
  <c r="Z183" i="38" s="1"/>
  <c r="AA183" i="38" s="1"/>
  <c r="AR183" i="38" s="1"/>
  <c r="AE183" i="38"/>
  <c r="AF183" i="38" s="1"/>
  <c r="AG183" i="38" s="1"/>
  <c r="Y175" i="38"/>
  <c r="Z175" i="38" s="1"/>
  <c r="AA175" i="38" s="1"/>
  <c r="AR175" i="38" s="1"/>
  <c r="AE175" i="38"/>
  <c r="AF175" i="38" s="1"/>
  <c r="AG175" i="38" s="1"/>
  <c r="AK175" i="38"/>
  <c r="AL175" i="38" s="1"/>
  <c r="AM175" i="38" s="1"/>
  <c r="V172" i="38"/>
  <c r="W172" i="38" s="1"/>
  <c r="AE148" i="38"/>
  <c r="AF148" i="38" s="1"/>
  <c r="AG148" i="38" s="1"/>
  <c r="Y148" i="38"/>
  <c r="Z148" i="38" s="1"/>
  <c r="AA148" i="38" s="1"/>
  <c r="AR148" i="38" s="1"/>
  <c r="AK148" i="38"/>
  <c r="AL148" i="38" s="1"/>
  <c r="AM148" i="38" s="1"/>
  <c r="AE39" i="38"/>
  <c r="AF39" i="38" s="1"/>
  <c r="AG39" i="38" s="1"/>
  <c r="Y39" i="38"/>
  <c r="Z39" i="38" s="1"/>
  <c r="AK39" i="38"/>
  <c r="AL39" i="38" s="1"/>
  <c r="AM39" i="38" s="1"/>
  <c r="V245" i="38"/>
  <c r="W245" i="38" s="1"/>
  <c r="Y237" i="38"/>
  <c r="Z237" i="38" s="1"/>
  <c r="AA237" i="38" s="1"/>
  <c r="S237" i="38"/>
  <c r="T237" i="38" s="1"/>
  <c r="U237" i="38" s="1"/>
  <c r="AR237" i="38" s="1"/>
  <c r="S206" i="38"/>
  <c r="T206" i="38" s="1"/>
  <c r="AE206" i="38"/>
  <c r="AF206" i="38" s="1"/>
  <c r="AG206" i="38" s="1"/>
  <c r="S200" i="38"/>
  <c r="T200" i="38" s="1"/>
  <c r="U200" i="38" s="1"/>
  <c r="AE200" i="38"/>
  <c r="AF200" i="38" s="1"/>
  <c r="AG200" i="38" s="1"/>
  <c r="Y195" i="38"/>
  <c r="Z195" i="38" s="1"/>
  <c r="AA195" i="38" s="1"/>
  <c r="AR195" i="38" s="1"/>
  <c r="AE195" i="38"/>
  <c r="AF195" i="38" s="1"/>
  <c r="AG195" i="38" s="1"/>
  <c r="AK195" i="38"/>
  <c r="AL195" i="38" s="1"/>
  <c r="AM195" i="38" s="1"/>
  <c r="AN137" i="38"/>
  <c r="AO137" i="38" s="1"/>
  <c r="AE113" i="38"/>
  <c r="AF113" i="38" s="1"/>
  <c r="AG113" i="38" s="1"/>
  <c r="Y113" i="38"/>
  <c r="Z113" i="38" s="1"/>
  <c r="AA113" i="38" s="1"/>
  <c r="AK113" i="38"/>
  <c r="AL113" i="38" s="1"/>
  <c r="AM113" i="38" s="1"/>
  <c r="AE78" i="38"/>
  <c r="AF78" i="38" s="1"/>
  <c r="AG78" i="38" s="1"/>
  <c r="Y78" i="38"/>
  <c r="Z78" i="38" s="1"/>
  <c r="AA78" i="38" s="1"/>
  <c r="AK78" i="38"/>
  <c r="AL78" i="38" s="1"/>
  <c r="AN72" i="38"/>
  <c r="AO72" i="38" s="1"/>
  <c r="AB64" i="38"/>
  <c r="AC64" i="38" s="1"/>
  <c r="Y122" i="38"/>
  <c r="Z122" i="38" s="1"/>
  <c r="AA122" i="38" s="1"/>
  <c r="S122" i="38"/>
  <c r="T122" i="38" s="1"/>
  <c r="U122" i="38" s="1"/>
  <c r="V118" i="38"/>
  <c r="W118" i="38" s="1"/>
  <c r="AB86" i="38"/>
  <c r="AC86" i="38" s="1"/>
  <c r="AB74" i="38"/>
  <c r="AC74" i="38" s="1"/>
  <c r="AK64" i="38"/>
  <c r="AL64" i="38" s="1"/>
  <c r="AM64" i="38" s="1"/>
  <c r="AE64" i="38"/>
  <c r="AF64" i="38" s="1"/>
  <c r="AG64" i="38" s="1"/>
  <c r="V58" i="38"/>
  <c r="W58" i="38" s="1"/>
  <c r="AK51" i="38"/>
  <c r="AL51" i="38" s="1"/>
  <c r="AM51" i="38" s="1"/>
  <c r="Y51" i="38"/>
  <c r="Z51" i="38" s="1"/>
  <c r="AA51" i="38" s="1"/>
  <c r="AE51" i="38"/>
  <c r="AF51" i="38" s="1"/>
  <c r="AG51" i="38" s="1"/>
  <c r="S51" i="38"/>
  <c r="T51" i="38" s="1"/>
  <c r="U51" i="38" s="1"/>
  <c r="AH22" i="38"/>
  <c r="AI22" i="38" s="1"/>
  <c r="S213" i="38"/>
  <c r="T213" i="38" s="1"/>
  <c r="U213" i="38" s="1"/>
  <c r="AR213" i="38" s="1"/>
  <c r="S207" i="38"/>
  <c r="T207" i="38" s="1"/>
  <c r="U207" i="38" s="1"/>
  <c r="AR207" i="38" s="1"/>
  <c r="S201" i="38"/>
  <c r="T201" i="38" s="1"/>
  <c r="U201" i="38" s="1"/>
  <c r="AR201" i="38" s="1"/>
  <c r="AH196" i="38"/>
  <c r="AI196" i="38" s="1"/>
  <c r="S190" i="38"/>
  <c r="T190" i="38" s="1"/>
  <c r="U190" i="38" s="1"/>
  <c r="AE182" i="38"/>
  <c r="AF182" i="38" s="1"/>
  <c r="AG182" i="38" s="1"/>
  <c r="S178" i="38"/>
  <c r="T178" i="38" s="1"/>
  <c r="U178" i="38" s="1"/>
  <c r="AR178" i="38" s="1"/>
  <c r="S166" i="38"/>
  <c r="T166" i="38" s="1"/>
  <c r="U166" i="38" s="1"/>
  <c r="AR166" i="38" s="1"/>
  <c r="S133" i="38"/>
  <c r="T133" i="38" s="1"/>
  <c r="U133" i="38" s="1"/>
  <c r="AR133" i="38" s="1"/>
  <c r="Y98" i="38"/>
  <c r="Z98" i="38" s="1"/>
  <c r="AA98" i="38" s="1"/>
  <c r="V82" i="38"/>
  <c r="W82" i="38" s="1"/>
  <c r="AK66" i="38"/>
  <c r="AL66" i="38" s="1"/>
  <c r="AM66" i="38" s="1"/>
  <c r="Y66" i="38"/>
  <c r="Z66" i="38" s="1"/>
  <c r="AA66" i="38" s="1"/>
  <c r="S66" i="38"/>
  <c r="T66" i="38" s="1"/>
  <c r="U66" i="38" s="1"/>
  <c r="AN172" i="38"/>
  <c r="AO172" i="38" s="1"/>
  <c r="S159" i="38"/>
  <c r="T159" i="38" s="1"/>
  <c r="U159" i="38" s="1"/>
  <c r="Y159" i="38"/>
  <c r="Z159" i="38" s="1"/>
  <c r="AA159" i="38" s="1"/>
  <c r="S146" i="38"/>
  <c r="T146" i="38" s="1"/>
  <c r="U146" i="38" s="1"/>
  <c r="AE146" i="38"/>
  <c r="AF146" i="38" s="1"/>
  <c r="AG146" i="38" s="1"/>
  <c r="AN118" i="38"/>
  <c r="AO118" i="38" s="1"/>
  <c r="S106" i="38"/>
  <c r="T106" i="38" s="1"/>
  <c r="U106" i="38" s="1"/>
  <c r="AR106" i="38" s="1"/>
  <c r="AK106" i="38"/>
  <c r="AL106" i="38" s="1"/>
  <c r="AM106" i="38" s="1"/>
  <c r="V98" i="38"/>
  <c r="W98" i="38" s="1"/>
  <c r="AH57" i="38"/>
  <c r="AI57" i="38" s="1"/>
  <c r="AK22" i="38"/>
  <c r="AL22" i="38" s="1"/>
  <c r="AM22" i="38" s="1"/>
  <c r="Y22" i="38"/>
  <c r="Z22" i="38" s="1"/>
  <c r="AA22" i="38" s="1"/>
  <c r="S22" i="38"/>
  <c r="T22" i="38" s="1"/>
  <c r="U22" i="38" s="1"/>
  <c r="AR22" i="38" s="1"/>
  <c r="AK190" i="38"/>
  <c r="AL190" i="38" s="1"/>
  <c r="AM190" i="38" s="1"/>
  <c r="Y184" i="38"/>
  <c r="Z184" i="38" s="1"/>
  <c r="AA184" i="38" s="1"/>
  <c r="AR184" i="38" s="1"/>
  <c r="AE184" i="38"/>
  <c r="AF184" i="38" s="1"/>
  <c r="AG184" i="38" s="1"/>
  <c r="AK122" i="38"/>
  <c r="AL122" i="38" s="1"/>
  <c r="AM122" i="38" s="1"/>
  <c r="AE107" i="38"/>
  <c r="AF107" i="38" s="1"/>
  <c r="AG107" i="38" s="1"/>
  <c r="Y107" i="38"/>
  <c r="Z107" i="38" s="1"/>
  <c r="AA107" i="38" s="1"/>
  <c r="AK77" i="38"/>
  <c r="AL77" i="38" s="1"/>
  <c r="AM77" i="38" s="1"/>
  <c r="AE77" i="38"/>
  <c r="AF77" i="38" s="1"/>
  <c r="AG77" i="38" s="1"/>
  <c r="Y115" i="38"/>
  <c r="Z115" i="38" s="1"/>
  <c r="AA115" i="38" s="1"/>
  <c r="AR115" i="38" s="1"/>
  <c r="AB110" i="38"/>
  <c r="AC110" i="38" s="1"/>
  <c r="AE96" i="38"/>
  <c r="AF96" i="38" s="1"/>
  <c r="Y89" i="38"/>
  <c r="Z89" i="38" s="1"/>
  <c r="AA89" i="38" s="1"/>
  <c r="Y87" i="38"/>
  <c r="Z87" i="38" s="1"/>
  <c r="AA87" i="38" s="1"/>
  <c r="Y83" i="38"/>
  <c r="Z83" i="38" s="1"/>
  <c r="AA83" i="38" s="1"/>
  <c r="S63" i="38"/>
  <c r="T63" i="38" s="1"/>
  <c r="U63" i="38" s="1"/>
  <c r="Y63" i="38"/>
  <c r="Z63" i="38" s="1"/>
  <c r="AA63" i="38" s="1"/>
  <c r="AE63" i="38"/>
  <c r="AF63" i="38" s="1"/>
  <c r="AG63" i="38" s="1"/>
  <c r="Y58" i="38"/>
  <c r="Z58" i="38" s="1"/>
  <c r="AA58" i="38" s="1"/>
  <c r="AE58" i="38"/>
  <c r="AF58" i="38" s="1"/>
  <c r="AG58" i="38" s="1"/>
  <c r="AK129" i="38"/>
  <c r="AL129" i="38" s="1"/>
  <c r="AM129" i="38" s="1"/>
  <c r="AE116" i="38"/>
  <c r="AF116" i="38" s="1"/>
  <c r="S110" i="38"/>
  <c r="T110" i="38" s="1"/>
  <c r="U110" i="38" s="1"/>
  <c r="AE104" i="38"/>
  <c r="AF104" i="38" s="1"/>
  <c r="AG104" i="38" s="1"/>
  <c r="AE93" i="38"/>
  <c r="AF93" i="38" s="1"/>
  <c r="AG93" i="38" s="1"/>
  <c r="S89" i="38"/>
  <c r="T89" i="38" s="1"/>
  <c r="U89" i="38" s="1"/>
  <c r="S87" i="38"/>
  <c r="T87" i="38" s="1"/>
  <c r="U87" i="38" s="1"/>
  <c r="S83" i="38"/>
  <c r="T83" i="38" s="1"/>
  <c r="U83" i="38" s="1"/>
  <c r="AE75" i="38"/>
  <c r="AF75" i="38" s="1"/>
  <c r="AG75" i="38" s="1"/>
  <c r="AB72" i="38"/>
  <c r="AC72" i="38" s="1"/>
  <c r="Y71" i="38"/>
  <c r="Z71" i="38" s="1"/>
  <c r="AA71" i="38" s="1"/>
  <c r="AE71" i="38"/>
  <c r="AF71" i="38" s="1"/>
  <c r="AG71" i="38" s="1"/>
  <c r="Y54" i="38"/>
  <c r="Z54" i="38" s="1"/>
  <c r="AA54" i="38" s="1"/>
  <c r="AE54" i="38"/>
  <c r="AF54" i="38" s="1"/>
  <c r="AG54" i="38" s="1"/>
  <c r="S54" i="38"/>
  <c r="T54" i="38" s="1"/>
  <c r="U54" i="38" s="1"/>
  <c r="AR54" i="38" s="1"/>
  <c r="V35" i="38"/>
  <c r="W35" i="38" s="1"/>
  <c r="Y31" i="38"/>
  <c r="Z31" i="38" s="1"/>
  <c r="AA31" i="38" s="1"/>
  <c r="AK25" i="38"/>
  <c r="AL25" i="38" s="1"/>
  <c r="AM25" i="38" s="1"/>
  <c r="Y23" i="38"/>
  <c r="Z23" i="38" s="1"/>
  <c r="S70" i="38"/>
  <c r="T70" i="38" s="1"/>
  <c r="AE70" i="38"/>
  <c r="AF70" i="38" s="1"/>
  <c r="AG70" i="38" s="1"/>
  <c r="AK47" i="38"/>
  <c r="AL47" i="38" s="1"/>
  <c r="AM47" i="38" s="1"/>
  <c r="Y47" i="38"/>
  <c r="Z47" i="38" s="1"/>
  <c r="AE47" i="38"/>
  <c r="AF47" i="38" s="1"/>
  <c r="AG47" i="38" s="1"/>
  <c r="S47" i="38"/>
  <c r="T47" i="38" s="1"/>
  <c r="U47" i="38" s="1"/>
  <c r="S36" i="38"/>
  <c r="T36" i="38" s="1"/>
  <c r="U36" i="38" s="1"/>
  <c r="AE36" i="38"/>
  <c r="AF36" i="38" s="1"/>
  <c r="AG36" i="38" s="1"/>
  <c r="Y36" i="38"/>
  <c r="Z36" i="38" s="1"/>
  <c r="AA36" i="38" s="1"/>
  <c r="AN28" i="38"/>
  <c r="AO28" i="38" s="1"/>
  <c r="Y52" i="38"/>
  <c r="Z52" i="38" s="1"/>
  <c r="AA52" i="38" s="1"/>
  <c r="AE30" i="38"/>
  <c r="AF30" i="38" s="1"/>
  <c r="Y57" i="38"/>
  <c r="Z57" i="38" s="1"/>
  <c r="AA57" i="38" s="1"/>
  <c r="AR57" i="38" s="1"/>
  <c r="Y42" i="38"/>
  <c r="Z42" i="38" s="1"/>
  <c r="AA42" i="38" s="1"/>
  <c r="AR42" i="38" s="1"/>
  <c r="Y20" i="38"/>
  <c r="Z20" i="38" s="1"/>
  <c r="AA20" i="38" s="1"/>
  <c r="AR20" i="38" s="1"/>
  <c r="AE18" i="38"/>
  <c r="AF18" i="38" s="1"/>
  <c r="AE16" i="38"/>
  <c r="AF16" i="38" s="1"/>
  <c r="AG16" i="38" s="1"/>
  <c r="AE14" i="38"/>
  <c r="AF14" i="38" s="1"/>
  <c r="AG14" i="38" s="1"/>
  <c r="AH62" i="38"/>
  <c r="AI62" i="38" s="1"/>
  <c r="AK57" i="38"/>
  <c r="AL57" i="38" s="1"/>
  <c r="AM57" i="38" s="1"/>
  <c r="AB28" i="38"/>
  <c r="AC28" i="38" s="1"/>
  <c r="S24" i="38"/>
  <c r="T24" i="38" s="1"/>
  <c r="U24" i="38" s="1"/>
  <c r="Y18" i="38"/>
  <c r="Z18" i="38" s="1"/>
  <c r="AA18" i="38" s="1"/>
  <c r="Y16" i="38"/>
  <c r="Z16" i="38" s="1"/>
  <c r="AA16" i="38" s="1"/>
  <c r="AR16" i="38" s="1"/>
  <c r="Y14" i="38"/>
  <c r="Z14" i="38" s="1"/>
  <c r="AB217" i="38"/>
  <c r="AC217" i="38" s="1"/>
  <c r="AH211" i="38"/>
  <c r="AI211" i="38" s="1"/>
  <c r="AB235" i="38"/>
  <c r="AC235" i="38" s="1"/>
  <c r="V229" i="38"/>
  <c r="W229" i="38" s="1"/>
  <c r="AN223" i="38"/>
  <c r="AO223" i="38" s="1"/>
  <c r="AH205" i="38"/>
  <c r="AI205" i="38" s="1"/>
  <c r="V265" i="38"/>
  <c r="W265" i="38" s="1"/>
  <c r="AB255" i="38"/>
  <c r="AC255" i="38" s="1"/>
  <c r="AB247" i="38"/>
  <c r="AC247" i="38" s="1"/>
  <c r="V237" i="38"/>
  <c r="W237" i="38" s="1"/>
  <c r="V236" i="38"/>
  <c r="W236" i="38" s="1"/>
  <c r="AN229" i="38"/>
  <c r="AO229" i="38" s="1"/>
  <c r="AH223" i="38"/>
  <c r="AI223" i="38" s="1"/>
  <c r="V242" i="38"/>
  <c r="W242" i="38" s="1"/>
  <c r="AH253" i="38"/>
  <c r="AI253" i="38" s="1"/>
  <c r="AH259" i="38"/>
  <c r="AI259" i="38" s="1"/>
  <c r="AH265" i="38"/>
  <c r="AI265" i="38" s="1"/>
  <c r="AB259" i="38"/>
  <c r="AC259" i="38" s="1"/>
  <c r="AB253" i="38"/>
  <c r="AC253" i="38" s="1"/>
  <c r="AB249" i="38"/>
  <c r="AC249" i="38" s="1"/>
  <c r="AN241" i="38"/>
  <c r="AO241" i="38" s="1"/>
  <c r="AN237" i="38"/>
  <c r="AO237" i="38" s="1"/>
  <c r="AB218" i="38"/>
  <c r="AC218" i="38" s="1"/>
  <c r="AH233" i="38"/>
  <c r="AI233" i="38" s="1"/>
  <c r="AB229" i="38"/>
  <c r="AC229" i="38" s="1"/>
  <c r="AH208" i="38"/>
  <c r="AI208" i="38" s="1"/>
  <c r="AB263" i="38"/>
  <c r="AC263" i="38" s="1"/>
  <c r="AH229" i="38"/>
  <c r="AI229" i="38" s="1"/>
  <c r="AB223" i="38"/>
  <c r="AC223" i="38" s="1"/>
  <c r="V214" i="38"/>
  <c r="W214" i="38" s="1"/>
  <c r="AN208" i="38"/>
  <c r="AO208" i="38" s="1"/>
  <c r="V208" i="38"/>
  <c r="W208" i="38" s="1"/>
  <c r="AN245" i="38"/>
  <c r="AO245" i="38" s="1"/>
  <c r="AH187" i="38"/>
  <c r="AI187" i="38" s="1"/>
  <c r="AH181" i="38"/>
  <c r="AI181" i="38" s="1"/>
  <c r="AN202" i="38"/>
  <c r="AO202" i="38" s="1"/>
  <c r="AH184" i="38"/>
  <c r="AI184" i="38" s="1"/>
  <c r="AH178" i="38"/>
  <c r="AI178" i="38" s="1"/>
  <c r="AH202" i="38"/>
  <c r="AI202" i="38" s="1"/>
  <c r="V184" i="38"/>
  <c r="W184" i="38" s="1"/>
  <c r="AN178" i="38"/>
  <c r="AO178" i="38" s="1"/>
  <c r="AH190" i="38"/>
  <c r="AI190" i="38" s="1"/>
  <c r="AH324" i="38"/>
  <c r="AI324" i="38" s="1"/>
  <c r="V351" i="38"/>
  <c r="W351" i="38" s="1"/>
  <c r="V331" i="38"/>
  <c r="W331" i="38" s="1"/>
  <c r="S367" i="38"/>
  <c r="T367" i="38" s="1"/>
  <c r="U367" i="38" s="1"/>
  <c r="Y367" i="38"/>
  <c r="Z367" i="38" s="1"/>
  <c r="AA367" i="38" s="1"/>
  <c r="AE367" i="38"/>
  <c r="AF367" i="38" s="1"/>
  <c r="AG367" i="38" s="1"/>
  <c r="AK367" i="38"/>
  <c r="AL367" i="38" s="1"/>
  <c r="AM367" i="38" s="1"/>
  <c r="AN372" i="38"/>
  <c r="AO372" i="38" s="1"/>
  <c r="V372" i="38"/>
  <c r="W372" i="38" s="1"/>
  <c r="AN366" i="38"/>
  <c r="AO366" i="38" s="1"/>
  <c r="V366" i="38"/>
  <c r="W366" i="38" s="1"/>
  <c r="AN359" i="38"/>
  <c r="AO359" i="38" s="1"/>
  <c r="V359" i="38"/>
  <c r="W359" i="38" s="1"/>
  <c r="V357" i="38"/>
  <c r="W357" i="38" s="1"/>
  <c r="AH348" i="38"/>
  <c r="AI348" i="38" s="1"/>
  <c r="AB347" i="38"/>
  <c r="AC347" i="38" s="1"/>
  <c r="AN340" i="38"/>
  <c r="AO340" i="38" s="1"/>
  <c r="AN339" i="38"/>
  <c r="AO339" i="38" s="1"/>
  <c r="AN335" i="38"/>
  <c r="AO335" i="38" s="1"/>
  <c r="V324" i="38"/>
  <c r="W324" i="38" s="1"/>
  <c r="AN322" i="38"/>
  <c r="AO322" i="38" s="1"/>
  <c r="AB322" i="38"/>
  <c r="AC322" i="38" s="1"/>
  <c r="AH319" i="38"/>
  <c r="AI319" i="38" s="1"/>
  <c r="AN317" i="38"/>
  <c r="AO317" i="38" s="1"/>
  <c r="AB316" i="38"/>
  <c r="AC316" i="38" s="1"/>
  <c r="AB363" i="38"/>
  <c r="AC363" i="38" s="1"/>
  <c r="AB337" i="38"/>
  <c r="AC337" i="38" s="1"/>
  <c r="AB334" i="38"/>
  <c r="AC334" i="38" s="1"/>
  <c r="AH317" i="38"/>
  <c r="AI317" i="38" s="1"/>
  <c r="AB375" i="38"/>
  <c r="AC375" i="38" s="1"/>
  <c r="AH372" i="38"/>
  <c r="AI372" i="38" s="1"/>
  <c r="AN369" i="38"/>
  <c r="AO369" i="38" s="1"/>
  <c r="AB369" i="38"/>
  <c r="AC369" i="38" s="1"/>
  <c r="AN363" i="38"/>
  <c r="AO363" i="38" s="1"/>
  <c r="V360" i="38"/>
  <c r="W360" i="38" s="1"/>
  <c r="AN358" i="38"/>
  <c r="AO358" i="38" s="1"/>
  <c r="V349" i="38"/>
  <c r="W349" i="38" s="1"/>
  <c r="V347" i="38"/>
  <c r="W347" i="38" s="1"/>
  <c r="AN331" i="38"/>
  <c r="AO331" i="38" s="1"/>
  <c r="AN328" i="38"/>
  <c r="AO328" i="38" s="1"/>
  <c r="AB327" i="38"/>
  <c r="AC327" i="38" s="1"/>
  <c r="V322" i="38"/>
  <c r="W322" i="38" s="1"/>
  <c r="AB319" i="38"/>
  <c r="AC319" i="38" s="1"/>
  <c r="AB317" i="38"/>
  <c r="AC317" i="38" s="1"/>
  <c r="AH311" i="38"/>
  <c r="AI311" i="38" s="1"/>
  <c r="V353" i="38"/>
  <c r="W353" i="38" s="1"/>
  <c r="AH342" i="38"/>
  <c r="AI342" i="38" s="1"/>
  <c r="AN354" i="38"/>
  <c r="AO354" i="38" s="1"/>
  <c r="AN352" i="38"/>
  <c r="AO352" i="38" s="1"/>
  <c r="V340" i="38"/>
  <c r="W340" i="38" s="1"/>
  <c r="V328" i="38"/>
  <c r="W328" i="38" s="1"/>
  <c r="V317" i="38"/>
  <c r="W317" i="38" s="1"/>
  <c r="S313" i="38"/>
  <c r="T313" i="38" s="1"/>
  <c r="U313" i="38" s="1"/>
  <c r="Y313" i="38"/>
  <c r="Z313" i="38" s="1"/>
  <c r="AA313" i="38" s="1"/>
  <c r="AE313" i="38"/>
  <c r="AF313" i="38" s="1"/>
  <c r="AG313" i="38" s="1"/>
  <c r="AK313" i="38"/>
  <c r="AL313" i="38" s="1"/>
  <c r="AM313" i="38" s="1"/>
  <c r="V355" i="38"/>
  <c r="W355" i="38" s="1"/>
  <c r="AB345" i="38"/>
  <c r="AC345" i="38" s="1"/>
  <c r="S373" i="38"/>
  <c r="T373" i="38" s="1"/>
  <c r="U373" i="38" s="1"/>
  <c r="Y373" i="38"/>
  <c r="Z373" i="38" s="1"/>
  <c r="AA373" i="38" s="1"/>
  <c r="AE373" i="38"/>
  <c r="AF373" i="38" s="1"/>
  <c r="AG373" i="38" s="1"/>
  <c r="AK373" i="38"/>
  <c r="AL373" i="38" s="1"/>
  <c r="AM373" i="38" s="1"/>
  <c r="V363" i="38"/>
  <c r="W363" i="38" s="1"/>
  <c r="V361" i="38"/>
  <c r="W361" i="38" s="1"/>
  <c r="AH360" i="38"/>
  <c r="AI360" i="38" s="1"/>
  <c r="AB359" i="38"/>
  <c r="AC359" i="38" s="1"/>
  <c r="AH358" i="38"/>
  <c r="AI358" i="38" s="1"/>
  <c r="AB357" i="38"/>
  <c r="AC357" i="38" s="1"/>
  <c r="AN348" i="38"/>
  <c r="AO348" i="38" s="1"/>
  <c r="AN346" i="38"/>
  <c r="AO346" i="38" s="1"/>
  <c r="AH337" i="38"/>
  <c r="AI337" i="38" s="1"/>
  <c r="AB329" i="38"/>
  <c r="AC329" i="38" s="1"/>
  <c r="AH328" i="38"/>
  <c r="AI328" i="38" s="1"/>
  <c r="AB312" i="38"/>
  <c r="AC312" i="38" s="1"/>
  <c r="AB311" i="38"/>
  <c r="AC311" i="38" s="1"/>
  <c r="AB372" i="38"/>
  <c r="AC372" i="38" s="1"/>
  <c r="S371" i="38"/>
  <c r="T371" i="38" s="1"/>
  <c r="U371" i="38" s="1"/>
  <c r="Y371" i="38"/>
  <c r="Z371" i="38" s="1"/>
  <c r="AA371" i="38" s="1"/>
  <c r="AE371" i="38"/>
  <c r="AF371" i="38" s="1"/>
  <c r="AG371" i="38" s="1"/>
  <c r="AK371" i="38"/>
  <c r="AL371" i="38" s="1"/>
  <c r="AM371" i="38" s="1"/>
  <c r="AB366" i="38"/>
  <c r="AC366" i="38" s="1"/>
  <c r="S365" i="38"/>
  <c r="T365" i="38" s="1"/>
  <c r="U365" i="38" s="1"/>
  <c r="Y365" i="38"/>
  <c r="Z365" i="38" s="1"/>
  <c r="AA365" i="38" s="1"/>
  <c r="AE365" i="38"/>
  <c r="AF365" i="38" s="1"/>
  <c r="AG365" i="38" s="1"/>
  <c r="AK365" i="38"/>
  <c r="AL365" i="38" s="1"/>
  <c r="AM365" i="38" s="1"/>
  <c r="AH354" i="38"/>
  <c r="AI354" i="38" s="1"/>
  <c r="AB353" i="38"/>
  <c r="AC353" i="38" s="1"/>
  <c r="AH352" i="38"/>
  <c r="AI352" i="38" s="1"/>
  <c r="AB351" i="38"/>
  <c r="AC351" i="38" s="1"/>
  <c r="S344" i="38"/>
  <c r="T344" i="38" s="1"/>
  <c r="U344" i="38" s="1"/>
  <c r="Y344" i="38"/>
  <c r="Z344" i="38" s="1"/>
  <c r="AA344" i="38" s="1"/>
  <c r="AE344" i="38"/>
  <c r="AF344" i="38" s="1"/>
  <c r="AG344" i="38" s="1"/>
  <c r="AK344" i="38"/>
  <c r="AL344" i="38" s="1"/>
  <c r="AM344" i="38" s="1"/>
  <c r="AB343" i="38"/>
  <c r="AC343" i="38" s="1"/>
  <c r="AB341" i="38"/>
  <c r="AC341" i="38" s="1"/>
  <c r="AB336" i="38"/>
  <c r="AC336" i="38" s="1"/>
  <c r="AE330" i="38"/>
  <c r="AF330" i="38" s="1"/>
  <c r="AG330" i="38" s="1"/>
  <c r="Y330" i="38"/>
  <c r="Z330" i="38" s="1"/>
  <c r="AA330" i="38" s="1"/>
  <c r="S330" i="38"/>
  <c r="T330" i="38" s="1"/>
  <c r="U330" i="38" s="1"/>
  <c r="AR330" i="38" s="1"/>
  <c r="AK330" i="38"/>
  <c r="AL330" i="38" s="1"/>
  <c r="AM330" i="38" s="1"/>
  <c r="S326" i="38"/>
  <c r="T326" i="38" s="1"/>
  <c r="U326" i="38" s="1"/>
  <c r="Y326" i="38"/>
  <c r="Z326" i="38" s="1"/>
  <c r="AA326" i="38" s="1"/>
  <c r="AE326" i="38"/>
  <c r="AF326" i="38" s="1"/>
  <c r="AG326" i="38" s="1"/>
  <c r="AK326" i="38"/>
  <c r="AL326" i="38" s="1"/>
  <c r="AM326" i="38" s="1"/>
  <c r="AB323" i="38"/>
  <c r="AC323" i="38" s="1"/>
  <c r="AN321" i="38"/>
  <c r="AO321" i="38" s="1"/>
  <c r="Y318" i="38"/>
  <c r="Z318" i="38" s="1"/>
  <c r="AA318" i="38" s="1"/>
  <c r="AK318" i="38"/>
  <c r="AL318" i="38" s="1"/>
  <c r="AM318" i="38" s="1"/>
  <c r="S318" i="38"/>
  <c r="T318" i="38" s="1"/>
  <c r="U318" i="38" s="1"/>
  <c r="AR318" i="38" s="1"/>
  <c r="AE318" i="38"/>
  <c r="AF318" i="38" s="1"/>
  <c r="AG318" i="38" s="1"/>
  <c r="AH312" i="38"/>
  <c r="AI312" i="38" s="1"/>
  <c r="AN342" i="38"/>
  <c r="AO342" i="38" s="1"/>
  <c r="V342" i="38"/>
  <c r="W342" i="38" s="1"/>
  <c r="Y342" i="38"/>
  <c r="Z342" i="38" s="1"/>
  <c r="AA342" i="38" s="1"/>
  <c r="AE336" i="38"/>
  <c r="AF336" i="38" s="1"/>
  <c r="AG336" i="38" s="1"/>
  <c r="Y324" i="38"/>
  <c r="Z324" i="38" s="1"/>
  <c r="AA324" i="38" s="1"/>
  <c r="V305" i="38"/>
  <c r="W305" i="38" s="1"/>
  <c r="AB304" i="38"/>
  <c r="AC304" i="38" s="1"/>
  <c r="AE298" i="38"/>
  <c r="AF298" i="38" s="1"/>
  <c r="AG298" i="38" s="1"/>
  <c r="S298" i="38"/>
  <c r="T298" i="38" s="1"/>
  <c r="U298" i="38" s="1"/>
  <c r="AK298" i="38"/>
  <c r="AL298" i="38" s="1"/>
  <c r="AM298" i="38" s="1"/>
  <c r="AN295" i="38"/>
  <c r="AO295" i="38" s="1"/>
  <c r="AN291" i="38"/>
  <c r="AO291" i="38" s="1"/>
  <c r="AH280" i="38"/>
  <c r="AI280" i="38" s="1"/>
  <c r="AB273" i="38"/>
  <c r="AC273" i="38" s="1"/>
  <c r="AN268" i="38"/>
  <c r="AO268" i="38" s="1"/>
  <c r="V301" i="38"/>
  <c r="W301" i="38" s="1"/>
  <c r="AB300" i="38"/>
  <c r="AC300" i="38" s="1"/>
  <c r="AN297" i="38"/>
  <c r="AO297" i="38" s="1"/>
  <c r="AB294" i="38"/>
  <c r="AC294" i="38" s="1"/>
  <c r="AB278" i="38"/>
  <c r="AC278" i="38" s="1"/>
  <c r="AB272" i="38"/>
  <c r="AC272" i="38" s="1"/>
  <c r="AB271" i="38"/>
  <c r="AC271" i="38" s="1"/>
  <c r="AB268" i="38"/>
  <c r="AC268" i="38" s="1"/>
  <c r="AN266" i="38"/>
  <c r="AO266" i="38" s="1"/>
  <c r="V262" i="38"/>
  <c r="W262" i="38" s="1"/>
  <c r="V354" i="38"/>
  <c r="W354" i="38" s="1"/>
  <c r="V348" i="38"/>
  <c r="W348" i="38" s="1"/>
  <c r="AN337" i="38"/>
  <c r="AO337" i="38" s="1"/>
  <c r="V337" i="38"/>
  <c r="W337" i="38" s="1"/>
  <c r="AK336" i="38"/>
  <c r="AL336" i="38" s="1"/>
  <c r="AM336" i="38" s="1"/>
  <c r="S336" i="38"/>
  <c r="T336" i="38" s="1"/>
  <c r="U336" i="38" s="1"/>
  <c r="AH333" i="38"/>
  <c r="AI333" i="38" s="1"/>
  <c r="AB331" i="38"/>
  <c r="AC331" i="38" s="1"/>
  <c r="AH325" i="38"/>
  <c r="AI325" i="38" s="1"/>
  <c r="V321" i="38"/>
  <c r="W321" i="38" s="1"/>
  <c r="S306" i="38"/>
  <c r="T306" i="38" s="1"/>
  <c r="U306" i="38" s="1"/>
  <c r="AR306" i="38" s="1"/>
  <c r="Y306" i="38"/>
  <c r="Z306" i="38" s="1"/>
  <c r="AA306" i="38" s="1"/>
  <c r="AE306" i="38"/>
  <c r="AF306" i="38" s="1"/>
  <c r="AG306" i="38" s="1"/>
  <c r="AK306" i="38"/>
  <c r="AL306" i="38" s="1"/>
  <c r="AM306" i="38" s="1"/>
  <c r="AN304" i="38"/>
  <c r="AO304" i="38" s="1"/>
  <c r="V304" i="38"/>
  <c r="W304" i="38" s="1"/>
  <c r="AH295" i="38"/>
  <c r="AI295" i="38" s="1"/>
  <c r="AH291" i="38"/>
  <c r="AI291" i="38" s="1"/>
  <c r="AB290" i="38"/>
  <c r="AC290" i="38" s="1"/>
  <c r="AN277" i="38"/>
  <c r="AO277" i="38" s="1"/>
  <c r="V277" i="38"/>
  <c r="W277" i="38" s="1"/>
  <c r="AB274" i="38"/>
  <c r="AC274" i="38" s="1"/>
  <c r="AN271" i="38"/>
  <c r="AO271" i="38" s="1"/>
  <c r="V271" i="38"/>
  <c r="W271" i="38" s="1"/>
  <c r="V268" i="38"/>
  <c r="W268" i="38" s="1"/>
  <c r="AB266" i="38"/>
  <c r="AC266" i="38" s="1"/>
  <c r="AB260" i="38"/>
  <c r="AC260" i="38" s="1"/>
  <c r="AB254" i="38"/>
  <c r="AC254" i="38" s="1"/>
  <c r="S332" i="38"/>
  <c r="T332" i="38" s="1"/>
  <c r="U332" i="38" s="1"/>
  <c r="AR332" i="38" s="1"/>
  <c r="Y332" i="38"/>
  <c r="Z332" i="38" s="1"/>
  <c r="AA332" i="38" s="1"/>
  <c r="AE332" i="38"/>
  <c r="AF332" i="38" s="1"/>
  <c r="AG332" i="38" s="1"/>
  <c r="AK332" i="38"/>
  <c r="AL332" i="38" s="1"/>
  <c r="AM332" i="38" s="1"/>
  <c r="AK323" i="38"/>
  <c r="AL323" i="38" s="1"/>
  <c r="AM323" i="38" s="1"/>
  <c r="S323" i="38"/>
  <c r="T323" i="38" s="1"/>
  <c r="U323" i="38" s="1"/>
  <c r="AK319" i="38"/>
  <c r="AL319" i="38" s="1"/>
  <c r="AM319" i="38" s="1"/>
  <c r="S319" i="38"/>
  <c r="T319" i="38" s="1"/>
  <c r="U319" i="38" s="1"/>
  <c r="V314" i="38"/>
  <c r="W314" i="38" s="1"/>
  <c r="AK312" i="38"/>
  <c r="AL312" i="38" s="1"/>
  <c r="AM312" i="38" s="1"/>
  <c r="S312" i="38"/>
  <c r="T312" i="38" s="1"/>
  <c r="U312" i="38" s="1"/>
  <c r="AR312" i="38" s="1"/>
  <c r="V308" i="38"/>
  <c r="W308" i="38" s="1"/>
  <c r="V307" i="38"/>
  <c r="W307" i="38" s="1"/>
  <c r="AN305" i="38"/>
  <c r="AO305" i="38" s="1"/>
  <c r="V300" i="38"/>
  <c r="W300" i="38" s="1"/>
  <c r="AH297" i="38"/>
  <c r="AI297" i="38" s="1"/>
  <c r="AH290" i="38"/>
  <c r="AI290" i="38" s="1"/>
  <c r="AH286" i="38"/>
  <c r="AI286" i="38" s="1"/>
  <c r="AH279" i="38"/>
  <c r="AI279" i="38" s="1"/>
  <c r="AN273" i="38"/>
  <c r="AO273" i="38" s="1"/>
  <c r="V266" i="38"/>
  <c r="W266" i="38" s="1"/>
  <c r="AH304" i="38"/>
  <c r="AI304" i="38" s="1"/>
  <c r="AB296" i="38"/>
  <c r="AC296" i="38" s="1"/>
  <c r="AB292" i="38"/>
  <c r="AC292" i="38" s="1"/>
  <c r="AN289" i="38"/>
  <c r="AO289" i="38" s="1"/>
  <c r="AB288" i="38"/>
  <c r="AC288" i="38" s="1"/>
  <c r="AN285" i="38"/>
  <c r="AO285" i="38" s="1"/>
  <c r="AB284" i="38"/>
  <c r="AC284" i="38" s="1"/>
  <c r="AH283" i="38"/>
  <c r="AI283" i="38" s="1"/>
  <c r="AB279" i="38"/>
  <c r="AC279" i="38" s="1"/>
  <c r="AH278" i="38"/>
  <c r="AI278" i="38" s="1"/>
  <c r="AH273" i="38"/>
  <c r="AI273" i="38" s="1"/>
  <c r="V250" i="38"/>
  <c r="W250" i="38" s="1"/>
  <c r="S362" i="38"/>
  <c r="T362" i="38" s="1"/>
  <c r="U362" i="38" s="1"/>
  <c r="Y362" i="38"/>
  <c r="Z362" i="38" s="1"/>
  <c r="AA362" i="38" s="1"/>
  <c r="AE362" i="38"/>
  <c r="AF362" i="38" s="1"/>
  <c r="AG362" i="38" s="1"/>
  <c r="AK362" i="38"/>
  <c r="AL362" i="38" s="1"/>
  <c r="AM362" i="38" s="1"/>
  <c r="S356" i="38"/>
  <c r="T356" i="38" s="1"/>
  <c r="U356" i="38" s="1"/>
  <c r="Y356" i="38"/>
  <c r="Z356" i="38" s="1"/>
  <c r="AA356" i="38" s="1"/>
  <c r="AE356" i="38"/>
  <c r="AF356" i="38" s="1"/>
  <c r="AG356" i="38" s="1"/>
  <c r="AK356" i="38"/>
  <c r="AL356" i="38" s="1"/>
  <c r="AM356" i="38" s="1"/>
  <c r="S350" i="38"/>
  <c r="T350" i="38" s="1"/>
  <c r="U350" i="38" s="1"/>
  <c r="Y350" i="38"/>
  <c r="Z350" i="38" s="1"/>
  <c r="AA350" i="38" s="1"/>
  <c r="AE350" i="38"/>
  <c r="AF350" i="38" s="1"/>
  <c r="AG350" i="38" s="1"/>
  <c r="AK350" i="38"/>
  <c r="AL350" i="38" s="1"/>
  <c r="AM350" i="38" s="1"/>
  <c r="S338" i="38"/>
  <c r="T338" i="38" s="1"/>
  <c r="U338" i="38" s="1"/>
  <c r="Y338" i="38"/>
  <c r="Z338" i="38" s="1"/>
  <c r="AA338" i="38" s="1"/>
  <c r="AE338" i="38"/>
  <c r="AF338" i="38" s="1"/>
  <c r="AG338" i="38" s="1"/>
  <c r="AK338" i="38"/>
  <c r="AL338" i="38" s="1"/>
  <c r="AM338" i="38" s="1"/>
  <c r="S320" i="38"/>
  <c r="T320" i="38" s="1"/>
  <c r="U320" i="38" s="1"/>
  <c r="Y320" i="38"/>
  <c r="Z320" i="38" s="1"/>
  <c r="AA320" i="38" s="1"/>
  <c r="AE320" i="38"/>
  <c r="AF320" i="38" s="1"/>
  <c r="AG320" i="38" s="1"/>
  <c r="AK320" i="38"/>
  <c r="AL320" i="38" s="1"/>
  <c r="AM320" i="38" s="1"/>
  <c r="AN311" i="38"/>
  <c r="AO311" i="38" s="1"/>
  <c r="V311" i="38"/>
  <c r="W311" i="38" s="1"/>
  <c r="AB305" i="38"/>
  <c r="AC305" i="38" s="1"/>
  <c r="AH300" i="38"/>
  <c r="AI300" i="38" s="1"/>
  <c r="AB298" i="38"/>
  <c r="AC298" i="38" s="1"/>
  <c r="AE296" i="38"/>
  <c r="AF296" i="38" s="1"/>
  <c r="AG296" i="38" s="1"/>
  <c r="S296" i="38"/>
  <c r="T296" i="38" s="1"/>
  <c r="U296" i="38" s="1"/>
  <c r="AK296" i="38"/>
  <c r="AL296" i="38" s="1"/>
  <c r="AM296" i="38" s="1"/>
  <c r="AE292" i="38"/>
  <c r="AF292" i="38" s="1"/>
  <c r="AG292" i="38" s="1"/>
  <c r="S292" i="38"/>
  <c r="T292" i="38" s="1"/>
  <c r="U292" i="38" s="1"/>
  <c r="AK292" i="38"/>
  <c r="AL292" i="38" s="1"/>
  <c r="AM292" i="38" s="1"/>
  <c r="AH289" i="38"/>
  <c r="AI289" i="38" s="1"/>
  <c r="V288" i="38"/>
  <c r="W288" i="38" s="1"/>
  <c r="AH285" i="38"/>
  <c r="AI285" i="38" s="1"/>
  <c r="AH284" i="38"/>
  <c r="AI284" i="38" s="1"/>
  <c r="AB283" i="38"/>
  <c r="AC283" i="38" s="1"/>
  <c r="V273" i="38"/>
  <c r="W273" i="38" s="1"/>
  <c r="AB256" i="38"/>
  <c r="AC256" i="38" s="1"/>
  <c r="AK290" i="38"/>
  <c r="AL290" i="38" s="1"/>
  <c r="AM290" i="38" s="1"/>
  <c r="AK286" i="38"/>
  <c r="AL286" i="38" s="1"/>
  <c r="AM286" i="38" s="1"/>
  <c r="AK284" i="38"/>
  <c r="AL284" i="38" s="1"/>
  <c r="AM284" i="38" s="1"/>
  <c r="V282" i="38"/>
  <c r="W282" i="38" s="1"/>
  <c r="AH276" i="38"/>
  <c r="AI276" i="38" s="1"/>
  <c r="AB265" i="38"/>
  <c r="AC265" i="38" s="1"/>
  <c r="AK262" i="38"/>
  <c r="AL262" i="38" s="1"/>
  <c r="AM262" i="38" s="1"/>
  <c r="Y262" i="38"/>
  <c r="Z262" i="38" s="1"/>
  <c r="AA262" i="38" s="1"/>
  <c r="AR262" i="38" s="1"/>
  <c r="AN257" i="38"/>
  <c r="AO257" i="38" s="1"/>
  <c r="AH257" i="38"/>
  <c r="AI257" i="38" s="1"/>
  <c r="AE256" i="38"/>
  <c r="AF256" i="38" s="1"/>
  <c r="AG256" i="38" s="1"/>
  <c r="AN251" i="38"/>
  <c r="AO251" i="38" s="1"/>
  <c r="AH251" i="38"/>
  <c r="AI251" i="38" s="1"/>
  <c r="Y250" i="38"/>
  <c r="Z250" i="38" s="1"/>
  <c r="AA250" i="38" s="1"/>
  <c r="AR250" i="38" s="1"/>
  <c r="AB245" i="38"/>
  <c r="AC245" i="38" s="1"/>
  <c r="AB242" i="38"/>
  <c r="AC242" i="38" s="1"/>
  <c r="AB227" i="38"/>
  <c r="AC227" i="38" s="1"/>
  <c r="AK314" i="38"/>
  <c r="AL314" i="38" s="1"/>
  <c r="AM314" i="38" s="1"/>
  <c r="AE314" i="38"/>
  <c r="AF314" i="38" s="1"/>
  <c r="AG314" i="38" s="1"/>
  <c r="Y314" i="38"/>
  <c r="Z314" i="38" s="1"/>
  <c r="AA314" i="38" s="1"/>
  <c r="AR314" i="38" s="1"/>
  <c r="AK308" i="38"/>
  <c r="AL308" i="38" s="1"/>
  <c r="AM308" i="38" s="1"/>
  <c r="AE308" i="38"/>
  <c r="AF308" i="38" s="1"/>
  <c r="AG308" i="38" s="1"/>
  <c r="Y308" i="38"/>
  <c r="Z308" i="38" s="1"/>
  <c r="AA308" i="38" s="1"/>
  <c r="AR308" i="38" s="1"/>
  <c r="AK302" i="38"/>
  <c r="AL302" i="38" s="1"/>
  <c r="AM302" i="38" s="1"/>
  <c r="AE302" i="38"/>
  <c r="AF302" i="38" s="1"/>
  <c r="AG302" i="38" s="1"/>
  <c r="Y302" i="38"/>
  <c r="Z302" i="38" s="1"/>
  <c r="AA302" i="38" s="1"/>
  <c r="AR302" i="38" s="1"/>
  <c r="S299" i="38"/>
  <c r="T299" i="38" s="1"/>
  <c r="U299" i="38" s="1"/>
  <c r="Y299" i="38"/>
  <c r="Z299" i="38" s="1"/>
  <c r="AA299" i="38" s="1"/>
  <c r="AE299" i="38"/>
  <c r="AF299" i="38" s="1"/>
  <c r="AG299" i="38" s="1"/>
  <c r="AK299" i="38"/>
  <c r="AL299" i="38" s="1"/>
  <c r="AM299" i="38" s="1"/>
  <c r="S293" i="38"/>
  <c r="T293" i="38" s="1"/>
  <c r="U293" i="38" s="1"/>
  <c r="Y293" i="38"/>
  <c r="Z293" i="38" s="1"/>
  <c r="AA293" i="38" s="1"/>
  <c r="AE293" i="38"/>
  <c r="AF293" i="38" s="1"/>
  <c r="AG293" i="38" s="1"/>
  <c r="AK293" i="38"/>
  <c r="AL293" i="38" s="1"/>
  <c r="AM293" i="38" s="1"/>
  <c r="S287" i="38"/>
  <c r="T287" i="38" s="1"/>
  <c r="U287" i="38" s="1"/>
  <c r="Y287" i="38"/>
  <c r="Z287" i="38" s="1"/>
  <c r="AA287" i="38" s="1"/>
  <c r="AE287" i="38"/>
  <c r="AF287" i="38" s="1"/>
  <c r="AG287" i="38" s="1"/>
  <c r="AK287" i="38"/>
  <c r="AL287" i="38" s="1"/>
  <c r="AM287" i="38" s="1"/>
  <c r="S284" i="38"/>
  <c r="T284" i="38" s="1"/>
  <c r="U284" i="38" s="1"/>
  <c r="AR284" i="38" s="1"/>
  <c r="AK280" i="38"/>
  <c r="AL280" i="38" s="1"/>
  <c r="AM280" i="38" s="1"/>
  <c r="S280" i="38"/>
  <c r="T280" i="38" s="1"/>
  <c r="U280" i="38" s="1"/>
  <c r="AN276" i="38"/>
  <c r="AO276" i="38" s="1"/>
  <c r="S275" i="38"/>
  <c r="T275" i="38" s="1"/>
  <c r="U275" i="38" s="1"/>
  <c r="Y275" i="38"/>
  <c r="Z275" i="38" s="1"/>
  <c r="AA275" i="38" s="1"/>
  <c r="AE275" i="38"/>
  <c r="AF275" i="38" s="1"/>
  <c r="AG275" i="38" s="1"/>
  <c r="AK275" i="38"/>
  <c r="AL275" i="38" s="1"/>
  <c r="AM275" i="38" s="1"/>
  <c r="AE272" i="38"/>
  <c r="AF272" i="38" s="1"/>
  <c r="AG272" i="38" s="1"/>
  <c r="AE268" i="38"/>
  <c r="AF268" i="38" s="1"/>
  <c r="AG268" i="38" s="1"/>
  <c r="AE266" i="38"/>
  <c r="AF266" i="38" s="1"/>
  <c r="AG266" i="38" s="1"/>
  <c r="AN263" i="38"/>
  <c r="AO263" i="38" s="1"/>
  <c r="AN261" i="38"/>
  <c r="AO261" i="38" s="1"/>
  <c r="AH261" i="38"/>
  <c r="AI261" i="38" s="1"/>
  <c r="AE260" i="38"/>
  <c r="AF260" i="38" s="1"/>
  <c r="AG260" i="38" s="1"/>
  <c r="V259" i="38"/>
  <c r="W259" i="38" s="1"/>
  <c r="AN255" i="38"/>
  <c r="AO255" i="38" s="1"/>
  <c r="AH255" i="38"/>
  <c r="AI255" i="38" s="1"/>
  <c r="AE254" i="38"/>
  <c r="AF254" i="38" s="1"/>
  <c r="AG254" i="38" s="1"/>
  <c r="AB248" i="38"/>
  <c r="AC248" i="38" s="1"/>
  <c r="AN244" i="38"/>
  <c r="AO244" i="38" s="1"/>
  <c r="AN226" i="38"/>
  <c r="AO226" i="38" s="1"/>
  <c r="AK307" i="38"/>
  <c r="AL307" i="38" s="1"/>
  <c r="AM307" i="38" s="1"/>
  <c r="AE307" i="38"/>
  <c r="AF307" i="38" s="1"/>
  <c r="AG307" i="38" s="1"/>
  <c r="Y307" i="38"/>
  <c r="Z307" i="38" s="1"/>
  <c r="AA307" i="38" s="1"/>
  <c r="AR307" i="38" s="1"/>
  <c r="AK301" i="38"/>
  <c r="AL301" i="38" s="1"/>
  <c r="AM301" i="38" s="1"/>
  <c r="AE301" i="38"/>
  <c r="AF301" i="38" s="1"/>
  <c r="AG301" i="38" s="1"/>
  <c r="Y301" i="38"/>
  <c r="Z301" i="38" s="1"/>
  <c r="AA301" i="38" s="1"/>
  <c r="AR301" i="38" s="1"/>
  <c r="AH288" i="38"/>
  <c r="AI288" i="38" s="1"/>
  <c r="AB286" i="38"/>
  <c r="AC286" i="38" s="1"/>
  <c r="AH282" i="38"/>
  <c r="AI282" i="38" s="1"/>
  <c r="AB280" i="38"/>
  <c r="AC280" i="38" s="1"/>
  <c r="AH274" i="38"/>
  <c r="AI274" i="38" s="1"/>
  <c r="V270" i="38"/>
  <c r="W270" i="38" s="1"/>
  <c r="AN260" i="38"/>
  <c r="AO260" i="38" s="1"/>
  <c r="AN259" i="38"/>
  <c r="AO259" i="38" s="1"/>
  <c r="AN256" i="38"/>
  <c r="AO256" i="38" s="1"/>
  <c r="AN254" i="38"/>
  <c r="AO254" i="38" s="1"/>
  <c r="AN253" i="38"/>
  <c r="AO253" i="38" s="1"/>
  <c r="AK250" i="38"/>
  <c r="AL250" i="38" s="1"/>
  <c r="AM250" i="38" s="1"/>
  <c r="AE250" i="38"/>
  <c r="AF250" i="38" s="1"/>
  <c r="AG250" i="38" s="1"/>
  <c r="AH249" i="38"/>
  <c r="AI249" i="38" s="1"/>
  <c r="V244" i="38"/>
  <c r="W244" i="38" s="1"/>
  <c r="AH212" i="38"/>
  <c r="AI212" i="38" s="1"/>
  <c r="S290" i="38"/>
  <c r="T290" i="38" s="1"/>
  <c r="U290" i="38" s="1"/>
  <c r="S286" i="38"/>
  <c r="T286" i="38" s="1"/>
  <c r="U286" i="38" s="1"/>
  <c r="AR286" i="38" s="1"/>
  <c r="S281" i="38"/>
  <c r="T281" i="38" s="1"/>
  <c r="U281" i="38" s="1"/>
  <c r="Y281" i="38"/>
  <c r="Z281" i="38" s="1"/>
  <c r="AA281" i="38" s="1"/>
  <c r="AE281" i="38"/>
  <c r="AF281" i="38" s="1"/>
  <c r="AG281" i="38" s="1"/>
  <c r="AK281" i="38"/>
  <c r="AL281" i="38" s="1"/>
  <c r="AM281" i="38" s="1"/>
  <c r="AK272" i="38"/>
  <c r="AL272" i="38" s="1"/>
  <c r="AM272" i="38" s="1"/>
  <c r="S272" i="38"/>
  <c r="T272" i="38" s="1"/>
  <c r="U272" i="38" s="1"/>
  <c r="AR272" i="38" s="1"/>
  <c r="AE262" i="38"/>
  <c r="AF262" i="38" s="1"/>
  <c r="AG262" i="38" s="1"/>
  <c r="AN249" i="38"/>
  <c r="AO249" i="38" s="1"/>
  <c r="V248" i="38"/>
  <c r="W248" i="38" s="1"/>
  <c r="AB244" i="38"/>
  <c r="AC244" i="38" s="1"/>
  <c r="AB238" i="38"/>
  <c r="AC238" i="38" s="1"/>
  <c r="AH236" i="38"/>
  <c r="AI236" i="38" s="1"/>
  <c r="AB233" i="38"/>
  <c r="AC233" i="38" s="1"/>
  <c r="S264" i="38"/>
  <c r="T264" i="38" s="1"/>
  <c r="U264" i="38" s="1"/>
  <c r="AR264" i="38" s="1"/>
  <c r="Y264" i="38"/>
  <c r="Z264" i="38" s="1"/>
  <c r="AA264" i="38" s="1"/>
  <c r="AE264" i="38"/>
  <c r="AF264" i="38" s="1"/>
  <c r="AG264" i="38" s="1"/>
  <c r="AK264" i="38"/>
  <c r="AL264" i="38" s="1"/>
  <c r="AM264" i="38" s="1"/>
  <c r="S258" i="38"/>
  <c r="T258" i="38" s="1"/>
  <c r="U258" i="38" s="1"/>
  <c r="Y258" i="38"/>
  <c r="Z258" i="38" s="1"/>
  <c r="AA258" i="38" s="1"/>
  <c r="AE258" i="38"/>
  <c r="AF258" i="38" s="1"/>
  <c r="AG258" i="38" s="1"/>
  <c r="AK258" i="38"/>
  <c r="AL258" i="38" s="1"/>
  <c r="AM258" i="38" s="1"/>
  <c r="V256" i="38"/>
  <c r="W256" i="38" s="1"/>
  <c r="S252" i="38"/>
  <c r="T252" i="38" s="1"/>
  <c r="U252" i="38" s="1"/>
  <c r="Y252" i="38"/>
  <c r="Z252" i="38" s="1"/>
  <c r="AA252" i="38" s="1"/>
  <c r="AE252" i="38"/>
  <c r="AF252" i="38" s="1"/>
  <c r="AG252" i="38" s="1"/>
  <c r="AK252" i="38"/>
  <c r="AL252" i="38" s="1"/>
  <c r="AM252" i="38" s="1"/>
  <c r="AH243" i="38"/>
  <c r="AI243" i="38" s="1"/>
  <c r="AH239" i="38"/>
  <c r="AI239" i="38" s="1"/>
  <c r="AB226" i="38"/>
  <c r="AC226" i="38" s="1"/>
  <c r="AN279" i="38"/>
  <c r="AO279" i="38" s="1"/>
  <c r="V279" i="38"/>
  <c r="W279" i="38" s="1"/>
  <c r="AN267" i="38"/>
  <c r="AO267" i="38" s="1"/>
  <c r="V260" i="38"/>
  <c r="W260" i="38" s="1"/>
  <c r="V254" i="38"/>
  <c r="W254" i="38" s="1"/>
  <c r="AN247" i="38"/>
  <c r="AO247" i="38" s="1"/>
  <c r="AB237" i="38"/>
  <c r="AC237" i="38" s="1"/>
  <c r="AB221" i="38"/>
  <c r="AC221" i="38" s="1"/>
  <c r="AE244" i="38"/>
  <c r="AF244" i="38" s="1"/>
  <c r="AG244" i="38" s="1"/>
  <c r="V241" i="38"/>
  <c r="W241" i="38" s="1"/>
  <c r="AH235" i="38"/>
  <c r="AI235" i="38" s="1"/>
  <c r="AH232" i="38"/>
  <c r="AI232" i="38" s="1"/>
  <c r="V232" i="38"/>
  <c r="W232" i="38" s="1"/>
  <c r="AN218" i="38"/>
  <c r="AO218" i="38" s="1"/>
  <c r="V217" i="38"/>
  <c r="W217" i="38" s="1"/>
  <c r="V211" i="38"/>
  <c r="W211" i="38" s="1"/>
  <c r="S209" i="38"/>
  <c r="T209" i="38" s="1"/>
  <c r="U209" i="38" s="1"/>
  <c r="Y209" i="38"/>
  <c r="Z209" i="38" s="1"/>
  <c r="AA209" i="38" s="1"/>
  <c r="AE209" i="38"/>
  <c r="AF209" i="38" s="1"/>
  <c r="AG209" i="38" s="1"/>
  <c r="AK209" i="38"/>
  <c r="AL209" i="38" s="1"/>
  <c r="AM209" i="38" s="1"/>
  <c r="AB207" i="38"/>
  <c r="AC207" i="38" s="1"/>
  <c r="AN195" i="38"/>
  <c r="AO195" i="38" s="1"/>
  <c r="V194" i="38"/>
  <c r="W194" i="38" s="1"/>
  <c r="AH188" i="38"/>
  <c r="AI188" i="38" s="1"/>
  <c r="AK269" i="38"/>
  <c r="AL269" i="38" s="1"/>
  <c r="AM269" i="38" s="1"/>
  <c r="AE245" i="38"/>
  <c r="AF245" i="38" s="1"/>
  <c r="AG245" i="38" s="1"/>
  <c r="AK243" i="38"/>
  <c r="AL243" i="38" s="1"/>
  <c r="AM243" i="38" s="1"/>
  <c r="S243" i="38"/>
  <c r="T243" i="38" s="1"/>
  <c r="U243" i="38" s="1"/>
  <c r="AK239" i="38"/>
  <c r="AL239" i="38" s="1"/>
  <c r="AM239" i="38" s="1"/>
  <c r="S239" i="38"/>
  <c r="T239" i="38" s="1"/>
  <c r="U239" i="38" s="1"/>
  <c r="S234" i="38"/>
  <c r="T234" i="38" s="1"/>
  <c r="U234" i="38" s="1"/>
  <c r="Y234" i="38"/>
  <c r="Z234" i="38" s="1"/>
  <c r="AA234" i="38" s="1"/>
  <c r="AE234" i="38"/>
  <c r="AF234" i="38" s="1"/>
  <c r="AG234" i="38" s="1"/>
  <c r="AK234" i="38"/>
  <c r="AL234" i="38" s="1"/>
  <c r="AM234" i="38" s="1"/>
  <c r="AK227" i="38"/>
  <c r="AL227" i="38" s="1"/>
  <c r="AM227" i="38" s="1"/>
  <c r="S225" i="38"/>
  <c r="T225" i="38" s="1"/>
  <c r="U225" i="38" s="1"/>
  <c r="Y225" i="38"/>
  <c r="Z225" i="38" s="1"/>
  <c r="AA225" i="38" s="1"/>
  <c r="AE225" i="38"/>
  <c r="AF225" i="38" s="1"/>
  <c r="AG225" i="38" s="1"/>
  <c r="AK225" i="38"/>
  <c r="AL225" i="38" s="1"/>
  <c r="AM225" i="38" s="1"/>
  <c r="AH221" i="38"/>
  <c r="AI221" i="38" s="1"/>
  <c r="V221" i="38"/>
  <c r="W221" i="38" s="1"/>
  <c r="AB208" i="38"/>
  <c r="AC208" i="38" s="1"/>
  <c r="AN207" i="38"/>
  <c r="AO207" i="38" s="1"/>
  <c r="AN189" i="38"/>
  <c r="AO189" i="38" s="1"/>
  <c r="V188" i="38"/>
  <c r="W188" i="38" s="1"/>
  <c r="AH182" i="38"/>
  <c r="AI182" i="38" s="1"/>
  <c r="V168" i="38"/>
  <c r="W168" i="38" s="1"/>
  <c r="S222" i="38"/>
  <c r="T222" i="38" s="1"/>
  <c r="U222" i="38" s="1"/>
  <c r="Y222" i="38"/>
  <c r="Z222" i="38" s="1"/>
  <c r="AA222" i="38" s="1"/>
  <c r="AE222" i="38"/>
  <c r="AF222" i="38" s="1"/>
  <c r="AG222" i="38" s="1"/>
  <c r="AK222" i="38"/>
  <c r="AL222" i="38" s="1"/>
  <c r="AM222" i="38" s="1"/>
  <c r="V220" i="38"/>
  <c r="W220" i="38" s="1"/>
  <c r="AN217" i="38"/>
  <c r="AO217" i="38" s="1"/>
  <c r="V213" i="38"/>
  <c r="W213" i="38" s="1"/>
  <c r="V210" i="38"/>
  <c r="W210" i="38" s="1"/>
  <c r="AH207" i="38"/>
  <c r="AI207" i="38" s="1"/>
  <c r="AB187" i="38"/>
  <c r="AC187" i="38" s="1"/>
  <c r="AN183" i="38"/>
  <c r="AO183" i="38" s="1"/>
  <c r="V182" i="38"/>
  <c r="W182" i="38" s="1"/>
  <c r="V159" i="38"/>
  <c r="W159" i="38" s="1"/>
  <c r="Y243" i="38"/>
  <c r="Z243" i="38" s="1"/>
  <c r="AA243" i="38" s="1"/>
  <c r="S240" i="38"/>
  <c r="T240" i="38" s="1"/>
  <c r="U240" i="38" s="1"/>
  <c r="Y240" i="38"/>
  <c r="Z240" i="38" s="1"/>
  <c r="AA240" i="38" s="1"/>
  <c r="AE240" i="38"/>
  <c r="AF240" i="38" s="1"/>
  <c r="AG240" i="38" s="1"/>
  <c r="AK240" i="38"/>
  <c r="AL240" i="38" s="1"/>
  <c r="AM240" i="38" s="1"/>
  <c r="Y239" i="38"/>
  <c r="Z239" i="38" s="1"/>
  <c r="AA239" i="38" s="1"/>
  <c r="AH238" i="38"/>
  <c r="AI238" i="38" s="1"/>
  <c r="AN232" i="38"/>
  <c r="AO232" i="38" s="1"/>
  <c r="AB232" i="38"/>
  <c r="AC232" i="38" s="1"/>
  <c r="S231" i="38"/>
  <c r="T231" i="38" s="1"/>
  <c r="U231" i="38" s="1"/>
  <c r="Y231" i="38"/>
  <c r="Z231" i="38" s="1"/>
  <c r="AA231" i="38" s="1"/>
  <c r="AE231" i="38"/>
  <c r="AF231" i="38" s="1"/>
  <c r="AG231" i="38" s="1"/>
  <c r="AK231" i="38"/>
  <c r="AL231" i="38" s="1"/>
  <c r="AM231" i="38" s="1"/>
  <c r="AN214" i="38"/>
  <c r="AO214" i="38" s="1"/>
  <c r="AB214" i="38"/>
  <c r="AC214" i="38" s="1"/>
  <c r="AN213" i="38"/>
  <c r="AO213" i="38" s="1"/>
  <c r="AB213" i="38"/>
  <c r="AC213" i="38" s="1"/>
  <c r="S212" i="38"/>
  <c r="T212" i="38" s="1"/>
  <c r="U212" i="38" s="1"/>
  <c r="AK212" i="38"/>
  <c r="AL212" i="38" s="1"/>
  <c r="AM212" i="38" s="1"/>
  <c r="Y212" i="38"/>
  <c r="Z212" i="38" s="1"/>
  <c r="AA212" i="38" s="1"/>
  <c r="AB201" i="38"/>
  <c r="AC201" i="38" s="1"/>
  <c r="V195" i="38"/>
  <c r="W195" i="38" s="1"/>
  <c r="AB181" i="38"/>
  <c r="AC181" i="38" s="1"/>
  <c r="AE248" i="38"/>
  <c r="AF248" i="38" s="1"/>
  <c r="AG248" i="38" s="1"/>
  <c r="S228" i="38"/>
  <c r="T228" i="38" s="1"/>
  <c r="U228" i="38" s="1"/>
  <c r="Y228" i="38"/>
  <c r="Z228" i="38" s="1"/>
  <c r="AA228" i="38" s="1"/>
  <c r="AE228" i="38"/>
  <c r="AF228" i="38" s="1"/>
  <c r="AG228" i="38" s="1"/>
  <c r="AK228" i="38"/>
  <c r="AL228" i="38" s="1"/>
  <c r="AM228" i="38" s="1"/>
  <c r="AH226" i="38"/>
  <c r="AI226" i="38" s="1"/>
  <c r="V226" i="38"/>
  <c r="W226" i="38" s="1"/>
  <c r="V218" i="38"/>
  <c r="W218" i="38" s="1"/>
  <c r="AH213" i="38"/>
  <c r="AI213" i="38" s="1"/>
  <c r="AN211" i="38"/>
  <c r="AO211" i="38" s="1"/>
  <c r="AH200" i="38"/>
  <c r="AI200" i="38" s="1"/>
  <c r="AB195" i="38"/>
  <c r="AC195" i="38" s="1"/>
  <c r="V189" i="38"/>
  <c r="W189" i="38" s="1"/>
  <c r="S246" i="38"/>
  <c r="T246" i="38" s="1"/>
  <c r="U246" i="38" s="1"/>
  <c r="Y246" i="38"/>
  <c r="Z246" i="38" s="1"/>
  <c r="AA246" i="38" s="1"/>
  <c r="AE246" i="38"/>
  <c r="AF246" i="38" s="1"/>
  <c r="AG246" i="38" s="1"/>
  <c r="AK246" i="38"/>
  <c r="AL246" i="38" s="1"/>
  <c r="AM246" i="38" s="1"/>
  <c r="AN238" i="38"/>
  <c r="AO238" i="38" s="1"/>
  <c r="V238" i="38"/>
  <c r="W238" i="38" s="1"/>
  <c r="AK221" i="38"/>
  <c r="AL221" i="38" s="1"/>
  <c r="AM221" i="38" s="1"/>
  <c r="AN220" i="38"/>
  <c r="AO220" i="38" s="1"/>
  <c r="AB220" i="38"/>
  <c r="AC220" i="38" s="1"/>
  <c r="S219" i="38"/>
  <c r="T219" i="38" s="1"/>
  <c r="U219" i="38" s="1"/>
  <c r="Y219" i="38"/>
  <c r="Z219" i="38" s="1"/>
  <c r="AA219" i="38" s="1"/>
  <c r="AE219" i="38"/>
  <c r="AF219" i="38" s="1"/>
  <c r="AG219" i="38" s="1"/>
  <c r="AK219" i="38"/>
  <c r="AL219" i="38" s="1"/>
  <c r="AM219" i="38" s="1"/>
  <c r="V207" i="38"/>
  <c r="W207" i="38" s="1"/>
  <c r="AB205" i="38"/>
  <c r="AC205" i="38" s="1"/>
  <c r="AN201" i="38"/>
  <c r="AO201" i="38" s="1"/>
  <c r="V200" i="38"/>
  <c r="W200" i="38" s="1"/>
  <c r="AH194" i="38"/>
  <c r="AI194" i="38" s="1"/>
  <c r="AB189" i="38"/>
  <c r="AC189" i="38" s="1"/>
  <c r="V183" i="38"/>
  <c r="W183" i="38" s="1"/>
  <c r="V174" i="38"/>
  <c r="W174" i="38" s="1"/>
  <c r="Y206" i="38"/>
  <c r="Z206" i="38" s="1"/>
  <c r="AA206" i="38" s="1"/>
  <c r="AN205" i="38"/>
  <c r="AO205" i="38" s="1"/>
  <c r="V205" i="38"/>
  <c r="W205" i="38" s="1"/>
  <c r="V204" i="38"/>
  <c r="W204" i="38" s="1"/>
  <c r="Y200" i="38"/>
  <c r="Z200" i="38" s="1"/>
  <c r="AA200" i="38" s="1"/>
  <c r="V199" i="38"/>
  <c r="W199" i="38" s="1"/>
  <c r="V198" i="38"/>
  <c r="W198" i="38" s="1"/>
  <c r="Y194" i="38"/>
  <c r="Z194" i="38" s="1"/>
  <c r="AA194" i="38" s="1"/>
  <c r="AR194" i="38" s="1"/>
  <c r="AN193" i="38"/>
  <c r="AO193" i="38" s="1"/>
  <c r="V193" i="38"/>
  <c r="W193" i="38" s="1"/>
  <c r="V192" i="38"/>
  <c r="W192" i="38" s="1"/>
  <c r="Y188" i="38"/>
  <c r="Z188" i="38" s="1"/>
  <c r="AA188" i="38" s="1"/>
  <c r="AR188" i="38" s="1"/>
  <c r="AN187" i="38"/>
  <c r="AO187" i="38" s="1"/>
  <c r="V187" i="38"/>
  <c r="W187" i="38" s="1"/>
  <c r="V186" i="38"/>
  <c r="W186" i="38" s="1"/>
  <c r="Y182" i="38"/>
  <c r="Z182" i="38" s="1"/>
  <c r="AA182" i="38" s="1"/>
  <c r="AR182" i="38" s="1"/>
  <c r="AN181" i="38"/>
  <c r="AO181" i="38" s="1"/>
  <c r="V180" i="38"/>
  <c r="W180" i="38" s="1"/>
  <c r="AH163" i="38"/>
  <c r="AI163" i="38" s="1"/>
  <c r="S161" i="38"/>
  <c r="T161" i="38" s="1"/>
  <c r="U161" i="38" s="1"/>
  <c r="Y161" i="38"/>
  <c r="Z161" i="38" s="1"/>
  <c r="AA161" i="38" s="1"/>
  <c r="AE161" i="38"/>
  <c r="AF161" i="38" s="1"/>
  <c r="AG161" i="38" s="1"/>
  <c r="AK161" i="38"/>
  <c r="AL161" i="38" s="1"/>
  <c r="AM161" i="38" s="1"/>
  <c r="AN158" i="38"/>
  <c r="AO158" i="38" s="1"/>
  <c r="AB154" i="38"/>
  <c r="AC154" i="38" s="1"/>
  <c r="AN151" i="38"/>
  <c r="AO151" i="38" s="1"/>
  <c r="V150" i="38"/>
  <c r="W150" i="38" s="1"/>
  <c r="AH147" i="38"/>
  <c r="AI147" i="38" s="1"/>
  <c r="AB140" i="38"/>
  <c r="AC140" i="38" s="1"/>
  <c r="V130" i="38"/>
  <c r="W130" i="38" s="1"/>
  <c r="AB202" i="38"/>
  <c r="AC202" i="38" s="1"/>
  <c r="AB196" i="38"/>
  <c r="AC196" i="38" s="1"/>
  <c r="AB190" i="38"/>
  <c r="AC190" i="38" s="1"/>
  <c r="AB184" i="38"/>
  <c r="AC184" i="38" s="1"/>
  <c r="AN175" i="38"/>
  <c r="AO175" i="38" s="1"/>
  <c r="AB175" i="38"/>
  <c r="AC175" i="38" s="1"/>
  <c r="AN169" i="38"/>
  <c r="AO169" i="38" s="1"/>
  <c r="V166" i="38"/>
  <c r="W166" i="38" s="1"/>
  <c r="AN160" i="38"/>
  <c r="AO160" i="38" s="1"/>
  <c r="AH159" i="38"/>
  <c r="AI159" i="38" s="1"/>
  <c r="V157" i="38"/>
  <c r="W157" i="38" s="1"/>
  <c r="V154" i="38"/>
  <c r="W154" i="38" s="1"/>
  <c r="AH146" i="38"/>
  <c r="AI146" i="38" s="1"/>
  <c r="AB145" i="38"/>
  <c r="AC145" i="38" s="1"/>
  <c r="V140" i="38"/>
  <c r="W140" i="38" s="1"/>
  <c r="V136" i="38"/>
  <c r="W136" i="38" s="1"/>
  <c r="AN129" i="38"/>
  <c r="AO129" i="38" s="1"/>
  <c r="AB128" i="38"/>
  <c r="AC128" i="38" s="1"/>
  <c r="V121" i="38"/>
  <c r="W121" i="38" s="1"/>
  <c r="S203" i="38"/>
  <c r="T203" i="38" s="1"/>
  <c r="U203" i="38" s="1"/>
  <c r="Y203" i="38"/>
  <c r="Z203" i="38" s="1"/>
  <c r="AA203" i="38" s="1"/>
  <c r="AE203" i="38"/>
  <c r="AF203" i="38" s="1"/>
  <c r="AG203" i="38" s="1"/>
  <c r="AK203" i="38"/>
  <c r="AL203" i="38" s="1"/>
  <c r="AM203" i="38" s="1"/>
  <c r="AH201" i="38"/>
  <c r="AI201" i="38" s="1"/>
  <c r="S197" i="38"/>
  <c r="T197" i="38" s="1"/>
  <c r="U197" i="38" s="1"/>
  <c r="Y197" i="38"/>
  <c r="Z197" i="38" s="1"/>
  <c r="AA197" i="38" s="1"/>
  <c r="AE197" i="38"/>
  <c r="AF197" i="38" s="1"/>
  <c r="AG197" i="38" s="1"/>
  <c r="AK197" i="38"/>
  <c r="AL197" i="38" s="1"/>
  <c r="AM197" i="38" s="1"/>
  <c r="AH195" i="38"/>
  <c r="AI195" i="38" s="1"/>
  <c r="S191" i="38"/>
  <c r="T191" i="38" s="1"/>
  <c r="U191" i="38" s="1"/>
  <c r="AR191" i="38" s="1"/>
  <c r="Y191" i="38"/>
  <c r="Z191" i="38" s="1"/>
  <c r="AA191" i="38" s="1"/>
  <c r="AE191" i="38"/>
  <c r="AF191" i="38" s="1"/>
  <c r="AG191" i="38" s="1"/>
  <c r="AK191" i="38"/>
  <c r="AL191" i="38" s="1"/>
  <c r="AM191" i="38" s="1"/>
  <c r="AH189" i="38"/>
  <c r="AI189" i="38" s="1"/>
  <c r="S185" i="38"/>
  <c r="T185" i="38" s="1"/>
  <c r="U185" i="38" s="1"/>
  <c r="Y185" i="38"/>
  <c r="Z185" i="38" s="1"/>
  <c r="AA185" i="38" s="1"/>
  <c r="AE185" i="38"/>
  <c r="AF185" i="38" s="1"/>
  <c r="AG185" i="38" s="1"/>
  <c r="AK185" i="38"/>
  <c r="AL185" i="38" s="1"/>
  <c r="AM185" i="38" s="1"/>
  <c r="AH183" i="38"/>
  <c r="AI183" i="38" s="1"/>
  <c r="S179" i="38"/>
  <c r="T179" i="38" s="1"/>
  <c r="U179" i="38" s="1"/>
  <c r="Y179" i="38"/>
  <c r="Z179" i="38" s="1"/>
  <c r="AA179" i="38" s="1"/>
  <c r="AE179" i="38"/>
  <c r="AF179" i="38" s="1"/>
  <c r="AG179" i="38" s="1"/>
  <c r="AK179" i="38"/>
  <c r="AL179" i="38" s="1"/>
  <c r="AM179" i="38" s="1"/>
  <c r="V162" i="38"/>
  <c r="W162" i="38" s="1"/>
  <c r="AH158" i="38"/>
  <c r="AI158" i="38" s="1"/>
  <c r="AH153" i="38"/>
  <c r="AI153" i="38" s="1"/>
  <c r="AB146" i="38"/>
  <c r="AC146" i="38" s="1"/>
  <c r="V145" i="38"/>
  <c r="W145" i="38" s="1"/>
  <c r="AN139" i="38"/>
  <c r="AO139" i="38" s="1"/>
  <c r="AH129" i="38"/>
  <c r="AI129" i="38" s="1"/>
  <c r="V128" i="38"/>
  <c r="W128" i="38" s="1"/>
  <c r="AB125" i="38"/>
  <c r="AC125" i="38" s="1"/>
  <c r="AB112" i="38"/>
  <c r="AC112" i="38" s="1"/>
  <c r="S173" i="38"/>
  <c r="T173" i="38" s="1"/>
  <c r="U173" i="38" s="1"/>
  <c r="AR173" i="38" s="1"/>
  <c r="Y173" i="38"/>
  <c r="Z173" i="38" s="1"/>
  <c r="AA173" i="38" s="1"/>
  <c r="AE173" i="38"/>
  <c r="AF173" i="38" s="1"/>
  <c r="AG173" i="38" s="1"/>
  <c r="AK173" i="38"/>
  <c r="AL173" i="38" s="1"/>
  <c r="AM173" i="38" s="1"/>
  <c r="S167" i="38"/>
  <c r="T167" i="38" s="1"/>
  <c r="U167" i="38" s="1"/>
  <c r="Y167" i="38"/>
  <c r="Z167" i="38" s="1"/>
  <c r="AA167" i="38" s="1"/>
  <c r="AE167" i="38"/>
  <c r="AF167" i="38" s="1"/>
  <c r="AG167" i="38" s="1"/>
  <c r="AK167" i="38"/>
  <c r="AL167" i="38" s="1"/>
  <c r="AM167" i="38" s="1"/>
  <c r="S164" i="38"/>
  <c r="T164" i="38" s="1"/>
  <c r="U164" i="38" s="1"/>
  <c r="Y164" i="38"/>
  <c r="Z164" i="38" s="1"/>
  <c r="AA164" i="38" s="1"/>
  <c r="AE164" i="38"/>
  <c r="AF164" i="38" s="1"/>
  <c r="AG164" i="38" s="1"/>
  <c r="AK164" i="38"/>
  <c r="AL164" i="38" s="1"/>
  <c r="AM164" i="38" s="1"/>
  <c r="AH160" i="38"/>
  <c r="AI160" i="38" s="1"/>
  <c r="AB158" i="38"/>
  <c r="AC158" i="38" s="1"/>
  <c r="AH157" i="38"/>
  <c r="AI157" i="38" s="1"/>
  <c r="AN154" i="38"/>
  <c r="AO154" i="38" s="1"/>
  <c r="AH152" i="38"/>
  <c r="AI152" i="38" s="1"/>
  <c r="AB151" i="38"/>
  <c r="AC151" i="38" s="1"/>
  <c r="V146" i="38"/>
  <c r="W146" i="38" s="1"/>
  <c r="AH142" i="38"/>
  <c r="AI142" i="38" s="1"/>
  <c r="AH139" i="38"/>
  <c r="AI139" i="38" s="1"/>
  <c r="V134" i="38"/>
  <c r="W134" i="38" s="1"/>
  <c r="S216" i="38"/>
  <c r="T216" i="38" s="1"/>
  <c r="U216" i="38" s="1"/>
  <c r="Y216" i="38"/>
  <c r="Z216" i="38" s="1"/>
  <c r="AA216" i="38" s="1"/>
  <c r="AE216" i="38"/>
  <c r="AF216" i="38" s="1"/>
  <c r="AG216" i="38" s="1"/>
  <c r="AK216" i="38"/>
  <c r="AL216" i="38" s="1"/>
  <c r="AM216" i="38" s="1"/>
  <c r="AK206" i="38"/>
  <c r="AL206" i="38" s="1"/>
  <c r="AM206" i="38" s="1"/>
  <c r="AK200" i="38"/>
  <c r="AL200" i="38" s="1"/>
  <c r="AM200" i="38" s="1"/>
  <c r="AK194" i="38"/>
  <c r="AL194" i="38" s="1"/>
  <c r="AM194" i="38" s="1"/>
  <c r="AK188" i="38"/>
  <c r="AL188" i="38" s="1"/>
  <c r="AM188" i="38" s="1"/>
  <c r="AK182" i="38"/>
  <c r="AL182" i="38" s="1"/>
  <c r="AM182" i="38" s="1"/>
  <c r="AH175" i="38"/>
  <c r="AI175" i="38" s="1"/>
  <c r="V175" i="38"/>
  <c r="W175" i="38" s="1"/>
  <c r="AH169" i="38"/>
  <c r="AI169" i="38" s="1"/>
  <c r="V169" i="38"/>
  <c r="W169" i="38" s="1"/>
  <c r="AN163" i="38"/>
  <c r="AO163" i="38" s="1"/>
  <c r="V163" i="38"/>
  <c r="W163" i="38" s="1"/>
  <c r="AB152" i="38"/>
  <c r="AC152" i="38" s="1"/>
  <c r="V151" i="38"/>
  <c r="W151" i="38" s="1"/>
  <c r="AN145" i="38"/>
  <c r="AO145" i="38" s="1"/>
  <c r="V144" i="38"/>
  <c r="W144" i="38" s="1"/>
  <c r="AH141" i="38"/>
  <c r="AI141" i="38" s="1"/>
  <c r="AN133" i="38"/>
  <c r="AO133" i="38" s="1"/>
  <c r="S177" i="38"/>
  <c r="T177" i="38" s="1"/>
  <c r="U177" i="38" s="1"/>
  <c r="Y177" i="38"/>
  <c r="Z177" i="38" s="1"/>
  <c r="AA177" i="38" s="1"/>
  <c r="AE177" i="38"/>
  <c r="AF177" i="38" s="1"/>
  <c r="AG177" i="38" s="1"/>
  <c r="AK177" i="38"/>
  <c r="AL177" i="38" s="1"/>
  <c r="AM177" i="38" s="1"/>
  <c r="S171" i="38"/>
  <c r="T171" i="38" s="1"/>
  <c r="U171" i="38" s="1"/>
  <c r="Y171" i="38"/>
  <c r="Z171" i="38" s="1"/>
  <c r="AA171" i="38" s="1"/>
  <c r="AE171" i="38"/>
  <c r="AF171" i="38" s="1"/>
  <c r="AG171" i="38" s="1"/>
  <c r="AK171" i="38"/>
  <c r="AL171" i="38" s="1"/>
  <c r="AM171" i="38" s="1"/>
  <c r="V165" i="38"/>
  <c r="W165" i="38" s="1"/>
  <c r="V158" i="38"/>
  <c r="W158" i="38" s="1"/>
  <c r="V152" i="38"/>
  <c r="W152" i="38" s="1"/>
  <c r="AH140" i="38"/>
  <c r="AI140" i="38" s="1"/>
  <c r="AH133" i="38"/>
  <c r="AI133" i="38" s="1"/>
  <c r="AK210" i="38"/>
  <c r="AL210" i="38" s="1"/>
  <c r="AM210" i="38" s="1"/>
  <c r="AE210" i="38"/>
  <c r="AF210" i="38" s="1"/>
  <c r="AG210" i="38" s="1"/>
  <c r="Y210" i="38"/>
  <c r="Z210" i="38" s="1"/>
  <c r="AA210" i="38" s="1"/>
  <c r="AR210" i="38" s="1"/>
  <c r="AK204" i="38"/>
  <c r="AL204" i="38" s="1"/>
  <c r="AM204" i="38" s="1"/>
  <c r="AE204" i="38"/>
  <c r="AF204" i="38" s="1"/>
  <c r="AG204" i="38" s="1"/>
  <c r="Y204" i="38"/>
  <c r="Z204" i="38" s="1"/>
  <c r="AA204" i="38" s="1"/>
  <c r="AR204" i="38" s="1"/>
  <c r="AK198" i="38"/>
  <c r="AL198" i="38" s="1"/>
  <c r="AM198" i="38" s="1"/>
  <c r="AE198" i="38"/>
  <c r="AF198" i="38" s="1"/>
  <c r="AG198" i="38" s="1"/>
  <c r="Y198" i="38"/>
  <c r="Z198" i="38" s="1"/>
  <c r="AA198" i="38" s="1"/>
  <c r="AR198" i="38" s="1"/>
  <c r="AK192" i="38"/>
  <c r="AL192" i="38" s="1"/>
  <c r="AM192" i="38" s="1"/>
  <c r="AE192" i="38"/>
  <c r="AF192" i="38" s="1"/>
  <c r="AG192" i="38" s="1"/>
  <c r="Y192" i="38"/>
  <c r="Z192" i="38" s="1"/>
  <c r="AA192" i="38" s="1"/>
  <c r="AR192" i="38" s="1"/>
  <c r="AK186" i="38"/>
  <c r="AL186" i="38" s="1"/>
  <c r="AM186" i="38" s="1"/>
  <c r="AE186" i="38"/>
  <c r="AF186" i="38" s="1"/>
  <c r="AG186" i="38" s="1"/>
  <c r="Y186" i="38"/>
  <c r="Z186" i="38" s="1"/>
  <c r="AA186" i="38" s="1"/>
  <c r="AR186" i="38" s="1"/>
  <c r="AK180" i="38"/>
  <c r="AL180" i="38" s="1"/>
  <c r="AM180" i="38" s="1"/>
  <c r="AE180" i="38"/>
  <c r="AF180" i="38" s="1"/>
  <c r="AG180" i="38" s="1"/>
  <c r="Y180" i="38"/>
  <c r="Z180" i="38" s="1"/>
  <c r="AA180" i="38" s="1"/>
  <c r="AR180" i="38" s="1"/>
  <c r="AK174" i="38"/>
  <c r="AL174" i="38" s="1"/>
  <c r="AM174" i="38" s="1"/>
  <c r="AE174" i="38"/>
  <c r="AF174" i="38" s="1"/>
  <c r="AG174" i="38" s="1"/>
  <c r="Y174" i="38"/>
  <c r="Z174" i="38" s="1"/>
  <c r="AA174" i="38" s="1"/>
  <c r="AR174" i="38" s="1"/>
  <c r="AK168" i="38"/>
  <c r="AL168" i="38" s="1"/>
  <c r="AM168" i="38" s="1"/>
  <c r="AE168" i="38"/>
  <c r="AF168" i="38" s="1"/>
  <c r="AG168" i="38" s="1"/>
  <c r="Y168" i="38"/>
  <c r="Z168" i="38" s="1"/>
  <c r="AA168" i="38" s="1"/>
  <c r="AR168" i="38" s="1"/>
  <c r="AK162" i="38"/>
  <c r="AL162" i="38" s="1"/>
  <c r="AM162" i="38" s="1"/>
  <c r="AE162" i="38"/>
  <c r="AF162" i="38" s="1"/>
  <c r="AG162" i="38" s="1"/>
  <c r="Y162" i="38"/>
  <c r="Z162" i="38" s="1"/>
  <c r="AA162" i="38" s="1"/>
  <c r="AR162" i="38" s="1"/>
  <c r="AK159" i="38"/>
  <c r="AL159" i="38" s="1"/>
  <c r="AM159" i="38" s="1"/>
  <c r="AK155" i="38"/>
  <c r="AL155" i="38" s="1"/>
  <c r="AM155" i="38" s="1"/>
  <c r="AK153" i="38"/>
  <c r="AL153" i="38" s="1"/>
  <c r="AM153" i="38" s="1"/>
  <c r="AK152" i="38"/>
  <c r="AL152" i="38" s="1"/>
  <c r="AM152" i="38" s="1"/>
  <c r="AK146" i="38"/>
  <c r="AL146" i="38" s="1"/>
  <c r="AM146" i="38" s="1"/>
  <c r="AH145" i="38"/>
  <c r="AI145" i="38" s="1"/>
  <c r="AK140" i="38"/>
  <c r="AL140" i="38" s="1"/>
  <c r="AM140" i="38" s="1"/>
  <c r="AR140" i="38" s="1"/>
  <c r="V139" i="38"/>
  <c r="W139" i="38" s="1"/>
  <c r="S138" i="38"/>
  <c r="T138" i="38" s="1"/>
  <c r="U138" i="38" s="1"/>
  <c r="Y138" i="38"/>
  <c r="Z138" i="38" s="1"/>
  <c r="AA138" i="38" s="1"/>
  <c r="AE138" i="38"/>
  <c r="AF138" i="38" s="1"/>
  <c r="AG138" i="38" s="1"/>
  <c r="AK138" i="38"/>
  <c r="AL138" i="38" s="1"/>
  <c r="AM138" i="38" s="1"/>
  <c r="AE137" i="38"/>
  <c r="AF137" i="38" s="1"/>
  <c r="AG137" i="38" s="1"/>
  <c r="V137" i="38"/>
  <c r="W137" i="38" s="1"/>
  <c r="Y136" i="38"/>
  <c r="Z136" i="38" s="1"/>
  <c r="AA136" i="38" s="1"/>
  <c r="AR136" i="38" s="1"/>
  <c r="S126" i="38"/>
  <c r="T126" i="38" s="1"/>
  <c r="U126" i="38" s="1"/>
  <c r="Y126" i="38"/>
  <c r="Z126" i="38" s="1"/>
  <c r="AA126" i="38" s="1"/>
  <c r="AE126" i="38"/>
  <c r="AF126" i="38" s="1"/>
  <c r="AG126" i="38" s="1"/>
  <c r="AK126" i="38"/>
  <c r="AL126" i="38" s="1"/>
  <c r="AM126" i="38" s="1"/>
  <c r="AE125" i="38"/>
  <c r="AF125" i="38" s="1"/>
  <c r="AG125" i="38" s="1"/>
  <c r="AN121" i="38"/>
  <c r="AO121" i="38" s="1"/>
  <c r="AE119" i="38"/>
  <c r="AF119" i="38" s="1"/>
  <c r="AG119" i="38" s="1"/>
  <c r="Y119" i="38"/>
  <c r="Z119" i="38" s="1"/>
  <c r="AA119" i="38" s="1"/>
  <c r="AR119" i="38" s="1"/>
  <c r="AK119" i="38"/>
  <c r="AL119" i="38" s="1"/>
  <c r="AM119" i="38" s="1"/>
  <c r="AH118" i="38"/>
  <c r="AI118" i="38" s="1"/>
  <c r="AH112" i="38"/>
  <c r="AI112" i="38" s="1"/>
  <c r="AH106" i="38"/>
  <c r="AI106" i="38" s="1"/>
  <c r="S156" i="38"/>
  <c r="T156" i="38" s="1"/>
  <c r="U156" i="38" s="1"/>
  <c r="Y156" i="38"/>
  <c r="Z156" i="38" s="1"/>
  <c r="AA156" i="38" s="1"/>
  <c r="AE156" i="38"/>
  <c r="AF156" i="38" s="1"/>
  <c r="AG156" i="38" s="1"/>
  <c r="AK156" i="38"/>
  <c r="AL156" i="38" s="1"/>
  <c r="AM156" i="38" s="1"/>
  <c r="S153" i="38"/>
  <c r="T153" i="38" s="1"/>
  <c r="U153" i="38" s="1"/>
  <c r="AR153" i="38" s="1"/>
  <c r="AN148" i="38"/>
  <c r="AO148" i="38" s="1"/>
  <c r="V148" i="38"/>
  <c r="W148" i="38" s="1"/>
  <c r="AK147" i="38"/>
  <c r="AL147" i="38" s="1"/>
  <c r="AM147" i="38" s="1"/>
  <c r="S147" i="38"/>
  <c r="T147" i="38" s="1"/>
  <c r="U147" i="38" s="1"/>
  <c r="V142" i="38"/>
  <c r="W142" i="38" s="1"/>
  <c r="AK141" i="38"/>
  <c r="AL141" i="38" s="1"/>
  <c r="AM141" i="38" s="1"/>
  <c r="S141" i="38"/>
  <c r="T141" i="38" s="1"/>
  <c r="U141" i="38" s="1"/>
  <c r="AK135" i="38"/>
  <c r="AL135" i="38" s="1"/>
  <c r="AM135" i="38" s="1"/>
  <c r="Y135" i="38"/>
  <c r="Z135" i="38" s="1"/>
  <c r="AA135" i="38" s="1"/>
  <c r="S132" i="38"/>
  <c r="T132" i="38" s="1"/>
  <c r="U132" i="38" s="1"/>
  <c r="Y132" i="38"/>
  <c r="Z132" i="38" s="1"/>
  <c r="AA132" i="38" s="1"/>
  <c r="AE132" i="38"/>
  <c r="AF132" i="38" s="1"/>
  <c r="AG132" i="38" s="1"/>
  <c r="AK132" i="38"/>
  <c r="AL132" i="38" s="1"/>
  <c r="AM132" i="38" s="1"/>
  <c r="AE131" i="38"/>
  <c r="AF131" i="38" s="1"/>
  <c r="AG131" i="38" s="1"/>
  <c r="V131" i="38"/>
  <c r="W131" i="38" s="1"/>
  <c r="Y130" i="38"/>
  <c r="Z130" i="38" s="1"/>
  <c r="AA130" i="38" s="1"/>
  <c r="AR130" i="38" s="1"/>
  <c r="S123" i="38"/>
  <c r="T123" i="38" s="1"/>
  <c r="U123" i="38" s="1"/>
  <c r="Y123" i="38"/>
  <c r="Z123" i="38" s="1"/>
  <c r="AA123" i="38" s="1"/>
  <c r="AE123" i="38"/>
  <c r="AF123" i="38" s="1"/>
  <c r="AG123" i="38" s="1"/>
  <c r="AK123" i="38"/>
  <c r="AL123" i="38" s="1"/>
  <c r="AM123" i="38" s="1"/>
  <c r="V110" i="38"/>
  <c r="W110" i="38" s="1"/>
  <c r="AK134" i="38"/>
  <c r="AL134" i="38" s="1"/>
  <c r="AM134" i="38" s="1"/>
  <c r="AE134" i="38"/>
  <c r="AF134" i="38" s="1"/>
  <c r="AG134" i="38" s="1"/>
  <c r="AB129" i="38"/>
  <c r="AC129" i="38" s="1"/>
  <c r="AH127" i="38"/>
  <c r="AI127" i="38" s="1"/>
  <c r="AN124" i="38"/>
  <c r="AO124" i="38" s="1"/>
  <c r="AH121" i="38"/>
  <c r="AI121" i="38" s="1"/>
  <c r="AN113" i="38"/>
  <c r="AO113" i="38" s="1"/>
  <c r="AB100" i="38"/>
  <c r="AC100" i="38" s="1"/>
  <c r="AK165" i="38"/>
  <c r="AL165" i="38" s="1"/>
  <c r="AM165" i="38" s="1"/>
  <c r="AE165" i="38"/>
  <c r="AF165" i="38" s="1"/>
  <c r="AG165" i="38" s="1"/>
  <c r="Y165" i="38"/>
  <c r="Z165" i="38" s="1"/>
  <c r="AA165" i="38" s="1"/>
  <c r="AR165" i="38" s="1"/>
  <c r="AH155" i="38"/>
  <c r="AI155" i="38" s="1"/>
  <c r="Y153" i="38"/>
  <c r="Z153" i="38" s="1"/>
  <c r="AA153" i="38" s="1"/>
  <c r="AB148" i="38"/>
  <c r="AC148" i="38" s="1"/>
  <c r="Y147" i="38"/>
  <c r="Z147" i="38" s="1"/>
  <c r="AA147" i="38" s="1"/>
  <c r="AB142" i="38"/>
  <c r="AC142" i="38" s="1"/>
  <c r="Y141" i="38"/>
  <c r="Z141" i="38" s="1"/>
  <c r="AA141" i="38" s="1"/>
  <c r="AB139" i="38"/>
  <c r="AC139" i="38" s="1"/>
  <c r="AB137" i="38"/>
  <c r="AC137" i="38" s="1"/>
  <c r="AK128" i="38"/>
  <c r="AL128" i="38" s="1"/>
  <c r="AM128" i="38" s="1"/>
  <c r="AE128" i="38"/>
  <c r="AF128" i="38" s="1"/>
  <c r="AG128" i="38" s="1"/>
  <c r="AB118" i="38"/>
  <c r="AC118" i="38" s="1"/>
  <c r="V109" i="38"/>
  <c r="W109" i="38" s="1"/>
  <c r="S149" i="38"/>
  <c r="T149" i="38" s="1"/>
  <c r="U149" i="38" s="1"/>
  <c r="Y149" i="38"/>
  <c r="Z149" i="38" s="1"/>
  <c r="AA149" i="38" s="1"/>
  <c r="AE149" i="38"/>
  <c r="AF149" i="38" s="1"/>
  <c r="AG149" i="38" s="1"/>
  <c r="AK149" i="38"/>
  <c r="AL149" i="38" s="1"/>
  <c r="AM149" i="38" s="1"/>
  <c r="S143" i="38"/>
  <c r="T143" i="38" s="1"/>
  <c r="U143" i="38" s="1"/>
  <c r="Y143" i="38"/>
  <c r="Z143" i="38" s="1"/>
  <c r="AA143" i="38" s="1"/>
  <c r="AE143" i="38"/>
  <c r="AF143" i="38" s="1"/>
  <c r="AG143" i="38" s="1"/>
  <c r="AK143" i="38"/>
  <c r="AL143" i="38" s="1"/>
  <c r="AM143" i="38" s="1"/>
  <c r="AK136" i="38"/>
  <c r="AL136" i="38" s="1"/>
  <c r="AM136" i="38" s="1"/>
  <c r="AE136" i="38"/>
  <c r="AF136" i="38" s="1"/>
  <c r="AG136" i="38" s="1"/>
  <c r="AE135" i="38"/>
  <c r="AF135" i="38" s="1"/>
  <c r="AG135" i="38" s="1"/>
  <c r="Y134" i="38"/>
  <c r="Z134" i="38" s="1"/>
  <c r="AA134" i="38" s="1"/>
  <c r="AR134" i="38" s="1"/>
  <c r="AB133" i="38"/>
  <c r="AC133" i="38" s="1"/>
  <c r="AK131" i="38"/>
  <c r="AL131" i="38" s="1"/>
  <c r="AM131" i="38" s="1"/>
  <c r="Y131" i="38"/>
  <c r="Z131" i="38" s="1"/>
  <c r="AA131" i="38" s="1"/>
  <c r="AR131" i="38" s="1"/>
  <c r="AN115" i="38"/>
  <c r="AO115" i="38" s="1"/>
  <c r="AK130" i="38"/>
  <c r="AL130" i="38" s="1"/>
  <c r="AM130" i="38" s="1"/>
  <c r="AE130" i="38"/>
  <c r="AF130" i="38" s="1"/>
  <c r="AG130" i="38" s="1"/>
  <c r="S125" i="38"/>
  <c r="T125" i="38" s="1"/>
  <c r="U125" i="38" s="1"/>
  <c r="AK125" i="38"/>
  <c r="AL125" i="38" s="1"/>
  <c r="AM125" i="38" s="1"/>
  <c r="AH124" i="38"/>
  <c r="AI124" i="38" s="1"/>
  <c r="AB122" i="38"/>
  <c r="AC122" i="38" s="1"/>
  <c r="S120" i="38"/>
  <c r="T120" i="38" s="1"/>
  <c r="U120" i="38" s="1"/>
  <c r="Y120" i="38"/>
  <c r="Z120" i="38" s="1"/>
  <c r="AA120" i="38" s="1"/>
  <c r="AE120" i="38"/>
  <c r="AF120" i="38" s="1"/>
  <c r="AG120" i="38" s="1"/>
  <c r="AK120" i="38"/>
  <c r="AL120" i="38" s="1"/>
  <c r="AM120" i="38" s="1"/>
  <c r="V119" i="38"/>
  <c r="W119" i="38" s="1"/>
  <c r="V115" i="38"/>
  <c r="W115" i="38" s="1"/>
  <c r="AH101" i="38"/>
  <c r="AI101" i="38" s="1"/>
  <c r="AK150" i="38"/>
  <c r="AL150" i="38" s="1"/>
  <c r="AM150" i="38" s="1"/>
  <c r="AE150" i="38"/>
  <c r="AF150" i="38" s="1"/>
  <c r="AG150" i="38" s="1"/>
  <c r="Y150" i="38"/>
  <c r="Z150" i="38" s="1"/>
  <c r="AA150" i="38" s="1"/>
  <c r="AR150" i="38" s="1"/>
  <c r="AK144" i="38"/>
  <c r="AL144" i="38" s="1"/>
  <c r="AM144" i="38" s="1"/>
  <c r="AE144" i="38"/>
  <c r="AF144" i="38" s="1"/>
  <c r="AG144" i="38" s="1"/>
  <c r="Y144" i="38"/>
  <c r="Z144" i="38" s="1"/>
  <c r="AA144" i="38" s="1"/>
  <c r="AR144" i="38" s="1"/>
  <c r="AB124" i="38"/>
  <c r="AC124" i="38" s="1"/>
  <c r="AB121" i="38"/>
  <c r="AC121" i="38" s="1"/>
  <c r="S113" i="38"/>
  <c r="T113" i="38" s="1"/>
  <c r="U113" i="38" s="1"/>
  <c r="AR113" i="38" s="1"/>
  <c r="S108" i="38"/>
  <c r="T108" i="38" s="1"/>
  <c r="U108" i="38" s="1"/>
  <c r="Y108" i="38"/>
  <c r="Z108" i="38" s="1"/>
  <c r="AA108" i="38" s="1"/>
  <c r="AE108" i="38"/>
  <c r="AF108" i="38" s="1"/>
  <c r="AG108" i="38" s="1"/>
  <c r="AK108" i="38"/>
  <c r="AL108" i="38" s="1"/>
  <c r="AM108" i="38" s="1"/>
  <c r="AH115" i="38"/>
  <c r="AI115" i="38" s="1"/>
  <c r="AN109" i="38"/>
  <c r="AO109" i="38" s="1"/>
  <c r="V104" i="38"/>
  <c r="W104" i="38" s="1"/>
  <c r="V89" i="38"/>
  <c r="W89" i="38" s="1"/>
  <c r="V83" i="38"/>
  <c r="W83" i="38" s="1"/>
  <c r="AH77" i="38"/>
  <c r="AI77" i="38" s="1"/>
  <c r="S114" i="38"/>
  <c r="T114" i="38" s="1"/>
  <c r="U114" i="38" s="1"/>
  <c r="Y114" i="38"/>
  <c r="Z114" i="38" s="1"/>
  <c r="AA114" i="38" s="1"/>
  <c r="AE114" i="38"/>
  <c r="AF114" i="38" s="1"/>
  <c r="AG114" i="38" s="1"/>
  <c r="AK114" i="38"/>
  <c r="AL114" i="38" s="1"/>
  <c r="AM114" i="38" s="1"/>
  <c r="AN107" i="38"/>
  <c r="AO107" i="38" s="1"/>
  <c r="V107" i="38"/>
  <c r="W107" i="38" s="1"/>
  <c r="AK100" i="38"/>
  <c r="AL100" i="38" s="1"/>
  <c r="AM100" i="38" s="1"/>
  <c r="S100" i="38"/>
  <c r="T100" i="38" s="1"/>
  <c r="U100" i="38" s="1"/>
  <c r="AR100" i="38" s="1"/>
  <c r="AE100" i="38"/>
  <c r="AF100" i="38" s="1"/>
  <c r="AG100" i="38" s="1"/>
  <c r="AH98" i="38"/>
  <c r="AI98" i="38" s="1"/>
  <c r="AB93" i="38"/>
  <c r="AC93" i="38" s="1"/>
  <c r="S99" i="38"/>
  <c r="T99" i="38" s="1"/>
  <c r="U99" i="38" s="1"/>
  <c r="AK99" i="38"/>
  <c r="AL99" i="38" s="1"/>
  <c r="AM99" i="38" s="1"/>
  <c r="AE99" i="38"/>
  <c r="AF99" i="38" s="1"/>
  <c r="AG99" i="38" s="1"/>
  <c r="Y99" i="38"/>
  <c r="Z99" i="38" s="1"/>
  <c r="AA99" i="38" s="1"/>
  <c r="AH109" i="38"/>
  <c r="AI109" i="38" s="1"/>
  <c r="S103" i="38"/>
  <c r="T103" i="38" s="1"/>
  <c r="U103" i="38" s="1"/>
  <c r="Y103" i="38"/>
  <c r="Z103" i="38" s="1"/>
  <c r="AA103" i="38" s="1"/>
  <c r="AE103" i="38"/>
  <c r="AF103" i="38" s="1"/>
  <c r="AG103" i="38" s="1"/>
  <c r="AK103" i="38"/>
  <c r="AL103" i="38" s="1"/>
  <c r="AM103" i="38" s="1"/>
  <c r="AB101" i="38"/>
  <c r="AC101" i="38" s="1"/>
  <c r="AB96" i="38"/>
  <c r="AC96" i="38" s="1"/>
  <c r="AB106" i="38"/>
  <c r="AC106" i="38" s="1"/>
  <c r="AK102" i="38"/>
  <c r="AL102" i="38" s="1"/>
  <c r="AM102" i="38" s="1"/>
  <c r="S102" i="38"/>
  <c r="T102" i="38" s="1"/>
  <c r="U102" i="38" s="1"/>
  <c r="AE102" i="38"/>
  <c r="AF102" i="38" s="1"/>
  <c r="AG102" i="38" s="1"/>
  <c r="Y102" i="38"/>
  <c r="Z102" i="38" s="1"/>
  <c r="AA102" i="38" s="1"/>
  <c r="S101" i="38"/>
  <c r="T101" i="38" s="1"/>
  <c r="U101" i="38" s="1"/>
  <c r="AR101" i="38" s="1"/>
  <c r="AK101" i="38"/>
  <c r="AL101" i="38" s="1"/>
  <c r="AM101" i="38" s="1"/>
  <c r="AK96" i="38"/>
  <c r="AL96" i="38" s="1"/>
  <c r="AM96" i="38" s="1"/>
  <c r="S96" i="38"/>
  <c r="T96" i="38" s="1"/>
  <c r="U96" i="38" s="1"/>
  <c r="S95" i="38"/>
  <c r="T95" i="38" s="1"/>
  <c r="U95" i="38" s="1"/>
  <c r="AR95" i="38" s="1"/>
  <c r="AK95" i="38"/>
  <c r="AL95" i="38" s="1"/>
  <c r="AM95" i="38" s="1"/>
  <c r="AB92" i="38"/>
  <c r="AC92" i="38" s="1"/>
  <c r="AH89" i="38"/>
  <c r="AI89" i="38" s="1"/>
  <c r="AH87" i="38"/>
  <c r="AI87" i="38" s="1"/>
  <c r="AH83" i="38"/>
  <c r="AI83" i="38" s="1"/>
  <c r="AN80" i="38"/>
  <c r="AO80" i="38" s="1"/>
  <c r="AB75" i="38"/>
  <c r="AC75" i="38" s="1"/>
  <c r="AH71" i="38"/>
  <c r="AI71" i="38" s="1"/>
  <c r="AN54" i="38"/>
  <c r="AO54" i="38" s="1"/>
  <c r="S117" i="38"/>
  <c r="T117" i="38" s="1"/>
  <c r="U117" i="38" s="1"/>
  <c r="Y117" i="38"/>
  <c r="Z117" i="38" s="1"/>
  <c r="AA117" i="38" s="1"/>
  <c r="AE117" i="38"/>
  <c r="AF117" i="38" s="1"/>
  <c r="AG117" i="38" s="1"/>
  <c r="AK117" i="38"/>
  <c r="AL117" i="38" s="1"/>
  <c r="AM117" i="38" s="1"/>
  <c r="S111" i="38"/>
  <c r="T111" i="38" s="1"/>
  <c r="U111" i="38" s="1"/>
  <c r="AR111" i="38" s="1"/>
  <c r="Y111" i="38"/>
  <c r="Z111" i="38" s="1"/>
  <c r="AA111" i="38" s="1"/>
  <c r="AE111" i="38"/>
  <c r="AF111" i="38" s="1"/>
  <c r="AG111" i="38" s="1"/>
  <c r="AK111" i="38"/>
  <c r="AL111" i="38" s="1"/>
  <c r="AM111" i="38" s="1"/>
  <c r="S105" i="38"/>
  <c r="T105" i="38" s="1"/>
  <c r="U105" i="38" s="1"/>
  <c r="Y105" i="38"/>
  <c r="Z105" i="38" s="1"/>
  <c r="AA105" i="38" s="1"/>
  <c r="AE105" i="38"/>
  <c r="AF105" i="38" s="1"/>
  <c r="AG105" i="38" s="1"/>
  <c r="AK105" i="38"/>
  <c r="AL105" i="38" s="1"/>
  <c r="AM105" i="38" s="1"/>
  <c r="AE95" i="38"/>
  <c r="AF95" i="38" s="1"/>
  <c r="AG95" i="38" s="1"/>
  <c r="S91" i="38"/>
  <c r="T91" i="38" s="1"/>
  <c r="U91" i="38" s="1"/>
  <c r="Y91" i="38"/>
  <c r="Z91" i="38" s="1"/>
  <c r="AA91" i="38" s="1"/>
  <c r="AE91" i="38"/>
  <c r="AF91" i="38" s="1"/>
  <c r="AG91" i="38" s="1"/>
  <c r="AK91" i="38"/>
  <c r="AL91" i="38" s="1"/>
  <c r="AM91" i="38" s="1"/>
  <c r="S85" i="38"/>
  <c r="T85" i="38" s="1"/>
  <c r="U85" i="38" s="1"/>
  <c r="Y85" i="38"/>
  <c r="Z85" i="38" s="1"/>
  <c r="AA85" i="38" s="1"/>
  <c r="AE85" i="38"/>
  <c r="AF85" i="38" s="1"/>
  <c r="AG85" i="38" s="1"/>
  <c r="AK85" i="38"/>
  <c r="AL85" i="38" s="1"/>
  <c r="AM85" i="38" s="1"/>
  <c r="AH78" i="38"/>
  <c r="AI78" i="38" s="1"/>
  <c r="AN52" i="38"/>
  <c r="AO52" i="38" s="1"/>
  <c r="AB83" i="38"/>
  <c r="AC83" i="38" s="1"/>
  <c r="AB81" i="38"/>
  <c r="AC81" i="38" s="1"/>
  <c r="S69" i="38"/>
  <c r="T69" i="38" s="1"/>
  <c r="U69" i="38" s="1"/>
  <c r="AK69" i="38"/>
  <c r="AL69" i="38" s="1"/>
  <c r="AM69" i="38" s="1"/>
  <c r="Y69" i="38"/>
  <c r="Z69" i="38" s="1"/>
  <c r="AA69" i="38" s="1"/>
  <c r="AE69" i="38"/>
  <c r="AF69" i="38" s="1"/>
  <c r="AG69" i="38" s="1"/>
  <c r="AH65" i="38"/>
  <c r="AI65" i="38" s="1"/>
  <c r="AN62" i="38"/>
  <c r="AO62" i="38" s="1"/>
  <c r="V57" i="38"/>
  <c r="W57" i="38" s="1"/>
  <c r="AH47" i="38"/>
  <c r="AI47" i="38" s="1"/>
  <c r="AB45" i="38"/>
  <c r="AC45" i="38" s="1"/>
  <c r="AB95" i="38"/>
  <c r="AC95" i="38" s="1"/>
  <c r="S93" i="38"/>
  <c r="T93" i="38" s="1"/>
  <c r="U93" i="38" s="1"/>
  <c r="AR93" i="38" s="1"/>
  <c r="AK93" i="38"/>
  <c r="AL93" i="38" s="1"/>
  <c r="AM93" i="38" s="1"/>
  <c r="AN90" i="38"/>
  <c r="AO90" i="38" s="1"/>
  <c r="AB87" i="38"/>
  <c r="AC87" i="38" s="1"/>
  <c r="AN84" i="38"/>
  <c r="AO84" i="38" s="1"/>
  <c r="V74" i="38"/>
  <c r="W74" i="38" s="1"/>
  <c r="AB65" i="38"/>
  <c r="AC65" i="38" s="1"/>
  <c r="S97" i="38"/>
  <c r="T97" i="38" s="1"/>
  <c r="U97" i="38" s="1"/>
  <c r="Y97" i="38"/>
  <c r="Z97" i="38" s="1"/>
  <c r="AA97" i="38" s="1"/>
  <c r="AE97" i="38"/>
  <c r="AF97" i="38" s="1"/>
  <c r="AG97" i="38" s="1"/>
  <c r="AK97" i="38"/>
  <c r="AL97" i="38" s="1"/>
  <c r="AM97" i="38" s="1"/>
  <c r="AH90" i="38"/>
  <c r="AI90" i="38" s="1"/>
  <c r="AH84" i="38"/>
  <c r="AI84" i="38" s="1"/>
  <c r="V81" i="38"/>
  <c r="W81" i="38" s="1"/>
  <c r="S79" i="38"/>
  <c r="T79" i="38" s="1"/>
  <c r="U79" i="38" s="1"/>
  <c r="Y79" i="38"/>
  <c r="Z79" i="38" s="1"/>
  <c r="AA79" i="38" s="1"/>
  <c r="AE79" i="38"/>
  <c r="AF79" i="38" s="1"/>
  <c r="AG79" i="38" s="1"/>
  <c r="AK79" i="38"/>
  <c r="AL79" i="38" s="1"/>
  <c r="AM79" i="38" s="1"/>
  <c r="AK94" i="38"/>
  <c r="AL94" i="38" s="1"/>
  <c r="AM94" i="38" s="1"/>
  <c r="AE94" i="38"/>
  <c r="AF94" i="38" s="1"/>
  <c r="AG94" i="38" s="1"/>
  <c r="S94" i="38"/>
  <c r="T94" i="38" s="1"/>
  <c r="U94" i="38" s="1"/>
  <c r="AN89" i="38"/>
  <c r="AO89" i="38" s="1"/>
  <c r="V87" i="38"/>
  <c r="W87" i="38" s="1"/>
  <c r="AN83" i="38"/>
  <c r="AO83" i="38" s="1"/>
  <c r="AH75" i="38"/>
  <c r="AI75" i="38" s="1"/>
  <c r="AH68" i="38"/>
  <c r="AI68" i="38" s="1"/>
  <c r="AH82" i="38"/>
  <c r="AI82" i="38" s="1"/>
  <c r="AN77" i="38"/>
  <c r="AO77" i="38" s="1"/>
  <c r="AB77" i="38"/>
  <c r="AC77" i="38" s="1"/>
  <c r="AH76" i="38"/>
  <c r="AI76" i="38" s="1"/>
  <c r="AN74" i="38"/>
  <c r="AO74" i="38" s="1"/>
  <c r="S73" i="38"/>
  <c r="T73" i="38" s="1"/>
  <c r="U73" i="38" s="1"/>
  <c r="Y73" i="38"/>
  <c r="Z73" i="38" s="1"/>
  <c r="AA73" i="38" s="1"/>
  <c r="AE73" i="38"/>
  <c r="AF73" i="38" s="1"/>
  <c r="AG73" i="38" s="1"/>
  <c r="AK73" i="38"/>
  <c r="AL73" i="38" s="1"/>
  <c r="AM73" i="38" s="1"/>
  <c r="AN64" i="38"/>
  <c r="AO64" i="38" s="1"/>
  <c r="V61" i="38"/>
  <c r="W61" i="38" s="1"/>
  <c r="AH54" i="38"/>
  <c r="AI54" i="38" s="1"/>
  <c r="AH52" i="38"/>
  <c r="AI52" i="38" s="1"/>
  <c r="AN68" i="38"/>
  <c r="AO68" i="38" s="1"/>
  <c r="S67" i="38"/>
  <c r="T67" i="38" s="1"/>
  <c r="U67" i="38" s="1"/>
  <c r="Y67" i="38"/>
  <c r="Z67" i="38" s="1"/>
  <c r="AA67" i="38" s="1"/>
  <c r="AE67" i="38"/>
  <c r="AF67" i="38" s="1"/>
  <c r="AG67" i="38" s="1"/>
  <c r="AK67" i="38"/>
  <c r="AL67" i="38" s="1"/>
  <c r="AM67" i="38" s="1"/>
  <c r="AH66" i="38"/>
  <c r="AI66" i="38" s="1"/>
  <c r="Y60" i="38"/>
  <c r="Z60" i="38" s="1"/>
  <c r="AA60" i="38" s="1"/>
  <c r="S60" i="38"/>
  <c r="T60" i="38" s="1"/>
  <c r="U60" i="38" s="1"/>
  <c r="AK60" i="38"/>
  <c r="AL60" i="38" s="1"/>
  <c r="AM60" i="38" s="1"/>
  <c r="AE59" i="38"/>
  <c r="AF59" i="38" s="1"/>
  <c r="AG59" i="38" s="1"/>
  <c r="Y59" i="38"/>
  <c r="Z59" i="38" s="1"/>
  <c r="AA59" i="38" s="1"/>
  <c r="S59" i="38"/>
  <c r="T59" i="38" s="1"/>
  <c r="U59" i="38" s="1"/>
  <c r="AK59" i="38"/>
  <c r="AL59" i="38" s="1"/>
  <c r="AM59" i="38" s="1"/>
  <c r="AB54" i="38"/>
  <c r="AC54" i="38" s="1"/>
  <c r="AB52" i="38"/>
  <c r="AC52" i="38" s="1"/>
  <c r="AN45" i="38"/>
  <c r="AO45" i="38" s="1"/>
  <c r="AN24" i="38"/>
  <c r="AO24" i="38" s="1"/>
  <c r="AN88" i="38"/>
  <c r="AO88" i="38" s="1"/>
  <c r="AN82" i="38"/>
  <c r="AO82" i="38" s="1"/>
  <c r="AN76" i="38"/>
  <c r="AO76" i="38" s="1"/>
  <c r="V63" i="38"/>
  <c r="W63" i="38" s="1"/>
  <c r="V62" i="38"/>
  <c r="W62" i="38" s="1"/>
  <c r="AN58" i="38"/>
  <c r="AO58" i="38" s="1"/>
  <c r="V47" i="38"/>
  <c r="W47" i="38" s="1"/>
  <c r="AH42" i="38"/>
  <c r="AI42" i="38" s="1"/>
  <c r="AK26" i="38"/>
  <c r="AL26" i="38" s="1"/>
  <c r="AM26" i="38" s="1"/>
  <c r="Y26" i="38"/>
  <c r="Z26" i="38" s="1"/>
  <c r="AA26" i="38" s="1"/>
  <c r="S26" i="38"/>
  <c r="T26" i="38" s="1"/>
  <c r="U26" i="38" s="1"/>
  <c r="AE26" i="38"/>
  <c r="AF26" i="38" s="1"/>
  <c r="AG26" i="38" s="1"/>
  <c r="AH74" i="38"/>
  <c r="AI74" i="38" s="1"/>
  <c r="S71" i="38"/>
  <c r="T71" i="38" s="1"/>
  <c r="U71" i="38" s="1"/>
  <c r="AR71" i="38" s="1"/>
  <c r="AK71" i="38"/>
  <c r="AL71" i="38" s="1"/>
  <c r="AM71" i="38" s="1"/>
  <c r="AH70" i="38"/>
  <c r="AI70" i="38" s="1"/>
  <c r="AH63" i="38"/>
  <c r="AI63" i="38" s="1"/>
  <c r="AH58" i="38"/>
  <c r="AI58" i="38" s="1"/>
  <c r="V41" i="38"/>
  <c r="W41" i="38" s="1"/>
  <c r="S75" i="38"/>
  <c r="T75" i="38" s="1"/>
  <c r="U75" i="38" s="1"/>
  <c r="AR75" i="38" s="1"/>
  <c r="AK75" i="38"/>
  <c r="AL75" i="38" s="1"/>
  <c r="AM75" i="38" s="1"/>
  <c r="S65" i="38"/>
  <c r="T65" i="38" s="1"/>
  <c r="U65" i="38" s="1"/>
  <c r="AR65" i="38" s="1"/>
  <c r="AK65" i="38"/>
  <c r="AL65" i="38" s="1"/>
  <c r="AM65" i="38" s="1"/>
  <c r="AH64" i="38"/>
  <c r="AI64" i="38" s="1"/>
  <c r="V64" i="38"/>
  <c r="W64" i="38" s="1"/>
  <c r="AH60" i="38"/>
  <c r="AI60" i="38" s="1"/>
  <c r="AB58" i="38"/>
  <c r="AC58" i="38" s="1"/>
  <c r="AB57" i="38"/>
  <c r="AC57" i="38" s="1"/>
  <c r="AE55" i="38"/>
  <c r="AF55" i="38" s="1"/>
  <c r="AG55" i="38" s="1"/>
  <c r="Y55" i="38"/>
  <c r="Z55" i="38" s="1"/>
  <c r="AA55" i="38" s="1"/>
  <c r="AK55" i="38"/>
  <c r="AL55" i="38" s="1"/>
  <c r="AM55" i="38" s="1"/>
  <c r="S55" i="38"/>
  <c r="T55" i="38" s="1"/>
  <c r="U55" i="38" s="1"/>
  <c r="AR55" i="38" s="1"/>
  <c r="AE53" i="38"/>
  <c r="AF53" i="38" s="1"/>
  <c r="AG53" i="38" s="1"/>
  <c r="Y53" i="38"/>
  <c r="Z53" i="38" s="1"/>
  <c r="AA53" i="38" s="1"/>
  <c r="AK53" i="38"/>
  <c r="AL53" i="38" s="1"/>
  <c r="AM53" i="38" s="1"/>
  <c r="S53" i="38"/>
  <c r="T53" i="38" s="1"/>
  <c r="U53" i="38" s="1"/>
  <c r="AH28" i="38"/>
  <c r="AI28" i="38" s="1"/>
  <c r="AK63" i="38"/>
  <c r="AL63" i="38" s="1"/>
  <c r="AM63" i="38" s="1"/>
  <c r="AH48" i="38"/>
  <c r="AI48" i="38" s="1"/>
  <c r="V48" i="38"/>
  <c r="W48" i="38" s="1"/>
  <c r="S44" i="38"/>
  <c r="T44" i="38" s="1"/>
  <c r="U44" i="38" s="1"/>
  <c r="Y44" i="38"/>
  <c r="Z44" i="38" s="1"/>
  <c r="AA44" i="38" s="1"/>
  <c r="AE44" i="38"/>
  <c r="AF44" i="38" s="1"/>
  <c r="AG44" i="38" s="1"/>
  <c r="AK44" i="38"/>
  <c r="AL44" i="38" s="1"/>
  <c r="AM44" i="38" s="1"/>
  <c r="S40" i="38"/>
  <c r="T40" i="38" s="1"/>
  <c r="U40" i="38" s="1"/>
  <c r="AK40" i="38"/>
  <c r="AL40" i="38" s="1"/>
  <c r="AM40" i="38" s="1"/>
  <c r="AE40" i="38"/>
  <c r="AF40" i="38" s="1"/>
  <c r="AG40" i="38" s="1"/>
  <c r="Y40" i="38"/>
  <c r="Z40" i="38" s="1"/>
  <c r="AA40" i="38" s="1"/>
  <c r="AB35" i="38"/>
  <c r="AC35" i="38" s="1"/>
  <c r="AN23" i="38"/>
  <c r="AO23" i="38" s="1"/>
  <c r="S50" i="38"/>
  <c r="T50" i="38" s="1"/>
  <c r="U50" i="38" s="1"/>
  <c r="Y50" i="38"/>
  <c r="Z50" i="38" s="1"/>
  <c r="AA50" i="38" s="1"/>
  <c r="AE50" i="38"/>
  <c r="AF50" i="38" s="1"/>
  <c r="AG50" i="38" s="1"/>
  <c r="AK50" i="38"/>
  <c r="AL50" i="38" s="1"/>
  <c r="AM50" i="38" s="1"/>
  <c r="AK49" i="38"/>
  <c r="AL49" i="38" s="1"/>
  <c r="AM49" i="38" s="1"/>
  <c r="S49" i="38"/>
  <c r="T49" i="38" s="1"/>
  <c r="U49" i="38" s="1"/>
  <c r="AR49" i="38" s="1"/>
  <c r="AE49" i="38"/>
  <c r="AF49" i="38" s="1"/>
  <c r="AG49" i="38" s="1"/>
  <c r="AB42" i="38"/>
  <c r="AC42" i="38" s="1"/>
  <c r="AH36" i="38"/>
  <c r="AI36" i="38" s="1"/>
  <c r="S33" i="38"/>
  <c r="T33" i="38" s="1"/>
  <c r="U33" i="38" s="1"/>
  <c r="Y33" i="38"/>
  <c r="Z33" i="38" s="1"/>
  <c r="AA33" i="38" s="1"/>
  <c r="AK33" i="38"/>
  <c r="AL33" i="38" s="1"/>
  <c r="AM33" i="38" s="1"/>
  <c r="AE33" i="38"/>
  <c r="AF33" i="38" s="1"/>
  <c r="AG33" i="38" s="1"/>
  <c r="S29" i="38"/>
  <c r="T29" i="38" s="1"/>
  <c r="U29" i="38" s="1"/>
  <c r="AR29" i="38" s="1"/>
  <c r="AE29" i="38"/>
  <c r="AF29" i="38" s="1"/>
  <c r="AG29" i="38" s="1"/>
  <c r="Y29" i="38"/>
  <c r="Z29" i="38" s="1"/>
  <c r="AA29" i="38" s="1"/>
  <c r="AK29" i="38"/>
  <c r="AL29" i="38" s="1"/>
  <c r="AM29" i="38" s="1"/>
  <c r="AB25" i="38"/>
  <c r="AC25" i="38" s="1"/>
  <c r="AH45" i="38"/>
  <c r="AI45" i="38" s="1"/>
  <c r="AK43" i="38"/>
  <c r="AL43" i="38" s="1"/>
  <c r="AM43" i="38" s="1"/>
  <c r="Y43" i="38"/>
  <c r="Z43" i="38" s="1"/>
  <c r="AA43" i="38" s="1"/>
  <c r="S43" i="38"/>
  <c r="T43" i="38" s="1"/>
  <c r="U43" i="38" s="1"/>
  <c r="V42" i="38"/>
  <c r="W42" i="38" s="1"/>
  <c r="AB36" i="38"/>
  <c r="AC36" i="38" s="1"/>
  <c r="S34" i="38"/>
  <c r="T34" i="38" s="1"/>
  <c r="U34" i="38" s="1"/>
  <c r="Y34" i="38"/>
  <c r="Z34" i="38" s="1"/>
  <c r="AA34" i="38" s="1"/>
  <c r="AE34" i="38"/>
  <c r="AF34" i="38" s="1"/>
  <c r="AG34" i="38" s="1"/>
  <c r="AK34" i="38"/>
  <c r="AL34" i="38" s="1"/>
  <c r="AM34" i="38" s="1"/>
  <c r="V30" i="38"/>
  <c r="W30" i="38" s="1"/>
  <c r="AE61" i="38"/>
  <c r="AF61" i="38" s="1"/>
  <c r="AG61" i="38" s="1"/>
  <c r="AK61" i="38"/>
  <c r="AL61" i="38" s="1"/>
  <c r="AM61" i="38" s="1"/>
  <c r="V54" i="38"/>
  <c r="W54" i="38" s="1"/>
  <c r="AN48" i="38"/>
  <c r="AO48" i="38" s="1"/>
  <c r="AB48" i="38"/>
  <c r="AC48" i="38" s="1"/>
  <c r="S46" i="38"/>
  <c r="T46" i="38" s="1"/>
  <c r="U46" i="38" s="1"/>
  <c r="Y46" i="38"/>
  <c r="Z46" i="38" s="1"/>
  <c r="AA46" i="38" s="1"/>
  <c r="AK46" i="38"/>
  <c r="AL46" i="38" s="1"/>
  <c r="AM46" i="38" s="1"/>
  <c r="V39" i="38"/>
  <c r="W39" i="38" s="1"/>
  <c r="AH20" i="38"/>
  <c r="AI20" i="38" s="1"/>
  <c r="AH46" i="38"/>
  <c r="AI46" i="38" s="1"/>
  <c r="AE43" i="38"/>
  <c r="AF43" i="38" s="1"/>
  <c r="AG43" i="38" s="1"/>
  <c r="S38" i="38"/>
  <c r="T38" i="38" s="1"/>
  <c r="U38" i="38" s="1"/>
  <c r="Y38" i="38"/>
  <c r="Z38" i="38" s="1"/>
  <c r="AA38" i="38" s="1"/>
  <c r="AE38" i="38"/>
  <c r="AF38" i="38" s="1"/>
  <c r="AG38" i="38" s="1"/>
  <c r="AK38" i="38"/>
  <c r="AL38" i="38" s="1"/>
  <c r="AM38" i="38" s="1"/>
  <c r="AK37" i="38"/>
  <c r="AL37" i="38" s="1"/>
  <c r="AM37" i="38" s="1"/>
  <c r="S37" i="38"/>
  <c r="T37" i="38" s="1"/>
  <c r="U37" i="38" s="1"/>
  <c r="AE37" i="38"/>
  <c r="AF37" i="38" s="1"/>
  <c r="AG37" i="38" s="1"/>
  <c r="Y37" i="38"/>
  <c r="Z37" i="38" s="1"/>
  <c r="AA37" i="38" s="1"/>
  <c r="V36" i="38"/>
  <c r="W36" i="38" s="1"/>
  <c r="AH35" i="38"/>
  <c r="AI35" i="38" s="1"/>
  <c r="AB24" i="38"/>
  <c r="AC24" i="38" s="1"/>
  <c r="AH14" i="38"/>
  <c r="AI14" i="38" s="1"/>
  <c r="AK32" i="38"/>
  <c r="AL32" i="38" s="1"/>
  <c r="AM32" i="38" s="1"/>
  <c r="S32" i="38"/>
  <c r="T32" i="38" s="1"/>
  <c r="U32" i="38" s="1"/>
  <c r="AE32" i="38"/>
  <c r="AF32" i="38" s="1"/>
  <c r="AG32" i="38" s="1"/>
  <c r="S31" i="38"/>
  <c r="T31" i="38" s="1"/>
  <c r="U31" i="38" s="1"/>
  <c r="AR31" i="38" s="1"/>
  <c r="AE31" i="38"/>
  <c r="AF31" i="38" s="1"/>
  <c r="AG31" i="38" s="1"/>
  <c r="V20" i="38"/>
  <c r="W20" i="38" s="1"/>
  <c r="V16" i="38"/>
  <c r="W16" i="38" s="1"/>
  <c r="S56" i="38"/>
  <c r="T56" i="38" s="1"/>
  <c r="U56" i="38" s="1"/>
  <c r="Y56" i="38"/>
  <c r="Z56" i="38" s="1"/>
  <c r="AA56" i="38" s="1"/>
  <c r="AE56" i="38"/>
  <c r="AF56" i="38" s="1"/>
  <c r="AG56" i="38" s="1"/>
  <c r="AK56" i="38"/>
  <c r="AL56" i="38" s="1"/>
  <c r="AM56" i="38" s="1"/>
  <c r="AN31" i="38"/>
  <c r="AO31" i="38" s="1"/>
  <c r="AB31" i="38"/>
  <c r="AC31" i="38" s="1"/>
  <c r="AB30" i="38"/>
  <c r="AC30" i="38" s="1"/>
  <c r="AB18" i="38"/>
  <c r="AC18" i="38" s="1"/>
  <c r="AK36" i="38"/>
  <c r="AL36" i="38" s="1"/>
  <c r="AM36" i="38" s="1"/>
  <c r="AN25" i="38"/>
  <c r="AO25" i="38" s="1"/>
  <c r="AN22" i="38"/>
  <c r="AO22" i="38" s="1"/>
  <c r="AB22" i="38"/>
  <c r="AC22" i="38" s="1"/>
  <c r="S19" i="38"/>
  <c r="T19" i="38" s="1"/>
  <c r="U19" i="38" s="1"/>
  <c r="Y19" i="38"/>
  <c r="Z19" i="38" s="1"/>
  <c r="AA19" i="38" s="1"/>
  <c r="AE19" i="38"/>
  <c r="AF19" i="38" s="1"/>
  <c r="AG19" i="38" s="1"/>
  <c r="AK19" i="38"/>
  <c r="AL19" i="38" s="1"/>
  <c r="AM19" i="38" s="1"/>
  <c r="V13" i="38"/>
  <c r="W13" i="38" s="1"/>
  <c r="S25" i="38"/>
  <c r="T25" i="38" s="1"/>
  <c r="U25" i="38" s="1"/>
  <c r="AE25" i="38"/>
  <c r="AF25" i="38" s="1"/>
  <c r="AG25" i="38" s="1"/>
  <c r="AN18" i="38"/>
  <c r="AO18" i="38" s="1"/>
  <c r="AH16" i="38"/>
  <c r="AI16" i="38" s="1"/>
  <c r="AN14" i="38"/>
  <c r="AO14" i="38" s="1"/>
  <c r="S27" i="38"/>
  <c r="T27" i="38" s="1"/>
  <c r="U27" i="38" s="1"/>
  <c r="Y27" i="38"/>
  <c r="Z27" i="38" s="1"/>
  <c r="AA27" i="38" s="1"/>
  <c r="AE27" i="38"/>
  <c r="AF27" i="38" s="1"/>
  <c r="AG27" i="38" s="1"/>
  <c r="AK27" i="38"/>
  <c r="AL27" i="38" s="1"/>
  <c r="AM27" i="38" s="1"/>
  <c r="S23" i="38"/>
  <c r="T23" i="38" s="1"/>
  <c r="U23" i="38" s="1"/>
  <c r="AE23" i="38"/>
  <c r="AF23" i="38" s="1"/>
  <c r="AG23" i="38" s="1"/>
  <c r="S21" i="38"/>
  <c r="T21" i="38" s="1"/>
  <c r="U21" i="38" s="1"/>
  <c r="Y21" i="38"/>
  <c r="Z21" i="38" s="1"/>
  <c r="AA21" i="38" s="1"/>
  <c r="AE21" i="38"/>
  <c r="AF21" i="38" s="1"/>
  <c r="AG21" i="38" s="1"/>
  <c r="AK21" i="38"/>
  <c r="AL21" i="38" s="1"/>
  <c r="AM21" i="38" s="1"/>
  <c r="V18" i="38"/>
  <c r="W18" i="38" s="1"/>
  <c r="V14" i="38"/>
  <c r="W14" i="38" s="1"/>
  <c r="S17" i="38"/>
  <c r="T17" i="38" s="1"/>
  <c r="U17" i="38" s="1"/>
  <c r="Y17" i="38"/>
  <c r="Z17" i="38" s="1"/>
  <c r="AA17" i="38" s="1"/>
  <c r="AE17" i="38"/>
  <c r="AF17" i="38" s="1"/>
  <c r="AG17" i="38" s="1"/>
  <c r="AK17" i="38"/>
  <c r="AL17" i="38" s="1"/>
  <c r="AM17" i="38" s="1"/>
  <c r="AB16" i="38"/>
  <c r="AC16" i="38" s="1"/>
  <c r="S15" i="38"/>
  <c r="T15" i="38" s="1"/>
  <c r="U15" i="38" s="1"/>
  <c r="Y15" i="38"/>
  <c r="Z15" i="38" s="1"/>
  <c r="AA15" i="38" s="1"/>
  <c r="AE15" i="38"/>
  <c r="AF15" i="38" s="1"/>
  <c r="AG15" i="38" s="1"/>
  <c r="AK15" i="38"/>
  <c r="AL15" i="38" s="1"/>
  <c r="AM15" i="38" s="1"/>
  <c r="V12" i="38"/>
  <c r="W12" i="38" s="1"/>
  <c r="AK13" i="38"/>
  <c r="AL13" i="38" s="1"/>
  <c r="AM13" i="38" s="1"/>
  <c r="AE13" i="38"/>
  <c r="AF13" i="38" s="1"/>
  <c r="AG13" i="38" s="1"/>
  <c r="Y13" i="38"/>
  <c r="Z13" i="38" s="1"/>
  <c r="AA13" i="38" s="1"/>
  <c r="AR13" i="38" s="1"/>
  <c r="AK12" i="38"/>
  <c r="AL12" i="38" s="1"/>
  <c r="AM12" i="38" s="1"/>
  <c r="AE12" i="38"/>
  <c r="AF12" i="38" s="1"/>
  <c r="AG12" i="38" s="1"/>
  <c r="Y12" i="38"/>
  <c r="Z12" i="38" s="1"/>
  <c r="AA12" i="38" s="1"/>
  <c r="H305" i="44"/>
  <c r="G244" i="44"/>
  <c r="I152" i="44"/>
  <c r="G187" i="44"/>
  <c r="G254" i="44"/>
  <c r="J241" i="44"/>
  <c r="J327" i="44"/>
  <c r="D376" i="39"/>
  <c r="G107" i="44"/>
  <c r="H187" i="44"/>
  <c r="H112" i="44"/>
  <c r="I305" i="44"/>
  <c r="I124" i="44"/>
  <c r="G112" i="44"/>
  <c r="G124" i="44"/>
  <c r="G260" i="44"/>
  <c r="I83" i="44"/>
  <c r="B376" i="39"/>
  <c r="G376" i="39"/>
  <c r="J137" i="44"/>
  <c r="I376" i="39"/>
  <c r="H360" i="44"/>
  <c r="H271" i="44"/>
  <c r="N376" i="39"/>
  <c r="G64" i="44"/>
  <c r="I178" i="44"/>
  <c r="I86" i="44"/>
  <c r="F376" i="39"/>
  <c r="O376" i="39"/>
  <c r="H223" i="44"/>
  <c r="I48" i="44"/>
  <c r="J295" i="44"/>
  <c r="G374" i="44"/>
  <c r="G74" i="44"/>
  <c r="I315" i="44"/>
  <c r="J214" i="44"/>
  <c r="J199" i="44"/>
  <c r="H376" i="39"/>
  <c r="J74" i="44"/>
  <c r="H158" i="44"/>
  <c r="G271" i="44"/>
  <c r="J139" i="44"/>
  <c r="I157" i="44"/>
  <c r="J224" i="44"/>
  <c r="I347" i="44"/>
  <c r="I106" i="44"/>
  <c r="J84" i="44"/>
  <c r="I140" i="44"/>
  <c r="G309" i="44"/>
  <c r="E376" i="39"/>
  <c r="I172" i="44"/>
  <c r="J245" i="44"/>
  <c r="J372" i="44"/>
  <c r="H295" i="44"/>
  <c r="I92" i="44"/>
  <c r="L376" i="39"/>
  <c r="J333" i="44"/>
  <c r="J158" i="44"/>
  <c r="C376" i="39"/>
  <c r="J309" i="44"/>
  <c r="H84" i="44"/>
  <c r="G346" i="44"/>
  <c r="J92" i="44"/>
  <c r="I163" i="44"/>
  <c r="J184" i="44"/>
  <c r="I215" i="44"/>
  <c r="H139" i="44"/>
  <c r="G372" i="44"/>
  <c r="J271" i="44"/>
  <c r="J242" i="44"/>
  <c r="I319" i="44"/>
  <c r="K376" i="39"/>
  <c r="M376" i="39"/>
  <c r="J305" i="44"/>
  <c r="I45" i="44"/>
  <c r="H217" i="44"/>
  <c r="AR12" i="38" l="1"/>
  <c r="AR27" i="38"/>
  <c r="AR59" i="38"/>
  <c r="AR94" i="38"/>
  <c r="AR79" i="38"/>
  <c r="AR69" i="38"/>
  <c r="AR91" i="38"/>
  <c r="AR102" i="38"/>
  <c r="AR114" i="38"/>
  <c r="AR125" i="38"/>
  <c r="AR149" i="38"/>
  <c r="AR212" i="38"/>
  <c r="AR222" i="38"/>
  <c r="AR225" i="38"/>
  <c r="AR239" i="38"/>
  <c r="AR252" i="38"/>
  <c r="AR290" i="38"/>
  <c r="AR280" i="38"/>
  <c r="AR287" i="38"/>
  <c r="AR338" i="38"/>
  <c r="AR362" i="38"/>
  <c r="AR298" i="38"/>
  <c r="AR344" i="38"/>
  <c r="AR36" i="38"/>
  <c r="AR83" i="38"/>
  <c r="AR63" i="38"/>
  <c r="AR146" i="38"/>
  <c r="AR265" i="38"/>
  <c r="AR109" i="38"/>
  <c r="AR233" i="38"/>
  <c r="AR220" i="38"/>
  <c r="AR328" i="38"/>
  <c r="AR274" i="38"/>
  <c r="AB374" i="38"/>
  <c r="AC374" i="38" s="1"/>
  <c r="AR324" i="38"/>
  <c r="AR172" i="38"/>
  <c r="AR248" i="38"/>
  <c r="AR245" i="38"/>
  <c r="AR311" i="38"/>
  <c r="AR369" i="38"/>
  <c r="AR86" i="38"/>
  <c r="AR127" i="38"/>
  <c r="AR259" i="38"/>
  <c r="U315" i="38"/>
  <c r="AR315" i="38" s="1"/>
  <c r="AR187" i="38"/>
  <c r="AR346" i="38"/>
  <c r="AR19" i="38"/>
  <c r="AR105" i="38"/>
  <c r="AR17" i="38"/>
  <c r="AR21" i="38"/>
  <c r="AR37" i="38"/>
  <c r="AR46" i="38"/>
  <c r="AR15" i="38"/>
  <c r="AR43" i="38"/>
  <c r="AR33" i="38"/>
  <c r="AR53" i="38"/>
  <c r="AR73" i="38"/>
  <c r="AR97" i="38"/>
  <c r="AR117" i="38"/>
  <c r="AR99" i="38"/>
  <c r="AR156" i="38"/>
  <c r="AR126" i="38"/>
  <c r="AR164" i="38"/>
  <c r="AR203" i="38"/>
  <c r="AR161" i="38"/>
  <c r="AR209" i="38"/>
  <c r="AR292" i="38"/>
  <c r="AR326" i="38"/>
  <c r="AR371" i="38"/>
  <c r="AR373" i="38"/>
  <c r="AR313" i="38"/>
  <c r="AR87" i="38"/>
  <c r="AR190" i="38"/>
  <c r="AR51" i="38"/>
  <c r="AR202" i="38"/>
  <c r="AR277" i="38"/>
  <c r="AR366" i="38"/>
  <c r="AR345" i="38"/>
  <c r="AR129" i="38"/>
  <c r="AR374" i="38"/>
  <c r="AR38" i="38"/>
  <c r="AR44" i="38"/>
  <c r="AR26" i="38"/>
  <c r="AR85" i="38"/>
  <c r="AR103" i="38"/>
  <c r="AR120" i="38"/>
  <c r="AR143" i="38"/>
  <c r="AR141" i="38"/>
  <c r="AR138" i="38"/>
  <c r="AR177" i="38"/>
  <c r="AR197" i="38"/>
  <c r="AR219" i="38"/>
  <c r="AR231" i="38"/>
  <c r="AR243" i="38"/>
  <c r="AR299" i="38"/>
  <c r="AR320" i="38"/>
  <c r="AR356" i="38"/>
  <c r="AR319" i="38"/>
  <c r="AR336" i="38"/>
  <c r="AR365" i="38"/>
  <c r="AR89" i="38"/>
  <c r="AR159" i="38"/>
  <c r="AR200" i="38"/>
  <c r="AR121" i="38"/>
  <c r="AR342" i="38"/>
  <c r="AR151" i="38"/>
  <c r="AR81" i="38"/>
  <c r="AR283" i="38"/>
  <c r="AR251" i="38"/>
  <c r="AR227" i="38"/>
  <c r="AR372" i="38"/>
  <c r="AR107" i="38"/>
  <c r="AR348" i="38"/>
  <c r="AB376" i="38"/>
  <c r="AC376" i="38" s="1"/>
  <c r="AA376" i="38"/>
  <c r="AH376" i="38"/>
  <c r="AI376" i="38" s="1"/>
  <c r="AG376" i="38"/>
  <c r="AR128" i="38"/>
  <c r="AR256" i="38"/>
  <c r="AR354" i="38"/>
  <c r="AR98" i="38"/>
  <c r="AR358" i="38"/>
  <c r="AR169" i="38"/>
  <c r="AR254" i="38"/>
  <c r="AR64" i="38"/>
  <c r="AR260" i="38"/>
  <c r="AR112" i="38"/>
  <c r="AR352" i="38"/>
  <c r="AR56" i="38"/>
  <c r="AR32" i="38"/>
  <c r="AR34" i="38"/>
  <c r="AR50" i="38"/>
  <c r="AR40" i="38"/>
  <c r="AR60" i="38"/>
  <c r="AR67" i="38"/>
  <c r="AR108" i="38"/>
  <c r="AR123" i="38"/>
  <c r="AR171" i="38"/>
  <c r="AR185" i="38"/>
  <c r="AR240" i="38"/>
  <c r="AR281" i="38"/>
  <c r="AR275" i="38"/>
  <c r="AR293" i="38"/>
  <c r="AR296" i="38"/>
  <c r="AR350" i="38"/>
  <c r="AR323" i="38"/>
  <c r="AR66" i="38"/>
  <c r="AR263" i="38"/>
  <c r="AR208" i="38"/>
  <c r="AR317" i="38"/>
  <c r="AR334" i="38"/>
  <c r="AR205" i="38"/>
  <c r="AR375" i="38"/>
  <c r="AR62" i="38"/>
  <c r="AR196" i="38"/>
  <c r="AR333" i="38"/>
  <c r="AR361" i="38"/>
  <c r="AR90" i="38"/>
  <c r="AR45" i="38"/>
  <c r="AR52" i="38"/>
  <c r="AR74" i="38"/>
  <c r="AR244" i="38"/>
  <c r="AR214" i="38"/>
  <c r="AR118" i="38"/>
  <c r="AR25" i="38"/>
  <c r="AR132" i="38"/>
  <c r="AR147" i="38"/>
  <c r="AR216" i="38"/>
  <c r="AR167" i="38"/>
  <c r="AR179" i="38"/>
  <c r="AR246" i="38"/>
  <c r="AR228" i="38"/>
  <c r="AR234" i="38"/>
  <c r="AR258" i="38"/>
  <c r="AR122" i="38"/>
  <c r="AR80" i="38"/>
  <c r="AR276" i="38"/>
  <c r="AR77" i="38"/>
  <c r="AR294" i="38"/>
  <c r="AR339" i="38"/>
  <c r="AR58" i="38"/>
  <c r="AR135" i="38"/>
  <c r="AR238" i="38"/>
  <c r="AR325" i="38"/>
  <c r="V376" i="38"/>
  <c r="W376" i="38" s="1"/>
  <c r="U376" i="38"/>
  <c r="AR376" i="38" s="1"/>
  <c r="AR367" i="38"/>
  <c r="AN42" i="38"/>
  <c r="AO42" i="38" s="1"/>
  <c r="AH88" i="38"/>
  <c r="AI88" i="38" s="1"/>
  <c r="AB89" i="38"/>
  <c r="AC89" i="38" s="1"/>
  <c r="AH151" i="38"/>
  <c r="AI151" i="38" s="1"/>
  <c r="AH154" i="38"/>
  <c r="AI154" i="38" s="1"/>
  <c r="AH206" i="38"/>
  <c r="AI206" i="38" s="1"/>
  <c r="AH220" i="38"/>
  <c r="AI220" i="38" s="1"/>
  <c r="AH294" i="38"/>
  <c r="AI294" i="38" s="1"/>
  <c r="AH341" i="38"/>
  <c r="AI341" i="38" s="1"/>
  <c r="AH366" i="38"/>
  <c r="AI366" i="38" s="1"/>
  <c r="AB236" i="38"/>
  <c r="AC236" i="38" s="1"/>
  <c r="AN20" i="38"/>
  <c r="AO20" i="38" s="1"/>
  <c r="AB104" i="38"/>
  <c r="AC104" i="38" s="1"/>
  <c r="AN104" i="38"/>
  <c r="AO104" i="38" s="1"/>
  <c r="AH72" i="38"/>
  <c r="AI72" i="38" s="1"/>
  <c r="AB71" i="38"/>
  <c r="AC71" i="38" s="1"/>
  <c r="AN142" i="38"/>
  <c r="AO142" i="38" s="1"/>
  <c r="AN116" i="38"/>
  <c r="AO116" i="38" s="1"/>
  <c r="V181" i="38"/>
  <c r="W181" i="38" s="1"/>
  <c r="AH277" i="38"/>
  <c r="AI277" i="38" s="1"/>
  <c r="AN300" i="38"/>
  <c r="AO300" i="38" s="1"/>
  <c r="AH343" i="38"/>
  <c r="AI343" i="38" s="1"/>
  <c r="AH323" i="38"/>
  <c r="AI323" i="38" s="1"/>
  <c r="AG364" i="38"/>
  <c r="AN16" i="38"/>
  <c r="AO16" i="38" s="1"/>
  <c r="AB51" i="38"/>
  <c r="AC51" i="38" s="1"/>
  <c r="AN81" i="38"/>
  <c r="AO81" i="38" s="1"/>
  <c r="AH92" i="38"/>
  <c r="AI92" i="38" s="1"/>
  <c r="V77" i="38"/>
  <c r="W77" i="38" s="1"/>
  <c r="AN157" i="38"/>
  <c r="AO157" i="38" s="1"/>
  <c r="V160" i="38"/>
  <c r="W160" i="38" s="1"/>
  <c r="AN199" i="38"/>
  <c r="AO199" i="38" s="1"/>
  <c r="AB193" i="38"/>
  <c r="AC193" i="38" s="1"/>
  <c r="AB199" i="38"/>
  <c r="AC199" i="38" s="1"/>
  <c r="V253" i="38"/>
  <c r="W253" i="38" s="1"/>
  <c r="V335" i="38"/>
  <c r="W335" i="38" s="1"/>
  <c r="AB325" i="38"/>
  <c r="AC325" i="38" s="1"/>
  <c r="AN324" i="38"/>
  <c r="AO324" i="38" s="1"/>
  <c r="V202" i="38"/>
  <c r="W202" i="38" s="1"/>
  <c r="AN224" i="38"/>
  <c r="AO224" i="38" s="1"/>
  <c r="AH227" i="38"/>
  <c r="AI227" i="38" s="1"/>
  <c r="AB368" i="38"/>
  <c r="AC368" i="38" s="1"/>
  <c r="AN70" i="38"/>
  <c r="AO70" i="38" s="1"/>
  <c r="AN86" i="38"/>
  <c r="AO86" i="38" s="1"/>
  <c r="AH148" i="38"/>
  <c r="AI148" i="38" s="1"/>
  <c r="AB282" i="38"/>
  <c r="AC282" i="38" s="1"/>
  <c r="V294" i="38"/>
  <c r="W294" i="38" s="1"/>
  <c r="AN360" i="38"/>
  <c r="AO360" i="38" s="1"/>
  <c r="V52" i="38"/>
  <c r="W52" i="38" s="1"/>
  <c r="V223" i="38"/>
  <c r="W223" i="38" s="1"/>
  <c r="AB257" i="38"/>
  <c r="AC257" i="38" s="1"/>
  <c r="V339" i="38"/>
  <c r="W339" i="38" s="1"/>
  <c r="V374" i="38"/>
  <c r="W374" i="38" s="1"/>
  <c r="AG359" i="38"/>
  <c r="AR359" i="38" s="1"/>
  <c r="AA309" i="38"/>
  <c r="AR309" i="38" s="1"/>
  <c r="AH93" i="38"/>
  <c r="AI93" i="38" s="1"/>
  <c r="AB169" i="38"/>
  <c r="AC169" i="38" s="1"/>
  <c r="AH215" i="38"/>
  <c r="AI215" i="38" s="1"/>
  <c r="V201" i="38"/>
  <c r="W201" i="38" s="1"/>
  <c r="AB183" i="38"/>
  <c r="AC183" i="38" s="1"/>
  <c r="AH305" i="38"/>
  <c r="AI305" i="38" s="1"/>
  <c r="AN375" i="38"/>
  <c r="AO375" i="38" s="1"/>
  <c r="AB211" i="38"/>
  <c r="AC211" i="38" s="1"/>
  <c r="AB261" i="38"/>
  <c r="AC261" i="38" s="1"/>
  <c r="AB251" i="38"/>
  <c r="AC251" i="38" s="1"/>
  <c r="AB340" i="38"/>
  <c r="AC340" i="38" s="1"/>
  <c r="V276" i="38"/>
  <c r="W276" i="38" s="1"/>
  <c r="V333" i="38"/>
  <c r="W333" i="38" s="1"/>
  <c r="V196" i="38"/>
  <c r="W196" i="38" s="1"/>
  <c r="AB163" i="38"/>
  <c r="AC163" i="38" s="1"/>
  <c r="AH218" i="38"/>
  <c r="AI218" i="38" s="1"/>
  <c r="AH349" i="38"/>
  <c r="AI349" i="38" s="1"/>
  <c r="AB90" i="38"/>
  <c r="AC90" i="38" s="1"/>
  <c r="V316" i="38"/>
  <c r="W316" i="38" s="1"/>
  <c r="V257" i="38"/>
  <c r="W257" i="38" s="1"/>
  <c r="AN196" i="38"/>
  <c r="AO196" i="38" s="1"/>
  <c r="V364" i="38"/>
  <c r="W364" i="38" s="1"/>
  <c r="AB62" i="38"/>
  <c r="AC62" i="38" s="1"/>
  <c r="V76" i="38"/>
  <c r="W76" i="38" s="1"/>
  <c r="AB115" i="38"/>
  <c r="AC115" i="38" s="1"/>
  <c r="AB107" i="38"/>
  <c r="AC107" i="38" s="1"/>
  <c r="AN106" i="38"/>
  <c r="AO106" i="38" s="1"/>
  <c r="AN66" i="38"/>
  <c r="AO66" i="38" s="1"/>
  <c r="V190" i="38"/>
  <c r="W190" i="38" s="1"/>
  <c r="AH51" i="38"/>
  <c r="AI51" i="38" s="1"/>
  <c r="AH113" i="38"/>
  <c r="AI113" i="38" s="1"/>
  <c r="AH241" i="38"/>
  <c r="AI241" i="38" s="1"/>
  <c r="AB230" i="38"/>
  <c r="AC230" i="38" s="1"/>
  <c r="AB224" i="38"/>
  <c r="AC224" i="38" s="1"/>
  <c r="V334" i="38"/>
  <c r="W334" i="38" s="1"/>
  <c r="AH310" i="38"/>
  <c r="AI310" i="38" s="1"/>
  <c r="AN282" i="38"/>
  <c r="AO282" i="38" s="1"/>
  <c r="AB352" i="38"/>
  <c r="AC352" i="38" s="1"/>
  <c r="V274" i="38"/>
  <c r="W274" i="38" s="1"/>
  <c r="AB20" i="38"/>
  <c r="AC20" i="38" s="1"/>
  <c r="AH107" i="38"/>
  <c r="AI107" i="38" s="1"/>
  <c r="AN190" i="38"/>
  <c r="AO190" i="38" s="1"/>
  <c r="V106" i="38"/>
  <c r="W106" i="38" s="1"/>
  <c r="AB78" i="38"/>
  <c r="AC78" i="38" s="1"/>
  <c r="AN265" i="38"/>
  <c r="AO265" i="38" s="1"/>
  <c r="V233" i="38"/>
  <c r="W233" i="38" s="1"/>
  <c r="AN270" i="38"/>
  <c r="AO270" i="38" s="1"/>
  <c r="AH321" i="38"/>
  <c r="AI321" i="38" s="1"/>
  <c r="AB80" i="38"/>
  <c r="AC80" i="38" s="1"/>
  <c r="AB88" i="38"/>
  <c r="AC88" i="38" s="1"/>
  <c r="AB267" i="38"/>
  <c r="AC267" i="38" s="1"/>
  <c r="AN334" i="38"/>
  <c r="AO334" i="38" s="1"/>
  <c r="AB355" i="38"/>
  <c r="AC355" i="38" s="1"/>
  <c r="AB160" i="38"/>
  <c r="AC160" i="38" s="1"/>
  <c r="AH355" i="38"/>
  <c r="AI355" i="38" s="1"/>
  <c r="AN57" i="38"/>
  <c r="AO57" i="38" s="1"/>
  <c r="AH104" i="38"/>
  <c r="AI104" i="38" s="1"/>
  <c r="AN122" i="38"/>
  <c r="AO122" i="38" s="1"/>
  <c r="AN51" i="38"/>
  <c r="AO51" i="38" s="1"/>
  <c r="AB109" i="38"/>
  <c r="AC109" i="38" s="1"/>
  <c r="AN233" i="38"/>
  <c r="AO233" i="38" s="1"/>
  <c r="AH327" i="38"/>
  <c r="AI327" i="38" s="1"/>
  <c r="AH80" i="38"/>
  <c r="AI80" i="38" s="1"/>
  <c r="V88" i="38"/>
  <c r="W88" i="38" s="1"/>
  <c r="AB155" i="38"/>
  <c r="AC155" i="38" s="1"/>
  <c r="AH81" i="38"/>
  <c r="AI81" i="38" s="1"/>
  <c r="AB159" i="38"/>
  <c r="AC159" i="38" s="1"/>
  <c r="V178" i="38"/>
  <c r="W178" i="38" s="1"/>
  <c r="AN39" i="38"/>
  <c r="AO39" i="38" s="1"/>
  <c r="V80" i="38"/>
  <c r="W80" i="38" s="1"/>
  <c r="AH267" i="38"/>
  <c r="AI267" i="38" s="1"/>
  <c r="AB358" i="38"/>
  <c r="AC358" i="38" s="1"/>
  <c r="AB289" i="38"/>
  <c r="AC289" i="38" s="1"/>
  <c r="AN343" i="38"/>
  <c r="AO343" i="38" s="1"/>
  <c r="V24" i="38"/>
  <c r="W24" i="38" s="1"/>
  <c r="AN47" i="38"/>
  <c r="AO47" i="38" s="1"/>
  <c r="V66" i="38"/>
  <c r="W66" i="38" s="1"/>
  <c r="AB98" i="38"/>
  <c r="AC98" i="38" s="1"/>
  <c r="V263" i="38"/>
  <c r="W263" i="38" s="1"/>
  <c r="AB270" i="38"/>
  <c r="AC270" i="38" s="1"/>
  <c r="V285" i="38"/>
  <c r="W285" i="38" s="1"/>
  <c r="AB285" i="38"/>
  <c r="AC285" i="38" s="1"/>
  <c r="AB63" i="38"/>
  <c r="AC63" i="38" s="1"/>
  <c r="V22" i="38"/>
  <c r="W22" i="38" s="1"/>
  <c r="AB66" i="38"/>
  <c r="AC66" i="38" s="1"/>
  <c r="V133" i="38"/>
  <c r="W133" i="38" s="1"/>
  <c r="V51" i="38"/>
  <c r="W51" i="38" s="1"/>
  <c r="V122" i="38"/>
  <c r="W122" i="38" s="1"/>
  <c r="AB113" i="38"/>
  <c r="AC113" i="38" s="1"/>
  <c r="AH39" i="38"/>
  <c r="AI39" i="38" s="1"/>
  <c r="AH263" i="38"/>
  <c r="AI263" i="38" s="1"/>
  <c r="AH230" i="38"/>
  <c r="AI230" i="38" s="1"/>
  <c r="AN303" i="38"/>
  <c r="AO303" i="38" s="1"/>
  <c r="AN361" i="38"/>
  <c r="AO361" i="38" s="1"/>
  <c r="AH369" i="38"/>
  <c r="AI369" i="38" s="1"/>
  <c r="AH361" i="38"/>
  <c r="AI361" i="38" s="1"/>
  <c r="AB328" i="38"/>
  <c r="AC328" i="38" s="1"/>
  <c r="AH334" i="38"/>
  <c r="AI334" i="38" s="1"/>
  <c r="AH56" i="38"/>
  <c r="AI56" i="38" s="1"/>
  <c r="V37" i="38"/>
  <c r="W37" i="38" s="1"/>
  <c r="AH43" i="38"/>
  <c r="AI43" i="38" s="1"/>
  <c r="V46" i="38"/>
  <c r="W46" i="38" s="1"/>
  <c r="AN61" i="38"/>
  <c r="AO61" i="38" s="1"/>
  <c r="AB34" i="38"/>
  <c r="AC34" i="38" s="1"/>
  <c r="V43" i="38"/>
  <c r="W43" i="38" s="1"/>
  <c r="AN29" i="38"/>
  <c r="AO29" i="38" s="1"/>
  <c r="AB33" i="38"/>
  <c r="AC33" i="38" s="1"/>
  <c r="AN49" i="38"/>
  <c r="AO49" i="38" s="1"/>
  <c r="V40" i="38"/>
  <c r="W40" i="38" s="1"/>
  <c r="V53" i="38"/>
  <c r="W53" i="38" s="1"/>
  <c r="AB55" i="38"/>
  <c r="AC55" i="38" s="1"/>
  <c r="AN65" i="38"/>
  <c r="AO65" i="38" s="1"/>
  <c r="AN71" i="38"/>
  <c r="AO71" i="38" s="1"/>
  <c r="AN26" i="38"/>
  <c r="AO26" i="38" s="1"/>
  <c r="V60" i="38"/>
  <c r="W60" i="38" s="1"/>
  <c r="AB67" i="38"/>
  <c r="AC67" i="38" s="1"/>
  <c r="AB73" i="38"/>
  <c r="AC73" i="38" s="1"/>
  <c r="AB79" i="38"/>
  <c r="AC79" i="38" s="1"/>
  <c r="V97" i="38"/>
  <c r="W97" i="38" s="1"/>
  <c r="AH69" i="38"/>
  <c r="AI69" i="38" s="1"/>
  <c r="AH85" i="38"/>
  <c r="AI85" i="38" s="1"/>
  <c r="V91" i="38"/>
  <c r="W91" i="38" s="1"/>
  <c r="V105" i="38"/>
  <c r="W105" i="38" s="1"/>
  <c r="AH117" i="38"/>
  <c r="AI117" i="38" s="1"/>
  <c r="V95" i="38"/>
  <c r="W95" i="38" s="1"/>
  <c r="AH102" i="38"/>
  <c r="AI102" i="38" s="1"/>
  <c r="V103" i="38"/>
  <c r="W103" i="38" s="1"/>
  <c r="AB99" i="38"/>
  <c r="AC99" i="38" s="1"/>
  <c r="AB150" i="38"/>
  <c r="AC150" i="38" s="1"/>
  <c r="V120" i="38"/>
  <c r="W120" i="38" s="1"/>
  <c r="V125" i="38"/>
  <c r="W125" i="38" s="1"/>
  <c r="AN131" i="38"/>
  <c r="AO131" i="38" s="1"/>
  <c r="AN136" i="38"/>
  <c r="AO136" i="38" s="1"/>
  <c r="AH149" i="38"/>
  <c r="AI149" i="38" s="1"/>
  <c r="AB141" i="38"/>
  <c r="AC141" i="38" s="1"/>
  <c r="AB130" i="38"/>
  <c r="AC130" i="38" s="1"/>
  <c r="V132" i="38"/>
  <c r="W132" i="38" s="1"/>
  <c r="AN156" i="38"/>
  <c r="AO156" i="38" s="1"/>
  <c r="AB119" i="38"/>
  <c r="AC119" i="38" s="1"/>
  <c r="AH126" i="38"/>
  <c r="AI126" i="38" s="1"/>
  <c r="AN138" i="38"/>
  <c r="AO138" i="38" s="1"/>
  <c r="AN159" i="38"/>
  <c r="AO159" i="38" s="1"/>
  <c r="AN168" i="38"/>
  <c r="AO168" i="38" s="1"/>
  <c r="AN180" i="38"/>
  <c r="AO180" i="38" s="1"/>
  <c r="AN192" i="38"/>
  <c r="AO192" i="38" s="1"/>
  <c r="AN204" i="38"/>
  <c r="AO204" i="38" s="1"/>
  <c r="AN171" i="38"/>
  <c r="AO171" i="38" s="1"/>
  <c r="AB177" i="38"/>
  <c r="AC177" i="38" s="1"/>
  <c r="AN182" i="38"/>
  <c r="AO182" i="38" s="1"/>
  <c r="AH216" i="38"/>
  <c r="AI216" i="38" s="1"/>
  <c r="V164" i="38"/>
  <c r="W164" i="38" s="1"/>
  <c r="AH173" i="38"/>
  <c r="AI173" i="38" s="1"/>
  <c r="AN161" i="38"/>
  <c r="AO161" i="38" s="1"/>
  <c r="AB188" i="38"/>
  <c r="AC188" i="38" s="1"/>
  <c r="AB206" i="38"/>
  <c r="AC206" i="38" s="1"/>
  <c r="AH219" i="38"/>
  <c r="AI219" i="38" s="1"/>
  <c r="AN246" i="38"/>
  <c r="AO246" i="38" s="1"/>
  <c r="AH248" i="38"/>
  <c r="AI248" i="38" s="1"/>
  <c r="V231" i="38"/>
  <c r="W231" i="38" s="1"/>
  <c r="AB243" i="38"/>
  <c r="AC243" i="38" s="1"/>
  <c r="V225" i="38"/>
  <c r="W225" i="38" s="1"/>
  <c r="AN269" i="38"/>
  <c r="AO269" i="38" s="1"/>
  <c r="V252" i="38"/>
  <c r="W252" i="38" s="1"/>
  <c r="V258" i="38"/>
  <c r="W258" i="38" s="1"/>
  <c r="AH281" i="38"/>
  <c r="AI281" i="38" s="1"/>
  <c r="AN250" i="38"/>
  <c r="AO250" i="38" s="1"/>
  <c r="AH307" i="38"/>
  <c r="AI307" i="38" s="1"/>
  <c r="AH272" i="38"/>
  <c r="AI272" i="38" s="1"/>
  <c r="V280" i="38"/>
  <c r="W280" i="38" s="1"/>
  <c r="AB287" i="38"/>
  <c r="AC287" i="38" s="1"/>
  <c r="AN299" i="38"/>
  <c r="AO299" i="38" s="1"/>
  <c r="AN302" i="38"/>
  <c r="AO302" i="38" s="1"/>
  <c r="AN314" i="38"/>
  <c r="AO314" i="38" s="1"/>
  <c r="AH256" i="38"/>
  <c r="AI256" i="38" s="1"/>
  <c r="AN262" i="38"/>
  <c r="AO262" i="38" s="1"/>
  <c r="AN290" i="38"/>
  <c r="AO290" i="38" s="1"/>
  <c r="V320" i="38"/>
  <c r="W320" i="38" s="1"/>
  <c r="AH350" i="38"/>
  <c r="AI350" i="38" s="1"/>
  <c r="V356" i="38"/>
  <c r="W356" i="38" s="1"/>
  <c r="V312" i="38"/>
  <c r="W312" i="38" s="1"/>
  <c r="AN323" i="38"/>
  <c r="AO323" i="38" s="1"/>
  <c r="V332" i="38"/>
  <c r="W332" i="38" s="1"/>
  <c r="V336" i="38"/>
  <c r="W336" i="38" s="1"/>
  <c r="AB342" i="38"/>
  <c r="AC342" i="38" s="1"/>
  <c r="V326" i="38"/>
  <c r="W326" i="38" s="1"/>
  <c r="AH373" i="38"/>
  <c r="AI373" i="38" s="1"/>
  <c r="AN12" i="38"/>
  <c r="AO12" i="38" s="1"/>
  <c r="AN17" i="38"/>
  <c r="AO17" i="38" s="1"/>
  <c r="AN21" i="38"/>
  <c r="AO21" i="38" s="1"/>
  <c r="V25" i="38"/>
  <c r="W25" i="38" s="1"/>
  <c r="AB13" i="38"/>
  <c r="AC13" i="38" s="1"/>
  <c r="AH17" i="38"/>
  <c r="AI17" i="38" s="1"/>
  <c r="AH21" i="38"/>
  <c r="AI21" i="38" s="1"/>
  <c r="AH13" i="38"/>
  <c r="AI13" i="38" s="1"/>
  <c r="AB15" i="38"/>
  <c r="AC15" i="38" s="1"/>
  <c r="AB17" i="38"/>
  <c r="AC17" i="38" s="1"/>
  <c r="AB21" i="38"/>
  <c r="AC21" i="38" s="1"/>
  <c r="AB27" i="38"/>
  <c r="AC27" i="38" s="1"/>
  <c r="AN13" i="38"/>
  <c r="AO13" i="38" s="1"/>
  <c r="V15" i="38"/>
  <c r="W15" i="38" s="1"/>
  <c r="V17" i="38"/>
  <c r="W17" i="38" s="1"/>
  <c r="V21" i="38"/>
  <c r="W21" i="38" s="1"/>
  <c r="V27" i="38"/>
  <c r="W27" i="38" s="1"/>
  <c r="AN19" i="38"/>
  <c r="AO19" i="38" s="1"/>
  <c r="AB56" i="38"/>
  <c r="AC56" i="38" s="1"/>
  <c r="AH31" i="38"/>
  <c r="AI31" i="38" s="1"/>
  <c r="AN37" i="38"/>
  <c r="AO37" i="38" s="1"/>
  <c r="AH61" i="38"/>
  <c r="AI61" i="38" s="1"/>
  <c r="V34" i="38"/>
  <c r="W34" i="38" s="1"/>
  <c r="AB43" i="38"/>
  <c r="AC43" i="38" s="1"/>
  <c r="AB29" i="38"/>
  <c r="AC29" i="38" s="1"/>
  <c r="V33" i="38"/>
  <c r="W33" i="38" s="1"/>
  <c r="AN50" i="38"/>
  <c r="AO50" i="38" s="1"/>
  <c r="AN44" i="38"/>
  <c r="AO44" i="38" s="1"/>
  <c r="AN53" i="38"/>
  <c r="AO53" i="38" s="1"/>
  <c r="AH55" i="38"/>
  <c r="AI55" i="38" s="1"/>
  <c r="V65" i="38"/>
  <c r="W65" i="38" s="1"/>
  <c r="V71" i="38"/>
  <c r="W71" i="38" s="1"/>
  <c r="AN59" i="38"/>
  <c r="AO59" i="38" s="1"/>
  <c r="AB60" i="38"/>
  <c r="AC60" i="38" s="1"/>
  <c r="V67" i="38"/>
  <c r="W67" i="38" s="1"/>
  <c r="V73" i="38"/>
  <c r="W73" i="38" s="1"/>
  <c r="V94" i="38"/>
  <c r="W94" i="38" s="1"/>
  <c r="V79" i="38"/>
  <c r="W79" i="38" s="1"/>
  <c r="AB69" i="38"/>
  <c r="AC69" i="38" s="1"/>
  <c r="AB85" i="38"/>
  <c r="AC85" i="38" s="1"/>
  <c r="AN111" i="38"/>
  <c r="AO111" i="38" s="1"/>
  <c r="AB117" i="38"/>
  <c r="AC117" i="38" s="1"/>
  <c r="V96" i="38"/>
  <c r="W96" i="38" s="1"/>
  <c r="V102" i="38"/>
  <c r="W102" i="38" s="1"/>
  <c r="AH99" i="38"/>
  <c r="AI99" i="38" s="1"/>
  <c r="AH100" i="38"/>
  <c r="AI100" i="38" s="1"/>
  <c r="AN108" i="38"/>
  <c r="AO108" i="38" s="1"/>
  <c r="AH150" i="38"/>
  <c r="AI150" i="38" s="1"/>
  <c r="AH130" i="38"/>
  <c r="AI130" i="38" s="1"/>
  <c r="AN143" i="38"/>
  <c r="AO143" i="38" s="1"/>
  <c r="AB149" i="38"/>
  <c r="AC149" i="38" s="1"/>
  <c r="AH128" i="38"/>
  <c r="AI128" i="38" s="1"/>
  <c r="AB165" i="38"/>
  <c r="AC165" i="38" s="1"/>
  <c r="AB135" i="38"/>
  <c r="AC135" i="38" s="1"/>
  <c r="V147" i="38"/>
  <c r="W147" i="38" s="1"/>
  <c r="AH156" i="38"/>
  <c r="AI156" i="38" s="1"/>
  <c r="AH119" i="38"/>
  <c r="AI119" i="38" s="1"/>
  <c r="AB126" i="38"/>
  <c r="AC126" i="38" s="1"/>
  <c r="AH138" i="38"/>
  <c r="AI138" i="38" s="1"/>
  <c r="AN146" i="38"/>
  <c r="AO146" i="38" s="1"/>
  <c r="AB162" i="38"/>
  <c r="AC162" i="38" s="1"/>
  <c r="AB174" i="38"/>
  <c r="AC174" i="38" s="1"/>
  <c r="AB186" i="38"/>
  <c r="AC186" i="38" s="1"/>
  <c r="AB198" i="38"/>
  <c r="AC198" i="38" s="1"/>
  <c r="AB210" i="38"/>
  <c r="AC210" i="38" s="1"/>
  <c r="AH171" i="38"/>
  <c r="AI171" i="38" s="1"/>
  <c r="V177" i="38"/>
  <c r="W177" i="38" s="1"/>
  <c r="AN188" i="38"/>
  <c r="AO188" i="38" s="1"/>
  <c r="AB216" i="38"/>
  <c r="AC216" i="38" s="1"/>
  <c r="AN167" i="38"/>
  <c r="AO167" i="38" s="1"/>
  <c r="AB173" i="38"/>
  <c r="AC173" i="38" s="1"/>
  <c r="AN179" i="38"/>
  <c r="AO179" i="38" s="1"/>
  <c r="AN185" i="38"/>
  <c r="AO185" i="38" s="1"/>
  <c r="AN191" i="38"/>
  <c r="AO191" i="38" s="1"/>
  <c r="AN197" i="38"/>
  <c r="AO197" i="38" s="1"/>
  <c r="AN203" i="38"/>
  <c r="AO203" i="38" s="1"/>
  <c r="AH161" i="38"/>
  <c r="AI161" i="38" s="1"/>
  <c r="AB219" i="38"/>
  <c r="AC219" i="38" s="1"/>
  <c r="AN221" i="38"/>
  <c r="AO221" i="38" s="1"/>
  <c r="AH246" i="38"/>
  <c r="AI246" i="38" s="1"/>
  <c r="AB239" i="38"/>
  <c r="AC239" i="38" s="1"/>
  <c r="AN222" i="38"/>
  <c r="AO222" i="38" s="1"/>
  <c r="AN227" i="38"/>
  <c r="AO227" i="38" s="1"/>
  <c r="V239" i="38"/>
  <c r="W239" i="38" s="1"/>
  <c r="AN209" i="38"/>
  <c r="AO209" i="38" s="1"/>
  <c r="AN264" i="38"/>
  <c r="AO264" i="38" s="1"/>
  <c r="V272" i="38"/>
  <c r="W272" i="38" s="1"/>
  <c r="AB281" i="38"/>
  <c r="AC281" i="38" s="1"/>
  <c r="AN307" i="38"/>
  <c r="AO307" i="38" s="1"/>
  <c r="AN275" i="38"/>
  <c r="AO275" i="38" s="1"/>
  <c r="AN280" i="38"/>
  <c r="AO280" i="38" s="1"/>
  <c r="V287" i="38"/>
  <c r="W287" i="38" s="1"/>
  <c r="AH299" i="38"/>
  <c r="AI299" i="38" s="1"/>
  <c r="AB308" i="38"/>
  <c r="AC308" i="38" s="1"/>
  <c r="AB250" i="38"/>
  <c r="AC250" i="38" s="1"/>
  <c r="AN338" i="38"/>
  <c r="AO338" i="38" s="1"/>
  <c r="AB350" i="38"/>
  <c r="AC350" i="38" s="1"/>
  <c r="AN362" i="38"/>
  <c r="AO362" i="38" s="1"/>
  <c r="AN312" i="38"/>
  <c r="AO312" i="38" s="1"/>
  <c r="AN336" i="38"/>
  <c r="AO336" i="38" s="1"/>
  <c r="AH318" i="38"/>
  <c r="AI318" i="38" s="1"/>
  <c r="AN330" i="38"/>
  <c r="AO330" i="38" s="1"/>
  <c r="AN344" i="38"/>
  <c r="AO344" i="38" s="1"/>
  <c r="AN365" i="38"/>
  <c r="AO365" i="38" s="1"/>
  <c r="AN371" i="38"/>
  <c r="AO371" i="38" s="1"/>
  <c r="AB373" i="38"/>
  <c r="AC373" i="38" s="1"/>
  <c r="AN313" i="38"/>
  <c r="AO313" i="38" s="1"/>
  <c r="AH23" i="38"/>
  <c r="AI23" i="38" s="1"/>
  <c r="AH19" i="38"/>
  <c r="AI19" i="38" s="1"/>
  <c r="AN36" i="38"/>
  <c r="AO36" i="38" s="1"/>
  <c r="V56" i="38"/>
  <c r="W56" i="38" s="1"/>
  <c r="V31" i="38"/>
  <c r="W31" i="38" s="1"/>
  <c r="AN38" i="38"/>
  <c r="AO38" i="38" s="1"/>
  <c r="AN43" i="38"/>
  <c r="AO43" i="38" s="1"/>
  <c r="AH29" i="38"/>
  <c r="AI29" i="38" s="1"/>
  <c r="AH50" i="38"/>
  <c r="AI50" i="38" s="1"/>
  <c r="AH44" i="38"/>
  <c r="AI44" i="38" s="1"/>
  <c r="AB53" i="38"/>
  <c r="AC53" i="38" s="1"/>
  <c r="AN75" i="38"/>
  <c r="AO75" i="38" s="1"/>
  <c r="V59" i="38"/>
  <c r="W59" i="38" s="1"/>
  <c r="AH94" i="38"/>
  <c r="AI94" i="38" s="1"/>
  <c r="AN69" i="38"/>
  <c r="AO69" i="38" s="1"/>
  <c r="V85" i="38"/>
  <c r="W85" i="38" s="1"/>
  <c r="AH95" i="38"/>
  <c r="AI95" i="38" s="1"/>
  <c r="AH111" i="38"/>
  <c r="AI111" i="38" s="1"/>
  <c r="V117" i="38"/>
  <c r="W117" i="38" s="1"/>
  <c r="AN96" i="38"/>
  <c r="AO96" i="38" s="1"/>
  <c r="AN102" i="38"/>
  <c r="AO102" i="38" s="1"/>
  <c r="AN99" i="38"/>
  <c r="AO99" i="38" s="1"/>
  <c r="V100" i="38"/>
  <c r="W100" i="38" s="1"/>
  <c r="AN114" i="38"/>
  <c r="AO114" i="38" s="1"/>
  <c r="AH108" i="38"/>
  <c r="AI108" i="38" s="1"/>
  <c r="AN150" i="38"/>
  <c r="AO150" i="38" s="1"/>
  <c r="AN130" i="38"/>
  <c r="AO130" i="38" s="1"/>
  <c r="AB134" i="38"/>
  <c r="AC134" i="38" s="1"/>
  <c r="AH143" i="38"/>
  <c r="AI143" i="38" s="1"/>
  <c r="V149" i="38"/>
  <c r="W149" i="38" s="1"/>
  <c r="AN128" i="38"/>
  <c r="AO128" i="38" s="1"/>
  <c r="AB147" i="38"/>
  <c r="AC147" i="38" s="1"/>
  <c r="AH165" i="38"/>
  <c r="AI165" i="38" s="1"/>
  <c r="AN123" i="38"/>
  <c r="AO123" i="38" s="1"/>
  <c r="AH131" i="38"/>
  <c r="AI131" i="38" s="1"/>
  <c r="AN135" i="38"/>
  <c r="AO135" i="38" s="1"/>
  <c r="AN147" i="38"/>
  <c r="AO147" i="38" s="1"/>
  <c r="AB156" i="38"/>
  <c r="AC156" i="38" s="1"/>
  <c r="V126" i="38"/>
  <c r="W126" i="38" s="1"/>
  <c r="AB138" i="38"/>
  <c r="AC138" i="38" s="1"/>
  <c r="AH162" i="38"/>
  <c r="AI162" i="38" s="1"/>
  <c r="AH174" i="38"/>
  <c r="AI174" i="38" s="1"/>
  <c r="AH186" i="38"/>
  <c r="AI186" i="38" s="1"/>
  <c r="AH198" i="38"/>
  <c r="AI198" i="38" s="1"/>
  <c r="AH210" i="38"/>
  <c r="AI210" i="38" s="1"/>
  <c r="AB171" i="38"/>
  <c r="AC171" i="38" s="1"/>
  <c r="AN194" i="38"/>
  <c r="AO194" i="38" s="1"/>
  <c r="V216" i="38"/>
  <c r="W216" i="38" s="1"/>
  <c r="AH167" i="38"/>
  <c r="AI167" i="38" s="1"/>
  <c r="V173" i="38"/>
  <c r="W173" i="38" s="1"/>
  <c r="AH179" i="38"/>
  <c r="AI179" i="38" s="1"/>
  <c r="AH185" i="38"/>
  <c r="AI185" i="38" s="1"/>
  <c r="AH191" i="38"/>
  <c r="AI191" i="38" s="1"/>
  <c r="AH197" i="38"/>
  <c r="AI197" i="38" s="1"/>
  <c r="AH203" i="38"/>
  <c r="AI203" i="38" s="1"/>
  <c r="AB161" i="38"/>
  <c r="AC161" i="38" s="1"/>
  <c r="AB182" i="38"/>
  <c r="AC182" i="38" s="1"/>
  <c r="AB200" i="38"/>
  <c r="AC200" i="38" s="1"/>
  <c r="V219" i="38"/>
  <c r="W219" i="38" s="1"/>
  <c r="AB246" i="38"/>
  <c r="AC246" i="38" s="1"/>
  <c r="AN228" i="38"/>
  <c r="AO228" i="38" s="1"/>
  <c r="AB212" i="38"/>
  <c r="AC212" i="38" s="1"/>
  <c r="AN240" i="38"/>
  <c r="AO240" i="38" s="1"/>
  <c r="AH222" i="38"/>
  <c r="AI222" i="38" s="1"/>
  <c r="AN234" i="38"/>
  <c r="AO234" i="38" s="1"/>
  <c r="AN239" i="38"/>
  <c r="AO239" i="38" s="1"/>
  <c r="AH209" i="38"/>
  <c r="AI209" i="38" s="1"/>
  <c r="AH264" i="38"/>
  <c r="AI264" i="38" s="1"/>
  <c r="AN272" i="38"/>
  <c r="AO272" i="38" s="1"/>
  <c r="V281" i="38"/>
  <c r="W281" i="38" s="1"/>
  <c r="AB301" i="38"/>
  <c r="AC301" i="38" s="1"/>
  <c r="AH275" i="38"/>
  <c r="AI275" i="38" s="1"/>
  <c r="AN293" i="38"/>
  <c r="AO293" i="38" s="1"/>
  <c r="AB299" i="38"/>
  <c r="AC299" i="38" s="1"/>
  <c r="AH308" i="38"/>
  <c r="AI308" i="38" s="1"/>
  <c r="AN296" i="38"/>
  <c r="AO296" i="38" s="1"/>
  <c r="AH338" i="38"/>
  <c r="AI338" i="38" s="1"/>
  <c r="V350" i="38"/>
  <c r="W350" i="38" s="1"/>
  <c r="AH362" i="38"/>
  <c r="AI362" i="38" s="1"/>
  <c r="AN306" i="38"/>
  <c r="AO306" i="38" s="1"/>
  <c r="V318" i="38"/>
  <c r="W318" i="38" s="1"/>
  <c r="V330" i="38"/>
  <c r="W330" i="38" s="1"/>
  <c r="AH344" i="38"/>
  <c r="AI344" i="38" s="1"/>
  <c r="AH365" i="38"/>
  <c r="AI365" i="38" s="1"/>
  <c r="AH371" i="38"/>
  <c r="AI371" i="38" s="1"/>
  <c r="V373" i="38"/>
  <c r="W373" i="38" s="1"/>
  <c r="AH313" i="38"/>
  <c r="AI313" i="38" s="1"/>
  <c r="AN367" i="38"/>
  <c r="AO367" i="38" s="1"/>
  <c r="AB12" i="38"/>
  <c r="AC12" i="38" s="1"/>
  <c r="AH12" i="38"/>
  <c r="AI12" i="38" s="1"/>
  <c r="V23" i="38"/>
  <c r="W23" i="38" s="1"/>
  <c r="AH25" i="38"/>
  <c r="AI25" i="38" s="1"/>
  <c r="AB19" i="38"/>
  <c r="AC19" i="38" s="1"/>
  <c r="AH32" i="38"/>
  <c r="AI32" i="38" s="1"/>
  <c r="AH38" i="38"/>
  <c r="AI38" i="38" s="1"/>
  <c r="V29" i="38"/>
  <c r="W29" i="38" s="1"/>
  <c r="AB50" i="38"/>
  <c r="AC50" i="38" s="1"/>
  <c r="AB40" i="38"/>
  <c r="AC40" i="38" s="1"/>
  <c r="AB44" i="38"/>
  <c r="AC44" i="38" s="1"/>
  <c r="AN63" i="38"/>
  <c r="AO63" i="38" s="1"/>
  <c r="AH53" i="38"/>
  <c r="AI53" i="38" s="1"/>
  <c r="V75" i="38"/>
  <c r="W75" i="38" s="1"/>
  <c r="AH26" i="38"/>
  <c r="AI26" i="38" s="1"/>
  <c r="AB59" i="38"/>
  <c r="AC59" i="38" s="1"/>
  <c r="AN94" i="38"/>
  <c r="AO94" i="38" s="1"/>
  <c r="AN97" i="38"/>
  <c r="AO97" i="38" s="1"/>
  <c r="V69" i="38"/>
  <c r="W69" i="38" s="1"/>
  <c r="AN91" i="38"/>
  <c r="AO91" i="38" s="1"/>
  <c r="AN105" i="38"/>
  <c r="AO105" i="38" s="1"/>
  <c r="AB111" i="38"/>
  <c r="AC111" i="38" s="1"/>
  <c r="AN101" i="38"/>
  <c r="AO101" i="38" s="1"/>
  <c r="AN103" i="38"/>
  <c r="AO103" i="38" s="1"/>
  <c r="V99" i="38"/>
  <c r="W99" i="38" s="1"/>
  <c r="AN100" i="38"/>
  <c r="AO100" i="38" s="1"/>
  <c r="AH114" i="38"/>
  <c r="AI114" i="38" s="1"/>
  <c r="AB108" i="38"/>
  <c r="AC108" i="38" s="1"/>
  <c r="AB144" i="38"/>
  <c r="AC144" i="38" s="1"/>
  <c r="AN120" i="38"/>
  <c r="AO120" i="38" s="1"/>
  <c r="AB143" i="38"/>
  <c r="AC143" i="38" s="1"/>
  <c r="AN165" i="38"/>
  <c r="AO165" i="38" s="1"/>
  <c r="AH123" i="38"/>
  <c r="AI123" i="38" s="1"/>
  <c r="AN132" i="38"/>
  <c r="AO132" i="38" s="1"/>
  <c r="V141" i="38"/>
  <c r="W141" i="38" s="1"/>
  <c r="V156" i="38"/>
  <c r="W156" i="38" s="1"/>
  <c r="AB136" i="38"/>
  <c r="AC136" i="38" s="1"/>
  <c r="V138" i="38"/>
  <c r="W138" i="38" s="1"/>
  <c r="AN152" i="38"/>
  <c r="AO152" i="38" s="1"/>
  <c r="AN162" i="38"/>
  <c r="AO162" i="38" s="1"/>
  <c r="AN174" i="38"/>
  <c r="AO174" i="38" s="1"/>
  <c r="AN186" i="38"/>
  <c r="AO186" i="38" s="1"/>
  <c r="AN198" i="38"/>
  <c r="AO198" i="38" s="1"/>
  <c r="AN210" i="38"/>
  <c r="AO210" i="38" s="1"/>
  <c r="V171" i="38"/>
  <c r="W171" i="38" s="1"/>
  <c r="AN200" i="38"/>
  <c r="AO200" i="38" s="1"/>
  <c r="AN164" i="38"/>
  <c r="AO164" i="38" s="1"/>
  <c r="AB167" i="38"/>
  <c r="AC167" i="38" s="1"/>
  <c r="AB179" i="38"/>
  <c r="AC179" i="38" s="1"/>
  <c r="AB185" i="38"/>
  <c r="AC185" i="38" s="1"/>
  <c r="AB191" i="38"/>
  <c r="AC191" i="38" s="1"/>
  <c r="AB197" i="38"/>
  <c r="AC197" i="38" s="1"/>
  <c r="AB203" i="38"/>
  <c r="AC203" i="38" s="1"/>
  <c r="V161" i="38"/>
  <c r="W161" i="38" s="1"/>
  <c r="V246" i="38"/>
  <c r="W246" i="38" s="1"/>
  <c r="AH228" i="38"/>
  <c r="AI228" i="38" s="1"/>
  <c r="AN212" i="38"/>
  <c r="AO212" i="38" s="1"/>
  <c r="AN231" i="38"/>
  <c r="AO231" i="38" s="1"/>
  <c r="AH240" i="38"/>
  <c r="AI240" i="38" s="1"/>
  <c r="AB222" i="38"/>
  <c r="AC222" i="38" s="1"/>
  <c r="AN225" i="38"/>
  <c r="AO225" i="38" s="1"/>
  <c r="AH234" i="38"/>
  <c r="AI234" i="38" s="1"/>
  <c r="V243" i="38"/>
  <c r="W243" i="38" s="1"/>
  <c r="AB209" i="38"/>
  <c r="AC209" i="38" s="1"/>
  <c r="AN252" i="38"/>
  <c r="AO252" i="38" s="1"/>
  <c r="AN258" i="38"/>
  <c r="AO258" i="38" s="1"/>
  <c r="AB264" i="38"/>
  <c r="AC264" i="38" s="1"/>
  <c r="V286" i="38"/>
  <c r="W286" i="38" s="1"/>
  <c r="AH301" i="38"/>
  <c r="AI301" i="38" s="1"/>
  <c r="AH254" i="38"/>
  <c r="AI254" i="38" s="1"/>
  <c r="AH260" i="38"/>
  <c r="AI260" i="38" s="1"/>
  <c r="AB275" i="38"/>
  <c r="AC275" i="38" s="1"/>
  <c r="V284" i="38"/>
  <c r="W284" i="38" s="1"/>
  <c r="AH293" i="38"/>
  <c r="AI293" i="38" s="1"/>
  <c r="V299" i="38"/>
  <c r="W299" i="38" s="1"/>
  <c r="AN308" i="38"/>
  <c r="AO308" i="38" s="1"/>
  <c r="AN292" i="38"/>
  <c r="AO292" i="38" s="1"/>
  <c r="V296" i="38"/>
  <c r="W296" i="38" s="1"/>
  <c r="AN320" i="38"/>
  <c r="AO320" i="38" s="1"/>
  <c r="AB338" i="38"/>
  <c r="AC338" i="38" s="1"/>
  <c r="AN356" i="38"/>
  <c r="AO356" i="38" s="1"/>
  <c r="AB362" i="38"/>
  <c r="AC362" i="38" s="1"/>
  <c r="V319" i="38"/>
  <c r="W319" i="38" s="1"/>
  <c r="AN332" i="38"/>
  <c r="AO332" i="38" s="1"/>
  <c r="AH306" i="38"/>
  <c r="AI306" i="38" s="1"/>
  <c r="AN298" i="38"/>
  <c r="AO298" i="38" s="1"/>
  <c r="AN318" i="38"/>
  <c r="AO318" i="38" s="1"/>
  <c r="AN326" i="38"/>
  <c r="AO326" i="38" s="1"/>
  <c r="AB330" i="38"/>
  <c r="AC330" i="38" s="1"/>
  <c r="AB344" i="38"/>
  <c r="AC344" i="38" s="1"/>
  <c r="AB365" i="38"/>
  <c r="AC365" i="38" s="1"/>
  <c r="AB371" i="38"/>
  <c r="AC371" i="38" s="1"/>
  <c r="AB313" i="38"/>
  <c r="AC313" i="38" s="1"/>
  <c r="AH367" i="38"/>
  <c r="AI367" i="38" s="1"/>
  <c r="AN15" i="38"/>
  <c r="AO15" i="38" s="1"/>
  <c r="V19" i="38"/>
  <c r="W19" i="38" s="1"/>
  <c r="V32" i="38"/>
  <c r="W32" i="38" s="1"/>
  <c r="AB37" i="38"/>
  <c r="AC37" i="38" s="1"/>
  <c r="AB38" i="38"/>
  <c r="AC38" i="38" s="1"/>
  <c r="AN46" i="38"/>
  <c r="AO46" i="38" s="1"/>
  <c r="AN34" i="38"/>
  <c r="AO34" i="38" s="1"/>
  <c r="AH33" i="38"/>
  <c r="AI33" i="38" s="1"/>
  <c r="AH49" i="38"/>
  <c r="AI49" i="38" s="1"/>
  <c r="V50" i="38"/>
  <c r="W50" i="38" s="1"/>
  <c r="AH40" i="38"/>
  <c r="AI40" i="38" s="1"/>
  <c r="V44" i="38"/>
  <c r="W44" i="38" s="1"/>
  <c r="V55" i="38"/>
  <c r="W55" i="38" s="1"/>
  <c r="V26" i="38"/>
  <c r="W26" i="38" s="1"/>
  <c r="AH59" i="38"/>
  <c r="AI59" i="38" s="1"/>
  <c r="AN67" i="38"/>
  <c r="AO67" i="38" s="1"/>
  <c r="AN73" i="38"/>
  <c r="AO73" i="38" s="1"/>
  <c r="AN79" i="38"/>
  <c r="AO79" i="38" s="1"/>
  <c r="AH97" i="38"/>
  <c r="AI97" i="38" s="1"/>
  <c r="AN93" i="38"/>
  <c r="AO93" i="38" s="1"/>
  <c r="AH91" i="38"/>
  <c r="AI91" i="38" s="1"/>
  <c r="AH105" i="38"/>
  <c r="AI105" i="38" s="1"/>
  <c r="V111" i="38"/>
  <c r="W111" i="38" s="1"/>
  <c r="V101" i="38"/>
  <c r="W101" i="38" s="1"/>
  <c r="AH103" i="38"/>
  <c r="AI103" i="38" s="1"/>
  <c r="AB114" i="38"/>
  <c r="AC114" i="38" s="1"/>
  <c r="V108" i="38"/>
  <c r="W108" i="38" s="1"/>
  <c r="AH144" i="38"/>
  <c r="AI144" i="38" s="1"/>
  <c r="AH120" i="38"/>
  <c r="AI120" i="38" s="1"/>
  <c r="AH135" i="38"/>
  <c r="AI135" i="38" s="1"/>
  <c r="V143" i="38"/>
  <c r="W143" i="38" s="1"/>
  <c r="AB153" i="38"/>
  <c r="AC153" i="38" s="1"/>
  <c r="AH134" i="38"/>
  <c r="AI134" i="38" s="1"/>
  <c r="AB123" i="38"/>
  <c r="AC123" i="38" s="1"/>
  <c r="AH132" i="38"/>
  <c r="AI132" i="38" s="1"/>
  <c r="AN141" i="38"/>
  <c r="AO141" i="38" s="1"/>
  <c r="AH125" i="38"/>
  <c r="AI125" i="38" s="1"/>
  <c r="AN153" i="38"/>
  <c r="AO153" i="38" s="1"/>
  <c r="AB168" i="38"/>
  <c r="AC168" i="38" s="1"/>
  <c r="AB180" i="38"/>
  <c r="AC180" i="38" s="1"/>
  <c r="AB192" i="38"/>
  <c r="AC192" i="38" s="1"/>
  <c r="AB204" i="38"/>
  <c r="AC204" i="38" s="1"/>
  <c r="AN177" i="38"/>
  <c r="AO177" i="38" s="1"/>
  <c r="AN206" i="38"/>
  <c r="AO206" i="38" s="1"/>
  <c r="AH164" i="38"/>
  <c r="AI164" i="38" s="1"/>
  <c r="V167" i="38"/>
  <c r="W167" i="38" s="1"/>
  <c r="V179" i="38"/>
  <c r="W179" i="38" s="1"/>
  <c r="V185" i="38"/>
  <c r="W185" i="38" s="1"/>
  <c r="V191" i="38"/>
  <c r="W191" i="38" s="1"/>
  <c r="V197" i="38"/>
  <c r="W197" i="38" s="1"/>
  <c r="V203" i="38"/>
  <c r="W203" i="38" s="1"/>
  <c r="AB194" i="38"/>
  <c r="AC194" i="38" s="1"/>
  <c r="AB228" i="38"/>
  <c r="AC228" i="38" s="1"/>
  <c r="V212" i="38"/>
  <c r="W212" i="38" s="1"/>
  <c r="AH231" i="38"/>
  <c r="AI231" i="38" s="1"/>
  <c r="AB240" i="38"/>
  <c r="AC240" i="38" s="1"/>
  <c r="V222" i="38"/>
  <c r="W222" i="38" s="1"/>
  <c r="AH225" i="38"/>
  <c r="AI225" i="38" s="1"/>
  <c r="AB234" i="38"/>
  <c r="AC234" i="38" s="1"/>
  <c r="AN243" i="38"/>
  <c r="AO243" i="38" s="1"/>
  <c r="V209" i="38"/>
  <c r="W209" i="38" s="1"/>
  <c r="AH244" i="38"/>
  <c r="AI244" i="38" s="1"/>
  <c r="AH252" i="38"/>
  <c r="AI252" i="38" s="1"/>
  <c r="AH258" i="38"/>
  <c r="AI258" i="38" s="1"/>
  <c r="V264" i="38"/>
  <c r="W264" i="38" s="1"/>
  <c r="V290" i="38"/>
  <c r="W290" i="38" s="1"/>
  <c r="AN301" i="38"/>
  <c r="AO301" i="38" s="1"/>
  <c r="AH266" i="38"/>
  <c r="AI266" i="38" s="1"/>
  <c r="V275" i="38"/>
  <c r="W275" i="38" s="1"/>
  <c r="AN287" i="38"/>
  <c r="AO287" i="38" s="1"/>
  <c r="AB293" i="38"/>
  <c r="AC293" i="38" s="1"/>
  <c r="AB302" i="38"/>
  <c r="AC302" i="38" s="1"/>
  <c r="AB314" i="38"/>
  <c r="AC314" i="38" s="1"/>
  <c r="AN284" i="38"/>
  <c r="AO284" i="38" s="1"/>
  <c r="V292" i="38"/>
  <c r="W292" i="38" s="1"/>
  <c r="AH296" i="38"/>
  <c r="AI296" i="38" s="1"/>
  <c r="AH320" i="38"/>
  <c r="AI320" i="38" s="1"/>
  <c r="V338" i="38"/>
  <c r="W338" i="38" s="1"/>
  <c r="AH356" i="38"/>
  <c r="AI356" i="38" s="1"/>
  <c r="V362" i="38"/>
  <c r="W362" i="38" s="1"/>
  <c r="AN319" i="38"/>
  <c r="AO319" i="38" s="1"/>
  <c r="AH332" i="38"/>
  <c r="AI332" i="38" s="1"/>
  <c r="AB306" i="38"/>
  <c r="AC306" i="38" s="1"/>
  <c r="V298" i="38"/>
  <c r="W298" i="38" s="1"/>
  <c r="AB324" i="38"/>
  <c r="AC324" i="38" s="1"/>
  <c r="AB318" i="38"/>
  <c r="AC318" i="38" s="1"/>
  <c r="AH326" i="38"/>
  <c r="AI326" i="38" s="1"/>
  <c r="AH330" i="38"/>
  <c r="AI330" i="38" s="1"/>
  <c r="V344" i="38"/>
  <c r="W344" i="38" s="1"/>
  <c r="V365" i="38"/>
  <c r="W365" i="38" s="1"/>
  <c r="V371" i="38"/>
  <c r="W371" i="38" s="1"/>
  <c r="V313" i="38"/>
  <c r="W313" i="38" s="1"/>
  <c r="AB367" i="38"/>
  <c r="AC367" i="38" s="1"/>
  <c r="AN27" i="38"/>
  <c r="AO27" i="38" s="1"/>
  <c r="AH15" i="38"/>
  <c r="AI15" i="38" s="1"/>
  <c r="AH27" i="38"/>
  <c r="AI27" i="38" s="1"/>
  <c r="AN56" i="38"/>
  <c r="AO56" i="38" s="1"/>
  <c r="AN32" i="38"/>
  <c r="AO32" i="38" s="1"/>
  <c r="AH37" i="38"/>
  <c r="AI37" i="38" s="1"/>
  <c r="V38" i="38"/>
  <c r="W38" i="38" s="1"/>
  <c r="AB46" i="38"/>
  <c r="AC46" i="38" s="1"/>
  <c r="AH34" i="38"/>
  <c r="AI34" i="38" s="1"/>
  <c r="AN33" i="38"/>
  <c r="AO33" i="38" s="1"/>
  <c r="V49" i="38"/>
  <c r="W49" i="38" s="1"/>
  <c r="AN40" i="38"/>
  <c r="AO40" i="38" s="1"/>
  <c r="AN55" i="38"/>
  <c r="AO55" i="38" s="1"/>
  <c r="AB26" i="38"/>
  <c r="AC26" i="38" s="1"/>
  <c r="AN60" i="38"/>
  <c r="AO60" i="38" s="1"/>
  <c r="AH67" i="38"/>
  <c r="AI67" i="38" s="1"/>
  <c r="AH73" i="38"/>
  <c r="AI73" i="38" s="1"/>
  <c r="AH79" i="38"/>
  <c r="AI79" i="38" s="1"/>
  <c r="AB97" i="38"/>
  <c r="AC97" i="38" s="1"/>
  <c r="V93" i="38"/>
  <c r="W93" i="38" s="1"/>
  <c r="AN85" i="38"/>
  <c r="AO85" i="38" s="1"/>
  <c r="AB91" i="38"/>
  <c r="AC91" i="38" s="1"/>
  <c r="AB105" i="38"/>
  <c r="AC105" i="38" s="1"/>
  <c r="AN117" i="38"/>
  <c r="AO117" i="38" s="1"/>
  <c r="AN95" i="38"/>
  <c r="AO95" i="38" s="1"/>
  <c r="AB102" i="38"/>
  <c r="AC102" i="38" s="1"/>
  <c r="AB103" i="38"/>
  <c r="AC103" i="38" s="1"/>
  <c r="V114" i="38"/>
  <c r="W114" i="38" s="1"/>
  <c r="V113" i="38"/>
  <c r="W113" i="38" s="1"/>
  <c r="AN144" i="38"/>
  <c r="AO144" i="38" s="1"/>
  <c r="AB120" i="38"/>
  <c r="AC120" i="38" s="1"/>
  <c r="AN125" i="38"/>
  <c r="AO125" i="38" s="1"/>
  <c r="AB131" i="38"/>
  <c r="AC131" i="38" s="1"/>
  <c r="AH136" i="38"/>
  <c r="AI136" i="38" s="1"/>
  <c r="AN149" i="38"/>
  <c r="AO149" i="38" s="1"/>
  <c r="AN134" i="38"/>
  <c r="AO134" i="38" s="1"/>
  <c r="V123" i="38"/>
  <c r="W123" i="38" s="1"/>
  <c r="AB132" i="38"/>
  <c r="AC132" i="38" s="1"/>
  <c r="V153" i="38"/>
  <c r="W153" i="38" s="1"/>
  <c r="AN119" i="38"/>
  <c r="AO119" i="38" s="1"/>
  <c r="AN126" i="38"/>
  <c r="AO126" i="38" s="1"/>
  <c r="AH137" i="38"/>
  <c r="AI137" i="38" s="1"/>
  <c r="AN140" i="38"/>
  <c r="AO140" i="38" s="1"/>
  <c r="AN155" i="38"/>
  <c r="AO155" i="38" s="1"/>
  <c r="AH168" i="38"/>
  <c r="AI168" i="38" s="1"/>
  <c r="AH180" i="38"/>
  <c r="AI180" i="38" s="1"/>
  <c r="AH192" i="38"/>
  <c r="AI192" i="38" s="1"/>
  <c r="AH204" i="38"/>
  <c r="AI204" i="38" s="1"/>
  <c r="AH177" i="38"/>
  <c r="AI177" i="38" s="1"/>
  <c r="AN216" i="38"/>
  <c r="AO216" i="38" s="1"/>
  <c r="AB164" i="38"/>
  <c r="AC164" i="38" s="1"/>
  <c r="AN173" i="38"/>
  <c r="AO173" i="38" s="1"/>
  <c r="AN219" i="38"/>
  <c r="AO219" i="38" s="1"/>
  <c r="V228" i="38"/>
  <c r="W228" i="38" s="1"/>
  <c r="AB231" i="38"/>
  <c r="AC231" i="38" s="1"/>
  <c r="V240" i="38"/>
  <c r="W240" i="38" s="1"/>
  <c r="AB225" i="38"/>
  <c r="AC225" i="38" s="1"/>
  <c r="V234" i="38"/>
  <c r="W234" i="38" s="1"/>
  <c r="AH245" i="38"/>
  <c r="AI245" i="38" s="1"/>
  <c r="AB252" i="38"/>
  <c r="AC252" i="38" s="1"/>
  <c r="AB258" i="38"/>
  <c r="AC258" i="38" s="1"/>
  <c r="AH262" i="38"/>
  <c r="AI262" i="38" s="1"/>
  <c r="AN281" i="38"/>
  <c r="AO281" i="38" s="1"/>
  <c r="AH250" i="38"/>
  <c r="AI250" i="38" s="1"/>
  <c r="AB307" i="38"/>
  <c r="AC307" i="38" s="1"/>
  <c r="AH268" i="38"/>
  <c r="AI268" i="38" s="1"/>
  <c r="AH287" i="38"/>
  <c r="AI287" i="38" s="1"/>
  <c r="V293" i="38"/>
  <c r="W293" i="38" s="1"/>
  <c r="AH302" i="38"/>
  <c r="AI302" i="38" s="1"/>
  <c r="AH314" i="38"/>
  <c r="AI314" i="38" s="1"/>
  <c r="AB262" i="38"/>
  <c r="AC262" i="38" s="1"/>
  <c r="AN286" i="38"/>
  <c r="AO286" i="38" s="1"/>
  <c r="AH292" i="38"/>
  <c r="AI292" i="38" s="1"/>
  <c r="AB320" i="38"/>
  <c r="AC320" i="38" s="1"/>
  <c r="AN350" i="38"/>
  <c r="AO350" i="38" s="1"/>
  <c r="AB356" i="38"/>
  <c r="AC356" i="38" s="1"/>
  <c r="V323" i="38"/>
  <c r="W323" i="38" s="1"/>
  <c r="AB332" i="38"/>
  <c r="AC332" i="38" s="1"/>
  <c r="V306" i="38"/>
  <c r="W306" i="38" s="1"/>
  <c r="AH298" i="38"/>
  <c r="AI298" i="38" s="1"/>
  <c r="AH336" i="38"/>
  <c r="AI336" i="38" s="1"/>
  <c r="AB326" i="38"/>
  <c r="AC326" i="38" s="1"/>
  <c r="AN373" i="38"/>
  <c r="AO373" i="38" s="1"/>
  <c r="V367" i="38"/>
  <c r="W367" i="38" s="1"/>
  <c r="AH96" i="38" l="1"/>
  <c r="AI96" i="38" s="1"/>
  <c r="AG96" i="38"/>
  <c r="AR96" i="38" s="1"/>
  <c r="AB39" i="38"/>
  <c r="AC39" i="38" s="1"/>
  <c r="AA39" i="38"/>
  <c r="AR39" i="38" s="1"/>
  <c r="V278" i="38"/>
  <c r="W278" i="38" s="1"/>
  <c r="U278" i="38"/>
  <c r="AR278" i="38" s="1"/>
  <c r="AB170" i="38"/>
  <c r="AC170" i="38" s="1"/>
  <c r="AA170" i="38"/>
  <c r="V267" i="38"/>
  <c r="W267" i="38" s="1"/>
  <c r="U267" i="38"/>
  <c r="AR267" i="38" s="1"/>
  <c r="V155" i="38"/>
  <c r="W155" i="38" s="1"/>
  <c r="U155" i="38"/>
  <c r="AR155" i="38" s="1"/>
  <c r="AH363" i="38"/>
  <c r="AI363" i="38" s="1"/>
  <c r="AG363" i="38"/>
  <c r="AR363" i="38" s="1"/>
  <c r="AN235" i="38"/>
  <c r="AO235" i="38" s="1"/>
  <c r="AM235" i="38"/>
  <c r="AR235" i="38" s="1"/>
  <c r="AH30" i="38"/>
  <c r="AI30" i="38" s="1"/>
  <c r="AG30" i="38"/>
  <c r="AR30" i="38" s="1"/>
  <c r="AB47" i="38"/>
  <c r="AC47" i="38" s="1"/>
  <c r="AA47" i="38"/>
  <c r="AR47" i="38" s="1"/>
  <c r="V255" i="38"/>
  <c r="W255" i="38" s="1"/>
  <c r="U255" i="38"/>
  <c r="AR255" i="38" s="1"/>
  <c r="V247" i="38"/>
  <c r="W247" i="38" s="1"/>
  <c r="U247" i="38"/>
  <c r="AR247" i="38" s="1"/>
  <c r="AH329" i="38"/>
  <c r="AI329" i="38" s="1"/>
  <c r="AG329" i="38"/>
  <c r="V341" i="38"/>
  <c r="W341" i="38" s="1"/>
  <c r="U341" i="38"/>
  <c r="AR341" i="38" s="1"/>
  <c r="AN230" i="38"/>
  <c r="AO230" i="38" s="1"/>
  <c r="AM230" i="38"/>
  <c r="AR230" i="38" s="1"/>
  <c r="AB335" i="38"/>
  <c r="AC335" i="38" s="1"/>
  <c r="AA335" i="38"/>
  <c r="AR335" i="38" s="1"/>
  <c r="AH41" i="38"/>
  <c r="AI41" i="38" s="1"/>
  <c r="AG41" i="38"/>
  <c r="V206" i="38"/>
  <c r="W206" i="38" s="1"/>
  <c r="U206" i="38"/>
  <c r="AR206" i="38" s="1"/>
  <c r="AB241" i="38"/>
  <c r="AC241" i="38" s="1"/>
  <c r="AA241" i="38"/>
  <c r="AR241" i="38" s="1"/>
  <c r="AH176" i="38"/>
  <c r="AI176" i="38" s="1"/>
  <c r="AG176" i="38"/>
  <c r="AN236" i="38"/>
  <c r="AO236" i="38" s="1"/>
  <c r="AM236" i="38"/>
  <c r="AR236" i="38" s="1"/>
  <c r="AH270" i="38"/>
  <c r="AI270" i="38" s="1"/>
  <c r="AG270" i="38"/>
  <c r="AR270" i="38" s="1"/>
  <c r="AH224" i="38"/>
  <c r="AI224" i="38" s="1"/>
  <c r="AG224" i="38"/>
  <c r="AR224" i="38" s="1"/>
  <c r="AB14" i="38"/>
  <c r="AC14" i="38" s="1"/>
  <c r="AA14" i="38"/>
  <c r="AR14" i="38" s="1"/>
  <c r="AB176" i="38"/>
  <c r="AC176" i="38" s="1"/>
  <c r="AA176" i="38"/>
  <c r="AH24" i="38"/>
  <c r="AI24" i="38" s="1"/>
  <c r="AG24" i="38"/>
  <c r="AR24" i="38" s="1"/>
  <c r="V368" i="38"/>
  <c r="W368" i="38" s="1"/>
  <c r="U368" i="38"/>
  <c r="AB215" i="38"/>
  <c r="AC215" i="38" s="1"/>
  <c r="AA215" i="38"/>
  <c r="AR215" i="38" s="1"/>
  <c r="V28" i="38"/>
  <c r="W28" i="38" s="1"/>
  <c r="U28" i="38"/>
  <c r="AR28" i="38" s="1"/>
  <c r="AH353" i="38"/>
  <c r="AI353" i="38" s="1"/>
  <c r="AG353" i="38"/>
  <c r="AR353" i="38" s="1"/>
  <c r="AB364" i="38"/>
  <c r="AC364" i="38" s="1"/>
  <c r="AA364" i="38"/>
  <c r="AR364" i="38" s="1"/>
  <c r="AH351" i="38"/>
  <c r="AI351" i="38" s="1"/>
  <c r="AG351" i="38"/>
  <c r="AR351" i="38" s="1"/>
  <c r="V70" i="38"/>
  <c r="W70" i="38" s="1"/>
  <c r="U70" i="38"/>
  <c r="AR70" i="38" s="1"/>
  <c r="V249" i="38"/>
  <c r="W249" i="38" s="1"/>
  <c r="U249" i="38"/>
  <c r="AR249" i="38" s="1"/>
  <c r="V261" i="38"/>
  <c r="W261" i="38" s="1"/>
  <c r="U261" i="38"/>
  <c r="AR261" i="38" s="1"/>
  <c r="AN355" i="38"/>
  <c r="AO355" i="38" s="1"/>
  <c r="AM355" i="38"/>
  <c r="AR355" i="38" s="1"/>
  <c r="U116" i="38"/>
  <c r="AR116" i="38" s="1"/>
  <c r="V116" i="38"/>
  <c r="W116" i="38" s="1"/>
  <c r="AN349" i="38"/>
  <c r="AO349" i="38" s="1"/>
  <c r="AM349" i="38"/>
  <c r="AR349" i="38" s="1"/>
  <c r="AB269" i="38"/>
  <c r="AC269" i="38" s="1"/>
  <c r="AA269" i="38"/>
  <c r="AR269" i="38" s="1"/>
  <c r="AH18" i="38"/>
  <c r="AI18" i="38" s="1"/>
  <c r="AG18" i="38"/>
  <c r="AR18" i="38" s="1"/>
  <c r="AB23" i="38"/>
  <c r="AC23" i="38" s="1"/>
  <c r="AA23" i="38"/>
  <c r="AR23" i="38" s="1"/>
  <c r="AN78" i="38"/>
  <c r="AO78" i="38" s="1"/>
  <c r="AM78" i="38"/>
  <c r="AR78" i="38" s="1"/>
  <c r="AB310" i="38"/>
  <c r="AC310" i="38" s="1"/>
  <c r="AA310" i="38"/>
  <c r="AN110" i="38"/>
  <c r="AO110" i="38" s="1"/>
  <c r="AM110" i="38"/>
  <c r="AR110" i="38" s="1"/>
  <c r="AN368" i="38"/>
  <c r="AO368" i="38" s="1"/>
  <c r="AM368" i="38"/>
  <c r="AH116" i="38"/>
  <c r="AI116" i="38" s="1"/>
  <c r="AG116" i="38"/>
  <c r="AN170" i="38"/>
  <c r="AO170" i="38" s="1"/>
  <c r="AM170" i="38"/>
  <c r="V329" i="38"/>
  <c r="W329" i="38" s="1"/>
  <c r="U329" i="38"/>
  <c r="AR329" i="38" s="1"/>
  <c r="AN310" i="38"/>
  <c r="AO310" i="38" s="1"/>
  <c r="AM310" i="38"/>
  <c r="AH370" i="38"/>
  <c r="AI370" i="38" s="1"/>
  <c r="AG370" i="38"/>
  <c r="AR370" i="38" s="1"/>
  <c r="AN341" i="38"/>
  <c r="AO341" i="38" s="1"/>
  <c r="AM341" i="38"/>
  <c r="AB68" i="38"/>
  <c r="AC68" i="38" s="1"/>
  <c r="AA68" i="38"/>
  <c r="AR68" i="38" s="1"/>
  <c r="AH303" i="38"/>
  <c r="AI303" i="38" s="1"/>
  <c r="AG303" i="38"/>
  <c r="AR303" i="38" s="1"/>
  <c r="AH170" i="38"/>
  <c r="AI170" i="38" s="1"/>
  <c r="AG170" i="38"/>
  <c r="AB41" i="38"/>
  <c r="AC41" i="38" s="1"/>
  <c r="AA41" i="38"/>
  <c r="AN176" i="38"/>
  <c r="AO176" i="38" s="1"/>
  <c r="AM176" i="38"/>
  <c r="R11" i="38"/>
  <c r="AR368" i="38" l="1"/>
  <c r="AR41" i="38"/>
  <c r="AR310" i="38"/>
  <c r="AR176" i="38"/>
  <c r="AR170" i="38"/>
  <c r="C90" i="41"/>
  <c r="F9" i="51" l="1"/>
  <c r="H10" i="51"/>
  <c r="I9" i="51"/>
  <c r="K9" i="51"/>
  <c r="E10" i="51"/>
  <c r="B32" i="8"/>
  <c r="B31" i="8"/>
  <c r="B29" i="8"/>
  <c r="E90" i="41" l="1"/>
  <c r="F87" i="41"/>
  <c r="E84" i="41"/>
  <c r="C84" i="41"/>
  <c r="AY106" i="12" l="1"/>
  <c r="F95" i="12" s="1"/>
  <c r="A104" i="12"/>
  <c r="E104" i="12"/>
  <c r="F104" i="12"/>
  <c r="G104" i="12"/>
  <c r="H104" i="12"/>
  <c r="G91" i="41"/>
  <c r="G90" i="41"/>
  <c r="E14" i="8" l="1"/>
  <c r="BD7" i="38"/>
  <c r="BG6" i="38"/>
  <c r="A24" i="51"/>
  <c r="A7" i="51"/>
  <c r="C8" i="51"/>
  <c r="G19" i="51"/>
  <c r="E8" i="51"/>
  <c r="K13" i="51"/>
  <c r="J13" i="51"/>
  <c r="G13" i="51"/>
  <c r="F13" i="51"/>
  <c r="F23" i="8"/>
  <c r="E13" i="51"/>
  <c r="F8" i="51"/>
  <c r="K25" i="51"/>
  <c r="E23" i="8"/>
  <c r="M8" i="51"/>
  <c r="L8" i="51"/>
  <c r="K8" i="51"/>
  <c r="I19" i="51"/>
  <c r="J8" i="51"/>
  <c r="D8" i="51"/>
  <c r="E19" i="51"/>
  <c r="F19" i="51"/>
  <c r="L3" i="51"/>
  <c r="E13" i="8"/>
  <c r="E9" i="8"/>
  <c r="E8" i="8"/>
  <c r="N10" i="50"/>
  <c r="BR7" i="38"/>
  <c r="BO7" i="38"/>
  <c r="B10" i="50"/>
  <c r="E10" i="50"/>
  <c r="M10" i="50"/>
  <c r="G10" i="50"/>
  <c r="BN7" i="38"/>
  <c r="L10" i="50"/>
  <c r="BQ7" i="38"/>
  <c r="D10" i="50"/>
  <c r="H10" i="50"/>
  <c r="K10" i="50"/>
  <c r="F10" i="50"/>
  <c r="BN7" i="42"/>
  <c r="O10" i="50"/>
  <c r="P10" i="50"/>
  <c r="J10" i="50"/>
  <c r="BP7" i="38"/>
  <c r="C10" i="50"/>
  <c r="BM7" i="38"/>
  <c r="K10" i="43"/>
  <c r="D10" i="43"/>
  <c r="P10" i="43"/>
  <c r="J10" i="43"/>
  <c r="C10" i="43"/>
  <c r="O10" i="43"/>
  <c r="I10" i="43"/>
  <c r="B10" i="43"/>
  <c r="N10" i="43"/>
  <c r="H10" i="43"/>
  <c r="M10" i="43"/>
  <c r="G10" i="43"/>
  <c r="L10" i="43"/>
  <c r="F10" i="43"/>
  <c r="B111" i="41"/>
  <c r="B15" i="41"/>
  <c r="B110" i="41"/>
  <c r="A32" i="8"/>
  <c r="B109" i="41"/>
  <c r="A31" i="8"/>
  <c r="A28" i="8"/>
  <c r="A105" i="41"/>
  <c r="B108" i="41"/>
  <c r="A29" i="8"/>
  <c r="B107" i="41"/>
  <c r="B113" i="41"/>
  <c r="A27" i="8"/>
  <c r="AB58" i="16"/>
  <c r="AB52" i="16"/>
  <c r="B13" i="16"/>
  <c r="A1" i="16"/>
  <c r="D9" i="42"/>
  <c r="BM7" i="42"/>
  <c r="BD6" i="42"/>
  <c r="F9" i="38"/>
  <c r="B34" i="37"/>
  <c r="D31" i="37"/>
  <c r="B25" i="37"/>
  <c r="I20" i="37"/>
  <c r="B13" i="37"/>
  <c r="B6" i="37"/>
  <c r="A97" i="41"/>
  <c r="B86" i="41"/>
  <c r="B74" i="41"/>
  <c r="A72" i="41"/>
  <c r="E66" i="41"/>
  <c r="E65" i="41"/>
  <c r="D59" i="41"/>
  <c r="D54" i="41"/>
  <c r="B49" i="41"/>
  <c r="B44" i="41"/>
  <c r="B36" i="41"/>
  <c r="B26" i="41"/>
  <c r="D20" i="41"/>
  <c r="B9" i="41"/>
  <c r="A2" i="41"/>
  <c r="A22" i="51"/>
  <c r="A16" i="51"/>
  <c r="A10" i="51"/>
  <c r="G3" i="51"/>
  <c r="A17" i="23"/>
  <c r="B4" i="23"/>
  <c r="AL7" i="4"/>
  <c r="AF7" i="4"/>
  <c r="H7" i="4"/>
  <c r="AH6" i="4"/>
  <c r="AB6" i="4"/>
  <c r="V6" i="4"/>
  <c r="P6" i="4"/>
  <c r="AK5" i="4"/>
  <c r="AB5" i="4"/>
  <c r="F5" i="4"/>
  <c r="AK4" i="4"/>
  <c r="K4" i="4"/>
  <c r="H63" i="14"/>
  <c r="D58" i="14"/>
  <c r="H42" i="14"/>
  <c r="H37" i="14"/>
  <c r="H31" i="14"/>
  <c r="H28" i="14"/>
  <c r="H20" i="14"/>
  <c r="H18" i="14"/>
  <c r="L11" i="14"/>
  <c r="J2" i="14"/>
  <c r="B40" i="8"/>
  <c r="B36" i="8"/>
  <c r="A33" i="8"/>
  <c r="A25" i="8"/>
  <c r="A16" i="8"/>
  <c r="J5" i="4"/>
  <c r="A58" i="14"/>
  <c r="H24" i="14"/>
  <c r="J11" i="14"/>
  <c r="A30" i="8"/>
  <c r="A13" i="8"/>
  <c r="I31" i="37"/>
  <c r="B87" i="41"/>
  <c r="B62" i="41"/>
  <c r="B29" i="41"/>
  <c r="A14" i="51"/>
  <c r="AH7" i="4"/>
  <c r="R6" i="4"/>
  <c r="Z4" i="4"/>
  <c r="H39" i="14"/>
  <c r="H19" i="14"/>
  <c r="AB57" i="16"/>
  <c r="AB51" i="16"/>
  <c r="K11" i="16"/>
  <c r="Q9" i="42"/>
  <c r="BR7" i="42"/>
  <c r="BL7" i="42"/>
  <c r="J6" i="42"/>
  <c r="E9" i="38"/>
  <c r="BF6" i="38"/>
  <c r="B33" i="37"/>
  <c r="C31" i="37"/>
  <c r="B24" i="37"/>
  <c r="B20" i="37"/>
  <c r="B12" i="37"/>
  <c r="B5" i="37"/>
  <c r="B95" i="41"/>
  <c r="D85" i="41"/>
  <c r="I73" i="41"/>
  <c r="B67" i="41"/>
  <c r="D66" i="41"/>
  <c r="D65" i="41"/>
  <c r="B59" i="41"/>
  <c r="B54" i="41"/>
  <c r="B48" i="41"/>
  <c r="B43" i="41"/>
  <c r="B35" i="41"/>
  <c r="B25" i="41"/>
  <c r="B20" i="41"/>
  <c r="B8" i="41"/>
  <c r="A28" i="51"/>
  <c r="D21" i="51"/>
  <c r="D15" i="51"/>
  <c r="A9" i="51"/>
  <c r="E3" i="51"/>
  <c r="B10" i="23"/>
  <c r="A3" i="23"/>
  <c r="AK7" i="4"/>
  <c r="AE7" i="4"/>
  <c r="G7" i="4"/>
  <c r="AG6" i="4"/>
  <c r="AA6" i="4"/>
  <c r="U6" i="4"/>
  <c r="O6" i="4"/>
  <c r="AJ5" i="4"/>
  <c r="Z5" i="4"/>
  <c r="E5" i="4"/>
  <c r="AI4" i="4"/>
  <c r="E4" i="4"/>
  <c r="H62" i="14"/>
  <c r="C58" i="14"/>
  <c r="A42" i="14"/>
  <c r="H36" i="14"/>
  <c r="A31" i="14"/>
  <c r="H25" i="14"/>
  <c r="F20" i="14"/>
  <c r="H17" i="14"/>
  <c r="K11" i="14"/>
  <c r="I2" i="14"/>
  <c r="A40" i="8"/>
  <c r="A36" i="8"/>
  <c r="B30" i="8"/>
  <c r="A24" i="8"/>
  <c r="C23" i="8"/>
  <c r="A15" i="8"/>
  <c r="B7" i="8"/>
  <c r="AJ7" i="4"/>
  <c r="F7" i="4"/>
  <c r="Z6" i="4"/>
  <c r="M6" i="4"/>
  <c r="AQ4" i="4"/>
  <c r="H61" i="14"/>
  <c r="H35" i="14"/>
  <c r="H16" i="14"/>
  <c r="B39" i="8"/>
  <c r="A22" i="8"/>
  <c r="B36" i="37"/>
  <c r="A100" i="41"/>
  <c r="I65" i="41"/>
  <c r="B38" i="41"/>
  <c r="D4" i="41"/>
  <c r="B5" i="23"/>
  <c r="AD6" i="4"/>
  <c r="H5" i="4"/>
  <c r="H33" i="14"/>
  <c r="AB56" i="16"/>
  <c r="M34" i="16"/>
  <c r="K10" i="16"/>
  <c r="I9" i="42"/>
  <c r="BQ7" i="42"/>
  <c r="BE7" i="42"/>
  <c r="D6" i="42"/>
  <c r="D9" i="38"/>
  <c r="J6" i="38"/>
  <c r="B32" i="37"/>
  <c r="B31" i="37"/>
  <c r="C23" i="37"/>
  <c r="B19" i="37"/>
  <c r="B11" i="37"/>
  <c r="B4" i="37"/>
  <c r="B90" i="41"/>
  <c r="B85" i="41"/>
  <c r="H73" i="41"/>
  <c r="J66" i="41"/>
  <c r="C66" i="41"/>
  <c r="C65" i="41"/>
  <c r="B58" i="41"/>
  <c r="D53" i="41"/>
  <c r="B47" i="41"/>
  <c r="B41" i="41"/>
  <c r="A34" i="41"/>
  <c r="D22" i="41"/>
  <c r="D6" i="41"/>
  <c r="G25" i="51"/>
  <c r="A21" i="51"/>
  <c r="A15" i="51"/>
  <c r="J4" i="51"/>
  <c r="C3" i="51"/>
  <c r="A9" i="23"/>
  <c r="AB393" i="4"/>
  <c r="AD7" i="4"/>
  <c r="AF6" i="4"/>
  <c r="T6" i="4"/>
  <c r="AI5" i="4"/>
  <c r="D4" i="4"/>
  <c r="H30" i="14"/>
  <c r="B35" i="8"/>
  <c r="B27" i="37"/>
  <c r="D73" i="41"/>
  <c r="B51" i="41"/>
  <c r="A25" i="51"/>
  <c r="A2" i="51"/>
  <c r="AA7" i="4"/>
  <c r="K6" i="4"/>
  <c r="A73" i="14"/>
  <c r="H22" i="14"/>
  <c r="A38" i="8"/>
  <c r="AB55" i="16"/>
  <c r="B33" i="16"/>
  <c r="K8" i="16"/>
  <c r="H9" i="42"/>
  <c r="BP7" i="42"/>
  <c r="BL6" i="42"/>
  <c r="Q9" i="38"/>
  <c r="BL7" i="38"/>
  <c r="D6" i="38"/>
  <c r="J31" i="37"/>
  <c r="B28" i="37"/>
  <c r="B23" i="37"/>
  <c r="B16" i="37"/>
  <c r="B9" i="37"/>
  <c r="B101" i="41"/>
  <c r="D87" i="41"/>
  <c r="B84" i="41"/>
  <c r="G73" i="41"/>
  <c r="I66" i="41"/>
  <c r="J65" i="41"/>
  <c r="A64" i="41"/>
  <c r="B57" i="41"/>
  <c r="B53" i="41"/>
  <c r="G45" i="41"/>
  <c r="B39" i="41"/>
  <c r="C31" i="41"/>
  <c r="B22" i="41"/>
  <c r="B12" i="41"/>
  <c r="D5" i="41"/>
  <c r="E25" i="51"/>
  <c r="D20" i="51"/>
  <c r="D14" i="51"/>
  <c r="G4" i="51"/>
  <c r="A3" i="51"/>
  <c r="B6" i="23"/>
  <c r="AO7" i="4"/>
  <c r="AI7" i="4"/>
  <c r="AC7" i="4"/>
  <c r="E7" i="4"/>
  <c r="AE6" i="4"/>
  <c r="Y6" i="4"/>
  <c r="S6" i="4"/>
  <c r="L6" i="4"/>
  <c r="AF5" i="4"/>
  <c r="I5" i="4"/>
  <c r="AP4" i="4"/>
  <c r="AB4" i="4"/>
  <c r="A4" i="4"/>
  <c r="H60" i="14"/>
  <c r="H57" i="14"/>
  <c r="H40" i="14"/>
  <c r="H34" i="14"/>
  <c r="A30" i="14"/>
  <c r="H23" i="14"/>
  <c r="A20" i="14"/>
  <c r="H15" i="14"/>
  <c r="H11" i="14"/>
  <c r="H1" i="14"/>
  <c r="A39" i="8"/>
  <c r="A35" i="8"/>
  <c r="B27" i="8"/>
  <c r="L23" i="8"/>
  <c r="A19" i="8"/>
  <c r="A12" i="8"/>
  <c r="A5" i="8"/>
  <c r="AB54" i="16"/>
  <c r="M26" i="16"/>
  <c r="B6" i="16"/>
  <c r="F9" i="42"/>
  <c r="BO7" i="42"/>
  <c r="BG6" i="42"/>
  <c r="I9" i="38"/>
  <c r="BE7" i="38"/>
  <c r="I21" i="37"/>
  <c r="B8" i="37"/>
  <c r="A83" i="41"/>
  <c r="B56" i="41"/>
  <c r="B11" i="41"/>
  <c r="AO6" i="4"/>
  <c r="AD5" i="4"/>
  <c r="J58" i="14"/>
  <c r="J29" i="14"/>
  <c r="AB53" i="16"/>
  <c r="B21" i="16"/>
  <c r="A2" i="16"/>
  <c r="E9" i="42"/>
  <c r="BF6" i="42"/>
  <c r="H9" i="38"/>
  <c r="BL6" i="38"/>
  <c r="B35" i="37"/>
  <c r="E31" i="37"/>
  <c r="B26" i="37"/>
  <c r="B21" i="37"/>
  <c r="B14" i="37"/>
  <c r="B7" i="37"/>
  <c r="B98" i="41"/>
  <c r="D86" i="41"/>
  <c r="A79" i="41"/>
  <c r="C73" i="41"/>
  <c r="G66" i="41"/>
  <c r="H65" i="41"/>
  <c r="B60" i="41"/>
  <c r="B55" i="41"/>
  <c r="B50" i="41"/>
  <c r="G44" i="41"/>
  <c r="B37" i="41"/>
  <c r="B27" i="41"/>
  <c r="B21" i="41"/>
  <c r="B10" i="41"/>
  <c r="B3" i="41"/>
  <c r="A18" i="51"/>
  <c r="A12" i="51"/>
  <c r="J3" i="51"/>
  <c r="D17" i="23"/>
  <c r="D4" i="23"/>
  <c r="AM7" i="4"/>
  <c r="AG7" i="4"/>
  <c r="Z7" i="4"/>
  <c r="AN6" i="4"/>
  <c r="AC6" i="4"/>
  <c r="W6" i="4"/>
  <c r="Q6" i="4"/>
  <c r="AL5" i="4"/>
  <c r="AC5" i="4"/>
  <c r="G5" i="4"/>
  <c r="AM4" i="4"/>
  <c r="Q4" i="4"/>
  <c r="H64" i="14"/>
  <c r="H58" i="14"/>
  <c r="A43" i="14"/>
  <c r="H38" i="14"/>
  <c r="H32" i="14"/>
  <c r="I29" i="14"/>
  <c r="H21" i="14"/>
  <c r="A19" i="14"/>
  <c r="M11" i="14"/>
  <c r="A3" i="14"/>
  <c r="A41" i="8"/>
  <c r="A37" i="8"/>
  <c r="A34" i="8"/>
  <c r="A26" i="8"/>
  <c r="J23" i="8"/>
  <c r="A17" i="8"/>
  <c r="A10" i="8"/>
  <c r="A3" i="8"/>
  <c r="D23" i="8"/>
  <c r="C7" i="8"/>
  <c r="A1" i="8"/>
  <c r="A1" i="51" s="1"/>
  <c r="AF4" i="4"/>
  <c r="H41" i="14"/>
  <c r="C20" i="14"/>
  <c r="H2" i="14"/>
  <c r="N23" i="8"/>
  <c r="A7" i="8"/>
  <c r="B15" i="37"/>
  <c r="H66" i="41"/>
  <c r="B45" i="41"/>
  <c r="D21" i="41"/>
  <c r="A20" i="51"/>
  <c r="AN7" i="4"/>
  <c r="X6" i="4"/>
  <c r="AO4" i="4"/>
  <c r="A57" i="14"/>
  <c r="H14" i="14"/>
  <c r="A46" i="8"/>
  <c r="F3" i="8"/>
  <c r="B34" i="8"/>
  <c r="A18" i="8"/>
  <c r="H10" i="14"/>
  <c r="A11" i="8"/>
  <c r="K23" i="8"/>
  <c r="AX107" i="12" l="1"/>
  <c r="DJ104" i="12"/>
  <c r="DI104" i="12"/>
  <c r="DH104" i="12"/>
  <c r="DG104" i="12"/>
  <c r="DF104" i="12"/>
  <c r="DE104" i="12"/>
  <c r="DD104" i="12"/>
  <c r="DC104" i="12"/>
  <c r="DB104" i="12"/>
  <c r="DA104" i="12"/>
  <c r="CZ104" i="12"/>
  <c r="CY104" i="12"/>
  <c r="CX104" i="12"/>
  <c r="CW104" i="12"/>
  <c r="CV104" i="12"/>
  <c r="CU104" i="12"/>
  <c r="CT104" i="12"/>
  <c r="CS104" i="12"/>
  <c r="D27" i="8" s="1"/>
  <c r="CR104" i="12"/>
  <c r="D26" i="8" s="1"/>
  <c r="CQ104" i="12"/>
  <c r="CP104" i="12"/>
  <c r="CO104" i="12"/>
  <c r="CN104" i="12"/>
  <c r="CM104" i="12"/>
  <c r="CL104" i="12"/>
  <c r="CK104" i="12"/>
  <c r="CJ104" i="12"/>
  <c r="CI104" i="12"/>
  <c r="CH104" i="12"/>
  <c r="CG104" i="12"/>
  <c r="CF104" i="12"/>
  <c r="CE104" i="12"/>
  <c r="CD104" i="12"/>
  <c r="CC104" i="12"/>
  <c r="CB104" i="12"/>
  <c r="CA104" i="12"/>
  <c r="BZ104" i="12"/>
  <c r="BY104" i="12"/>
  <c r="BX104" i="12"/>
  <c r="BW104" i="12"/>
  <c r="BV104" i="12"/>
  <c r="BU104" i="12"/>
  <c r="BT104" i="12"/>
  <c r="BS104" i="12"/>
  <c r="BR104" i="12"/>
  <c r="BQ104" i="12"/>
  <c r="BP104" i="12"/>
  <c r="BO104" i="12"/>
  <c r="BN104" i="12"/>
  <c r="BM104" i="12"/>
  <c r="BL104" i="12"/>
  <c r="BK104" i="12"/>
  <c r="BJ104" i="12"/>
  <c r="BI104" i="12"/>
  <c r="BH104" i="12"/>
  <c r="BG104" i="12"/>
  <c r="BF104" i="12"/>
  <c r="BE104" i="12"/>
  <c r="BD104" i="12"/>
  <c r="BC104" i="12"/>
  <c r="G9" i="8" s="1"/>
  <c r="BB104" i="12"/>
  <c r="BA104" i="12"/>
  <c r="AZ104" i="12"/>
  <c r="AY104" i="12"/>
  <c r="AX104" i="12"/>
  <c r="N26" i="8" s="1"/>
  <c r="AW104" i="12"/>
  <c r="M26" i="8" s="1"/>
  <c r="AV104" i="12"/>
  <c r="K27" i="8" s="1"/>
  <c r="AU104" i="12"/>
  <c r="K26" i="8" s="1"/>
  <c r="AT104" i="12"/>
  <c r="J27" i="8" s="1"/>
  <c r="AS104" i="12"/>
  <c r="J26" i="8" s="1"/>
  <c r="AR104" i="12"/>
  <c r="I27" i="8" s="1"/>
  <c r="AQ104" i="12"/>
  <c r="I26" i="8" s="1"/>
  <c r="AP104" i="12"/>
  <c r="H27" i="8" s="1"/>
  <c r="AO104" i="12"/>
  <c r="H26" i="8" s="1"/>
  <c r="AN104" i="12"/>
  <c r="G27" i="8" s="1"/>
  <c r="AM104" i="12"/>
  <c r="G26" i="8" s="1"/>
  <c r="AL104" i="12"/>
  <c r="F27" i="8" s="1"/>
  <c r="AK104" i="12"/>
  <c r="F26" i="8" s="1"/>
  <c r="AJ104" i="12"/>
  <c r="E27" i="8" s="1"/>
  <c r="AI104" i="12"/>
  <c r="E26" i="8" s="1"/>
  <c r="AH104" i="12"/>
  <c r="C27" i="8" s="1"/>
  <c r="C32" i="8" s="1"/>
  <c r="C10" i="51" s="1"/>
  <c r="AG104" i="12"/>
  <c r="C26" i="8" s="1"/>
  <c r="C31" i="8" s="1"/>
  <c r="C9" i="51" s="1"/>
  <c r="AF104" i="12"/>
  <c r="L26" i="8" s="1"/>
  <c r="AE104" i="12"/>
  <c r="AD104" i="12"/>
  <c r="AC104" i="12"/>
  <c r="AB104" i="12"/>
  <c r="AA104" i="12"/>
  <c r="Z104" i="12"/>
  <c r="Y104" i="12"/>
  <c r="X104" i="12"/>
  <c r="W104" i="12"/>
  <c r="V104" i="12"/>
  <c r="U104" i="12"/>
  <c r="T104" i="12"/>
  <c r="S104" i="12"/>
  <c r="R104" i="12"/>
  <c r="Q104" i="12"/>
  <c r="B19" i="8" s="1"/>
  <c r="P104" i="12"/>
  <c r="B18" i="8" s="1"/>
  <c r="A5" i="51" s="1"/>
  <c r="O104" i="12"/>
  <c r="C10" i="8" s="1"/>
  <c r="N104" i="12"/>
  <c r="C9" i="8" s="1"/>
  <c r="M104" i="12"/>
  <c r="C8" i="8" s="1"/>
  <c r="L104" i="12"/>
  <c r="B12" i="8" s="1"/>
  <c r="K104" i="12"/>
  <c r="B11" i="8" s="1"/>
  <c r="J104" i="12"/>
  <c r="B10" i="8" s="1"/>
  <c r="I104" i="12"/>
  <c r="B9" i="8" s="1"/>
  <c r="B8" i="8"/>
  <c r="B16" i="8"/>
  <c r="DJ103" i="12"/>
  <c r="DI103" i="12"/>
  <c r="DH103" i="12"/>
  <c r="DG103" i="12"/>
  <c r="DF103" i="12"/>
  <c r="DE103" i="12"/>
  <c r="DD103" i="12"/>
  <c r="DC103" i="12"/>
  <c r="DB103" i="12"/>
  <c r="DA103" i="12"/>
  <c r="CZ103" i="12"/>
  <c r="CY103" i="12"/>
  <c r="CX103" i="12"/>
  <c r="CW103" i="12"/>
  <c r="CV103" i="12"/>
  <c r="CU103" i="12"/>
  <c r="CT103" i="12"/>
  <c r="CS103" i="12"/>
  <c r="CR103" i="12"/>
  <c r="CQ103" i="12"/>
  <c r="CP103" i="12"/>
  <c r="CO103" i="12"/>
  <c r="CN103" i="12"/>
  <c r="CM103" i="12"/>
  <c r="CL103" i="12"/>
  <c r="CK103" i="12"/>
  <c r="CJ103" i="12"/>
  <c r="CI103" i="12"/>
  <c r="CH103" i="12"/>
  <c r="CG103" i="12"/>
  <c r="CF103" i="12"/>
  <c r="CE103" i="12"/>
  <c r="CD103" i="12"/>
  <c r="CC103" i="12"/>
  <c r="CB103" i="12"/>
  <c r="CA103" i="12"/>
  <c r="BZ103" i="12"/>
  <c r="BY103" i="12"/>
  <c r="BX103" i="12"/>
  <c r="BW103" i="12"/>
  <c r="BV103" i="12"/>
  <c r="BU103" i="12"/>
  <c r="BT103"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K103" i="12"/>
  <c r="J103" i="12"/>
  <c r="I103" i="12"/>
  <c r="H103" i="12"/>
  <c r="G103" i="12"/>
  <c r="F103" i="12"/>
  <c r="E103" i="12"/>
  <c r="D103" i="12"/>
  <c r="C103" i="12"/>
  <c r="B103" i="12"/>
  <c r="A103" i="12"/>
  <c r="B101" i="12"/>
  <c r="B104" i="12" s="1"/>
  <c r="AB11" i="4" l="1"/>
  <c r="BE11" i="38" s="1"/>
  <c r="AB17" i="4"/>
  <c r="BE17" i="38" s="1"/>
  <c r="AB23" i="4"/>
  <c r="BE23" i="38" s="1"/>
  <c r="AB29" i="4"/>
  <c r="BE29" i="38" s="1"/>
  <c r="AB35" i="4"/>
  <c r="BE35" i="38" s="1"/>
  <c r="AB41" i="4"/>
  <c r="BE41" i="38" s="1"/>
  <c r="AB47" i="4"/>
  <c r="BE47" i="38" s="1"/>
  <c r="AB53" i="4"/>
  <c r="BE53" i="38" s="1"/>
  <c r="AB59" i="4"/>
  <c r="BE59" i="38" s="1"/>
  <c r="AB65" i="4"/>
  <c r="BE65" i="38" s="1"/>
  <c r="AB71" i="4"/>
  <c r="BE71" i="38" s="1"/>
  <c r="AB77" i="4"/>
  <c r="BE77" i="38" s="1"/>
  <c r="AB83" i="4"/>
  <c r="BE83" i="38" s="1"/>
  <c r="AB89" i="4"/>
  <c r="BE89" i="38" s="1"/>
  <c r="AB95" i="4"/>
  <c r="BE95" i="38" s="1"/>
  <c r="AB101" i="4"/>
  <c r="BE101" i="38" s="1"/>
  <c r="AB107" i="4"/>
  <c r="BE107" i="38" s="1"/>
  <c r="AB113" i="4"/>
  <c r="BE113" i="38" s="1"/>
  <c r="AB119" i="4"/>
  <c r="BE119" i="38" s="1"/>
  <c r="AB125" i="4"/>
  <c r="BE125" i="38" s="1"/>
  <c r="AB131" i="4"/>
  <c r="BE131" i="38" s="1"/>
  <c r="AB137" i="4"/>
  <c r="BE137" i="38" s="1"/>
  <c r="AB143" i="4"/>
  <c r="BE143" i="38" s="1"/>
  <c r="AB149" i="4"/>
  <c r="BE149" i="38" s="1"/>
  <c r="AB155" i="4"/>
  <c r="BE155" i="38" s="1"/>
  <c r="AB161" i="4"/>
  <c r="BE161" i="38" s="1"/>
  <c r="AB167" i="4"/>
  <c r="BE167" i="38" s="1"/>
  <c r="AB173" i="4"/>
  <c r="BE173" i="38" s="1"/>
  <c r="AB179" i="4"/>
  <c r="BE179" i="38" s="1"/>
  <c r="AB185" i="4"/>
  <c r="BE185" i="38" s="1"/>
  <c r="AB191" i="4"/>
  <c r="BE191" i="38" s="1"/>
  <c r="AB197" i="4"/>
  <c r="BE197" i="38" s="1"/>
  <c r="AB203" i="4"/>
  <c r="BE203" i="38" s="1"/>
  <c r="AB209" i="4"/>
  <c r="BE209" i="38" s="1"/>
  <c r="AB215" i="4"/>
  <c r="BE215" i="38" s="1"/>
  <c r="AB221" i="4"/>
  <c r="BE221" i="38" s="1"/>
  <c r="AB227" i="4"/>
  <c r="BE227" i="38" s="1"/>
  <c r="AB233" i="4"/>
  <c r="BE233" i="38" s="1"/>
  <c r="AB239" i="4"/>
  <c r="BE239" i="38" s="1"/>
  <c r="AB245" i="4"/>
  <c r="BE245" i="38" s="1"/>
  <c r="AB251" i="4"/>
  <c r="BE251" i="38" s="1"/>
  <c r="AB257" i="4"/>
  <c r="BE257" i="38" s="1"/>
  <c r="AB263" i="4"/>
  <c r="BE263" i="38" s="1"/>
  <c r="AB269" i="4"/>
  <c r="BE269" i="38" s="1"/>
  <c r="AB275" i="4"/>
  <c r="BE275" i="38" s="1"/>
  <c r="AB281" i="4"/>
  <c r="BE281" i="38" s="1"/>
  <c r="AB287" i="4"/>
  <c r="BE287" i="38" s="1"/>
  <c r="AB293" i="4"/>
  <c r="BE293" i="38" s="1"/>
  <c r="AB299" i="4"/>
  <c r="BE299" i="38" s="1"/>
  <c r="AB305" i="4"/>
  <c r="BE305" i="38" s="1"/>
  <c r="AB311" i="4"/>
  <c r="BE311" i="38" s="1"/>
  <c r="AB317" i="4"/>
  <c r="BE317" i="38" s="1"/>
  <c r="AB323" i="4"/>
  <c r="BE323" i="38" s="1"/>
  <c r="AB329" i="4"/>
  <c r="BE329" i="38" s="1"/>
  <c r="AB335" i="4"/>
  <c r="BE335" i="38" s="1"/>
  <c r="AB341" i="4"/>
  <c r="BE341" i="38" s="1"/>
  <c r="AB347" i="4"/>
  <c r="BE347" i="38" s="1"/>
  <c r="AB353" i="4"/>
  <c r="BE353" i="38" s="1"/>
  <c r="AB359" i="4"/>
  <c r="BE359" i="38" s="1"/>
  <c r="AB365" i="4"/>
  <c r="BE365" i="38" s="1"/>
  <c r="AB371" i="4"/>
  <c r="BE371" i="38" s="1"/>
  <c r="AB40" i="4"/>
  <c r="BE40" i="38" s="1"/>
  <c r="AB76" i="4"/>
  <c r="BE76" i="38" s="1"/>
  <c r="AB112" i="4"/>
  <c r="BE112" i="38" s="1"/>
  <c r="AB142" i="4"/>
  <c r="BE142" i="38" s="1"/>
  <c r="AB172" i="4"/>
  <c r="BE172" i="38" s="1"/>
  <c r="AB208" i="4"/>
  <c r="BE208" i="38" s="1"/>
  <c r="AB238" i="4"/>
  <c r="BE238" i="38" s="1"/>
  <c r="AB268" i="4"/>
  <c r="BE268" i="38" s="1"/>
  <c r="AB298" i="4"/>
  <c r="BE298" i="38" s="1"/>
  <c r="AB322" i="4"/>
  <c r="BE322" i="38" s="1"/>
  <c r="AB352" i="4"/>
  <c r="BE352" i="38" s="1"/>
  <c r="AB12" i="4"/>
  <c r="BE12" i="38" s="1"/>
  <c r="AB18" i="4"/>
  <c r="BE18" i="38" s="1"/>
  <c r="AB24" i="4"/>
  <c r="BE24" i="38" s="1"/>
  <c r="AB30" i="4"/>
  <c r="BE30" i="38" s="1"/>
  <c r="AB36" i="4"/>
  <c r="BE36" i="38" s="1"/>
  <c r="AB42" i="4"/>
  <c r="BE42" i="38" s="1"/>
  <c r="AB48" i="4"/>
  <c r="BE48" i="38" s="1"/>
  <c r="AB54" i="4"/>
  <c r="BE54" i="38" s="1"/>
  <c r="AB60" i="4"/>
  <c r="BE60" i="38" s="1"/>
  <c r="AB66" i="4"/>
  <c r="BE66" i="38" s="1"/>
  <c r="AB72" i="4"/>
  <c r="BE72" i="38" s="1"/>
  <c r="AB78" i="4"/>
  <c r="BE78" i="38" s="1"/>
  <c r="AB84" i="4"/>
  <c r="BE84" i="38" s="1"/>
  <c r="AB90" i="4"/>
  <c r="BE90" i="38" s="1"/>
  <c r="AB96" i="4"/>
  <c r="BE96" i="38" s="1"/>
  <c r="AB102" i="4"/>
  <c r="BE102" i="38" s="1"/>
  <c r="AB108" i="4"/>
  <c r="BE108" i="38" s="1"/>
  <c r="AB114" i="4"/>
  <c r="BE114" i="38" s="1"/>
  <c r="AB120" i="4"/>
  <c r="BE120" i="38" s="1"/>
  <c r="AB126" i="4"/>
  <c r="BE126" i="38" s="1"/>
  <c r="AB132" i="4"/>
  <c r="BE132" i="38" s="1"/>
  <c r="AB138" i="4"/>
  <c r="BE138" i="38" s="1"/>
  <c r="AB144" i="4"/>
  <c r="BE144" i="38" s="1"/>
  <c r="AB150" i="4"/>
  <c r="BE150" i="38" s="1"/>
  <c r="AB156" i="4"/>
  <c r="BE156" i="38" s="1"/>
  <c r="AB162" i="4"/>
  <c r="BE162" i="38" s="1"/>
  <c r="AB168" i="4"/>
  <c r="BE168" i="38" s="1"/>
  <c r="AB174" i="4"/>
  <c r="BE174" i="38" s="1"/>
  <c r="AB180" i="4"/>
  <c r="BE180" i="38" s="1"/>
  <c r="AB186" i="4"/>
  <c r="BE186" i="38" s="1"/>
  <c r="AB192" i="4"/>
  <c r="BE192" i="38" s="1"/>
  <c r="AB198" i="4"/>
  <c r="BE198" i="38" s="1"/>
  <c r="AB204" i="4"/>
  <c r="BE204" i="38" s="1"/>
  <c r="AB210" i="4"/>
  <c r="BE210" i="38" s="1"/>
  <c r="AB216" i="4"/>
  <c r="BE216" i="38" s="1"/>
  <c r="AB222" i="4"/>
  <c r="BE222" i="38" s="1"/>
  <c r="AB228" i="4"/>
  <c r="BE228" i="38" s="1"/>
  <c r="AB234" i="4"/>
  <c r="BE234" i="38" s="1"/>
  <c r="AB240" i="4"/>
  <c r="BE240" i="38" s="1"/>
  <c r="AB246" i="4"/>
  <c r="BE246" i="38" s="1"/>
  <c r="AB252" i="4"/>
  <c r="BE252" i="38" s="1"/>
  <c r="AB258" i="4"/>
  <c r="BE258" i="38" s="1"/>
  <c r="AB264" i="4"/>
  <c r="BE264" i="38" s="1"/>
  <c r="AB270" i="4"/>
  <c r="BE270" i="38" s="1"/>
  <c r="AB276" i="4"/>
  <c r="BE276" i="38" s="1"/>
  <c r="AB282" i="4"/>
  <c r="BE282" i="38" s="1"/>
  <c r="AB288" i="4"/>
  <c r="BE288" i="38" s="1"/>
  <c r="AB294" i="4"/>
  <c r="BE294" i="38" s="1"/>
  <c r="AB300" i="4"/>
  <c r="BE300" i="38" s="1"/>
  <c r="AB306" i="4"/>
  <c r="BE306" i="38" s="1"/>
  <c r="AB312" i="4"/>
  <c r="BE312" i="38" s="1"/>
  <c r="AB318" i="4"/>
  <c r="BE318" i="38" s="1"/>
  <c r="AB324" i="4"/>
  <c r="BE324" i="38" s="1"/>
  <c r="AB330" i="4"/>
  <c r="BE330" i="38" s="1"/>
  <c r="AB336" i="4"/>
  <c r="BE336" i="38" s="1"/>
  <c r="AB342" i="4"/>
  <c r="BE342" i="38" s="1"/>
  <c r="AB348" i="4"/>
  <c r="BE348" i="38" s="1"/>
  <c r="AB354" i="4"/>
  <c r="BE354" i="38" s="1"/>
  <c r="AB360" i="4"/>
  <c r="BE360" i="38" s="1"/>
  <c r="AB366" i="4"/>
  <c r="BE366" i="38" s="1"/>
  <c r="AB372" i="4"/>
  <c r="BE372" i="38" s="1"/>
  <c r="AB34" i="4"/>
  <c r="BE34" i="38" s="1"/>
  <c r="AB70" i="4"/>
  <c r="BE70" i="38" s="1"/>
  <c r="AB94" i="4"/>
  <c r="BE94" i="38" s="1"/>
  <c r="AB124" i="4"/>
  <c r="BE124" i="38" s="1"/>
  <c r="AB154" i="4"/>
  <c r="BE154" i="38" s="1"/>
  <c r="AB184" i="4"/>
  <c r="BE184" i="38" s="1"/>
  <c r="AB214" i="4"/>
  <c r="BE214" i="38" s="1"/>
  <c r="AB244" i="4"/>
  <c r="BE244" i="38" s="1"/>
  <c r="AB286" i="4"/>
  <c r="BE286" i="38" s="1"/>
  <c r="AB328" i="4"/>
  <c r="BE328" i="38" s="1"/>
  <c r="AB364" i="4"/>
  <c r="BE364" i="38" s="1"/>
  <c r="AB13" i="4"/>
  <c r="BE13" i="38" s="1"/>
  <c r="AB19" i="4"/>
  <c r="BE19" i="38" s="1"/>
  <c r="AB25" i="4"/>
  <c r="BE25" i="38" s="1"/>
  <c r="AB31" i="4"/>
  <c r="BE31" i="38" s="1"/>
  <c r="AB37" i="4"/>
  <c r="BE37" i="38" s="1"/>
  <c r="AB43" i="4"/>
  <c r="BE43" i="38" s="1"/>
  <c r="AB49" i="4"/>
  <c r="BE49" i="38" s="1"/>
  <c r="AB55" i="4"/>
  <c r="BE55" i="38" s="1"/>
  <c r="AB61" i="4"/>
  <c r="BE61" i="38" s="1"/>
  <c r="AB67" i="4"/>
  <c r="BE67" i="38" s="1"/>
  <c r="AB73" i="4"/>
  <c r="BE73" i="38" s="1"/>
  <c r="AB79" i="4"/>
  <c r="BE79" i="38" s="1"/>
  <c r="AB85" i="4"/>
  <c r="BE85" i="38" s="1"/>
  <c r="AB91" i="4"/>
  <c r="BE91" i="38" s="1"/>
  <c r="AB97" i="4"/>
  <c r="BE97" i="38" s="1"/>
  <c r="AB103" i="4"/>
  <c r="BE103" i="38" s="1"/>
  <c r="AB109" i="4"/>
  <c r="BE109" i="38" s="1"/>
  <c r="AB115" i="4"/>
  <c r="BE115" i="38" s="1"/>
  <c r="AB121" i="4"/>
  <c r="BE121" i="38" s="1"/>
  <c r="AB127" i="4"/>
  <c r="BE127" i="38" s="1"/>
  <c r="AB133" i="4"/>
  <c r="BE133" i="38" s="1"/>
  <c r="AB139" i="4"/>
  <c r="BE139" i="38" s="1"/>
  <c r="AB145" i="4"/>
  <c r="BE145" i="38" s="1"/>
  <c r="AB151" i="4"/>
  <c r="BE151" i="38" s="1"/>
  <c r="AB157" i="4"/>
  <c r="BE157" i="38" s="1"/>
  <c r="AB163" i="4"/>
  <c r="BE163" i="38" s="1"/>
  <c r="AB169" i="4"/>
  <c r="BE169" i="38" s="1"/>
  <c r="AB175" i="4"/>
  <c r="BE175" i="38" s="1"/>
  <c r="AB181" i="4"/>
  <c r="BE181" i="38" s="1"/>
  <c r="AB187" i="4"/>
  <c r="BE187" i="38" s="1"/>
  <c r="AB193" i="4"/>
  <c r="BE193" i="38" s="1"/>
  <c r="AB199" i="4"/>
  <c r="BE199" i="38" s="1"/>
  <c r="AB205" i="4"/>
  <c r="BE205" i="38" s="1"/>
  <c r="AB211" i="4"/>
  <c r="BE211" i="38" s="1"/>
  <c r="AB217" i="4"/>
  <c r="BE217" i="38" s="1"/>
  <c r="AB223" i="4"/>
  <c r="BE223" i="38" s="1"/>
  <c r="AB229" i="4"/>
  <c r="BE229" i="38" s="1"/>
  <c r="AB235" i="4"/>
  <c r="BE235" i="38" s="1"/>
  <c r="AB241" i="4"/>
  <c r="BE241" i="38" s="1"/>
  <c r="AB247" i="4"/>
  <c r="BE247" i="38" s="1"/>
  <c r="AB253" i="4"/>
  <c r="BE253" i="38" s="1"/>
  <c r="AB259" i="4"/>
  <c r="BE259" i="38" s="1"/>
  <c r="AB265" i="4"/>
  <c r="BE265" i="38" s="1"/>
  <c r="AB271" i="4"/>
  <c r="BE271" i="38" s="1"/>
  <c r="AB277" i="4"/>
  <c r="BE277" i="38" s="1"/>
  <c r="AB283" i="4"/>
  <c r="BE283" i="38" s="1"/>
  <c r="AB289" i="4"/>
  <c r="BE289" i="38" s="1"/>
  <c r="AB295" i="4"/>
  <c r="BE295" i="38" s="1"/>
  <c r="AB301" i="4"/>
  <c r="BE301" i="38" s="1"/>
  <c r="AB307" i="4"/>
  <c r="BE307" i="38" s="1"/>
  <c r="AB313" i="4"/>
  <c r="BE313" i="38" s="1"/>
  <c r="AB319" i="4"/>
  <c r="BE319" i="38" s="1"/>
  <c r="AB325" i="4"/>
  <c r="BE325" i="38" s="1"/>
  <c r="AB331" i="4"/>
  <c r="BE331" i="38" s="1"/>
  <c r="AB337" i="4"/>
  <c r="BE337" i="38" s="1"/>
  <c r="AB343" i="4"/>
  <c r="BE343" i="38" s="1"/>
  <c r="AB349" i="4"/>
  <c r="BE349" i="38" s="1"/>
  <c r="AB355" i="4"/>
  <c r="BE355" i="38" s="1"/>
  <c r="AB361" i="4"/>
  <c r="BE361" i="38" s="1"/>
  <c r="AB367" i="4"/>
  <c r="BE367" i="38" s="1"/>
  <c r="AB373" i="4"/>
  <c r="BE373" i="38" s="1"/>
  <c r="AB28" i="4"/>
  <c r="BE28" i="38" s="1"/>
  <c r="AB64" i="4"/>
  <c r="BE64" i="38" s="1"/>
  <c r="AB88" i="4"/>
  <c r="BE88" i="38" s="1"/>
  <c r="AB118" i="4"/>
  <c r="BE118" i="38" s="1"/>
  <c r="AB148" i="4"/>
  <c r="BE148" i="38" s="1"/>
  <c r="AB178" i="4"/>
  <c r="BE178" i="38" s="1"/>
  <c r="AB202" i="4"/>
  <c r="BE202" i="38" s="1"/>
  <c r="AB232" i="4"/>
  <c r="BE232" i="38" s="1"/>
  <c r="AB262" i="4"/>
  <c r="BE262" i="38" s="1"/>
  <c r="AB292" i="4"/>
  <c r="BE292" i="38" s="1"/>
  <c r="AB316" i="4"/>
  <c r="BE316" i="38" s="1"/>
  <c r="AB346" i="4"/>
  <c r="BE346" i="38" s="1"/>
  <c r="AB376" i="4"/>
  <c r="BE376" i="38" s="1"/>
  <c r="AB14" i="4"/>
  <c r="BE14" i="38" s="1"/>
  <c r="AB20" i="4"/>
  <c r="BE20" i="38" s="1"/>
  <c r="AB26" i="4"/>
  <c r="BE26" i="38" s="1"/>
  <c r="AB32" i="4"/>
  <c r="BE32" i="38" s="1"/>
  <c r="AB38" i="4"/>
  <c r="BE38" i="38" s="1"/>
  <c r="AB44" i="4"/>
  <c r="BE44" i="38" s="1"/>
  <c r="AB50" i="4"/>
  <c r="BE50" i="38" s="1"/>
  <c r="AB56" i="4"/>
  <c r="BE56" i="38" s="1"/>
  <c r="AB62" i="4"/>
  <c r="BE62" i="38" s="1"/>
  <c r="AB68" i="4"/>
  <c r="BE68" i="38" s="1"/>
  <c r="AB74" i="4"/>
  <c r="BE74" i="38" s="1"/>
  <c r="AB80" i="4"/>
  <c r="BE80" i="38" s="1"/>
  <c r="AB86" i="4"/>
  <c r="BE86" i="38" s="1"/>
  <c r="AB92" i="4"/>
  <c r="BE92" i="38" s="1"/>
  <c r="AB98" i="4"/>
  <c r="BE98" i="38" s="1"/>
  <c r="AB104" i="4"/>
  <c r="BE104" i="38" s="1"/>
  <c r="AB110" i="4"/>
  <c r="BE110" i="38" s="1"/>
  <c r="AB116" i="4"/>
  <c r="BE116" i="38" s="1"/>
  <c r="AB122" i="4"/>
  <c r="BE122" i="38" s="1"/>
  <c r="AB128" i="4"/>
  <c r="BE128" i="38" s="1"/>
  <c r="AB134" i="4"/>
  <c r="BE134" i="38" s="1"/>
  <c r="AB140" i="4"/>
  <c r="BE140" i="38" s="1"/>
  <c r="AB146" i="4"/>
  <c r="BE146" i="38" s="1"/>
  <c r="AB152" i="4"/>
  <c r="BE152" i="38" s="1"/>
  <c r="AB158" i="4"/>
  <c r="BE158" i="38" s="1"/>
  <c r="AB164" i="4"/>
  <c r="BE164" i="38" s="1"/>
  <c r="AB170" i="4"/>
  <c r="BE170" i="38" s="1"/>
  <c r="AB176" i="4"/>
  <c r="BE176" i="38" s="1"/>
  <c r="AB182" i="4"/>
  <c r="BE182" i="38" s="1"/>
  <c r="AB188" i="4"/>
  <c r="BE188" i="38" s="1"/>
  <c r="AB194" i="4"/>
  <c r="BE194" i="38" s="1"/>
  <c r="AB200" i="4"/>
  <c r="BE200" i="38" s="1"/>
  <c r="AB206" i="4"/>
  <c r="BE206" i="38" s="1"/>
  <c r="AB212" i="4"/>
  <c r="BE212" i="38" s="1"/>
  <c r="AB218" i="4"/>
  <c r="BE218" i="38" s="1"/>
  <c r="AB224" i="4"/>
  <c r="BE224" i="38" s="1"/>
  <c r="AB230" i="4"/>
  <c r="BE230" i="38" s="1"/>
  <c r="AB236" i="4"/>
  <c r="BE236" i="38" s="1"/>
  <c r="AB242" i="4"/>
  <c r="BE242" i="38" s="1"/>
  <c r="AB248" i="4"/>
  <c r="BE248" i="38" s="1"/>
  <c r="AB254" i="4"/>
  <c r="BE254" i="38" s="1"/>
  <c r="AB260" i="4"/>
  <c r="BE260" i="38" s="1"/>
  <c r="AB266" i="4"/>
  <c r="BE266" i="38" s="1"/>
  <c r="AB272" i="4"/>
  <c r="BE272" i="38" s="1"/>
  <c r="AB278" i="4"/>
  <c r="BE278" i="38" s="1"/>
  <c r="AB284" i="4"/>
  <c r="BE284" i="38" s="1"/>
  <c r="AB290" i="4"/>
  <c r="BE290" i="38" s="1"/>
  <c r="AB296" i="4"/>
  <c r="BE296" i="38" s="1"/>
  <c r="AB302" i="4"/>
  <c r="BE302" i="38" s="1"/>
  <c r="AB308" i="4"/>
  <c r="BE308" i="38" s="1"/>
  <c r="AB314" i="4"/>
  <c r="BE314" i="38" s="1"/>
  <c r="AB320" i="4"/>
  <c r="BE320" i="38" s="1"/>
  <c r="AB326" i="4"/>
  <c r="BE326" i="38" s="1"/>
  <c r="AB332" i="4"/>
  <c r="BE332" i="38" s="1"/>
  <c r="AB338" i="4"/>
  <c r="BE338" i="38" s="1"/>
  <c r="AB344" i="4"/>
  <c r="BE344" i="38" s="1"/>
  <c r="AB350" i="4"/>
  <c r="BE350" i="38" s="1"/>
  <c r="AB356" i="4"/>
  <c r="BE356" i="38" s="1"/>
  <c r="AB362" i="4"/>
  <c r="BE362" i="38" s="1"/>
  <c r="AB368" i="4"/>
  <c r="BE368" i="38" s="1"/>
  <c r="AB374" i="4"/>
  <c r="BE374" i="38" s="1"/>
  <c r="AB22" i="4"/>
  <c r="BE22" i="38" s="1"/>
  <c r="AB52" i="4"/>
  <c r="BE52" i="38" s="1"/>
  <c r="AB82" i="4"/>
  <c r="BE82" i="38" s="1"/>
  <c r="AB106" i="4"/>
  <c r="BE106" i="38" s="1"/>
  <c r="AB130" i="4"/>
  <c r="BE130" i="38" s="1"/>
  <c r="AB160" i="4"/>
  <c r="BE160" i="38" s="1"/>
  <c r="AB190" i="4"/>
  <c r="BE190" i="38" s="1"/>
  <c r="AB220" i="4"/>
  <c r="BE220" i="38" s="1"/>
  <c r="AB250" i="4"/>
  <c r="BE250" i="38" s="1"/>
  <c r="AB274" i="4"/>
  <c r="BE274" i="38" s="1"/>
  <c r="AB310" i="4"/>
  <c r="BE310" i="38" s="1"/>
  <c r="AB340" i="4"/>
  <c r="BE340" i="38" s="1"/>
  <c r="AB370" i="4"/>
  <c r="BE370" i="38" s="1"/>
  <c r="AB15" i="4"/>
  <c r="BE15" i="38" s="1"/>
  <c r="AB21" i="4"/>
  <c r="BE21" i="38" s="1"/>
  <c r="AB27" i="4"/>
  <c r="BE27" i="38" s="1"/>
  <c r="AB33" i="4"/>
  <c r="BE33" i="38" s="1"/>
  <c r="AB39" i="4"/>
  <c r="BE39" i="38" s="1"/>
  <c r="AB45" i="4"/>
  <c r="BE45" i="38" s="1"/>
  <c r="AB51" i="4"/>
  <c r="BE51" i="38" s="1"/>
  <c r="AB57" i="4"/>
  <c r="BE57" i="38" s="1"/>
  <c r="AB63" i="4"/>
  <c r="BE63" i="38" s="1"/>
  <c r="AB69" i="4"/>
  <c r="BE69" i="38" s="1"/>
  <c r="AB75" i="4"/>
  <c r="BE75" i="38" s="1"/>
  <c r="AB81" i="4"/>
  <c r="BE81" i="38" s="1"/>
  <c r="AB87" i="4"/>
  <c r="BE87" i="38" s="1"/>
  <c r="AB93" i="4"/>
  <c r="BE93" i="38" s="1"/>
  <c r="AB99" i="4"/>
  <c r="BE99" i="38" s="1"/>
  <c r="AB105" i="4"/>
  <c r="BE105" i="38" s="1"/>
  <c r="AB111" i="4"/>
  <c r="BE111" i="38" s="1"/>
  <c r="AB117" i="4"/>
  <c r="BE117" i="38" s="1"/>
  <c r="AB123" i="4"/>
  <c r="BE123" i="38" s="1"/>
  <c r="AB129" i="4"/>
  <c r="BE129" i="38" s="1"/>
  <c r="AB135" i="4"/>
  <c r="BE135" i="38" s="1"/>
  <c r="AB141" i="4"/>
  <c r="BE141" i="38" s="1"/>
  <c r="AB147" i="4"/>
  <c r="BE147" i="38" s="1"/>
  <c r="AB153" i="4"/>
  <c r="BE153" i="38" s="1"/>
  <c r="AB159" i="4"/>
  <c r="BE159" i="38" s="1"/>
  <c r="AB165" i="4"/>
  <c r="BE165" i="38" s="1"/>
  <c r="AB171" i="4"/>
  <c r="BE171" i="38" s="1"/>
  <c r="AB177" i="4"/>
  <c r="BE177" i="38" s="1"/>
  <c r="AB183" i="4"/>
  <c r="BE183" i="38" s="1"/>
  <c r="AB189" i="4"/>
  <c r="BE189" i="38" s="1"/>
  <c r="AB195" i="4"/>
  <c r="BE195" i="38" s="1"/>
  <c r="AB201" i="4"/>
  <c r="BE201" i="38" s="1"/>
  <c r="AB207" i="4"/>
  <c r="BE207" i="38" s="1"/>
  <c r="AB213" i="4"/>
  <c r="BE213" i="38" s="1"/>
  <c r="AB219" i="4"/>
  <c r="BE219" i="38" s="1"/>
  <c r="AB225" i="4"/>
  <c r="BE225" i="38" s="1"/>
  <c r="AB231" i="4"/>
  <c r="BE231" i="38" s="1"/>
  <c r="AB237" i="4"/>
  <c r="BE237" i="38" s="1"/>
  <c r="AB243" i="4"/>
  <c r="BE243" i="38" s="1"/>
  <c r="AB249" i="4"/>
  <c r="BE249" i="38" s="1"/>
  <c r="AB255" i="4"/>
  <c r="BE255" i="38" s="1"/>
  <c r="AB261" i="4"/>
  <c r="BE261" i="38" s="1"/>
  <c r="AB267" i="4"/>
  <c r="BE267" i="38" s="1"/>
  <c r="AB273" i="4"/>
  <c r="BE273" i="38" s="1"/>
  <c r="AB279" i="4"/>
  <c r="BE279" i="38" s="1"/>
  <c r="AB285" i="4"/>
  <c r="BE285" i="38" s="1"/>
  <c r="AB291" i="4"/>
  <c r="BE291" i="38" s="1"/>
  <c r="AB297" i="4"/>
  <c r="BE297" i="38" s="1"/>
  <c r="AB303" i="4"/>
  <c r="BE303" i="38" s="1"/>
  <c r="AB309" i="4"/>
  <c r="BE309" i="38" s="1"/>
  <c r="AB315" i="4"/>
  <c r="BE315" i="38" s="1"/>
  <c r="AB321" i="4"/>
  <c r="BE321" i="38" s="1"/>
  <c r="AB327" i="4"/>
  <c r="BE327" i="38" s="1"/>
  <c r="AB333" i="4"/>
  <c r="BE333" i="38" s="1"/>
  <c r="AB339" i="4"/>
  <c r="BE339" i="38" s="1"/>
  <c r="AB345" i="4"/>
  <c r="BE345" i="38" s="1"/>
  <c r="AB351" i="4"/>
  <c r="BE351" i="38" s="1"/>
  <c r="AB357" i="4"/>
  <c r="BE357" i="38" s="1"/>
  <c r="AB363" i="4"/>
  <c r="BE363" i="38" s="1"/>
  <c r="AB369" i="4"/>
  <c r="BE369" i="38" s="1"/>
  <c r="AB375" i="4"/>
  <c r="BE375" i="38" s="1"/>
  <c r="AB16" i="4"/>
  <c r="BE16" i="38" s="1"/>
  <c r="AB46" i="4"/>
  <c r="BE46" i="38" s="1"/>
  <c r="AB58" i="4"/>
  <c r="BE58" i="38" s="1"/>
  <c r="AB100" i="4"/>
  <c r="BE100" i="38" s="1"/>
  <c r="AB136" i="4"/>
  <c r="BE136" i="38" s="1"/>
  <c r="AB166" i="4"/>
  <c r="BE166" i="38" s="1"/>
  <c r="AB196" i="4"/>
  <c r="BE196" i="38" s="1"/>
  <c r="AB226" i="4"/>
  <c r="BE226" i="38" s="1"/>
  <c r="AB256" i="4"/>
  <c r="BE256" i="38" s="1"/>
  <c r="AB280" i="4"/>
  <c r="BE280" i="38" s="1"/>
  <c r="AB304" i="4"/>
  <c r="BE304" i="38" s="1"/>
  <c r="AB334" i="4"/>
  <c r="BE334" i="38" s="1"/>
  <c r="AB358" i="4"/>
  <c r="BE358" i="38" s="1"/>
  <c r="L27" i="8"/>
  <c r="G26" i="51"/>
  <c r="I26" i="51"/>
  <c r="B17" i="8"/>
  <c r="J5" i="51"/>
  <c r="C101" i="12"/>
  <c r="B13" i="8"/>
  <c r="C34" i="8"/>
  <c r="G351" i="44"/>
  <c r="J233" i="44"/>
  <c r="C193" i="39"/>
  <c r="J303" i="44"/>
  <c r="H129" i="44"/>
  <c r="J142" i="44"/>
  <c r="I31" i="44"/>
  <c r="J258" i="44"/>
  <c r="L364" i="39"/>
  <c r="I39" i="44"/>
  <c r="G60" i="44"/>
  <c r="L169" i="39"/>
  <c r="H307" i="44"/>
  <c r="J46" i="44"/>
  <c r="L348" i="39"/>
  <c r="H37" i="39"/>
  <c r="I264" i="44"/>
  <c r="I146" i="44"/>
  <c r="G200" i="44"/>
  <c r="L149" i="39"/>
  <c r="L303" i="39"/>
  <c r="H351" i="44"/>
  <c r="H79" i="44"/>
  <c r="H328" i="44"/>
  <c r="H82" i="44"/>
  <c r="J219" i="44"/>
  <c r="L227" i="39"/>
  <c r="I26" i="44"/>
  <c r="G90" i="44"/>
  <c r="L11" i="39"/>
  <c r="H15" i="44"/>
  <c r="H355" i="39"/>
  <c r="J130" i="44"/>
  <c r="J187" i="44"/>
  <c r="I255" i="44"/>
  <c r="L352" i="39"/>
  <c r="I132" i="44"/>
  <c r="H199" i="44"/>
  <c r="I100" i="44"/>
  <c r="H352" i="44"/>
  <c r="H344" i="39"/>
  <c r="L270" i="39"/>
  <c r="H48" i="39"/>
  <c r="J194" i="44"/>
  <c r="L89" i="39"/>
  <c r="J346" i="44"/>
  <c r="I154" i="44"/>
  <c r="H114" i="44"/>
  <c r="I156" i="44"/>
  <c r="H16" i="44"/>
  <c r="J264" i="44"/>
  <c r="H282" i="44"/>
  <c r="H74" i="39"/>
  <c r="H202" i="44"/>
  <c r="G218" i="44"/>
  <c r="G166" i="44"/>
  <c r="L236" i="39"/>
  <c r="I90" i="44"/>
  <c r="I155" i="44"/>
  <c r="C114" i="39"/>
  <c r="L268" i="39"/>
  <c r="I299" i="44"/>
  <c r="G233" i="44"/>
  <c r="J296" i="44"/>
  <c r="H153" i="44"/>
  <c r="G275" i="44"/>
  <c r="J343" i="44"/>
  <c r="I245" i="44"/>
  <c r="I275" i="44"/>
  <c r="H268" i="39"/>
  <c r="H254" i="44"/>
  <c r="I267" i="44"/>
  <c r="B277" i="39"/>
  <c r="H370" i="39"/>
  <c r="H285" i="44"/>
  <c r="H340" i="44"/>
  <c r="I193" i="44"/>
  <c r="H261" i="39"/>
  <c r="L207" i="39"/>
  <c r="J186" i="44"/>
  <c r="L292" i="39"/>
  <c r="B200" i="39"/>
  <c r="I369" i="44"/>
  <c r="I101" i="44"/>
  <c r="K283" i="39"/>
  <c r="J267" i="44"/>
  <c r="J12" i="44"/>
  <c r="G311" i="44"/>
  <c r="L61" i="39"/>
  <c r="N323" i="39"/>
  <c r="H128" i="39"/>
  <c r="C293" i="39"/>
  <c r="O120" i="39"/>
  <c r="H154" i="39"/>
  <c r="B218" i="39"/>
  <c r="J104" i="44"/>
  <c r="G297" i="44"/>
  <c r="H76" i="39"/>
  <c r="G326" i="44"/>
  <c r="H84" i="39"/>
  <c r="O314" i="39"/>
  <c r="C357" i="39"/>
  <c r="L31" i="39"/>
  <c r="O225" i="39"/>
  <c r="I246" i="44"/>
  <c r="J34" i="44"/>
  <c r="L228" i="39"/>
  <c r="J91" i="44"/>
  <c r="G293" i="44"/>
  <c r="H119" i="39"/>
  <c r="C356" i="39"/>
  <c r="C43" i="39"/>
  <c r="B201" i="39"/>
  <c r="L264" i="39"/>
  <c r="I325" i="44"/>
  <c r="L231" i="39"/>
  <c r="J278" i="44"/>
  <c r="I362" i="44"/>
  <c r="J33" i="44"/>
  <c r="H366" i="39"/>
  <c r="J205" i="44"/>
  <c r="J36" i="44"/>
  <c r="B216" i="39"/>
  <c r="C286" i="39"/>
  <c r="K138" i="39"/>
  <c r="I162" i="44"/>
  <c r="L366" i="39"/>
  <c r="G67" i="44"/>
  <c r="J360" i="44"/>
  <c r="G63" i="44"/>
  <c r="I173" i="44"/>
  <c r="J99" i="44"/>
  <c r="J321" i="44"/>
  <c r="I272" i="44"/>
  <c r="J192" i="44"/>
  <c r="H61" i="44"/>
  <c r="B345" i="39"/>
  <c r="B39" i="39"/>
  <c r="J253" i="44"/>
  <c r="J50" i="44"/>
  <c r="H127" i="44"/>
  <c r="G292" i="44"/>
  <c r="G234" i="44"/>
  <c r="I296" i="44"/>
  <c r="L220" i="39"/>
  <c r="L184" i="39"/>
  <c r="C160" i="39"/>
  <c r="B23" i="39"/>
  <c r="H369" i="44"/>
  <c r="G128" i="44"/>
  <c r="L283" i="39"/>
  <c r="J38" i="44"/>
  <c r="I123" i="44"/>
  <c r="J336" i="44"/>
  <c r="L160" i="39"/>
  <c r="L98" i="39"/>
  <c r="J165" i="44"/>
  <c r="G160" i="44"/>
  <c r="L195" i="39"/>
  <c r="H221" i="44"/>
  <c r="L29" i="39"/>
  <c r="G280" i="44"/>
  <c r="I371" i="44"/>
  <c r="L22" i="39"/>
  <c r="H58" i="44"/>
  <c r="C120" i="39"/>
  <c r="L312" i="39"/>
  <c r="G353" i="44"/>
  <c r="J374" i="44"/>
  <c r="G159" i="44"/>
  <c r="H152" i="39"/>
  <c r="I133" i="44"/>
  <c r="L141" i="39"/>
  <c r="J287" i="44"/>
  <c r="C202" i="39"/>
  <c r="L368" i="39"/>
  <c r="H211" i="44"/>
  <c r="I203" i="44"/>
  <c r="G117" i="44"/>
  <c r="J101" i="44"/>
  <c r="G193" i="44"/>
  <c r="G277" i="44"/>
  <c r="I234" i="44"/>
  <c r="L56" i="39"/>
  <c r="J200" i="44"/>
  <c r="L331" i="39"/>
  <c r="H154" i="44"/>
  <c r="H77" i="39"/>
  <c r="J348" i="44"/>
  <c r="I288" i="44"/>
  <c r="L157" i="39"/>
  <c r="I343" i="44"/>
  <c r="H343" i="44"/>
  <c r="I333" i="44"/>
  <c r="H105" i="44"/>
  <c r="B274" i="39"/>
  <c r="H300" i="44"/>
  <c r="H120" i="44"/>
  <c r="L341" i="39"/>
  <c r="I270" i="44"/>
  <c r="I320" i="44"/>
  <c r="I28" i="44"/>
  <c r="J281" i="44"/>
  <c r="H159" i="44"/>
  <c r="J171" i="44"/>
  <c r="G22" i="44"/>
  <c r="G23" i="44"/>
  <c r="H65" i="39"/>
  <c r="H123" i="44"/>
  <c r="J229" i="44"/>
  <c r="I53" i="44"/>
  <c r="H306" i="39"/>
  <c r="H72" i="44"/>
  <c r="H237" i="44"/>
  <c r="H136" i="44"/>
  <c r="J163" i="44"/>
  <c r="H135" i="39"/>
  <c r="I130" i="44"/>
  <c r="C58" i="39"/>
  <c r="G98" i="44"/>
  <c r="L252" i="39"/>
  <c r="J216" i="44"/>
  <c r="J147" i="44"/>
  <c r="B283" i="39"/>
  <c r="G208" i="44"/>
  <c r="H122" i="39"/>
  <c r="L158" i="39"/>
  <c r="I23" i="44"/>
  <c r="G17" i="44"/>
  <c r="G24" i="44"/>
  <c r="J335" i="44"/>
  <c r="J342" i="44"/>
  <c r="I227" i="44"/>
  <c r="L78" i="39"/>
  <c r="J167" i="44"/>
  <c r="J252" i="44"/>
  <c r="I37" i="44"/>
  <c r="B251" i="39"/>
  <c r="G129" i="44"/>
  <c r="J330" i="44"/>
  <c r="H83" i="44"/>
  <c r="J68" i="44"/>
  <c r="J93" i="44"/>
  <c r="H150" i="44"/>
  <c r="L136" i="39"/>
  <c r="B62" i="39"/>
  <c r="L339" i="39"/>
  <c r="I15" i="44"/>
  <c r="J71" i="44"/>
  <c r="G312" i="44"/>
  <c r="H242" i="39"/>
  <c r="G213" i="44"/>
  <c r="I189" i="44"/>
  <c r="H265" i="39"/>
  <c r="L168" i="39"/>
  <c r="B149" i="39"/>
  <c r="O38" i="39"/>
  <c r="L55" i="39"/>
  <c r="I69" i="44"/>
  <c r="K332" i="39"/>
  <c r="L171" i="39"/>
  <c r="O141" i="39"/>
  <c r="H165" i="44"/>
  <c r="C301" i="39"/>
  <c r="G349" i="44"/>
  <c r="I326" i="44"/>
  <c r="H197" i="44"/>
  <c r="C344" i="39"/>
  <c r="L50" i="39"/>
  <c r="L153" i="39"/>
  <c r="I318" i="44"/>
  <c r="G251" i="44"/>
  <c r="G164" i="44"/>
  <c r="H247" i="44"/>
  <c r="H118" i="39"/>
  <c r="C76" i="39"/>
  <c r="H289" i="39"/>
  <c r="H360" i="39"/>
  <c r="G125" i="44"/>
  <c r="H35" i="44"/>
  <c r="H14" i="44"/>
  <c r="J358" i="44"/>
  <c r="I282" i="44"/>
  <c r="C343" i="39"/>
  <c r="H94" i="44"/>
  <c r="C103" i="39"/>
  <c r="H52" i="39"/>
  <c r="B171" i="39"/>
  <c r="J72" i="44"/>
  <c r="N177" i="39"/>
  <c r="I71" i="44"/>
  <c r="K233" i="39"/>
  <c r="G147" i="44"/>
  <c r="H46" i="44"/>
  <c r="I262" i="44"/>
  <c r="J308" i="44"/>
  <c r="G59" i="44"/>
  <c r="H149" i="44"/>
  <c r="I119" i="44"/>
  <c r="I21" i="44"/>
  <c r="J207" i="44"/>
  <c r="L214" i="39"/>
  <c r="H306" i="44"/>
  <c r="L81" i="39"/>
  <c r="H69" i="44"/>
  <c r="I122" i="44"/>
  <c r="I82" i="44"/>
  <c r="H87" i="44"/>
  <c r="G177" i="44"/>
  <c r="H128" i="44"/>
  <c r="H270" i="44"/>
  <c r="H251" i="39"/>
  <c r="H338" i="44"/>
  <c r="I295" i="44"/>
  <c r="J40" i="44"/>
  <c r="I142" i="44"/>
  <c r="J150" i="44"/>
  <c r="L159" i="39"/>
  <c r="J324" i="44"/>
  <c r="J136" i="44"/>
  <c r="H132" i="44"/>
  <c r="J289" i="44"/>
  <c r="I355" i="44"/>
  <c r="C191" i="39"/>
  <c r="G272" i="44"/>
  <c r="L219" i="39"/>
  <c r="J356" i="44"/>
  <c r="I126" i="44"/>
  <c r="J275" i="44"/>
  <c r="B71" i="39"/>
  <c r="H161" i="44"/>
  <c r="G257" i="44"/>
  <c r="J67" i="44"/>
  <c r="L112" i="39"/>
  <c r="B304" i="39"/>
  <c r="B113" i="39"/>
  <c r="J80" i="44"/>
  <c r="I77" i="44"/>
  <c r="J113" i="44"/>
  <c r="I356" i="44"/>
  <c r="J222" i="44"/>
  <c r="G219" i="44"/>
  <c r="I301" i="44"/>
  <c r="I214" i="44"/>
  <c r="H66" i="39"/>
  <c r="H196" i="44"/>
  <c r="H33" i="39"/>
  <c r="H294" i="44"/>
  <c r="I121" i="44"/>
  <c r="J339" i="44"/>
  <c r="G83" i="44"/>
  <c r="G238" i="44"/>
  <c r="L41" i="39"/>
  <c r="H62" i="39"/>
  <c r="H185" i="44"/>
  <c r="H342" i="44"/>
  <c r="C218" i="39"/>
  <c r="G333" i="44"/>
  <c r="I184" i="44"/>
  <c r="B75" i="39"/>
  <c r="I231" i="44"/>
  <c r="J191" i="44"/>
  <c r="J42" i="44"/>
  <c r="H192" i="44"/>
  <c r="H29" i="44"/>
  <c r="H286" i="44"/>
  <c r="H111" i="44"/>
  <c r="B322" i="39"/>
  <c r="G253" i="44"/>
  <c r="J223" i="44"/>
  <c r="I206" i="44"/>
  <c r="L240" i="39"/>
  <c r="M207" i="39"/>
  <c r="H81" i="39"/>
  <c r="B321" i="39"/>
  <c r="L76" i="39"/>
  <c r="L286" i="39"/>
  <c r="C184" i="39"/>
  <c r="H85" i="44"/>
  <c r="I29" i="44"/>
  <c r="B38" i="39"/>
  <c r="H23" i="44"/>
  <c r="H99" i="39"/>
  <c r="M37" i="39"/>
  <c r="M56" i="39"/>
  <c r="G102" i="44"/>
  <c r="N277" i="39"/>
  <c r="L334" i="39"/>
  <c r="N359" i="39"/>
  <c r="J51" i="44"/>
  <c r="H220" i="44"/>
  <c r="J180" i="44"/>
  <c r="J53" i="44"/>
  <c r="L287" i="39"/>
  <c r="B16" i="39"/>
  <c r="B297" i="39"/>
  <c r="H79" i="39"/>
  <c r="J17" i="44"/>
  <c r="G231" i="44"/>
  <c r="I114" i="44"/>
  <c r="H57" i="44"/>
  <c r="L290" i="39"/>
  <c r="L92" i="39"/>
  <c r="H88" i="39"/>
  <c r="I108" i="44"/>
  <c r="C228" i="39"/>
  <c r="C20" i="39"/>
  <c r="K272" i="39"/>
  <c r="J300" i="44"/>
  <c r="L353" i="39"/>
  <c r="H375" i="44"/>
  <c r="J270" i="44"/>
  <c r="L190" i="39"/>
  <c r="J115" i="44"/>
  <c r="C144" i="39"/>
  <c r="C98" i="39"/>
  <c r="H32" i="44"/>
  <c r="B144" i="39"/>
  <c r="G135" i="44"/>
  <c r="H135" i="44"/>
  <c r="H38" i="44"/>
  <c r="L187" i="39"/>
  <c r="G179" i="44"/>
  <c r="J256" i="44"/>
  <c r="G338" i="44"/>
  <c r="O231" i="39"/>
  <c r="G263" i="44"/>
  <c r="I56" i="44"/>
  <c r="I149" i="44"/>
  <c r="H309" i="44"/>
  <c r="H175" i="44"/>
  <c r="I97" i="44"/>
  <c r="I94" i="44"/>
  <c r="I276" i="44"/>
  <c r="C258" i="39"/>
  <c r="L111" i="39"/>
  <c r="L248" i="39"/>
  <c r="H313" i="39"/>
  <c r="B209" i="39"/>
  <c r="H239" i="44"/>
  <c r="J30" i="44"/>
  <c r="G347" i="44"/>
  <c r="J66" i="44"/>
  <c r="J27" i="44"/>
  <c r="G294" i="44"/>
  <c r="H202" i="39"/>
  <c r="B307" i="39"/>
  <c r="H144" i="39"/>
  <c r="H90" i="44"/>
  <c r="J61" i="44"/>
  <c r="L140" i="39"/>
  <c r="J220" i="44"/>
  <c r="J237" i="44"/>
  <c r="I323" i="44"/>
  <c r="J86" i="44"/>
  <c r="J332" i="44"/>
  <c r="H297" i="39"/>
  <c r="J37" i="44"/>
  <c r="J32" i="44"/>
  <c r="J55" i="44"/>
  <c r="J311" i="44"/>
  <c r="H88" i="44"/>
  <c r="H365" i="44"/>
  <c r="H311" i="39"/>
  <c r="I242" i="44"/>
  <c r="G344" i="44"/>
  <c r="L51" i="39"/>
  <c r="H31" i="39"/>
  <c r="I93" i="44"/>
  <c r="J153" i="44"/>
  <c r="J60" i="44"/>
  <c r="L178" i="39"/>
  <c r="G317" i="44"/>
  <c r="I297" i="44"/>
  <c r="G58" i="44"/>
  <c r="H320" i="39"/>
  <c r="H119" i="44"/>
  <c r="C223" i="39"/>
  <c r="B106" i="39"/>
  <c r="L177" i="39"/>
  <c r="L32" i="39"/>
  <c r="G313" i="44"/>
  <c r="G203" i="44"/>
  <c r="H226" i="44"/>
  <c r="I84" i="44"/>
  <c r="G108" i="44"/>
  <c r="I78" i="44"/>
  <c r="H179" i="44"/>
  <c r="H109" i="39"/>
  <c r="H25" i="39"/>
  <c r="L359" i="39"/>
  <c r="C106" i="39"/>
  <c r="I309" i="44"/>
  <c r="L346" i="39"/>
  <c r="G342" i="44"/>
  <c r="C70" i="39"/>
  <c r="L62" i="39"/>
  <c r="C145" i="39"/>
  <c r="L245" i="39"/>
  <c r="H157" i="39"/>
  <c r="O192" i="39"/>
  <c r="G81" i="44"/>
  <c r="G73" i="44"/>
  <c r="I183" i="44"/>
  <c r="C321" i="39"/>
  <c r="H59" i="44"/>
  <c r="C128" i="39"/>
  <c r="B229" i="39"/>
  <c r="L300" i="39"/>
  <c r="H217" i="39"/>
  <c r="C364" i="39"/>
  <c r="H253" i="39"/>
  <c r="I235" i="39"/>
  <c r="L57" i="39"/>
  <c r="B244" i="39"/>
  <c r="I44" i="44"/>
  <c r="L373" i="39"/>
  <c r="C358" i="39"/>
  <c r="H151" i="39"/>
  <c r="B263" i="39"/>
  <c r="C251" i="39"/>
  <c r="L79" i="39"/>
  <c r="I64" i="44"/>
  <c r="H152" i="44"/>
  <c r="H273" i="44"/>
  <c r="H200" i="44"/>
  <c r="H327" i="39"/>
  <c r="C168" i="39"/>
  <c r="G146" i="44"/>
  <c r="L281" i="39"/>
  <c r="B347" i="39"/>
  <c r="K262" i="39"/>
  <c r="G375" i="44"/>
  <c r="J221" i="44"/>
  <c r="H89" i="39"/>
  <c r="I208" i="44"/>
  <c r="I291" i="44"/>
  <c r="H73" i="44"/>
  <c r="N68" i="39"/>
  <c r="C121" i="39"/>
  <c r="C53" i="39"/>
  <c r="H257" i="44"/>
  <c r="H61" i="39"/>
  <c r="G345" i="44"/>
  <c r="H267" i="44"/>
  <c r="H293" i="44"/>
  <c r="L357" i="39"/>
  <c r="I249" i="44"/>
  <c r="L310" i="39"/>
  <c r="L108" i="39"/>
  <c r="H246" i="39"/>
  <c r="J44" i="44"/>
  <c r="J20" i="44"/>
  <c r="H349" i="39"/>
  <c r="J109" i="44"/>
  <c r="J212" i="44"/>
  <c r="I115" i="44"/>
  <c r="L167" i="39"/>
  <c r="I117" i="44"/>
  <c r="J248" i="44"/>
  <c r="J249" i="44"/>
  <c r="G53" i="44"/>
  <c r="H134" i="44"/>
  <c r="I273" i="44"/>
  <c r="G62" i="44"/>
  <c r="H347" i="39"/>
  <c r="I185" i="44"/>
  <c r="G85" i="44"/>
  <c r="G21" i="44"/>
  <c r="J59" i="44"/>
  <c r="G91" i="44"/>
  <c r="I209" i="44"/>
  <c r="G364" i="44"/>
  <c r="L288" i="39"/>
  <c r="L25" i="39"/>
  <c r="I63" i="44"/>
  <c r="H169" i="44"/>
  <c r="J215" i="44"/>
  <c r="H370" i="44"/>
  <c r="I341" i="44"/>
  <c r="J284" i="44"/>
  <c r="J297" i="44"/>
  <c r="I308" i="44"/>
  <c r="H260" i="44"/>
  <c r="H281" i="44"/>
  <c r="L320" i="39"/>
  <c r="L101" i="39"/>
  <c r="I285" i="44"/>
  <c r="J331" i="44"/>
  <c r="C102" i="39"/>
  <c r="I14" i="44"/>
  <c r="I143" i="44"/>
  <c r="H18" i="44"/>
  <c r="H311" i="44"/>
  <c r="G199" i="44"/>
  <c r="H231" i="39"/>
  <c r="I332" i="44"/>
  <c r="H243" i="44"/>
  <c r="H44" i="44"/>
  <c r="H304" i="39"/>
  <c r="G92" i="44"/>
  <c r="H148" i="44"/>
  <c r="H356" i="44"/>
  <c r="H143" i="39"/>
  <c r="L74" i="39"/>
  <c r="H151" i="44"/>
  <c r="H165" i="39"/>
  <c r="C265" i="39"/>
  <c r="I79" i="44"/>
  <c r="G169" i="44"/>
  <c r="J232" i="44"/>
  <c r="J251" i="44"/>
  <c r="H264" i="44"/>
  <c r="H218" i="44"/>
  <c r="L137" i="39"/>
  <c r="L342" i="39"/>
  <c r="H30" i="44"/>
  <c r="H350" i="39"/>
  <c r="J114" i="44"/>
  <c r="G202" i="44"/>
  <c r="H80" i="44"/>
  <c r="I180" i="44"/>
  <c r="L211" i="39"/>
  <c r="M348" i="39"/>
  <c r="C334" i="39"/>
  <c r="H112" i="39"/>
  <c r="C31" i="39"/>
  <c r="L253" i="39"/>
  <c r="B357" i="39"/>
  <c r="L213" i="39"/>
  <c r="H173" i="44"/>
  <c r="C154" i="39"/>
  <c r="I27" i="44"/>
  <c r="I74" i="44"/>
  <c r="H145" i="44"/>
  <c r="C17" i="39"/>
  <c r="B70" i="39"/>
  <c r="B305" i="39"/>
  <c r="B54" i="39"/>
  <c r="M155" i="39"/>
  <c r="I334" i="44"/>
  <c r="L328" i="39"/>
  <c r="G367" i="44"/>
  <c r="H121" i="44"/>
  <c r="O115" i="39"/>
  <c r="B154" i="39"/>
  <c r="J204" i="44"/>
  <c r="L321" i="39"/>
  <c r="I339" i="44"/>
  <c r="B261" i="39"/>
  <c r="G370" i="44"/>
  <c r="I47" i="44"/>
  <c r="B284" i="39"/>
  <c r="C64" i="39"/>
  <c r="B155" i="39"/>
  <c r="H284" i="44"/>
  <c r="L335" i="39"/>
  <c r="H277" i="39"/>
  <c r="B230" i="39"/>
  <c r="I317" i="44"/>
  <c r="G366" i="44"/>
  <c r="L223" i="39"/>
  <c r="I346" i="44"/>
  <c r="L73" i="39"/>
  <c r="J370" i="44"/>
  <c r="C220" i="39"/>
  <c r="C335" i="39"/>
  <c r="J231" i="44"/>
  <c r="C246" i="39"/>
  <c r="B87" i="39"/>
  <c r="L260" i="39"/>
  <c r="G105" i="44"/>
  <c r="H325" i="39"/>
  <c r="J120" i="44"/>
  <c r="G30" i="44"/>
  <c r="I277" i="44"/>
  <c r="L301" i="39"/>
  <c r="H43" i="44"/>
  <c r="H186" i="39"/>
  <c r="H222" i="39"/>
  <c r="L183" i="39"/>
  <c r="H103" i="39"/>
  <c r="I216" i="44"/>
  <c r="H221" i="39"/>
  <c r="I349" i="44"/>
  <c r="J257" i="44"/>
  <c r="H78" i="44"/>
  <c r="I258" i="44"/>
  <c r="J144" i="44"/>
  <c r="I158" i="44"/>
  <c r="L311" i="39"/>
  <c r="J81" i="44"/>
  <c r="B338" i="39"/>
  <c r="J138" i="44"/>
  <c r="H229" i="44"/>
  <c r="H230" i="39"/>
  <c r="J371" i="44"/>
  <c r="I98" i="44"/>
  <c r="G176" i="44"/>
  <c r="I25" i="44"/>
  <c r="H45" i="39"/>
  <c r="H363" i="39"/>
  <c r="L129" i="39"/>
  <c r="H358" i="39"/>
  <c r="H206" i="44"/>
  <c r="B161" i="39"/>
  <c r="G316" i="44"/>
  <c r="H26" i="44"/>
  <c r="I204" i="44"/>
  <c r="G256" i="44"/>
  <c r="I327" i="44"/>
  <c r="H354" i="44"/>
  <c r="G110" i="44"/>
  <c r="O290" i="39"/>
  <c r="H255" i="44"/>
  <c r="I54" i="44"/>
  <c r="G94" i="44"/>
  <c r="G84" i="44"/>
  <c r="H167" i="44"/>
  <c r="G26" i="44"/>
  <c r="H288" i="44"/>
  <c r="H129" i="39"/>
  <c r="B332" i="39"/>
  <c r="J105" i="44"/>
  <c r="L347" i="39"/>
  <c r="L349" i="39"/>
  <c r="J174" i="44"/>
  <c r="H67" i="44"/>
  <c r="J334" i="44"/>
  <c r="I197" i="44"/>
  <c r="G283" i="44"/>
  <c r="L37" i="39"/>
  <c r="I261" i="44"/>
  <c r="G65" i="44"/>
  <c r="H200" i="39"/>
  <c r="L161" i="39"/>
  <c r="J41" i="44"/>
  <c r="I198" i="44"/>
  <c r="L165" i="39"/>
  <c r="H53" i="44"/>
  <c r="H322" i="44"/>
  <c r="J306" i="44"/>
  <c r="B289" i="39"/>
  <c r="H282" i="39"/>
  <c r="H327" i="44"/>
  <c r="J190" i="44"/>
  <c r="G209" i="44"/>
  <c r="B324" i="39"/>
  <c r="H187" i="39"/>
  <c r="L179" i="39"/>
  <c r="H21" i="44"/>
  <c r="J48" i="44"/>
  <c r="G190" i="44"/>
  <c r="C237" i="39"/>
  <c r="J64" i="44"/>
  <c r="B36" i="39"/>
  <c r="G281" i="44"/>
  <c r="G114" i="44"/>
  <c r="H186" i="44"/>
  <c r="H57" i="39"/>
  <c r="C49" i="39"/>
  <c r="H19" i="39"/>
  <c r="J128" i="44"/>
  <c r="L249" i="39"/>
  <c r="J304" i="44"/>
  <c r="H281" i="39"/>
  <c r="B368" i="39"/>
  <c r="H104" i="44"/>
  <c r="J45" i="44"/>
  <c r="G246" i="44"/>
  <c r="G172" i="44"/>
  <c r="C227" i="39"/>
  <c r="L350" i="39"/>
  <c r="I134" i="44"/>
  <c r="I220" i="44"/>
  <c r="G228" i="44"/>
  <c r="J159" i="44"/>
  <c r="B183" i="39"/>
  <c r="H302" i="44"/>
  <c r="J277" i="44"/>
  <c r="J196" i="44"/>
  <c r="I131" i="44"/>
  <c r="C295" i="39"/>
  <c r="L26" i="39"/>
  <c r="L308" i="39"/>
  <c r="I191" i="44"/>
  <c r="H153" i="39"/>
  <c r="G36" i="44"/>
  <c r="L96" i="39"/>
  <c r="H22" i="44"/>
  <c r="H236" i="39"/>
  <c r="I104" i="44"/>
  <c r="H166" i="44"/>
  <c r="C314" i="39"/>
  <c r="I200" i="44"/>
  <c r="L361" i="39"/>
  <c r="G95" i="44"/>
  <c r="I13" i="44"/>
  <c r="J354" i="44"/>
  <c r="L116" i="39"/>
  <c r="G143" i="44"/>
  <c r="H350" i="44"/>
  <c r="J143" i="44"/>
  <c r="C276" i="39"/>
  <c r="G360" i="44"/>
  <c r="G103" i="44"/>
  <c r="L147" i="39"/>
  <c r="J234" i="44"/>
  <c r="H47" i="39"/>
  <c r="G354" i="44"/>
  <c r="H305" i="39"/>
  <c r="J132" i="44"/>
  <c r="J77" i="44"/>
  <c r="G286" i="44"/>
  <c r="I207" i="44"/>
  <c r="H71" i="39"/>
  <c r="C209" i="39"/>
  <c r="J317" i="44"/>
  <c r="J225" i="44"/>
  <c r="L68" i="39"/>
  <c r="C244" i="39"/>
  <c r="H122" i="44"/>
  <c r="L65" i="39"/>
  <c r="J29" i="44"/>
  <c r="L325" i="39"/>
  <c r="H291" i="39"/>
  <c r="J108" i="44"/>
  <c r="B270" i="39"/>
  <c r="H226" i="39"/>
  <c r="J353" i="44"/>
  <c r="I136" i="44"/>
  <c r="J155" i="44"/>
  <c r="B76" i="39"/>
  <c r="G120" i="44"/>
  <c r="H40" i="39"/>
  <c r="G237" i="44"/>
  <c r="H158" i="39"/>
  <c r="G201" i="44"/>
  <c r="J265" i="44"/>
  <c r="J118" i="44"/>
  <c r="J88" i="44"/>
  <c r="H234" i="44"/>
  <c r="H216" i="44"/>
  <c r="I201" i="44"/>
  <c r="H184" i="44"/>
  <c r="I89" i="44"/>
  <c r="J286" i="44"/>
  <c r="L110" i="39"/>
  <c r="I350" i="44"/>
  <c r="L345" i="39"/>
  <c r="H198" i="44"/>
  <c r="L196" i="39"/>
  <c r="B137" i="39"/>
  <c r="L154" i="39"/>
  <c r="J122" i="44"/>
  <c r="K154" i="39"/>
  <c r="H208" i="44"/>
  <c r="K252" i="39"/>
  <c r="L40" i="39"/>
  <c r="G196" i="44"/>
  <c r="H212" i="44"/>
  <c r="H346" i="39"/>
  <c r="I192" i="44"/>
  <c r="H66" i="44"/>
  <c r="C230" i="39"/>
  <c r="H284" i="39"/>
  <c r="J179" i="44"/>
  <c r="L58" i="39"/>
  <c r="L106" i="39"/>
  <c r="B334" i="39"/>
  <c r="H20" i="44"/>
  <c r="L38" i="39"/>
  <c r="H201" i="39"/>
  <c r="G37" i="44"/>
  <c r="J145" i="44"/>
  <c r="O139" i="39"/>
  <c r="J268" i="44"/>
  <c r="I330" i="44"/>
  <c r="G89" i="44"/>
  <c r="L291" i="39"/>
  <c r="H45" i="44"/>
  <c r="H240" i="44"/>
  <c r="G153" i="44"/>
  <c r="L133" i="39"/>
  <c r="L343" i="39"/>
  <c r="G113" i="44"/>
  <c r="L274" i="39"/>
  <c r="J94" i="44"/>
  <c r="H266" i="44"/>
  <c r="I42" i="44"/>
  <c r="L289" i="39"/>
  <c r="G96" i="44"/>
  <c r="J134" i="44"/>
  <c r="J160" i="44"/>
  <c r="L69" i="39"/>
  <c r="I40" i="44"/>
  <c r="H371" i="44"/>
  <c r="L52" i="39"/>
  <c r="I283" i="44"/>
  <c r="H308" i="44"/>
  <c r="G111" i="44"/>
  <c r="I195" i="44"/>
  <c r="G33" i="44"/>
  <c r="J198" i="44"/>
  <c r="G239" i="44"/>
  <c r="J313" i="44"/>
  <c r="C122" i="39"/>
  <c r="L241" i="39"/>
  <c r="H301" i="44"/>
  <c r="J183" i="44"/>
  <c r="I225" i="44"/>
  <c r="H138" i="44"/>
  <c r="H143" i="44"/>
  <c r="G215" i="44"/>
  <c r="H75" i="39"/>
  <c r="L221" i="39"/>
  <c r="H362" i="44"/>
  <c r="H325" i="44"/>
  <c r="G99" i="44"/>
  <c r="L127" i="39"/>
  <c r="H54" i="44"/>
  <c r="H40" i="44"/>
  <c r="H316" i="39"/>
  <c r="I59" i="44"/>
  <c r="H287" i="44"/>
  <c r="G265" i="44"/>
  <c r="H194" i="44"/>
  <c r="B329" i="39"/>
  <c r="I75" i="44"/>
  <c r="G276" i="44"/>
  <c r="L269" i="39"/>
  <c r="H55" i="44"/>
  <c r="H17" i="44"/>
  <c r="H353" i="44"/>
  <c r="H268" i="44"/>
  <c r="L164" i="39"/>
  <c r="O330" i="39"/>
  <c r="H359" i="44"/>
  <c r="I113" i="44"/>
  <c r="G373" i="44"/>
  <c r="L309" i="39"/>
  <c r="J345" i="44"/>
  <c r="J272" i="44"/>
  <c r="H309" i="39"/>
  <c r="L254" i="39"/>
  <c r="J56" i="44"/>
  <c r="I314" i="44"/>
  <c r="C163" i="39"/>
  <c r="L42" i="39"/>
  <c r="B187" i="39"/>
  <c r="H219" i="44"/>
  <c r="J244" i="44"/>
  <c r="H179" i="39"/>
  <c r="H141" i="44"/>
  <c r="C140" i="39"/>
  <c r="H194" i="39"/>
  <c r="C298" i="39"/>
  <c r="I103" i="44"/>
  <c r="C256" i="39"/>
  <c r="C264" i="39"/>
  <c r="M158" i="39"/>
  <c r="J22" i="44"/>
  <c r="C296" i="39"/>
  <c r="H20" i="39"/>
  <c r="L306" i="39"/>
  <c r="H63" i="44"/>
  <c r="I361" i="44"/>
  <c r="B69" i="39"/>
  <c r="L72" i="39"/>
  <c r="L267" i="39"/>
  <c r="H342" i="39"/>
  <c r="J315" i="44"/>
  <c r="G245" i="44"/>
  <c r="H204" i="39"/>
  <c r="J213" i="44"/>
  <c r="I240" i="44"/>
  <c r="C212" i="39"/>
  <c r="H126" i="44"/>
  <c r="C290" i="39"/>
  <c r="L225" i="39"/>
  <c r="G328" i="44"/>
  <c r="J69" i="44"/>
  <c r="L71" i="39"/>
  <c r="H290" i="44"/>
  <c r="G49" i="44"/>
  <c r="B298" i="39"/>
  <c r="L317" i="39"/>
  <c r="J178" i="44"/>
  <c r="L351" i="39"/>
  <c r="L49" i="39"/>
  <c r="O374" i="39"/>
  <c r="J326" i="44"/>
  <c r="G334" i="44"/>
  <c r="J65" i="44"/>
  <c r="C311" i="39"/>
  <c r="I287" i="44"/>
  <c r="G106" i="44"/>
  <c r="J344" i="44"/>
  <c r="H247" i="39"/>
  <c r="L255" i="39"/>
  <c r="G339" i="44"/>
  <c r="L45" i="39"/>
  <c r="B123" i="39"/>
  <c r="C69" i="39"/>
  <c r="J269" i="44"/>
  <c r="I213" i="44"/>
  <c r="H188" i="44"/>
  <c r="H353" i="39"/>
  <c r="J47" i="44"/>
  <c r="I65" i="44"/>
  <c r="I335" i="44"/>
  <c r="H219" i="39"/>
  <c r="H147" i="39"/>
  <c r="I34" i="44"/>
  <c r="I293" i="44"/>
  <c r="I110" i="44"/>
  <c r="J90" i="44"/>
  <c r="H195" i="44"/>
  <c r="I19" i="44"/>
  <c r="J70" i="44"/>
  <c r="G121" i="44"/>
  <c r="H124" i="39"/>
  <c r="J16" i="44"/>
  <c r="J307" i="44"/>
  <c r="L172" i="39"/>
  <c r="J292" i="44"/>
  <c r="H291" i="44"/>
  <c r="L203" i="39"/>
  <c r="L53" i="39"/>
  <c r="I279" i="44"/>
  <c r="J168" i="44"/>
  <c r="J39" i="44"/>
  <c r="H101" i="39"/>
  <c r="I218" i="44"/>
  <c r="G223" i="44"/>
  <c r="H113" i="44"/>
  <c r="J166" i="44"/>
  <c r="H209" i="44"/>
  <c r="J240" i="44"/>
  <c r="L192" i="39"/>
  <c r="I337" i="44"/>
  <c r="H91" i="44"/>
  <c r="H174" i="44"/>
  <c r="I345" i="44"/>
  <c r="L250" i="39"/>
  <c r="B353" i="39"/>
  <c r="J117" i="44"/>
  <c r="J98" i="44"/>
  <c r="G97" i="44"/>
  <c r="L54" i="39"/>
  <c r="G287" i="44"/>
  <c r="H13" i="44"/>
  <c r="I366" i="44"/>
  <c r="H225" i="44"/>
  <c r="H329" i="39"/>
  <c r="J228" i="44"/>
  <c r="L104" i="39"/>
  <c r="I278" i="44"/>
  <c r="H218" i="39"/>
  <c r="I72" i="44"/>
  <c r="I17" i="44"/>
  <c r="G365" i="44"/>
  <c r="L367" i="39"/>
  <c r="H304" i="44"/>
  <c r="H357" i="39"/>
  <c r="H318" i="39"/>
  <c r="G157" i="44"/>
  <c r="L257" i="39"/>
  <c r="G359" i="44"/>
  <c r="J312" i="44"/>
  <c r="H262" i="44"/>
  <c r="C297" i="39"/>
  <c r="J172" i="44"/>
  <c r="H274" i="44"/>
  <c r="G285" i="44"/>
  <c r="J75" i="44"/>
  <c r="L151" i="39"/>
  <c r="J135" i="44"/>
  <c r="H52" i="44"/>
  <c r="H157" i="44"/>
  <c r="B72" i="39"/>
  <c r="J100" i="44"/>
  <c r="J273" i="44"/>
  <c r="H371" i="39"/>
  <c r="L251" i="39"/>
  <c r="G252" i="44"/>
  <c r="G51" i="44"/>
  <c r="H347" i="44"/>
  <c r="C369" i="39"/>
  <c r="G332" i="44"/>
  <c r="H326" i="44"/>
  <c r="I365" i="44"/>
  <c r="H99" i="44"/>
  <c r="J162" i="44"/>
  <c r="I118" i="44"/>
  <c r="I235" i="44"/>
  <c r="G324" i="44"/>
  <c r="H43" i="39"/>
  <c r="H249" i="39"/>
  <c r="H97" i="44"/>
  <c r="I144" i="44"/>
  <c r="C365" i="39"/>
  <c r="H98" i="44"/>
  <c r="G362" i="44"/>
  <c r="H155" i="44"/>
  <c r="H132" i="39"/>
  <c r="I88" i="44"/>
  <c r="H250" i="44"/>
  <c r="L263" i="39"/>
  <c r="H225" i="39"/>
  <c r="G87" i="44"/>
  <c r="I129" i="44"/>
  <c r="J82" i="44"/>
  <c r="J13" i="44"/>
  <c r="I221" i="44"/>
  <c r="J173" i="44"/>
  <c r="H12" i="44"/>
  <c r="L327" i="39"/>
  <c r="B249" i="39"/>
  <c r="J19" i="44"/>
  <c r="G323" i="44"/>
  <c r="J131" i="44"/>
  <c r="J126" i="44"/>
  <c r="I230" i="44"/>
  <c r="I38" i="44"/>
  <c r="B276" i="39"/>
  <c r="L27" i="39"/>
  <c r="H31" i="44"/>
  <c r="I302" i="44"/>
  <c r="H248" i="44"/>
  <c r="G55" i="44"/>
  <c r="J141" i="44"/>
  <c r="H246" i="44"/>
  <c r="J15" i="44"/>
  <c r="H191" i="44"/>
  <c r="J35" i="44"/>
  <c r="L194" i="39"/>
  <c r="C165" i="39"/>
  <c r="J177" i="44"/>
  <c r="L360" i="39"/>
  <c r="L272" i="39"/>
  <c r="H47" i="44"/>
  <c r="L233" i="39"/>
  <c r="J96" i="44"/>
  <c r="L174" i="39"/>
  <c r="C63" i="39"/>
  <c r="H303" i="39"/>
  <c r="I95" i="44"/>
  <c r="C277" i="39"/>
  <c r="B34" i="39"/>
  <c r="H120" i="39"/>
  <c r="H163" i="39"/>
  <c r="J291" i="44"/>
  <c r="L113" i="39"/>
  <c r="C245" i="39"/>
  <c r="B312" i="39"/>
  <c r="L242" i="39"/>
  <c r="N46" i="39"/>
  <c r="M97" i="39"/>
  <c r="H64" i="39"/>
  <c r="O103" i="39"/>
  <c r="I120" i="44"/>
  <c r="L266" i="39"/>
  <c r="I109" i="44"/>
  <c r="C171" i="39"/>
  <c r="G259" i="44"/>
  <c r="H102" i="44"/>
  <c r="H182" i="44"/>
  <c r="H252" i="44"/>
  <c r="G274" i="44"/>
  <c r="L99" i="39"/>
  <c r="L261" i="39"/>
  <c r="G296" i="44"/>
  <c r="G54" i="44"/>
  <c r="I188" i="44"/>
  <c r="G319" i="44"/>
  <c r="C216" i="39"/>
  <c r="H117" i="44"/>
  <c r="C350" i="39"/>
  <c r="I35" i="44"/>
  <c r="I260" i="44"/>
  <c r="L48" i="39"/>
  <c r="G222" i="44"/>
  <c r="J288" i="44"/>
  <c r="L102" i="39"/>
  <c r="H337" i="44"/>
  <c r="B43" i="39"/>
  <c r="H37" i="44"/>
  <c r="I85" i="44"/>
  <c r="H146" i="39"/>
  <c r="K27" i="39"/>
  <c r="B63" i="39"/>
  <c r="I367" i="44"/>
  <c r="H171" i="39"/>
  <c r="L199" i="39"/>
  <c r="H80" i="39"/>
  <c r="B330" i="39"/>
  <c r="L117" i="39"/>
  <c r="L143" i="39"/>
  <c r="G29" i="44"/>
  <c r="H252" i="39"/>
  <c r="C294" i="39"/>
  <c r="M132" i="39"/>
  <c r="L90" i="39"/>
  <c r="H50" i="44"/>
  <c r="O189" i="39"/>
  <c r="N267" i="39"/>
  <c r="B180" i="39"/>
  <c r="O239" i="39"/>
  <c r="K74" i="39"/>
  <c r="M300" i="39"/>
  <c r="B67" i="39"/>
  <c r="H301" i="39"/>
  <c r="I256" i="44"/>
  <c r="G290" i="44"/>
  <c r="N65" i="39"/>
  <c r="C25" i="39"/>
  <c r="C354" i="39"/>
  <c r="K11" i="39"/>
  <c r="L14" i="39"/>
  <c r="B364" i="39"/>
  <c r="B349" i="39"/>
  <c r="J112" i="44"/>
  <c r="C260" i="39"/>
  <c r="B37" i="39"/>
  <c r="H266" i="39"/>
  <c r="O93" i="39"/>
  <c r="M111" i="39"/>
  <c r="B355" i="39"/>
  <c r="C281" i="39"/>
  <c r="C124" i="39"/>
  <c r="B141" i="39"/>
  <c r="K77" i="39"/>
  <c r="K344" i="39"/>
  <c r="H238" i="39"/>
  <c r="I150" i="44"/>
  <c r="M267" i="39"/>
  <c r="I49" i="44"/>
  <c r="L128" i="39"/>
  <c r="C80" i="39"/>
  <c r="G173" i="44"/>
  <c r="K299" i="39"/>
  <c r="O33" i="39"/>
  <c r="K217" i="39"/>
  <c r="K109" i="39"/>
  <c r="O37" i="39"/>
  <c r="H193" i="44"/>
  <c r="K357" i="39"/>
  <c r="L370" i="39"/>
  <c r="G31" i="44"/>
  <c r="H19" i="44"/>
  <c r="F275" i="39"/>
  <c r="C90" i="39"/>
  <c r="K122" i="39"/>
  <c r="K14" i="39"/>
  <c r="M294" i="39"/>
  <c r="K294" i="39"/>
  <c r="M320" i="39"/>
  <c r="O259" i="39"/>
  <c r="N321" i="39"/>
  <c r="B91" i="39"/>
  <c r="K337" i="39"/>
  <c r="O104" i="39"/>
  <c r="H323" i="39"/>
  <c r="F260" i="39"/>
  <c r="B245" i="39"/>
  <c r="B247" i="39"/>
  <c r="H177" i="39"/>
  <c r="N192" i="39"/>
  <c r="N31" i="39"/>
  <c r="F353" i="39"/>
  <c r="L105" i="39"/>
  <c r="N50" i="39"/>
  <c r="K162" i="39"/>
  <c r="O254" i="39"/>
  <c r="O255" i="39"/>
  <c r="G25" i="44"/>
  <c r="K135" i="39"/>
  <c r="K98" i="39"/>
  <c r="C329" i="39"/>
  <c r="M286" i="39"/>
  <c r="C96" i="39"/>
  <c r="K25" i="39"/>
  <c r="I170" i="44"/>
  <c r="H302" i="39"/>
  <c r="K75" i="39"/>
  <c r="B82" i="39"/>
  <c r="F188" i="39"/>
  <c r="L75" i="39"/>
  <c r="L189" i="39"/>
  <c r="H343" i="39"/>
  <c r="L205" i="39"/>
  <c r="G299" i="44"/>
  <c r="L70" i="39"/>
  <c r="H177" i="44"/>
  <c r="J188" i="44"/>
  <c r="G161" i="44"/>
  <c r="L330" i="39"/>
  <c r="H289" i="44"/>
  <c r="G34" i="44"/>
  <c r="J161" i="44"/>
  <c r="I298" i="44"/>
  <c r="H137" i="39"/>
  <c r="H174" i="39"/>
  <c r="J366" i="44"/>
  <c r="J103" i="44"/>
  <c r="G335" i="44"/>
  <c r="L365" i="39"/>
  <c r="L285" i="39"/>
  <c r="L23" i="39"/>
  <c r="G269" i="44"/>
  <c r="L155" i="39"/>
  <c r="C55" i="39"/>
  <c r="H245" i="39"/>
  <c r="L121" i="39"/>
  <c r="G50" i="44"/>
  <c r="L337" i="39"/>
  <c r="H312" i="44"/>
  <c r="H73" i="39"/>
  <c r="C253" i="39"/>
  <c r="H220" i="39"/>
  <c r="B26" i="39"/>
  <c r="J373" i="44"/>
  <c r="H55" i="39"/>
  <c r="I161" i="44"/>
  <c r="H22" i="39"/>
  <c r="C134" i="39"/>
  <c r="M208" i="39"/>
  <c r="L24" i="39"/>
  <c r="C243" i="39"/>
  <c r="H275" i="44"/>
  <c r="L188" i="39"/>
  <c r="L282" i="39"/>
  <c r="N224" i="39"/>
  <c r="H192" i="39"/>
  <c r="C159" i="39"/>
  <c r="O167" i="39"/>
  <c r="C306" i="39"/>
  <c r="C359" i="39"/>
  <c r="K148" i="39"/>
  <c r="G71" i="44"/>
  <c r="J375" i="44"/>
  <c r="G86" i="44"/>
  <c r="B164" i="39"/>
  <c r="O240" i="39"/>
  <c r="K18" i="39"/>
  <c r="H248" i="39"/>
  <c r="H339" i="39"/>
  <c r="I30" i="44"/>
  <c r="J319" i="44"/>
  <c r="H166" i="39"/>
  <c r="L63" i="39"/>
  <c r="C174" i="39"/>
  <c r="M91" i="39"/>
  <c r="M318" i="39"/>
  <c r="H170" i="44"/>
  <c r="C342" i="39"/>
  <c r="J283" i="44"/>
  <c r="B211" i="39"/>
  <c r="N169" i="39"/>
  <c r="K366" i="39"/>
  <c r="B57" i="39"/>
  <c r="C285" i="39"/>
  <c r="H203" i="44"/>
  <c r="H352" i="39"/>
  <c r="L304" i="39"/>
  <c r="H164" i="44"/>
  <c r="C187" i="39"/>
  <c r="H44" i="39"/>
  <c r="B311" i="39"/>
  <c r="H72" i="39"/>
  <c r="G138" i="44"/>
  <c r="I250" i="44"/>
  <c r="J189" i="44"/>
  <c r="H106" i="39"/>
  <c r="I274" i="44"/>
  <c r="L319" i="39"/>
  <c r="L43" i="39"/>
  <c r="I228" i="44"/>
  <c r="I151" i="44"/>
  <c r="L150" i="39"/>
  <c r="G230" i="44"/>
  <c r="H89" i="44"/>
  <c r="K363" i="39"/>
  <c r="H181" i="39"/>
  <c r="L318" i="39"/>
  <c r="L77" i="39"/>
  <c r="I24" i="44"/>
  <c r="B122" i="39"/>
  <c r="J148" i="44"/>
  <c r="H368" i="44"/>
  <c r="H204" i="44"/>
  <c r="C141" i="39"/>
  <c r="H296" i="39"/>
  <c r="G358" i="44"/>
  <c r="I265" i="44"/>
  <c r="C92" i="39"/>
  <c r="J195" i="44"/>
  <c r="H67" i="39"/>
  <c r="K136" i="39"/>
  <c r="H341" i="39"/>
  <c r="J57" i="44"/>
  <c r="G329" i="44"/>
  <c r="H121" i="39"/>
  <c r="G151" i="44"/>
  <c r="C363" i="39"/>
  <c r="H260" i="39"/>
  <c r="B374" i="39"/>
  <c r="G47" i="44"/>
  <c r="B33" i="39"/>
  <c r="L239" i="39"/>
  <c r="C273" i="39"/>
  <c r="O373" i="39"/>
  <c r="K201" i="39"/>
  <c r="B331" i="39"/>
  <c r="N173" i="39"/>
  <c r="K120" i="39"/>
  <c r="O256" i="39"/>
  <c r="B191" i="39"/>
  <c r="I271" i="39"/>
  <c r="H91" i="39"/>
  <c r="J26" i="44"/>
  <c r="I219" i="44"/>
  <c r="G247" i="44"/>
  <c r="M128" i="39"/>
  <c r="H131" i="39"/>
  <c r="N98" i="39"/>
  <c r="O267" i="39"/>
  <c r="K303" i="39"/>
  <c r="H233" i="44"/>
  <c r="L293" i="39"/>
  <c r="H232" i="39"/>
  <c r="M366" i="39"/>
  <c r="O11" i="39"/>
  <c r="E147" i="39"/>
  <c r="B296" i="39"/>
  <c r="C173" i="39"/>
  <c r="I58" i="44"/>
  <c r="H114" i="39"/>
  <c r="B350" i="39"/>
  <c r="H359" i="39"/>
  <c r="O49" i="39"/>
  <c r="H285" i="39"/>
  <c r="B142" i="39"/>
  <c r="N14" i="39"/>
  <c r="G225" i="44"/>
  <c r="O43" i="39"/>
  <c r="O269" i="39"/>
  <c r="B228" i="39"/>
  <c r="L206" i="39"/>
  <c r="H107" i="44"/>
  <c r="C36" i="39"/>
  <c r="N21" i="39"/>
  <c r="J282" i="44"/>
  <c r="O126" i="39"/>
  <c r="J340" i="44"/>
  <c r="I248" i="39"/>
  <c r="I171" i="44"/>
  <c r="G46" i="44"/>
  <c r="M305" i="39"/>
  <c r="B53" i="39"/>
  <c r="O233" i="39"/>
  <c r="I231" i="39"/>
  <c r="B169" i="39"/>
  <c r="I16" i="44"/>
  <c r="N326" i="39"/>
  <c r="N371" i="39"/>
  <c r="N209" i="39"/>
  <c r="L363" i="39"/>
  <c r="O72" i="39"/>
  <c r="B77" i="39"/>
  <c r="O307" i="39"/>
  <c r="O310" i="39"/>
  <c r="K102" i="39"/>
  <c r="N272" i="39"/>
  <c r="O326" i="39"/>
  <c r="E285" i="39"/>
  <c r="J238" i="44"/>
  <c r="K165" i="39"/>
  <c r="M20" i="39"/>
  <c r="L258" i="39"/>
  <c r="M240" i="39"/>
  <c r="O146" i="39"/>
  <c r="N110" i="39"/>
  <c r="K152" i="39"/>
  <c r="G227" i="44"/>
  <c r="C135" i="39"/>
  <c r="J276" i="44"/>
  <c r="B47" i="39"/>
  <c r="M212" i="39"/>
  <c r="O245" i="39"/>
  <c r="M150" i="39"/>
  <c r="D286" i="39"/>
  <c r="O248" i="39"/>
  <c r="N295" i="39"/>
  <c r="H307" i="39"/>
  <c r="H374" i="39"/>
  <c r="I164" i="44"/>
  <c r="I41" i="44"/>
  <c r="J266" i="44"/>
  <c r="H115" i="39"/>
  <c r="H163" i="44"/>
  <c r="B290" i="39"/>
  <c r="H28" i="44"/>
  <c r="L235" i="39"/>
  <c r="G66" i="44"/>
  <c r="G197" i="44"/>
  <c r="G243" i="44"/>
  <c r="B342" i="39"/>
  <c r="C367" i="39"/>
  <c r="C316" i="39"/>
  <c r="M262" i="39"/>
  <c r="C238" i="39"/>
  <c r="G77" i="44"/>
  <c r="H130" i="44"/>
  <c r="K107" i="39"/>
  <c r="G167" i="44"/>
  <c r="H321" i="39"/>
  <c r="H256" i="44"/>
  <c r="I43" i="44"/>
  <c r="L302" i="39"/>
  <c r="N57" i="39"/>
  <c r="H137" i="44"/>
  <c r="L216" i="39"/>
  <c r="B220" i="39"/>
  <c r="B117" i="39"/>
  <c r="I344" i="44"/>
  <c r="F284" i="39"/>
  <c r="I182" i="44"/>
  <c r="J217" i="44"/>
  <c r="C83" i="39"/>
  <c r="B234" i="39"/>
  <c r="G79" i="44"/>
  <c r="M284" i="39"/>
  <c r="C136" i="39"/>
  <c r="H108" i="39"/>
  <c r="B292" i="39"/>
  <c r="I70" i="39"/>
  <c r="G109" i="44"/>
  <c r="H228" i="44"/>
  <c r="L215" i="39"/>
  <c r="I137" i="39"/>
  <c r="C241" i="39"/>
  <c r="M303" i="39"/>
  <c r="M364" i="39"/>
  <c r="N354" i="39"/>
  <c r="O47" i="39"/>
  <c r="G260" i="39"/>
  <c r="L152" i="39"/>
  <c r="O291" i="39"/>
  <c r="B212" i="39"/>
  <c r="O144" i="39"/>
  <c r="H90" i="39"/>
  <c r="B94" i="39"/>
  <c r="N100" i="39"/>
  <c r="B302" i="39"/>
  <c r="O39" i="39"/>
  <c r="G170" i="44"/>
  <c r="C201" i="39"/>
  <c r="J116" i="44"/>
  <c r="M133" i="39"/>
  <c r="C340" i="39"/>
  <c r="N311" i="39"/>
  <c r="K28" i="39"/>
  <c r="J125" i="44"/>
  <c r="L130" i="39"/>
  <c r="B78" i="39"/>
  <c r="B55" i="39"/>
  <c r="C355" i="39"/>
  <c r="K318" i="39"/>
  <c r="C146" i="39"/>
  <c r="N259" i="39"/>
  <c r="K88" i="39"/>
  <c r="H324" i="44"/>
  <c r="I281" i="44"/>
  <c r="I190" i="39"/>
  <c r="O62" i="39"/>
  <c r="O215" i="39"/>
  <c r="J152" i="44"/>
  <c r="B120" i="39"/>
  <c r="M161" i="39"/>
  <c r="L275" i="39"/>
  <c r="K41" i="39"/>
  <c r="I73" i="44"/>
  <c r="M120" i="39"/>
  <c r="O156" i="39"/>
  <c r="K307" i="39"/>
  <c r="M324" i="39"/>
  <c r="C289" i="39"/>
  <c r="M249" i="39"/>
  <c r="G99" i="39"/>
  <c r="M107" i="39"/>
  <c r="O172" i="39"/>
  <c r="K279" i="39"/>
  <c r="H310" i="44"/>
  <c r="L16" i="39"/>
  <c r="C56" i="39"/>
  <c r="L15" i="39"/>
  <c r="O173" i="39"/>
  <c r="O34" i="39"/>
  <c r="H161" i="39"/>
  <c r="M295" i="39"/>
  <c r="M160" i="39"/>
  <c r="N153" i="39"/>
  <c r="G343" i="39"/>
  <c r="I269" i="44"/>
  <c r="H223" i="39"/>
  <c r="G123" i="44"/>
  <c r="H336" i="39"/>
  <c r="E296" i="39"/>
  <c r="C28" i="39"/>
  <c r="K251" i="39"/>
  <c r="E295" i="39"/>
  <c r="I241" i="44"/>
  <c r="C280" i="39"/>
  <c r="J250" i="44"/>
  <c r="B159" i="39"/>
  <c r="N351" i="39"/>
  <c r="N269" i="39"/>
  <c r="K53" i="39"/>
  <c r="H60" i="44"/>
  <c r="N316" i="39"/>
  <c r="K346" i="39"/>
  <c r="L94" i="39"/>
  <c r="H21" i="39"/>
  <c r="B168" i="39"/>
  <c r="L181" i="39"/>
  <c r="C60" i="39"/>
  <c r="I205" i="44"/>
  <c r="J301" i="44"/>
  <c r="C372" i="39"/>
  <c r="H33" i="44"/>
  <c r="J63" i="44"/>
  <c r="L210" i="39"/>
  <c r="J157" i="44"/>
  <c r="H81" i="44"/>
  <c r="L197" i="39"/>
  <c r="C332" i="39"/>
  <c r="H183" i="44"/>
  <c r="C149" i="39"/>
  <c r="N156" i="39"/>
  <c r="J151" i="44"/>
  <c r="H374" i="44"/>
  <c r="B328" i="39"/>
  <c r="L299" i="39"/>
  <c r="C52" i="39"/>
  <c r="H287" i="39"/>
  <c r="B179" i="39"/>
  <c r="M98" i="39"/>
  <c r="H373" i="44"/>
  <c r="G127" i="44"/>
  <c r="H362" i="39"/>
  <c r="B317" i="39"/>
  <c r="H269" i="44"/>
  <c r="K219" i="39"/>
  <c r="B124" i="39"/>
  <c r="I364" i="44"/>
  <c r="H108" i="44"/>
  <c r="I373" i="44"/>
  <c r="H107" i="39"/>
  <c r="B86" i="39"/>
  <c r="H323" i="44"/>
  <c r="I340" i="44"/>
  <c r="H280" i="39"/>
  <c r="J298" i="44"/>
  <c r="I226" i="44"/>
  <c r="C236" i="39"/>
  <c r="L82" i="39"/>
  <c r="C351" i="39"/>
  <c r="C368" i="39"/>
  <c r="L217" i="39"/>
  <c r="K273" i="39"/>
  <c r="G70" i="44"/>
  <c r="O190" i="39"/>
  <c r="O53" i="39"/>
  <c r="H263" i="44"/>
  <c r="H170" i="39"/>
  <c r="H358" i="44"/>
  <c r="O210" i="39"/>
  <c r="M341" i="39"/>
  <c r="B79" i="39"/>
  <c r="B90" i="39"/>
  <c r="H70" i="39"/>
  <c r="K313" i="39"/>
  <c r="I186" i="44"/>
  <c r="L64" i="39"/>
  <c r="I67" i="44"/>
  <c r="L17" i="39"/>
  <c r="O206" i="39"/>
  <c r="I254" i="44"/>
  <c r="O119" i="39"/>
  <c r="L175" i="39"/>
  <c r="I353" i="44"/>
  <c r="C240" i="39"/>
  <c r="M119" i="39"/>
  <c r="C291" i="39"/>
  <c r="O128" i="39"/>
  <c r="N15" i="39"/>
  <c r="O31" i="39"/>
  <c r="H259" i="39"/>
  <c r="L47" i="39"/>
  <c r="N32" i="39"/>
  <c r="O186" i="39"/>
  <c r="N237" i="39"/>
  <c r="H279" i="39"/>
  <c r="B143" i="39"/>
  <c r="C333" i="39"/>
  <c r="O56" i="39"/>
  <c r="O165" i="39"/>
  <c r="G272" i="39"/>
  <c r="J97" i="44"/>
  <c r="B246" i="39"/>
  <c r="C57" i="39"/>
  <c r="J78" i="44"/>
  <c r="O175" i="39"/>
  <c r="K221" i="39"/>
  <c r="M273" i="39"/>
  <c r="B116" i="39"/>
  <c r="K336" i="39"/>
  <c r="K244" i="39"/>
  <c r="I214" i="39"/>
  <c r="I329" i="39"/>
  <c r="J127" i="44"/>
  <c r="L265" i="39"/>
  <c r="H105" i="39"/>
  <c r="O214" i="39"/>
  <c r="O138" i="39"/>
  <c r="L66" i="39"/>
  <c r="L234" i="39"/>
  <c r="O54" i="39"/>
  <c r="C132" i="39"/>
  <c r="N328" i="39"/>
  <c r="L67" i="39"/>
  <c r="M156" i="39"/>
  <c r="H235" i="44"/>
  <c r="H191" i="39"/>
  <c r="C50" i="39"/>
  <c r="N313" i="39"/>
  <c r="B108" i="39"/>
  <c r="F17" i="39"/>
  <c r="I181" i="44"/>
  <c r="O50" i="39"/>
  <c r="C302" i="39"/>
  <c r="M225" i="39"/>
  <c r="H156" i="39"/>
  <c r="O99" i="39"/>
  <c r="M183" i="39"/>
  <c r="H367" i="39"/>
  <c r="O244" i="39"/>
  <c r="N268" i="39"/>
  <c r="L85" i="39"/>
  <c r="H56" i="44"/>
  <c r="H87" i="39"/>
  <c r="G43" i="44"/>
  <c r="L156" i="39"/>
  <c r="H160" i="39"/>
  <c r="H210" i="44"/>
  <c r="H36" i="44"/>
  <c r="L200" i="39"/>
  <c r="J146" i="44"/>
  <c r="I194" i="44"/>
  <c r="J175" i="44"/>
  <c r="G369" i="44"/>
  <c r="B128" i="39"/>
  <c r="I20" i="44"/>
  <c r="J197" i="44"/>
  <c r="L176" i="39"/>
  <c r="H251" i="44"/>
  <c r="H78" i="39"/>
  <c r="I51" i="44"/>
  <c r="H167" i="39"/>
  <c r="B173" i="39"/>
  <c r="J320" i="44"/>
  <c r="O329" i="39"/>
  <c r="B181" i="39"/>
  <c r="G158" i="39"/>
  <c r="I307" i="44"/>
  <c r="J182" i="44"/>
  <c r="G76" i="44"/>
  <c r="G52" i="44"/>
  <c r="H234" i="39"/>
  <c r="J247" i="44"/>
  <c r="H171" i="44"/>
  <c r="L307" i="39"/>
  <c r="L204" i="39"/>
  <c r="J123" i="44"/>
  <c r="I33" i="44"/>
  <c r="H331" i="44"/>
  <c r="H235" i="39"/>
  <c r="H271" i="39"/>
  <c r="B281" i="39"/>
  <c r="B320" i="39"/>
  <c r="L86" i="39"/>
  <c r="J79" i="44"/>
  <c r="H241" i="44"/>
  <c r="C166" i="39"/>
  <c r="I165" i="39"/>
  <c r="L59" i="39"/>
  <c r="B315" i="39"/>
  <c r="C242" i="39"/>
  <c r="B170" i="39"/>
  <c r="L34" i="39"/>
  <c r="L115" i="39"/>
  <c r="J338" i="44"/>
  <c r="O21" i="39"/>
  <c r="H27" i="44"/>
  <c r="H168" i="39"/>
  <c r="C86" i="39"/>
  <c r="O315" i="39"/>
  <c r="F302" i="39"/>
  <c r="N257" i="39"/>
  <c r="G100" i="44"/>
  <c r="J102" i="44"/>
  <c r="C268" i="39"/>
  <c r="B115" i="39"/>
  <c r="L20" i="39"/>
  <c r="N66" i="39"/>
  <c r="M86" i="39"/>
  <c r="L296" i="39"/>
  <c r="B225" i="39"/>
  <c r="L93" i="39"/>
  <c r="C152" i="39"/>
  <c r="L123" i="39"/>
  <c r="M38" i="39"/>
  <c r="I80" i="44"/>
  <c r="K324" i="39"/>
  <c r="C323" i="39"/>
  <c r="H49" i="39"/>
  <c r="C151" i="39"/>
  <c r="H104" i="39"/>
  <c r="M167" i="39"/>
  <c r="L180" i="39"/>
  <c r="H188" i="39"/>
  <c r="H209" i="39"/>
  <c r="I91" i="44"/>
  <c r="L224" i="39"/>
  <c r="N298" i="39"/>
  <c r="I111" i="44"/>
  <c r="H321" i="44"/>
  <c r="C110" i="39"/>
  <c r="K286" i="39"/>
  <c r="I364" i="39"/>
  <c r="O218" i="39"/>
  <c r="I353" i="39"/>
  <c r="N281" i="39"/>
  <c r="C208" i="39"/>
  <c r="G33" i="39"/>
  <c r="O133" i="39"/>
  <c r="G278" i="44"/>
  <c r="L198" i="39"/>
  <c r="N115" i="39"/>
  <c r="K356" i="39"/>
  <c r="H262" i="39"/>
  <c r="M347" i="39"/>
  <c r="L97" i="39"/>
  <c r="M54" i="39"/>
  <c r="B29" i="39"/>
  <c r="N167" i="39"/>
  <c r="N362" i="39"/>
  <c r="H236" i="44"/>
  <c r="H138" i="39"/>
  <c r="K69" i="39"/>
  <c r="L191" i="39"/>
  <c r="M175" i="39"/>
  <c r="J129" i="44"/>
  <c r="C339" i="39"/>
  <c r="I294" i="44"/>
  <c r="J337" i="44"/>
  <c r="H279" i="44"/>
  <c r="I137" i="44"/>
  <c r="G93" i="44"/>
  <c r="G298" i="44"/>
  <c r="I145" i="44"/>
  <c r="J21" i="44"/>
  <c r="I210" i="44"/>
  <c r="G336" i="44"/>
  <c r="J302" i="44"/>
  <c r="C235" i="39"/>
  <c r="L173" i="39"/>
  <c r="I167" i="44"/>
  <c r="C248" i="39"/>
  <c r="H49" i="44"/>
  <c r="J347" i="44"/>
  <c r="J106" i="44"/>
  <c r="H111" i="39"/>
  <c r="J121" i="44"/>
  <c r="I55" i="44"/>
  <c r="L232" i="39"/>
  <c r="G156" i="44"/>
  <c r="H189" i="44"/>
  <c r="G315" i="44"/>
  <c r="H116" i="39"/>
  <c r="J201" i="44"/>
  <c r="G45" i="44"/>
  <c r="I338" i="44"/>
  <c r="L119" i="39"/>
  <c r="K180" i="39"/>
  <c r="L80" i="39"/>
  <c r="H69" i="39"/>
  <c r="L148" i="39"/>
  <c r="I359" i="44"/>
  <c r="B89" i="39"/>
  <c r="G132" i="44"/>
  <c r="L95" i="39"/>
  <c r="G205" i="44"/>
  <c r="C320" i="39"/>
  <c r="J76" i="44"/>
  <c r="N27" i="39"/>
  <c r="B60" i="39"/>
  <c r="C118" i="39"/>
  <c r="H185" i="39"/>
  <c r="C24" i="39"/>
  <c r="H145" i="39"/>
  <c r="H51" i="44"/>
  <c r="N152" i="39"/>
  <c r="L33" i="39"/>
  <c r="B150" i="39"/>
  <c r="B158" i="39"/>
  <c r="M315" i="39"/>
  <c r="L340" i="39"/>
  <c r="B73" i="39"/>
  <c r="O61" i="39"/>
  <c r="J329" i="44"/>
  <c r="H46" i="39"/>
  <c r="M350" i="39"/>
  <c r="C74" i="39"/>
  <c r="L237" i="39"/>
  <c r="O29" i="39"/>
  <c r="B14" i="39"/>
  <c r="B275" i="39"/>
  <c r="I99" i="44"/>
  <c r="H215" i="39"/>
  <c r="G264" i="44"/>
  <c r="L338" i="39"/>
  <c r="H102" i="39"/>
  <c r="C330" i="39"/>
  <c r="N330" i="39"/>
  <c r="K16" i="39"/>
  <c r="I289" i="44"/>
  <c r="L280" i="39"/>
  <c r="L222" i="39"/>
  <c r="M248" i="39"/>
  <c r="C338" i="39"/>
  <c r="C225" i="39"/>
  <c r="K216" i="39"/>
  <c r="M90" i="39"/>
  <c r="O101" i="39"/>
  <c r="E286" i="39"/>
  <c r="H290" i="39"/>
  <c r="H62" i="44"/>
  <c r="I135" i="44"/>
  <c r="J156" i="44"/>
  <c r="H230" i="44"/>
  <c r="H232" i="44"/>
  <c r="G248" i="44"/>
  <c r="G304" i="44"/>
  <c r="J239" i="44"/>
  <c r="H71" i="44"/>
  <c r="H356" i="39"/>
  <c r="H144" i="44"/>
  <c r="I81" i="44"/>
  <c r="B126" i="39"/>
  <c r="H58" i="39"/>
  <c r="J185" i="44"/>
  <c r="H100" i="39"/>
  <c r="L358" i="39"/>
  <c r="H280" i="44"/>
  <c r="J285" i="44"/>
  <c r="O297" i="39"/>
  <c r="B83" i="39"/>
  <c r="H364" i="39"/>
  <c r="I232" i="44"/>
  <c r="J140" i="44"/>
  <c r="I148" i="44"/>
  <c r="C207" i="39"/>
  <c r="B287" i="39"/>
  <c r="I138" i="44"/>
  <c r="J164" i="44"/>
  <c r="H299" i="44"/>
  <c r="H48" i="44"/>
  <c r="H354" i="39"/>
  <c r="H136" i="39"/>
  <c r="C131" i="39"/>
  <c r="J322" i="44"/>
  <c r="H63" i="39"/>
  <c r="B236" i="39"/>
  <c r="M256" i="39"/>
  <c r="L39" i="39"/>
  <c r="C304" i="39"/>
  <c r="I61" i="44"/>
  <c r="H357" i="44"/>
  <c r="I336" i="44"/>
  <c r="L142" i="39"/>
  <c r="N248" i="39"/>
  <c r="N87" i="39"/>
  <c r="O106" i="39"/>
  <c r="H34" i="39"/>
  <c r="H11" i="39"/>
  <c r="J73" i="44"/>
  <c r="C34" i="39"/>
  <c r="H134" i="39"/>
  <c r="C46" i="39"/>
  <c r="C68" i="39"/>
  <c r="H244" i="39"/>
  <c r="N70" i="39"/>
  <c r="L35" i="39"/>
  <c r="N285" i="39"/>
  <c r="J133" i="44"/>
  <c r="B369" i="39"/>
  <c r="B265" i="39"/>
  <c r="K269" i="39"/>
  <c r="N220" i="39"/>
  <c r="L374" i="39"/>
  <c r="O171" i="39"/>
  <c r="G220" i="44"/>
  <c r="G80" i="44"/>
  <c r="B139" i="39"/>
  <c r="L294" i="39"/>
  <c r="L226" i="39"/>
  <c r="O325" i="39"/>
  <c r="K260" i="39"/>
  <c r="M216" i="39"/>
  <c r="L60" i="39"/>
  <c r="L238" i="39"/>
  <c r="C206" i="39"/>
  <c r="H41" i="39"/>
  <c r="M49" i="39"/>
  <c r="K365" i="39"/>
  <c r="C126" i="39"/>
  <c r="N276" i="39"/>
  <c r="H133" i="39"/>
  <c r="I342" i="39"/>
  <c r="H361" i="39"/>
  <c r="L284" i="39"/>
  <c r="N141" i="39"/>
  <c r="N274" i="39"/>
  <c r="B293" i="39"/>
  <c r="E66" i="39"/>
  <c r="H274" i="39"/>
  <c r="H330" i="39"/>
  <c r="L344" i="39"/>
  <c r="O137" i="39"/>
  <c r="K250" i="39"/>
  <c r="F178" i="39"/>
  <c r="H162" i="44"/>
  <c r="K84" i="39"/>
  <c r="H368" i="39"/>
  <c r="C180" i="39"/>
  <c r="B361" i="39"/>
  <c r="C252" i="39"/>
  <c r="C282" i="39"/>
  <c r="I266" i="39"/>
  <c r="B41" i="39"/>
  <c r="N61" i="39"/>
  <c r="K43" i="39"/>
  <c r="L271" i="39"/>
  <c r="M79" i="39"/>
  <c r="J341" i="44"/>
  <c r="N17" i="39"/>
  <c r="L91" i="39"/>
  <c r="I70" i="44"/>
  <c r="N304" i="39"/>
  <c r="M313" i="39"/>
  <c r="G318" i="44"/>
  <c r="O227" i="39"/>
  <c r="C104" i="39"/>
  <c r="C137" i="39"/>
  <c r="N211" i="39"/>
  <c r="I193" i="39"/>
  <c r="C347" i="39"/>
  <c r="B203" i="39"/>
  <c r="C26" i="39"/>
  <c r="M258" i="39"/>
  <c r="C254" i="39"/>
  <c r="N232" i="39"/>
  <c r="G229" i="44"/>
  <c r="H355" i="44"/>
  <c r="J85" i="44"/>
  <c r="H261" i="44"/>
  <c r="H59" i="39"/>
  <c r="J243" i="44"/>
  <c r="I50" i="44"/>
  <c r="J14" i="44"/>
  <c r="J209" i="44"/>
  <c r="L83" i="39"/>
  <c r="J203" i="44"/>
  <c r="H60" i="39"/>
  <c r="L273" i="39"/>
  <c r="L279" i="39"/>
  <c r="B219" i="39"/>
  <c r="I87" i="44"/>
  <c r="B372" i="39"/>
  <c r="L166" i="39"/>
  <c r="H210" i="39"/>
  <c r="M283" i="39"/>
  <c r="H319" i="39"/>
  <c r="H115" i="44"/>
  <c r="I306" i="44"/>
  <c r="G56" i="44"/>
  <c r="L369" i="39"/>
  <c r="H14" i="39"/>
  <c r="C287" i="39"/>
  <c r="C72" i="39"/>
  <c r="J259" i="44"/>
  <c r="H351" i="39"/>
  <c r="J226" i="44"/>
  <c r="H363" i="44"/>
  <c r="K174" i="39"/>
  <c r="H53" i="39"/>
  <c r="H365" i="39"/>
  <c r="C271" i="39"/>
  <c r="G141" i="44"/>
  <c r="N171" i="39"/>
  <c r="H293" i="39"/>
  <c r="H308" i="39"/>
  <c r="B352" i="39"/>
  <c r="N166" i="39"/>
  <c r="B288" i="39"/>
  <c r="L103" i="39"/>
  <c r="M96" i="39"/>
  <c r="N183" i="39"/>
  <c r="N182" i="39"/>
  <c r="M88" i="39"/>
  <c r="J355" i="44"/>
  <c r="H320" i="44"/>
  <c r="I125" i="44"/>
  <c r="B125" i="39"/>
  <c r="O299" i="39"/>
  <c r="H95" i="39"/>
  <c r="L209" i="39"/>
  <c r="H229" i="39"/>
  <c r="N309" i="39"/>
  <c r="H149" i="39"/>
  <c r="H239" i="39"/>
  <c r="B255" i="39"/>
  <c r="N99" i="39"/>
  <c r="K26" i="39"/>
  <c r="O336" i="39"/>
  <c r="L336" i="39"/>
  <c r="B205" i="39"/>
  <c r="L122" i="39"/>
  <c r="H259" i="44"/>
  <c r="O262" i="39"/>
  <c r="H54" i="39"/>
  <c r="K268" i="39"/>
  <c r="M44" i="39"/>
  <c r="O273" i="39"/>
  <c r="N260" i="39"/>
  <c r="L316" i="39"/>
  <c r="J236" i="44"/>
  <c r="J299" i="44"/>
  <c r="B110" i="39"/>
  <c r="O286" i="39"/>
  <c r="K130" i="39"/>
  <c r="H253" i="44"/>
  <c r="G191" i="44"/>
  <c r="C324" i="39"/>
  <c r="C259" i="39"/>
  <c r="G216" i="44"/>
  <c r="G88" i="44"/>
  <c r="J361" i="44"/>
  <c r="I292" i="44"/>
  <c r="L145" i="39"/>
  <c r="H367" i="44"/>
  <c r="H168" i="44"/>
  <c r="G306" i="44"/>
  <c r="H331" i="39"/>
  <c r="L230" i="39"/>
  <c r="B294" i="39"/>
  <c r="H131" i="44"/>
  <c r="J227" i="44"/>
  <c r="L354" i="39"/>
  <c r="G44" i="44"/>
  <c r="C185" i="39"/>
  <c r="G155" i="44"/>
  <c r="J52" i="44"/>
  <c r="G68" i="44"/>
  <c r="L144" i="39"/>
  <c r="L170" i="39"/>
  <c r="H205" i="39"/>
  <c r="B319" i="39"/>
  <c r="B134" i="39"/>
  <c r="H181" i="44"/>
  <c r="H254" i="39"/>
  <c r="B92" i="39"/>
  <c r="I252" i="44"/>
  <c r="B46" i="39"/>
  <c r="H28" i="39"/>
  <c r="J43" i="44"/>
  <c r="C345" i="39"/>
  <c r="I351" i="44"/>
  <c r="B339" i="39"/>
  <c r="H222" i="44"/>
  <c r="I128" i="44"/>
  <c r="H27" i="39"/>
  <c r="L132" i="39"/>
  <c r="B344" i="39"/>
  <c r="L262" i="39"/>
  <c r="O127" i="39"/>
  <c r="N318" i="39"/>
  <c r="N180" i="39"/>
  <c r="O199" i="39"/>
  <c r="B250" i="39"/>
  <c r="J323" i="44"/>
  <c r="J318" i="44"/>
  <c r="B295" i="39"/>
  <c r="N197" i="39"/>
  <c r="O260" i="39"/>
  <c r="H237" i="39"/>
  <c r="O319" i="39"/>
  <c r="B21" i="39"/>
  <c r="H214" i="39"/>
  <c r="C33" i="39"/>
  <c r="L295" i="39"/>
  <c r="B371" i="39"/>
  <c r="N97" i="39"/>
  <c r="H269" i="39"/>
  <c r="H228" i="39"/>
  <c r="O112" i="39"/>
  <c r="H294" i="39"/>
  <c r="C315" i="39"/>
  <c r="B356" i="39"/>
  <c r="L36" i="39"/>
  <c r="B32" i="39"/>
  <c r="O341" i="39"/>
  <c r="H332" i="44"/>
  <c r="M130" i="39"/>
  <c r="B340" i="39"/>
  <c r="C211" i="39"/>
  <c r="H173" i="39"/>
  <c r="B88" i="39"/>
  <c r="O312" i="39"/>
  <c r="N53" i="39"/>
  <c r="K146" i="39"/>
  <c r="B238" i="39"/>
  <c r="I174" i="44"/>
  <c r="C123" i="39"/>
  <c r="B189" i="39"/>
  <c r="C352" i="39"/>
  <c r="L134" i="39"/>
  <c r="H300" i="39"/>
  <c r="C143" i="39"/>
  <c r="B56" i="39"/>
  <c r="B17" i="39"/>
  <c r="O15" i="39"/>
  <c r="B24" i="39"/>
  <c r="H216" i="39"/>
  <c r="G266" i="39"/>
  <c r="N329" i="39"/>
  <c r="G142" i="44"/>
  <c r="C269" i="39"/>
  <c r="O89" i="39"/>
  <c r="O293" i="39"/>
  <c r="N139" i="39"/>
  <c r="K218" i="39"/>
  <c r="M81" i="39"/>
  <c r="I153" i="39"/>
  <c r="N225" i="39"/>
  <c r="I97" i="39"/>
  <c r="K20" i="39"/>
  <c r="C82" i="39"/>
  <c r="L324" i="39"/>
  <c r="L259" i="39"/>
  <c r="M180" i="39"/>
  <c r="C319" i="39"/>
  <c r="K335" i="39"/>
  <c r="N235" i="39"/>
  <c r="N344" i="39"/>
  <c r="H130" i="39"/>
  <c r="C35" i="39"/>
  <c r="B175" i="39"/>
  <c r="O84" i="39"/>
  <c r="C226" i="39"/>
  <c r="H41" i="44"/>
  <c r="B348" i="39"/>
  <c r="M287" i="39"/>
  <c r="M101" i="39"/>
  <c r="J149" i="44"/>
  <c r="N111" i="39"/>
  <c r="O183" i="39"/>
  <c r="G19" i="44"/>
  <c r="H258" i="44"/>
  <c r="L256" i="39"/>
  <c r="H299" i="39"/>
  <c r="G101" i="44"/>
  <c r="J350" i="44"/>
  <c r="H286" i="39"/>
  <c r="O208" i="39"/>
  <c r="K266" i="39"/>
  <c r="C105" i="39"/>
  <c r="I202" i="44"/>
  <c r="G282" i="44"/>
  <c r="H240" i="39"/>
  <c r="B272" i="39"/>
  <c r="N198" i="39"/>
  <c r="I313" i="44"/>
  <c r="K167" i="39"/>
  <c r="N293" i="39"/>
  <c r="M42" i="39"/>
  <c r="M63" i="39"/>
  <c r="C272" i="39"/>
  <c r="H34" i="44"/>
  <c r="O365" i="39"/>
  <c r="M125" i="39"/>
  <c r="E359" i="39"/>
  <c r="B254" i="39"/>
  <c r="M319" i="39"/>
  <c r="C45" i="39"/>
  <c r="O364" i="39"/>
  <c r="M274" i="39"/>
  <c r="K239" i="39"/>
  <c r="M89" i="39"/>
  <c r="N37" i="39"/>
  <c r="B264" i="39"/>
  <c r="N82" i="39"/>
  <c r="C309" i="39"/>
  <c r="O353" i="39"/>
  <c r="B269" i="39"/>
  <c r="H142" i="44"/>
  <c r="K142" i="39"/>
  <c r="I318" i="39"/>
  <c r="O181" i="39"/>
  <c r="K171" i="39"/>
  <c r="M360" i="39"/>
  <c r="C115" i="39"/>
  <c r="K19" i="39"/>
  <c r="H127" i="39"/>
  <c r="B242" i="39"/>
  <c r="E121" i="39"/>
  <c r="D32" i="39"/>
  <c r="M214" i="39"/>
  <c r="F23" i="39"/>
  <c r="B93" i="39"/>
  <c r="K48" i="39"/>
  <c r="B135" i="39"/>
  <c r="K34" i="39"/>
  <c r="H50" i="39"/>
  <c r="N104" i="39"/>
  <c r="B197" i="39"/>
  <c r="O304" i="39"/>
  <c r="N154" i="39"/>
  <c r="O166" i="39"/>
  <c r="N25" i="39"/>
  <c r="O238" i="39"/>
  <c r="O265" i="39"/>
  <c r="F337" i="39"/>
  <c r="G177" i="39"/>
  <c r="N338" i="39"/>
  <c r="M66" i="39"/>
  <c r="F316" i="39"/>
  <c r="L146" i="39"/>
  <c r="I363" i="44"/>
  <c r="I210" i="39"/>
  <c r="O195" i="39"/>
  <c r="D68" i="39"/>
  <c r="N289" i="39"/>
  <c r="N212" i="39"/>
  <c r="H199" i="39"/>
  <c r="F61" i="39"/>
  <c r="I162" i="39"/>
  <c r="I160" i="39"/>
  <c r="M23" i="39"/>
  <c r="N132" i="39"/>
  <c r="N253" i="39"/>
  <c r="N347" i="39"/>
  <c r="H169" i="39"/>
  <c r="M134" i="39"/>
  <c r="B28" i="39"/>
  <c r="F267" i="39"/>
  <c r="M266" i="39"/>
  <c r="O52" i="39"/>
  <c r="O145" i="39"/>
  <c r="I201" i="39"/>
  <c r="K79" i="39"/>
  <c r="E208" i="39"/>
  <c r="O67" i="39"/>
  <c r="G110" i="39"/>
  <c r="K306" i="39"/>
  <c r="J362" i="44"/>
  <c r="B267" i="39"/>
  <c r="K270" i="39"/>
  <c r="K371" i="39"/>
  <c r="K54" i="39"/>
  <c r="M307" i="39"/>
  <c r="D208" i="39"/>
  <c r="E244" i="39"/>
  <c r="K87" i="39"/>
  <c r="K157" i="39"/>
  <c r="I185" i="39"/>
  <c r="I360" i="39"/>
  <c r="D45" i="39"/>
  <c r="K91" i="39"/>
  <c r="I296" i="39"/>
  <c r="H172" i="39"/>
  <c r="M182" i="39"/>
  <c r="D118" i="39"/>
  <c r="I303" i="39"/>
  <c r="E326" i="39"/>
  <c r="G126" i="39"/>
  <c r="D137" i="39"/>
  <c r="E334" i="39"/>
  <c r="G97" i="39"/>
  <c r="D264" i="39"/>
  <c r="F134" i="39"/>
  <c r="F71" i="39"/>
  <c r="K291" i="39"/>
  <c r="F375" i="39"/>
  <c r="G361" i="44"/>
  <c r="G171" i="44"/>
  <c r="L208" i="39"/>
  <c r="I107" i="44"/>
  <c r="I321" i="44"/>
  <c r="L375" i="39"/>
  <c r="H178" i="39"/>
  <c r="B107" i="39"/>
  <c r="N231" i="39"/>
  <c r="B153" i="39"/>
  <c r="L185" i="39"/>
  <c r="I357" i="44"/>
  <c r="H175" i="39"/>
  <c r="C175" i="39"/>
  <c r="L246" i="39"/>
  <c r="C177" i="39"/>
  <c r="C51" i="39"/>
  <c r="O249" i="39"/>
  <c r="M228" i="39"/>
  <c r="B136" i="39"/>
  <c r="O361" i="39"/>
  <c r="N217" i="39"/>
  <c r="N270" i="39"/>
  <c r="M152" i="39"/>
  <c r="L114" i="39"/>
  <c r="B185" i="39"/>
  <c r="K90" i="39"/>
  <c r="I242" i="39"/>
  <c r="B282" i="39"/>
  <c r="B308" i="39"/>
  <c r="B59" i="39"/>
  <c r="I206" i="39"/>
  <c r="I175" i="44"/>
  <c r="O292" i="39"/>
  <c r="K256" i="39"/>
  <c r="M215" i="39"/>
  <c r="K189" i="39"/>
  <c r="M141" i="39"/>
  <c r="H292" i="39"/>
  <c r="G200" i="39"/>
  <c r="N336" i="39"/>
  <c r="N26" i="39"/>
  <c r="N356" i="39"/>
  <c r="B27" i="39"/>
  <c r="N230" i="39"/>
  <c r="N325" i="39"/>
  <c r="O366" i="39"/>
  <c r="B336" i="39"/>
  <c r="M260" i="39"/>
  <c r="E61" i="39"/>
  <c r="K159" i="39"/>
  <c r="O114" i="39"/>
  <c r="B178" i="39"/>
  <c r="H278" i="39"/>
  <c r="M27" i="39"/>
  <c r="H250" i="39"/>
  <c r="K55" i="39"/>
  <c r="H328" i="39"/>
  <c r="N145" i="39"/>
  <c r="E180" i="39"/>
  <c r="M298" i="39"/>
  <c r="M243" i="39"/>
  <c r="C213" i="39"/>
  <c r="B127" i="39"/>
  <c r="F126" i="39"/>
  <c r="C73" i="39"/>
  <c r="G374" i="39"/>
  <c r="N128" i="39"/>
  <c r="M342" i="39"/>
  <c r="M272" i="39"/>
  <c r="C278" i="39"/>
  <c r="C328" i="39"/>
  <c r="N366" i="39"/>
  <c r="C111" i="39"/>
  <c r="I359" i="39"/>
  <c r="C172" i="39"/>
  <c r="K301" i="39"/>
  <c r="N172" i="39"/>
  <c r="O198" i="39"/>
  <c r="M276" i="39"/>
  <c r="E111" i="39"/>
  <c r="C239" i="39"/>
  <c r="E60" i="39"/>
  <c r="N331" i="39"/>
  <c r="N234" i="39"/>
  <c r="H224" i="39"/>
  <c r="H38" i="39"/>
  <c r="O243" i="39"/>
  <c r="B35" i="39"/>
  <c r="M259" i="39"/>
  <c r="O23" i="39"/>
  <c r="K288" i="39"/>
  <c r="H140" i="39"/>
  <c r="F342" i="39"/>
  <c r="I218" i="39"/>
  <c r="G188" i="39"/>
  <c r="G371" i="39"/>
  <c r="B156" i="39"/>
  <c r="G183" i="39"/>
  <c r="I73" i="39"/>
  <c r="I142" i="39"/>
  <c r="M57" i="39"/>
  <c r="I340" i="39"/>
  <c r="F304" i="39"/>
  <c r="F49" i="39"/>
  <c r="D162" i="39"/>
  <c r="H24" i="39"/>
  <c r="E117" i="39"/>
  <c r="K51" i="39"/>
  <c r="H32" i="39"/>
  <c r="N63" i="39"/>
  <c r="N206" i="39"/>
  <c r="O247" i="39"/>
  <c r="I138" i="39"/>
  <c r="M181" i="39"/>
  <c r="F305" i="39"/>
  <c r="D17" i="39"/>
  <c r="B167" i="39"/>
  <c r="B15" i="39"/>
  <c r="B160" i="39"/>
  <c r="K195" i="39"/>
  <c r="O288" i="39"/>
  <c r="K364" i="39"/>
  <c r="C349" i="39"/>
  <c r="D114" i="39"/>
  <c r="C288" i="39"/>
  <c r="F36" i="39"/>
  <c r="G331" i="44"/>
  <c r="H139" i="39"/>
  <c r="H318" i="44"/>
  <c r="I266" i="44"/>
  <c r="C169" i="39"/>
  <c r="L120" i="39"/>
  <c r="L135" i="39"/>
  <c r="L315" i="39"/>
  <c r="C371" i="39"/>
  <c r="O25" i="39"/>
  <c r="C346" i="39"/>
  <c r="L326" i="39"/>
  <c r="H148" i="39"/>
  <c r="H176" i="44"/>
  <c r="E104" i="39"/>
  <c r="N255" i="39"/>
  <c r="M153" i="39"/>
  <c r="I139" i="44"/>
  <c r="H85" i="39"/>
  <c r="E284" i="39"/>
  <c r="I329" i="44"/>
  <c r="N340" i="39"/>
  <c r="G233" i="39"/>
  <c r="K83" i="39"/>
  <c r="J262" i="44"/>
  <c r="O334" i="39"/>
  <c r="M271" i="39"/>
  <c r="H23" i="39"/>
  <c r="C182" i="39"/>
  <c r="B20" i="39"/>
  <c r="M296" i="39"/>
  <c r="O345" i="39"/>
  <c r="N200" i="39"/>
  <c r="H29" i="39"/>
  <c r="M234" i="39"/>
  <c r="G205" i="39"/>
  <c r="F179" i="39"/>
  <c r="C129" i="39"/>
  <c r="K112" i="39"/>
  <c r="M105" i="39"/>
  <c r="M293" i="39"/>
  <c r="O87" i="39"/>
  <c r="G207" i="44"/>
  <c r="N101" i="39"/>
  <c r="C312" i="39"/>
  <c r="B152" i="39"/>
  <c r="O24" i="39"/>
  <c r="O363" i="39"/>
  <c r="H348" i="39"/>
  <c r="G21" i="39"/>
  <c r="M349" i="39"/>
  <c r="G196" i="39"/>
  <c r="K123" i="39"/>
  <c r="M127" i="39"/>
  <c r="C67" i="39"/>
  <c r="N218" i="39"/>
  <c r="M301" i="39"/>
  <c r="N370" i="39"/>
  <c r="N162" i="39"/>
  <c r="E314" i="39"/>
  <c r="I332" i="39"/>
  <c r="O158" i="39"/>
  <c r="O339" i="39"/>
  <c r="B103" i="39"/>
  <c r="C91" i="39"/>
  <c r="M204" i="39"/>
  <c r="F64" i="39"/>
  <c r="F56" i="39"/>
  <c r="G213" i="39"/>
  <c r="N346" i="39"/>
  <c r="I102" i="44"/>
  <c r="M188" i="39"/>
  <c r="J349" i="44"/>
  <c r="O323" i="39"/>
  <c r="F357" i="39"/>
  <c r="I338" i="39"/>
  <c r="M14" i="39"/>
  <c r="L84" i="39"/>
  <c r="K328" i="39"/>
  <c r="I62" i="39"/>
  <c r="H155" i="39"/>
  <c r="L21" i="39"/>
  <c r="C85" i="39"/>
  <c r="I82" i="39"/>
  <c r="O100" i="39"/>
  <c r="D174" i="39"/>
  <c r="N160" i="39"/>
  <c r="I354" i="39"/>
  <c r="O111" i="39"/>
  <c r="N283" i="39"/>
  <c r="H196" i="39"/>
  <c r="E34" i="39"/>
  <c r="O328" i="39"/>
  <c r="E288" i="39"/>
  <c r="N228" i="39"/>
  <c r="M22" i="39"/>
  <c r="H142" i="39"/>
  <c r="M136" i="39"/>
  <c r="M265" i="39"/>
  <c r="D135" i="39"/>
  <c r="I177" i="39"/>
  <c r="N34" i="39"/>
  <c r="F257" i="39"/>
  <c r="K190" i="39"/>
  <c r="K49" i="39"/>
  <c r="E76" i="39"/>
  <c r="K198" i="39"/>
  <c r="I212" i="39"/>
  <c r="O332" i="39"/>
  <c r="M176" i="39"/>
  <c r="K17" i="39"/>
  <c r="N238" i="39"/>
  <c r="B326" i="39"/>
  <c r="I188" i="39"/>
  <c r="B99" i="39"/>
  <c r="E21" i="39"/>
  <c r="G187" i="39"/>
  <c r="I12" i="44"/>
  <c r="I116" i="44"/>
  <c r="I223" i="39"/>
  <c r="I302" i="39"/>
  <c r="G151" i="39"/>
  <c r="M51" i="39"/>
  <c r="G36" i="39"/>
  <c r="F176" i="39"/>
  <c r="H275" i="39"/>
  <c r="G18" i="39"/>
  <c r="H123" i="39"/>
  <c r="L372" i="39"/>
  <c r="H344" i="44"/>
  <c r="J206" i="44"/>
  <c r="L138" i="39"/>
  <c r="B61" i="39"/>
  <c r="L355" i="39"/>
  <c r="H369" i="39"/>
  <c r="O347" i="39"/>
  <c r="I361" i="39"/>
  <c r="H270" i="39"/>
  <c r="G356" i="44"/>
  <c r="B233" i="39"/>
  <c r="M288" i="39"/>
  <c r="H215" i="44"/>
  <c r="M39" i="39"/>
  <c r="C249" i="39"/>
  <c r="M372" i="39"/>
  <c r="B162" i="39"/>
  <c r="H315" i="39"/>
  <c r="B358" i="39"/>
  <c r="H312" i="39"/>
  <c r="M46" i="39"/>
  <c r="H207" i="39"/>
  <c r="E348" i="39"/>
  <c r="L276" i="39"/>
  <c r="B132" i="39"/>
  <c r="N249" i="39"/>
  <c r="K238" i="39"/>
  <c r="I278" i="39"/>
  <c r="I282" i="39"/>
  <c r="N297" i="39"/>
  <c r="O191" i="39"/>
  <c r="K369" i="39"/>
  <c r="H125" i="39"/>
  <c r="C261" i="39"/>
  <c r="M73" i="39"/>
  <c r="K156" i="39"/>
  <c r="B316" i="39"/>
  <c r="O134" i="39"/>
  <c r="H334" i="39"/>
  <c r="K351" i="39"/>
  <c r="F223" i="39"/>
  <c r="L313" i="39"/>
  <c r="C42" i="39"/>
  <c r="B206" i="39"/>
  <c r="M142" i="39"/>
  <c r="E13" i="39"/>
  <c r="K85" i="39"/>
  <c r="M304" i="39"/>
  <c r="K253" i="39"/>
  <c r="I263" i="44"/>
  <c r="L107" i="39"/>
  <c r="G258" i="44"/>
  <c r="B262" i="39"/>
  <c r="L139" i="39"/>
  <c r="H258" i="39"/>
  <c r="M257" i="39"/>
  <c r="J170" i="44"/>
  <c r="H257" i="39"/>
  <c r="B341" i="39"/>
  <c r="G234" i="39"/>
  <c r="B333" i="39"/>
  <c r="B98" i="39"/>
  <c r="K36" i="39"/>
  <c r="K212" i="39"/>
  <c r="B52" i="39"/>
  <c r="K329" i="39"/>
  <c r="O28" i="39"/>
  <c r="K176" i="39"/>
  <c r="K37" i="39"/>
  <c r="O351" i="39"/>
  <c r="N118" i="39"/>
  <c r="N357" i="39"/>
  <c r="N39" i="39"/>
  <c r="O74" i="39"/>
  <c r="I211" i="44"/>
  <c r="O194" i="39"/>
  <c r="L126" i="39"/>
  <c r="B273" i="39"/>
  <c r="N223" i="39"/>
  <c r="B145" i="39"/>
  <c r="K242" i="39"/>
  <c r="H315" i="44"/>
  <c r="O161" i="39"/>
  <c r="I139" i="39"/>
  <c r="O321" i="39"/>
  <c r="M245" i="39"/>
  <c r="K362" i="39"/>
  <c r="M166" i="39"/>
  <c r="N327" i="39"/>
  <c r="F85" i="39"/>
  <c r="G102" i="39"/>
  <c r="J18" i="44"/>
  <c r="O123" i="39"/>
  <c r="N291" i="39"/>
  <c r="O157" i="39"/>
  <c r="N233" i="39"/>
  <c r="G86" i="39"/>
  <c r="K200" i="39"/>
  <c r="F16" i="39"/>
  <c r="I202" i="39"/>
  <c r="F113" i="39"/>
  <c r="G282" i="39"/>
  <c r="C150" i="39"/>
  <c r="D15" i="39"/>
  <c r="F109" i="39"/>
  <c r="B207" i="39"/>
  <c r="O298" i="39"/>
  <c r="M358" i="39"/>
  <c r="H263" i="39"/>
  <c r="M124" i="39"/>
  <c r="K310" i="39"/>
  <c r="B188" i="39"/>
  <c r="C275" i="39"/>
  <c r="K101" i="39"/>
  <c r="M118" i="39"/>
  <c r="C153" i="39"/>
  <c r="G15" i="39"/>
  <c r="B362" i="39"/>
  <c r="K99" i="39"/>
  <c r="L244" i="39"/>
  <c r="C130" i="39"/>
  <c r="B327" i="39"/>
  <c r="N184" i="39"/>
  <c r="N195" i="39"/>
  <c r="N191" i="39"/>
  <c r="F160" i="39"/>
  <c r="C61" i="39"/>
  <c r="O324" i="39"/>
  <c r="N143" i="39"/>
  <c r="I286" i="39"/>
  <c r="B68" i="39"/>
  <c r="O228" i="39"/>
  <c r="N47" i="39"/>
  <c r="I239" i="39"/>
  <c r="K23" i="39"/>
  <c r="I261" i="39"/>
  <c r="F326" i="39"/>
  <c r="G78" i="39"/>
  <c r="F298" i="39"/>
  <c r="L162" i="39"/>
  <c r="F77" i="39"/>
  <c r="I262" i="39"/>
  <c r="M186" i="39"/>
  <c r="E216" i="39"/>
  <c r="D184" i="39"/>
  <c r="O132" i="39"/>
  <c r="F359" i="39"/>
  <c r="B268" i="39"/>
  <c r="O275" i="39"/>
  <c r="I295" i="39"/>
  <c r="K312" i="39"/>
  <c r="G212" i="44"/>
  <c r="F166" i="39"/>
  <c r="I369" i="39"/>
  <c r="O257" i="39"/>
  <c r="B192" i="39"/>
  <c r="I216" i="39"/>
  <c r="D96" i="39"/>
  <c r="G127" i="39"/>
  <c r="N55" i="39"/>
  <c r="I215" i="39"/>
  <c r="E264" i="39"/>
  <c r="F291" i="39"/>
  <c r="F183" i="39"/>
  <c r="O57" i="39"/>
  <c r="K52" i="39"/>
  <c r="C181" i="39"/>
  <c r="M352" i="39"/>
  <c r="M195" i="39"/>
  <c r="J246" i="44"/>
  <c r="I268" i="44"/>
  <c r="L247" i="39"/>
  <c r="G28" i="44"/>
  <c r="B140" i="39"/>
  <c r="L28" i="39"/>
  <c r="O168" i="39"/>
  <c r="I237" i="44"/>
  <c r="H86" i="39"/>
  <c r="C75" i="39"/>
  <c r="C32" i="39"/>
  <c r="B313" i="39"/>
  <c r="G75" i="44"/>
  <c r="H340" i="39"/>
  <c r="K161" i="39"/>
  <c r="C138" i="39"/>
  <c r="J368" i="44"/>
  <c r="B215" i="39"/>
  <c r="J49" i="44"/>
  <c r="G13" i="39"/>
  <c r="I310" i="44"/>
  <c r="F217" i="39"/>
  <c r="M154" i="39"/>
  <c r="C127" i="39"/>
  <c r="C303" i="39"/>
  <c r="O129" i="39"/>
  <c r="C109" i="39"/>
  <c r="K257" i="39"/>
  <c r="H267" i="39"/>
  <c r="G69" i="44"/>
  <c r="O333" i="39"/>
  <c r="K202" i="39"/>
  <c r="C361" i="39"/>
  <c r="B101" i="39"/>
  <c r="K352" i="39"/>
  <c r="O63" i="39"/>
  <c r="G100" i="39"/>
  <c r="O66" i="39"/>
  <c r="N266" i="39"/>
  <c r="M196" i="39"/>
  <c r="G108" i="39"/>
  <c r="M263" i="39"/>
  <c r="H96" i="39"/>
  <c r="H68" i="39"/>
  <c r="K254" i="39"/>
  <c r="M222" i="39"/>
  <c r="K298" i="39"/>
  <c r="G245" i="39"/>
  <c r="F287" i="39"/>
  <c r="K375" i="39"/>
  <c r="H16" i="39"/>
  <c r="N95" i="39"/>
  <c r="B131" i="39"/>
  <c r="K124" i="39"/>
  <c r="G249" i="44"/>
  <c r="O159" i="39"/>
  <c r="M194" i="39"/>
  <c r="E277" i="39"/>
  <c r="M193" i="39"/>
  <c r="I277" i="39"/>
  <c r="E272" i="39"/>
  <c r="O230" i="39"/>
  <c r="K199" i="39"/>
  <c r="O283" i="39"/>
  <c r="O204" i="39"/>
  <c r="N221" i="39"/>
  <c r="C263" i="39"/>
  <c r="G65" i="39"/>
  <c r="I155" i="39"/>
  <c r="F355" i="39"/>
  <c r="H141" i="39"/>
  <c r="I44" i="39"/>
  <c r="N90" i="39"/>
  <c r="G215" i="39"/>
  <c r="K64" i="39"/>
  <c r="M314" i="39"/>
  <c r="N252" i="39"/>
  <c r="F201" i="39"/>
  <c r="K47" i="39"/>
  <c r="F80" i="39"/>
  <c r="G178" i="44"/>
  <c r="I57" i="44"/>
  <c r="O335" i="39"/>
  <c r="N35" i="39"/>
  <c r="N69" i="39"/>
  <c r="N365" i="39"/>
  <c r="K116" i="39"/>
  <c r="J352" i="44"/>
  <c r="B182" i="39"/>
  <c r="N319" i="39"/>
  <c r="I233" i="39"/>
  <c r="K151" i="39"/>
  <c r="I25" i="39"/>
  <c r="I274" i="39"/>
  <c r="F65" i="39"/>
  <c r="F135" i="39"/>
  <c r="G156" i="39"/>
  <c r="H338" i="39"/>
  <c r="N42" i="39"/>
  <c r="M185" i="39"/>
  <c r="F62" i="39"/>
  <c r="C325" i="39"/>
  <c r="F308" i="39"/>
  <c r="G362" i="39"/>
  <c r="F26" i="39"/>
  <c r="G278" i="39"/>
  <c r="K276" i="39"/>
  <c r="M359" i="39"/>
  <c r="D58" i="39"/>
  <c r="M264" i="39"/>
  <c r="I263" i="39"/>
  <c r="G195" i="39"/>
  <c r="M335" i="39"/>
  <c r="N236" i="39"/>
  <c r="C19" i="39"/>
  <c r="K191" i="39"/>
  <c r="H322" i="39"/>
  <c r="C229" i="39"/>
  <c r="K29" i="39"/>
  <c r="G330" i="44"/>
  <c r="O147" i="39"/>
  <c r="M220" i="39"/>
  <c r="G83" i="39"/>
  <c r="N240" i="39"/>
  <c r="O258" i="39"/>
  <c r="I17" i="39"/>
  <c r="I186" i="39"/>
  <c r="I248" i="44"/>
  <c r="L88" i="39"/>
  <c r="H117" i="39"/>
  <c r="B370" i="39"/>
  <c r="L186" i="39"/>
  <c r="O42" i="39"/>
  <c r="L297" i="39"/>
  <c r="I105" i="44"/>
  <c r="H184" i="39"/>
  <c r="L229" i="39"/>
  <c r="O41" i="39"/>
  <c r="M278" i="39"/>
  <c r="G185" i="44"/>
  <c r="C257" i="39"/>
  <c r="K158" i="39"/>
  <c r="G27" i="44"/>
  <c r="C317" i="39"/>
  <c r="K153" i="39"/>
  <c r="C204" i="39"/>
  <c r="K131" i="39"/>
  <c r="B147" i="39"/>
  <c r="M131" i="39"/>
  <c r="M171" i="39"/>
  <c r="N242" i="39"/>
  <c r="O375" i="39"/>
  <c r="K345" i="39"/>
  <c r="C224" i="39"/>
  <c r="K86" i="39"/>
  <c r="B258" i="39"/>
  <c r="M345" i="39"/>
  <c r="C94" i="39"/>
  <c r="C22" i="39"/>
  <c r="I36" i="44"/>
  <c r="H82" i="39"/>
  <c r="C23" i="39"/>
  <c r="M177" i="39"/>
  <c r="K354" i="39"/>
  <c r="O305" i="39"/>
  <c r="K132" i="39"/>
  <c r="M135" i="39"/>
  <c r="B190" i="39"/>
  <c r="C199" i="39"/>
  <c r="N29" i="39"/>
  <c r="N44" i="39"/>
  <c r="O65" i="39"/>
  <c r="N96" i="39"/>
  <c r="F338" i="39"/>
  <c r="K333" i="39"/>
  <c r="I264" i="39"/>
  <c r="O234" i="39"/>
  <c r="O18" i="39"/>
  <c r="O51" i="39"/>
  <c r="G210" i="39"/>
  <c r="L118" i="39"/>
  <c r="N102" i="39"/>
  <c r="N136" i="39"/>
  <c r="M36" i="39"/>
  <c r="K205" i="39"/>
  <c r="E105" i="39"/>
  <c r="G152" i="39"/>
  <c r="K284" i="39"/>
  <c r="L323" i="39"/>
  <c r="B96" i="39"/>
  <c r="N279" i="39"/>
  <c r="C203" i="39"/>
  <c r="F15" i="39"/>
  <c r="M223" i="39"/>
  <c r="B227" i="39"/>
  <c r="N129" i="39"/>
  <c r="M238" i="39"/>
  <c r="O331" i="39"/>
  <c r="N164" i="39"/>
  <c r="F208" i="39"/>
  <c r="N271" i="39"/>
  <c r="O59" i="39"/>
  <c r="B248" i="39"/>
  <c r="F369" i="39"/>
  <c r="E133" i="39"/>
  <c r="G71" i="39"/>
  <c r="F207" i="39"/>
  <c r="G371" i="44"/>
  <c r="C232" i="39"/>
  <c r="C107" i="39"/>
  <c r="B306" i="39"/>
  <c r="E115" i="39"/>
  <c r="N71" i="39"/>
  <c r="C353" i="39"/>
  <c r="H39" i="39"/>
  <c r="B165" i="39"/>
  <c r="L131" i="39"/>
  <c r="I363" i="39"/>
  <c r="G336" i="39"/>
  <c r="K68" i="39"/>
  <c r="D276" i="39"/>
  <c r="F68" i="39"/>
  <c r="N339" i="39"/>
  <c r="N170" i="39"/>
  <c r="O237" i="39"/>
  <c r="G202" i="39"/>
  <c r="H68" i="44"/>
  <c r="G25" i="39"/>
  <c r="K105" i="39"/>
  <c r="M168" i="39"/>
  <c r="E300" i="39"/>
  <c r="E308" i="39"/>
  <c r="O300" i="39"/>
  <c r="C233" i="39"/>
  <c r="O19" i="39"/>
  <c r="C283" i="39"/>
  <c r="M41" i="39"/>
  <c r="C221" i="39"/>
  <c r="G345" i="39"/>
  <c r="F350" i="39"/>
  <c r="E23" i="39"/>
  <c r="K73" i="39"/>
  <c r="E271" i="39"/>
  <c r="C270" i="39"/>
  <c r="H255" i="39"/>
  <c r="O236" i="39"/>
  <c r="M230" i="39"/>
  <c r="D332" i="39"/>
  <c r="F311" i="39"/>
  <c r="G358" i="39"/>
  <c r="O274" i="39"/>
  <c r="F84" i="39"/>
  <c r="K134" i="39"/>
  <c r="G320" i="44"/>
  <c r="J211" i="44"/>
  <c r="G284" i="44"/>
  <c r="G126" i="44"/>
  <c r="B285" i="39"/>
  <c r="O149" i="39"/>
  <c r="H345" i="39"/>
  <c r="H326" i="39"/>
  <c r="J95" i="44"/>
  <c r="O200" i="39"/>
  <c r="M368" i="39"/>
  <c r="M206" i="39"/>
  <c r="H35" i="39"/>
  <c r="H83" i="39"/>
  <c r="F165" i="39"/>
  <c r="C93" i="39"/>
  <c r="O217" i="39"/>
  <c r="C59" i="39"/>
  <c r="I14" i="39"/>
  <c r="H231" i="44"/>
  <c r="K367" i="39"/>
  <c r="N188" i="39"/>
  <c r="I222" i="44"/>
  <c r="I254" i="39"/>
  <c r="C331" i="39"/>
  <c r="I325" i="39"/>
  <c r="C27" i="39"/>
  <c r="H314" i="44"/>
  <c r="B45" i="39"/>
  <c r="M48" i="39"/>
  <c r="H180" i="39"/>
  <c r="O252" i="39"/>
  <c r="C250" i="39"/>
  <c r="C279" i="39"/>
  <c r="C210" i="39"/>
  <c r="N77" i="39"/>
  <c r="M226" i="39"/>
  <c r="H182" i="39"/>
  <c r="I22" i="39"/>
  <c r="J363" i="44"/>
  <c r="N126" i="39"/>
  <c r="K155" i="39"/>
  <c r="B309" i="39"/>
  <c r="N306" i="39"/>
  <c r="N299" i="39"/>
  <c r="C133" i="39"/>
  <c r="K311" i="39"/>
  <c r="O367" i="39"/>
  <c r="E283" i="39"/>
  <c r="K228" i="39"/>
  <c r="F274" i="39"/>
  <c r="F306" i="39"/>
  <c r="O226" i="39"/>
  <c r="O340" i="39"/>
  <c r="B109" i="39"/>
  <c r="M123" i="39"/>
  <c r="J235" i="44"/>
  <c r="O337" i="39"/>
  <c r="G232" i="39"/>
  <c r="F105" i="39"/>
  <c r="I244" i="44"/>
  <c r="B166" i="39"/>
  <c r="M71" i="39"/>
  <c r="N273" i="39"/>
  <c r="N151" i="39"/>
  <c r="G124" i="39"/>
  <c r="N178" i="39"/>
  <c r="O253" i="39"/>
  <c r="H110" i="39"/>
  <c r="F167" i="39"/>
  <c r="C234" i="39"/>
  <c r="H97" i="39"/>
  <c r="G224" i="39"/>
  <c r="G368" i="44"/>
  <c r="N117" i="39"/>
  <c r="M151" i="39"/>
  <c r="M129" i="39"/>
  <c r="C38" i="39"/>
  <c r="I371" i="39"/>
  <c r="C44" i="39"/>
  <c r="H17" i="39"/>
  <c r="N229" i="39"/>
  <c r="I150" i="39"/>
  <c r="O185" i="39"/>
  <c r="F293" i="39"/>
  <c r="B100" i="39"/>
  <c r="K355" i="39"/>
  <c r="B222" i="39"/>
  <c r="K229" i="39"/>
  <c r="E245" i="39"/>
  <c r="K117" i="39"/>
  <c r="E94" i="39"/>
  <c r="O108" i="39"/>
  <c r="K204" i="39"/>
  <c r="F218" i="39"/>
  <c r="E85" i="39"/>
  <c r="J154" i="44"/>
  <c r="N116" i="39"/>
  <c r="M250" i="39"/>
  <c r="M72" i="39"/>
  <c r="M277" i="39"/>
  <c r="C183" i="39"/>
  <c r="F54" i="39"/>
  <c r="F148" i="39"/>
  <c r="K343" i="39"/>
  <c r="G166" i="39"/>
  <c r="I160" i="44"/>
  <c r="H333" i="39"/>
  <c r="I339" i="39"/>
  <c r="E239" i="39"/>
  <c r="B253" i="39"/>
  <c r="H364" i="44"/>
  <c r="J316" i="44"/>
  <c r="H42" i="44"/>
  <c r="J328" i="44"/>
  <c r="B240" i="39"/>
  <c r="I32" i="44"/>
  <c r="C117" i="39"/>
  <c r="H93" i="39"/>
  <c r="L243" i="39"/>
  <c r="B363" i="39"/>
  <c r="K203" i="39"/>
  <c r="I370" i="44"/>
  <c r="H109" i="44"/>
  <c r="L182" i="39"/>
  <c r="I303" i="44"/>
  <c r="M52" i="39"/>
  <c r="M356" i="39"/>
  <c r="B31" i="39"/>
  <c r="G294" i="39"/>
  <c r="K235" i="39"/>
  <c r="H162" i="39"/>
  <c r="L329" i="39"/>
  <c r="B129" i="39"/>
  <c r="N124" i="39"/>
  <c r="M83" i="39"/>
  <c r="H193" i="39"/>
  <c r="N94" i="39"/>
  <c r="K248" i="39"/>
  <c r="L100" i="39"/>
  <c r="B202" i="39"/>
  <c r="G135" i="39"/>
  <c r="B241" i="39"/>
  <c r="O372" i="39"/>
  <c r="C188" i="39"/>
  <c r="O148" i="39"/>
  <c r="N22" i="39"/>
  <c r="K320" i="39"/>
  <c r="H206" i="39"/>
  <c r="I309" i="39"/>
  <c r="L212" i="39"/>
  <c r="O79" i="39"/>
  <c r="E212" i="39"/>
  <c r="M40" i="39"/>
  <c r="K224" i="39"/>
  <c r="O289" i="39"/>
  <c r="M254" i="39"/>
  <c r="O117" i="39"/>
  <c r="O136" i="39"/>
  <c r="F335" i="39"/>
  <c r="I67" i="39"/>
  <c r="D247" i="39"/>
  <c r="G125" i="39"/>
  <c r="I156" i="39"/>
  <c r="G255" i="44"/>
  <c r="C78" i="39"/>
  <c r="O308" i="39"/>
  <c r="O178" i="39"/>
  <c r="M229" i="39"/>
  <c r="H195" i="39"/>
  <c r="I132" i="39"/>
  <c r="E113" i="39"/>
  <c r="M279" i="39"/>
  <c r="G15" i="44"/>
  <c r="O82" i="39"/>
  <c r="B95" i="39"/>
  <c r="I93" i="39"/>
  <c r="G197" i="39"/>
  <c r="D41" i="39"/>
  <c r="J279" i="44"/>
  <c r="I179" i="44"/>
  <c r="H203" i="39"/>
  <c r="M297" i="39"/>
  <c r="B325" i="39"/>
  <c r="C375" i="39"/>
  <c r="B81" i="39"/>
  <c r="B204" i="39"/>
  <c r="H373" i="39"/>
  <c r="O36" i="39"/>
  <c r="J293" i="44"/>
  <c r="B19" i="39"/>
  <c r="B360" i="39"/>
  <c r="O140" i="39"/>
  <c r="O98" i="39"/>
  <c r="C318" i="39"/>
  <c r="O193" i="39"/>
  <c r="N284" i="39"/>
  <c r="M268" i="39"/>
  <c r="J365" i="44"/>
  <c r="H375" i="39"/>
  <c r="K145" i="39"/>
  <c r="G267" i="44"/>
  <c r="M61" i="39"/>
  <c r="L332" i="39"/>
  <c r="I196" i="39"/>
  <c r="N250" i="39"/>
  <c r="G181" i="44"/>
  <c r="H147" i="44"/>
  <c r="H288" i="39"/>
  <c r="K247" i="39"/>
  <c r="G176" i="39"/>
  <c r="B314" i="39"/>
  <c r="B51" i="39"/>
  <c r="M340" i="39"/>
  <c r="C147" i="39"/>
  <c r="N88" i="39"/>
  <c r="K143" i="39"/>
  <c r="H36" i="39"/>
  <c r="I209" i="39"/>
  <c r="O197" i="39"/>
  <c r="D183" i="39"/>
  <c r="M361" i="39"/>
  <c r="G357" i="39"/>
  <c r="D336" i="39"/>
  <c r="O271" i="39"/>
  <c r="K323" i="39"/>
  <c r="C99" i="39"/>
  <c r="I165" i="44"/>
  <c r="C116" i="39"/>
  <c r="H24" i="44"/>
  <c r="G133" i="44"/>
  <c r="B40" i="39"/>
  <c r="J290" i="44"/>
  <c r="J314" i="44"/>
  <c r="L18" i="39"/>
  <c r="O77" i="39"/>
  <c r="N59" i="39"/>
  <c r="I234" i="39"/>
  <c r="L356" i="39"/>
  <c r="C108" i="39"/>
  <c r="H337" i="39"/>
  <c r="O169" i="39"/>
  <c r="N214" i="39"/>
  <c r="B97" i="39"/>
  <c r="L44" i="39"/>
  <c r="O125" i="39"/>
  <c r="M210" i="39"/>
  <c r="K42" i="39"/>
  <c r="H313" i="44"/>
  <c r="B221" i="39"/>
  <c r="M68" i="39"/>
  <c r="N368" i="39"/>
  <c r="O45" i="39"/>
  <c r="M162" i="39"/>
  <c r="C360" i="39"/>
  <c r="O229" i="39"/>
  <c r="K183" i="39"/>
  <c r="B235" i="39"/>
  <c r="B239" i="39"/>
  <c r="O263" i="39"/>
  <c r="K296" i="39"/>
  <c r="H335" i="44"/>
  <c r="C18" i="39"/>
  <c r="K178" i="39"/>
  <c r="G350" i="44"/>
  <c r="C215" i="39"/>
  <c r="F152" i="39"/>
  <c r="O46" i="39"/>
  <c r="K76" i="39"/>
  <c r="I107" i="39"/>
  <c r="H211" i="39"/>
  <c r="K264" i="39"/>
  <c r="N83" i="39"/>
  <c r="N62" i="39"/>
  <c r="G226" i="39"/>
  <c r="E132" i="39"/>
  <c r="N52" i="39"/>
  <c r="E355" i="39"/>
  <c r="N74" i="39"/>
  <c r="K290" i="39"/>
  <c r="O174" i="39"/>
  <c r="L362" i="39"/>
  <c r="N23" i="39"/>
  <c r="N213" i="39"/>
  <c r="J111" i="44"/>
  <c r="D37" i="39"/>
  <c r="K359" i="39"/>
  <c r="O302" i="39"/>
  <c r="N122" i="39"/>
  <c r="M103" i="39"/>
  <c r="J119" i="44"/>
  <c r="J176" i="44"/>
  <c r="C88" i="39"/>
  <c r="N186" i="39"/>
  <c r="N265" i="39"/>
  <c r="O346" i="39"/>
  <c r="D91" i="39"/>
  <c r="N254" i="39"/>
  <c r="O320" i="39"/>
  <c r="C14" i="39"/>
  <c r="C310" i="39"/>
  <c r="K113" i="39"/>
  <c r="N148" i="39"/>
  <c r="B194" i="39"/>
  <c r="G112" i="39"/>
  <c r="G359" i="39"/>
  <c r="I350" i="39"/>
  <c r="K141" i="39"/>
  <c r="M237" i="39"/>
  <c r="C81" i="39"/>
  <c r="M344" i="39"/>
  <c r="N89" i="39"/>
  <c r="N243" i="39"/>
  <c r="I71" i="39"/>
  <c r="C190" i="39"/>
  <c r="D256" i="39"/>
  <c r="C348" i="39"/>
  <c r="E141" i="39"/>
  <c r="C231" i="39"/>
  <c r="O64" i="39"/>
  <c r="K236" i="39"/>
  <c r="C101" i="39"/>
  <c r="O261" i="39"/>
  <c r="E145" i="39"/>
  <c r="G265" i="39"/>
  <c r="K208" i="39"/>
  <c r="F22" i="39"/>
  <c r="N349" i="39"/>
  <c r="F265" i="39"/>
  <c r="N80" i="39"/>
  <c r="I57" i="39"/>
  <c r="B157" i="39"/>
  <c r="O177" i="39"/>
  <c r="D150" i="39"/>
  <c r="B256" i="39"/>
  <c r="C274" i="39"/>
  <c r="O184" i="39"/>
  <c r="O250" i="39"/>
  <c r="O182" i="39"/>
  <c r="O124" i="39"/>
  <c r="M369" i="39"/>
  <c r="E73" i="39"/>
  <c r="G329" i="39"/>
  <c r="D258" i="39"/>
  <c r="I51" i="39"/>
  <c r="K361" i="39"/>
  <c r="N107" i="39"/>
  <c r="F94" i="39"/>
  <c r="F145" i="39"/>
  <c r="I168" i="44"/>
  <c r="O280" i="39"/>
  <c r="K38" i="39"/>
  <c r="E201" i="39"/>
  <c r="H256" i="39"/>
  <c r="O281" i="39"/>
  <c r="I258" i="39"/>
  <c r="K230" i="39"/>
  <c r="K71" i="39"/>
  <c r="K196" i="39"/>
  <c r="K245" i="39"/>
  <c r="F268" i="39"/>
  <c r="H160" i="44"/>
  <c r="J62" i="44"/>
  <c r="G164" i="39"/>
  <c r="F242" i="39"/>
  <c r="K65" i="39"/>
  <c r="G328" i="39"/>
  <c r="F297" i="39"/>
  <c r="N49" i="39"/>
  <c r="D143" i="39"/>
  <c r="I19" i="39"/>
  <c r="B172" i="39"/>
  <c r="F132" i="39"/>
  <c r="D295" i="39"/>
  <c r="K15" i="39"/>
  <c r="F81" i="39"/>
  <c r="G179" i="39"/>
  <c r="O118" i="39"/>
  <c r="E184" i="39"/>
  <c r="H208" i="39"/>
  <c r="M339" i="39"/>
  <c r="K289" i="39"/>
  <c r="O76" i="39"/>
  <c r="G285" i="39"/>
  <c r="G337" i="39"/>
  <c r="O270" i="39"/>
  <c r="D254" i="39"/>
  <c r="D28" i="39"/>
  <c r="M34" i="39"/>
  <c r="N258" i="39"/>
  <c r="I122" i="39"/>
  <c r="G119" i="39"/>
  <c r="C40" i="39"/>
  <c r="E360" i="39"/>
  <c r="M255" i="39"/>
  <c r="I356" i="39"/>
  <c r="I252" i="39"/>
  <c r="E177" i="39"/>
  <c r="F285" i="39"/>
  <c r="I285" i="39"/>
  <c r="K314" i="39"/>
  <c r="F50" i="39"/>
  <c r="I328" i="39"/>
  <c r="G113" i="39"/>
  <c r="G53" i="39"/>
  <c r="D270" i="39"/>
  <c r="F262" i="39"/>
  <c r="B163" i="39"/>
  <c r="I298" i="39"/>
  <c r="G140" i="39"/>
  <c r="K317" i="39"/>
  <c r="G373" i="39"/>
  <c r="F124" i="39"/>
  <c r="M179" i="39"/>
  <c r="N264" i="39"/>
  <c r="K225" i="39"/>
  <c r="F133" i="39"/>
  <c r="F88" i="39"/>
  <c r="K39" i="39"/>
  <c r="D227" i="39"/>
  <c r="K82" i="39"/>
  <c r="K243" i="39"/>
  <c r="I322" i="39"/>
  <c r="D223" i="39"/>
  <c r="F53" i="39"/>
  <c r="N176" i="39"/>
  <c r="I349" i="39"/>
  <c r="F129" i="39"/>
  <c r="G307" i="39"/>
  <c r="I200" i="39"/>
  <c r="H310" i="39"/>
  <c r="I366" i="39"/>
  <c r="E38" i="39"/>
  <c r="I23" i="39"/>
  <c r="F66" i="39"/>
  <c r="E157" i="39"/>
  <c r="G335" i="39"/>
  <c r="D222" i="39"/>
  <c r="E306" i="39"/>
  <c r="I151" i="39"/>
  <c r="G159" i="39"/>
  <c r="M75" i="39"/>
  <c r="N168" i="39"/>
  <c r="I289" i="39"/>
  <c r="K70" i="39"/>
  <c r="F13" i="39"/>
  <c r="N363" i="39"/>
  <c r="G39" i="39"/>
  <c r="G37" i="39"/>
  <c r="K240" i="39"/>
  <c r="F319" i="39"/>
  <c r="C21" i="39"/>
  <c r="E338" i="39"/>
  <c r="D147" i="39"/>
  <c r="N208" i="39"/>
  <c r="F97" i="39"/>
  <c r="B193" i="39"/>
  <c r="G122" i="39"/>
  <c r="M174" i="39"/>
  <c r="K258" i="39"/>
  <c r="I125" i="39"/>
  <c r="D106" i="39"/>
  <c r="K271" i="39"/>
  <c r="E226" i="39"/>
  <c r="K50" i="39"/>
  <c r="F164" i="39"/>
  <c r="G44" i="39"/>
  <c r="N367" i="39"/>
  <c r="E192" i="39"/>
  <c r="E189" i="39"/>
  <c r="K33" i="39"/>
  <c r="F41" i="39"/>
  <c r="E36" i="39"/>
  <c r="E241" i="39"/>
  <c r="F196" i="39"/>
  <c r="N28" i="39"/>
  <c r="G45" i="39"/>
  <c r="C327" i="39"/>
  <c r="I94" i="39"/>
  <c r="M25" i="39"/>
  <c r="L202" i="39"/>
  <c r="N190" i="39"/>
  <c r="B146" i="39"/>
  <c r="N239" i="39"/>
  <c r="I326" i="39"/>
  <c r="C373" i="39"/>
  <c r="I50" i="39"/>
  <c r="C157" i="39"/>
  <c r="I133" i="39"/>
  <c r="O170" i="39"/>
  <c r="F296" i="39"/>
  <c r="N308" i="39"/>
  <c r="O224" i="39"/>
  <c r="M227" i="39"/>
  <c r="H241" i="39"/>
  <c r="G268" i="39"/>
  <c r="N294" i="39"/>
  <c r="I352" i="39"/>
  <c r="D199" i="39"/>
  <c r="I98" i="39"/>
  <c r="K137" i="39"/>
  <c r="N135" i="39"/>
  <c r="M53" i="39"/>
  <c r="N305" i="39"/>
  <c r="F37" i="39"/>
  <c r="D194" i="39"/>
  <c r="G225" i="39"/>
  <c r="G354" i="39"/>
  <c r="K227" i="39"/>
  <c r="F348" i="39"/>
  <c r="O14" i="39"/>
  <c r="C326" i="39"/>
  <c r="H98" i="39"/>
  <c r="F225" i="39"/>
  <c r="E225" i="39"/>
  <c r="K119" i="39"/>
  <c r="E362" i="39"/>
  <c r="F343" i="39"/>
  <c r="O342" i="39"/>
  <c r="D55" i="39"/>
  <c r="G139" i="39"/>
  <c r="M328" i="39"/>
  <c r="B196" i="39"/>
  <c r="E203" i="39"/>
  <c r="F107" i="39"/>
  <c r="I85" i="39"/>
  <c r="N133" i="39"/>
  <c r="E57" i="39"/>
  <c r="K140" i="39"/>
  <c r="F70" i="39"/>
  <c r="D196" i="39"/>
  <c r="D245" i="39"/>
  <c r="D61" i="39"/>
  <c r="D341" i="39"/>
  <c r="F59" i="39"/>
  <c r="D364" i="39"/>
  <c r="K263" i="39"/>
  <c r="E290" i="39"/>
  <c r="M85" i="39"/>
  <c r="N157" i="39"/>
  <c r="D136" i="39"/>
  <c r="K160" i="39"/>
  <c r="M353" i="39"/>
  <c r="G257" i="39"/>
  <c r="N227" i="39"/>
  <c r="O80" i="39"/>
  <c r="F253" i="39"/>
  <c r="G66" i="39"/>
  <c r="F228" i="39"/>
  <c r="N337" i="39"/>
  <c r="E309" i="39"/>
  <c r="G136" i="39"/>
  <c r="N138" i="39"/>
  <c r="G50" i="39"/>
  <c r="O109" i="39"/>
  <c r="D24" i="39"/>
  <c r="M29" i="39"/>
  <c r="I307" i="39"/>
  <c r="B354" i="39"/>
  <c r="F125" i="39"/>
  <c r="O188" i="39"/>
  <c r="F58" i="39"/>
  <c r="E304" i="39"/>
  <c r="G296" i="39"/>
  <c r="M76" i="39"/>
  <c r="F364" i="39"/>
  <c r="I197" i="39"/>
  <c r="I224" i="44"/>
  <c r="D342" i="39"/>
  <c r="E80" i="39"/>
  <c r="I259" i="39"/>
  <c r="N278" i="39"/>
  <c r="F177" i="39"/>
  <c r="N216" i="39"/>
  <c r="C113" i="39"/>
  <c r="E51" i="39"/>
  <c r="O235" i="39"/>
  <c r="G341" i="39"/>
  <c r="M373" i="39"/>
  <c r="M242" i="39"/>
  <c r="O164" i="39"/>
  <c r="M148" i="39"/>
  <c r="D197" i="39"/>
  <c r="N108" i="39"/>
  <c r="G204" i="39"/>
  <c r="F45" i="39"/>
  <c r="D103" i="39"/>
  <c r="M146" i="39"/>
  <c r="C167" i="39"/>
  <c r="H113" i="39"/>
  <c r="N67" i="39"/>
  <c r="N163" i="39"/>
  <c r="G319" i="39"/>
  <c r="E224" i="39"/>
  <c r="G277" i="39"/>
  <c r="M112" i="39"/>
  <c r="O196" i="39"/>
  <c r="F83" i="39"/>
  <c r="G361" i="39"/>
  <c r="I204" i="39"/>
  <c r="D259" i="39"/>
  <c r="I24" i="39"/>
  <c r="G253" i="39"/>
  <c r="F194" i="39"/>
  <c r="C119" i="39"/>
  <c r="I191" i="39"/>
  <c r="G105" i="39"/>
  <c r="B310" i="39"/>
  <c r="H183" i="39"/>
  <c r="B291" i="39"/>
  <c r="E89" i="39"/>
  <c r="I288" i="39"/>
  <c r="I96" i="44"/>
  <c r="N261" i="39"/>
  <c r="N81" i="39"/>
  <c r="O266" i="39"/>
  <c r="K223" i="39"/>
  <c r="M138" i="39"/>
  <c r="N210" i="39"/>
  <c r="B266" i="39"/>
  <c r="C37" i="39"/>
  <c r="I118" i="39"/>
  <c r="G64" i="39"/>
  <c r="O86" i="39"/>
  <c r="N361" i="39"/>
  <c r="I283" i="39"/>
  <c r="I177" i="44"/>
  <c r="F314" i="39"/>
  <c r="E350" i="39"/>
  <c r="N251" i="39"/>
  <c r="G229" i="39"/>
  <c r="E349" i="39"/>
  <c r="F231" i="39"/>
  <c r="B373" i="39"/>
  <c r="M362" i="39"/>
  <c r="G306" i="39"/>
  <c r="I337" i="39"/>
  <c r="G290" i="39"/>
  <c r="C370" i="39"/>
  <c r="M280" i="39"/>
  <c r="B65" i="39"/>
  <c r="B111" i="39"/>
  <c r="M82" i="39"/>
  <c r="O22" i="39"/>
  <c r="K350" i="39"/>
  <c r="D328" i="39"/>
  <c r="N352" i="39"/>
  <c r="H190" i="39"/>
  <c r="K21" i="39"/>
  <c r="I220" i="39"/>
  <c r="N159" i="39"/>
  <c r="G75" i="39"/>
  <c r="G35" i="39"/>
  <c r="I89" i="39"/>
  <c r="I348" i="39"/>
  <c r="E68" i="39"/>
  <c r="F153" i="39"/>
  <c r="B366" i="39"/>
  <c r="O96" i="39"/>
  <c r="G185" i="39"/>
  <c r="K232" i="39"/>
  <c r="E273" i="39"/>
  <c r="G84" i="39"/>
  <c r="O303" i="39"/>
  <c r="G38" i="44"/>
  <c r="K249" i="39"/>
  <c r="F288" i="39"/>
  <c r="O221" i="39"/>
  <c r="M306" i="39"/>
  <c r="D297" i="39"/>
  <c r="B214" i="39"/>
  <c r="H15" i="39"/>
  <c r="O309" i="39"/>
  <c r="K106" i="39"/>
  <c r="O371" i="39"/>
  <c r="L109" i="39"/>
  <c r="O211" i="39"/>
  <c r="M95" i="39"/>
  <c r="G295" i="39"/>
  <c r="G217" i="39"/>
  <c r="F332" i="39"/>
  <c r="F273" i="39"/>
  <c r="C197" i="39"/>
  <c r="I102" i="39"/>
  <c r="M114" i="39"/>
  <c r="B176" i="39"/>
  <c r="D170" i="39"/>
  <c r="G120" i="39"/>
  <c r="N334" i="39"/>
  <c r="E371" i="39"/>
  <c r="M100" i="39"/>
  <c r="N205" i="39"/>
  <c r="L201" i="39"/>
  <c r="N290" i="39"/>
  <c r="B25" i="39"/>
  <c r="F313" i="39"/>
  <c r="F82" i="39"/>
  <c r="F123" i="39"/>
  <c r="M21" i="39"/>
  <c r="O205" i="39"/>
  <c r="G370" i="39"/>
  <c r="F204" i="39"/>
  <c r="F142" i="39"/>
  <c r="G211" i="39"/>
  <c r="O32" i="39"/>
  <c r="M121" i="39"/>
  <c r="F368" i="39"/>
  <c r="D202" i="39"/>
  <c r="D290" i="39"/>
  <c r="F31" i="39"/>
  <c r="G96" i="39"/>
  <c r="D283" i="39"/>
  <c r="G344" i="39"/>
  <c r="D176" i="39"/>
  <c r="F120" i="39"/>
  <c r="E127" i="39"/>
  <c r="G350" i="39"/>
  <c r="I129" i="39"/>
  <c r="E238" i="39"/>
  <c r="G145" i="39"/>
  <c r="F86" i="39"/>
  <c r="E297" i="39"/>
  <c r="D155" i="39"/>
  <c r="D193" i="39"/>
  <c r="M19" i="39"/>
  <c r="D353" i="39"/>
  <c r="E62" i="39"/>
  <c r="G180" i="39"/>
  <c r="E54" i="39"/>
  <c r="D339" i="39"/>
  <c r="E233" i="39"/>
  <c r="M189" i="39"/>
  <c r="F185" i="39"/>
  <c r="I355" i="39"/>
  <c r="E26" i="39"/>
  <c r="K305" i="39"/>
  <c r="I169" i="39"/>
  <c r="F219" i="39"/>
  <c r="D120" i="39"/>
  <c r="B259" i="39"/>
  <c r="D298" i="39"/>
  <c r="N288" i="39"/>
  <c r="E222" i="39"/>
  <c r="G199" i="39"/>
  <c r="I198" i="39"/>
  <c r="I77" i="39"/>
  <c r="C77" i="39"/>
  <c r="D164" i="39"/>
  <c r="D133" i="39"/>
  <c r="I311" i="39"/>
  <c r="M367" i="39"/>
  <c r="M77" i="39"/>
  <c r="E287" i="39"/>
  <c r="G342" i="39"/>
  <c r="E161" i="39"/>
  <c r="G67" i="39"/>
  <c r="G299" i="39"/>
  <c r="N119" i="39"/>
  <c r="E339" i="39"/>
  <c r="N105" i="39"/>
  <c r="G160" i="39"/>
  <c r="G302" i="39"/>
  <c r="G129" i="39"/>
  <c r="O17" i="39"/>
  <c r="D156" i="39"/>
  <c r="L322" i="39"/>
  <c r="H156" i="44"/>
  <c r="B199" i="39"/>
  <c r="M239" i="39"/>
  <c r="I224" i="39"/>
  <c r="M106" i="39"/>
  <c r="K261" i="39"/>
  <c r="C54" i="39"/>
  <c r="H213" i="39"/>
  <c r="B66" i="39"/>
  <c r="H176" i="39"/>
  <c r="I76" i="39"/>
  <c r="O135" i="39"/>
  <c r="B13" i="39"/>
  <c r="H212" i="39"/>
  <c r="C196" i="39"/>
  <c r="N203" i="39"/>
  <c r="I176" i="44"/>
  <c r="O354" i="39"/>
  <c r="I265" i="39"/>
  <c r="F358" i="39"/>
  <c r="I21" i="39"/>
  <c r="K193" i="39"/>
  <c r="M59" i="39"/>
  <c r="E151" i="39"/>
  <c r="C65" i="39"/>
  <c r="F252" i="39"/>
  <c r="O160" i="39"/>
  <c r="O241" i="39"/>
  <c r="E195" i="39"/>
  <c r="K100" i="39"/>
  <c r="H150" i="39"/>
  <c r="N215" i="39"/>
  <c r="I187" i="39"/>
  <c r="F192" i="39"/>
  <c r="O317" i="39"/>
  <c r="K72" i="39"/>
  <c r="G227" i="39"/>
  <c r="F11" i="39"/>
  <c r="G174" i="39"/>
  <c r="G356" i="39"/>
  <c r="G264" i="39"/>
  <c r="N342" i="39"/>
  <c r="I164" i="39"/>
  <c r="F341" i="39"/>
  <c r="E185" i="39"/>
  <c r="I300" i="39"/>
  <c r="I58" i="39"/>
  <c r="N303" i="39"/>
  <c r="E328" i="39"/>
  <c r="E116" i="39"/>
  <c r="G318" i="39"/>
  <c r="I11" i="39"/>
  <c r="C71" i="39"/>
  <c r="E263" i="39"/>
  <c r="D101" i="39"/>
  <c r="G206" i="44"/>
  <c r="E267" i="39"/>
  <c r="D305" i="39"/>
  <c r="I279" i="39"/>
  <c r="G286" i="39"/>
  <c r="D70" i="39"/>
  <c r="G320" i="39"/>
  <c r="C341" i="39"/>
  <c r="E22" i="39"/>
  <c r="D249" i="39"/>
  <c r="F100" i="39"/>
  <c r="G29" i="39"/>
  <c r="G221" i="39"/>
  <c r="O368" i="39"/>
  <c r="D130" i="39"/>
  <c r="N350" i="39"/>
  <c r="B237" i="39"/>
  <c r="C162" i="39"/>
  <c r="F241" i="39"/>
  <c r="D367" i="39"/>
  <c r="I80" i="39"/>
  <c r="F354" i="39"/>
  <c r="E148" i="39"/>
  <c r="I18" i="39"/>
  <c r="F193" i="39"/>
  <c r="M99" i="39"/>
  <c r="G298" i="39"/>
  <c r="C186" i="39"/>
  <c r="D242" i="39"/>
  <c r="D321" i="39"/>
  <c r="I86" i="39"/>
  <c r="B49" i="39"/>
  <c r="E92" i="39"/>
  <c r="D291" i="39"/>
  <c r="E198" i="39"/>
  <c r="M94" i="39"/>
  <c r="F235" i="39"/>
  <c r="M302" i="39"/>
  <c r="N358" i="39"/>
  <c r="D271" i="39"/>
  <c r="E75" i="39"/>
  <c r="M197" i="39"/>
  <c r="N246" i="39"/>
  <c r="N296" i="39"/>
  <c r="F238" i="39"/>
  <c r="G106" i="39"/>
  <c r="D169" i="39"/>
  <c r="E41" i="39"/>
  <c r="D273" i="39"/>
  <c r="F236" i="39"/>
  <c r="N372" i="39"/>
  <c r="E268" i="39"/>
  <c r="F106" i="39"/>
  <c r="N374" i="39"/>
  <c r="G341" i="44"/>
  <c r="J25" i="44"/>
  <c r="M170" i="39"/>
  <c r="N373" i="39"/>
  <c r="I116" i="39"/>
  <c r="B198" i="39"/>
  <c r="O180" i="39"/>
  <c r="K287" i="39"/>
  <c r="M126" i="39"/>
  <c r="G123" i="39"/>
  <c r="G32" i="44"/>
  <c r="M203" i="39"/>
  <c r="E43" i="39"/>
  <c r="O27" i="39"/>
  <c r="H42" i="39"/>
  <c r="H273" i="39"/>
  <c r="K353" i="39"/>
  <c r="G254" i="39"/>
  <c r="I208" i="39"/>
  <c r="L163" i="39"/>
  <c r="O73" i="39"/>
  <c r="M374" i="39"/>
  <c r="O282" i="39"/>
  <c r="B102" i="39"/>
  <c r="G142" i="39"/>
  <c r="K177" i="39"/>
  <c r="O94" i="39"/>
  <c r="N193" i="39"/>
  <c r="C267" i="39"/>
  <c r="M144" i="39"/>
  <c r="D257" i="39"/>
  <c r="B351" i="39"/>
  <c r="C179" i="39"/>
  <c r="C299" i="39"/>
  <c r="G28" i="39"/>
  <c r="O343" i="39"/>
  <c r="F328" i="39"/>
  <c r="N320" i="39"/>
  <c r="K66" i="39"/>
  <c r="D160" i="39"/>
  <c r="G74" i="39"/>
  <c r="L305" i="39"/>
  <c r="G261" i="39"/>
  <c r="G57" i="39"/>
  <c r="G269" i="39"/>
  <c r="K186" i="39"/>
  <c r="G293" i="39"/>
  <c r="F240" i="39"/>
  <c r="F360" i="39"/>
  <c r="G347" i="39"/>
  <c r="F339" i="39"/>
  <c r="G122" i="44"/>
  <c r="F157" i="39"/>
  <c r="E228" i="39"/>
  <c r="H283" i="39"/>
  <c r="E243" i="39"/>
  <c r="F203" i="39"/>
  <c r="D20" i="39"/>
  <c r="E77" i="39"/>
  <c r="F96" i="39"/>
  <c r="I60" i="39"/>
  <c r="E247" i="39"/>
  <c r="O151" i="39"/>
  <c r="M337" i="39"/>
  <c r="D229" i="39"/>
  <c r="E110" i="39"/>
  <c r="I334" i="39"/>
  <c r="E353" i="39"/>
  <c r="O71" i="39"/>
  <c r="D77" i="39"/>
  <c r="D205" i="39"/>
  <c r="K182" i="39"/>
  <c r="D375" i="39"/>
  <c r="I313" i="39"/>
  <c r="M109" i="39"/>
  <c r="I32" i="39"/>
  <c r="F307" i="39"/>
  <c r="I190" i="44"/>
  <c r="E149" i="39"/>
  <c r="C222" i="39"/>
  <c r="M84" i="39"/>
  <c r="D102" i="39"/>
  <c r="L193" i="39"/>
  <c r="G326" i="39"/>
  <c r="O294" i="39"/>
  <c r="F366" i="39"/>
  <c r="D128" i="39"/>
  <c r="K114" i="39"/>
  <c r="O223" i="39"/>
  <c r="E169" i="39"/>
  <c r="G321" i="39"/>
  <c r="E316" i="39"/>
  <c r="G104" i="39"/>
  <c r="D278" i="39"/>
  <c r="N280" i="39"/>
  <c r="B252" i="39"/>
  <c r="E352" i="39"/>
  <c r="I168" i="39"/>
  <c r="D99" i="39"/>
  <c r="F74" i="39"/>
  <c r="E266" i="39"/>
  <c r="O16" i="39"/>
  <c r="F57" i="39"/>
  <c r="E231" i="39"/>
  <c r="M18" i="39"/>
  <c r="G364" i="39"/>
  <c r="F63" i="39"/>
  <c r="E155" i="39"/>
  <c r="F181" i="39"/>
  <c r="O88" i="39"/>
  <c r="K237" i="39"/>
  <c r="K58" i="39"/>
  <c r="E114" i="39"/>
  <c r="F144" i="39"/>
  <c r="D40" i="39"/>
  <c r="M351" i="39"/>
  <c r="E82" i="39"/>
  <c r="O176" i="39"/>
  <c r="D233" i="39"/>
  <c r="I320" i="39"/>
  <c r="K95" i="39"/>
  <c r="G208" i="39"/>
  <c r="M58" i="39"/>
  <c r="E255" i="39"/>
  <c r="G273" i="39"/>
  <c r="M31" i="39"/>
  <c r="G17" i="39"/>
  <c r="D93" i="39"/>
  <c r="N130" i="39"/>
  <c r="O110" i="39"/>
  <c r="D279" i="39"/>
  <c r="M202" i="39"/>
  <c r="D207" i="39"/>
  <c r="L371" i="39"/>
  <c r="K326" i="39"/>
  <c r="N364" i="39"/>
  <c r="N226" i="39"/>
  <c r="F279" i="39"/>
  <c r="M355" i="39"/>
  <c r="G325" i="39"/>
  <c r="N256" i="39"/>
  <c r="K184" i="39"/>
  <c r="L333" i="39"/>
  <c r="K126" i="39"/>
  <c r="E136" i="39"/>
  <c r="E144" i="39"/>
  <c r="H56" i="39"/>
  <c r="C13" i="39"/>
  <c r="M190" i="39"/>
  <c r="F24" i="39"/>
  <c r="E329" i="39"/>
  <c r="J280" i="44"/>
  <c r="C89" i="39"/>
  <c r="G168" i="39"/>
  <c r="M159" i="39"/>
  <c r="E317" i="39"/>
  <c r="G240" i="39"/>
  <c r="I149" i="39"/>
  <c r="O277" i="39"/>
  <c r="F309" i="39"/>
  <c r="N33" i="39"/>
  <c r="C48" i="39"/>
  <c r="E130" i="39"/>
  <c r="E46" i="39"/>
  <c r="B85" i="39"/>
  <c r="B243" i="39"/>
  <c r="D46" i="39"/>
  <c r="E257" i="39"/>
  <c r="G258" i="39"/>
  <c r="I280" i="39"/>
  <c r="F226" i="39"/>
  <c r="F47" i="39"/>
  <c r="K373" i="39"/>
  <c r="G261" i="44"/>
  <c r="M346" i="39"/>
  <c r="N109" i="39"/>
  <c r="G182" i="39"/>
  <c r="N175" i="39"/>
  <c r="I79" i="39"/>
  <c r="F246" i="39"/>
  <c r="I56" i="39"/>
  <c r="E293" i="39"/>
  <c r="E341" i="39"/>
  <c r="M233" i="39"/>
  <c r="G275" i="39"/>
  <c r="E215" i="39"/>
  <c r="E107" i="39"/>
  <c r="M261" i="39"/>
  <c r="E79" i="39"/>
  <c r="E122" i="39"/>
  <c r="G363" i="39"/>
  <c r="G189" i="39"/>
  <c r="I251" i="39"/>
  <c r="D213" i="39"/>
  <c r="G212" i="39"/>
  <c r="M334" i="39"/>
  <c r="F119" i="39"/>
  <c r="D320" i="39"/>
  <c r="N161" i="39"/>
  <c r="K339" i="39"/>
  <c r="D187" i="39"/>
  <c r="D144" i="39"/>
  <c r="E140" i="39"/>
  <c r="F222" i="39"/>
  <c r="D263" i="39"/>
  <c r="N247" i="39"/>
  <c r="F214" i="39"/>
  <c r="I372" i="44"/>
  <c r="K127" i="39"/>
  <c r="L218" i="39"/>
  <c r="G333" i="39"/>
  <c r="I357" i="39"/>
  <c r="I368" i="39"/>
  <c r="G219" i="39"/>
  <c r="I90" i="39"/>
  <c r="C142" i="39"/>
  <c r="D73" i="39"/>
  <c r="M50" i="39"/>
  <c r="M199" i="39"/>
  <c r="N324" i="39"/>
  <c r="D141" i="39"/>
  <c r="K321" i="39"/>
  <c r="D98" i="39"/>
  <c r="L125" i="39"/>
  <c r="G85" i="39"/>
  <c r="E109" i="39"/>
  <c r="O344" i="39"/>
  <c r="C307" i="39"/>
  <c r="F323" i="39"/>
  <c r="E325" i="39"/>
  <c r="E347" i="39"/>
  <c r="D225" i="39"/>
  <c r="D31" i="39"/>
  <c r="K292" i="39"/>
  <c r="G56" i="39"/>
  <c r="G242" i="39"/>
  <c r="M253" i="39"/>
  <c r="K108" i="39"/>
  <c r="D23" i="39"/>
  <c r="E219" i="39"/>
  <c r="B119" i="39"/>
  <c r="I130" i="39"/>
  <c r="O154" i="39"/>
  <c r="F234" i="39"/>
  <c r="I192" i="39"/>
  <c r="F215" i="39"/>
  <c r="D86" i="39"/>
  <c r="I312" i="39"/>
  <c r="O83" i="39"/>
  <c r="F322" i="39"/>
  <c r="G190" i="39"/>
  <c r="G138" i="39"/>
  <c r="O216" i="39"/>
  <c r="F98" i="39"/>
  <c r="O187" i="39"/>
  <c r="I351" i="39"/>
  <c r="M201" i="39"/>
  <c r="I69" i="39"/>
  <c r="E91" i="39"/>
  <c r="E278" i="39"/>
  <c r="H103" i="44"/>
  <c r="H298" i="39"/>
  <c r="C29" i="39"/>
  <c r="C47" i="39"/>
  <c r="F92" i="39"/>
  <c r="K319" i="39"/>
  <c r="I29" i="39"/>
  <c r="M74" i="39"/>
  <c r="N369" i="39"/>
  <c r="B337" i="39"/>
  <c r="O58" i="39"/>
  <c r="E229" i="39"/>
  <c r="G150" i="39"/>
  <c r="K372" i="39"/>
  <c r="G214" i="39"/>
  <c r="K349" i="39"/>
  <c r="N137" i="39"/>
  <c r="K60" i="39"/>
  <c r="B44" i="39"/>
  <c r="M332" i="39"/>
  <c r="D74" i="39"/>
  <c r="C62" i="39"/>
  <c r="N286" i="39"/>
  <c r="K139" i="39"/>
  <c r="F141" i="39"/>
  <c r="J210" i="44"/>
  <c r="N149" i="39"/>
  <c r="I111" i="39"/>
  <c r="N142" i="39"/>
  <c r="K246" i="39"/>
  <c r="I174" i="39"/>
  <c r="N92" i="39"/>
  <c r="M221" i="39"/>
  <c r="K57" i="39"/>
  <c r="I100" i="39"/>
  <c r="O251" i="39"/>
  <c r="D153" i="39"/>
  <c r="I158" i="39"/>
  <c r="G32" i="39"/>
  <c r="O359" i="39"/>
  <c r="M310" i="39"/>
  <c r="C161" i="39"/>
  <c r="I270" i="39"/>
  <c r="E28" i="39"/>
  <c r="N85" i="39"/>
  <c r="M244" i="39"/>
  <c r="I184" i="39"/>
  <c r="G61" i="39"/>
  <c r="E69" i="39"/>
  <c r="O155" i="39"/>
  <c r="M64" i="39"/>
  <c r="D113" i="39"/>
  <c r="G184" i="39"/>
  <c r="F121" i="39"/>
  <c r="K163" i="39"/>
  <c r="I316" i="39"/>
  <c r="F108" i="39"/>
  <c r="F46" i="39"/>
  <c r="D274" i="39"/>
  <c r="E165" i="39"/>
  <c r="G128" i="39"/>
  <c r="I88" i="39"/>
  <c r="F111" i="39"/>
  <c r="F25" i="39"/>
  <c r="E84" i="39"/>
  <c r="D228" i="39"/>
  <c r="M102" i="39"/>
  <c r="B118" i="39"/>
  <c r="H295" i="39"/>
  <c r="M290" i="39"/>
  <c r="I300" i="44"/>
  <c r="M200" i="39"/>
  <c r="C15" i="39"/>
  <c r="O92" i="39"/>
  <c r="I141" i="39"/>
  <c r="C200" i="39"/>
  <c r="M370" i="39"/>
  <c r="F128" i="39"/>
  <c r="M33" i="39"/>
  <c r="M93" i="39"/>
  <c r="G117" i="39"/>
  <c r="K280" i="39"/>
  <c r="N86" i="39"/>
  <c r="I72" i="39"/>
  <c r="O322" i="39"/>
  <c r="D175" i="39"/>
  <c r="I273" i="39"/>
  <c r="C322" i="39"/>
  <c r="I335" i="39"/>
  <c r="E199" i="39"/>
  <c r="O220" i="39"/>
  <c r="H314" i="39"/>
  <c r="J110" i="44"/>
  <c r="B318" i="39"/>
  <c r="O362" i="39"/>
  <c r="E55" i="39"/>
  <c r="D90" i="39"/>
  <c r="C66" i="39"/>
  <c r="M32" i="39"/>
  <c r="N189" i="39"/>
  <c r="K175" i="39"/>
  <c r="N20" i="39"/>
  <c r="K80" i="39"/>
  <c r="K121" i="39"/>
  <c r="N202" i="39"/>
  <c r="F19" i="39"/>
  <c r="K360" i="39"/>
  <c r="I275" i="39"/>
  <c r="C194" i="39"/>
  <c r="N45" i="39"/>
  <c r="D294" i="39"/>
  <c r="O370" i="39"/>
  <c r="G252" i="39"/>
  <c r="E164" i="39"/>
  <c r="I66" i="39"/>
  <c r="G149" i="44"/>
  <c r="O242" i="39"/>
  <c r="H180" i="44"/>
  <c r="C125" i="39"/>
  <c r="I33" i="39"/>
  <c r="M338" i="39"/>
  <c r="I61" i="39"/>
  <c r="O360" i="39"/>
  <c r="F244" i="39"/>
  <c r="B48" i="39"/>
  <c r="K172" i="39"/>
  <c r="D246" i="39"/>
  <c r="I92" i="39"/>
  <c r="K308" i="39"/>
  <c r="K255" i="39"/>
  <c r="G218" i="39"/>
  <c r="M113" i="39"/>
  <c r="D365" i="39"/>
  <c r="I41" i="39"/>
  <c r="N144" i="39"/>
  <c r="I103" i="39"/>
  <c r="N348" i="39"/>
  <c r="E369" i="39"/>
  <c r="C112" i="39"/>
  <c r="I148" i="39"/>
  <c r="I374" i="39"/>
  <c r="D78" i="39"/>
  <c r="K59" i="39"/>
  <c r="B22" i="39"/>
  <c r="I179" i="39"/>
  <c r="F283" i="39"/>
  <c r="M62" i="39"/>
  <c r="B303" i="39"/>
  <c r="G237" i="39"/>
  <c r="E50" i="39"/>
  <c r="N204" i="39"/>
  <c r="C219" i="39"/>
  <c r="F237" i="39"/>
  <c r="F247" i="39"/>
  <c r="E280" i="39"/>
  <c r="H189" i="39"/>
  <c r="E368" i="39"/>
  <c r="I181" i="39"/>
  <c r="O90" i="39"/>
  <c r="B148" i="39"/>
  <c r="N127" i="39"/>
  <c r="G77" i="39"/>
  <c r="I213" i="39"/>
  <c r="M26" i="39"/>
  <c r="F336" i="39"/>
  <c r="M236" i="39"/>
  <c r="N194" i="39"/>
  <c r="E108" i="39"/>
  <c r="J367" i="44"/>
  <c r="F330" i="39"/>
  <c r="E335" i="39"/>
  <c r="K128" i="39"/>
  <c r="O44" i="39"/>
  <c r="E218" i="39"/>
  <c r="B58" i="39"/>
  <c r="K24" i="8"/>
  <c r="H164" i="39"/>
  <c r="E342" i="39"/>
  <c r="M178" i="39"/>
  <c r="I15" i="39"/>
  <c r="I194" i="39"/>
  <c r="N181" i="39"/>
  <c r="I131" i="39"/>
  <c r="D211" i="39"/>
  <c r="F248" i="39"/>
  <c r="F229" i="39"/>
  <c r="I255" i="39"/>
  <c r="F93" i="39"/>
  <c r="B260" i="39"/>
  <c r="F232" i="39"/>
  <c r="F270" i="39"/>
  <c r="O352" i="39"/>
  <c r="I292" i="39"/>
  <c r="G42" i="39"/>
  <c r="G24" i="39"/>
  <c r="M309" i="39"/>
  <c r="C284" i="39"/>
  <c r="O201" i="39"/>
  <c r="E24" i="39"/>
  <c r="G41" i="39"/>
  <c r="F294" i="39"/>
  <c r="I237" i="39"/>
  <c r="M122" i="39"/>
  <c r="I26" i="39"/>
  <c r="D226" i="39"/>
  <c r="I310" i="39"/>
  <c r="D81" i="39"/>
  <c r="H330" i="44"/>
  <c r="N300" i="39"/>
  <c r="M116" i="39"/>
  <c r="C192" i="39"/>
  <c r="E194" i="39"/>
  <c r="N125" i="39"/>
  <c r="F361" i="39"/>
  <c r="F327" i="39"/>
  <c r="F345" i="39"/>
  <c r="E172" i="39"/>
  <c r="K115" i="39"/>
  <c r="I78" i="39"/>
  <c r="E74" i="39"/>
  <c r="G59" i="39"/>
  <c r="M60" i="39"/>
  <c r="F224" i="39"/>
  <c r="B84" i="39"/>
  <c r="M157" i="39"/>
  <c r="C139" i="39"/>
  <c r="G40" i="44"/>
  <c r="H92" i="39"/>
  <c r="E16" i="39"/>
  <c r="E131" i="39"/>
  <c r="G230" i="39"/>
  <c r="C100" i="39"/>
  <c r="H198" i="39"/>
  <c r="G165" i="39"/>
  <c r="M65" i="39"/>
  <c r="L314" i="39"/>
  <c r="C155" i="39"/>
  <c r="K188" i="39"/>
  <c r="C313" i="39"/>
  <c r="K192" i="39"/>
  <c r="I40" i="39"/>
  <c r="N58" i="39"/>
  <c r="K35" i="39"/>
  <c r="E336" i="39"/>
  <c r="C164" i="39"/>
  <c r="N56" i="39"/>
  <c r="I147" i="39"/>
  <c r="F127" i="39"/>
  <c r="G94" i="39"/>
  <c r="G148" i="39"/>
  <c r="I35" i="39"/>
  <c r="E45" i="39"/>
  <c r="G103" i="39"/>
  <c r="D235" i="39"/>
  <c r="M35" i="39"/>
  <c r="N201" i="39"/>
  <c r="C84" i="39"/>
  <c r="K265" i="39"/>
  <c r="G143" i="39"/>
  <c r="I269" i="39"/>
  <c r="F250" i="39"/>
  <c r="F299" i="39"/>
  <c r="F254" i="39"/>
  <c r="M139" i="39"/>
  <c r="I52" i="39"/>
  <c r="G332" i="39"/>
  <c r="I189" i="39"/>
  <c r="B346" i="39"/>
  <c r="O131" i="39"/>
  <c r="L277" i="39"/>
  <c r="O202" i="39"/>
  <c r="M357" i="39"/>
  <c r="I83" i="39"/>
  <c r="K325" i="39"/>
  <c r="E138" i="39"/>
  <c r="G155" i="39"/>
  <c r="G203" i="39"/>
  <c r="D115" i="39"/>
  <c r="E366" i="39"/>
  <c r="G80" i="39"/>
  <c r="G271" i="39"/>
  <c r="N241" i="39"/>
  <c r="G26" i="39"/>
  <c r="D338" i="39"/>
  <c r="B114" i="39"/>
  <c r="N16" i="39"/>
  <c r="K368" i="39"/>
  <c r="B130" i="39"/>
  <c r="E260" i="39"/>
  <c r="K209" i="39"/>
  <c r="E95" i="39"/>
  <c r="I84" i="39"/>
  <c r="G279" i="39"/>
  <c r="E315" i="39"/>
  <c r="I176" i="39"/>
  <c r="F139" i="39"/>
  <c r="G27" i="39"/>
  <c r="D304" i="39"/>
  <c r="D195" i="39"/>
  <c r="I314" i="39"/>
  <c r="H159" i="39"/>
  <c r="G60" i="39"/>
  <c r="G87" i="39"/>
  <c r="E18" i="39"/>
  <c r="N112" i="39"/>
  <c r="K315" i="39"/>
  <c r="N332" i="39"/>
  <c r="E258" i="39"/>
  <c r="I240" i="39"/>
  <c r="N355" i="39"/>
  <c r="K150" i="39"/>
  <c r="D350" i="39"/>
  <c r="G19" i="39"/>
  <c r="E319" i="39"/>
  <c r="E135" i="39"/>
  <c r="C292" i="39"/>
  <c r="F329" i="39"/>
  <c r="N343" i="39"/>
  <c r="K370" i="39"/>
  <c r="E63" i="39"/>
  <c r="O207" i="39"/>
  <c r="G206" i="39"/>
  <c r="D308" i="39"/>
  <c r="M67" i="39"/>
  <c r="G81" i="39"/>
  <c r="O313" i="39"/>
  <c r="M28" i="39"/>
  <c r="K267" i="39"/>
  <c r="F48" i="39"/>
  <c r="M47" i="39"/>
  <c r="K316" i="39"/>
  <c r="O48" i="39"/>
  <c r="M321" i="39"/>
  <c r="J310" i="44"/>
  <c r="M92" i="39"/>
  <c r="B74" i="39"/>
  <c r="M299" i="39"/>
  <c r="M184" i="39"/>
  <c r="F276" i="39"/>
  <c r="E340" i="39"/>
  <c r="K62" i="39"/>
  <c r="E354" i="39"/>
  <c r="K63" i="39"/>
  <c r="F39" i="39"/>
  <c r="D210" i="39"/>
  <c r="K46" i="39"/>
  <c r="H243" i="39"/>
  <c r="D219" i="39"/>
  <c r="G247" i="39"/>
  <c r="G235" i="39"/>
  <c r="N134" i="39"/>
  <c r="N310" i="39"/>
  <c r="F370" i="39"/>
  <c r="D42" i="39"/>
  <c r="K259" i="39"/>
  <c r="K210" i="39"/>
  <c r="M108" i="39"/>
  <c r="G351" i="39"/>
  <c r="E15" i="39"/>
  <c r="K281" i="39"/>
  <c r="M172" i="39"/>
  <c r="D280" i="39"/>
  <c r="C305" i="39"/>
  <c r="D303" i="39"/>
  <c r="F212" i="39"/>
  <c r="G79" i="39"/>
  <c r="M209" i="39"/>
  <c r="D216" i="39"/>
  <c r="D296" i="39"/>
  <c r="F344" i="39"/>
  <c r="D355" i="39"/>
  <c r="C39" i="39"/>
  <c r="D347" i="39"/>
  <c r="G90" i="39"/>
  <c r="N158" i="39"/>
  <c r="D57" i="39"/>
  <c r="E33" i="39"/>
  <c r="K93" i="39"/>
  <c r="G25" i="8"/>
  <c r="N292" i="39"/>
  <c r="E29" i="39"/>
  <c r="G114" i="39"/>
  <c r="N64" i="39"/>
  <c r="D69" i="39"/>
  <c r="M285" i="39"/>
  <c r="G297" i="39"/>
  <c r="M70" i="39"/>
  <c r="K96" i="39"/>
  <c r="D127" i="39"/>
  <c r="E166" i="39"/>
  <c r="G47" i="39"/>
  <c r="E197" i="39"/>
  <c r="I362" i="39"/>
  <c r="G137" i="39"/>
  <c r="G31" i="39"/>
  <c r="N150" i="39"/>
  <c r="C170" i="39"/>
  <c r="O316" i="39"/>
  <c r="F334" i="39"/>
  <c r="D374" i="39"/>
  <c r="D288" i="39"/>
  <c r="F264" i="39"/>
  <c r="D315" i="39"/>
  <c r="K278" i="39"/>
  <c r="G324" i="39"/>
  <c r="H233" i="39"/>
  <c r="F206" i="39"/>
  <c r="N341" i="39"/>
  <c r="D200" i="39"/>
  <c r="E65" i="39"/>
  <c r="D125" i="39"/>
  <c r="K327" i="39"/>
  <c r="D157" i="39"/>
  <c r="K342" i="39"/>
  <c r="K295" i="39"/>
  <c r="D84" i="39"/>
  <c r="I344" i="39"/>
  <c r="G63" i="39"/>
  <c r="F159" i="39"/>
  <c r="F28" i="39"/>
  <c r="G51" i="39"/>
  <c r="I87" i="39"/>
  <c r="O81" i="39"/>
  <c r="E223" i="39"/>
  <c r="D126" i="39"/>
  <c r="F69" i="39"/>
  <c r="D51" i="39"/>
  <c r="G255" i="39"/>
  <c r="I109" i="39"/>
  <c r="N18" i="39"/>
  <c r="O219" i="39"/>
  <c r="E202" i="39"/>
  <c r="F89" i="39"/>
  <c r="M323" i="39"/>
  <c r="K144" i="39"/>
  <c r="E159" i="39"/>
  <c r="I136" i="39"/>
  <c r="K78" i="39"/>
  <c r="O152" i="39"/>
  <c r="D368" i="39"/>
  <c r="D179" i="39"/>
  <c r="K297" i="39"/>
  <c r="D369" i="39"/>
  <c r="M232" i="39"/>
  <c r="F281" i="39"/>
  <c r="N121" i="39"/>
  <c r="F325" i="39"/>
  <c r="F320" i="39"/>
  <c r="D299" i="39"/>
  <c r="D47" i="39"/>
  <c r="F184" i="39"/>
  <c r="I305" i="39"/>
  <c r="G72" i="39"/>
  <c r="I45" i="39"/>
  <c r="F286" i="39"/>
  <c r="I65" i="39"/>
  <c r="E302" i="39"/>
  <c r="D234" i="39"/>
  <c r="F321" i="39"/>
  <c r="I217" i="39"/>
  <c r="D253" i="39"/>
  <c r="E88" i="39"/>
  <c r="B42" i="39"/>
  <c r="I321" i="39"/>
  <c r="G276" i="39"/>
  <c r="D59" i="39"/>
  <c r="B224" i="39"/>
  <c r="F33" i="39"/>
  <c r="F112" i="39"/>
  <c r="M269" i="39"/>
  <c r="E299" i="39"/>
  <c r="I225" i="39"/>
  <c r="B365" i="39"/>
  <c r="E11" i="39"/>
  <c r="D24" i="8"/>
  <c r="C366" i="39"/>
  <c r="F239" i="39"/>
  <c r="G322" i="39"/>
  <c r="O78" i="39"/>
  <c r="B64" i="39"/>
  <c r="M231" i="39"/>
  <c r="E346" i="39"/>
  <c r="G191" i="39"/>
  <c r="M289" i="39"/>
  <c r="E119" i="39"/>
  <c r="E101" i="39"/>
  <c r="G274" i="39"/>
  <c r="I243" i="39"/>
  <c r="E281" i="39"/>
  <c r="M291" i="39"/>
  <c r="I316" i="44"/>
  <c r="F277" i="39"/>
  <c r="D36" i="39"/>
  <c r="D21" i="39"/>
  <c r="H317" i="39"/>
  <c r="B195" i="39"/>
  <c r="N199" i="39"/>
  <c r="E27" i="39"/>
  <c r="F35" i="39"/>
  <c r="E364" i="39"/>
  <c r="I290" i="39"/>
  <c r="F136" i="39"/>
  <c r="N48" i="39"/>
  <c r="F282" i="39"/>
  <c r="K164" i="39"/>
  <c r="K40" i="39"/>
  <c r="I95" i="39"/>
  <c r="E179" i="39"/>
  <c r="K44" i="39"/>
  <c r="G161" i="39"/>
  <c r="D275" i="39"/>
  <c r="D214" i="39"/>
  <c r="G24" i="8"/>
  <c r="G162" i="39"/>
  <c r="E137" i="39"/>
  <c r="H335" i="39"/>
  <c r="B301" i="39"/>
  <c r="O20" i="39"/>
  <c r="K166" i="39"/>
  <c r="N113" i="39"/>
  <c r="M213" i="39"/>
  <c r="G171" i="39"/>
  <c r="D231" i="39"/>
  <c r="I140" i="39"/>
  <c r="O153" i="39"/>
  <c r="G338" i="39"/>
  <c r="G283" i="39"/>
  <c r="G216" i="39"/>
  <c r="B299" i="39"/>
  <c r="G228" i="39"/>
  <c r="M192" i="39"/>
  <c r="G355" i="39"/>
  <c r="G315" i="39"/>
  <c r="D206" i="39"/>
  <c r="G369" i="39"/>
  <c r="G368" i="39"/>
  <c r="E270" i="39"/>
  <c r="F205" i="39"/>
  <c r="D62" i="39"/>
  <c r="J230" i="44"/>
  <c r="E322" i="39"/>
  <c r="I219" i="39"/>
  <c r="G309" i="39"/>
  <c r="I236" i="39"/>
  <c r="D44" i="39"/>
  <c r="K133" i="39"/>
  <c r="G194" i="39"/>
  <c r="E361" i="39"/>
  <c r="D34" i="39"/>
  <c r="N38" i="39"/>
  <c r="E123" i="39"/>
  <c r="F195" i="39"/>
  <c r="O60" i="39"/>
  <c r="B359" i="39"/>
  <c r="N40" i="39"/>
  <c r="I229" i="39"/>
  <c r="I246" i="39"/>
  <c r="F362" i="39"/>
  <c r="E358" i="39"/>
  <c r="O369" i="39"/>
  <c r="F147" i="39"/>
  <c r="E332" i="39"/>
  <c r="D67" i="39"/>
  <c r="D49" i="39"/>
  <c r="E367" i="39"/>
  <c r="E142" i="39"/>
  <c r="M270" i="39"/>
  <c r="I327" i="39"/>
  <c r="G107" i="39"/>
  <c r="N84" i="39"/>
  <c r="E252" i="39"/>
  <c r="D333" i="39"/>
  <c r="F130" i="39"/>
  <c r="M327" i="39"/>
  <c r="K168" i="39"/>
  <c r="M246" i="39"/>
  <c r="M247" i="39"/>
  <c r="D163" i="39"/>
  <c r="D180" i="39"/>
  <c r="N103" i="39"/>
  <c r="H39" i="44"/>
  <c r="G193" i="39"/>
  <c r="M371" i="39"/>
  <c r="G360" i="39"/>
  <c r="D293" i="39"/>
  <c r="H332" i="39"/>
  <c r="E374" i="39"/>
  <c r="O113" i="39"/>
  <c r="K231" i="39"/>
  <c r="I260" i="39"/>
  <c r="G38" i="39"/>
  <c r="K300" i="39"/>
  <c r="D107" i="39"/>
  <c r="I178" i="39"/>
  <c r="D366" i="39"/>
  <c r="I75" i="39"/>
  <c r="O203" i="39"/>
  <c r="N360" i="39"/>
  <c r="D267" i="39"/>
  <c r="B80" i="39"/>
  <c r="G323" i="39"/>
  <c r="O102" i="39"/>
  <c r="I154" i="39"/>
  <c r="D39" i="39"/>
  <c r="K32" i="39"/>
  <c r="G186" i="39"/>
  <c r="C79" i="39"/>
  <c r="M211" i="39"/>
  <c r="I36" i="39"/>
  <c r="F143" i="39"/>
  <c r="N43" i="39"/>
  <c r="G248" i="39"/>
  <c r="E87" i="39"/>
  <c r="E327" i="39"/>
  <c r="O163" i="39"/>
  <c r="I34" i="39"/>
  <c r="M87" i="39"/>
  <c r="K129" i="39"/>
  <c r="D282" i="39"/>
  <c r="G314" i="39"/>
  <c r="G181" i="39"/>
  <c r="N179" i="39"/>
  <c r="I358" i="39"/>
  <c r="J24" i="8"/>
  <c r="D72" i="39"/>
  <c r="M165" i="39"/>
  <c r="D373" i="39"/>
  <c r="K207" i="39"/>
  <c r="G55" i="39"/>
  <c r="D323" i="39"/>
  <c r="F168" i="39"/>
  <c r="K92" i="39"/>
  <c r="E312" i="39"/>
  <c r="M343" i="39"/>
  <c r="G243" i="39"/>
  <c r="E124" i="39"/>
  <c r="F190" i="39"/>
  <c r="O232" i="39"/>
  <c r="N282" i="39"/>
  <c r="D123" i="39"/>
  <c r="N196" i="39"/>
  <c r="D300" i="39"/>
  <c r="C205" i="39"/>
  <c r="E211" i="39"/>
  <c r="N263" i="39"/>
  <c r="I144" i="39"/>
  <c r="I207" i="39"/>
  <c r="D60" i="39"/>
  <c r="B257" i="39"/>
  <c r="M69" i="39"/>
  <c r="D167" i="39"/>
  <c r="D22" i="39"/>
  <c r="D312" i="39"/>
  <c r="D132" i="39"/>
  <c r="E31" i="39"/>
  <c r="L124" i="39"/>
  <c r="M365" i="39"/>
  <c r="I230" i="39"/>
  <c r="I161" i="39"/>
  <c r="F289" i="39"/>
  <c r="D232" i="39"/>
  <c r="D284" i="39"/>
  <c r="D331" i="39"/>
  <c r="G250" i="39"/>
  <c r="D100" i="39"/>
  <c r="I121" i="39"/>
  <c r="M363" i="39"/>
  <c r="B213" i="39"/>
  <c r="I43" i="39"/>
  <c r="I370" i="39"/>
  <c r="C97" i="39"/>
  <c r="E106" i="39"/>
  <c r="F182" i="39"/>
  <c r="G238" i="39"/>
  <c r="M110" i="39"/>
  <c r="F371" i="39"/>
  <c r="G300" i="39"/>
  <c r="D240" i="39"/>
  <c r="M147" i="39"/>
  <c r="K197" i="39"/>
  <c r="F271" i="39"/>
  <c r="F115" i="39"/>
  <c r="O213" i="39"/>
  <c r="E118" i="39"/>
  <c r="M326" i="39"/>
  <c r="O357" i="39"/>
  <c r="G366" i="39"/>
  <c r="E167" i="39"/>
  <c r="G209" i="39"/>
  <c r="I249" i="39"/>
  <c r="E310" i="39"/>
  <c r="C25" i="8"/>
  <c r="E249" i="39"/>
  <c r="D134" i="39"/>
  <c r="M80" i="39"/>
  <c r="I175" i="39"/>
  <c r="G146" i="39"/>
  <c r="I205" i="39"/>
  <c r="E204" i="39"/>
  <c r="D289" i="39"/>
  <c r="E90" i="39"/>
  <c r="D217" i="39"/>
  <c r="D287" i="39"/>
  <c r="F373" i="39"/>
  <c r="I180" i="39"/>
  <c r="C300" i="39"/>
  <c r="F245" i="39"/>
  <c r="K234" i="39"/>
  <c r="G239" i="39"/>
  <c r="F191" i="39"/>
  <c r="E221" i="39"/>
  <c r="I267" i="39"/>
  <c r="F131" i="39"/>
  <c r="D212" i="39"/>
  <c r="M275" i="39"/>
  <c r="I253" i="39"/>
  <c r="F95" i="39"/>
  <c r="O116" i="39"/>
  <c r="D104" i="39"/>
  <c r="D329" i="39"/>
  <c r="D309" i="39"/>
  <c r="E143" i="39"/>
  <c r="G367" i="39"/>
  <c r="I115" i="39"/>
  <c r="E78" i="39"/>
  <c r="K334" i="39"/>
  <c r="K275" i="39"/>
  <c r="I114" i="39"/>
  <c r="F27" i="39"/>
  <c r="I245" i="39"/>
  <c r="F172" i="39"/>
  <c r="I101" i="39"/>
  <c r="D117" i="39"/>
  <c r="G256" i="39"/>
  <c r="C195" i="39"/>
  <c r="D48" i="39"/>
  <c r="G141" i="39"/>
  <c r="F154" i="39"/>
  <c r="N314" i="39"/>
  <c r="G49" i="39"/>
  <c r="G249" i="39"/>
  <c r="N140" i="39"/>
  <c r="N174" i="39"/>
  <c r="B335" i="39"/>
  <c r="F243" i="39"/>
  <c r="D252" i="39"/>
  <c r="E64" i="39"/>
  <c r="F333" i="39"/>
  <c r="G236" i="39"/>
  <c r="E160" i="39"/>
  <c r="M45" i="39"/>
  <c r="K147" i="39"/>
  <c r="D76" i="39"/>
  <c r="I247" i="39"/>
  <c r="G353" i="39"/>
  <c r="D97" i="39"/>
  <c r="B133" i="39"/>
  <c r="F72" i="39"/>
  <c r="O209" i="39"/>
  <c r="O285" i="39"/>
  <c r="I293" i="39"/>
  <c r="K282" i="39"/>
  <c r="D18" i="39"/>
  <c r="D337" i="39"/>
  <c r="E318" i="39"/>
  <c r="N165" i="39"/>
  <c r="D221" i="39"/>
  <c r="H372" i="39"/>
  <c r="K214" i="39"/>
  <c r="K220" i="39"/>
  <c r="C374" i="39"/>
  <c r="K211" i="39"/>
  <c r="N317" i="39"/>
  <c r="D50" i="39"/>
  <c r="E234" i="39"/>
  <c r="M137" i="39"/>
  <c r="I336" i="39"/>
  <c r="B208" i="39"/>
  <c r="D52" i="39"/>
  <c r="O91" i="39"/>
  <c r="M281" i="39"/>
  <c r="M330" i="39"/>
  <c r="D260" i="39"/>
  <c r="N60" i="39"/>
  <c r="C308" i="39"/>
  <c r="G348" i="39"/>
  <c r="I373" i="39"/>
  <c r="F32" i="39"/>
  <c r="E276" i="39"/>
  <c r="D148" i="39"/>
  <c r="E67" i="39"/>
  <c r="K61" i="39"/>
  <c r="N207" i="39"/>
  <c r="E254" i="39"/>
  <c r="G89" i="39"/>
  <c r="K241" i="39"/>
  <c r="E298" i="39"/>
  <c r="K187" i="39"/>
  <c r="E275" i="39"/>
  <c r="H94" i="39"/>
  <c r="E240" i="39"/>
  <c r="I199" i="39"/>
  <c r="G173" i="39"/>
  <c r="E291" i="39"/>
  <c r="H324" i="39"/>
  <c r="K89" i="39"/>
  <c r="I143" i="39"/>
  <c r="D151" i="39"/>
  <c r="B278" i="39"/>
  <c r="G289" i="39"/>
  <c r="B375" i="39"/>
  <c r="E220" i="39"/>
  <c r="E217" i="39"/>
  <c r="G134" i="39"/>
  <c r="I145" i="39"/>
  <c r="E375" i="39"/>
  <c r="M217" i="39"/>
  <c r="H51" i="39"/>
  <c r="F79" i="39"/>
  <c r="O40" i="39"/>
  <c r="I108" i="39"/>
  <c r="G52" i="39"/>
  <c r="I81" i="39"/>
  <c r="K206" i="39"/>
  <c r="K181" i="39"/>
  <c r="E330" i="39"/>
  <c r="I104" i="39"/>
  <c r="D75" i="39"/>
  <c r="I135" i="39"/>
  <c r="F310" i="39"/>
  <c r="K97" i="39"/>
  <c r="B210" i="39"/>
  <c r="M311" i="39"/>
  <c r="E52" i="39"/>
  <c r="D54" i="39"/>
  <c r="N123" i="39"/>
  <c r="B105" i="39"/>
  <c r="F90" i="39"/>
  <c r="G222" i="39"/>
  <c r="B186" i="39"/>
  <c r="B177" i="39"/>
  <c r="G304" i="39"/>
  <c r="F162" i="39"/>
  <c r="I64" i="39"/>
  <c r="K226" i="39"/>
  <c r="E363" i="39"/>
  <c r="K149" i="39"/>
  <c r="D159" i="39"/>
  <c r="E150" i="39"/>
  <c r="G157" i="39"/>
  <c r="O327" i="39"/>
  <c r="D319" i="39"/>
  <c r="D71" i="39"/>
  <c r="I304" i="39"/>
  <c r="D326" i="39"/>
  <c r="D346" i="39"/>
  <c r="O301" i="39"/>
  <c r="K56" i="39"/>
  <c r="G241" i="39"/>
  <c r="O107" i="39"/>
  <c r="E53" i="39"/>
  <c r="G82" i="39"/>
  <c r="E207" i="39"/>
  <c r="F101" i="39"/>
  <c r="K309" i="39"/>
  <c r="O350" i="39"/>
  <c r="E292" i="39"/>
  <c r="I99" i="39"/>
  <c r="F317" i="39"/>
  <c r="K94" i="39"/>
  <c r="D358" i="39"/>
  <c r="G93" i="39"/>
  <c r="C148" i="39"/>
  <c r="M191" i="39"/>
  <c r="F363" i="39"/>
  <c r="G330" i="39"/>
  <c r="I123" i="39"/>
  <c r="I37" i="39"/>
  <c r="I55" i="39"/>
  <c r="I24" i="8"/>
  <c r="G316" i="39"/>
  <c r="G13" i="8"/>
  <c r="G284" i="39"/>
  <c r="F352" i="39"/>
  <c r="F103" i="39"/>
  <c r="E103" i="39"/>
  <c r="D266" i="39"/>
  <c r="E282" i="39"/>
  <c r="M11" i="39"/>
  <c r="D372" i="39"/>
  <c r="G111" i="39"/>
  <c r="O35" i="39"/>
  <c r="N11" i="39"/>
  <c r="I39" i="39"/>
  <c r="G312" i="39"/>
  <c r="N315" i="39"/>
  <c r="M317" i="39"/>
  <c r="D105" i="39"/>
  <c r="B121" i="39"/>
  <c r="D149" i="39"/>
  <c r="D340" i="39"/>
  <c r="M322" i="39"/>
  <c r="D161" i="39"/>
  <c r="E70" i="39"/>
  <c r="N131" i="39"/>
  <c r="G240" i="44"/>
  <c r="B280" i="39"/>
  <c r="D138" i="39"/>
  <c r="B50" i="39"/>
  <c r="D307" i="39"/>
  <c r="B226" i="39"/>
  <c r="E81" i="39"/>
  <c r="D292" i="39"/>
  <c r="E242" i="39"/>
  <c r="M24" i="39"/>
  <c r="D281" i="39"/>
  <c r="F117" i="39"/>
  <c r="D172" i="39"/>
  <c r="N307" i="39"/>
  <c r="F249" i="39"/>
  <c r="C156" i="39"/>
  <c r="I367" i="39"/>
  <c r="G292" i="39"/>
  <c r="D119" i="39"/>
  <c r="O55" i="39"/>
  <c r="G172" i="39"/>
  <c r="F44" i="39"/>
  <c r="F300" i="39"/>
  <c r="F146" i="39"/>
  <c r="F199" i="39"/>
  <c r="D310" i="39"/>
  <c r="E178" i="39"/>
  <c r="I276" i="39"/>
  <c r="D11" i="39"/>
  <c r="D361" i="39"/>
  <c r="F173" i="39"/>
  <c r="E72" i="39"/>
  <c r="D35" i="39"/>
  <c r="I375" i="39"/>
  <c r="E146" i="39"/>
  <c r="O105" i="39"/>
  <c r="M143" i="39"/>
  <c r="M219" i="39"/>
  <c r="G98" i="39"/>
  <c r="G231" i="39"/>
  <c r="D322" i="39"/>
  <c r="G133" i="39"/>
  <c r="E96" i="39"/>
  <c r="E301" i="39"/>
  <c r="F197" i="39"/>
  <c r="D241" i="39"/>
  <c r="E35" i="39"/>
  <c r="G116" i="44"/>
  <c r="N245" i="39"/>
  <c r="O358" i="39"/>
  <c r="D203" i="39"/>
  <c r="I308" i="39"/>
  <c r="O122" i="39"/>
  <c r="D316" i="39"/>
  <c r="D65" i="39"/>
  <c r="G317" i="39"/>
  <c r="D209" i="39"/>
  <c r="H126" i="39"/>
  <c r="G153" i="39"/>
  <c r="I106" i="39"/>
  <c r="E186" i="39"/>
  <c r="D224" i="39"/>
  <c r="O311" i="39"/>
  <c r="N79" i="39"/>
  <c r="D154" i="39"/>
  <c r="D192" i="39"/>
  <c r="E25" i="8"/>
  <c r="N147" i="39"/>
  <c r="N41" i="39"/>
  <c r="F116" i="39"/>
  <c r="D265" i="39"/>
  <c r="C255" i="39"/>
  <c r="D158" i="39"/>
  <c r="B18" i="39"/>
  <c r="F155" i="39"/>
  <c r="E100" i="39"/>
  <c r="D244" i="39"/>
  <c r="F312" i="39"/>
  <c r="K185" i="39"/>
  <c r="F251" i="39"/>
  <c r="G167" i="39"/>
  <c r="K213" i="39"/>
  <c r="G170" i="39"/>
  <c r="I299" i="39"/>
  <c r="F122" i="39"/>
  <c r="D371" i="39"/>
  <c r="E14" i="39"/>
  <c r="G95" i="39"/>
  <c r="F303" i="39"/>
  <c r="G23" i="39"/>
  <c r="G259" i="39"/>
  <c r="F99" i="39"/>
  <c r="N262" i="39"/>
  <c r="K110" i="39"/>
  <c r="K215" i="39"/>
  <c r="E248" i="39"/>
  <c r="F290" i="39"/>
  <c r="F295" i="39"/>
  <c r="L19" i="39"/>
  <c r="M329" i="39"/>
  <c r="I182" i="39"/>
  <c r="C178" i="39"/>
  <c r="I238" i="39"/>
  <c r="G24" i="51"/>
  <c r="F331" i="39"/>
  <c r="G310" i="39"/>
  <c r="I152" i="39"/>
  <c r="F202" i="39"/>
  <c r="M218" i="39"/>
  <c r="K125" i="39"/>
  <c r="O142" i="39"/>
  <c r="F340" i="39"/>
  <c r="E152" i="39"/>
  <c r="I330" i="39"/>
  <c r="G169" i="39"/>
  <c r="H18" i="39"/>
  <c r="D191" i="39"/>
  <c r="K330" i="39"/>
  <c r="F255" i="39"/>
  <c r="O69" i="39"/>
  <c r="D95" i="39"/>
  <c r="F256" i="39"/>
  <c r="I345" i="39"/>
  <c r="G220" i="39"/>
  <c r="K22" i="39"/>
  <c r="K358" i="39"/>
  <c r="I183" i="39"/>
  <c r="F38" i="39"/>
  <c r="F221" i="39"/>
  <c r="N287" i="39"/>
  <c r="E98" i="39"/>
  <c r="C247" i="39"/>
  <c r="N335" i="39"/>
  <c r="D262" i="39"/>
  <c r="B231" i="39"/>
  <c r="E206" i="39"/>
  <c r="D56" i="39"/>
  <c r="F198" i="39"/>
  <c r="N222" i="39"/>
  <c r="D14" i="39"/>
  <c r="O284" i="39"/>
  <c r="D215" i="39"/>
  <c r="D311" i="39"/>
  <c r="E44" i="39"/>
  <c r="K31" i="39"/>
  <c r="D131" i="39"/>
  <c r="I315" i="39"/>
  <c r="O349" i="39"/>
  <c r="C198" i="39"/>
  <c r="E25" i="39"/>
  <c r="E40" i="39"/>
  <c r="N72" i="39"/>
  <c r="E196" i="39"/>
  <c r="D85" i="39"/>
  <c r="E19" i="39"/>
  <c r="D272" i="39"/>
  <c r="I250" i="39"/>
  <c r="E331" i="39"/>
  <c r="N73" i="39"/>
  <c r="F150" i="39"/>
  <c r="O306" i="39"/>
  <c r="D116" i="39"/>
  <c r="E372" i="39"/>
  <c r="N244" i="39"/>
  <c r="E305" i="39"/>
  <c r="F21" i="39"/>
  <c r="E175" i="39"/>
  <c r="F186" i="39"/>
  <c r="K322" i="39"/>
  <c r="I291" i="39"/>
  <c r="F114" i="39"/>
  <c r="E17" i="39"/>
  <c r="E71" i="39"/>
  <c r="F210" i="39"/>
  <c r="E237" i="39"/>
  <c r="E20" i="39"/>
  <c r="D318" i="39"/>
  <c r="E183" i="39"/>
  <c r="F211" i="39"/>
  <c r="F29" i="39"/>
  <c r="O143" i="39"/>
  <c r="G308" i="39"/>
  <c r="F367" i="39"/>
  <c r="E86" i="39"/>
  <c r="E313" i="39"/>
  <c r="F259" i="39"/>
  <c r="G313" i="39"/>
  <c r="D89" i="39"/>
  <c r="B279" i="39"/>
  <c r="H264" i="39"/>
  <c r="L87" i="39"/>
  <c r="F227" i="39"/>
  <c r="D64" i="39"/>
  <c r="C217" i="39"/>
  <c r="K45" i="39"/>
  <c r="G62" i="39"/>
  <c r="D190" i="39"/>
  <c r="F20" i="39"/>
  <c r="F140" i="39"/>
  <c r="I281" i="39"/>
  <c r="I284" i="39"/>
  <c r="F292" i="39"/>
  <c r="D142" i="39"/>
  <c r="E37" i="39"/>
  <c r="G131" i="39"/>
  <c r="I256" i="39"/>
  <c r="F34" i="39"/>
  <c r="E274" i="39"/>
  <c r="O150" i="39"/>
  <c r="B184" i="39"/>
  <c r="F156" i="39"/>
  <c r="N275" i="39"/>
  <c r="I372" i="39"/>
  <c r="H197" i="39"/>
  <c r="F216" i="39"/>
  <c r="D325" i="39"/>
  <c r="I195" i="39"/>
  <c r="E128" i="39"/>
  <c r="I159" i="39"/>
  <c r="D250" i="39"/>
  <c r="D112" i="39"/>
  <c r="C214" i="39"/>
  <c r="E56" i="39"/>
  <c r="I105" i="39"/>
  <c r="G288" i="39"/>
  <c r="N36" i="39"/>
  <c r="G372" i="39"/>
  <c r="D359" i="39"/>
  <c r="O121" i="39"/>
  <c r="K304" i="39"/>
  <c r="D324" i="39"/>
  <c r="B300" i="39"/>
  <c r="D79" i="39"/>
  <c r="E235" i="39"/>
  <c r="N51" i="39"/>
  <c r="H224" i="44"/>
  <c r="G43" i="39"/>
  <c r="M104" i="39"/>
  <c r="K67" i="39"/>
  <c r="F266" i="39"/>
  <c r="G280" i="39"/>
  <c r="C16" i="39"/>
  <c r="E125" i="39"/>
  <c r="E120" i="39"/>
  <c r="E154" i="39"/>
  <c r="E303" i="39"/>
  <c r="I91" i="39"/>
  <c r="B323" i="39"/>
  <c r="B104" i="39"/>
  <c r="F220" i="39"/>
  <c r="F18" i="39"/>
  <c r="G201" i="39"/>
  <c r="C189" i="39"/>
  <c r="I319" i="39"/>
  <c r="D110" i="39"/>
  <c r="E210" i="39"/>
  <c r="C266" i="39"/>
  <c r="I120" i="39"/>
  <c r="M312" i="39"/>
  <c r="B223" i="39"/>
  <c r="K341" i="39"/>
  <c r="F349" i="39"/>
  <c r="D356" i="39"/>
  <c r="G115" i="39"/>
  <c r="E32" i="39"/>
  <c r="F14" i="39"/>
  <c r="E99" i="39"/>
  <c r="E324" i="39"/>
  <c r="D269" i="39"/>
  <c r="G22" i="39"/>
  <c r="C87" i="39"/>
  <c r="D166" i="39"/>
  <c r="K103" i="39"/>
  <c r="O318" i="39"/>
  <c r="B112" i="39"/>
  <c r="D301" i="39"/>
  <c r="M316" i="39"/>
  <c r="E365" i="39"/>
  <c r="D53" i="39"/>
  <c r="F102" i="39"/>
  <c r="G178" i="39"/>
  <c r="F24" i="8"/>
  <c r="H272" i="39"/>
  <c r="M115" i="39"/>
  <c r="F318" i="39"/>
  <c r="O70" i="39"/>
  <c r="O68" i="39"/>
  <c r="G109" i="39"/>
  <c r="G303" i="39"/>
  <c r="D236" i="39"/>
  <c r="I331" i="39"/>
  <c r="D13" i="39"/>
  <c r="E162" i="39"/>
  <c r="F258" i="39"/>
  <c r="D177" i="39"/>
  <c r="F76" i="39"/>
  <c r="D362" i="39"/>
  <c r="E158" i="39"/>
  <c r="F43" i="39"/>
  <c r="D230" i="39"/>
  <c r="I272" i="39"/>
  <c r="F171" i="39"/>
  <c r="G207" i="39"/>
  <c r="E187" i="39"/>
  <c r="E289" i="39"/>
  <c r="G175" i="39"/>
  <c r="M140" i="39"/>
  <c r="N155" i="39"/>
  <c r="N301" i="39"/>
  <c r="D354" i="39"/>
  <c r="I16" i="39"/>
  <c r="E171" i="39"/>
  <c r="G48" i="39"/>
  <c r="E205" i="39"/>
  <c r="E47" i="39"/>
  <c r="D94" i="39"/>
  <c r="E112" i="39"/>
  <c r="E83" i="39"/>
  <c r="F60" i="39"/>
  <c r="O268" i="39"/>
  <c r="D330" i="39"/>
  <c r="M325" i="39"/>
  <c r="D178" i="39"/>
  <c r="E182" i="39"/>
  <c r="N120" i="39"/>
  <c r="I128" i="39"/>
  <c r="E93" i="39"/>
  <c r="D66" i="39"/>
  <c r="G14" i="8"/>
  <c r="O338" i="39"/>
  <c r="O287" i="39"/>
  <c r="D188" i="39"/>
  <c r="M149" i="39"/>
  <c r="D313" i="39"/>
  <c r="K173" i="39"/>
  <c r="G281" i="39"/>
  <c r="I42" i="39"/>
  <c r="B217" i="39"/>
  <c r="K347" i="39"/>
  <c r="G76" i="39"/>
  <c r="D237" i="39"/>
  <c r="E262" i="39"/>
  <c r="I222" i="39"/>
  <c r="D220" i="39"/>
  <c r="G68" i="39"/>
  <c r="G163" i="39"/>
  <c r="D80" i="39"/>
  <c r="D261" i="39"/>
  <c r="G130" i="39"/>
  <c r="B138" i="39"/>
  <c r="D352" i="39"/>
  <c r="F233" i="39"/>
  <c r="I113" i="39"/>
  <c r="I18" i="44"/>
  <c r="F263" i="39"/>
  <c r="B174" i="39"/>
  <c r="D255" i="39"/>
  <c r="N333" i="39"/>
  <c r="G327" i="39"/>
  <c r="M308" i="39"/>
  <c r="F272" i="39"/>
  <c r="M17" i="39"/>
  <c r="G40" i="39"/>
  <c r="N75" i="39"/>
  <c r="L278" i="39"/>
  <c r="N19" i="39"/>
  <c r="F110" i="39"/>
  <c r="G149" i="39"/>
  <c r="N345" i="39"/>
  <c r="M252" i="39"/>
  <c r="G92" i="39"/>
  <c r="E251" i="39"/>
  <c r="D343" i="39"/>
  <c r="I20" i="39"/>
  <c r="E173" i="39"/>
  <c r="K104" i="39"/>
  <c r="E174" i="39"/>
  <c r="E253" i="39"/>
  <c r="E176" i="39"/>
  <c r="C176" i="39"/>
  <c r="B151" i="39"/>
  <c r="K24" i="39"/>
  <c r="I68" i="39"/>
  <c r="G73" i="39"/>
  <c r="F55" i="39"/>
  <c r="D218" i="39"/>
  <c r="I287" i="39"/>
  <c r="I203" i="39"/>
  <c r="G334" i="39"/>
  <c r="O348" i="39"/>
  <c r="D109" i="39"/>
  <c r="F175" i="39"/>
  <c r="E250" i="39"/>
  <c r="I63" i="39"/>
  <c r="D268" i="39"/>
  <c r="D201" i="39"/>
  <c r="K338" i="39"/>
  <c r="I127" i="39"/>
  <c r="G198" i="39"/>
  <c r="I171" i="39"/>
  <c r="M164" i="39"/>
  <c r="D168" i="39"/>
  <c r="I173" i="39"/>
  <c r="M145" i="39"/>
  <c r="M331" i="39"/>
  <c r="I53" i="39"/>
  <c r="G132" i="39"/>
  <c r="E232" i="39"/>
  <c r="K118" i="39"/>
  <c r="F324" i="39"/>
  <c r="E279" i="39"/>
  <c r="N375" i="39"/>
  <c r="I112" i="39"/>
  <c r="D248" i="39"/>
  <c r="O276" i="39"/>
  <c r="N185" i="39"/>
  <c r="D186" i="39"/>
  <c r="I343" i="39"/>
  <c r="G14" i="39"/>
  <c r="D357" i="39"/>
  <c r="G91" i="39"/>
  <c r="O75" i="39"/>
  <c r="D239" i="39"/>
  <c r="G192" i="39"/>
  <c r="I306" i="39"/>
  <c r="O355" i="39"/>
  <c r="F174" i="39"/>
  <c r="L46" i="39"/>
  <c r="I49" i="39"/>
  <c r="D251" i="39"/>
  <c r="E59" i="39"/>
  <c r="G121" i="39"/>
  <c r="F347" i="39"/>
  <c r="G270" i="39"/>
  <c r="G46" i="39"/>
  <c r="D243" i="39"/>
  <c r="N91" i="39"/>
  <c r="F163" i="39"/>
  <c r="D83" i="39"/>
  <c r="O264" i="39"/>
  <c r="D185" i="39"/>
  <c r="G339" i="39"/>
  <c r="I211" i="39"/>
  <c r="M375" i="39"/>
  <c r="M241" i="39"/>
  <c r="I110" i="39"/>
  <c r="F51" i="39"/>
  <c r="E265" i="39"/>
  <c r="M43" i="39"/>
  <c r="E307" i="39"/>
  <c r="E134" i="39"/>
  <c r="K302" i="39"/>
  <c r="D302" i="39"/>
  <c r="I227" i="39"/>
  <c r="I46" i="39"/>
  <c r="D146" i="39"/>
  <c r="K331" i="39"/>
  <c r="I241" i="39"/>
  <c r="I157" i="39"/>
  <c r="I96" i="39"/>
  <c r="D189" i="39"/>
  <c r="E181" i="39"/>
  <c r="I28" i="39"/>
  <c r="G246" i="39"/>
  <c r="G267" i="39"/>
  <c r="G118" i="39"/>
  <c r="G251" i="39"/>
  <c r="E269" i="39"/>
  <c r="E213" i="39"/>
  <c r="N54" i="39"/>
  <c r="E170" i="39"/>
  <c r="E39" i="39"/>
  <c r="O279" i="39"/>
  <c r="C262" i="39"/>
  <c r="O296" i="39"/>
  <c r="D29" i="39"/>
  <c r="E256" i="39"/>
  <c r="G375" i="39"/>
  <c r="G11" i="39"/>
  <c r="N322" i="39"/>
  <c r="M205" i="39"/>
  <c r="I134" i="39"/>
  <c r="G147" i="39"/>
  <c r="K179" i="39"/>
  <c r="O272" i="39"/>
  <c r="I124" i="39"/>
  <c r="E321" i="39"/>
  <c r="K111" i="39"/>
  <c r="F42" i="39"/>
  <c r="E209" i="39"/>
  <c r="M224" i="39"/>
  <c r="E343" i="39"/>
  <c r="N76" i="39"/>
  <c r="O26" i="39"/>
  <c r="N93" i="39"/>
  <c r="G223" i="39"/>
  <c r="E351" i="39"/>
  <c r="E49" i="39"/>
  <c r="M117" i="39"/>
  <c r="F374" i="39"/>
  <c r="B286" i="39"/>
  <c r="M16" i="39"/>
  <c r="I268" i="39"/>
  <c r="E153" i="39"/>
  <c r="G287" i="39"/>
  <c r="G291" i="39"/>
  <c r="E156" i="39"/>
  <c r="F187" i="39"/>
  <c r="C95" i="39"/>
  <c r="I301" i="39"/>
  <c r="I365" i="39"/>
  <c r="I324" i="39"/>
  <c r="O356" i="39"/>
  <c r="K374" i="39"/>
  <c r="G144" i="39"/>
  <c r="M78" i="39"/>
  <c r="M354" i="39"/>
  <c r="M251" i="39"/>
  <c r="H26" i="39"/>
  <c r="D108" i="39"/>
  <c r="F78" i="39"/>
  <c r="G340" i="39"/>
  <c r="F40" i="39"/>
  <c r="D165" i="39"/>
  <c r="E356" i="39"/>
  <c r="I323" i="39"/>
  <c r="D129" i="39"/>
  <c r="D363" i="39"/>
  <c r="I48" i="39"/>
  <c r="K194" i="39"/>
  <c r="D171" i="39"/>
  <c r="N219" i="39"/>
  <c r="I333" i="39"/>
  <c r="F280" i="39"/>
  <c r="E190" i="39"/>
  <c r="I146" i="39"/>
  <c r="D238" i="39"/>
  <c r="I232" i="39"/>
  <c r="D16" i="39"/>
  <c r="O130" i="39"/>
  <c r="D82" i="39"/>
  <c r="I346" i="39"/>
  <c r="I126" i="39"/>
  <c r="H227" i="39"/>
  <c r="E337" i="39"/>
  <c r="D182" i="39"/>
  <c r="I294" i="39"/>
  <c r="I297" i="39"/>
  <c r="D19" i="39"/>
  <c r="D181" i="39"/>
  <c r="F170" i="39"/>
  <c r="D43" i="39"/>
  <c r="E163" i="39"/>
  <c r="D306" i="39"/>
  <c r="G349" i="39"/>
  <c r="M173" i="39"/>
  <c r="M187" i="39"/>
  <c r="M15" i="39"/>
  <c r="G352" i="39"/>
  <c r="E139" i="39"/>
  <c r="O179" i="39"/>
  <c r="F315" i="39"/>
  <c r="E102" i="39"/>
  <c r="C336" i="39"/>
  <c r="F365" i="39"/>
  <c r="E42" i="39"/>
  <c r="E97" i="39"/>
  <c r="F209" i="39"/>
  <c r="D139" i="39"/>
  <c r="C41" i="39"/>
  <c r="N146" i="39"/>
  <c r="O212" i="39"/>
  <c r="I170" i="39"/>
  <c r="D327" i="39"/>
  <c r="F73" i="39"/>
  <c r="K348" i="39"/>
  <c r="I163" i="39"/>
  <c r="M198" i="39"/>
  <c r="D140" i="39"/>
  <c r="E236" i="39"/>
  <c r="I341" i="39"/>
  <c r="E311" i="39"/>
  <c r="B271" i="39"/>
  <c r="F180" i="39"/>
  <c r="M55" i="39"/>
  <c r="I119" i="39"/>
  <c r="D122" i="39"/>
  <c r="F261" i="39"/>
  <c r="O162" i="39"/>
  <c r="G34" i="39"/>
  <c r="O85" i="39"/>
  <c r="D38" i="39"/>
  <c r="D63" i="39"/>
  <c r="F269" i="39"/>
  <c r="E259" i="39"/>
  <c r="E246" i="39"/>
  <c r="F91" i="39"/>
  <c r="D173" i="39"/>
  <c r="I38" i="39"/>
  <c r="F278" i="39"/>
  <c r="F351" i="39"/>
  <c r="I228" i="39"/>
  <c r="K340" i="39"/>
  <c r="G54" i="39"/>
  <c r="I31" i="39"/>
  <c r="E230" i="39"/>
  <c r="F151" i="39"/>
  <c r="G365" i="39"/>
  <c r="M292" i="39"/>
  <c r="O278" i="39"/>
  <c r="G116" i="39"/>
  <c r="G244" i="39"/>
  <c r="D152" i="39"/>
  <c r="M333" i="39"/>
  <c r="N353" i="39"/>
  <c r="F346" i="39"/>
  <c r="O95" i="39"/>
  <c r="C24" i="8"/>
  <c r="G305" i="39"/>
  <c r="L298" i="39"/>
  <c r="O222" i="39"/>
  <c r="G88" i="39"/>
  <c r="E58" i="39"/>
  <c r="D348" i="39"/>
  <c r="G8" i="8"/>
  <c r="D121" i="39"/>
  <c r="D351" i="39"/>
  <c r="F200" i="39"/>
  <c r="E333" i="39"/>
  <c r="F189" i="39"/>
  <c r="D285" i="39"/>
  <c r="F169" i="39"/>
  <c r="F356" i="39"/>
  <c r="D360" i="39"/>
  <c r="D345" i="39"/>
  <c r="D92" i="39"/>
  <c r="B343" i="39"/>
  <c r="F118" i="39"/>
  <c r="O295" i="39"/>
  <c r="C158" i="39"/>
  <c r="D111" i="39"/>
  <c r="E373" i="39"/>
  <c r="O97" i="39"/>
  <c r="E261" i="39"/>
  <c r="E48" i="39"/>
  <c r="I244" i="39"/>
  <c r="E344" i="39"/>
  <c r="G101" i="39"/>
  <c r="F75" i="39"/>
  <c r="F138" i="39"/>
  <c r="J25" i="8"/>
  <c r="K285" i="39"/>
  <c r="D88" i="39"/>
  <c r="E323" i="39"/>
  <c r="F372" i="39"/>
  <c r="I54" i="39"/>
  <c r="I347" i="39"/>
  <c r="M336" i="39"/>
  <c r="E126" i="39"/>
  <c r="D25" i="39"/>
  <c r="E193" i="39"/>
  <c r="I166" i="39"/>
  <c r="G69" i="39"/>
  <c r="K277" i="39"/>
  <c r="G346" i="39"/>
  <c r="G331" i="39"/>
  <c r="D33" i="39"/>
  <c r="I59" i="39"/>
  <c r="D344" i="39"/>
  <c r="K81" i="39"/>
  <c r="F104" i="39"/>
  <c r="D25" i="8"/>
  <c r="B367" i="39"/>
  <c r="D277" i="39"/>
  <c r="E227" i="39"/>
  <c r="I167" i="39"/>
  <c r="B232" i="39"/>
  <c r="M163" i="39"/>
  <c r="I221" i="39"/>
  <c r="D198" i="39"/>
  <c r="G16" i="39"/>
  <c r="E200" i="39"/>
  <c r="N114" i="39"/>
  <c r="G262" i="39"/>
  <c r="G301" i="39"/>
  <c r="D349" i="39"/>
  <c r="F137" i="39"/>
  <c r="F67" i="39"/>
  <c r="I172" i="39"/>
  <c r="E191" i="39"/>
  <c r="F158" i="39"/>
  <c r="N78" i="39"/>
  <c r="E188" i="39"/>
  <c r="N187" i="39"/>
  <c r="D370" i="39"/>
  <c r="D314" i="39"/>
  <c r="D335" i="39"/>
  <c r="E357" i="39"/>
  <c r="D27" i="39"/>
  <c r="G154" i="39"/>
  <c r="M235" i="39"/>
  <c r="G263" i="39"/>
  <c r="I226" i="39"/>
  <c r="K170" i="39"/>
  <c r="E168" i="39"/>
  <c r="K274" i="39"/>
  <c r="D317" i="39"/>
  <c r="N106" i="39"/>
  <c r="H276" i="39"/>
  <c r="K222" i="39"/>
  <c r="E320" i="39"/>
  <c r="G20" i="39"/>
  <c r="I257" i="39"/>
  <c r="G70" i="39"/>
  <c r="D204" i="39"/>
  <c r="F149" i="39"/>
  <c r="M169" i="39"/>
  <c r="M282" i="39"/>
  <c r="F87" i="39"/>
  <c r="C362" i="39"/>
  <c r="N312" i="39"/>
  <c r="I47" i="39"/>
  <c r="I317" i="39"/>
  <c r="D87" i="39"/>
  <c r="E294" i="39"/>
  <c r="O246" i="39"/>
  <c r="G58" i="39"/>
  <c r="F52" i="39"/>
  <c r="D124" i="39"/>
  <c r="K293" i="39"/>
  <c r="E129" i="39"/>
  <c r="F161" i="39"/>
  <c r="K169" i="39"/>
  <c r="N24" i="39"/>
  <c r="E370" i="39"/>
  <c r="D334" i="39"/>
  <c r="N302" i="39"/>
  <c r="D145" i="39"/>
  <c r="F230" i="39"/>
  <c r="I117" i="39"/>
  <c r="E214" i="39"/>
  <c r="G311" i="39"/>
  <c r="F213" i="39"/>
  <c r="C337" i="39"/>
  <c r="I27" i="39"/>
  <c r="F301" i="39"/>
  <c r="D26" i="39"/>
  <c r="E345" i="39"/>
  <c r="I74" i="39"/>
  <c r="C35" i="8" l="1"/>
  <c r="E14" i="51" s="1"/>
  <c r="F35" i="8"/>
  <c r="G14" i="51" s="1"/>
  <c r="I35" i="8"/>
  <c r="I14" i="51" s="1"/>
  <c r="J35" i="8"/>
  <c r="J14" i="51" s="1"/>
  <c r="D35" i="8"/>
  <c r="F14" i="51" s="1"/>
  <c r="K35" i="8"/>
  <c r="K14" i="51" s="1"/>
  <c r="D101" i="12"/>
  <c r="D104" i="12" s="1"/>
  <c r="C104" i="12"/>
  <c r="H10" i="49"/>
  <c r="I10" i="49"/>
  <c r="J10" i="49"/>
  <c r="K10" i="49"/>
  <c r="G10" i="49"/>
  <c r="V375" i="43"/>
  <c r="W375" i="43"/>
  <c r="Y10" i="43"/>
  <c r="X10" i="43"/>
  <c r="W10" i="43"/>
  <c r="V10" i="43"/>
  <c r="U10" i="43"/>
  <c r="T10" i="43"/>
  <c r="S10" i="43"/>
  <c r="R10" i="43"/>
  <c r="Q10" i="43"/>
  <c r="V376" i="43"/>
  <c r="W376" i="43"/>
  <c r="C36" i="8" l="1"/>
  <c r="E15" i="51" s="1"/>
  <c r="B5" i="8"/>
  <c r="BS201" i="38"/>
  <c r="BS277" i="38"/>
  <c r="BS343" i="38"/>
  <c r="BS104" i="38"/>
  <c r="BS342" i="38"/>
  <c r="BS39" i="38"/>
  <c r="BS164" i="38"/>
  <c r="BS74" i="38"/>
  <c r="BS84" i="38"/>
  <c r="BS58" i="38"/>
  <c r="BS76" i="38"/>
  <c r="BS231" i="38"/>
  <c r="BS125" i="38"/>
  <c r="BS304" i="38"/>
  <c r="BS248" i="38"/>
  <c r="BS316" i="38"/>
  <c r="BS367" i="38"/>
  <c r="BS34" i="38"/>
  <c r="BS45" i="38"/>
  <c r="BS287" i="38"/>
  <c r="BS155" i="38"/>
  <c r="BS366" i="38"/>
  <c r="BS95" i="38"/>
  <c r="BS175" i="38"/>
  <c r="BS153" i="38"/>
  <c r="BS99" i="38"/>
  <c r="BS193" i="38"/>
  <c r="BS46" i="38"/>
  <c r="BS156" i="38"/>
  <c r="BS335" i="38"/>
  <c r="BS232" i="38"/>
  <c r="BS38" i="38"/>
  <c r="BS16" i="38"/>
  <c r="BS333" i="38"/>
  <c r="BS22" i="38"/>
  <c r="BS368" i="38"/>
  <c r="BS318" i="38"/>
  <c r="BS83" i="38"/>
  <c r="BS208" i="38"/>
  <c r="BS111" i="38"/>
  <c r="BS280" i="38"/>
  <c r="BS25" i="38"/>
  <c r="BS188" i="38"/>
  <c r="BS226" i="38"/>
  <c r="BS180" i="38"/>
  <c r="BS241" i="38"/>
  <c r="BS282" i="38"/>
  <c r="BS167" i="38"/>
  <c r="BS113" i="38"/>
  <c r="BS295" i="38"/>
  <c r="BS261" i="38"/>
  <c r="BS296" i="38"/>
  <c r="BS68" i="38"/>
  <c r="BS309" i="38"/>
  <c r="BS251" i="38"/>
  <c r="BS311" i="38"/>
  <c r="BS199" i="38"/>
  <c r="BS67" i="38"/>
  <c r="BS257" i="38"/>
  <c r="BS209" i="38"/>
  <c r="BS219" i="38"/>
  <c r="BS256" i="38"/>
  <c r="BS133" i="38"/>
  <c r="BS245" i="38"/>
  <c r="BS331" i="38"/>
  <c r="BS127" i="38"/>
  <c r="BS359" i="38"/>
  <c r="BS149" i="38"/>
  <c r="BS269" i="38"/>
  <c r="BS143" i="38"/>
  <c r="BS260" i="38"/>
  <c r="BS195" i="38"/>
  <c r="BS69" i="38"/>
  <c r="BS102" i="38"/>
  <c r="BS322" i="38"/>
  <c r="BS198" i="38"/>
  <c r="BS229" i="38"/>
  <c r="BS30" i="38"/>
  <c r="BS110" i="38"/>
  <c r="BS217" i="38"/>
  <c r="BS92" i="38"/>
  <c r="BS163" i="38"/>
  <c r="BS358" i="38"/>
  <c r="BS19" i="38"/>
  <c r="BS17" i="38"/>
  <c r="BS344" i="38"/>
  <c r="BS276" i="38"/>
  <c r="BS292" i="38"/>
  <c r="BS216" i="38"/>
  <c r="BS221" i="38"/>
  <c r="BS356" i="38"/>
  <c r="BS349" i="38"/>
  <c r="BS141" i="38"/>
  <c r="BS158" i="38"/>
  <c r="BS108" i="38"/>
  <c r="BS299" i="38"/>
  <c r="BS152" i="38"/>
  <c r="BS182" i="38"/>
  <c r="BS306" i="38"/>
  <c r="BS205" i="38"/>
  <c r="BS137" i="38"/>
  <c r="BS129" i="38"/>
  <c r="BS151" i="38"/>
  <c r="BS120" i="38"/>
  <c r="BS106" i="38"/>
  <c r="BS244" i="38"/>
  <c r="BS357" i="38"/>
  <c r="BS212" i="38"/>
  <c r="BS185" i="38"/>
  <c r="BS160" i="38"/>
  <c r="BS326" i="38"/>
  <c r="BS116" i="38"/>
  <c r="BS258" i="38"/>
  <c r="BS365" i="38"/>
  <c r="BS363" i="38"/>
  <c r="BS41" i="38"/>
  <c r="BS124" i="38"/>
  <c r="BS351" i="38"/>
  <c r="BS285" i="38"/>
  <c r="BS169" i="38"/>
  <c r="BS253" i="38"/>
  <c r="BS157" i="38"/>
  <c r="BS13" i="38"/>
  <c r="BS262" i="38"/>
  <c r="BS284" i="38"/>
  <c r="BS96" i="38"/>
  <c r="BS202" i="38"/>
  <c r="BS369" i="38"/>
  <c r="BS271" i="38"/>
  <c r="BS52" i="38"/>
  <c r="BS165" i="38"/>
  <c r="BS60" i="38"/>
  <c r="BS70" i="38"/>
  <c r="BS184" i="38"/>
  <c r="BS36" i="38"/>
  <c r="BS42" i="38"/>
  <c r="BS274" i="38"/>
  <c r="BS192" i="38"/>
  <c r="BS325" i="38"/>
  <c r="BS147" i="38"/>
  <c r="BS204" i="38"/>
  <c r="BS191" i="38"/>
  <c r="BS144" i="38"/>
  <c r="BS93" i="38"/>
  <c r="BS334" i="38"/>
  <c r="BS327" i="38"/>
  <c r="BS283" i="38"/>
  <c r="BS376" i="38"/>
  <c r="BS183" i="38"/>
  <c r="BS228" i="38"/>
  <c r="BS159" i="38"/>
  <c r="BS371" i="38"/>
  <c r="BS197" i="38"/>
  <c r="BS15" i="38"/>
  <c r="BS82" i="38"/>
  <c r="BS24" i="38"/>
  <c r="BS236" i="38"/>
  <c r="BS179" i="38"/>
  <c r="BS89" i="38"/>
  <c r="BS101" i="38"/>
  <c r="BS214" i="38"/>
  <c r="BS171" i="38"/>
  <c r="BS139" i="38"/>
  <c r="BS90" i="38"/>
  <c r="BS352" i="38"/>
  <c r="BS338" i="38"/>
  <c r="BS234" i="38"/>
  <c r="BS53" i="38"/>
  <c r="BS329" i="38"/>
  <c r="BS66" i="38"/>
  <c r="BS88" i="38"/>
  <c r="BS132" i="38"/>
  <c r="BS235" i="38"/>
  <c r="BS75" i="38"/>
  <c r="BS273" i="38"/>
  <c r="BS107" i="38"/>
  <c r="BS57" i="38"/>
  <c r="BS119" i="38"/>
  <c r="BS26" i="38"/>
  <c r="BS324" i="38"/>
  <c r="BS181" i="38"/>
  <c r="BS118" i="38"/>
  <c r="BS203" i="38"/>
  <c r="BS85" i="38"/>
  <c r="BS103" i="38"/>
  <c r="BS330" i="38"/>
  <c r="BS373" i="38"/>
  <c r="BS310" i="38"/>
  <c r="BS174" i="38"/>
  <c r="BS187" i="38"/>
  <c r="BS210" i="38"/>
  <c r="BS348" i="38"/>
  <c r="BS50" i="38"/>
  <c r="BS194" i="38"/>
  <c r="BS21" i="38"/>
  <c r="BS337" i="38"/>
  <c r="BS266" i="38"/>
  <c r="BS105" i="38"/>
  <c r="BS347" i="38"/>
  <c r="BS207" i="38"/>
  <c r="BS263" i="38"/>
  <c r="BS246" i="38"/>
  <c r="BS49" i="38"/>
  <c r="BS286" i="38"/>
  <c r="BS298" i="38"/>
  <c r="BS341" i="38"/>
  <c r="BS227" i="38"/>
  <c r="BS100" i="38"/>
  <c r="BS123" i="38"/>
  <c r="BS233" i="38"/>
  <c r="BS250" i="38"/>
  <c r="BS372" i="38"/>
  <c r="BS328" i="38"/>
  <c r="BS242" i="38"/>
  <c r="BS29" i="38"/>
  <c r="BS293" i="38"/>
  <c r="BS323" i="38"/>
  <c r="BS265" i="38"/>
  <c r="BS31" i="38"/>
  <c r="BS77" i="38"/>
  <c r="BS79" i="38"/>
  <c r="BS243" i="38"/>
  <c r="BS170" i="38"/>
  <c r="BS148" i="38"/>
  <c r="BS14" i="38"/>
  <c r="BS215" i="38"/>
  <c r="BS275" i="38"/>
  <c r="BS196" i="38"/>
  <c r="BS220" i="38"/>
  <c r="BS72" i="38"/>
  <c r="BS224" i="38"/>
  <c r="BS65" i="38"/>
  <c r="BS317" i="38"/>
  <c r="BS150" i="38"/>
  <c r="BS303" i="38"/>
  <c r="BS350" i="38"/>
  <c r="BS11" i="38"/>
  <c r="BS62" i="38"/>
  <c r="BS238" i="38"/>
  <c r="BS294" i="38"/>
  <c r="BS239" i="38"/>
  <c r="BS56" i="38"/>
  <c r="BS138" i="38"/>
  <c r="BS146" i="38"/>
  <c r="BS140" i="38"/>
  <c r="BS135" i="38"/>
  <c r="BS172" i="38"/>
  <c r="BS206" i="38"/>
  <c r="BS259" i="38"/>
  <c r="BS308" i="38"/>
  <c r="BS44" i="38"/>
  <c r="BS117" i="38"/>
  <c r="BS340" i="38"/>
  <c r="BS73" i="38"/>
  <c r="BS313" i="38"/>
  <c r="BS300" i="38"/>
  <c r="BS115" i="38"/>
  <c r="BS237" i="38"/>
  <c r="BS35" i="38"/>
  <c r="BS64" i="38"/>
  <c r="BS254" i="38"/>
  <c r="BS86" i="38"/>
  <c r="BS166" i="38"/>
  <c r="BS361" i="38"/>
  <c r="BS32" i="38"/>
  <c r="BS230" i="38"/>
  <c r="BS78" i="38"/>
  <c r="BS354" i="38"/>
  <c r="BS121" i="38"/>
  <c r="BS91" i="38"/>
  <c r="BS80" i="38"/>
  <c r="BS225" i="38"/>
  <c r="BS346" i="38"/>
  <c r="BS177" i="38"/>
  <c r="BS134" i="38"/>
  <c r="BS87" i="38"/>
  <c r="BS190" i="38"/>
  <c r="BS97" i="38"/>
  <c r="BS218" i="38"/>
  <c r="BS240" i="38"/>
  <c r="BS189" i="38"/>
  <c r="BS23" i="38"/>
  <c r="BS126" i="38"/>
  <c r="BS63" i="38"/>
  <c r="BS222" i="38"/>
  <c r="BS353" i="38"/>
  <c r="BS20" i="38"/>
  <c r="BS297" i="38"/>
  <c r="BS320" i="38"/>
  <c r="BS362" i="38"/>
  <c r="BS161" i="38"/>
  <c r="BS55" i="38"/>
  <c r="BS176" i="38"/>
  <c r="BS272" i="38"/>
  <c r="BS314" i="38"/>
  <c r="BS28" i="38"/>
  <c r="BS370" i="38"/>
  <c r="BS321" i="38"/>
  <c r="BS48" i="38"/>
  <c r="BS12" i="38"/>
  <c r="BS131" i="38"/>
  <c r="BS98" i="38"/>
  <c r="BS290" i="38"/>
  <c r="BS360" i="38"/>
  <c r="BS291" i="38"/>
  <c r="BS332" i="38"/>
  <c r="BS173" i="38"/>
  <c r="BS112" i="38"/>
  <c r="BS178" i="38"/>
  <c r="BS61" i="38"/>
  <c r="BS279" i="38"/>
  <c r="BS27" i="38"/>
  <c r="BS319" i="38"/>
  <c r="BS109" i="38"/>
  <c r="BS154" i="38"/>
  <c r="BS71" i="38"/>
  <c r="BS267" i="38"/>
  <c r="BS336" i="38"/>
  <c r="BS213" i="38"/>
  <c r="BS301" i="38"/>
  <c r="BS168" i="38"/>
  <c r="BS136" i="38"/>
  <c r="BS51" i="38"/>
  <c r="BS47" i="38"/>
  <c r="BS289" i="38"/>
  <c r="BS249" i="38"/>
  <c r="BS54" i="38"/>
  <c r="BS94" i="38"/>
  <c r="BS40" i="38"/>
  <c r="BS268" i="38"/>
  <c r="BS130" i="38"/>
  <c r="BS312" i="38"/>
  <c r="BS247" i="38"/>
  <c r="BS255" i="38"/>
  <c r="BS315" i="38"/>
  <c r="BS128" i="38"/>
  <c r="BS278" i="38"/>
  <c r="BS364" i="38"/>
  <c r="BS122" i="38"/>
  <c r="BS81" i="38"/>
  <c r="BS43" i="38"/>
  <c r="BS142" i="38"/>
  <c r="BS114" i="38"/>
  <c r="BS339" i="38"/>
  <c r="BS270" i="38"/>
  <c r="BS281" i="38"/>
  <c r="BS37" i="38"/>
  <c r="BS186" i="38"/>
  <c r="BS355" i="38"/>
  <c r="BS305" i="38"/>
  <c r="BS288" i="38"/>
  <c r="BS223" i="38"/>
  <c r="BS252" i="38"/>
  <c r="BS18" i="38"/>
  <c r="BS33" i="38"/>
  <c r="BS200" i="38"/>
  <c r="BS211" i="38"/>
  <c r="BS145" i="38"/>
  <c r="BS264" i="38"/>
  <c r="BS375" i="38"/>
  <c r="BS345" i="38"/>
  <c r="BS302" i="38"/>
  <c r="BS162" i="38"/>
  <c r="BS307" i="38"/>
  <c r="BS59" i="38"/>
  <c r="BS374" i="38"/>
  <c r="G35" i="8" l="1"/>
  <c r="H14" i="51" s="1"/>
  <c r="B26" i="8"/>
  <c r="C54" i="41" l="1"/>
  <c r="A3" i="15"/>
  <c r="A5" i="15"/>
  <c r="B5" i="15"/>
  <c r="C5" i="15"/>
  <c r="A6" i="15"/>
  <c r="A7" i="15"/>
  <c r="C7" i="15"/>
  <c r="A8" i="15"/>
  <c r="A9" i="15"/>
  <c r="B9" i="15"/>
  <c r="A10" i="15"/>
  <c r="C12" i="15"/>
  <c r="A15" i="15"/>
  <c r="C15" i="15"/>
  <c r="A16" i="15"/>
  <c r="A17" i="15"/>
  <c r="A18" i="15"/>
  <c r="A19" i="15"/>
  <c r="A20" i="15"/>
  <c r="A21" i="15"/>
  <c r="C9" i="15" l="1"/>
  <c r="J9" i="42"/>
  <c r="K9" i="42"/>
  <c r="C81" i="41" l="1"/>
  <c r="K11" i="45"/>
  <c r="C80" i="41" s="1"/>
  <c r="E380" i="4"/>
  <c r="F380" i="4"/>
  <c r="G380" i="4"/>
  <c r="H380" i="4"/>
  <c r="I380" i="4"/>
  <c r="J380" i="4"/>
  <c r="K380" i="4"/>
  <c r="L380" i="4"/>
  <c r="M380" i="4"/>
  <c r="N380" i="4"/>
  <c r="O380" i="4"/>
  <c r="P380" i="4"/>
  <c r="Q380" i="4"/>
  <c r="R380" i="4"/>
  <c r="S380" i="4"/>
  <c r="T380" i="4"/>
  <c r="U380" i="4"/>
  <c r="V380" i="4"/>
  <c r="W380" i="4"/>
  <c r="X380" i="4"/>
  <c r="Y380" i="4"/>
  <c r="Z380" i="4"/>
  <c r="AA380" i="4"/>
  <c r="AC380" i="4"/>
  <c r="AD380" i="4"/>
  <c r="AE380" i="4"/>
  <c r="AF380" i="4"/>
  <c r="AG380" i="4"/>
  <c r="AH380" i="4"/>
  <c r="AI380" i="4"/>
  <c r="AJ380" i="4"/>
  <c r="AK380" i="4"/>
  <c r="AL380" i="4"/>
  <c r="AM380" i="4"/>
  <c r="AN380" i="4"/>
  <c r="AO380" i="4"/>
  <c r="AP380" i="4"/>
  <c r="AQ380" i="4"/>
  <c r="E381" i="4"/>
  <c r="F381" i="4"/>
  <c r="G381" i="4"/>
  <c r="H381" i="4"/>
  <c r="I381" i="4"/>
  <c r="J381" i="4"/>
  <c r="K381" i="4"/>
  <c r="L381" i="4"/>
  <c r="M381" i="4"/>
  <c r="N381" i="4"/>
  <c r="O381" i="4"/>
  <c r="P381" i="4"/>
  <c r="Q381" i="4"/>
  <c r="R381" i="4"/>
  <c r="S381" i="4"/>
  <c r="T381" i="4"/>
  <c r="U381" i="4"/>
  <c r="V381" i="4"/>
  <c r="W381" i="4"/>
  <c r="X381" i="4"/>
  <c r="Y381" i="4"/>
  <c r="Z381" i="4"/>
  <c r="AA381" i="4"/>
  <c r="AC381" i="4"/>
  <c r="AD381" i="4"/>
  <c r="AE381" i="4"/>
  <c r="AF381" i="4"/>
  <c r="AG381" i="4"/>
  <c r="AH381" i="4"/>
  <c r="AI381" i="4"/>
  <c r="AJ381" i="4"/>
  <c r="AK381" i="4"/>
  <c r="AL381" i="4"/>
  <c r="AM381" i="4"/>
  <c r="AN381" i="4"/>
  <c r="AO381" i="4"/>
  <c r="AP381" i="4"/>
  <c r="AQ381" i="4"/>
  <c r="F382" i="4"/>
  <c r="H382" i="4"/>
  <c r="I382" i="4"/>
  <c r="J382" i="4"/>
  <c r="K382" i="4"/>
  <c r="L382" i="4"/>
  <c r="M382" i="4"/>
  <c r="N382" i="4"/>
  <c r="O382" i="4"/>
  <c r="P382" i="4"/>
  <c r="Q382" i="4"/>
  <c r="R382" i="4"/>
  <c r="S382" i="4"/>
  <c r="T382" i="4"/>
  <c r="U382" i="4"/>
  <c r="V382" i="4"/>
  <c r="W382" i="4"/>
  <c r="X382" i="4"/>
  <c r="Y382" i="4"/>
  <c r="Z382" i="4"/>
  <c r="AA382" i="4"/>
  <c r="AC382" i="4"/>
  <c r="AD382" i="4"/>
  <c r="AE382" i="4"/>
  <c r="AF382" i="4"/>
  <c r="AG382" i="4"/>
  <c r="AH382" i="4"/>
  <c r="AI382" i="4"/>
  <c r="AJ382" i="4"/>
  <c r="AK382" i="4"/>
  <c r="AL382" i="4"/>
  <c r="AM382" i="4"/>
  <c r="I67" i="41" s="1"/>
  <c r="H74" i="41" s="1"/>
  <c r="AN382" i="4"/>
  <c r="AO382" i="4"/>
  <c r="AP382" i="4"/>
  <c r="AQ382" i="4"/>
  <c r="E383" i="4"/>
  <c r="F383" i="4"/>
  <c r="L29" i="8" s="1"/>
  <c r="L31" i="8" s="1"/>
  <c r="L9" i="51" s="1"/>
  <c r="G383" i="4"/>
  <c r="H383" i="4"/>
  <c r="L30" i="8" s="1"/>
  <c r="L32" i="8" s="1"/>
  <c r="I383" i="4"/>
  <c r="J383" i="4"/>
  <c r="K383" i="4"/>
  <c r="L383" i="4"/>
  <c r="M383" i="4"/>
  <c r="N383" i="4"/>
  <c r="O383" i="4"/>
  <c r="P383" i="4"/>
  <c r="Q383" i="4"/>
  <c r="R383" i="4"/>
  <c r="S383" i="4"/>
  <c r="T383" i="4"/>
  <c r="U383" i="4"/>
  <c r="V383" i="4"/>
  <c r="W383" i="4"/>
  <c r="X383" i="4"/>
  <c r="Y383" i="4"/>
  <c r="Z383" i="4"/>
  <c r="AA383" i="4"/>
  <c r="AC383" i="4"/>
  <c r="AD383" i="4"/>
  <c r="AE383" i="4"/>
  <c r="AF383" i="4"/>
  <c r="AG383" i="4"/>
  <c r="AH383" i="4"/>
  <c r="AI383" i="4"/>
  <c r="AJ383" i="4"/>
  <c r="AK383" i="4"/>
  <c r="AL383" i="4"/>
  <c r="AM383" i="4"/>
  <c r="AN383" i="4"/>
  <c r="AO383" i="4"/>
  <c r="AP383" i="4"/>
  <c r="AQ383" i="4"/>
  <c r="E384" i="4"/>
  <c r="F384" i="4"/>
  <c r="G384" i="4"/>
  <c r="H384" i="4"/>
  <c r="I384" i="4"/>
  <c r="J384" i="4"/>
  <c r="K384" i="4"/>
  <c r="L384" i="4"/>
  <c r="M384" i="4"/>
  <c r="N384" i="4"/>
  <c r="O384" i="4"/>
  <c r="P384" i="4"/>
  <c r="Q384" i="4"/>
  <c r="R384" i="4"/>
  <c r="S384" i="4"/>
  <c r="T384" i="4"/>
  <c r="U384" i="4"/>
  <c r="V384" i="4"/>
  <c r="W384" i="4"/>
  <c r="X384" i="4"/>
  <c r="Y384" i="4"/>
  <c r="Z384" i="4"/>
  <c r="E85" i="41" s="1"/>
  <c r="C85" i="41" s="1"/>
  <c r="AA384" i="4"/>
  <c r="AC384" i="4"/>
  <c r="AD384" i="4"/>
  <c r="AE384" i="4"/>
  <c r="AF384" i="4"/>
  <c r="L14" i="14" s="1"/>
  <c r="AG384" i="4"/>
  <c r="AH384" i="4"/>
  <c r="L15" i="14" s="1"/>
  <c r="AI384" i="4"/>
  <c r="AJ384" i="4"/>
  <c r="AK384" i="4"/>
  <c r="C107" i="41" s="1"/>
  <c r="AL384" i="4"/>
  <c r="AM384" i="4"/>
  <c r="C95" i="41" s="1"/>
  <c r="AN384" i="4"/>
  <c r="C108" i="41" s="1"/>
  <c r="AO384" i="4"/>
  <c r="C109" i="41" s="1"/>
  <c r="AP384" i="4"/>
  <c r="AQ384" i="4"/>
  <c r="E385" i="4"/>
  <c r="F385" i="4"/>
  <c r="G385" i="4"/>
  <c r="H385" i="4"/>
  <c r="I385" i="4"/>
  <c r="J385" i="4"/>
  <c r="K385" i="4"/>
  <c r="L385" i="4"/>
  <c r="M385" i="4"/>
  <c r="N385" i="4"/>
  <c r="O385" i="4"/>
  <c r="P385" i="4"/>
  <c r="Q385" i="4"/>
  <c r="R385" i="4"/>
  <c r="S385" i="4"/>
  <c r="T385" i="4"/>
  <c r="U385" i="4"/>
  <c r="V385" i="4"/>
  <c r="W385" i="4"/>
  <c r="X385" i="4"/>
  <c r="Y385" i="4"/>
  <c r="Z385" i="4"/>
  <c r="AA385" i="4"/>
  <c r="AC385" i="4"/>
  <c r="AD385" i="4"/>
  <c r="AE385" i="4"/>
  <c r="AF385" i="4"/>
  <c r="AG385" i="4"/>
  <c r="AH385" i="4"/>
  <c r="AI385" i="4"/>
  <c r="AJ385" i="4"/>
  <c r="AK385" i="4"/>
  <c r="AL385" i="4"/>
  <c r="AM385" i="4"/>
  <c r="AN385" i="4"/>
  <c r="AO385" i="4"/>
  <c r="AP385" i="4"/>
  <c r="AQ385" i="4"/>
  <c r="E386" i="4"/>
  <c r="F386" i="4"/>
  <c r="G386" i="4"/>
  <c r="H386" i="4"/>
  <c r="I386" i="4"/>
  <c r="J386" i="4"/>
  <c r="K386" i="4"/>
  <c r="L386" i="4"/>
  <c r="M386" i="4"/>
  <c r="N386" i="4"/>
  <c r="O386" i="4"/>
  <c r="P386" i="4"/>
  <c r="Q386" i="4"/>
  <c r="R386" i="4"/>
  <c r="S386" i="4"/>
  <c r="T386" i="4"/>
  <c r="U386" i="4"/>
  <c r="V386" i="4"/>
  <c r="W386" i="4"/>
  <c r="X386" i="4"/>
  <c r="Y386" i="4"/>
  <c r="Z386" i="4"/>
  <c r="AA386" i="4"/>
  <c r="AC386" i="4"/>
  <c r="AD386" i="4"/>
  <c r="AE386" i="4"/>
  <c r="AF386" i="4"/>
  <c r="AG386" i="4"/>
  <c r="AH386" i="4"/>
  <c r="AI386" i="4"/>
  <c r="AJ386" i="4"/>
  <c r="AK386" i="4"/>
  <c r="AL386" i="4"/>
  <c r="AM386" i="4"/>
  <c r="AN386" i="4"/>
  <c r="AO386" i="4"/>
  <c r="AP386" i="4"/>
  <c r="AQ386" i="4"/>
  <c r="E387" i="4"/>
  <c r="F387" i="4"/>
  <c r="G387" i="4"/>
  <c r="H387" i="4"/>
  <c r="I387" i="4"/>
  <c r="J387" i="4"/>
  <c r="K387" i="4"/>
  <c r="L387" i="4"/>
  <c r="M387" i="4"/>
  <c r="N387" i="4"/>
  <c r="O387" i="4"/>
  <c r="P387" i="4"/>
  <c r="Q387" i="4"/>
  <c r="R387" i="4"/>
  <c r="S387" i="4"/>
  <c r="T387" i="4"/>
  <c r="U387" i="4"/>
  <c r="V387" i="4"/>
  <c r="W387" i="4"/>
  <c r="X387" i="4"/>
  <c r="Y387" i="4"/>
  <c r="Z387" i="4"/>
  <c r="AA387" i="4"/>
  <c r="AC387" i="4"/>
  <c r="AD387" i="4"/>
  <c r="AE387" i="4"/>
  <c r="AF387" i="4"/>
  <c r="AG387" i="4"/>
  <c r="AH387" i="4"/>
  <c r="AI387" i="4"/>
  <c r="AJ387" i="4"/>
  <c r="AK387" i="4"/>
  <c r="AL387" i="4"/>
  <c r="AM387" i="4"/>
  <c r="AN387" i="4"/>
  <c r="AO387" i="4"/>
  <c r="AP387" i="4"/>
  <c r="AQ387" i="4"/>
  <c r="E388" i="4"/>
  <c r="F388" i="4"/>
  <c r="G388" i="4"/>
  <c r="H388" i="4"/>
  <c r="I388" i="4"/>
  <c r="J388" i="4"/>
  <c r="K388" i="4"/>
  <c r="L388" i="4"/>
  <c r="M388" i="4"/>
  <c r="N388" i="4"/>
  <c r="O388" i="4"/>
  <c r="P388" i="4"/>
  <c r="Q388" i="4"/>
  <c r="R388" i="4"/>
  <c r="S388" i="4"/>
  <c r="T388" i="4"/>
  <c r="U388" i="4"/>
  <c r="V388" i="4"/>
  <c r="W388" i="4"/>
  <c r="X388" i="4"/>
  <c r="Y388" i="4"/>
  <c r="Z388" i="4"/>
  <c r="AA388" i="4"/>
  <c r="AC388" i="4"/>
  <c r="AD388" i="4"/>
  <c r="AE388" i="4"/>
  <c r="AF388" i="4"/>
  <c r="AG388" i="4"/>
  <c r="AH388" i="4"/>
  <c r="AI388" i="4"/>
  <c r="AJ388" i="4"/>
  <c r="AK388" i="4"/>
  <c r="AL388" i="4"/>
  <c r="AM388" i="4"/>
  <c r="AN388" i="4"/>
  <c r="AO388" i="4"/>
  <c r="AP388" i="4"/>
  <c r="AQ388" i="4"/>
  <c r="E389" i="4"/>
  <c r="E390" i="4" s="1"/>
  <c r="F389" i="4"/>
  <c r="F390" i="4" s="1"/>
  <c r="G389" i="4"/>
  <c r="G390" i="4" s="1"/>
  <c r="H389" i="4"/>
  <c r="H390" i="4" s="1"/>
  <c r="I389" i="4"/>
  <c r="J389" i="4"/>
  <c r="J390" i="4" s="1"/>
  <c r="K389" i="4"/>
  <c r="K390" i="4" s="1"/>
  <c r="L389" i="4"/>
  <c r="L390" i="4" s="1"/>
  <c r="M389" i="4"/>
  <c r="M390" i="4" s="1"/>
  <c r="N389" i="4"/>
  <c r="N390" i="4" s="1"/>
  <c r="O389" i="4"/>
  <c r="O390" i="4" s="1"/>
  <c r="P389" i="4"/>
  <c r="P390" i="4" s="1"/>
  <c r="Q389" i="4"/>
  <c r="Q390" i="4" s="1"/>
  <c r="R389" i="4"/>
  <c r="R390" i="4" s="1"/>
  <c r="S389" i="4"/>
  <c r="S390" i="4" s="1"/>
  <c r="T389" i="4"/>
  <c r="T390" i="4" s="1"/>
  <c r="U389" i="4"/>
  <c r="U390" i="4" s="1"/>
  <c r="V389" i="4"/>
  <c r="V390" i="4" s="1"/>
  <c r="W389" i="4"/>
  <c r="W390" i="4" s="1"/>
  <c r="X389" i="4"/>
  <c r="X390" i="4" s="1"/>
  <c r="Y389" i="4"/>
  <c r="Y390" i="4" s="1"/>
  <c r="Z389" i="4"/>
  <c r="Z390" i="4" s="1"/>
  <c r="AA389" i="4"/>
  <c r="AA390" i="4" s="1"/>
  <c r="AC389" i="4"/>
  <c r="AC390" i="4" s="1"/>
  <c r="AD389" i="4"/>
  <c r="AD390" i="4" s="1"/>
  <c r="AE389" i="4"/>
  <c r="AE390" i="4" s="1"/>
  <c r="AF389" i="4"/>
  <c r="AF390" i="4" s="1"/>
  <c r="AG389" i="4"/>
  <c r="AG390" i="4" s="1"/>
  <c r="AH389" i="4"/>
  <c r="AH390" i="4" s="1"/>
  <c r="AI389" i="4"/>
  <c r="AI390" i="4" s="1"/>
  <c r="AJ389" i="4"/>
  <c r="AJ390" i="4" s="1"/>
  <c r="AK389" i="4"/>
  <c r="AK390" i="4" s="1"/>
  <c r="AL389" i="4"/>
  <c r="AL390" i="4" s="1"/>
  <c r="AM389" i="4"/>
  <c r="AM390" i="4" s="1"/>
  <c r="AN389" i="4"/>
  <c r="AN390" i="4" s="1"/>
  <c r="AO389" i="4"/>
  <c r="AO390" i="4" s="1"/>
  <c r="AP389" i="4"/>
  <c r="AP390" i="4" s="1"/>
  <c r="AQ389" i="4"/>
  <c r="AQ390" i="4" s="1"/>
  <c r="I390" i="4"/>
  <c r="D389" i="4"/>
  <c r="D388" i="4"/>
  <c r="D387" i="4"/>
  <c r="D386" i="4"/>
  <c r="D385" i="4"/>
  <c r="D384" i="4"/>
  <c r="D383" i="4"/>
  <c r="D382" i="4"/>
  <c r="C98" i="41" s="1"/>
  <c r="D381" i="4"/>
  <c r="D380" i="4"/>
  <c r="K8" i="45"/>
  <c r="B16" i="41"/>
  <c r="B19" i="41"/>
  <c r="B17" i="41"/>
  <c r="L8" i="45"/>
  <c r="B18" i="41"/>
  <c r="E4" i="45"/>
  <c r="H2" i="45"/>
  <c r="E212" i="46"/>
  <c r="D123" i="46"/>
  <c r="D156" i="46"/>
  <c r="D361" i="46"/>
  <c r="D295" i="46"/>
  <c r="D184" i="46"/>
  <c r="E346" i="46"/>
  <c r="E376" i="46"/>
  <c r="E68" i="46"/>
  <c r="D121" i="46"/>
  <c r="D89" i="46"/>
  <c r="D79" i="46"/>
  <c r="D251" i="46"/>
  <c r="D77" i="46"/>
  <c r="E24" i="46"/>
  <c r="D155" i="46"/>
  <c r="E364" i="46"/>
  <c r="D173" i="46"/>
  <c r="E91" i="46"/>
  <c r="D367" i="46"/>
  <c r="E148" i="46"/>
  <c r="E92" i="46"/>
  <c r="E162" i="46"/>
  <c r="D344" i="46"/>
  <c r="E143" i="46"/>
  <c r="D199" i="46"/>
  <c r="E292" i="46"/>
  <c r="E206" i="46"/>
  <c r="D40" i="46"/>
  <c r="D11" i="46"/>
  <c r="E243" i="46"/>
  <c r="D365" i="46"/>
  <c r="E80" i="46"/>
  <c r="D191" i="46"/>
  <c r="E39" i="46"/>
  <c r="E158" i="46"/>
  <c r="D200" i="46"/>
  <c r="D63" i="46"/>
  <c r="D313" i="46"/>
  <c r="D322" i="46"/>
  <c r="E306" i="46"/>
  <c r="E362" i="46"/>
  <c r="E74" i="46"/>
  <c r="D22" i="46"/>
  <c r="D147" i="46"/>
  <c r="D301" i="46"/>
  <c r="E55" i="46"/>
  <c r="D304" i="46"/>
  <c r="D287" i="46"/>
  <c r="D357" i="46"/>
  <c r="E232" i="46"/>
  <c r="D85" i="46"/>
  <c r="D171" i="46"/>
  <c r="D198" i="46"/>
  <c r="D326" i="46"/>
  <c r="E125" i="46"/>
  <c r="D93" i="46"/>
  <c r="D151" i="46"/>
  <c r="E70" i="46"/>
  <c r="E120" i="46"/>
  <c r="E67" i="46"/>
  <c r="D258" i="46"/>
  <c r="E213" i="46"/>
  <c r="D266" i="46"/>
  <c r="D206" i="46"/>
  <c r="D330" i="46"/>
  <c r="D73" i="46"/>
  <c r="E347" i="46"/>
  <c r="D185" i="46"/>
  <c r="D179" i="46"/>
  <c r="D124" i="46"/>
  <c r="E102" i="46"/>
  <c r="E210" i="46"/>
  <c r="E341" i="46"/>
  <c r="D309" i="46"/>
  <c r="E272" i="46"/>
  <c r="D16" i="46"/>
  <c r="E35" i="46"/>
  <c r="E255" i="46"/>
  <c r="D103" i="46"/>
  <c r="D80" i="46"/>
  <c r="D207" i="46"/>
  <c r="E289" i="46"/>
  <c r="E256" i="46"/>
  <c r="D161" i="46"/>
  <c r="D14" i="46"/>
  <c r="E265" i="46"/>
  <c r="D99" i="46"/>
  <c r="D193" i="46"/>
  <c r="D105" i="46"/>
  <c r="D67" i="46"/>
  <c r="D218" i="46"/>
  <c r="E60" i="46"/>
  <c r="E36" i="46"/>
  <c r="E79" i="46"/>
  <c r="E231" i="46"/>
  <c r="D68" i="46"/>
  <c r="E293" i="46"/>
  <c r="D257" i="46"/>
  <c r="D281" i="46"/>
  <c r="D195" i="46"/>
  <c r="D28" i="46"/>
  <c r="E20" i="46"/>
  <c r="E370" i="46"/>
  <c r="D178" i="46"/>
  <c r="D350" i="46"/>
  <c r="D27" i="46"/>
  <c r="D222" i="46"/>
  <c r="E330" i="46"/>
  <c r="E351" i="46"/>
  <c r="D118" i="46"/>
  <c r="E63" i="46"/>
  <c r="E320" i="46"/>
  <c r="E278" i="46"/>
  <c r="D165" i="46"/>
  <c r="D280" i="46"/>
  <c r="E180" i="46"/>
  <c r="E371" i="46"/>
  <c r="E178" i="46"/>
  <c r="E375" i="46"/>
  <c r="E85" i="46"/>
  <c r="E95" i="46"/>
  <c r="D228" i="46"/>
  <c r="E115" i="46"/>
  <c r="D271" i="46"/>
  <c r="E327" i="46"/>
  <c r="E37" i="46"/>
  <c r="E50" i="46"/>
  <c r="E154" i="46"/>
  <c r="D126" i="46"/>
  <c r="E315" i="46"/>
  <c r="E326" i="46"/>
  <c r="E185" i="46"/>
  <c r="D39" i="46"/>
  <c r="E168" i="46"/>
  <c r="E13" i="46"/>
  <c r="D34" i="46"/>
  <c r="E34" i="46"/>
  <c r="E172" i="46"/>
  <c r="E33" i="46"/>
  <c r="E183" i="46"/>
  <c r="E176" i="46"/>
  <c r="D362" i="46"/>
  <c r="E311" i="46"/>
  <c r="D71" i="46"/>
  <c r="D158" i="46"/>
  <c r="E174" i="46"/>
  <c r="D371" i="46"/>
  <c r="E186" i="46"/>
  <c r="E308" i="46"/>
  <c r="E15" i="46"/>
  <c r="D168" i="46"/>
  <c r="D288" i="46"/>
  <c r="K386" i="45"/>
  <c r="E358" i="46"/>
  <c r="E270" i="46"/>
  <c r="E163" i="46"/>
  <c r="D345" i="46"/>
  <c r="E103" i="46"/>
  <c r="E215" i="46"/>
  <c r="D242" i="46"/>
  <c r="E104" i="46"/>
  <c r="D370" i="46"/>
  <c r="D243" i="46"/>
  <c r="D351" i="46"/>
  <c r="D86" i="46"/>
  <c r="E271" i="46"/>
  <c r="E226" i="46"/>
  <c r="D214" i="46"/>
  <c r="D343" i="46"/>
  <c r="D331" i="46"/>
  <c r="D101" i="46"/>
  <c r="E217" i="46"/>
  <c r="E322" i="46"/>
  <c r="E90" i="46"/>
  <c r="E268" i="46"/>
  <c r="E66" i="46"/>
  <c r="E165" i="46"/>
  <c r="E138" i="46"/>
  <c r="E237" i="46"/>
  <c r="D277" i="46"/>
  <c r="E257" i="46"/>
  <c r="E173" i="46"/>
  <c r="D220" i="46"/>
  <c r="E30" i="46"/>
  <c r="D285" i="46"/>
  <c r="E167" i="46"/>
  <c r="E99" i="46"/>
  <c r="D20" i="46"/>
  <c r="E205" i="46"/>
  <c r="E359" i="46"/>
  <c r="D265" i="46"/>
  <c r="D98" i="46"/>
  <c r="E275" i="46"/>
  <c r="E321" i="46"/>
  <c r="E280" i="46"/>
  <c r="E204" i="46"/>
  <c r="D268" i="46"/>
  <c r="E137" i="46"/>
  <c r="E245" i="46"/>
  <c r="E288" i="46"/>
  <c r="D144" i="46"/>
  <c r="E241" i="46"/>
  <c r="D230" i="46"/>
  <c r="E345" i="46"/>
  <c r="D275" i="46"/>
  <c r="E48" i="46"/>
  <c r="E352" i="46"/>
  <c r="E373" i="46"/>
  <c r="D66" i="46"/>
  <c r="E235" i="46"/>
  <c r="E93" i="46"/>
  <c r="E110" i="46"/>
  <c r="E17" i="46"/>
  <c r="E319" i="46"/>
  <c r="E159" i="46"/>
  <c r="D208" i="46"/>
  <c r="D53" i="46"/>
  <c r="E81" i="46"/>
  <c r="D333" i="46"/>
  <c r="E261" i="46"/>
  <c r="D182" i="46"/>
  <c r="E25" i="46"/>
  <c r="E250" i="46"/>
  <c r="E123" i="46"/>
  <c r="E305" i="46"/>
  <c r="E290" i="46"/>
  <c r="E372" i="46"/>
  <c r="D227" i="46"/>
  <c r="E43" i="46"/>
  <c r="E299" i="46"/>
  <c r="D74" i="46"/>
  <c r="D36" i="46"/>
  <c r="E26" i="46"/>
  <c r="D115" i="46"/>
  <c r="D317" i="46"/>
  <c r="D202" i="46"/>
  <c r="D256" i="46"/>
  <c r="D204" i="46"/>
  <c r="E262" i="46"/>
  <c r="D58" i="46"/>
  <c r="D153" i="46"/>
  <c r="D75" i="46"/>
  <c r="E160" i="46"/>
  <c r="D312" i="46"/>
  <c r="E61" i="46"/>
  <c r="E153" i="46"/>
  <c r="E38" i="46"/>
  <c r="E177" i="46"/>
  <c r="D114" i="46"/>
  <c r="E229" i="46"/>
  <c r="E101" i="46"/>
  <c r="E197" i="46"/>
  <c r="D338" i="46"/>
  <c r="E100" i="46"/>
  <c r="D154" i="46"/>
  <c r="E360" i="46"/>
  <c r="E64" i="46"/>
  <c r="E53" i="46"/>
  <c r="E263" i="46"/>
  <c r="E368" i="46"/>
  <c r="D160" i="46"/>
  <c r="D372" i="46"/>
  <c r="D376" i="46"/>
  <c r="E209" i="46"/>
  <c r="D340" i="46"/>
  <c r="E274" i="46"/>
  <c r="E151" i="46"/>
  <c r="E365" i="46"/>
  <c r="D299" i="46"/>
  <c r="E218" i="46"/>
  <c r="E287" i="46"/>
  <c r="D306" i="46"/>
  <c r="D262" i="46"/>
  <c r="D210" i="46"/>
  <c r="D162" i="46"/>
  <c r="D249" i="46"/>
  <c r="D360" i="46"/>
  <c r="D354" i="46"/>
  <c r="D143" i="46"/>
  <c r="D272" i="46"/>
  <c r="E329" i="46"/>
  <c r="D283" i="46"/>
  <c r="E144" i="46"/>
  <c r="D311" i="46"/>
  <c r="E76" i="46"/>
  <c r="D137" i="46"/>
  <c r="E109" i="46"/>
  <c r="E297" i="46"/>
  <c r="E366" i="46"/>
  <c r="D72" i="46"/>
  <c r="E200" i="46"/>
  <c r="E264" i="46"/>
  <c r="E19" i="46"/>
  <c r="D335" i="46"/>
  <c r="D56" i="46"/>
  <c r="E314" i="46"/>
  <c r="D274" i="46"/>
  <c r="D235" i="46"/>
  <c r="D96" i="46"/>
  <c r="D92" i="46"/>
  <c r="D83" i="46"/>
  <c r="D109" i="46"/>
  <c r="D215" i="46"/>
  <c r="E16" i="46"/>
  <c r="D70" i="46"/>
  <c r="D293" i="46"/>
  <c r="D316" i="46"/>
  <c r="D106" i="46"/>
  <c r="E240" i="46"/>
  <c r="E353" i="46"/>
  <c r="D61" i="46"/>
  <c r="E72" i="46"/>
  <c r="E211" i="46"/>
  <c r="E128" i="46"/>
  <c r="D60" i="46"/>
  <c r="E182" i="46"/>
  <c r="D13" i="46"/>
  <c r="E220" i="46"/>
  <c r="E18" i="46"/>
  <c r="E135" i="46"/>
  <c r="D282" i="46"/>
  <c r="D31" i="46"/>
  <c r="D181" i="46"/>
  <c r="E336" i="46"/>
  <c r="D259" i="46"/>
  <c r="E343" i="46"/>
  <c r="E131" i="46"/>
  <c r="D290" i="46"/>
  <c r="E201" i="46"/>
  <c r="D339" i="46"/>
  <c r="D174" i="46"/>
  <c r="D375" i="46"/>
  <c r="D310" i="46"/>
  <c r="E105" i="46"/>
  <c r="E171" i="46"/>
  <c r="E187" i="46"/>
  <c r="E344" i="46"/>
  <c r="D327" i="46"/>
  <c r="E236" i="46"/>
  <c r="D94" i="46"/>
  <c r="E318" i="46"/>
  <c r="E259" i="46"/>
  <c r="D205" i="46"/>
  <c r="D346" i="46"/>
  <c r="D264" i="46"/>
  <c r="D82" i="46"/>
  <c r="D84" i="46"/>
  <c r="D88" i="46"/>
  <c r="E82" i="46"/>
  <c r="E126" i="46"/>
  <c r="E325" i="46"/>
  <c r="E152" i="46"/>
  <c r="D329" i="46"/>
  <c r="E249" i="46"/>
  <c r="E22" i="46"/>
  <c r="E141" i="46"/>
  <c r="D203" i="46"/>
  <c r="D140" i="46"/>
  <c r="D59" i="46"/>
  <c r="D164" i="46"/>
  <c r="E291" i="46"/>
  <c r="D157" i="46"/>
  <c r="E169" i="46"/>
  <c r="E216" i="46"/>
  <c r="E224" i="46"/>
  <c r="D252" i="46"/>
  <c r="E225" i="46"/>
  <c r="D125" i="46"/>
  <c r="D41" i="46"/>
  <c r="E196" i="46"/>
  <c r="E309" i="46"/>
  <c r="D223" i="46"/>
  <c r="D113" i="46"/>
  <c r="D112" i="46"/>
  <c r="D149" i="46"/>
  <c r="D321" i="46"/>
  <c r="E273" i="46"/>
  <c r="E88" i="46"/>
  <c r="D45" i="46"/>
  <c r="D353" i="46"/>
  <c r="D15" i="46"/>
  <c r="E59" i="46"/>
  <c r="E228" i="46"/>
  <c r="E77" i="46"/>
  <c r="D279" i="46"/>
  <c r="D183" i="46"/>
  <c r="D221" i="46"/>
  <c r="D119" i="46"/>
  <c r="D201" i="46"/>
  <c r="D245" i="46"/>
  <c r="E114" i="46"/>
  <c r="D241" i="46"/>
  <c r="E342" i="46"/>
  <c r="D42" i="46"/>
  <c r="D38" i="46"/>
  <c r="D54" i="46"/>
  <c r="E157" i="46"/>
  <c r="D255" i="46"/>
  <c r="E258" i="46"/>
  <c r="D197" i="46"/>
  <c r="E87" i="46"/>
  <c r="D359" i="46"/>
  <c r="E192" i="46"/>
  <c r="D300" i="46"/>
  <c r="D69" i="46"/>
  <c r="E71" i="46"/>
  <c r="D12" i="46"/>
  <c r="E348" i="46"/>
  <c r="E203" i="46"/>
  <c r="E32" i="46"/>
  <c r="E221" i="46"/>
  <c r="E300" i="46"/>
  <c r="D253" i="46"/>
  <c r="D248" i="46"/>
  <c r="E42" i="46"/>
  <c r="D44" i="46"/>
  <c r="E146" i="46"/>
  <c r="D122" i="46"/>
  <c r="E303" i="46"/>
  <c r="D323" i="46"/>
  <c r="D87" i="46"/>
  <c r="E94" i="46"/>
  <c r="D233" i="46"/>
  <c r="E189" i="46"/>
  <c r="E188" i="46"/>
  <c r="E340" i="46"/>
  <c r="E133" i="46"/>
  <c r="E11" i="46"/>
  <c r="E214" i="46"/>
  <c r="D212" i="46"/>
  <c r="D315" i="46"/>
  <c r="E108" i="46"/>
  <c r="D170" i="46"/>
  <c r="E367" i="46"/>
  <c r="D374" i="46"/>
  <c r="E354" i="46"/>
  <c r="D229" i="46"/>
  <c r="D127" i="46"/>
  <c r="E78" i="46"/>
  <c r="E253" i="46"/>
  <c r="E281" i="46"/>
  <c r="D24" i="46"/>
  <c r="E296" i="46"/>
  <c r="D254" i="46"/>
  <c r="D176" i="46"/>
  <c r="D356" i="46"/>
  <c r="E223" i="46"/>
  <c r="E195" i="46"/>
  <c r="E130" i="46"/>
  <c r="E127" i="46"/>
  <c r="D128" i="46"/>
  <c r="E150" i="46"/>
  <c r="E317" i="46"/>
  <c r="E111" i="46"/>
  <c r="D37" i="46"/>
  <c r="E374" i="46"/>
  <c r="D135" i="46"/>
  <c r="E242" i="46"/>
  <c r="D305" i="46"/>
  <c r="E117" i="46"/>
  <c r="D302" i="46"/>
  <c r="E356" i="46"/>
  <c r="E304" i="46"/>
  <c r="D368" i="46"/>
  <c r="D267" i="46"/>
  <c r="D292" i="46"/>
  <c r="E136" i="46"/>
  <c r="E12" i="46"/>
  <c r="E323" i="46"/>
  <c r="E147" i="46"/>
  <c r="D146" i="46"/>
  <c r="D328" i="46"/>
  <c r="D46" i="46"/>
  <c r="D325" i="46"/>
  <c r="D298" i="46"/>
  <c r="D319" i="46"/>
  <c r="E27" i="46"/>
  <c r="E227" i="46"/>
  <c r="D190" i="46"/>
  <c r="E65" i="46"/>
  <c r="E244" i="46"/>
  <c r="E49" i="46"/>
  <c r="E355" i="46"/>
  <c r="D104" i="46"/>
  <c r="D240" i="46"/>
  <c r="E134" i="46"/>
  <c r="E161" i="46"/>
  <c r="D76" i="46"/>
  <c r="E301" i="46"/>
  <c r="E164" i="46"/>
  <c r="E83" i="46"/>
  <c r="E238" i="46"/>
  <c r="E129" i="46"/>
  <c r="D169" i="46"/>
  <c r="E170" i="46"/>
  <c r="D21" i="46"/>
  <c r="D117" i="46"/>
  <c r="D172" i="46"/>
  <c r="D133" i="46"/>
  <c r="E328" i="46"/>
  <c r="E248" i="46"/>
  <c r="D51" i="46"/>
  <c r="D303" i="46"/>
  <c r="E73" i="46"/>
  <c r="E313" i="46"/>
  <c r="E283" i="46"/>
  <c r="D334" i="46"/>
  <c r="E339" i="46"/>
  <c r="D91" i="46"/>
  <c r="E334" i="46"/>
  <c r="E357" i="46"/>
  <c r="E254" i="46"/>
  <c r="D226" i="46"/>
  <c r="D55" i="46"/>
  <c r="E58" i="46"/>
  <c r="E116" i="46"/>
  <c r="D217" i="46"/>
  <c r="D216" i="46"/>
  <c r="D138" i="46"/>
  <c r="E266" i="46"/>
  <c r="D352" i="46"/>
  <c r="D224" i="46"/>
  <c r="E284" i="46"/>
  <c r="D78" i="46"/>
  <c r="D136" i="46"/>
  <c r="D102" i="46"/>
  <c r="E198" i="46"/>
  <c r="D273" i="46"/>
  <c r="E298" i="46"/>
  <c r="D187" i="46"/>
  <c r="D276" i="46"/>
  <c r="D180" i="46"/>
  <c r="D62" i="46"/>
  <c r="D81" i="46"/>
  <c r="D219" i="46"/>
  <c r="D29" i="46"/>
  <c r="D269" i="46"/>
  <c r="D166" i="46"/>
  <c r="E202" i="46"/>
  <c r="E285" i="46"/>
  <c r="E119" i="46"/>
  <c r="E45" i="46"/>
  <c r="E312" i="46"/>
  <c r="D236" i="46"/>
  <c r="E282" i="46"/>
  <c r="E31" i="46"/>
  <c r="D167" i="46"/>
  <c r="E156" i="46"/>
  <c r="D263" i="46"/>
  <c r="E166" i="46"/>
  <c r="E194" i="46"/>
  <c r="E118" i="46"/>
  <c r="D132" i="46"/>
  <c r="D17" i="46"/>
  <c r="E247" i="46"/>
  <c r="D238" i="46"/>
  <c r="E106" i="46"/>
  <c r="E252" i="46"/>
  <c r="E107" i="46"/>
  <c r="D341" i="46"/>
  <c r="D234" i="46"/>
  <c r="D369" i="46"/>
  <c r="E295" i="46"/>
  <c r="D194" i="46"/>
  <c r="E84" i="46"/>
  <c r="D349" i="46"/>
  <c r="D336" i="46"/>
  <c r="D260" i="46"/>
  <c r="D32" i="46"/>
  <c r="E56" i="46"/>
  <c r="D48" i="46"/>
  <c r="D366" i="46"/>
  <c r="E97" i="46"/>
  <c r="D308" i="46"/>
  <c r="E277" i="46"/>
  <c r="E69" i="46"/>
  <c r="E369" i="46"/>
  <c r="D188" i="46"/>
  <c r="E179" i="46"/>
  <c r="E54" i="46"/>
  <c r="D342" i="46"/>
  <c r="E113" i="46"/>
  <c r="D47" i="46"/>
  <c r="E121" i="46"/>
  <c r="D284" i="46"/>
  <c r="E149" i="46"/>
  <c r="E46" i="46"/>
  <c r="D139" i="46"/>
  <c r="E184" i="46"/>
  <c r="D100" i="46"/>
  <c r="D246" i="46"/>
  <c r="D90" i="46"/>
  <c r="D95" i="46"/>
  <c r="D110" i="46"/>
  <c r="E222" i="46"/>
  <c r="D108" i="46"/>
  <c r="D142" i="46"/>
  <c r="D318" i="46"/>
  <c r="D33" i="46"/>
  <c r="D213" i="46"/>
  <c r="D159" i="46"/>
  <c r="D192" i="46"/>
  <c r="E294" i="46"/>
  <c r="D107" i="46"/>
  <c r="E208" i="46"/>
  <c r="D116" i="46"/>
  <c r="D52" i="46"/>
  <c r="E331" i="46"/>
  <c r="D324" i="46"/>
  <c r="E219" i="46"/>
  <c r="E233" i="46"/>
  <c r="D239" i="46"/>
  <c r="D270" i="46"/>
  <c r="E190" i="46"/>
  <c r="E21" i="46"/>
  <c r="E28" i="46"/>
  <c r="D97" i="46"/>
  <c r="E337" i="46"/>
  <c r="E234" i="46"/>
  <c r="D111" i="46"/>
  <c r="E335" i="46"/>
  <c r="E29" i="46"/>
  <c r="E145" i="46"/>
  <c r="E132" i="46"/>
  <c r="E14" i="46"/>
  <c r="E333" i="46"/>
  <c r="D64" i="46"/>
  <c r="E140" i="46"/>
  <c r="D43" i="46"/>
  <c r="D244" i="46"/>
  <c r="E40" i="46"/>
  <c r="D355" i="46"/>
  <c r="D286" i="46"/>
  <c r="E155" i="46"/>
  <c r="E98" i="46"/>
  <c r="D145" i="46"/>
  <c r="E279" i="46"/>
  <c r="E44" i="46"/>
  <c r="E207" i="46"/>
  <c r="E41" i="46"/>
  <c r="E96" i="46"/>
  <c r="D152" i="46"/>
  <c r="D129" i="46"/>
  <c r="E75" i="46"/>
  <c r="E142" i="46"/>
  <c r="D332" i="46"/>
  <c r="D231" i="46"/>
  <c r="E62" i="46"/>
  <c r="D337" i="46"/>
  <c r="E181" i="46"/>
  <c r="D211" i="46"/>
  <c r="D25" i="46"/>
  <c r="D49" i="46"/>
  <c r="D35" i="46"/>
  <c r="D175" i="46"/>
  <c r="D130" i="46"/>
  <c r="D314" i="46"/>
  <c r="E122" i="46"/>
  <c r="D19" i="46"/>
  <c r="E191" i="46"/>
  <c r="E89" i="46"/>
  <c r="E193" i="46"/>
  <c r="D358" i="46"/>
  <c r="D291" i="46"/>
  <c r="E52" i="46"/>
  <c r="D209" i="46"/>
  <c r="E286" i="46"/>
  <c r="E267" i="46"/>
  <c r="D296" i="46"/>
  <c r="D347" i="46"/>
  <c r="E310" i="46"/>
  <c r="E246" i="46"/>
  <c r="D247" i="46"/>
  <c r="E57" i="46"/>
  <c r="D232" i="46"/>
  <c r="D320" i="46"/>
  <c r="E260" i="46"/>
  <c r="E338" i="46"/>
  <c r="E302" i="46"/>
  <c r="E239" i="46"/>
  <c r="E124" i="46"/>
  <c r="E86" i="46"/>
  <c r="E175" i="46"/>
  <c r="D363" i="46"/>
  <c r="E276" i="46"/>
  <c r="E199" i="46"/>
  <c r="E139" i="46"/>
  <c r="D189" i="46"/>
  <c r="D225" i="46"/>
  <c r="D26" i="46"/>
  <c r="E324" i="46"/>
  <c r="D18" i="46"/>
  <c r="D65" i="46"/>
  <c r="D57" i="46"/>
  <c r="D141" i="46"/>
  <c r="D278" i="46"/>
  <c r="D364" i="46"/>
  <c r="D307" i="46"/>
  <c r="E23" i="46"/>
  <c r="D163" i="46"/>
  <c r="D148" i="46"/>
  <c r="E350" i="46"/>
  <c r="D250" i="46"/>
  <c r="D237" i="46"/>
  <c r="D294" i="46"/>
  <c r="E361" i="46"/>
  <c r="D150" i="46"/>
  <c r="E251" i="46"/>
  <c r="D23" i="46"/>
  <c r="D348" i="46"/>
  <c r="E47" i="46"/>
  <c r="D30" i="46"/>
  <c r="E51" i="46"/>
  <c r="D177" i="46"/>
  <c r="D261" i="46"/>
  <c r="E349" i="46"/>
  <c r="D120" i="46"/>
  <c r="E269" i="46"/>
  <c r="E316" i="46"/>
  <c r="E230" i="46"/>
  <c r="D50" i="46"/>
  <c r="D134" i="46"/>
  <c r="D289" i="46"/>
  <c r="D297" i="46"/>
  <c r="D196" i="46"/>
  <c r="D186" i="46"/>
  <c r="D373" i="46"/>
  <c r="E112" i="46"/>
  <c r="E332" i="46"/>
  <c r="E363" i="46"/>
  <c r="D131" i="46"/>
  <c r="E307" i="46"/>
  <c r="D392" i="4" l="1"/>
  <c r="M29" i="8"/>
  <c r="M31" i="8" s="1"/>
  <c r="M9" i="51" s="1"/>
  <c r="C110" i="41"/>
  <c r="C113" i="41" s="1"/>
  <c r="E93" i="41"/>
  <c r="C93" i="41" s="1"/>
  <c r="E92" i="41"/>
  <c r="C92" i="41"/>
  <c r="E91" i="41"/>
  <c r="C91" i="41" s="1"/>
  <c r="C86" i="41"/>
  <c r="E86" i="41"/>
  <c r="E87" i="41" s="1"/>
  <c r="C87" i="41" s="1"/>
  <c r="K12" i="45"/>
  <c r="K13" i="45" s="1"/>
  <c r="K14" i="45" s="1"/>
  <c r="K15" i="45" s="1"/>
  <c r="K16" i="45" s="1"/>
  <c r="K17" i="45" s="1"/>
  <c r="K18" i="45" s="1"/>
  <c r="K19" i="45" s="1"/>
  <c r="K20" i="45" s="1"/>
  <c r="K21" i="45" s="1"/>
  <c r="K22" i="45" s="1"/>
  <c r="K23" i="45" s="1"/>
  <c r="K24" i="45" s="1"/>
  <c r="K25" i="45" s="1"/>
  <c r="K26" i="45" s="1"/>
  <c r="K27" i="45" s="1"/>
  <c r="K28" i="45" s="1"/>
  <c r="K29" i="45" s="1"/>
  <c r="K30" i="45" s="1"/>
  <c r="K31" i="45" s="1"/>
  <c r="K32" i="45" s="1"/>
  <c r="K33" i="45" s="1"/>
  <c r="K34" i="45" s="1"/>
  <c r="K35" i="45" s="1"/>
  <c r="K36" i="45" s="1"/>
  <c r="K37" i="45" s="1"/>
  <c r="K38" i="45" s="1"/>
  <c r="K39" i="45" s="1"/>
  <c r="K40" i="45" s="1"/>
  <c r="K41" i="45" s="1"/>
  <c r="K42" i="45" s="1"/>
  <c r="K43" i="45" s="1"/>
  <c r="K44" i="45" s="1"/>
  <c r="K45" i="45" s="1"/>
  <c r="K46" i="45" s="1"/>
  <c r="K47" i="45" s="1"/>
  <c r="K48" i="45" s="1"/>
  <c r="K49" i="45" s="1"/>
  <c r="K50" i="45" s="1"/>
  <c r="K51" i="45" s="1"/>
  <c r="K52" i="45" s="1"/>
  <c r="K53" i="45" s="1"/>
  <c r="K54" i="45" s="1"/>
  <c r="K55" i="45" s="1"/>
  <c r="K56" i="45" s="1"/>
  <c r="K57" i="45" s="1"/>
  <c r="K58" i="45" s="1"/>
  <c r="K59" i="45" s="1"/>
  <c r="K60" i="45" s="1"/>
  <c r="K61" i="45" s="1"/>
  <c r="K62" i="45" s="1"/>
  <c r="K63" i="45" s="1"/>
  <c r="K64" i="45" s="1"/>
  <c r="K65" i="45" s="1"/>
  <c r="K66" i="45" s="1"/>
  <c r="K67" i="45" s="1"/>
  <c r="K68" i="45" s="1"/>
  <c r="K69" i="45" s="1"/>
  <c r="K70" i="45" s="1"/>
  <c r="K71" i="45" s="1"/>
  <c r="K72" i="45" s="1"/>
  <c r="K73" i="45" s="1"/>
  <c r="K74" i="45" s="1"/>
  <c r="K75" i="45" s="1"/>
  <c r="K76" i="45" s="1"/>
  <c r="K77" i="45" s="1"/>
  <c r="K78" i="45" s="1"/>
  <c r="K79" i="45" s="1"/>
  <c r="K80" i="45" s="1"/>
  <c r="K81" i="45" s="1"/>
  <c r="K82" i="45" s="1"/>
  <c r="K83" i="45" s="1"/>
  <c r="K84" i="45" s="1"/>
  <c r="K85" i="45" s="1"/>
  <c r="K86" i="45" s="1"/>
  <c r="K87" i="45" s="1"/>
  <c r="K88" i="45" s="1"/>
  <c r="K89" i="45" s="1"/>
  <c r="K90" i="45" s="1"/>
  <c r="K91" i="45" s="1"/>
  <c r="K92" i="45" s="1"/>
  <c r="K93" i="45" s="1"/>
  <c r="K94" i="45" s="1"/>
  <c r="K95" i="45" s="1"/>
  <c r="K96" i="45" s="1"/>
  <c r="K97" i="45" s="1"/>
  <c r="K98" i="45" s="1"/>
  <c r="K99" i="45" s="1"/>
  <c r="K100" i="45" s="1"/>
  <c r="K101" i="45" s="1"/>
  <c r="K102" i="45" s="1"/>
  <c r="K103" i="45" s="1"/>
  <c r="K104" i="45" s="1"/>
  <c r="K105" i="45" s="1"/>
  <c r="K106" i="45" s="1"/>
  <c r="K107" i="45" s="1"/>
  <c r="K108" i="45" s="1"/>
  <c r="K109" i="45" s="1"/>
  <c r="K110" i="45" s="1"/>
  <c r="K111" i="45" s="1"/>
  <c r="K112" i="45" s="1"/>
  <c r="K113" i="45" s="1"/>
  <c r="K114" i="45" s="1"/>
  <c r="K115" i="45" s="1"/>
  <c r="K116" i="45" s="1"/>
  <c r="K117" i="45" s="1"/>
  <c r="K118" i="45" s="1"/>
  <c r="K119" i="45" s="1"/>
  <c r="K120" i="45" s="1"/>
  <c r="K121" i="45" s="1"/>
  <c r="K122" i="45" s="1"/>
  <c r="K123" i="45" s="1"/>
  <c r="K124" i="45" s="1"/>
  <c r="K125" i="45" s="1"/>
  <c r="K126" i="45" s="1"/>
  <c r="K127" i="45" s="1"/>
  <c r="K128" i="45" s="1"/>
  <c r="K129" i="45" s="1"/>
  <c r="K130" i="45" s="1"/>
  <c r="K131" i="45" s="1"/>
  <c r="K132" i="45" s="1"/>
  <c r="K133" i="45" s="1"/>
  <c r="K134" i="45" s="1"/>
  <c r="K135" i="45" s="1"/>
  <c r="K136" i="45" s="1"/>
  <c r="K137" i="45" s="1"/>
  <c r="K138" i="45" s="1"/>
  <c r="K139" i="45" s="1"/>
  <c r="K140" i="45" s="1"/>
  <c r="K141" i="45" s="1"/>
  <c r="K142" i="45" s="1"/>
  <c r="K143" i="45" s="1"/>
  <c r="K144" i="45" s="1"/>
  <c r="K145" i="45" s="1"/>
  <c r="K146" i="45" s="1"/>
  <c r="K147" i="45" s="1"/>
  <c r="K148" i="45" s="1"/>
  <c r="K149" i="45" s="1"/>
  <c r="K150" i="45" s="1"/>
  <c r="K151" i="45" s="1"/>
  <c r="K152" i="45" s="1"/>
  <c r="K153" i="45" s="1"/>
  <c r="K154" i="45" s="1"/>
  <c r="K155" i="45" s="1"/>
  <c r="K156" i="45" s="1"/>
  <c r="K157" i="45" s="1"/>
  <c r="K158" i="45" s="1"/>
  <c r="K159" i="45" s="1"/>
  <c r="K160" i="45" s="1"/>
  <c r="K161" i="45" s="1"/>
  <c r="K162" i="45" s="1"/>
  <c r="K163" i="45" s="1"/>
  <c r="K164" i="45" s="1"/>
  <c r="K165" i="45" s="1"/>
  <c r="K166" i="45" s="1"/>
  <c r="K167" i="45" s="1"/>
  <c r="K168" i="45" s="1"/>
  <c r="K169" i="45" s="1"/>
  <c r="K170" i="45" s="1"/>
  <c r="K171" i="45" s="1"/>
  <c r="K172" i="45" s="1"/>
  <c r="K173" i="45" s="1"/>
  <c r="K174" i="45" s="1"/>
  <c r="K175" i="45" s="1"/>
  <c r="K176" i="45" s="1"/>
  <c r="K177" i="45" s="1"/>
  <c r="K178" i="45" s="1"/>
  <c r="K179" i="45" s="1"/>
  <c r="K180" i="45" s="1"/>
  <c r="K181" i="45" s="1"/>
  <c r="K182" i="45" s="1"/>
  <c r="K183" i="45" s="1"/>
  <c r="K184" i="45" s="1"/>
  <c r="K185" i="45" s="1"/>
  <c r="K186" i="45" s="1"/>
  <c r="K187" i="45" s="1"/>
  <c r="K188" i="45" s="1"/>
  <c r="K189" i="45" s="1"/>
  <c r="K190" i="45" s="1"/>
  <c r="K191" i="45" s="1"/>
  <c r="K192" i="45" s="1"/>
  <c r="K193" i="45" s="1"/>
  <c r="K194" i="45" s="1"/>
  <c r="K195" i="45" s="1"/>
  <c r="K196" i="45" s="1"/>
  <c r="K197" i="45" s="1"/>
  <c r="K198" i="45" s="1"/>
  <c r="K199" i="45" s="1"/>
  <c r="K200" i="45" s="1"/>
  <c r="K201" i="45" s="1"/>
  <c r="K202" i="45" s="1"/>
  <c r="K203" i="45" s="1"/>
  <c r="K204" i="45" s="1"/>
  <c r="K205" i="45" s="1"/>
  <c r="K206" i="45" s="1"/>
  <c r="K207" i="45" s="1"/>
  <c r="K208" i="45" s="1"/>
  <c r="K209" i="45" s="1"/>
  <c r="K210" i="45" s="1"/>
  <c r="K211" i="45" s="1"/>
  <c r="K212" i="45" s="1"/>
  <c r="K213" i="45" s="1"/>
  <c r="K214" i="45" s="1"/>
  <c r="K215" i="45" s="1"/>
  <c r="K216" i="45" s="1"/>
  <c r="K217" i="45" s="1"/>
  <c r="K218" i="45" s="1"/>
  <c r="K219" i="45" s="1"/>
  <c r="K220" i="45" s="1"/>
  <c r="K221" i="45" s="1"/>
  <c r="K222" i="45" s="1"/>
  <c r="K223" i="45" s="1"/>
  <c r="K224" i="45" s="1"/>
  <c r="K225" i="45" s="1"/>
  <c r="K226" i="45" s="1"/>
  <c r="K227" i="45" s="1"/>
  <c r="K228" i="45" s="1"/>
  <c r="K229" i="45" s="1"/>
  <c r="K230" i="45" s="1"/>
  <c r="K231" i="45" s="1"/>
  <c r="K232" i="45" s="1"/>
  <c r="K233" i="45" s="1"/>
  <c r="K234" i="45" s="1"/>
  <c r="K235" i="45" s="1"/>
  <c r="K236" i="45" s="1"/>
  <c r="K237" i="45" s="1"/>
  <c r="K238" i="45" s="1"/>
  <c r="K239" i="45" s="1"/>
  <c r="K240" i="45" s="1"/>
  <c r="K241" i="45" s="1"/>
  <c r="K242" i="45" s="1"/>
  <c r="K243" i="45" s="1"/>
  <c r="K244" i="45" s="1"/>
  <c r="K245" i="45" s="1"/>
  <c r="K246" i="45" s="1"/>
  <c r="K247" i="45" s="1"/>
  <c r="K248" i="45" s="1"/>
  <c r="K249" i="45" s="1"/>
  <c r="K250" i="45" s="1"/>
  <c r="K251" i="45" s="1"/>
  <c r="K252" i="45" s="1"/>
  <c r="K253" i="45" s="1"/>
  <c r="K254" i="45" s="1"/>
  <c r="K255" i="45" s="1"/>
  <c r="K256" i="45" s="1"/>
  <c r="K257" i="45" s="1"/>
  <c r="K258" i="45" s="1"/>
  <c r="K259" i="45" s="1"/>
  <c r="K260" i="45" s="1"/>
  <c r="K261" i="45" s="1"/>
  <c r="K262" i="45" s="1"/>
  <c r="K263" i="45" s="1"/>
  <c r="K264" i="45" s="1"/>
  <c r="K265" i="45" s="1"/>
  <c r="K266" i="45" s="1"/>
  <c r="K267" i="45" s="1"/>
  <c r="K268" i="45" s="1"/>
  <c r="K269" i="45" s="1"/>
  <c r="K270" i="45" s="1"/>
  <c r="K271" i="45" s="1"/>
  <c r="K272" i="45" s="1"/>
  <c r="K273" i="45" s="1"/>
  <c r="K274" i="45" s="1"/>
  <c r="K275" i="45" s="1"/>
  <c r="K276" i="45" s="1"/>
  <c r="K277" i="45" s="1"/>
  <c r="K278" i="45" s="1"/>
  <c r="K279" i="45" s="1"/>
  <c r="K280" i="45" s="1"/>
  <c r="K281" i="45" s="1"/>
  <c r="K282" i="45" s="1"/>
  <c r="K283" i="45" s="1"/>
  <c r="K284" i="45" s="1"/>
  <c r="K285" i="45" s="1"/>
  <c r="K286" i="45" s="1"/>
  <c r="K287" i="45" s="1"/>
  <c r="K288" i="45" s="1"/>
  <c r="K289" i="45" s="1"/>
  <c r="K290" i="45" s="1"/>
  <c r="K291" i="45" s="1"/>
  <c r="K292" i="45" s="1"/>
  <c r="K293" i="45" s="1"/>
  <c r="K294" i="45" s="1"/>
  <c r="K295" i="45" s="1"/>
  <c r="K296" i="45" s="1"/>
  <c r="K297" i="45" s="1"/>
  <c r="K298" i="45" s="1"/>
  <c r="K299" i="45" s="1"/>
  <c r="K300" i="45" s="1"/>
  <c r="K301" i="45" s="1"/>
  <c r="K302" i="45" s="1"/>
  <c r="K303" i="45" s="1"/>
  <c r="K304" i="45" s="1"/>
  <c r="K305" i="45" s="1"/>
  <c r="K306" i="45" s="1"/>
  <c r="K307" i="45" s="1"/>
  <c r="K308" i="45" s="1"/>
  <c r="K309" i="45" s="1"/>
  <c r="K310" i="45" s="1"/>
  <c r="K311" i="45" s="1"/>
  <c r="K312" i="45" s="1"/>
  <c r="K313" i="45" s="1"/>
  <c r="K314" i="45" s="1"/>
  <c r="K315" i="45" s="1"/>
  <c r="K316" i="45" s="1"/>
  <c r="K317" i="45" s="1"/>
  <c r="K318" i="45" s="1"/>
  <c r="K319" i="45" s="1"/>
  <c r="K320" i="45" s="1"/>
  <c r="K321" i="45" s="1"/>
  <c r="K322" i="45" s="1"/>
  <c r="K323" i="45" s="1"/>
  <c r="K324" i="45" s="1"/>
  <c r="K325" i="45" s="1"/>
  <c r="K326" i="45" s="1"/>
  <c r="K327" i="45" s="1"/>
  <c r="K328" i="45" s="1"/>
  <c r="K329" i="45" s="1"/>
  <c r="K330" i="45" s="1"/>
  <c r="K331" i="45" s="1"/>
  <c r="K332" i="45" s="1"/>
  <c r="K333" i="45" s="1"/>
  <c r="K334" i="45" s="1"/>
  <c r="K335" i="45" s="1"/>
  <c r="K336" i="45" s="1"/>
  <c r="K337" i="45" s="1"/>
  <c r="K338" i="45" s="1"/>
  <c r="K339" i="45" s="1"/>
  <c r="K340" i="45" s="1"/>
  <c r="K341" i="45" s="1"/>
  <c r="K342" i="45" s="1"/>
  <c r="K343" i="45" s="1"/>
  <c r="K344" i="45" s="1"/>
  <c r="K345" i="45" s="1"/>
  <c r="K346" i="45" s="1"/>
  <c r="K347" i="45" s="1"/>
  <c r="K348" i="45" s="1"/>
  <c r="K349" i="45" s="1"/>
  <c r="K350" i="45" s="1"/>
  <c r="K351" i="45" s="1"/>
  <c r="K352" i="45" s="1"/>
  <c r="K353" i="45" s="1"/>
  <c r="K354" i="45" s="1"/>
  <c r="K355" i="45" s="1"/>
  <c r="K356" i="45" s="1"/>
  <c r="K357" i="45" s="1"/>
  <c r="K358" i="45" s="1"/>
  <c r="K359" i="45" s="1"/>
  <c r="K360" i="45" s="1"/>
  <c r="K361" i="45" s="1"/>
  <c r="K362" i="45" s="1"/>
  <c r="K363" i="45" s="1"/>
  <c r="K364" i="45" s="1"/>
  <c r="K365" i="45" s="1"/>
  <c r="K366" i="45" s="1"/>
  <c r="K367" i="45" s="1"/>
  <c r="K368" i="45" s="1"/>
  <c r="K369" i="45" s="1"/>
  <c r="K370" i="45" s="1"/>
  <c r="K371" i="45" s="1"/>
  <c r="K372" i="45" s="1"/>
  <c r="K373" i="45" s="1"/>
  <c r="K374" i="45" s="1"/>
  <c r="K375" i="45" s="1"/>
  <c r="K376" i="45" s="1"/>
  <c r="G3" i="45"/>
  <c r="J67" i="41" l="1"/>
  <c r="I74" i="41" s="1"/>
  <c r="L375" i="45"/>
  <c r="L373" i="45"/>
  <c r="L371" i="45"/>
  <c r="L369" i="45"/>
  <c r="L367" i="45"/>
  <c r="L365" i="45"/>
  <c r="L363" i="45"/>
  <c r="L361" i="45"/>
  <c r="L359" i="45"/>
  <c r="L357" i="45"/>
  <c r="L355" i="45"/>
  <c r="L353" i="45"/>
  <c r="L351" i="45"/>
  <c r="L349" i="45"/>
  <c r="L347" i="45"/>
  <c r="L345" i="45"/>
  <c r="L343" i="45"/>
  <c r="L341" i="45"/>
  <c r="L339" i="45"/>
  <c r="L337" i="45"/>
  <c r="L335" i="45"/>
  <c r="L333" i="45"/>
  <c r="L331" i="45"/>
  <c r="L329" i="45"/>
  <c r="L327" i="45"/>
  <c r="L325" i="45"/>
  <c r="L323" i="45"/>
  <c r="L321" i="45"/>
  <c r="L319" i="45"/>
  <c r="L317" i="45"/>
  <c r="L315" i="45"/>
  <c r="L313" i="45"/>
  <c r="L311" i="45"/>
  <c r="L309" i="45"/>
  <c r="L307" i="45"/>
  <c r="L305" i="45"/>
  <c r="L303" i="45"/>
  <c r="L301" i="45"/>
  <c r="L299" i="45"/>
  <c r="L297" i="45"/>
  <c r="L295" i="45"/>
  <c r="L293" i="45"/>
  <c r="L291" i="45"/>
  <c r="L289" i="45"/>
  <c r="L287" i="45"/>
  <c r="L285" i="45"/>
  <c r="L283" i="45"/>
  <c r="L281" i="45"/>
  <c r="L279" i="45"/>
  <c r="L277" i="45"/>
  <c r="L275" i="45"/>
  <c r="L273" i="45"/>
  <c r="L271" i="45"/>
  <c r="L269" i="45"/>
  <c r="L267" i="45"/>
  <c r="L265" i="45"/>
  <c r="L263" i="45"/>
  <c r="L261" i="45"/>
  <c r="L259" i="45"/>
  <c r="L257" i="45"/>
  <c r="L255" i="45"/>
  <c r="L253" i="45"/>
  <c r="L251" i="45"/>
  <c r="L249" i="45"/>
  <c r="L247" i="45"/>
  <c r="L245" i="45"/>
  <c r="L243" i="45"/>
  <c r="L241" i="45"/>
  <c r="L239" i="45"/>
  <c r="L237" i="45"/>
  <c r="L235" i="45"/>
  <c r="L233" i="45"/>
  <c r="L231" i="45"/>
  <c r="L229" i="45"/>
  <c r="L227" i="45"/>
  <c r="L225" i="45"/>
  <c r="L223" i="45"/>
  <c r="L221" i="45"/>
  <c r="L219" i="45"/>
  <c r="L217" i="45"/>
  <c r="L215" i="45"/>
  <c r="L213" i="45"/>
  <c r="L211" i="45"/>
  <c r="L209" i="45"/>
  <c r="L207" i="45"/>
  <c r="L374" i="45"/>
  <c r="L362" i="45"/>
  <c r="L350" i="45"/>
  <c r="L338" i="45"/>
  <c r="L326" i="45"/>
  <c r="L314" i="45"/>
  <c r="L302" i="45"/>
  <c r="L290" i="45"/>
  <c r="L278" i="45"/>
  <c r="L266" i="45"/>
  <c r="L254" i="45"/>
  <c r="L242" i="45"/>
  <c r="L230" i="45"/>
  <c r="L218" i="45"/>
  <c r="L206" i="45"/>
  <c r="L204" i="45"/>
  <c r="L202" i="45"/>
  <c r="L200" i="45"/>
  <c r="L198" i="45"/>
  <c r="L196" i="45"/>
  <c r="L194" i="45"/>
  <c r="L192" i="45"/>
  <c r="L190" i="45"/>
  <c r="L188" i="45"/>
  <c r="L186" i="45"/>
  <c r="L184" i="45"/>
  <c r="L182" i="45"/>
  <c r="L180" i="45"/>
  <c r="L178" i="45"/>
  <c r="L176" i="45"/>
  <c r="L174" i="45"/>
  <c r="L172" i="45"/>
  <c r="L170" i="45"/>
  <c r="L168" i="45"/>
  <c r="L166" i="45"/>
  <c r="L164" i="45"/>
  <c r="L162" i="45"/>
  <c r="L160" i="45"/>
  <c r="L158" i="45"/>
  <c r="L156" i="45"/>
  <c r="L154" i="45"/>
  <c r="L152" i="45"/>
  <c r="L150" i="45"/>
  <c r="L148" i="45"/>
  <c r="L146" i="45"/>
  <c r="L144" i="45"/>
  <c r="L142" i="45"/>
  <c r="L140" i="45"/>
  <c r="L138" i="45"/>
  <c r="L136" i="45"/>
  <c r="L134" i="45"/>
  <c r="L132" i="45"/>
  <c r="L130" i="45"/>
  <c r="L128" i="45"/>
  <c r="L126" i="45"/>
  <c r="L124" i="45"/>
  <c r="L376" i="45"/>
  <c r="L364" i="45"/>
  <c r="L352" i="45"/>
  <c r="L340" i="45"/>
  <c r="L328" i="45"/>
  <c r="L316" i="45"/>
  <c r="L304" i="45"/>
  <c r="L292" i="45"/>
  <c r="L280" i="45"/>
  <c r="L268" i="45"/>
  <c r="L256" i="45"/>
  <c r="L244" i="45"/>
  <c r="L366" i="45"/>
  <c r="L354" i="45"/>
  <c r="L342" i="45"/>
  <c r="L330" i="45"/>
  <c r="L318" i="45"/>
  <c r="L306" i="45"/>
  <c r="L294" i="45"/>
  <c r="L282" i="45"/>
  <c r="L270" i="45"/>
  <c r="L258" i="45"/>
  <c r="L246" i="45"/>
  <c r="L234" i="45"/>
  <c r="L222" i="45"/>
  <c r="L368" i="45"/>
  <c r="L356" i="45"/>
  <c r="L344" i="45"/>
  <c r="L332" i="45"/>
  <c r="L320" i="45"/>
  <c r="L308" i="45"/>
  <c r="L296" i="45"/>
  <c r="L284" i="45"/>
  <c r="L272" i="45"/>
  <c r="L260" i="45"/>
  <c r="L248" i="45"/>
  <c r="L370" i="45"/>
  <c r="L358" i="45"/>
  <c r="L346" i="45"/>
  <c r="L334" i="45"/>
  <c r="L322" i="45"/>
  <c r="L310" i="45"/>
  <c r="L298" i="45"/>
  <c r="L286" i="45"/>
  <c r="L274" i="45"/>
  <c r="L262" i="45"/>
  <c r="L250" i="45"/>
  <c r="L238" i="45"/>
  <c r="L226" i="45"/>
  <c r="L214" i="45"/>
  <c r="L224" i="45"/>
  <c r="L208" i="45"/>
  <c r="L205" i="45"/>
  <c r="L199" i="45"/>
  <c r="L193" i="45"/>
  <c r="L187" i="45"/>
  <c r="L181" i="45"/>
  <c r="L175" i="45"/>
  <c r="L169" i="45"/>
  <c r="L163" i="45"/>
  <c r="L157" i="45"/>
  <c r="L151" i="45"/>
  <c r="L145" i="45"/>
  <c r="L139" i="45"/>
  <c r="L133" i="45"/>
  <c r="L127" i="45"/>
  <c r="L119" i="45"/>
  <c r="L114" i="45"/>
  <c r="L107" i="45"/>
  <c r="L102" i="45"/>
  <c r="L95" i="45"/>
  <c r="L90" i="45"/>
  <c r="L83" i="45"/>
  <c r="L78" i="45"/>
  <c r="L71" i="45"/>
  <c r="L66" i="45"/>
  <c r="L59" i="45"/>
  <c r="L54" i="45"/>
  <c r="L47" i="45"/>
  <c r="L42" i="45"/>
  <c r="L35" i="45"/>
  <c r="L30" i="45"/>
  <c r="L23" i="45"/>
  <c r="L18" i="45"/>
  <c r="L11" i="45"/>
  <c r="L137" i="45"/>
  <c r="L122" i="45"/>
  <c r="L98" i="45"/>
  <c r="L74" i="45"/>
  <c r="L67" i="45"/>
  <c r="L50" i="45"/>
  <c r="L43" i="45"/>
  <c r="L19" i="45"/>
  <c r="L360" i="45"/>
  <c r="L336" i="45"/>
  <c r="L312" i="45"/>
  <c r="L288" i="45"/>
  <c r="L264" i="45"/>
  <c r="L220" i="45"/>
  <c r="L210" i="45"/>
  <c r="L121" i="45"/>
  <c r="L116" i="45"/>
  <c r="L109" i="45"/>
  <c r="L104" i="45"/>
  <c r="L97" i="45"/>
  <c r="L92" i="45"/>
  <c r="L85" i="45"/>
  <c r="L80" i="45"/>
  <c r="L73" i="45"/>
  <c r="L68" i="45"/>
  <c r="L61" i="45"/>
  <c r="L56" i="45"/>
  <c r="L49" i="45"/>
  <c r="L44" i="45"/>
  <c r="L37" i="45"/>
  <c r="L32" i="45"/>
  <c r="L25" i="45"/>
  <c r="L20" i="45"/>
  <c r="L13" i="45"/>
  <c r="L240" i="45"/>
  <c r="L216" i="45"/>
  <c r="L201" i="45"/>
  <c r="L195" i="45"/>
  <c r="L189" i="45"/>
  <c r="L183" i="45"/>
  <c r="L177" i="45"/>
  <c r="L171" i="45"/>
  <c r="L165" i="45"/>
  <c r="L159" i="45"/>
  <c r="L153" i="45"/>
  <c r="L147" i="45"/>
  <c r="L141" i="45"/>
  <c r="L135" i="45"/>
  <c r="L129" i="45"/>
  <c r="L123" i="45"/>
  <c r="L118" i="45"/>
  <c r="L111" i="45"/>
  <c r="L106" i="45"/>
  <c r="L99" i="45"/>
  <c r="L94" i="45"/>
  <c r="L87" i="45"/>
  <c r="L82" i="45"/>
  <c r="L75" i="45"/>
  <c r="L70" i="45"/>
  <c r="L63" i="45"/>
  <c r="L58" i="45"/>
  <c r="L51" i="45"/>
  <c r="L46" i="45"/>
  <c r="L39" i="45"/>
  <c r="L34" i="45"/>
  <c r="L27" i="45"/>
  <c r="L22" i="45"/>
  <c r="L15" i="45"/>
  <c r="L300" i="45"/>
  <c r="L276" i="45"/>
  <c r="L252" i="45"/>
  <c r="L191" i="45"/>
  <c r="L161" i="45"/>
  <c r="L149" i="45"/>
  <c r="L110" i="45"/>
  <c r="L91" i="45"/>
  <c r="L14" i="45"/>
  <c r="L236" i="45"/>
  <c r="L120" i="45"/>
  <c r="L113" i="45"/>
  <c r="L108" i="45"/>
  <c r="L101" i="45"/>
  <c r="L96" i="45"/>
  <c r="L89" i="45"/>
  <c r="L84" i="45"/>
  <c r="L77" i="45"/>
  <c r="L72" i="45"/>
  <c r="L65" i="45"/>
  <c r="L60" i="45"/>
  <c r="L53" i="45"/>
  <c r="L48" i="45"/>
  <c r="L41" i="45"/>
  <c r="L36" i="45"/>
  <c r="L29" i="45"/>
  <c r="L24" i="45"/>
  <c r="L17" i="45"/>
  <c r="L12" i="45"/>
  <c r="L372" i="45"/>
  <c r="L348" i="45"/>
  <c r="L324" i="45"/>
  <c r="L232" i="45"/>
  <c r="L212" i="45"/>
  <c r="L203" i="45"/>
  <c r="L197" i="45"/>
  <c r="L185" i="45"/>
  <c r="L179" i="45"/>
  <c r="L167" i="45"/>
  <c r="L143" i="45"/>
  <c r="L125" i="45"/>
  <c r="L115" i="45"/>
  <c r="L103" i="45"/>
  <c r="L79" i="45"/>
  <c r="L38" i="45"/>
  <c r="L31" i="45"/>
  <c r="L26" i="45"/>
  <c r="L228" i="45"/>
  <c r="L117" i="45"/>
  <c r="L112" i="45"/>
  <c r="L105" i="45"/>
  <c r="L100" i="45"/>
  <c r="L93" i="45"/>
  <c r="L88" i="45"/>
  <c r="L81" i="45"/>
  <c r="L76" i="45"/>
  <c r="L69" i="45"/>
  <c r="L64" i="45"/>
  <c r="L57" i="45"/>
  <c r="L52" i="45"/>
  <c r="L45" i="45"/>
  <c r="L40" i="45"/>
  <c r="L33" i="45"/>
  <c r="L28" i="45"/>
  <c r="L21" i="45"/>
  <c r="L16" i="45"/>
  <c r="L173" i="45"/>
  <c r="L155" i="45"/>
  <c r="L131" i="45"/>
  <c r="L86" i="45"/>
  <c r="L62" i="45"/>
  <c r="L55" i="45"/>
  <c r="C19" i="41" l="1"/>
  <c r="C18" i="41"/>
  <c r="C17" i="41"/>
  <c r="C16" i="41"/>
  <c r="C12" i="41"/>
  <c r="C10" i="41"/>
  <c r="C9" i="41"/>
  <c r="C11" i="41"/>
  <c r="E392" i="4"/>
  <c r="F392" i="4"/>
  <c r="G392" i="4"/>
  <c r="H392" i="4"/>
  <c r="I392" i="4"/>
  <c r="J392" i="4"/>
  <c r="K392" i="4"/>
  <c r="C29" i="8" s="1"/>
  <c r="L392" i="4"/>
  <c r="D29" i="8" s="1"/>
  <c r="D31" i="8" s="1"/>
  <c r="D9" i="51" s="1"/>
  <c r="M392" i="4"/>
  <c r="E29" i="8" s="1"/>
  <c r="E31" i="8" s="1"/>
  <c r="E9" i="51" s="1"/>
  <c r="N392" i="4"/>
  <c r="G29" i="8" s="1"/>
  <c r="G31" i="8" s="1"/>
  <c r="G9" i="51" s="1"/>
  <c r="O392" i="4"/>
  <c r="H29" i="8" s="1"/>
  <c r="H31" i="8" s="1"/>
  <c r="H9" i="51" s="1"/>
  <c r="P392" i="4"/>
  <c r="J29" i="8" s="1"/>
  <c r="J31" i="8" s="1"/>
  <c r="J9" i="51" s="1"/>
  <c r="Q392" i="4"/>
  <c r="C30" i="8" s="1"/>
  <c r="R392" i="4"/>
  <c r="D30" i="8" s="1"/>
  <c r="D32" i="8" s="1"/>
  <c r="D10" i="51" s="1"/>
  <c r="S392" i="4"/>
  <c r="F30" i="8" s="1"/>
  <c r="F32" i="8" s="1"/>
  <c r="F10" i="51" s="1"/>
  <c r="T392" i="4"/>
  <c r="G30" i="8" s="1"/>
  <c r="G32" i="8" s="1"/>
  <c r="G10" i="51" s="1"/>
  <c r="U392" i="4"/>
  <c r="I30" i="8" s="1"/>
  <c r="I32" i="8" s="1"/>
  <c r="I10" i="51" s="1"/>
  <c r="V392" i="4"/>
  <c r="W392" i="4"/>
  <c r="X392" i="4"/>
  <c r="J30" i="8" s="1"/>
  <c r="J32" i="8" s="1"/>
  <c r="J10" i="51" s="1"/>
  <c r="Y392" i="4"/>
  <c r="K30" i="8" s="1"/>
  <c r="K32" i="8" s="1"/>
  <c r="K10" i="51" s="1"/>
  <c r="Z392" i="4"/>
  <c r="AA392" i="4"/>
  <c r="AC392" i="4"/>
  <c r="AD392" i="4"/>
  <c r="AE392" i="4"/>
  <c r="AF392" i="4"/>
  <c r="AG392" i="4"/>
  <c r="AH392" i="4"/>
  <c r="AI392" i="4"/>
  <c r="AJ392" i="4"/>
  <c r="AK392" i="4"/>
  <c r="AL392" i="4"/>
  <c r="AM392" i="4"/>
  <c r="AN392" i="4"/>
  <c r="AO392" i="4"/>
  <c r="AP392" i="4"/>
  <c r="AQ392" i="4"/>
  <c r="D390" i="4"/>
  <c r="K34" i="8"/>
  <c r="J34" i="8"/>
  <c r="G34" i="8"/>
  <c r="I34" i="8"/>
  <c r="F34" i="8"/>
  <c r="D34" i="8"/>
  <c r="F36" i="8" l="1"/>
  <c r="G15" i="51" s="1"/>
  <c r="J36" i="8"/>
  <c r="D36" i="8"/>
  <c r="I36" i="8"/>
  <c r="G36" i="8"/>
  <c r="K36" i="8"/>
  <c r="C37" i="8"/>
  <c r="E16" i="51" s="1"/>
  <c r="C29" i="41"/>
  <c r="E12" i="41"/>
  <c r="C30" i="41"/>
  <c r="E30" i="41" s="1"/>
  <c r="E10" i="41"/>
  <c r="E11" i="41"/>
  <c r="AP18" i="38" l="1"/>
  <c r="AP26" i="38"/>
  <c r="AP34" i="38"/>
  <c r="AP42" i="38"/>
  <c r="AP50" i="38"/>
  <c r="AP58" i="38"/>
  <c r="AP66" i="38"/>
  <c r="AP74" i="38"/>
  <c r="AP82" i="38"/>
  <c r="AP90" i="38"/>
  <c r="AP98" i="38"/>
  <c r="AP106" i="38"/>
  <c r="AP114" i="38"/>
  <c r="AP122" i="38"/>
  <c r="AP130" i="38"/>
  <c r="AP138" i="38"/>
  <c r="AP146" i="38"/>
  <c r="AP154" i="38"/>
  <c r="AP162" i="38"/>
  <c r="AP170" i="38"/>
  <c r="AP178" i="38"/>
  <c r="AP186" i="38"/>
  <c r="AP194" i="38"/>
  <c r="AP202" i="38"/>
  <c r="AP210" i="38"/>
  <c r="AP218" i="38"/>
  <c r="AP226" i="38"/>
  <c r="AP234" i="38"/>
  <c r="AP242" i="38"/>
  <c r="AP250" i="38"/>
  <c r="AP258" i="38"/>
  <c r="AP266" i="38"/>
  <c r="AP274" i="38"/>
  <c r="AP282" i="38"/>
  <c r="AP290" i="38"/>
  <c r="AP298" i="38"/>
  <c r="AP306" i="38"/>
  <c r="AP314" i="38"/>
  <c r="AP322" i="38"/>
  <c r="AP19" i="38"/>
  <c r="AP27" i="38"/>
  <c r="AP35" i="38"/>
  <c r="AP43" i="38"/>
  <c r="AP51" i="38"/>
  <c r="AP59" i="38"/>
  <c r="AP67" i="38"/>
  <c r="AP75" i="38"/>
  <c r="AP83" i="38"/>
  <c r="AP91" i="38"/>
  <c r="AP99" i="38"/>
  <c r="AP107" i="38"/>
  <c r="AP115" i="38"/>
  <c r="AP123" i="38"/>
  <c r="AP131" i="38"/>
  <c r="AP139" i="38"/>
  <c r="AP147" i="38"/>
  <c r="AP155" i="38"/>
  <c r="AP163" i="38"/>
  <c r="AP171" i="38"/>
  <c r="AP179" i="38"/>
  <c r="AP187" i="38"/>
  <c r="AP195" i="38"/>
  <c r="AP203" i="38"/>
  <c r="AP211" i="38"/>
  <c r="AP219" i="38"/>
  <c r="AP227" i="38"/>
  <c r="AP235" i="38"/>
  <c r="AP243" i="38"/>
  <c r="AP251" i="38"/>
  <c r="AP259" i="38"/>
  <c r="AP267" i="38"/>
  <c r="AP275" i="38"/>
  <c r="AP283" i="38"/>
  <c r="AP291" i="38"/>
  <c r="AP299" i="38"/>
  <c r="AP307" i="38"/>
  <c r="AP315" i="38"/>
  <c r="AP12" i="38"/>
  <c r="AP20" i="38"/>
  <c r="AP28" i="38"/>
  <c r="AP36" i="38"/>
  <c r="AP44" i="38"/>
  <c r="AP52" i="38"/>
  <c r="AP60" i="38"/>
  <c r="AP68" i="38"/>
  <c r="AP76" i="38"/>
  <c r="AP84" i="38"/>
  <c r="AP92" i="38"/>
  <c r="AP100" i="38"/>
  <c r="AP108" i="38"/>
  <c r="AP116" i="38"/>
  <c r="AP124" i="38"/>
  <c r="AP132" i="38"/>
  <c r="AP140" i="38"/>
  <c r="AP148" i="38"/>
  <c r="AP156" i="38"/>
  <c r="AP164" i="38"/>
  <c r="AP172" i="38"/>
  <c r="AP180" i="38"/>
  <c r="AP188" i="38"/>
  <c r="AP196" i="38"/>
  <c r="AP204" i="38"/>
  <c r="AP212" i="38"/>
  <c r="AP220" i="38"/>
  <c r="AP228" i="38"/>
  <c r="AP236" i="38"/>
  <c r="AP244" i="38"/>
  <c r="AP252" i="38"/>
  <c r="AP260" i="38"/>
  <c r="AP268" i="38"/>
  <c r="AP276" i="38"/>
  <c r="AP284" i="38"/>
  <c r="AP292" i="38"/>
  <c r="AP300" i="38"/>
  <c r="AP308" i="38"/>
  <c r="AP316" i="38"/>
  <c r="AP324" i="38"/>
  <c r="AP13" i="38"/>
  <c r="AP21" i="38"/>
  <c r="AP29" i="38"/>
  <c r="AP37" i="38"/>
  <c r="AP45" i="38"/>
  <c r="AP53" i="38"/>
  <c r="AP61" i="38"/>
  <c r="AP69" i="38"/>
  <c r="AP77" i="38"/>
  <c r="AP85" i="38"/>
  <c r="AP93" i="38"/>
  <c r="AP101" i="38"/>
  <c r="AP109" i="38"/>
  <c r="AP117" i="38"/>
  <c r="AP125" i="38"/>
  <c r="AP133" i="38"/>
  <c r="AP141" i="38"/>
  <c r="AP149" i="38"/>
  <c r="AP157" i="38"/>
  <c r="AP165" i="38"/>
  <c r="AP173" i="38"/>
  <c r="AP181" i="38"/>
  <c r="AP189" i="38"/>
  <c r="AP197" i="38"/>
  <c r="AP205" i="38"/>
  <c r="AP213" i="38"/>
  <c r="AP221" i="38"/>
  <c r="AP229" i="38"/>
  <c r="AP237" i="38"/>
  <c r="AP245" i="38"/>
  <c r="AP253" i="38"/>
  <c r="AP261" i="38"/>
  <c r="AP269" i="38"/>
  <c r="AP277" i="38"/>
  <c r="AP285" i="38"/>
  <c r="AP293" i="38"/>
  <c r="AP301" i="38"/>
  <c r="AP309" i="38"/>
  <c r="AP317" i="38"/>
  <c r="AP325" i="38"/>
  <c r="AP14" i="38"/>
  <c r="AP22" i="38"/>
  <c r="AP30" i="38"/>
  <c r="AP38" i="38"/>
  <c r="AP46" i="38"/>
  <c r="AP54" i="38"/>
  <c r="AP62" i="38"/>
  <c r="AP70" i="38"/>
  <c r="AP78" i="38"/>
  <c r="AP86" i="38"/>
  <c r="AP94" i="38"/>
  <c r="AP102" i="38"/>
  <c r="AP110" i="38"/>
  <c r="AP118" i="38"/>
  <c r="AP126" i="38"/>
  <c r="AP134" i="38"/>
  <c r="AP142" i="38"/>
  <c r="AP150" i="38"/>
  <c r="AP158" i="38"/>
  <c r="AP166" i="38"/>
  <c r="AP174" i="38"/>
  <c r="AP182" i="38"/>
  <c r="AP190" i="38"/>
  <c r="AP198" i="38"/>
  <c r="AP206" i="38"/>
  <c r="AP214" i="38"/>
  <c r="AP222" i="38"/>
  <c r="AP230" i="38"/>
  <c r="AP238" i="38"/>
  <c r="AP246" i="38"/>
  <c r="AP254" i="38"/>
  <c r="AP262" i="38"/>
  <c r="AP270" i="38"/>
  <c r="AP278" i="38"/>
  <c r="AP286" i="38"/>
  <c r="AP294" i="38"/>
  <c r="AP302" i="38"/>
  <c r="AP310" i="38"/>
  <c r="AP318" i="38"/>
  <c r="AP15" i="38"/>
  <c r="AP23" i="38"/>
  <c r="AP31" i="38"/>
  <c r="AP39" i="38"/>
  <c r="AP47" i="38"/>
  <c r="AP55" i="38"/>
  <c r="AP63" i="38"/>
  <c r="AP71" i="38"/>
  <c r="AP79" i="38"/>
  <c r="AP87" i="38"/>
  <c r="AP95" i="38"/>
  <c r="AP103" i="38"/>
  <c r="AP111" i="38"/>
  <c r="AP119" i="38"/>
  <c r="AP127" i="38"/>
  <c r="AP135" i="38"/>
  <c r="AP143" i="38"/>
  <c r="AP151" i="38"/>
  <c r="AP159" i="38"/>
  <c r="AP167" i="38"/>
  <c r="AP175" i="38"/>
  <c r="AP183" i="38"/>
  <c r="AP191" i="38"/>
  <c r="AP199" i="38"/>
  <c r="AP207" i="38"/>
  <c r="AP215" i="38"/>
  <c r="AP223" i="38"/>
  <c r="AP231" i="38"/>
  <c r="AP239" i="38"/>
  <c r="AP247" i="38"/>
  <c r="AP255" i="38"/>
  <c r="AP263" i="38"/>
  <c r="AP271" i="38"/>
  <c r="AP279" i="38"/>
  <c r="AP287" i="38"/>
  <c r="AP295" i="38"/>
  <c r="AP303" i="38"/>
  <c r="AP311" i="38"/>
  <c r="AP319" i="38"/>
  <c r="AP16" i="38"/>
  <c r="AP24" i="38"/>
  <c r="AP32" i="38"/>
  <c r="AP40" i="38"/>
  <c r="AP48" i="38"/>
  <c r="AP56" i="38"/>
  <c r="AP64" i="38"/>
  <c r="AP72" i="38"/>
  <c r="AP80" i="38"/>
  <c r="AP88" i="38"/>
  <c r="AP96" i="38"/>
  <c r="AP104" i="38"/>
  <c r="AP112" i="38"/>
  <c r="AP120" i="38"/>
  <c r="AP128" i="38"/>
  <c r="AP136" i="38"/>
  <c r="AP144" i="38"/>
  <c r="AP152" i="38"/>
  <c r="AP160" i="38"/>
  <c r="AP168" i="38"/>
  <c r="AP176" i="38"/>
  <c r="AP184" i="38"/>
  <c r="AP192" i="38"/>
  <c r="AP200" i="38"/>
  <c r="AP208" i="38"/>
  <c r="AP216" i="38"/>
  <c r="AP224" i="38"/>
  <c r="AP232" i="38"/>
  <c r="AP240" i="38"/>
  <c r="AP248" i="38"/>
  <c r="AP256" i="38"/>
  <c r="AP264" i="38"/>
  <c r="AP272" i="38"/>
  <c r="AP280" i="38"/>
  <c r="AP288" i="38"/>
  <c r="AP296" i="38"/>
  <c r="AP304" i="38"/>
  <c r="AP312" i="38"/>
  <c r="AP320" i="38"/>
  <c r="AP17" i="38"/>
  <c r="AP25" i="38"/>
  <c r="AP33" i="38"/>
  <c r="AP41" i="38"/>
  <c r="AP49" i="38"/>
  <c r="AP57" i="38"/>
  <c r="AP65" i="38"/>
  <c r="AP73" i="38"/>
  <c r="AP81" i="38"/>
  <c r="AP89" i="38"/>
  <c r="AP97" i="38"/>
  <c r="AP105" i="38"/>
  <c r="AP113" i="38"/>
  <c r="AP121" i="38"/>
  <c r="AP129" i="38"/>
  <c r="AP137" i="38"/>
  <c r="AP145" i="38"/>
  <c r="AP153" i="38"/>
  <c r="AP161" i="38"/>
  <c r="AP169" i="38"/>
  <c r="AP177" i="38"/>
  <c r="AP185" i="38"/>
  <c r="AP193" i="38"/>
  <c r="AP201" i="38"/>
  <c r="AP209" i="38"/>
  <c r="AP217" i="38"/>
  <c r="AP225" i="38"/>
  <c r="AP233" i="38"/>
  <c r="AP241" i="38"/>
  <c r="AP249" i="38"/>
  <c r="AP257" i="38"/>
  <c r="AP265" i="38"/>
  <c r="AP273" i="38"/>
  <c r="AP281" i="38"/>
  <c r="AP289" i="38"/>
  <c r="AP297" i="38"/>
  <c r="AP305" i="38"/>
  <c r="AP313" i="38"/>
  <c r="AP327" i="38"/>
  <c r="AP335" i="38"/>
  <c r="AP343" i="38"/>
  <c r="AP351" i="38"/>
  <c r="AP359" i="38"/>
  <c r="AP367" i="38"/>
  <c r="AP375" i="38"/>
  <c r="AJ19" i="38"/>
  <c r="AJ27" i="38"/>
  <c r="AJ35" i="38"/>
  <c r="AJ43" i="38"/>
  <c r="AJ51" i="38"/>
  <c r="AJ59" i="38"/>
  <c r="AJ67" i="38"/>
  <c r="AJ75" i="38"/>
  <c r="AJ83" i="38"/>
  <c r="AJ91" i="38"/>
  <c r="AJ99" i="38"/>
  <c r="AJ107" i="38"/>
  <c r="AJ115" i="38"/>
  <c r="AJ123" i="38"/>
  <c r="AJ131" i="38"/>
  <c r="AJ139" i="38"/>
  <c r="AJ147" i="38"/>
  <c r="AJ155" i="38"/>
  <c r="AJ163" i="38"/>
  <c r="AJ171" i="38"/>
  <c r="AJ179" i="38"/>
  <c r="AJ187" i="38"/>
  <c r="AJ195" i="38"/>
  <c r="AJ203" i="38"/>
  <c r="AJ211" i="38"/>
  <c r="AJ219" i="38"/>
  <c r="AJ227" i="38"/>
  <c r="AJ235" i="38"/>
  <c r="AJ243" i="38"/>
  <c r="AJ251" i="38"/>
  <c r="AJ259" i="38"/>
  <c r="AJ267" i="38"/>
  <c r="AP328" i="38"/>
  <c r="AP336" i="38"/>
  <c r="AP344" i="38"/>
  <c r="AP352" i="38"/>
  <c r="AP360" i="38"/>
  <c r="AP368" i="38"/>
  <c r="AP376" i="38"/>
  <c r="AJ12" i="38"/>
  <c r="AJ20" i="38"/>
  <c r="AJ28" i="38"/>
  <c r="AJ36" i="38"/>
  <c r="AJ44" i="38"/>
  <c r="AJ52" i="38"/>
  <c r="AJ60" i="38"/>
  <c r="AJ68" i="38"/>
  <c r="AJ76" i="38"/>
  <c r="AJ84" i="38"/>
  <c r="AJ92" i="38"/>
  <c r="AJ100" i="38"/>
  <c r="AJ108" i="38"/>
  <c r="AJ116" i="38"/>
  <c r="AJ124" i="38"/>
  <c r="AJ132" i="38"/>
  <c r="AJ140" i="38"/>
  <c r="AJ148" i="38"/>
  <c r="AJ156" i="38"/>
  <c r="AJ164" i="38"/>
  <c r="AJ172" i="38"/>
  <c r="AJ180" i="38"/>
  <c r="AJ188" i="38"/>
  <c r="AJ196" i="38"/>
  <c r="AJ204" i="38"/>
  <c r="AJ212" i="38"/>
  <c r="AJ220" i="38"/>
  <c r="AJ228" i="38"/>
  <c r="AJ236" i="38"/>
  <c r="AJ244" i="38"/>
  <c r="AJ252" i="38"/>
  <c r="AJ260" i="38"/>
  <c r="AJ268" i="38"/>
  <c r="AP329" i="38"/>
  <c r="AP337" i="38"/>
  <c r="AP345" i="38"/>
  <c r="AP353" i="38"/>
  <c r="AP361" i="38"/>
  <c r="AP369" i="38"/>
  <c r="AJ13" i="38"/>
  <c r="AJ21" i="38"/>
  <c r="AJ29" i="38"/>
  <c r="AJ37" i="38"/>
  <c r="AJ45" i="38"/>
  <c r="AJ53" i="38"/>
  <c r="AJ61" i="38"/>
  <c r="AJ69" i="38"/>
  <c r="AJ77" i="38"/>
  <c r="AJ85" i="38"/>
  <c r="AJ93" i="38"/>
  <c r="AJ101" i="38"/>
  <c r="AJ109" i="38"/>
  <c r="AJ117" i="38"/>
  <c r="AJ125" i="38"/>
  <c r="AJ133" i="38"/>
  <c r="AJ141" i="38"/>
  <c r="AJ149" i="38"/>
  <c r="AJ157" i="38"/>
  <c r="AJ165" i="38"/>
  <c r="AJ173" i="38"/>
  <c r="AJ181" i="38"/>
  <c r="AJ189" i="38"/>
  <c r="AJ197" i="38"/>
  <c r="AJ205" i="38"/>
  <c r="AJ213" i="38"/>
  <c r="AJ221" i="38"/>
  <c r="AJ229" i="38"/>
  <c r="AJ237" i="38"/>
  <c r="AJ245" i="38"/>
  <c r="AJ253" i="38"/>
  <c r="AP330" i="38"/>
  <c r="AP338" i="38"/>
  <c r="AP346" i="38"/>
  <c r="AP354" i="38"/>
  <c r="AP362" i="38"/>
  <c r="AP370" i="38"/>
  <c r="AJ14" i="38"/>
  <c r="AJ22" i="38"/>
  <c r="AJ30" i="38"/>
  <c r="AJ38" i="38"/>
  <c r="AJ46" i="38"/>
  <c r="AJ54" i="38"/>
  <c r="AJ62" i="38"/>
  <c r="AJ70" i="38"/>
  <c r="AJ78" i="38"/>
  <c r="AJ86" i="38"/>
  <c r="AJ94" i="38"/>
  <c r="AJ102" i="38"/>
  <c r="AJ110" i="38"/>
  <c r="AJ118" i="38"/>
  <c r="AJ126" i="38"/>
  <c r="AJ134" i="38"/>
  <c r="AJ142" i="38"/>
  <c r="AJ150" i="38"/>
  <c r="AJ158" i="38"/>
  <c r="AJ166" i="38"/>
  <c r="AJ174" i="38"/>
  <c r="AJ182" i="38"/>
  <c r="AJ190" i="38"/>
  <c r="AJ198" i="38"/>
  <c r="AJ206" i="38"/>
  <c r="AJ214" i="38"/>
  <c r="AJ222" i="38"/>
  <c r="AJ230" i="38"/>
  <c r="AJ238" i="38"/>
  <c r="AJ246" i="38"/>
  <c r="AJ254" i="38"/>
  <c r="AJ262" i="38"/>
  <c r="AJ270" i="38"/>
  <c r="AP331" i="38"/>
  <c r="AP339" i="38"/>
  <c r="AP347" i="38"/>
  <c r="AP355" i="38"/>
  <c r="AP363" i="38"/>
  <c r="AP371" i="38"/>
  <c r="AJ15" i="38"/>
  <c r="AJ23" i="38"/>
  <c r="AJ31" i="38"/>
  <c r="AJ39" i="38"/>
  <c r="AJ47" i="38"/>
  <c r="AJ55" i="38"/>
  <c r="AJ63" i="38"/>
  <c r="AJ71" i="38"/>
  <c r="AJ79" i="38"/>
  <c r="AJ87" i="38"/>
  <c r="AJ95" i="38"/>
  <c r="AJ103" i="38"/>
  <c r="AJ111" i="38"/>
  <c r="AJ119" i="38"/>
  <c r="AJ127" i="38"/>
  <c r="AJ135" i="38"/>
  <c r="AJ143" i="38"/>
  <c r="AJ151" i="38"/>
  <c r="AJ159" i="38"/>
  <c r="AJ167" i="38"/>
  <c r="AJ175" i="38"/>
  <c r="AJ183" i="38"/>
  <c r="AJ191" i="38"/>
  <c r="AJ199" i="38"/>
  <c r="AJ207" i="38"/>
  <c r="AJ215" i="38"/>
  <c r="AJ223" i="38"/>
  <c r="AJ231" i="38"/>
  <c r="AJ239" i="38"/>
  <c r="AJ247" i="38"/>
  <c r="AJ255" i="38"/>
  <c r="AJ263" i="38"/>
  <c r="AJ271" i="38"/>
  <c r="AP321" i="38"/>
  <c r="AP332" i="38"/>
  <c r="AP340" i="38"/>
  <c r="AP348" i="38"/>
  <c r="AP356" i="38"/>
  <c r="AP364" i="38"/>
  <c r="AP372" i="38"/>
  <c r="AJ16" i="38"/>
  <c r="AJ24" i="38"/>
  <c r="AJ32" i="38"/>
  <c r="AJ40" i="38"/>
  <c r="AJ48" i="38"/>
  <c r="AJ56" i="38"/>
  <c r="AJ64" i="38"/>
  <c r="AJ72" i="38"/>
  <c r="AJ80" i="38"/>
  <c r="AJ88" i="38"/>
  <c r="AJ96" i="38"/>
  <c r="AJ104" i="38"/>
  <c r="AJ112" i="38"/>
  <c r="AJ120" i="38"/>
  <c r="AJ128" i="38"/>
  <c r="AJ136" i="38"/>
  <c r="AJ144" i="38"/>
  <c r="AJ152" i="38"/>
  <c r="AJ160" i="38"/>
  <c r="AJ168" i="38"/>
  <c r="AJ176" i="38"/>
  <c r="AJ184" i="38"/>
  <c r="AJ192" i="38"/>
  <c r="AJ200" i="38"/>
  <c r="AJ208" i="38"/>
  <c r="AJ216" i="38"/>
  <c r="AJ224" i="38"/>
  <c r="AJ232" i="38"/>
  <c r="AJ240" i="38"/>
  <c r="AJ248" i="38"/>
  <c r="AJ256" i="38"/>
  <c r="AJ264" i="38"/>
  <c r="AP323" i="38"/>
  <c r="AP333" i="38"/>
  <c r="AP341" i="38"/>
  <c r="AP349" i="38"/>
  <c r="AP357" i="38"/>
  <c r="AP365" i="38"/>
  <c r="AP373" i="38"/>
  <c r="AJ17" i="38"/>
  <c r="AJ25" i="38"/>
  <c r="AJ33" i="38"/>
  <c r="AJ41" i="38"/>
  <c r="AJ49" i="38"/>
  <c r="AJ57" i="38"/>
  <c r="AJ65" i="38"/>
  <c r="AJ73" i="38"/>
  <c r="AJ81" i="38"/>
  <c r="AJ89" i="38"/>
  <c r="AJ97" i="38"/>
  <c r="AJ105" i="38"/>
  <c r="AJ113" i="38"/>
  <c r="AJ121" i="38"/>
  <c r="AJ129" i="38"/>
  <c r="AJ137" i="38"/>
  <c r="AJ145" i="38"/>
  <c r="AJ153" i="38"/>
  <c r="AJ161" i="38"/>
  <c r="AJ169" i="38"/>
  <c r="AJ177" i="38"/>
  <c r="AJ185" i="38"/>
  <c r="AJ193" i="38"/>
  <c r="AJ201" i="38"/>
  <c r="AJ209" i="38"/>
  <c r="AJ217" i="38"/>
  <c r="AJ225" i="38"/>
  <c r="AJ233" i="38"/>
  <c r="AJ241" i="38"/>
  <c r="AJ249" i="38"/>
  <c r="AP326" i="38"/>
  <c r="AP334" i="38"/>
  <c r="AP342" i="38"/>
  <c r="AP350" i="38"/>
  <c r="AP358" i="38"/>
  <c r="AP366" i="38"/>
  <c r="AP374" i="38"/>
  <c r="AJ18" i="38"/>
  <c r="AJ26" i="38"/>
  <c r="AJ34" i="38"/>
  <c r="AJ42" i="38"/>
  <c r="AJ50" i="38"/>
  <c r="AJ58" i="38"/>
  <c r="AJ66" i="38"/>
  <c r="AJ74" i="38"/>
  <c r="AJ82" i="38"/>
  <c r="AJ90" i="38"/>
  <c r="AJ98" i="38"/>
  <c r="AJ106" i="38"/>
  <c r="AJ114" i="38"/>
  <c r="AJ122" i="38"/>
  <c r="AJ130" i="38"/>
  <c r="AJ138" i="38"/>
  <c r="AJ146" i="38"/>
  <c r="AJ154" i="38"/>
  <c r="AJ162" i="38"/>
  <c r="AJ170" i="38"/>
  <c r="AJ178" i="38"/>
  <c r="AJ186" i="38"/>
  <c r="AJ194" i="38"/>
  <c r="AJ202" i="38"/>
  <c r="AJ226" i="38"/>
  <c r="AJ266" i="38"/>
  <c r="AJ278" i="38"/>
  <c r="AJ286" i="38"/>
  <c r="AJ294" i="38"/>
  <c r="AJ302" i="38"/>
  <c r="AJ310" i="38"/>
  <c r="AJ318" i="38"/>
  <c r="AJ326" i="38"/>
  <c r="AJ334" i="38"/>
  <c r="AJ342" i="38"/>
  <c r="AJ350" i="38"/>
  <c r="AJ358" i="38"/>
  <c r="AJ366" i="38"/>
  <c r="AJ374" i="38"/>
  <c r="AD18" i="38"/>
  <c r="AD26" i="38"/>
  <c r="AD34" i="38"/>
  <c r="AD42" i="38"/>
  <c r="AD50" i="38"/>
  <c r="AD58" i="38"/>
  <c r="AD66" i="38"/>
  <c r="AD74" i="38"/>
  <c r="AD82" i="38"/>
  <c r="AD90" i="38"/>
  <c r="AD98" i="38"/>
  <c r="AD106" i="38"/>
  <c r="AD114" i="38"/>
  <c r="AD122" i="38"/>
  <c r="AD130" i="38"/>
  <c r="AD138" i="38"/>
  <c r="AD146" i="38"/>
  <c r="AD154" i="38"/>
  <c r="AD162" i="38"/>
  <c r="AD170" i="38"/>
  <c r="AD178" i="38"/>
  <c r="AD186" i="38"/>
  <c r="AD194" i="38"/>
  <c r="AD202" i="38"/>
  <c r="AD210" i="38"/>
  <c r="AJ234" i="38"/>
  <c r="AJ269" i="38"/>
  <c r="AJ279" i="38"/>
  <c r="AJ287" i="38"/>
  <c r="AJ295" i="38"/>
  <c r="AJ303" i="38"/>
  <c r="AJ311" i="38"/>
  <c r="AJ319" i="38"/>
  <c r="AJ327" i="38"/>
  <c r="AJ335" i="38"/>
  <c r="AJ343" i="38"/>
  <c r="AJ351" i="38"/>
  <c r="AJ359" i="38"/>
  <c r="AJ367" i="38"/>
  <c r="AJ375" i="38"/>
  <c r="AD19" i="38"/>
  <c r="AD27" i="38"/>
  <c r="AD35" i="38"/>
  <c r="AD43" i="38"/>
  <c r="AD51" i="38"/>
  <c r="AD59" i="38"/>
  <c r="AD67" i="38"/>
  <c r="AD75" i="38"/>
  <c r="AD83" i="38"/>
  <c r="AD91" i="38"/>
  <c r="AD99" i="38"/>
  <c r="AD107" i="38"/>
  <c r="AD115" i="38"/>
  <c r="AD123" i="38"/>
  <c r="AD131" i="38"/>
  <c r="AD139" i="38"/>
  <c r="AD147" i="38"/>
  <c r="AD155" i="38"/>
  <c r="AD163" i="38"/>
  <c r="AD171" i="38"/>
  <c r="AD179" i="38"/>
  <c r="AD187" i="38"/>
  <c r="AD195" i="38"/>
  <c r="AD203" i="38"/>
  <c r="AJ242" i="38"/>
  <c r="AJ272" i="38"/>
  <c r="AJ280" i="38"/>
  <c r="AJ288" i="38"/>
  <c r="AJ296" i="38"/>
  <c r="AJ304" i="38"/>
  <c r="AJ312" i="38"/>
  <c r="AJ320" i="38"/>
  <c r="AJ328" i="38"/>
  <c r="AJ336" i="38"/>
  <c r="AJ344" i="38"/>
  <c r="AJ352" i="38"/>
  <c r="AJ360" i="38"/>
  <c r="AJ368" i="38"/>
  <c r="AJ376" i="38"/>
  <c r="AD12" i="38"/>
  <c r="AD20" i="38"/>
  <c r="AD28" i="38"/>
  <c r="AD36" i="38"/>
  <c r="AD44" i="38"/>
  <c r="AD52" i="38"/>
  <c r="AD60" i="38"/>
  <c r="AD68" i="38"/>
  <c r="AD76" i="38"/>
  <c r="AD84" i="38"/>
  <c r="AD92" i="38"/>
  <c r="AD100" i="38"/>
  <c r="AD108" i="38"/>
  <c r="AD116" i="38"/>
  <c r="AD124" i="38"/>
  <c r="AD132" i="38"/>
  <c r="AD140" i="38"/>
  <c r="AD148" i="38"/>
  <c r="AD156" i="38"/>
  <c r="AD164" i="38"/>
  <c r="AD172" i="38"/>
  <c r="AD180" i="38"/>
  <c r="AD188" i="38"/>
  <c r="AJ250" i="38"/>
  <c r="AJ273" i="38"/>
  <c r="AJ281" i="38"/>
  <c r="AJ289" i="38"/>
  <c r="AJ297" i="38"/>
  <c r="AJ305" i="38"/>
  <c r="AJ313" i="38"/>
  <c r="AJ321" i="38"/>
  <c r="AJ329" i="38"/>
  <c r="AJ337" i="38"/>
  <c r="AJ345" i="38"/>
  <c r="AJ353" i="38"/>
  <c r="AJ361" i="38"/>
  <c r="AJ369" i="38"/>
  <c r="AD13" i="38"/>
  <c r="AD21" i="38"/>
  <c r="AD29" i="38"/>
  <c r="AD37" i="38"/>
  <c r="AD45" i="38"/>
  <c r="AD53" i="38"/>
  <c r="AD61" i="38"/>
  <c r="AD69" i="38"/>
  <c r="AD77" i="38"/>
  <c r="AD85" i="38"/>
  <c r="AD93" i="38"/>
  <c r="AD101" i="38"/>
  <c r="AD109" i="38"/>
  <c r="AD117" i="38"/>
  <c r="AD125" i="38"/>
  <c r="AD133" i="38"/>
  <c r="AD141" i="38"/>
  <c r="AD149" i="38"/>
  <c r="AD157" i="38"/>
  <c r="AD165" i="38"/>
  <c r="AD173" i="38"/>
  <c r="AD181" i="38"/>
  <c r="AD189" i="38"/>
  <c r="AD197" i="38"/>
  <c r="AD205" i="38"/>
  <c r="AJ257" i="38"/>
  <c r="AJ274" i="38"/>
  <c r="AJ282" i="38"/>
  <c r="AJ290" i="38"/>
  <c r="AJ298" i="38"/>
  <c r="AJ306" i="38"/>
  <c r="AJ314" i="38"/>
  <c r="AJ322" i="38"/>
  <c r="AJ330" i="38"/>
  <c r="AJ338" i="38"/>
  <c r="AJ346" i="38"/>
  <c r="AJ354" i="38"/>
  <c r="AJ362" i="38"/>
  <c r="AJ370" i="38"/>
  <c r="AD14" i="38"/>
  <c r="AD22" i="38"/>
  <c r="AD30" i="38"/>
  <c r="AD38" i="38"/>
  <c r="AD46" i="38"/>
  <c r="AD54" i="38"/>
  <c r="AD62" i="38"/>
  <c r="AD70" i="38"/>
  <c r="AD78" i="38"/>
  <c r="AD86" i="38"/>
  <c r="AD94" i="38"/>
  <c r="AD102" i="38"/>
  <c r="AD110" i="38"/>
  <c r="AD118" i="38"/>
  <c r="AD126" i="38"/>
  <c r="AD134" i="38"/>
  <c r="AD142" i="38"/>
  <c r="AD150" i="38"/>
  <c r="AD158" i="38"/>
  <c r="AD166" i="38"/>
  <c r="AD174" i="38"/>
  <c r="AD182" i="38"/>
  <c r="AD190" i="38"/>
  <c r="AD198" i="38"/>
  <c r="AD206" i="38"/>
  <c r="AJ258" i="38"/>
  <c r="AJ275" i="38"/>
  <c r="AJ283" i="38"/>
  <c r="AJ291" i="38"/>
  <c r="AJ299" i="38"/>
  <c r="AJ307" i="38"/>
  <c r="AJ315" i="38"/>
  <c r="AJ323" i="38"/>
  <c r="AJ331" i="38"/>
  <c r="AJ339" i="38"/>
  <c r="AJ347" i="38"/>
  <c r="AJ355" i="38"/>
  <c r="AJ363" i="38"/>
  <c r="AJ371" i="38"/>
  <c r="AD15" i="38"/>
  <c r="AD23" i="38"/>
  <c r="AD31" i="38"/>
  <c r="AD39" i="38"/>
  <c r="AD47" i="38"/>
  <c r="AD55" i="38"/>
  <c r="AD63" i="38"/>
  <c r="AD71" i="38"/>
  <c r="AD79" i="38"/>
  <c r="AD87" i="38"/>
  <c r="AD95" i="38"/>
  <c r="AD103" i="38"/>
  <c r="AD111" i="38"/>
  <c r="AD119" i="38"/>
  <c r="AD127" i="38"/>
  <c r="AD135" i="38"/>
  <c r="AD143" i="38"/>
  <c r="AD151" i="38"/>
  <c r="AD159" i="38"/>
  <c r="AD167" i="38"/>
  <c r="AD175" i="38"/>
  <c r="AD183" i="38"/>
  <c r="AD191" i="38"/>
  <c r="AD199" i="38"/>
  <c r="AJ210" i="38"/>
  <c r="AJ261" i="38"/>
  <c r="AJ276" i="38"/>
  <c r="AJ284" i="38"/>
  <c r="AJ292" i="38"/>
  <c r="AJ300" i="38"/>
  <c r="AJ308" i="38"/>
  <c r="AJ316" i="38"/>
  <c r="AJ324" i="38"/>
  <c r="AJ332" i="38"/>
  <c r="AJ340" i="38"/>
  <c r="AJ348" i="38"/>
  <c r="AJ356" i="38"/>
  <c r="AJ364" i="38"/>
  <c r="AJ372" i="38"/>
  <c r="AD16" i="38"/>
  <c r="AD24" i="38"/>
  <c r="AD32" i="38"/>
  <c r="AD40" i="38"/>
  <c r="AD48" i="38"/>
  <c r="AD56" i="38"/>
  <c r="AD64" i="38"/>
  <c r="AD72" i="38"/>
  <c r="AD80" i="38"/>
  <c r="AD88" i="38"/>
  <c r="AD96" i="38"/>
  <c r="AD104" i="38"/>
  <c r="AD112" i="38"/>
  <c r="AD120" i="38"/>
  <c r="AD128" i="38"/>
  <c r="AD136" i="38"/>
  <c r="AD144" i="38"/>
  <c r="AD152" i="38"/>
  <c r="AD160" i="38"/>
  <c r="AD168" i="38"/>
  <c r="AD176" i="38"/>
  <c r="AD184" i="38"/>
  <c r="AJ218" i="38"/>
  <c r="AJ265" i="38"/>
  <c r="AJ277" i="38"/>
  <c r="AJ285" i="38"/>
  <c r="AJ293" i="38"/>
  <c r="AJ301" i="38"/>
  <c r="AJ309" i="38"/>
  <c r="AJ317" i="38"/>
  <c r="AJ325" i="38"/>
  <c r="AJ333" i="38"/>
  <c r="AJ341" i="38"/>
  <c r="AJ349" i="38"/>
  <c r="AJ357" i="38"/>
  <c r="AJ365" i="38"/>
  <c r="AJ373" i="38"/>
  <c r="AD17" i="38"/>
  <c r="AD25" i="38"/>
  <c r="AD33" i="38"/>
  <c r="AD41" i="38"/>
  <c r="AD49" i="38"/>
  <c r="AD57" i="38"/>
  <c r="AD65" i="38"/>
  <c r="AD73" i="38"/>
  <c r="AD81" i="38"/>
  <c r="AD89" i="38"/>
  <c r="AD97" i="38"/>
  <c r="AD105" i="38"/>
  <c r="AD113" i="38"/>
  <c r="AD121" i="38"/>
  <c r="AD129" i="38"/>
  <c r="AD137" i="38"/>
  <c r="AD153" i="38"/>
  <c r="AD200" i="38"/>
  <c r="AD213" i="38"/>
  <c r="AD221" i="38"/>
  <c r="AD229" i="38"/>
  <c r="AD237" i="38"/>
  <c r="AD245" i="38"/>
  <c r="AD253" i="38"/>
  <c r="AD261" i="38"/>
  <c r="AD269" i="38"/>
  <c r="AD277" i="38"/>
  <c r="AD285" i="38"/>
  <c r="AD293" i="38"/>
  <c r="AD301" i="38"/>
  <c r="AD309" i="38"/>
  <c r="AD317" i="38"/>
  <c r="AD325" i="38"/>
  <c r="AD333" i="38"/>
  <c r="AD341" i="38"/>
  <c r="AD349" i="38"/>
  <c r="AD357" i="38"/>
  <c r="AD365" i="38"/>
  <c r="AD373" i="38"/>
  <c r="X17" i="38"/>
  <c r="AQ17" i="38" s="1"/>
  <c r="X25" i="38"/>
  <c r="AQ25" i="38" s="1"/>
  <c r="X33" i="38"/>
  <c r="AQ33" i="38" s="1"/>
  <c r="X41" i="38"/>
  <c r="AQ41" i="38" s="1"/>
  <c r="X49" i="38"/>
  <c r="AQ49" i="38" s="1"/>
  <c r="X57" i="38"/>
  <c r="AQ57" i="38" s="1"/>
  <c r="X65" i="38"/>
  <c r="AQ65" i="38" s="1"/>
  <c r="X73" i="38"/>
  <c r="AQ73" i="38" s="1"/>
  <c r="X81" i="38"/>
  <c r="AQ81" i="38" s="1"/>
  <c r="X89" i="38"/>
  <c r="AQ89" i="38" s="1"/>
  <c r="X97" i="38"/>
  <c r="AQ97" i="38" s="1"/>
  <c r="X105" i="38"/>
  <c r="AQ105" i="38" s="1"/>
  <c r="X113" i="38"/>
  <c r="AQ113" i="38" s="1"/>
  <c r="X121" i="38"/>
  <c r="AQ121" i="38" s="1"/>
  <c r="X129" i="38"/>
  <c r="AQ129" i="38" s="1"/>
  <c r="X137" i="38"/>
  <c r="AQ137" i="38" s="1"/>
  <c r="X145" i="38"/>
  <c r="AQ145" i="38" s="1"/>
  <c r="X153" i="38"/>
  <c r="AQ153" i="38" s="1"/>
  <c r="X161" i="38"/>
  <c r="AQ161" i="38" s="1"/>
  <c r="X169" i="38"/>
  <c r="AQ169" i="38" s="1"/>
  <c r="AD161" i="38"/>
  <c r="AD201" i="38"/>
  <c r="AD214" i="38"/>
  <c r="AD222" i="38"/>
  <c r="AD230" i="38"/>
  <c r="AD238" i="38"/>
  <c r="AD246" i="38"/>
  <c r="AD254" i="38"/>
  <c r="AD262" i="38"/>
  <c r="AD270" i="38"/>
  <c r="AD278" i="38"/>
  <c r="AD286" i="38"/>
  <c r="AD294" i="38"/>
  <c r="AD302" i="38"/>
  <c r="AD310" i="38"/>
  <c r="AD318" i="38"/>
  <c r="AD326" i="38"/>
  <c r="AD334" i="38"/>
  <c r="AD342" i="38"/>
  <c r="AD350" i="38"/>
  <c r="AD358" i="38"/>
  <c r="AD366" i="38"/>
  <c r="AD374" i="38"/>
  <c r="X18" i="38"/>
  <c r="AQ18" i="38" s="1"/>
  <c r="X26" i="38"/>
  <c r="AQ26" i="38" s="1"/>
  <c r="X34" i="38"/>
  <c r="AQ34" i="38" s="1"/>
  <c r="X42" i="38"/>
  <c r="AQ42" i="38" s="1"/>
  <c r="X50" i="38"/>
  <c r="AQ50" i="38" s="1"/>
  <c r="X58" i="38"/>
  <c r="AQ58" i="38" s="1"/>
  <c r="X66" i="38"/>
  <c r="AQ66" i="38" s="1"/>
  <c r="X74" i="38"/>
  <c r="AQ74" i="38" s="1"/>
  <c r="X82" i="38"/>
  <c r="AQ82" i="38" s="1"/>
  <c r="X90" i="38"/>
  <c r="AQ90" i="38" s="1"/>
  <c r="X98" i="38"/>
  <c r="AQ98" i="38" s="1"/>
  <c r="X106" i="38"/>
  <c r="AQ106" i="38" s="1"/>
  <c r="X114" i="38"/>
  <c r="AQ114" i="38" s="1"/>
  <c r="X122" i="38"/>
  <c r="AQ122" i="38" s="1"/>
  <c r="X130" i="38"/>
  <c r="AQ130" i="38" s="1"/>
  <c r="X138" i="38"/>
  <c r="AQ138" i="38" s="1"/>
  <c r="X146" i="38"/>
  <c r="AQ146" i="38" s="1"/>
  <c r="X154" i="38"/>
  <c r="AQ154" i="38" s="1"/>
  <c r="AD169" i="38"/>
  <c r="AD204" i="38"/>
  <c r="AD215" i="38"/>
  <c r="AD223" i="38"/>
  <c r="AD231" i="38"/>
  <c r="AD239" i="38"/>
  <c r="AD247" i="38"/>
  <c r="AD255" i="38"/>
  <c r="AD263" i="38"/>
  <c r="AD271" i="38"/>
  <c r="AD279" i="38"/>
  <c r="AD287" i="38"/>
  <c r="AD295" i="38"/>
  <c r="AD303" i="38"/>
  <c r="AD311" i="38"/>
  <c r="AD319" i="38"/>
  <c r="AD327" i="38"/>
  <c r="AD335" i="38"/>
  <c r="AD343" i="38"/>
  <c r="AD351" i="38"/>
  <c r="AD359" i="38"/>
  <c r="AD367" i="38"/>
  <c r="AD375" i="38"/>
  <c r="X19" i="38"/>
  <c r="AQ19" i="38" s="1"/>
  <c r="X27" i="38"/>
  <c r="AQ27" i="38" s="1"/>
  <c r="X35" i="38"/>
  <c r="AQ35" i="38" s="1"/>
  <c r="X43" i="38"/>
  <c r="AQ43" i="38" s="1"/>
  <c r="X51" i="38"/>
  <c r="AQ51" i="38" s="1"/>
  <c r="X59" i="38"/>
  <c r="AQ59" i="38" s="1"/>
  <c r="X67" i="38"/>
  <c r="AQ67" i="38" s="1"/>
  <c r="X75" i="38"/>
  <c r="AQ75" i="38" s="1"/>
  <c r="X83" i="38"/>
  <c r="AQ83" i="38" s="1"/>
  <c r="X91" i="38"/>
  <c r="AQ91" i="38" s="1"/>
  <c r="X99" i="38"/>
  <c r="AQ99" i="38" s="1"/>
  <c r="X107" i="38"/>
  <c r="AQ107" i="38" s="1"/>
  <c r="X115" i="38"/>
  <c r="AQ115" i="38" s="1"/>
  <c r="X123" i="38"/>
  <c r="AQ123" i="38" s="1"/>
  <c r="X131" i="38"/>
  <c r="AQ131" i="38" s="1"/>
  <c r="X139" i="38"/>
  <c r="AQ139" i="38" s="1"/>
  <c r="AD177" i="38"/>
  <c r="AD207" i="38"/>
  <c r="AD216" i="38"/>
  <c r="AD224" i="38"/>
  <c r="AD232" i="38"/>
  <c r="AD240" i="38"/>
  <c r="AD248" i="38"/>
  <c r="AD256" i="38"/>
  <c r="AD264" i="38"/>
  <c r="AD272" i="38"/>
  <c r="AD280" i="38"/>
  <c r="AD288" i="38"/>
  <c r="AD296" i="38"/>
  <c r="AD304" i="38"/>
  <c r="AD312" i="38"/>
  <c r="AD320" i="38"/>
  <c r="AD328" i="38"/>
  <c r="AD336" i="38"/>
  <c r="AD344" i="38"/>
  <c r="AD352" i="38"/>
  <c r="AD360" i="38"/>
  <c r="AD368" i="38"/>
  <c r="AD376" i="38"/>
  <c r="X12" i="38"/>
  <c r="AQ12" i="38" s="1"/>
  <c r="X20" i="38"/>
  <c r="AQ20" i="38" s="1"/>
  <c r="X28" i="38"/>
  <c r="AQ28" i="38" s="1"/>
  <c r="X36" i="38"/>
  <c r="AQ36" i="38" s="1"/>
  <c r="X44" i="38"/>
  <c r="AQ44" i="38" s="1"/>
  <c r="X52" i="38"/>
  <c r="AQ52" i="38" s="1"/>
  <c r="X60" i="38"/>
  <c r="AQ60" i="38" s="1"/>
  <c r="X68" i="38"/>
  <c r="AQ68" i="38" s="1"/>
  <c r="X76" i="38"/>
  <c r="AQ76" i="38" s="1"/>
  <c r="X84" i="38"/>
  <c r="AQ84" i="38" s="1"/>
  <c r="X92" i="38"/>
  <c r="AQ92" i="38" s="1"/>
  <c r="X100" i="38"/>
  <c r="AQ100" i="38" s="1"/>
  <c r="X108" i="38"/>
  <c r="AQ108" i="38" s="1"/>
  <c r="X116" i="38"/>
  <c r="AQ116" i="38" s="1"/>
  <c r="X124" i="38"/>
  <c r="AQ124" i="38" s="1"/>
  <c r="AD185" i="38"/>
  <c r="AD208" i="38"/>
  <c r="AD217" i="38"/>
  <c r="AD225" i="38"/>
  <c r="AD233" i="38"/>
  <c r="AD241" i="38"/>
  <c r="AD249" i="38"/>
  <c r="AD257" i="38"/>
  <c r="AD265" i="38"/>
  <c r="AD273" i="38"/>
  <c r="AD281" i="38"/>
  <c r="AD289" i="38"/>
  <c r="AD297" i="38"/>
  <c r="AD305" i="38"/>
  <c r="AD313" i="38"/>
  <c r="AD321" i="38"/>
  <c r="AD329" i="38"/>
  <c r="AD337" i="38"/>
  <c r="AD345" i="38"/>
  <c r="AD353" i="38"/>
  <c r="AD361" i="38"/>
  <c r="AD369" i="38"/>
  <c r="X13" i="38"/>
  <c r="AQ13" i="38" s="1"/>
  <c r="X21" i="38"/>
  <c r="AQ21" i="38" s="1"/>
  <c r="X29" i="38"/>
  <c r="AQ29" i="38" s="1"/>
  <c r="X37" i="38"/>
  <c r="AQ37" i="38" s="1"/>
  <c r="X45" i="38"/>
  <c r="AQ45" i="38" s="1"/>
  <c r="X53" i="38"/>
  <c r="AQ53" i="38" s="1"/>
  <c r="X61" i="38"/>
  <c r="AQ61" i="38" s="1"/>
  <c r="X69" i="38"/>
  <c r="AQ69" i="38" s="1"/>
  <c r="X77" i="38"/>
  <c r="AQ77" i="38" s="1"/>
  <c r="X85" i="38"/>
  <c r="AQ85" i="38" s="1"/>
  <c r="X93" i="38"/>
  <c r="AQ93" i="38" s="1"/>
  <c r="X101" i="38"/>
  <c r="AQ101" i="38" s="1"/>
  <c r="X109" i="38"/>
  <c r="AQ109" i="38" s="1"/>
  <c r="X117" i="38"/>
  <c r="AQ117" i="38" s="1"/>
  <c r="X125" i="38"/>
  <c r="AQ125" i="38" s="1"/>
  <c r="X133" i="38"/>
  <c r="AQ133" i="38" s="1"/>
  <c r="X141" i="38"/>
  <c r="AQ141" i="38" s="1"/>
  <c r="AD192" i="38"/>
  <c r="AD209" i="38"/>
  <c r="AD218" i="38"/>
  <c r="AD226" i="38"/>
  <c r="AD234" i="38"/>
  <c r="AD242" i="38"/>
  <c r="AD250" i="38"/>
  <c r="AD258" i="38"/>
  <c r="AD266" i="38"/>
  <c r="AD274" i="38"/>
  <c r="AD282" i="38"/>
  <c r="AD290" i="38"/>
  <c r="AD298" i="38"/>
  <c r="AD306" i="38"/>
  <c r="AD314" i="38"/>
  <c r="AD322" i="38"/>
  <c r="AD330" i="38"/>
  <c r="AD338" i="38"/>
  <c r="AD346" i="38"/>
  <c r="AD354" i="38"/>
  <c r="AD362" i="38"/>
  <c r="AD370" i="38"/>
  <c r="X14" i="38"/>
  <c r="AQ14" i="38" s="1"/>
  <c r="X22" i="38"/>
  <c r="AQ22" i="38" s="1"/>
  <c r="X30" i="38"/>
  <c r="AQ30" i="38" s="1"/>
  <c r="X38" i="38"/>
  <c r="AQ38" i="38" s="1"/>
  <c r="X46" i="38"/>
  <c r="AQ46" i="38" s="1"/>
  <c r="X54" i="38"/>
  <c r="AQ54" i="38" s="1"/>
  <c r="X62" i="38"/>
  <c r="AQ62" i="38" s="1"/>
  <c r="X70" i="38"/>
  <c r="AQ70" i="38" s="1"/>
  <c r="X78" i="38"/>
  <c r="AQ78" i="38" s="1"/>
  <c r="X86" i="38"/>
  <c r="AQ86" i="38" s="1"/>
  <c r="X94" i="38"/>
  <c r="AQ94" i="38" s="1"/>
  <c r="X102" i="38"/>
  <c r="AQ102" i="38" s="1"/>
  <c r="X110" i="38"/>
  <c r="AQ110" i="38" s="1"/>
  <c r="X118" i="38"/>
  <c r="AQ118" i="38" s="1"/>
  <c r="X126" i="38"/>
  <c r="AQ126" i="38" s="1"/>
  <c r="AD193" i="38"/>
  <c r="AD211" i="38"/>
  <c r="AD219" i="38"/>
  <c r="AD227" i="38"/>
  <c r="AD235" i="38"/>
  <c r="AD243" i="38"/>
  <c r="AD251" i="38"/>
  <c r="AD259" i="38"/>
  <c r="AD267" i="38"/>
  <c r="AD275" i="38"/>
  <c r="AD283" i="38"/>
  <c r="AD291" i="38"/>
  <c r="AD299" i="38"/>
  <c r="AD307" i="38"/>
  <c r="AD315" i="38"/>
  <c r="AD323" i="38"/>
  <c r="AD331" i="38"/>
  <c r="AD339" i="38"/>
  <c r="AD347" i="38"/>
  <c r="AD355" i="38"/>
  <c r="AD363" i="38"/>
  <c r="AD371" i="38"/>
  <c r="X15" i="38"/>
  <c r="AQ15" i="38" s="1"/>
  <c r="X23" i="38"/>
  <c r="AQ23" i="38" s="1"/>
  <c r="X31" i="38"/>
  <c r="AQ31" i="38" s="1"/>
  <c r="X39" i="38"/>
  <c r="AQ39" i="38" s="1"/>
  <c r="X47" i="38"/>
  <c r="AQ47" i="38" s="1"/>
  <c r="X55" i="38"/>
  <c r="AQ55" i="38" s="1"/>
  <c r="X63" i="38"/>
  <c r="AQ63" i="38" s="1"/>
  <c r="X71" i="38"/>
  <c r="AQ71" i="38" s="1"/>
  <c r="X79" i="38"/>
  <c r="AQ79" i="38" s="1"/>
  <c r="X87" i="38"/>
  <c r="AQ87" i="38" s="1"/>
  <c r="X95" i="38"/>
  <c r="AQ95" i="38" s="1"/>
  <c r="X103" i="38"/>
  <c r="AQ103" i="38" s="1"/>
  <c r="X111" i="38"/>
  <c r="AQ111" i="38" s="1"/>
  <c r="AD145" i="38"/>
  <c r="AD196" i="38"/>
  <c r="AD212" i="38"/>
  <c r="AD220" i="38"/>
  <c r="AD228" i="38"/>
  <c r="AD236" i="38"/>
  <c r="AD244" i="38"/>
  <c r="AD252" i="38"/>
  <c r="AD260" i="38"/>
  <c r="AD268" i="38"/>
  <c r="AD276" i="38"/>
  <c r="AD284" i="38"/>
  <c r="AD292" i="38"/>
  <c r="AD300" i="38"/>
  <c r="AD308" i="38"/>
  <c r="AD316" i="38"/>
  <c r="AD324" i="38"/>
  <c r="AD332" i="38"/>
  <c r="AD340" i="38"/>
  <c r="AD348" i="38"/>
  <c r="AD356" i="38"/>
  <c r="AD364" i="38"/>
  <c r="AD372" i="38"/>
  <c r="X16" i="38"/>
  <c r="AQ16" i="38" s="1"/>
  <c r="X24" i="38"/>
  <c r="AQ24" i="38" s="1"/>
  <c r="X32" i="38"/>
  <c r="AQ32" i="38" s="1"/>
  <c r="X40" i="38"/>
  <c r="AQ40" i="38" s="1"/>
  <c r="X48" i="38"/>
  <c r="AQ48" i="38" s="1"/>
  <c r="X56" i="38"/>
  <c r="AQ56" i="38" s="1"/>
  <c r="X64" i="38"/>
  <c r="AQ64" i="38" s="1"/>
  <c r="X72" i="38"/>
  <c r="AQ72" i="38" s="1"/>
  <c r="X80" i="38"/>
  <c r="AQ80" i="38" s="1"/>
  <c r="X128" i="38"/>
  <c r="AQ128" i="38" s="1"/>
  <c r="X144" i="38"/>
  <c r="AQ144" i="38" s="1"/>
  <c r="X156" i="38"/>
  <c r="AQ156" i="38" s="1"/>
  <c r="X165" i="38"/>
  <c r="AQ165" i="38" s="1"/>
  <c r="X174" i="38"/>
  <c r="AQ174" i="38" s="1"/>
  <c r="X182" i="38"/>
  <c r="AQ182" i="38" s="1"/>
  <c r="X190" i="38"/>
  <c r="AQ190" i="38" s="1"/>
  <c r="X198" i="38"/>
  <c r="AQ198" i="38" s="1"/>
  <c r="X206" i="38"/>
  <c r="AQ206" i="38" s="1"/>
  <c r="X214" i="38"/>
  <c r="AQ214" i="38" s="1"/>
  <c r="X222" i="38"/>
  <c r="AQ222" i="38" s="1"/>
  <c r="X230" i="38"/>
  <c r="AQ230" i="38" s="1"/>
  <c r="X238" i="38"/>
  <c r="AQ238" i="38" s="1"/>
  <c r="X246" i="38"/>
  <c r="AQ246" i="38" s="1"/>
  <c r="X254" i="38"/>
  <c r="AQ254" i="38" s="1"/>
  <c r="X262" i="38"/>
  <c r="AQ262" i="38" s="1"/>
  <c r="X270" i="38"/>
  <c r="AQ270" i="38" s="1"/>
  <c r="X278" i="38"/>
  <c r="AQ278" i="38" s="1"/>
  <c r="X286" i="38"/>
  <c r="AQ286" i="38" s="1"/>
  <c r="X294" i="38"/>
  <c r="AQ294" i="38" s="1"/>
  <c r="X302" i="38"/>
  <c r="AQ302" i="38" s="1"/>
  <c r="X310" i="38"/>
  <c r="AQ310" i="38" s="1"/>
  <c r="X318" i="38"/>
  <c r="AQ318" i="38" s="1"/>
  <c r="X326" i="38"/>
  <c r="AQ326" i="38" s="1"/>
  <c r="X334" i="38"/>
  <c r="AQ334" i="38" s="1"/>
  <c r="X342" i="38"/>
  <c r="AQ342" i="38" s="1"/>
  <c r="X350" i="38"/>
  <c r="AQ350" i="38" s="1"/>
  <c r="X358" i="38"/>
  <c r="AQ358" i="38" s="1"/>
  <c r="X366" i="38"/>
  <c r="AQ366" i="38" s="1"/>
  <c r="X374" i="38"/>
  <c r="AQ374" i="38" s="1"/>
  <c r="X88" i="38"/>
  <c r="AQ88" i="38" s="1"/>
  <c r="X132" i="38"/>
  <c r="AQ132" i="38" s="1"/>
  <c r="X147" i="38"/>
  <c r="AQ147" i="38" s="1"/>
  <c r="X157" i="38"/>
  <c r="AQ157" i="38" s="1"/>
  <c r="X166" i="38"/>
  <c r="AQ166" i="38" s="1"/>
  <c r="X175" i="38"/>
  <c r="AQ175" i="38" s="1"/>
  <c r="X183" i="38"/>
  <c r="AQ183" i="38" s="1"/>
  <c r="X191" i="38"/>
  <c r="AQ191" i="38" s="1"/>
  <c r="X199" i="38"/>
  <c r="AQ199" i="38" s="1"/>
  <c r="X207" i="38"/>
  <c r="AQ207" i="38" s="1"/>
  <c r="X215" i="38"/>
  <c r="AQ215" i="38" s="1"/>
  <c r="X223" i="38"/>
  <c r="AQ223" i="38" s="1"/>
  <c r="X231" i="38"/>
  <c r="AQ231" i="38" s="1"/>
  <c r="X239" i="38"/>
  <c r="AQ239" i="38" s="1"/>
  <c r="X247" i="38"/>
  <c r="AQ247" i="38" s="1"/>
  <c r="X255" i="38"/>
  <c r="AQ255" i="38" s="1"/>
  <c r="X263" i="38"/>
  <c r="AQ263" i="38" s="1"/>
  <c r="X271" i="38"/>
  <c r="AQ271" i="38" s="1"/>
  <c r="X279" i="38"/>
  <c r="AQ279" i="38" s="1"/>
  <c r="X287" i="38"/>
  <c r="AQ287" i="38" s="1"/>
  <c r="X295" i="38"/>
  <c r="AQ295" i="38" s="1"/>
  <c r="X303" i="38"/>
  <c r="AQ303" i="38" s="1"/>
  <c r="X311" i="38"/>
  <c r="AQ311" i="38" s="1"/>
  <c r="X319" i="38"/>
  <c r="AQ319" i="38" s="1"/>
  <c r="X327" i="38"/>
  <c r="AQ327" i="38" s="1"/>
  <c r="X335" i="38"/>
  <c r="AQ335" i="38" s="1"/>
  <c r="X343" i="38"/>
  <c r="AQ343" i="38" s="1"/>
  <c r="X351" i="38"/>
  <c r="AQ351" i="38" s="1"/>
  <c r="X359" i="38"/>
  <c r="AQ359" i="38" s="1"/>
  <c r="X367" i="38"/>
  <c r="AQ367" i="38" s="1"/>
  <c r="X375" i="38"/>
  <c r="AQ375" i="38" s="1"/>
  <c r="X96" i="38"/>
  <c r="AQ96" i="38" s="1"/>
  <c r="X134" i="38"/>
  <c r="AQ134" i="38" s="1"/>
  <c r="X148" i="38"/>
  <c r="AQ148" i="38" s="1"/>
  <c r="X158" i="38"/>
  <c r="AQ158" i="38" s="1"/>
  <c r="X167" i="38"/>
  <c r="AQ167" i="38" s="1"/>
  <c r="X176" i="38"/>
  <c r="AQ176" i="38" s="1"/>
  <c r="X184" i="38"/>
  <c r="AQ184" i="38" s="1"/>
  <c r="X192" i="38"/>
  <c r="AQ192" i="38" s="1"/>
  <c r="X200" i="38"/>
  <c r="AQ200" i="38" s="1"/>
  <c r="X208" i="38"/>
  <c r="AQ208" i="38" s="1"/>
  <c r="X216" i="38"/>
  <c r="AQ216" i="38" s="1"/>
  <c r="X224" i="38"/>
  <c r="AQ224" i="38" s="1"/>
  <c r="X232" i="38"/>
  <c r="AQ232" i="38" s="1"/>
  <c r="X240" i="38"/>
  <c r="AQ240" i="38" s="1"/>
  <c r="X248" i="38"/>
  <c r="AQ248" i="38" s="1"/>
  <c r="X256" i="38"/>
  <c r="AQ256" i="38" s="1"/>
  <c r="X264" i="38"/>
  <c r="AQ264" i="38" s="1"/>
  <c r="X272" i="38"/>
  <c r="AQ272" i="38" s="1"/>
  <c r="X280" i="38"/>
  <c r="AQ280" i="38" s="1"/>
  <c r="X288" i="38"/>
  <c r="AQ288" i="38" s="1"/>
  <c r="X296" i="38"/>
  <c r="AQ296" i="38" s="1"/>
  <c r="X304" i="38"/>
  <c r="AQ304" i="38" s="1"/>
  <c r="X312" i="38"/>
  <c r="AQ312" i="38" s="1"/>
  <c r="X320" i="38"/>
  <c r="AQ320" i="38" s="1"/>
  <c r="X328" i="38"/>
  <c r="AQ328" i="38" s="1"/>
  <c r="X336" i="38"/>
  <c r="AQ336" i="38" s="1"/>
  <c r="X344" i="38"/>
  <c r="AQ344" i="38" s="1"/>
  <c r="X352" i="38"/>
  <c r="AQ352" i="38" s="1"/>
  <c r="X360" i="38"/>
  <c r="AQ360" i="38" s="1"/>
  <c r="X368" i="38"/>
  <c r="AQ368" i="38" s="1"/>
  <c r="X376" i="38"/>
  <c r="AQ376" i="38" s="1"/>
  <c r="X104" i="38"/>
  <c r="AQ104" i="38" s="1"/>
  <c r="X135" i="38"/>
  <c r="AQ135" i="38" s="1"/>
  <c r="X149" i="38"/>
  <c r="AQ149" i="38" s="1"/>
  <c r="X159" i="38"/>
  <c r="AQ159" i="38" s="1"/>
  <c r="X168" i="38"/>
  <c r="AQ168" i="38" s="1"/>
  <c r="X177" i="38"/>
  <c r="AQ177" i="38" s="1"/>
  <c r="X185" i="38"/>
  <c r="AQ185" i="38" s="1"/>
  <c r="X193" i="38"/>
  <c r="AQ193" i="38" s="1"/>
  <c r="X201" i="38"/>
  <c r="AQ201" i="38" s="1"/>
  <c r="X209" i="38"/>
  <c r="AQ209" i="38" s="1"/>
  <c r="X217" i="38"/>
  <c r="AQ217" i="38" s="1"/>
  <c r="X225" i="38"/>
  <c r="AQ225" i="38" s="1"/>
  <c r="X233" i="38"/>
  <c r="AQ233" i="38" s="1"/>
  <c r="X241" i="38"/>
  <c r="AQ241" i="38" s="1"/>
  <c r="X249" i="38"/>
  <c r="AQ249" i="38" s="1"/>
  <c r="X257" i="38"/>
  <c r="AQ257" i="38" s="1"/>
  <c r="X265" i="38"/>
  <c r="AQ265" i="38" s="1"/>
  <c r="X273" i="38"/>
  <c r="AQ273" i="38" s="1"/>
  <c r="X281" i="38"/>
  <c r="AQ281" i="38" s="1"/>
  <c r="X289" i="38"/>
  <c r="AQ289" i="38" s="1"/>
  <c r="X297" i="38"/>
  <c r="AQ297" i="38" s="1"/>
  <c r="X305" i="38"/>
  <c r="AQ305" i="38" s="1"/>
  <c r="X313" i="38"/>
  <c r="AQ313" i="38" s="1"/>
  <c r="X321" i="38"/>
  <c r="AQ321" i="38" s="1"/>
  <c r="X329" i="38"/>
  <c r="AQ329" i="38" s="1"/>
  <c r="X337" i="38"/>
  <c r="AQ337" i="38" s="1"/>
  <c r="X345" i="38"/>
  <c r="AQ345" i="38" s="1"/>
  <c r="X353" i="38"/>
  <c r="AQ353" i="38" s="1"/>
  <c r="X361" i="38"/>
  <c r="AQ361" i="38" s="1"/>
  <c r="X369" i="38"/>
  <c r="AQ369" i="38" s="1"/>
  <c r="X112" i="38"/>
  <c r="AQ112" i="38" s="1"/>
  <c r="X136" i="38"/>
  <c r="AQ136" i="38" s="1"/>
  <c r="X150" i="38"/>
  <c r="AQ150" i="38" s="1"/>
  <c r="X160" i="38"/>
  <c r="AQ160" i="38" s="1"/>
  <c r="X170" i="38"/>
  <c r="AQ170" i="38" s="1"/>
  <c r="X178" i="38"/>
  <c r="AQ178" i="38" s="1"/>
  <c r="X186" i="38"/>
  <c r="AQ186" i="38" s="1"/>
  <c r="X194" i="38"/>
  <c r="AQ194" i="38" s="1"/>
  <c r="X202" i="38"/>
  <c r="AQ202" i="38" s="1"/>
  <c r="X210" i="38"/>
  <c r="AQ210" i="38" s="1"/>
  <c r="X218" i="38"/>
  <c r="AQ218" i="38" s="1"/>
  <c r="X226" i="38"/>
  <c r="AQ226" i="38" s="1"/>
  <c r="X234" i="38"/>
  <c r="AQ234" i="38" s="1"/>
  <c r="X242" i="38"/>
  <c r="AQ242" i="38" s="1"/>
  <c r="X250" i="38"/>
  <c r="AQ250" i="38" s="1"/>
  <c r="X258" i="38"/>
  <c r="AQ258" i="38" s="1"/>
  <c r="X266" i="38"/>
  <c r="AQ266" i="38" s="1"/>
  <c r="X274" i="38"/>
  <c r="AQ274" i="38" s="1"/>
  <c r="X282" i="38"/>
  <c r="AQ282" i="38" s="1"/>
  <c r="X290" i="38"/>
  <c r="AQ290" i="38" s="1"/>
  <c r="X298" i="38"/>
  <c r="AQ298" i="38" s="1"/>
  <c r="X306" i="38"/>
  <c r="AQ306" i="38" s="1"/>
  <c r="X314" i="38"/>
  <c r="AQ314" i="38" s="1"/>
  <c r="X322" i="38"/>
  <c r="AQ322" i="38" s="1"/>
  <c r="X330" i="38"/>
  <c r="AQ330" i="38" s="1"/>
  <c r="X338" i="38"/>
  <c r="AQ338" i="38" s="1"/>
  <c r="X346" i="38"/>
  <c r="AQ346" i="38" s="1"/>
  <c r="X354" i="38"/>
  <c r="AQ354" i="38" s="1"/>
  <c r="X362" i="38"/>
  <c r="AQ362" i="38" s="1"/>
  <c r="X370" i="38"/>
  <c r="AQ370" i="38" s="1"/>
  <c r="X119" i="38"/>
  <c r="AQ119" i="38" s="1"/>
  <c r="X140" i="38"/>
  <c r="AQ140" i="38" s="1"/>
  <c r="X151" i="38"/>
  <c r="AQ151" i="38" s="1"/>
  <c r="X162" i="38"/>
  <c r="AQ162" i="38" s="1"/>
  <c r="X171" i="38"/>
  <c r="AQ171" i="38" s="1"/>
  <c r="X179" i="38"/>
  <c r="AQ179" i="38" s="1"/>
  <c r="X187" i="38"/>
  <c r="AQ187" i="38" s="1"/>
  <c r="X195" i="38"/>
  <c r="AQ195" i="38" s="1"/>
  <c r="X203" i="38"/>
  <c r="AQ203" i="38" s="1"/>
  <c r="X211" i="38"/>
  <c r="AQ211" i="38" s="1"/>
  <c r="X219" i="38"/>
  <c r="AQ219" i="38" s="1"/>
  <c r="X227" i="38"/>
  <c r="AQ227" i="38" s="1"/>
  <c r="X235" i="38"/>
  <c r="AQ235" i="38" s="1"/>
  <c r="X243" i="38"/>
  <c r="AQ243" i="38" s="1"/>
  <c r="X251" i="38"/>
  <c r="AQ251" i="38" s="1"/>
  <c r="X259" i="38"/>
  <c r="AQ259" i="38" s="1"/>
  <c r="X267" i="38"/>
  <c r="AQ267" i="38" s="1"/>
  <c r="X275" i="38"/>
  <c r="AQ275" i="38" s="1"/>
  <c r="X283" i="38"/>
  <c r="AQ283" i="38" s="1"/>
  <c r="X291" i="38"/>
  <c r="AQ291" i="38" s="1"/>
  <c r="X299" i="38"/>
  <c r="AQ299" i="38" s="1"/>
  <c r="X307" i="38"/>
  <c r="AQ307" i="38" s="1"/>
  <c r="X315" i="38"/>
  <c r="AQ315" i="38" s="1"/>
  <c r="X323" i="38"/>
  <c r="AQ323" i="38" s="1"/>
  <c r="X331" i="38"/>
  <c r="AQ331" i="38" s="1"/>
  <c r="X339" i="38"/>
  <c r="AQ339" i="38" s="1"/>
  <c r="X347" i="38"/>
  <c r="AQ347" i="38" s="1"/>
  <c r="X355" i="38"/>
  <c r="AQ355" i="38" s="1"/>
  <c r="X363" i="38"/>
  <c r="AQ363" i="38" s="1"/>
  <c r="X371" i="38"/>
  <c r="AQ371" i="38" s="1"/>
  <c r="X120" i="38"/>
  <c r="AQ120" i="38" s="1"/>
  <c r="X142" i="38"/>
  <c r="AQ142" i="38" s="1"/>
  <c r="X152" i="38"/>
  <c r="AQ152" i="38" s="1"/>
  <c r="X163" i="38"/>
  <c r="AQ163" i="38" s="1"/>
  <c r="X172" i="38"/>
  <c r="AQ172" i="38" s="1"/>
  <c r="X180" i="38"/>
  <c r="AQ180" i="38" s="1"/>
  <c r="X188" i="38"/>
  <c r="AQ188" i="38" s="1"/>
  <c r="X196" i="38"/>
  <c r="AQ196" i="38" s="1"/>
  <c r="X204" i="38"/>
  <c r="AQ204" i="38" s="1"/>
  <c r="X212" i="38"/>
  <c r="AQ212" i="38" s="1"/>
  <c r="X220" i="38"/>
  <c r="AQ220" i="38" s="1"/>
  <c r="X228" i="38"/>
  <c r="AQ228" i="38" s="1"/>
  <c r="X236" i="38"/>
  <c r="AQ236" i="38" s="1"/>
  <c r="X244" i="38"/>
  <c r="AQ244" i="38" s="1"/>
  <c r="X252" i="38"/>
  <c r="AQ252" i="38" s="1"/>
  <c r="X260" i="38"/>
  <c r="AQ260" i="38" s="1"/>
  <c r="X268" i="38"/>
  <c r="AQ268" i="38" s="1"/>
  <c r="X276" i="38"/>
  <c r="AQ276" i="38" s="1"/>
  <c r="X284" i="38"/>
  <c r="AQ284" i="38" s="1"/>
  <c r="X292" i="38"/>
  <c r="AQ292" i="38" s="1"/>
  <c r="X300" i="38"/>
  <c r="AQ300" i="38" s="1"/>
  <c r="X308" i="38"/>
  <c r="AQ308" i="38" s="1"/>
  <c r="X316" i="38"/>
  <c r="AQ316" i="38" s="1"/>
  <c r="X324" i="38"/>
  <c r="AQ324" i="38" s="1"/>
  <c r="X332" i="38"/>
  <c r="AQ332" i="38" s="1"/>
  <c r="X340" i="38"/>
  <c r="AQ340" i="38" s="1"/>
  <c r="X348" i="38"/>
  <c r="AQ348" i="38" s="1"/>
  <c r="X356" i="38"/>
  <c r="AQ356" i="38" s="1"/>
  <c r="X364" i="38"/>
  <c r="AQ364" i="38" s="1"/>
  <c r="X372" i="38"/>
  <c r="AQ372" i="38" s="1"/>
  <c r="X127" i="38"/>
  <c r="AQ127" i="38" s="1"/>
  <c r="X143" i="38"/>
  <c r="AQ143" i="38" s="1"/>
  <c r="X155" i="38"/>
  <c r="AQ155" i="38" s="1"/>
  <c r="X164" i="38"/>
  <c r="AQ164" i="38" s="1"/>
  <c r="X173" i="38"/>
  <c r="AQ173" i="38" s="1"/>
  <c r="X181" i="38"/>
  <c r="AQ181" i="38" s="1"/>
  <c r="X189" i="38"/>
  <c r="AQ189" i="38" s="1"/>
  <c r="X197" i="38"/>
  <c r="AQ197" i="38" s="1"/>
  <c r="X205" i="38"/>
  <c r="AQ205" i="38" s="1"/>
  <c r="X213" i="38"/>
  <c r="AQ213" i="38" s="1"/>
  <c r="X221" i="38"/>
  <c r="AQ221" i="38" s="1"/>
  <c r="X229" i="38"/>
  <c r="AQ229" i="38" s="1"/>
  <c r="X237" i="38"/>
  <c r="AQ237" i="38" s="1"/>
  <c r="X245" i="38"/>
  <c r="AQ245" i="38" s="1"/>
  <c r="X253" i="38"/>
  <c r="AQ253" i="38" s="1"/>
  <c r="X261" i="38"/>
  <c r="AQ261" i="38" s="1"/>
  <c r="X269" i="38"/>
  <c r="AQ269" i="38" s="1"/>
  <c r="X277" i="38"/>
  <c r="AQ277" i="38" s="1"/>
  <c r="X285" i="38"/>
  <c r="AQ285" i="38" s="1"/>
  <c r="X293" i="38"/>
  <c r="AQ293" i="38" s="1"/>
  <c r="X301" i="38"/>
  <c r="AQ301" i="38" s="1"/>
  <c r="X309" i="38"/>
  <c r="AQ309" i="38" s="1"/>
  <c r="X317" i="38"/>
  <c r="AQ317" i="38" s="1"/>
  <c r="X325" i="38"/>
  <c r="AQ325" i="38" s="1"/>
  <c r="X333" i="38"/>
  <c r="AQ333" i="38" s="1"/>
  <c r="X341" i="38"/>
  <c r="AQ341" i="38" s="1"/>
  <c r="X349" i="38"/>
  <c r="AQ349" i="38" s="1"/>
  <c r="X357" i="38"/>
  <c r="AQ357" i="38" s="1"/>
  <c r="X365" i="38"/>
  <c r="AQ365" i="38" s="1"/>
  <c r="X373" i="38"/>
  <c r="AQ373" i="38" s="1"/>
  <c r="E29" i="41"/>
  <c r="F37" i="8"/>
  <c r="G16" i="51" s="1"/>
  <c r="J15" i="51"/>
  <c r="J37" i="8"/>
  <c r="J16" i="51" s="1"/>
  <c r="E5" i="51"/>
  <c r="H15" i="51"/>
  <c r="G37" i="8"/>
  <c r="H16" i="51" s="1"/>
  <c r="I15" i="51"/>
  <c r="I37" i="8"/>
  <c r="I16" i="51" s="1"/>
  <c r="K15" i="51"/>
  <c r="K37" i="8"/>
  <c r="K16" i="51" s="1"/>
  <c r="F15" i="51"/>
  <c r="D37" i="8"/>
  <c r="F16" i="51" s="1"/>
  <c r="C56" i="41"/>
  <c r="E56" i="41" s="1"/>
  <c r="E376" i="50"/>
  <c r="BG12" i="42"/>
  <c r="BK12" i="42"/>
  <c r="BJ13" i="42"/>
  <c r="BG13" i="42"/>
  <c r="C376" i="49"/>
  <c r="E376" i="49"/>
  <c r="BI15" i="42"/>
  <c r="BH16" i="42"/>
  <c r="BJ11" i="42"/>
  <c r="B376" i="50"/>
  <c r="BG16" i="42"/>
  <c r="BH11" i="42"/>
  <c r="BI14" i="42"/>
  <c r="BJ15" i="42"/>
  <c r="BG15" i="42"/>
  <c r="BH14" i="42"/>
  <c r="BH12" i="42"/>
  <c r="D376" i="50"/>
  <c r="BG11" i="42"/>
  <c r="B376" i="49"/>
  <c r="BJ16" i="42"/>
  <c r="H376" i="50"/>
  <c r="BK11" i="42"/>
  <c r="BI12" i="42"/>
  <c r="BK15" i="42"/>
  <c r="BH15" i="42"/>
  <c r="BI16" i="42"/>
  <c r="BK13" i="42"/>
  <c r="G376" i="50"/>
  <c r="C376" i="50"/>
  <c r="BH13" i="42"/>
  <c r="BK14" i="42"/>
  <c r="D376" i="49"/>
  <c r="BJ12" i="42"/>
  <c r="BG14" i="42"/>
  <c r="BK16" i="42"/>
  <c r="F376" i="50"/>
  <c r="BI11" i="42"/>
  <c r="BJ14" i="42"/>
  <c r="BI13" i="42"/>
  <c r="F376" i="49"/>
  <c r="AP5" i="4" l="1"/>
  <c r="H10" i="40" s="1"/>
  <c r="A376" i="38"/>
  <c r="J10" i="39"/>
  <c r="K10" i="39"/>
  <c r="L10" i="39"/>
  <c r="M10" i="39"/>
  <c r="N10" i="39"/>
  <c r="E10" i="39"/>
  <c r="AX11" i="38"/>
  <c r="AW11" i="38"/>
  <c r="AV11" i="38"/>
  <c r="AU13" i="38"/>
  <c r="AU14" i="38" s="1"/>
  <c r="AT12" i="38"/>
  <c r="AX12" i="38" s="1"/>
  <c r="R12" i="42"/>
  <c r="R13" i="42"/>
  <c r="R14" i="42"/>
  <c r="R15" i="42"/>
  <c r="R16" i="42"/>
  <c r="R17" i="42"/>
  <c r="R18" i="42"/>
  <c r="R19" i="42"/>
  <c r="R20" i="42"/>
  <c r="R21" i="42"/>
  <c r="R22" i="42"/>
  <c r="R23" i="42"/>
  <c r="R24" i="42"/>
  <c r="R25" i="42"/>
  <c r="R26" i="42"/>
  <c r="R27" i="42"/>
  <c r="R28" i="42"/>
  <c r="R29" i="42"/>
  <c r="R30" i="42"/>
  <c r="R31" i="42"/>
  <c r="R32" i="42"/>
  <c r="R33" i="42"/>
  <c r="R34" i="42"/>
  <c r="R35" i="42"/>
  <c r="R36" i="42"/>
  <c r="R37" i="42"/>
  <c r="R38" i="42"/>
  <c r="R39" i="42"/>
  <c r="R40" i="42"/>
  <c r="R41" i="42"/>
  <c r="R42" i="42"/>
  <c r="R43" i="42"/>
  <c r="R44" i="42"/>
  <c r="R45" i="42"/>
  <c r="R46" i="42"/>
  <c r="R47" i="42"/>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78" i="42"/>
  <c r="R79" i="42"/>
  <c r="R80" i="42"/>
  <c r="R81" i="42"/>
  <c r="R82" i="42"/>
  <c r="R83" i="42"/>
  <c r="R84" i="42"/>
  <c r="R85" i="42"/>
  <c r="R86" i="42"/>
  <c r="R88" i="42"/>
  <c r="R89" i="42"/>
  <c r="R90" i="42"/>
  <c r="R91" i="42"/>
  <c r="R92" i="42"/>
  <c r="R93" i="42"/>
  <c r="R94" i="42"/>
  <c r="R95" i="42"/>
  <c r="R96" i="42"/>
  <c r="R97" i="42"/>
  <c r="R98" i="42"/>
  <c r="R99" i="42"/>
  <c r="R100" i="42"/>
  <c r="R101" i="42"/>
  <c r="R102" i="42"/>
  <c r="R103" i="42"/>
  <c r="R104" i="42"/>
  <c r="R105" i="42"/>
  <c r="R106" i="42"/>
  <c r="R107" i="42"/>
  <c r="R108" i="42"/>
  <c r="R109" i="42"/>
  <c r="R110" i="42"/>
  <c r="R111" i="42"/>
  <c r="R112" i="42"/>
  <c r="R113" i="42"/>
  <c r="R114" i="42"/>
  <c r="R115" i="42"/>
  <c r="R116" i="42"/>
  <c r="R117" i="42"/>
  <c r="R118" i="42"/>
  <c r="R119" i="42"/>
  <c r="R120" i="42"/>
  <c r="R121" i="42"/>
  <c r="R122" i="42"/>
  <c r="R123" i="42"/>
  <c r="R124" i="42"/>
  <c r="R125" i="42"/>
  <c r="R126" i="42"/>
  <c r="R127" i="42"/>
  <c r="R128" i="42"/>
  <c r="R129" i="42"/>
  <c r="R130" i="42"/>
  <c r="R131" i="42"/>
  <c r="R132" i="42"/>
  <c r="R133" i="42"/>
  <c r="R134" i="42"/>
  <c r="R135" i="42"/>
  <c r="R136" i="42"/>
  <c r="R137" i="42"/>
  <c r="R138" i="42"/>
  <c r="R139" i="42"/>
  <c r="R140" i="42"/>
  <c r="R141" i="42"/>
  <c r="R142" i="42"/>
  <c r="R143" i="42"/>
  <c r="R144" i="42"/>
  <c r="R145" i="42"/>
  <c r="R146" i="42"/>
  <c r="R147" i="42"/>
  <c r="R148" i="42"/>
  <c r="R149" i="42"/>
  <c r="R150" i="42"/>
  <c r="R151" i="42"/>
  <c r="R152" i="42"/>
  <c r="R154" i="42"/>
  <c r="R155" i="42"/>
  <c r="R156" i="42"/>
  <c r="R157" i="42"/>
  <c r="R158" i="42"/>
  <c r="R159" i="42"/>
  <c r="R160" i="42"/>
  <c r="R161" i="42"/>
  <c r="R162" i="42"/>
  <c r="R163" i="42"/>
  <c r="R164" i="42"/>
  <c r="R165" i="42"/>
  <c r="R166" i="42"/>
  <c r="R167" i="42"/>
  <c r="R168" i="42"/>
  <c r="R169" i="42"/>
  <c r="R170" i="42"/>
  <c r="R171" i="42"/>
  <c r="R172" i="42"/>
  <c r="R173" i="42"/>
  <c r="R174" i="42"/>
  <c r="R175" i="42"/>
  <c r="R176" i="42"/>
  <c r="R177" i="42"/>
  <c r="R178" i="42"/>
  <c r="R179" i="42"/>
  <c r="R180" i="42"/>
  <c r="R181" i="42"/>
  <c r="R182" i="42"/>
  <c r="R183" i="42"/>
  <c r="R184" i="42"/>
  <c r="R185" i="42"/>
  <c r="R186" i="42"/>
  <c r="R188" i="42"/>
  <c r="R189" i="42"/>
  <c r="R190" i="42"/>
  <c r="R191" i="42"/>
  <c r="R192" i="42"/>
  <c r="R193" i="42"/>
  <c r="R194" i="42"/>
  <c r="R195" i="42"/>
  <c r="R196" i="42"/>
  <c r="R197" i="42"/>
  <c r="R198" i="42"/>
  <c r="R200" i="42"/>
  <c r="R201" i="42"/>
  <c r="R202" i="42"/>
  <c r="R203" i="42"/>
  <c r="R207" i="42"/>
  <c r="R209" i="42"/>
  <c r="R210" i="42"/>
  <c r="R215" i="42"/>
  <c r="R216" i="42"/>
  <c r="R221" i="42"/>
  <c r="R222" i="42"/>
  <c r="R226" i="42"/>
  <c r="R227" i="42"/>
  <c r="R228" i="42"/>
  <c r="R230" i="42"/>
  <c r="R232" i="42"/>
  <c r="R233" i="42"/>
  <c r="R234" i="42"/>
  <c r="R238" i="42"/>
  <c r="R239" i="42"/>
  <c r="R245" i="42"/>
  <c r="R246" i="42"/>
  <c r="R251" i="42"/>
  <c r="R257" i="42"/>
  <c r="R258" i="42"/>
  <c r="R262" i="42"/>
  <c r="R263" i="42"/>
  <c r="R269" i="42"/>
  <c r="R270" i="42"/>
  <c r="R275" i="42"/>
  <c r="R276" i="42"/>
  <c r="R281" i="42"/>
  <c r="R282" i="42"/>
  <c r="R287" i="42"/>
  <c r="R288" i="42"/>
  <c r="R293" i="42"/>
  <c r="R294" i="42"/>
  <c r="R299" i="42"/>
  <c r="R300" i="42"/>
  <c r="R305" i="42"/>
  <c r="R306" i="42"/>
  <c r="R311" i="42"/>
  <c r="R317" i="42"/>
  <c r="R323" i="42"/>
  <c r="R329" i="42"/>
  <c r="R330" i="42"/>
  <c r="R335" i="42"/>
  <c r="R340" i="42"/>
  <c r="R341" i="42"/>
  <c r="R342" i="42"/>
  <c r="R346" i="42"/>
  <c r="R347" i="42"/>
  <c r="R353" i="42"/>
  <c r="R354" i="42"/>
  <c r="R360" i="42"/>
  <c r="R364" i="42"/>
  <c r="R365" i="42"/>
  <c r="R371" i="42"/>
  <c r="R372" i="42"/>
  <c r="R375" i="42"/>
  <c r="A376" i="47" l="1"/>
  <c r="A376" i="46"/>
  <c r="A376" i="44"/>
  <c r="A376" i="43"/>
  <c r="B30" i="41"/>
  <c r="R374" i="42"/>
  <c r="R373" i="42"/>
  <c r="R370" i="42"/>
  <c r="R369" i="42"/>
  <c r="R368" i="42"/>
  <c r="R367" i="42"/>
  <c r="R366" i="42"/>
  <c r="R363" i="42"/>
  <c r="R362" i="42"/>
  <c r="R361" i="42"/>
  <c r="R359" i="42"/>
  <c r="R358" i="42"/>
  <c r="R357" i="42"/>
  <c r="R356" i="42"/>
  <c r="R355" i="42"/>
  <c r="R352" i="42"/>
  <c r="R351" i="42"/>
  <c r="R350" i="42"/>
  <c r="R349" i="42"/>
  <c r="R348" i="42"/>
  <c r="R345" i="42"/>
  <c r="R344" i="42"/>
  <c r="R343" i="42"/>
  <c r="R339" i="42"/>
  <c r="R338" i="42"/>
  <c r="R337" i="42"/>
  <c r="R336" i="42"/>
  <c r="R334" i="42"/>
  <c r="R333" i="42"/>
  <c r="R332" i="42"/>
  <c r="R331" i="42"/>
  <c r="R328" i="42"/>
  <c r="R327" i="42"/>
  <c r="R326" i="42"/>
  <c r="R325" i="42"/>
  <c r="R324" i="42"/>
  <c r="R322" i="42"/>
  <c r="R321" i="42"/>
  <c r="R320" i="42"/>
  <c r="R319" i="42"/>
  <c r="R318" i="42"/>
  <c r="R316" i="42"/>
  <c r="R315" i="42"/>
  <c r="R314" i="42"/>
  <c r="R313" i="42"/>
  <c r="R312" i="42"/>
  <c r="R310" i="42"/>
  <c r="R309" i="42"/>
  <c r="R308" i="42"/>
  <c r="R307" i="42"/>
  <c r="R304" i="42"/>
  <c r="R303" i="42"/>
  <c r="R302" i="42"/>
  <c r="R301" i="42"/>
  <c r="R298" i="42"/>
  <c r="R297" i="42"/>
  <c r="R296" i="42"/>
  <c r="R295" i="42"/>
  <c r="R292" i="42"/>
  <c r="R291" i="42"/>
  <c r="R290" i="42"/>
  <c r="R289" i="42"/>
  <c r="R286" i="42"/>
  <c r="R285" i="42"/>
  <c r="R284" i="42"/>
  <c r="R283" i="42"/>
  <c r="R280" i="42"/>
  <c r="R256" i="42"/>
  <c r="R220" i="42"/>
  <c r="R208" i="42"/>
  <c r="R274" i="42"/>
  <c r="R268" i="42"/>
  <c r="R250" i="42"/>
  <c r="R244" i="42"/>
  <c r="R214" i="42"/>
  <c r="R261" i="42"/>
  <c r="R237" i="42"/>
  <c r="R213" i="42"/>
  <c r="R278" i="42"/>
  <c r="R272" i="42"/>
  <c r="R266" i="42"/>
  <c r="R260" i="42"/>
  <c r="R254" i="42"/>
  <c r="R248" i="42"/>
  <c r="R242" i="42"/>
  <c r="R236" i="42"/>
  <c r="R224" i="42"/>
  <c r="R218" i="42"/>
  <c r="R212" i="42"/>
  <c r="R206" i="42"/>
  <c r="R267" i="42"/>
  <c r="R249" i="42"/>
  <c r="R219" i="42"/>
  <c r="R153" i="42"/>
  <c r="R277" i="42"/>
  <c r="R271" i="42"/>
  <c r="R265" i="42"/>
  <c r="R259" i="42"/>
  <c r="R253" i="42"/>
  <c r="R247" i="42"/>
  <c r="R241" i="42"/>
  <c r="R235" i="42"/>
  <c r="R229" i="42"/>
  <c r="R223" i="42"/>
  <c r="R217" i="42"/>
  <c r="R211" i="42"/>
  <c r="R205" i="42"/>
  <c r="R199" i="42"/>
  <c r="R187" i="42"/>
  <c r="R279" i="42"/>
  <c r="R255" i="42"/>
  <c r="R243" i="42"/>
  <c r="R225" i="42"/>
  <c r="R87" i="42"/>
  <c r="AK11" i="38"/>
  <c r="R11" i="42"/>
  <c r="R264" i="42"/>
  <c r="R252" i="42"/>
  <c r="R240" i="42"/>
  <c r="R204" i="42"/>
  <c r="R273" i="42"/>
  <c r="R231" i="42"/>
  <c r="C376" i="38"/>
  <c r="A376" i="39"/>
  <c r="AW12" i="38"/>
  <c r="S11" i="38"/>
  <c r="AE11" i="38"/>
  <c r="Y11" i="38"/>
  <c r="AV12" i="38"/>
  <c r="AU15" i="38"/>
  <c r="AT14" i="38"/>
  <c r="AT13" i="38"/>
  <c r="A376" i="50" l="1"/>
  <c r="A376" i="49"/>
  <c r="A376" i="40"/>
  <c r="Y389" i="38"/>
  <c r="Y390" i="38" s="1"/>
  <c r="Y383" i="38"/>
  <c r="Y388" i="38"/>
  <c r="Y382" i="38"/>
  <c r="Y387" i="38"/>
  <c r="Y381" i="38"/>
  <c r="Y386" i="38"/>
  <c r="Y380" i="38"/>
  <c r="Y385" i="38"/>
  <c r="Y384" i="38"/>
  <c r="AE385" i="38"/>
  <c r="AE384" i="38"/>
  <c r="AE389" i="38"/>
  <c r="AE390" i="38" s="1"/>
  <c r="AE383" i="38"/>
  <c r="AE388" i="38"/>
  <c r="AE382" i="38"/>
  <c r="AE387" i="38"/>
  <c r="AE381" i="38"/>
  <c r="AE386" i="38"/>
  <c r="AE380" i="38"/>
  <c r="S382" i="38"/>
  <c r="S388" i="38"/>
  <c r="S383" i="38"/>
  <c r="S389" i="38"/>
  <c r="S390" i="38" s="1"/>
  <c r="S384" i="38"/>
  <c r="S385" i="38"/>
  <c r="S380" i="38"/>
  <c r="S386" i="38"/>
  <c r="S381" i="38"/>
  <c r="S387" i="38"/>
  <c r="AK387" i="38"/>
  <c r="AK381" i="38"/>
  <c r="AK386" i="38"/>
  <c r="AK380" i="38"/>
  <c r="AK385" i="38"/>
  <c r="AK384" i="38"/>
  <c r="AK389" i="38"/>
  <c r="AK390" i="38" s="1"/>
  <c r="AK383" i="38"/>
  <c r="AK388" i="38"/>
  <c r="AK382" i="38"/>
  <c r="AF11" i="38"/>
  <c r="AG11" i="38" s="1"/>
  <c r="AL11" i="38"/>
  <c r="AM11" i="38" s="1"/>
  <c r="T11" i="38"/>
  <c r="U11" i="38" s="1"/>
  <c r="Z11" i="38"/>
  <c r="AA11" i="38" s="1"/>
  <c r="AW13" i="38"/>
  <c r="AX13" i="38"/>
  <c r="AV13" i="38"/>
  <c r="AW14" i="38"/>
  <c r="AV14" i="38"/>
  <c r="AX14" i="38"/>
  <c r="AU16" i="38"/>
  <c r="AT15" i="38"/>
  <c r="H11" i="44"/>
  <c r="J11" i="44"/>
  <c r="I11" i="44"/>
  <c r="G11" i="44"/>
  <c r="AA385" i="38" l="1"/>
  <c r="AA380" i="38"/>
  <c r="AA381" i="38"/>
  <c r="AA387" i="38"/>
  <c r="AA382" i="38"/>
  <c r="C39" i="41" s="1"/>
  <c r="AA388" i="38"/>
  <c r="AA383" i="38"/>
  <c r="AA389" i="38"/>
  <c r="AA390" i="38" s="1"/>
  <c r="AA384" i="38"/>
  <c r="AA386" i="38"/>
  <c r="AR11" i="38"/>
  <c r="U385" i="38"/>
  <c r="U386" i="38"/>
  <c r="U387" i="38"/>
  <c r="U382" i="38"/>
  <c r="C40" i="41" s="1"/>
  <c r="U383" i="38"/>
  <c r="U389" i="38"/>
  <c r="U390" i="38" s="1"/>
  <c r="U384" i="38"/>
  <c r="U380" i="38"/>
  <c r="U381" i="38"/>
  <c r="U388" i="38"/>
  <c r="AM388" i="38"/>
  <c r="AM386" i="38"/>
  <c r="AM381" i="38"/>
  <c r="AM385" i="38"/>
  <c r="AM389" i="38"/>
  <c r="AM390" i="38" s="1"/>
  <c r="AM387" i="38"/>
  <c r="AM382" i="38"/>
  <c r="C37" i="41" s="1"/>
  <c r="AM383" i="38"/>
  <c r="AM380" i="38"/>
  <c r="AM384" i="38"/>
  <c r="AG380" i="38"/>
  <c r="AG385" i="38"/>
  <c r="AG386" i="38"/>
  <c r="AG381" i="38"/>
  <c r="AG387" i="38"/>
  <c r="AG382" i="38"/>
  <c r="C38" i="41" s="1"/>
  <c r="AG388" i="38"/>
  <c r="AG383" i="38"/>
  <c r="AG389" i="38"/>
  <c r="AG390" i="38" s="1"/>
  <c r="AG384" i="38"/>
  <c r="AD11" i="38"/>
  <c r="X11" i="38"/>
  <c r="AQ11" i="38" s="1"/>
  <c r="AP11" i="38"/>
  <c r="AJ11" i="38"/>
  <c r="Z388" i="38"/>
  <c r="Z385" i="38"/>
  <c r="Z382" i="38"/>
  <c r="Z387" i="38"/>
  <c r="Z384" i="38"/>
  <c r="Z381" i="38"/>
  <c r="Z389" i="38"/>
  <c r="Z390" i="38" s="1"/>
  <c r="Z386" i="38"/>
  <c r="Z383" i="38"/>
  <c r="Z380" i="38"/>
  <c r="AF387" i="38"/>
  <c r="AF384" i="38"/>
  <c r="AF381" i="38"/>
  <c r="AF389" i="38"/>
  <c r="AF390" i="38" s="1"/>
  <c r="AF386" i="38"/>
  <c r="AF383" i="38"/>
  <c r="AF380" i="38"/>
  <c r="AF388" i="38"/>
  <c r="AF385" i="38"/>
  <c r="AF382" i="38"/>
  <c r="AL389" i="38"/>
  <c r="AL390" i="38" s="1"/>
  <c r="AL386" i="38"/>
  <c r="AL383" i="38"/>
  <c r="AL380" i="38"/>
  <c r="AL388" i="38"/>
  <c r="AL385" i="38"/>
  <c r="AL382" i="38"/>
  <c r="AL387" i="38"/>
  <c r="AL384" i="38"/>
  <c r="AL381" i="38"/>
  <c r="T385" i="38"/>
  <c r="T380" i="38"/>
  <c r="T383" i="38"/>
  <c r="T386" i="38"/>
  <c r="T389" i="38"/>
  <c r="T390" i="38" s="1"/>
  <c r="T382" i="38"/>
  <c r="T388" i="38"/>
  <c r="T381" i="38"/>
  <c r="T384" i="38"/>
  <c r="T387" i="38"/>
  <c r="AN11" i="38"/>
  <c r="V11" i="38"/>
  <c r="AH11" i="38"/>
  <c r="AB11" i="38"/>
  <c r="AX15" i="38"/>
  <c r="AV15" i="38"/>
  <c r="AW15" i="38"/>
  <c r="AU17" i="38"/>
  <c r="AT16" i="38"/>
  <c r="K11" i="44"/>
  <c r="AI11" i="38" l="1"/>
  <c r="AO11" i="38"/>
  <c r="W11" i="38"/>
  <c r="AC11" i="38"/>
  <c r="AW16" i="38"/>
  <c r="AX16" i="38"/>
  <c r="AV16" i="38"/>
  <c r="AU18" i="38"/>
  <c r="AT17" i="38"/>
  <c r="C41" i="41" l="1"/>
  <c r="AW17" i="38"/>
  <c r="AV17" i="38"/>
  <c r="AX17" i="38"/>
  <c r="AU19" i="38"/>
  <c r="AT18" i="38"/>
  <c r="AX18" i="38" l="1"/>
  <c r="AW18" i="38"/>
  <c r="AV18" i="38"/>
  <c r="AU20" i="38"/>
  <c r="AT19" i="38"/>
  <c r="AW19" i="38" l="1"/>
  <c r="AX19" i="38"/>
  <c r="AV19" i="38"/>
  <c r="AU21" i="38"/>
  <c r="AT20" i="38"/>
  <c r="AW20" i="38" l="1"/>
  <c r="AX20" i="38"/>
  <c r="AV20" i="38"/>
  <c r="AU22" i="38"/>
  <c r="AT21" i="38"/>
  <c r="AX21" i="38" l="1"/>
  <c r="AV21" i="38"/>
  <c r="AW21" i="38"/>
  <c r="AU23" i="38"/>
  <c r="AT22" i="38"/>
  <c r="AX134" i="42"/>
  <c r="AX365" i="42"/>
  <c r="AV113" i="42"/>
  <c r="AW126" i="42"/>
  <c r="AV277" i="42"/>
  <c r="AW161" i="42"/>
  <c r="AX370" i="42"/>
  <c r="AX278" i="42"/>
  <c r="AW199" i="42"/>
  <c r="AX291" i="42"/>
  <c r="AX199" i="42"/>
  <c r="AV316" i="42"/>
  <c r="AX302" i="42"/>
  <c r="AW372" i="42"/>
  <c r="AV144" i="42"/>
  <c r="AX357" i="42"/>
  <c r="AV142" i="42"/>
  <c r="AW201" i="42"/>
  <c r="AX147" i="42"/>
  <c r="AW168" i="42"/>
  <c r="AX292" i="42"/>
  <c r="AV190" i="42"/>
  <c r="AX214" i="42"/>
  <c r="AX276" i="42"/>
  <c r="AV342" i="42"/>
  <c r="AW373" i="42"/>
  <c r="AW197" i="42"/>
  <c r="AX265" i="42"/>
  <c r="AX175" i="42"/>
  <c r="AV349" i="42"/>
  <c r="AV220" i="42"/>
  <c r="AW311" i="42"/>
  <c r="AW268" i="42"/>
  <c r="AV263" i="42"/>
  <c r="AW359" i="42"/>
  <c r="AW374" i="42"/>
  <c r="AW365" i="42"/>
  <c r="AX317" i="42"/>
  <c r="AW352" i="42"/>
  <c r="AX251" i="42"/>
  <c r="AW122" i="42"/>
  <c r="AX148" i="42"/>
  <c r="AX326" i="42"/>
  <c r="AW131" i="42"/>
  <c r="AX135" i="42"/>
  <c r="AX332" i="42"/>
  <c r="AV136" i="42"/>
  <c r="AW207" i="42"/>
  <c r="AW357" i="42"/>
  <c r="AX182" i="42"/>
  <c r="AX211" i="42"/>
  <c r="AW333" i="42"/>
  <c r="AW369" i="42"/>
  <c r="AV315" i="42"/>
  <c r="AV212" i="42"/>
  <c r="AW288" i="42"/>
  <c r="AX312" i="42"/>
  <c r="AV164" i="42"/>
  <c r="AV283" i="42"/>
  <c r="AV215" i="42"/>
  <c r="AX286" i="42"/>
  <c r="AW245" i="42"/>
  <c r="AV233" i="42"/>
  <c r="AV354" i="42"/>
  <c r="AV362" i="42"/>
  <c r="AV170" i="42"/>
  <c r="AV205" i="42"/>
  <c r="AW345" i="42"/>
  <c r="AW248" i="42"/>
  <c r="AX330" i="42"/>
  <c r="AX220" i="42"/>
  <c r="AV326" i="42"/>
  <c r="AX349" i="42"/>
  <c r="AV214" i="42"/>
  <c r="AV267" i="42"/>
  <c r="AV239" i="42"/>
  <c r="AV331" i="42"/>
  <c r="AW118" i="42"/>
  <c r="AV125" i="42"/>
  <c r="AX259" i="42"/>
  <c r="AX232" i="42"/>
  <c r="AX352" i="42"/>
  <c r="AW362" i="42"/>
  <c r="AW346" i="42"/>
  <c r="AW195" i="42"/>
  <c r="AX350" i="42"/>
  <c r="AW366" i="42"/>
  <c r="AV150" i="42"/>
  <c r="AX335" i="42"/>
  <c r="AW314" i="42"/>
  <c r="AV169" i="42"/>
  <c r="AV147" i="42"/>
  <c r="AV230" i="42"/>
  <c r="AX328" i="42"/>
  <c r="AW254" i="42"/>
  <c r="AV293" i="42"/>
  <c r="AX117" i="42"/>
  <c r="AW262" i="42"/>
  <c r="AV240" i="42"/>
  <c r="AX152" i="42"/>
  <c r="AW283" i="42"/>
  <c r="AV134" i="42"/>
  <c r="AW363" i="42"/>
  <c r="AX247" i="42"/>
  <c r="AV135" i="42"/>
  <c r="AX348" i="42"/>
  <c r="AV139" i="42"/>
  <c r="AV151" i="42"/>
  <c r="AW266" i="42"/>
  <c r="AW145" i="42"/>
  <c r="AV162" i="42"/>
  <c r="AV115" i="42"/>
  <c r="AX235" i="42"/>
  <c r="AV366" i="42"/>
  <c r="AX225" i="42"/>
  <c r="AX192" i="42"/>
  <c r="AX249" i="42"/>
  <c r="AW210" i="42"/>
  <c r="AW205" i="42"/>
  <c r="AW304" i="42"/>
  <c r="AW307" i="42"/>
  <c r="AW348" i="42"/>
  <c r="AX166" i="42"/>
  <c r="AX321" i="42"/>
  <c r="AV341" i="42"/>
  <c r="AW287" i="42"/>
  <c r="AX256" i="42"/>
  <c r="AV287" i="42"/>
  <c r="AV322" i="42"/>
  <c r="AX356" i="42"/>
  <c r="AV235" i="42"/>
  <c r="AV286" i="42"/>
  <c r="AV276" i="42"/>
  <c r="AW328" i="42"/>
  <c r="AV323" i="42"/>
  <c r="AW246" i="42"/>
  <c r="AV259" i="42"/>
  <c r="AX113" i="42"/>
  <c r="AW165" i="42"/>
  <c r="AW121" i="42"/>
  <c r="AV112" i="42"/>
  <c r="AW189" i="42"/>
  <c r="AV260" i="42"/>
  <c r="AW226" i="42"/>
  <c r="AW185" i="42"/>
  <c r="AW212" i="42"/>
  <c r="AW135" i="42"/>
  <c r="AW334" i="42"/>
  <c r="AX366" i="42"/>
  <c r="AW228" i="42"/>
  <c r="AW178" i="42"/>
  <c r="AV368" i="42"/>
  <c r="AW350" i="42"/>
  <c r="AW170" i="42"/>
  <c r="AV339" i="42"/>
  <c r="AW202" i="42"/>
  <c r="AV141" i="42"/>
  <c r="AW186" i="42"/>
  <c r="AV372" i="42"/>
  <c r="AV311" i="42"/>
  <c r="AW209" i="42"/>
  <c r="AW166" i="42"/>
  <c r="AX186" i="42"/>
  <c r="AX115" i="42"/>
  <c r="AV299" i="42"/>
  <c r="AW343" i="42"/>
  <c r="AW264" i="42"/>
  <c r="AV317" i="42"/>
  <c r="AW297" i="42"/>
  <c r="AX204" i="42"/>
  <c r="AW169" i="42"/>
  <c r="AW320" i="42"/>
  <c r="AW233" i="42"/>
  <c r="AV197" i="42"/>
  <c r="AW142" i="42"/>
  <c r="AW301" i="42"/>
  <c r="AX139" i="42"/>
  <c r="AX351" i="42"/>
  <c r="AW253" i="42"/>
  <c r="AW159" i="42"/>
  <c r="AW230" i="42"/>
  <c r="AX150" i="42"/>
  <c r="AV189" i="42"/>
  <c r="AV181" i="42"/>
  <c r="AW317" i="42"/>
  <c r="AW116" i="42"/>
  <c r="AX371" i="42"/>
  <c r="AX279" i="42"/>
  <c r="AW273" i="42"/>
  <c r="AW240" i="42"/>
  <c r="AV255" i="42"/>
  <c r="AW312" i="42"/>
  <c r="AV346" i="42"/>
  <c r="AW198" i="42"/>
  <c r="AV285" i="42"/>
  <c r="AX114" i="42"/>
  <c r="AX164" i="42"/>
  <c r="AW234" i="42"/>
  <c r="AV352" i="42"/>
  <c r="AX207" i="42"/>
  <c r="AX128" i="42"/>
  <c r="AX176" i="42"/>
  <c r="AW249" i="42"/>
  <c r="AV334" i="42"/>
  <c r="AV357" i="42"/>
  <c r="AX310" i="42"/>
  <c r="AV370" i="42"/>
  <c r="AW259" i="42"/>
  <c r="AW242" i="42"/>
  <c r="AW204" i="42"/>
  <c r="AX363" i="42"/>
  <c r="AX169" i="42"/>
  <c r="AW296" i="42"/>
  <c r="AW370" i="42"/>
  <c r="AW151" i="42"/>
  <c r="AW276" i="42"/>
  <c r="AX158" i="42"/>
  <c r="AW229" i="42"/>
  <c r="AV253" i="42"/>
  <c r="AW200" i="42"/>
  <c r="AX237" i="42"/>
  <c r="AV332" i="42"/>
  <c r="AW277" i="42"/>
  <c r="AW341" i="42"/>
  <c r="AW308" i="42"/>
  <c r="AX241" i="42"/>
  <c r="AV363" i="42"/>
  <c r="AX337" i="42"/>
  <c r="AX338" i="42"/>
  <c r="AW219" i="42"/>
  <c r="AX373" i="42"/>
  <c r="AX228" i="42"/>
  <c r="AX116" i="42"/>
  <c r="AV216" i="42"/>
  <c r="AX269" i="42"/>
  <c r="AW171" i="42"/>
  <c r="AX318" i="42"/>
  <c r="AV201" i="42"/>
  <c r="AV210" i="42"/>
  <c r="AX159" i="42"/>
  <c r="AW155" i="42"/>
  <c r="AW316" i="42"/>
  <c r="AV131" i="42"/>
  <c r="AW176" i="42"/>
  <c r="AX311" i="42"/>
  <c r="AX345" i="42"/>
  <c r="AW355" i="42"/>
  <c r="AV175" i="42"/>
  <c r="AV359" i="42"/>
  <c r="AW331" i="42"/>
  <c r="AW191" i="42"/>
  <c r="AW182" i="42"/>
  <c r="AW223" i="42"/>
  <c r="AV183" i="42"/>
  <c r="AW184" i="42"/>
  <c r="AX238" i="42"/>
  <c r="AV336" i="42"/>
  <c r="AW327" i="42"/>
  <c r="AW112" i="42"/>
  <c r="AV296" i="42"/>
  <c r="AX295" i="42"/>
  <c r="AV347" i="42"/>
  <c r="AV202" i="42"/>
  <c r="AV226" i="42"/>
  <c r="AV153" i="42"/>
  <c r="AX341" i="42"/>
  <c r="AV171" i="42"/>
  <c r="AV275" i="42"/>
  <c r="AX324" i="42"/>
  <c r="AV280" i="42"/>
  <c r="AW293" i="42"/>
  <c r="AV297" i="42"/>
  <c r="AX179" i="42"/>
  <c r="AV251" i="42"/>
  <c r="AV340" i="42"/>
  <c r="AW150" i="42"/>
  <c r="AV123" i="42"/>
  <c r="AX264" i="42"/>
  <c r="AV361" i="42"/>
  <c r="AV375" i="42"/>
  <c r="AV176" i="42"/>
  <c r="AX230" i="42"/>
  <c r="AW313" i="42"/>
  <c r="AX344" i="42"/>
  <c r="AV167" i="42"/>
  <c r="AX280" i="42"/>
  <c r="AX298" i="42"/>
  <c r="AW216" i="42"/>
  <c r="AV367" i="42"/>
  <c r="AX281" i="42"/>
  <c r="AW238" i="42"/>
  <c r="AX151" i="42"/>
  <c r="AV229" i="42"/>
  <c r="AX190" i="42"/>
  <c r="AX124" i="42"/>
  <c r="AW115" i="42"/>
  <c r="AV204" i="42"/>
  <c r="AW140" i="42"/>
  <c r="AW315" i="42"/>
  <c r="AX183" i="42"/>
  <c r="AX300" i="42"/>
  <c r="AX272" i="42"/>
  <c r="AV146" i="42"/>
  <c r="AX137" i="42"/>
  <c r="AX217" i="42"/>
  <c r="AV157" i="42"/>
  <c r="AW137" i="42"/>
  <c r="AV312" i="42"/>
  <c r="AW130" i="42"/>
  <c r="AV274" i="42"/>
  <c r="AX167" i="42"/>
  <c r="AW149" i="42"/>
  <c r="AV309" i="42"/>
  <c r="AX178" i="42"/>
  <c r="AV186" i="42"/>
  <c r="AX329" i="42"/>
  <c r="AX262" i="42"/>
  <c r="AV159" i="42"/>
  <c r="AX123" i="42"/>
  <c r="AW325" i="42"/>
  <c r="AV137" i="42"/>
  <c r="AX208" i="42"/>
  <c r="AX257" i="42"/>
  <c r="AX355" i="42"/>
  <c r="AV345" i="42"/>
  <c r="AX165" i="42"/>
  <c r="AX354" i="42"/>
  <c r="AX299" i="42"/>
  <c r="AV373" i="42"/>
  <c r="AW269" i="42"/>
  <c r="AX236" i="42"/>
  <c r="AV305" i="42"/>
  <c r="AW272" i="42"/>
  <c r="AX255" i="42"/>
  <c r="AX283" i="42"/>
  <c r="AX206" i="42"/>
  <c r="AX120" i="42"/>
  <c r="AX266" i="42"/>
  <c r="AW129" i="42"/>
  <c r="AW241" i="42"/>
  <c r="AV320" i="42"/>
  <c r="AX305" i="42"/>
  <c r="AV351" i="42"/>
  <c r="AX290" i="42"/>
  <c r="AW354" i="42"/>
  <c r="AW148" i="42"/>
  <c r="AW256" i="42"/>
  <c r="AV298" i="42"/>
  <c r="AX340" i="42"/>
  <c r="AX122" i="42"/>
  <c r="AV356" i="42"/>
  <c r="AV143" i="42"/>
  <c r="AX248" i="42"/>
  <c r="AV307" i="42"/>
  <c r="AX339" i="42"/>
  <c r="AV328" i="42"/>
  <c r="AX364" i="42"/>
  <c r="AX243" i="42"/>
  <c r="AV247" i="42"/>
  <c r="AX143" i="42"/>
  <c r="AW188" i="42"/>
  <c r="AX170" i="42"/>
  <c r="AX171" i="42"/>
  <c r="AV365" i="42"/>
  <c r="AV129" i="42"/>
  <c r="AW337" i="42"/>
  <c r="AV244" i="42"/>
  <c r="AX226" i="42"/>
  <c r="AW302" i="42"/>
  <c r="AW274" i="42"/>
  <c r="AX233" i="42"/>
  <c r="AW295" i="42"/>
  <c r="AV246" i="42"/>
  <c r="AX218" i="42"/>
  <c r="AW236" i="42"/>
  <c r="AX274" i="42"/>
  <c r="AX313" i="42"/>
  <c r="AX360" i="42"/>
  <c r="AX253" i="42"/>
  <c r="AV292" i="42"/>
  <c r="AV327" i="42"/>
  <c r="AV256" i="42"/>
  <c r="AV329" i="42"/>
  <c r="AX287" i="42"/>
  <c r="AX212" i="42"/>
  <c r="AW368" i="42"/>
  <c r="AW361" i="42"/>
  <c r="AW177" i="42"/>
  <c r="AV140" i="42"/>
  <c r="AV236" i="42"/>
  <c r="AX118" i="42"/>
  <c r="AX119" i="42"/>
  <c r="AV243" i="42"/>
  <c r="AX121" i="42"/>
  <c r="AX368" i="42"/>
  <c r="AV291" i="42"/>
  <c r="AV279" i="42"/>
  <c r="AW127" i="42"/>
  <c r="AV180" i="42"/>
  <c r="AV343" i="42"/>
  <c r="AW306" i="42"/>
  <c r="AW146" i="42"/>
  <c r="AW258" i="42"/>
  <c r="AX359" i="42"/>
  <c r="AX161" i="42"/>
  <c r="AW367" i="42"/>
  <c r="AX303" i="42"/>
  <c r="AW117" i="42"/>
  <c r="AX185" i="42"/>
  <c r="AX231" i="42"/>
  <c r="AV217" i="42"/>
  <c r="AW358" i="42"/>
  <c r="AW298" i="42"/>
  <c r="AX263" i="42"/>
  <c r="AV124" i="42"/>
  <c r="AW193" i="42"/>
  <c r="AV364" i="42"/>
  <c r="AX227" i="42"/>
  <c r="AW214" i="42"/>
  <c r="AX213" i="42"/>
  <c r="AW279" i="42"/>
  <c r="AV289" i="42"/>
  <c r="AX187" i="42"/>
  <c r="AX146" i="42"/>
  <c r="AW141" i="42"/>
  <c r="AW278" i="42"/>
  <c r="AW324" i="42"/>
  <c r="AX180" i="42"/>
  <c r="AX239" i="42"/>
  <c r="AX267" i="42"/>
  <c r="AV132" i="42"/>
  <c r="AV306" i="42"/>
  <c r="AW124" i="42"/>
  <c r="AW284" i="42"/>
  <c r="AV242" i="42"/>
  <c r="AW163" i="42"/>
  <c r="AV308" i="42"/>
  <c r="AV338" i="42"/>
  <c r="AX201" i="42"/>
  <c r="AW224" i="42"/>
  <c r="AV149" i="42"/>
  <c r="AV172" i="42"/>
  <c r="AV187" i="42"/>
  <c r="AV227" i="42"/>
  <c r="AV353" i="42"/>
  <c r="AX112" i="42"/>
  <c r="AX375" i="42"/>
  <c r="AW360" i="42"/>
  <c r="AW282" i="42"/>
  <c r="AW235" i="42"/>
  <c r="AX195" i="42"/>
  <c r="AX221" i="42"/>
  <c r="AV193" i="42"/>
  <c r="AV208" i="42"/>
  <c r="AX188" i="42"/>
  <c r="AV278" i="42"/>
  <c r="AX210" i="42"/>
  <c r="AW265" i="42"/>
  <c r="AX306" i="42"/>
  <c r="AX242" i="42"/>
  <c r="AW267" i="42"/>
  <c r="AW173" i="42"/>
  <c r="AW347" i="42"/>
  <c r="AV122" i="42"/>
  <c r="AX172" i="42"/>
  <c r="AX346" i="42"/>
  <c r="AW364" i="42"/>
  <c r="AV184" i="42"/>
  <c r="AW222" i="42"/>
  <c r="AV269" i="42"/>
  <c r="AV228" i="42"/>
  <c r="AV127" i="42"/>
  <c r="AX252" i="42"/>
  <c r="AW125" i="42"/>
  <c r="AV188" i="42"/>
  <c r="AV234" i="42"/>
  <c r="AX222" i="42"/>
  <c r="AX308" i="42"/>
  <c r="AV185" i="42"/>
  <c r="AW271" i="42"/>
  <c r="AV179" i="42"/>
  <c r="AV355" i="42"/>
  <c r="AW309" i="42"/>
  <c r="AX194" i="42"/>
  <c r="AX216" i="42"/>
  <c r="AW330" i="42"/>
  <c r="AW305" i="42"/>
  <c r="AW162" i="42"/>
  <c r="AW356" i="42"/>
  <c r="AV337" i="42"/>
  <c r="AX325" i="42"/>
  <c r="AX229" i="42"/>
  <c r="AW183" i="42"/>
  <c r="AX131" i="42"/>
  <c r="AX209" i="42"/>
  <c r="AX288" i="42"/>
  <c r="AW243" i="42"/>
  <c r="AX319" i="42"/>
  <c r="AW156" i="42"/>
  <c r="AV304" i="42"/>
  <c r="AV154" i="42"/>
  <c r="AV313" i="42"/>
  <c r="AW251" i="42"/>
  <c r="AV196" i="42"/>
  <c r="AX347" i="42"/>
  <c r="AW181" i="42"/>
  <c r="AW310" i="42"/>
  <c r="AX374" i="42"/>
  <c r="AX309" i="42"/>
  <c r="AX362" i="42"/>
  <c r="AV222" i="42"/>
  <c r="AV191" i="42"/>
  <c r="AV319" i="42"/>
  <c r="AW133" i="42"/>
  <c r="AV213" i="42"/>
  <c r="AX224" i="42"/>
  <c r="AX174" i="42"/>
  <c r="AV121" i="42"/>
  <c r="AX246" i="42"/>
  <c r="AV318" i="42"/>
  <c r="AV145" i="42"/>
  <c r="AV224" i="42"/>
  <c r="AW144" i="42"/>
  <c r="AV174" i="42"/>
  <c r="AW213" i="42"/>
  <c r="AW208" i="42"/>
  <c r="AX343" i="42"/>
  <c r="AW280" i="42"/>
  <c r="AX327" i="42"/>
  <c r="AW231" i="42"/>
  <c r="AV117" i="42"/>
  <c r="AV245" i="42"/>
  <c r="AV330" i="42"/>
  <c r="AW285" i="42"/>
  <c r="AW160" i="42"/>
  <c r="AW179" i="42"/>
  <c r="AV303" i="42"/>
  <c r="AW114" i="42"/>
  <c r="AV265" i="42"/>
  <c r="AX353" i="42"/>
  <c r="AW252" i="42"/>
  <c r="AV241" i="42"/>
  <c r="AX314" i="42"/>
  <c r="AX198" i="42"/>
  <c r="AW190" i="42"/>
  <c r="AX189" i="42"/>
  <c r="AW292" i="42"/>
  <c r="AX133" i="42"/>
  <c r="AX149" i="42"/>
  <c r="AV119" i="42"/>
  <c r="AW164" i="42"/>
  <c r="AV114" i="42"/>
  <c r="AV182" i="42"/>
  <c r="AX223" i="42"/>
  <c r="AX331" i="42"/>
  <c r="AW237" i="42"/>
  <c r="AW257" i="42"/>
  <c r="AX156" i="42"/>
  <c r="AW232" i="42"/>
  <c r="AW244" i="42"/>
  <c r="AX293" i="42"/>
  <c r="AX129" i="42"/>
  <c r="AX234" i="42"/>
  <c r="AW299" i="42"/>
  <c r="AV152" i="42"/>
  <c r="AV161" i="42"/>
  <c r="AW113" i="42"/>
  <c r="AV238" i="42"/>
  <c r="AW174" i="42"/>
  <c r="AX141" i="42"/>
  <c r="AW342" i="42"/>
  <c r="AV333" i="42"/>
  <c r="AX145" i="42"/>
  <c r="AW203" i="42"/>
  <c r="AV178" i="42"/>
  <c r="AX296" i="42"/>
  <c r="AV200" i="42"/>
  <c r="AW227" i="42"/>
  <c r="AV321" i="42"/>
  <c r="AV324" i="42"/>
  <c r="AX132" i="42"/>
  <c r="AV165" i="42"/>
  <c r="AV250" i="42"/>
  <c r="AW290" i="42"/>
  <c r="AX125" i="42"/>
  <c r="AX301" i="42"/>
  <c r="AW250" i="42"/>
  <c r="AV223" i="42"/>
  <c r="AX200" i="42"/>
  <c r="AW153" i="42"/>
  <c r="AV358" i="42"/>
  <c r="AX130" i="42"/>
  <c r="AV290" i="42"/>
  <c r="AV207" i="42"/>
  <c r="AW187" i="42"/>
  <c r="AW154" i="42"/>
  <c r="AX333" i="42"/>
  <c r="AX271" i="42"/>
  <c r="AX342" i="42"/>
  <c r="AV350" i="42"/>
  <c r="AW120" i="42"/>
  <c r="AV168" i="42"/>
  <c r="AW132" i="42"/>
  <c r="AV221" i="42"/>
  <c r="AW167" i="42"/>
  <c r="AV218" i="42"/>
  <c r="AV249" i="42"/>
  <c r="AW329" i="42"/>
  <c r="AV284" i="42"/>
  <c r="AV325" i="42"/>
  <c r="AX260" i="42"/>
  <c r="AW134" i="42"/>
  <c r="AX320" i="42"/>
  <c r="AV198" i="42"/>
  <c r="AX334" i="42"/>
  <c r="AV209" i="42"/>
  <c r="AX369" i="42"/>
  <c r="AW371" i="42"/>
  <c r="AW300" i="42"/>
  <c r="AV130" i="42"/>
  <c r="AW194" i="42"/>
  <c r="AX142" i="42"/>
  <c r="AV295" i="42"/>
  <c r="AX173" i="42"/>
  <c r="AV335" i="42"/>
  <c r="AV348" i="42"/>
  <c r="AX157" i="42"/>
  <c r="AX323" i="42"/>
  <c r="AX372" i="42"/>
  <c r="AV120" i="42"/>
  <c r="AV282" i="42"/>
  <c r="AV199" i="42"/>
  <c r="AW206" i="42"/>
  <c r="AW215" i="42"/>
  <c r="AX358" i="42"/>
  <c r="AX261" i="42"/>
  <c r="AV310" i="42"/>
  <c r="AV264" i="42"/>
  <c r="AV371" i="42"/>
  <c r="AV314" i="42"/>
  <c r="AW322" i="42"/>
  <c r="AV116" i="42"/>
  <c r="AW221" i="42"/>
  <c r="AW143" i="42"/>
  <c r="AX140" i="42"/>
  <c r="AX191" i="42"/>
  <c r="AV300" i="42"/>
  <c r="AV254" i="42"/>
  <c r="AX168" i="42"/>
  <c r="AX304" i="42"/>
  <c r="AW123" i="42"/>
  <c r="AW138" i="42"/>
  <c r="AV160" i="42"/>
  <c r="AX136" i="42"/>
  <c r="AV118" i="42"/>
  <c r="AV272" i="42"/>
  <c r="AW375" i="42"/>
  <c r="AV211" i="42"/>
  <c r="AX258" i="42"/>
  <c r="AW220" i="42"/>
  <c r="AV206" i="42"/>
  <c r="AX336" i="42"/>
  <c r="AV225" i="42"/>
  <c r="AX294" i="42"/>
  <c r="AV158" i="42"/>
  <c r="AX361" i="42"/>
  <c r="AV301" i="42"/>
  <c r="AW344" i="42"/>
  <c r="AW332" i="42"/>
  <c r="AV271" i="42"/>
  <c r="AV268" i="42"/>
  <c r="AW157" i="42"/>
  <c r="AV156" i="42"/>
  <c r="AW286" i="42"/>
  <c r="AV203" i="42"/>
  <c r="AW349" i="42"/>
  <c r="AV258" i="42"/>
  <c r="AW294" i="42"/>
  <c r="AW152" i="42"/>
  <c r="AX203" i="42"/>
  <c r="AW158" i="42"/>
  <c r="AW351" i="42"/>
  <c r="AW281" i="42"/>
  <c r="AW339" i="42"/>
  <c r="AV262" i="42"/>
  <c r="AV138" i="42"/>
  <c r="AX205" i="42"/>
  <c r="AX138" i="42"/>
  <c r="AV155" i="42"/>
  <c r="AW147" i="42"/>
  <c r="AX322" i="42"/>
  <c r="AX307" i="42"/>
  <c r="AX162" i="42"/>
  <c r="AW239" i="42"/>
  <c r="AW291" i="42"/>
  <c r="AX127" i="42"/>
  <c r="AV281" i="42"/>
  <c r="AX163" i="42"/>
  <c r="AW119" i="42"/>
  <c r="AV270" i="42"/>
  <c r="AV248" i="42"/>
  <c r="AX273" i="42"/>
  <c r="AW136" i="42"/>
  <c r="AV266" i="42"/>
  <c r="AW225" i="42"/>
  <c r="AV128" i="42"/>
  <c r="AW172" i="42"/>
  <c r="AW270" i="42"/>
  <c r="AX196" i="42"/>
  <c r="AW275" i="42"/>
  <c r="AV166" i="42"/>
  <c r="AX153" i="42"/>
  <c r="AW128" i="42"/>
  <c r="AV192" i="42"/>
  <c r="AW175" i="42"/>
  <c r="AW217" i="42"/>
  <c r="AX268" i="42"/>
  <c r="AX193" i="42"/>
  <c r="AX316" i="42"/>
  <c r="AV294" i="42"/>
  <c r="AW180" i="42"/>
  <c r="AW289" i="42"/>
  <c r="AW192" i="42"/>
  <c r="AV261" i="42"/>
  <c r="AV194" i="42"/>
  <c r="AV360" i="42"/>
  <c r="AX181" i="42"/>
  <c r="AX126" i="42"/>
  <c r="AW340" i="42"/>
  <c r="AX367" i="42"/>
  <c r="AW255" i="42"/>
  <c r="AW218" i="42"/>
  <c r="AX244" i="42"/>
  <c r="AW321" i="42"/>
  <c r="AW303" i="42"/>
  <c r="AV163" i="42"/>
  <c r="AW353" i="42"/>
  <c r="AW139" i="42"/>
  <c r="AW319" i="42"/>
  <c r="AX184" i="42"/>
  <c r="AW335" i="42"/>
  <c r="AX254" i="42"/>
  <c r="AX284" i="42"/>
  <c r="AX285" i="42"/>
  <c r="AX270" i="42"/>
  <c r="AX289" i="42"/>
  <c r="AW196" i="42"/>
  <c r="AW247" i="42"/>
  <c r="AW260" i="42"/>
  <c r="AV177" i="42"/>
  <c r="AV252" i="42"/>
  <c r="AV257" i="42"/>
  <c r="AX240" i="42"/>
  <c r="AW263" i="42"/>
  <c r="AV126" i="42"/>
  <c r="AX250" i="42"/>
  <c r="AX219" i="42"/>
  <c r="AW338" i="42"/>
  <c r="AW336" i="42"/>
  <c r="AW211" i="42"/>
  <c r="AX282" i="42"/>
  <c r="AV369" i="42"/>
  <c r="AW261" i="42"/>
  <c r="AX297" i="42"/>
  <c r="AX197" i="42"/>
  <c r="AX154" i="42"/>
  <c r="AW323" i="42"/>
  <c r="AX155" i="42"/>
  <c r="AX202" i="42"/>
  <c r="AV273" i="42"/>
  <c r="AV148" i="42"/>
  <c r="AV219" i="42"/>
  <c r="AX215" i="42"/>
  <c r="AX144" i="42"/>
  <c r="AX177" i="42"/>
  <c r="AV133" i="42"/>
  <c r="AV288" i="42"/>
  <c r="AX315" i="42"/>
  <c r="AX245" i="42"/>
  <c r="AV231" i="42"/>
  <c r="AV344" i="42"/>
  <c r="AX275" i="42"/>
  <c r="AV173" i="42"/>
  <c r="AV237" i="42"/>
  <c r="AV302" i="42"/>
  <c r="AX277" i="42"/>
  <c r="AV195" i="42"/>
  <c r="AW318" i="42"/>
  <c r="AV232" i="42"/>
  <c r="AW326" i="42"/>
  <c r="AV374" i="42"/>
  <c r="AX160" i="42"/>
  <c r="G376" i="43"/>
  <c r="N376" i="43"/>
  <c r="D376" i="43"/>
  <c r="D376" i="40"/>
  <c r="G376" i="40"/>
  <c r="F376" i="43"/>
  <c r="J376" i="43"/>
  <c r="P376" i="43"/>
  <c r="H376" i="43"/>
  <c r="K376" i="43"/>
  <c r="E376" i="40"/>
  <c r="B376" i="40"/>
  <c r="B376" i="43"/>
  <c r="F376" i="40"/>
  <c r="O376" i="43"/>
  <c r="M376" i="43"/>
  <c r="E376" i="43"/>
  <c r="I376" i="43"/>
  <c r="L376" i="43"/>
  <c r="H376" i="40"/>
  <c r="C376" i="40"/>
  <c r="C376" i="43"/>
  <c r="AW22" i="38" l="1"/>
  <c r="AX22" i="38"/>
  <c r="AV22" i="38"/>
  <c r="AU24" i="38"/>
  <c r="AT23" i="38"/>
  <c r="AW23" i="38" l="1"/>
  <c r="AX23" i="38"/>
  <c r="AV23" i="38"/>
  <c r="AU25" i="38"/>
  <c r="AT24" i="38"/>
  <c r="AX24" i="38" l="1"/>
  <c r="AW24" i="38"/>
  <c r="AV24" i="38"/>
  <c r="AU26" i="38"/>
  <c r="AT25" i="38"/>
  <c r="AW25" i="38" l="1"/>
  <c r="AX25" i="38"/>
  <c r="AV25" i="38"/>
  <c r="AU27" i="38"/>
  <c r="AT26" i="38"/>
  <c r="C376" i="47"/>
  <c r="F376" i="47"/>
  <c r="B376" i="47"/>
  <c r="D376" i="47"/>
  <c r="G376" i="47" l="1"/>
  <c r="AW26" i="38"/>
  <c r="AV26" i="38"/>
  <c r="AX26" i="38"/>
  <c r="AU28" i="38"/>
  <c r="AT27" i="38"/>
  <c r="AX27" i="38" l="1"/>
  <c r="AW27" i="38"/>
  <c r="AV27" i="38"/>
  <c r="AU29" i="38"/>
  <c r="AT28" i="38"/>
  <c r="AW28" i="38" l="1"/>
  <c r="AX28" i="38"/>
  <c r="AV28" i="38"/>
  <c r="AU30" i="38"/>
  <c r="AT29" i="38"/>
  <c r="AW29" i="38" l="1"/>
  <c r="AX29" i="38"/>
  <c r="AV29" i="38"/>
  <c r="AU31" i="38"/>
  <c r="AT30" i="38"/>
  <c r="AX30" i="38" l="1"/>
  <c r="AW30" i="38"/>
  <c r="AV30" i="38"/>
  <c r="AU32" i="38"/>
  <c r="AT31" i="38"/>
  <c r="G23" i="50"/>
  <c r="H146" i="50"/>
  <c r="F249" i="49"/>
  <c r="H260" i="50"/>
  <c r="F160" i="49"/>
  <c r="F335" i="50"/>
  <c r="F68" i="50"/>
  <c r="D350" i="49"/>
  <c r="G219" i="50"/>
  <c r="G116" i="50"/>
  <c r="C267" i="49"/>
  <c r="H155" i="50"/>
  <c r="G326" i="50"/>
  <c r="G192" i="50"/>
  <c r="G353" i="50"/>
  <c r="H324" i="50"/>
  <c r="F251" i="50"/>
  <c r="H42" i="50"/>
  <c r="H51" i="40"/>
  <c r="H117" i="40"/>
  <c r="E210" i="49"/>
  <c r="G307" i="50"/>
  <c r="H132" i="50"/>
  <c r="H347" i="50"/>
  <c r="F163" i="50"/>
  <c r="G97" i="50"/>
  <c r="H237" i="50"/>
  <c r="H293" i="50"/>
  <c r="F197" i="50"/>
  <c r="G293" i="50"/>
  <c r="G327" i="50"/>
  <c r="H279" i="40"/>
  <c r="F178" i="50"/>
  <c r="G317" i="50"/>
  <c r="C206" i="49"/>
  <c r="G92" i="50"/>
  <c r="H199" i="50"/>
  <c r="H230" i="40"/>
  <c r="G200" i="50"/>
  <c r="D351" i="49"/>
  <c r="G77" i="50"/>
  <c r="H279" i="50"/>
  <c r="E293" i="50"/>
  <c r="F79" i="50"/>
  <c r="H348" i="40"/>
  <c r="H329" i="40"/>
  <c r="F198" i="50"/>
  <c r="C260" i="49"/>
  <c r="F104" i="50"/>
  <c r="F71" i="50"/>
  <c r="F142" i="49"/>
  <c r="H337" i="40"/>
  <c r="G273" i="50"/>
  <c r="H214" i="40"/>
  <c r="H67" i="40"/>
  <c r="H34" i="50"/>
  <c r="F134" i="50"/>
  <c r="F341" i="50"/>
  <c r="F43" i="49"/>
  <c r="D300" i="49"/>
  <c r="H57" i="50"/>
  <c r="D31" i="49"/>
  <c r="E302" i="50"/>
  <c r="F216" i="49"/>
  <c r="H56" i="50"/>
  <c r="G120" i="50"/>
  <c r="D347" i="49"/>
  <c r="B357" i="49"/>
  <c r="H104" i="40"/>
  <c r="B60" i="49"/>
  <c r="D305" i="50"/>
  <c r="D174" i="49"/>
  <c r="B53" i="50"/>
  <c r="H129" i="40"/>
  <c r="F350" i="49"/>
  <c r="H203" i="40"/>
  <c r="H222" i="50"/>
  <c r="H360" i="50"/>
  <c r="F149" i="49"/>
  <c r="F200" i="49"/>
  <c r="G234" i="50"/>
  <c r="H88" i="50"/>
  <c r="E265" i="49"/>
  <c r="C178" i="49"/>
  <c r="F244" i="50"/>
  <c r="C316" i="49"/>
  <c r="D240" i="50"/>
  <c r="D59" i="49"/>
  <c r="E48" i="49"/>
  <c r="F91" i="50"/>
  <c r="B32" i="49"/>
  <c r="C274" i="49"/>
  <c r="B154" i="49"/>
  <c r="C32" i="50"/>
  <c r="F165" i="50"/>
  <c r="F274" i="49"/>
  <c r="F375" i="49"/>
  <c r="E127" i="49"/>
  <c r="F127" i="49"/>
  <c r="G75" i="50"/>
  <c r="H334" i="40"/>
  <c r="D47" i="49"/>
  <c r="B309" i="49"/>
  <c r="H191" i="50"/>
  <c r="B53" i="49"/>
  <c r="C334" i="49"/>
  <c r="D301" i="49"/>
  <c r="E240" i="49"/>
  <c r="D21" i="49"/>
  <c r="E289" i="50"/>
  <c r="C369" i="49"/>
  <c r="E151" i="50"/>
  <c r="B54" i="50"/>
  <c r="D333" i="49"/>
  <c r="D128" i="50"/>
  <c r="H91" i="40"/>
  <c r="H177" i="50"/>
  <c r="F158" i="50"/>
  <c r="H167" i="50"/>
  <c r="B69" i="49"/>
  <c r="C235" i="49"/>
  <c r="F124" i="50"/>
  <c r="G68" i="50"/>
  <c r="E194" i="49"/>
  <c r="G164" i="50"/>
  <c r="C217" i="49"/>
  <c r="E346" i="50"/>
  <c r="H224" i="40"/>
  <c r="F170" i="50"/>
  <c r="H182" i="50"/>
  <c r="F232" i="50"/>
  <c r="B150" i="49"/>
  <c r="G52" i="50"/>
  <c r="H314" i="50"/>
  <c r="D179" i="49"/>
  <c r="F168" i="50"/>
  <c r="F358" i="49"/>
  <c r="F50" i="50"/>
  <c r="H168" i="50"/>
  <c r="B272" i="49"/>
  <c r="H41" i="50"/>
  <c r="H282" i="50"/>
  <c r="D314" i="49"/>
  <c r="H321" i="50"/>
  <c r="F164" i="50"/>
  <c r="D278" i="49"/>
  <c r="H221" i="40"/>
  <c r="D201" i="49"/>
  <c r="H26" i="50"/>
  <c r="F320" i="50"/>
  <c r="F108" i="50"/>
  <c r="F336" i="50"/>
  <c r="G202" i="50"/>
  <c r="H371" i="50"/>
  <c r="F297" i="49"/>
  <c r="E261" i="49"/>
  <c r="H308" i="50"/>
  <c r="F53" i="50"/>
  <c r="H95" i="50"/>
  <c r="F349" i="50"/>
  <c r="F297" i="50"/>
  <c r="H22" i="40"/>
  <c r="H351" i="40"/>
  <c r="H212" i="40"/>
  <c r="H22" i="50"/>
  <c r="F97" i="50"/>
  <c r="F203" i="50"/>
  <c r="H53" i="40"/>
  <c r="H131" i="40"/>
  <c r="F18" i="50"/>
  <c r="G123" i="50"/>
  <c r="H91" i="50"/>
  <c r="F84" i="50"/>
  <c r="H356" i="40"/>
  <c r="D213" i="49"/>
  <c r="G28" i="50"/>
  <c r="H205" i="40"/>
  <c r="F132" i="49"/>
  <c r="G224" i="50"/>
  <c r="F40" i="50"/>
  <c r="H209" i="50"/>
  <c r="F90" i="50"/>
  <c r="F295" i="50"/>
  <c r="H151" i="40"/>
  <c r="F217" i="50"/>
  <c r="E73" i="50"/>
  <c r="D349" i="50"/>
  <c r="F327" i="49"/>
  <c r="D119" i="49"/>
  <c r="H229" i="40"/>
  <c r="H18" i="40"/>
  <c r="C329" i="49"/>
  <c r="H179" i="50"/>
  <c r="E321" i="49"/>
  <c r="C180" i="50"/>
  <c r="E197" i="49"/>
  <c r="B339" i="49"/>
  <c r="E315" i="49"/>
  <c r="D301" i="50"/>
  <c r="C30" i="50"/>
  <c r="D96" i="49"/>
  <c r="E238" i="50"/>
  <c r="F246" i="49"/>
  <c r="H340" i="40"/>
  <c r="H181" i="40"/>
  <c r="H360" i="40"/>
  <c r="B128" i="49"/>
  <c r="C146" i="49"/>
  <c r="H245" i="40"/>
  <c r="E289" i="49"/>
  <c r="C193" i="50"/>
  <c r="B144" i="49"/>
  <c r="B283" i="49"/>
  <c r="H166" i="40"/>
  <c r="H122" i="50"/>
  <c r="D180" i="49"/>
  <c r="H231" i="50"/>
  <c r="E342" i="50"/>
  <c r="D95" i="49"/>
  <c r="F218" i="49"/>
  <c r="C142" i="50"/>
  <c r="H289" i="40"/>
  <c r="F237" i="50"/>
  <c r="G18" i="50"/>
  <c r="H244" i="40"/>
  <c r="F301" i="49"/>
  <c r="E32" i="49"/>
  <c r="H242" i="50"/>
  <c r="E251" i="49"/>
  <c r="B265" i="50"/>
  <c r="E108" i="49"/>
  <c r="B232" i="49"/>
  <c r="H53" i="50"/>
  <c r="G294" i="50"/>
  <c r="C199" i="49"/>
  <c r="H151" i="50"/>
  <c r="D33" i="50"/>
  <c r="C161" i="49"/>
  <c r="B52" i="49"/>
  <c r="B154" i="50"/>
  <c r="D167" i="49"/>
  <c r="B47" i="49"/>
  <c r="F333" i="49"/>
  <c r="H200" i="50"/>
  <c r="G34" i="50"/>
  <c r="G356" i="50"/>
  <c r="F212" i="49"/>
  <c r="C119" i="49"/>
  <c r="H237" i="40"/>
  <c r="G225" i="50"/>
  <c r="F287" i="49"/>
  <c r="G253" i="50"/>
  <c r="H334" i="50"/>
  <c r="E29" i="50"/>
  <c r="G80" i="50"/>
  <c r="H206" i="40"/>
  <c r="G70" i="50"/>
  <c r="G209" i="50"/>
  <c r="H342" i="50"/>
  <c r="G151" i="50"/>
  <c r="F183" i="50"/>
  <c r="H368" i="50"/>
  <c r="G149" i="50"/>
  <c r="H43" i="40"/>
  <c r="H143" i="50"/>
  <c r="F273" i="50"/>
  <c r="B249" i="49"/>
  <c r="F189" i="50"/>
  <c r="H180" i="50"/>
  <c r="D50" i="49"/>
  <c r="G183" i="50"/>
  <c r="F122" i="49"/>
  <c r="H253" i="40"/>
  <c r="H198" i="40"/>
  <c r="E300" i="49"/>
  <c r="G86" i="50"/>
  <c r="H49" i="40"/>
  <c r="E348" i="49"/>
  <c r="F257" i="50"/>
  <c r="F171" i="50"/>
  <c r="D98" i="49"/>
  <c r="H24" i="40"/>
  <c r="D318" i="49"/>
  <c r="F109" i="50"/>
  <c r="H298" i="50"/>
  <c r="B180" i="49"/>
  <c r="G139" i="50"/>
  <c r="F107" i="50"/>
  <c r="H354" i="50"/>
  <c r="F259" i="49"/>
  <c r="E284" i="49"/>
  <c r="F46" i="50"/>
  <c r="H159" i="50"/>
  <c r="H211" i="50"/>
  <c r="F85" i="50"/>
  <c r="H257" i="40"/>
  <c r="F88" i="49"/>
  <c r="H158" i="50"/>
  <c r="G63" i="50"/>
  <c r="G196" i="50"/>
  <c r="G302" i="50"/>
  <c r="F309" i="50"/>
  <c r="H316" i="50"/>
  <c r="H59" i="40"/>
  <c r="H144" i="40"/>
  <c r="G140" i="50"/>
  <c r="H63" i="40"/>
  <c r="H176" i="50"/>
  <c r="G281" i="50"/>
  <c r="F125" i="50"/>
  <c r="H249" i="50"/>
  <c r="G165" i="50"/>
  <c r="F162" i="50"/>
  <c r="C250" i="50"/>
  <c r="H46" i="50"/>
  <c r="D211" i="49"/>
  <c r="F375" i="50"/>
  <c r="H71" i="40"/>
  <c r="D284" i="49"/>
  <c r="H76" i="40"/>
  <c r="H301" i="40"/>
  <c r="B342" i="50"/>
  <c r="D31" i="50"/>
  <c r="B66" i="50"/>
  <c r="D231" i="49"/>
  <c r="C187" i="50"/>
  <c r="H189" i="50"/>
  <c r="D45" i="50"/>
  <c r="H128" i="40"/>
  <c r="H198" i="50"/>
  <c r="F119" i="50"/>
  <c r="F72" i="50"/>
  <c r="G167" i="50"/>
  <c r="G271" i="50"/>
  <c r="E222" i="49"/>
  <c r="G368" i="50"/>
  <c r="H362" i="50"/>
  <c r="B32" i="50"/>
  <c r="E151" i="49"/>
  <c r="C255" i="49"/>
  <c r="G51" i="50"/>
  <c r="G162" i="50"/>
  <c r="F165" i="49"/>
  <c r="D235" i="49"/>
  <c r="E295" i="49"/>
  <c r="D169" i="50"/>
  <c r="D107" i="49"/>
  <c r="F328" i="50"/>
  <c r="F236" i="50"/>
  <c r="H162" i="50"/>
  <c r="H285" i="50"/>
  <c r="H136" i="40"/>
  <c r="F139" i="50"/>
  <c r="D271" i="49"/>
  <c r="H16" i="40"/>
  <c r="H174" i="40"/>
  <c r="B91" i="50"/>
  <c r="D17" i="49"/>
  <c r="H139" i="40"/>
  <c r="F23" i="49"/>
  <c r="H184" i="40"/>
  <c r="E262" i="49"/>
  <c r="C368" i="49"/>
  <c r="D36" i="49"/>
  <c r="C28" i="50"/>
  <c r="D359" i="49"/>
  <c r="E282" i="50"/>
  <c r="H303" i="50"/>
  <c r="F335" i="49"/>
  <c r="E189" i="49"/>
  <c r="D289" i="49"/>
  <c r="D276" i="49"/>
  <c r="C315" i="49"/>
  <c r="H305" i="40"/>
  <c r="F315" i="50"/>
  <c r="F312" i="50"/>
  <c r="D138" i="49"/>
  <c r="F277" i="49"/>
  <c r="H307" i="40"/>
  <c r="F367" i="50"/>
  <c r="E193" i="50"/>
  <c r="G158" i="50"/>
  <c r="H329" i="50"/>
  <c r="H364" i="40"/>
  <c r="H209" i="40"/>
  <c r="H38" i="40"/>
  <c r="H255" i="50"/>
  <c r="H344" i="50"/>
  <c r="G169" i="50"/>
  <c r="F288" i="50"/>
  <c r="E185" i="49"/>
  <c r="F16" i="50"/>
  <c r="F180" i="50"/>
  <c r="G32" i="50"/>
  <c r="G61" i="50"/>
  <c r="F259" i="50"/>
  <c r="H153" i="50"/>
  <c r="H263" i="50"/>
  <c r="H232" i="40"/>
  <c r="H80" i="40"/>
  <c r="F67" i="50"/>
  <c r="H11" i="40"/>
  <c r="G265" i="50"/>
  <c r="H188" i="40"/>
  <c r="D43" i="49"/>
  <c r="G304" i="50"/>
  <c r="F110" i="49"/>
  <c r="H261" i="40"/>
  <c r="F128" i="50"/>
  <c r="E287" i="49"/>
  <c r="G201" i="50"/>
  <c r="F289" i="50"/>
  <c r="B310" i="49"/>
  <c r="F116" i="50"/>
  <c r="F191" i="50"/>
  <c r="D190" i="49"/>
  <c r="F122" i="50"/>
  <c r="D19" i="49"/>
  <c r="H115" i="50"/>
  <c r="F346" i="50"/>
  <c r="C232" i="49"/>
  <c r="G340" i="50"/>
  <c r="H103" i="50"/>
  <c r="H280" i="40"/>
  <c r="H223" i="40"/>
  <c r="E350" i="49"/>
  <c r="F277" i="50"/>
  <c r="G93" i="50"/>
  <c r="G299" i="50"/>
  <c r="G333" i="50"/>
  <c r="G153" i="50"/>
  <c r="F194" i="49"/>
  <c r="H84" i="50"/>
  <c r="B25" i="49"/>
  <c r="G254" i="50"/>
  <c r="F17" i="50"/>
  <c r="H157" i="50"/>
  <c r="F150" i="49"/>
  <c r="G329" i="50"/>
  <c r="F220" i="50"/>
  <c r="D66" i="50"/>
  <c r="F267" i="50"/>
  <c r="F366" i="50"/>
  <c r="H298" i="40"/>
  <c r="E281" i="49"/>
  <c r="B345" i="49"/>
  <c r="H278" i="50"/>
  <c r="G186" i="50"/>
  <c r="C126" i="49"/>
  <c r="B356" i="49"/>
  <c r="B148" i="50"/>
  <c r="D229" i="49"/>
  <c r="B143" i="50"/>
  <c r="H215" i="50"/>
  <c r="D116" i="49"/>
  <c r="H268" i="40"/>
  <c r="F182" i="50"/>
  <c r="G81" i="50"/>
  <c r="F195" i="49"/>
  <c r="G132" i="50"/>
  <c r="F55" i="49"/>
  <c r="C116" i="49"/>
  <c r="F219" i="50"/>
  <c r="H76" i="50"/>
  <c r="B207" i="50"/>
  <c r="H294" i="40"/>
  <c r="H87" i="40"/>
  <c r="F134" i="49"/>
  <c r="D196" i="49"/>
  <c r="F273" i="49"/>
  <c r="C157" i="49"/>
  <c r="F133" i="49"/>
  <c r="C33" i="50"/>
  <c r="C204" i="49"/>
  <c r="F100" i="50"/>
  <c r="F270" i="50"/>
  <c r="H54" i="40"/>
  <c r="H189" i="40"/>
  <c r="F228" i="49"/>
  <c r="F174" i="49"/>
  <c r="B306" i="49"/>
  <c r="H225" i="40"/>
  <c r="H183" i="40"/>
  <c r="B120" i="50"/>
  <c r="H222" i="40"/>
  <c r="G43" i="50"/>
  <c r="H130" i="50"/>
  <c r="D165" i="49"/>
  <c r="F22" i="49"/>
  <c r="E118" i="49"/>
  <c r="F69" i="49"/>
  <c r="B128" i="50"/>
  <c r="B279" i="49"/>
  <c r="D80" i="50"/>
  <c r="B199" i="49"/>
  <c r="D202" i="49"/>
  <c r="F68" i="49"/>
  <c r="F298" i="49"/>
  <c r="E317" i="49"/>
  <c r="D251" i="49"/>
  <c r="E236" i="49"/>
  <c r="F255" i="49"/>
  <c r="H304" i="50"/>
  <c r="D173" i="49"/>
  <c r="B260" i="49"/>
  <c r="G146" i="50"/>
  <c r="F239" i="49"/>
  <c r="E332" i="49"/>
  <c r="G188" i="50"/>
  <c r="C319" i="49"/>
  <c r="H191" i="40"/>
  <c r="H256" i="40"/>
  <c r="E80" i="49"/>
  <c r="F371" i="50"/>
  <c r="G131" i="50"/>
  <c r="D62" i="49"/>
  <c r="H109" i="40"/>
  <c r="E249" i="49"/>
  <c r="G109" i="50"/>
  <c r="H127" i="40"/>
  <c r="H140" i="50"/>
  <c r="F154" i="50"/>
  <c r="F265" i="50"/>
  <c r="G246" i="50"/>
  <c r="G176" i="50"/>
  <c r="F96" i="49"/>
  <c r="G220" i="50"/>
  <c r="F323" i="50"/>
  <c r="G344" i="50"/>
  <c r="F304" i="50"/>
  <c r="F81" i="50"/>
  <c r="G278" i="50"/>
  <c r="F324" i="50"/>
  <c r="H314" i="40"/>
  <c r="H265" i="40"/>
  <c r="F225" i="50"/>
  <c r="F73" i="50"/>
  <c r="H192" i="40"/>
  <c r="H345" i="50"/>
  <c r="G242" i="50"/>
  <c r="H370" i="50"/>
  <c r="F283" i="50"/>
  <c r="H103" i="40"/>
  <c r="H154" i="40"/>
  <c r="E121" i="49"/>
  <c r="H55" i="50"/>
  <c r="H32" i="50"/>
  <c r="B176" i="49"/>
  <c r="H97" i="40"/>
  <c r="G94" i="50"/>
  <c r="H201" i="40"/>
  <c r="H57" i="40"/>
  <c r="D343" i="49"/>
  <c r="H309" i="50"/>
  <c r="H273" i="50"/>
  <c r="F83" i="49"/>
  <c r="H74" i="40"/>
  <c r="G26" i="50"/>
  <c r="H300" i="50"/>
  <c r="F51" i="50"/>
  <c r="B281" i="49"/>
  <c r="G138" i="50"/>
  <c r="H195" i="50"/>
  <c r="G30" i="50"/>
  <c r="H259" i="50"/>
  <c r="H127" i="50"/>
  <c r="E36" i="49"/>
  <c r="C52" i="49"/>
  <c r="F135" i="49"/>
  <c r="H234" i="50"/>
  <c r="F215" i="50"/>
  <c r="E110" i="49"/>
  <c r="C213" i="49"/>
  <c r="F127" i="50"/>
  <c r="C45" i="49"/>
  <c r="B166" i="49"/>
  <c r="F256" i="49"/>
  <c r="B255" i="50"/>
  <c r="D75" i="50"/>
  <c r="B361" i="50"/>
  <c r="D249" i="49"/>
  <c r="E41" i="49"/>
  <c r="H293" i="40"/>
  <c r="G157" i="50"/>
  <c r="F82" i="50"/>
  <c r="G218" i="50"/>
  <c r="G322" i="50"/>
  <c r="F312" i="49"/>
  <c r="C38" i="49"/>
  <c r="H269" i="40"/>
  <c r="D268" i="49"/>
  <c r="E103" i="50"/>
  <c r="E244" i="49"/>
  <c r="F75" i="49"/>
  <c r="G303" i="50"/>
  <c r="D100" i="49"/>
  <c r="E354" i="50"/>
  <c r="H73" i="40"/>
  <c r="E306" i="50"/>
  <c r="C324" i="50"/>
  <c r="C44" i="49"/>
  <c r="H23" i="40"/>
  <c r="H142" i="40"/>
  <c r="H70" i="40"/>
  <c r="H90" i="50"/>
  <c r="G185" i="50"/>
  <c r="E123" i="49"/>
  <c r="C99" i="49"/>
  <c r="H210" i="40"/>
  <c r="C71" i="49"/>
  <c r="D276" i="50"/>
  <c r="D77" i="49"/>
  <c r="E199" i="49"/>
  <c r="H207" i="40"/>
  <c r="C358" i="49"/>
  <c r="B224" i="49"/>
  <c r="F89" i="49"/>
  <c r="F284" i="49"/>
  <c r="D30" i="49"/>
  <c r="B292" i="49"/>
  <c r="C366" i="50"/>
  <c r="E88" i="49"/>
  <c r="E354" i="49"/>
  <c r="G223" i="50"/>
  <c r="H161" i="40"/>
  <c r="G71" i="50"/>
  <c r="H138" i="50"/>
  <c r="G267" i="50"/>
  <c r="F35" i="49"/>
  <c r="G371" i="50"/>
  <c r="D324" i="49"/>
  <c r="B257" i="49"/>
  <c r="C187" i="49"/>
  <c r="E320" i="50"/>
  <c r="H192" i="50"/>
  <c r="F226" i="50"/>
  <c r="H271" i="50"/>
  <c r="B40" i="49"/>
  <c r="H80" i="50"/>
  <c r="H40" i="40"/>
  <c r="D257" i="49"/>
  <c r="G38" i="50"/>
  <c r="H117" i="50"/>
  <c r="G59" i="50"/>
  <c r="F43" i="50"/>
  <c r="E312" i="49"/>
  <c r="H89" i="40"/>
  <c r="H333" i="40"/>
  <c r="E90" i="49"/>
  <c r="H338" i="40"/>
  <c r="F132" i="50"/>
  <c r="D189" i="49"/>
  <c r="F308" i="49"/>
  <c r="E340" i="49"/>
  <c r="F121" i="50"/>
  <c r="F110" i="50"/>
  <c r="C61" i="49"/>
  <c r="G212" i="50"/>
  <c r="H98" i="50"/>
  <c r="F211" i="50"/>
  <c r="H202" i="50"/>
  <c r="F42" i="49"/>
  <c r="F63" i="50"/>
  <c r="F353" i="50"/>
  <c r="F106" i="50"/>
  <c r="H107" i="40"/>
  <c r="G208" i="50"/>
  <c r="H144" i="50"/>
  <c r="F89" i="50"/>
  <c r="F184" i="50"/>
  <c r="F249" i="50"/>
  <c r="F305" i="50"/>
  <c r="F317" i="49"/>
  <c r="H310" i="50"/>
  <c r="F271" i="50"/>
  <c r="H141" i="50"/>
  <c r="H200" i="40"/>
  <c r="H113" i="40"/>
  <c r="H148" i="40"/>
  <c r="G65" i="50"/>
  <c r="D373" i="49"/>
  <c r="H81" i="50"/>
  <c r="H78" i="50"/>
  <c r="E79" i="50"/>
  <c r="H287" i="40"/>
  <c r="H141" i="40"/>
  <c r="G305" i="50"/>
  <c r="H137" i="50"/>
  <c r="H50" i="40"/>
  <c r="H240" i="40"/>
  <c r="F21" i="50"/>
  <c r="F372" i="50"/>
  <c r="G136" i="50"/>
  <c r="D150" i="49"/>
  <c r="D160" i="49"/>
  <c r="B311" i="49"/>
  <c r="E72" i="50"/>
  <c r="B58" i="49"/>
  <c r="F325" i="50"/>
  <c r="E53" i="49"/>
  <c r="C246" i="50"/>
  <c r="B243" i="49"/>
  <c r="B76" i="49"/>
  <c r="G55" i="50"/>
  <c r="E287" i="50"/>
  <c r="D331" i="50"/>
  <c r="C283" i="50"/>
  <c r="B331" i="50"/>
  <c r="F88" i="50"/>
  <c r="E62" i="49"/>
  <c r="F279" i="50"/>
  <c r="F282" i="49"/>
  <c r="H13" i="40"/>
  <c r="G90" i="50"/>
  <c r="G13" i="50"/>
  <c r="F220" i="49"/>
  <c r="C280" i="50"/>
  <c r="D291" i="49"/>
  <c r="C284" i="49"/>
  <c r="G159" i="50"/>
  <c r="G318" i="50"/>
  <c r="F198" i="49"/>
  <c r="H303" i="40"/>
  <c r="D322" i="49"/>
  <c r="B145" i="49"/>
  <c r="F276" i="49"/>
  <c r="B122" i="49"/>
  <c r="E114" i="49"/>
  <c r="C335" i="50"/>
  <c r="F362" i="49"/>
  <c r="H197" i="50"/>
  <c r="G342" i="50"/>
  <c r="H86" i="40"/>
  <c r="H262" i="40"/>
  <c r="E109" i="49"/>
  <c r="C316" i="50"/>
  <c r="B113" i="49"/>
  <c r="C174" i="49"/>
  <c r="F157" i="49"/>
  <c r="F318" i="50"/>
  <c r="D134" i="49"/>
  <c r="H104" i="50"/>
  <c r="C244" i="49"/>
  <c r="E245" i="50"/>
  <c r="D124" i="49"/>
  <c r="E325" i="50"/>
  <c r="D109" i="49"/>
  <c r="C20" i="50"/>
  <c r="H107" i="50"/>
  <c r="F140" i="49"/>
  <c r="H52" i="40"/>
  <c r="H120" i="40"/>
  <c r="H63" i="50"/>
  <c r="H109" i="50"/>
  <c r="H254" i="50"/>
  <c r="G312" i="50"/>
  <c r="D88" i="49"/>
  <c r="H123" i="40"/>
  <c r="G257" i="50"/>
  <c r="B61" i="50"/>
  <c r="F289" i="49"/>
  <c r="F330" i="49"/>
  <c r="F80" i="50"/>
  <c r="H206" i="50"/>
  <c r="G232" i="50"/>
  <c r="C311" i="49"/>
  <c r="G259" i="50"/>
  <c r="H111" i="40"/>
  <c r="G298" i="50"/>
  <c r="F186" i="50"/>
  <c r="H257" i="50"/>
  <c r="H35" i="40"/>
  <c r="H226" i="40"/>
  <c r="F185" i="50"/>
  <c r="G289" i="50"/>
  <c r="H124" i="40"/>
  <c r="E71" i="49"/>
  <c r="G284" i="50"/>
  <c r="G101" i="50"/>
  <c r="G216" i="50"/>
  <c r="H320" i="40"/>
  <c r="E181" i="49"/>
  <c r="F77" i="50"/>
  <c r="G45" i="50"/>
  <c r="B178" i="49"/>
  <c r="H371" i="40"/>
  <c r="F45" i="50"/>
  <c r="D63" i="49"/>
  <c r="F290" i="49"/>
  <c r="E286" i="49"/>
  <c r="F48" i="50"/>
  <c r="F330" i="50"/>
  <c r="C305" i="49"/>
  <c r="G288" i="50"/>
  <c r="H44" i="40"/>
  <c r="F148" i="50"/>
  <c r="F140" i="50"/>
  <c r="F34" i="49"/>
  <c r="H71" i="50"/>
  <c r="F278" i="50"/>
  <c r="G235" i="50"/>
  <c r="H315" i="40"/>
  <c r="H79" i="40"/>
  <c r="F286" i="50"/>
  <c r="F25" i="50"/>
  <c r="D69" i="49"/>
  <c r="F35" i="50"/>
  <c r="G306" i="50"/>
  <c r="F326" i="50"/>
  <c r="G142" i="50"/>
  <c r="H132" i="40"/>
  <c r="H101" i="50"/>
  <c r="G152" i="50"/>
  <c r="H37" i="40"/>
  <c r="F44" i="50"/>
  <c r="F215" i="49"/>
  <c r="G275" i="50"/>
  <c r="G191" i="50"/>
  <c r="F267" i="49"/>
  <c r="F252" i="50"/>
  <c r="F149" i="50"/>
  <c r="G263" i="50"/>
  <c r="E254" i="49"/>
  <c r="H46" i="40"/>
  <c r="F100" i="49"/>
  <c r="E323" i="49"/>
  <c r="H94" i="50"/>
  <c r="G121" i="50"/>
  <c r="B86" i="50"/>
  <c r="E219" i="49"/>
  <c r="C55" i="49"/>
  <c r="F192" i="50"/>
  <c r="B15" i="49"/>
  <c r="E278" i="50"/>
  <c r="D267" i="50"/>
  <c r="B336" i="50"/>
  <c r="H69" i="40"/>
  <c r="E360" i="50"/>
  <c r="G297" i="50"/>
  <c r="H140" i="40"/>
  <c r="G104" i="50"/>
  <c r="H327" i="50"/>
  <c r="H156" i="50"/>
  <c r="H196" i="50"/>
  <c r="C310" i="50"/>
  <c r="H51" i="50"/>
  <c r="D168" i="49"/>
  <c r="H33" i="40"/>
  <c r="H186" i="50"/>
  <c r="C155" i="49"/>
  <c r="F207" i="50"/>
  <c r="F333" i="50"/>
  <c r="C301" i="49"/>
  <c r="B101" i="50"/>
  <c r="B260" i="50"/>
  <c r="C62" i="49"/>
  <c r="B359" i="50"/>
  <c r="H157" i="40"/>
  <c r="H350" i="40"/>
  <c r="H75" i="50"/>
  <c r="G245" i="50"/>
  <c r="H60" i="50"/>
  <c r="G173" i="50"/>
  <c r="B186" i="50"/>
  <c r="F13" i="49"/>
  <c r="C309" i="49"/>
  <c r="G321" i="50"/>
  <c r="H264" i="50"/>
  <c r="F25" i="49"/>
  <c r="F69" i="50"/>
  <c r="G72" i="50"/>
  <c r="E90" i="50"/>
  <c r="D79" i="50"/>
  <c r="B227" i="49"/>
  <c r="B197" i="49"/>
  <c r="B145" i="50"/>
  <c r="E51" i="49"/>
  <c r="B161" i="49"/>
  <c r="F133" i="50"/>
  <c r="H313" i="40"/>
  <c r="H246" i="40"/>
  <c r="H87" i="50"/>
  <c r="H27" i="50"/>
  <c r="E268" i="49"/>
  <c r="B22" i="49"/>
  <c r="G261" i="50"/>
  <c r="G370" i="50"/>
  <c r="B164" i="49"/>
  <c r="F162" i="49"/>
  <c r="H332" i="50"/>
  <c r="H317" i="40"/>
  <c r="H70" i="50"/>
  <c r="G309" i="50"/>
  <c r="H345" i="40"/>
  <c r="G290" i="50"/>
  <c r="H249" i="40"/>
  <c r="G124" i="50"/>
  <c r="H161" i="50"/>
  <c r="F288" i="49"/>
  <c r="G50" i="50"/>
  <c r="G115" i="50"/>
  <c r="F357" i="50"/>
  <c r="H171" i="50"/>
  <c r="F317" i="50"/>
  <c r="G260" i="50"/>
  <c r="F131" i="50"/>
  <c r="H302" i="50"/>
  <c r="H159" i="40"/>
  <c r="H102" i="40"/>
  <c r="F196" i="50"/>
  <c r="G280" i="50"/>
  <c r="H96" i="50"/>
  <c r="H50" i="50"/>
  <c r="G126" i="50"/>
  <c r="H188" i="50"/>
  <c r="G24" i="50"/>
  <c r="H202" i="40"/>
  <c r="E22" i="49"/>
  <c r="G190" i="50"/>
  <c r="F299" i="50"/>
  <c r="C97" i="49"/>
  <c r="G279" i="50"/>
  <c r="H125" i="50"/>
  <c r="G154" i="50"/>
  <c r="F37" i="50"/>
  <c r="E66" i="49"/>
  <c r="H214" i="50"/>
  <c r="F22" i="50"/>
  <c r="C166" i="49"/>
  <c r="H35" i="50"/>
  <c r="H342" i="40"/>
  <c r="H14" i="50"/>
  <c r="H333" i="50"/>
  <c r="C207" i="49"/>
  <c r="H330" i="50"/>
  <c r="F241" i="50"/>
  <c r="H213" i="50"/>
  <c r="H38" i="50"/>
  <c r="H255" i="40"/>
  <c r="H221" i="50"/>
  <c r="G179" i="50"/>
  <c r="C291" i="49"/>
  <c r="G217" i="50"/>
  <c r="H231" i="40"/>
  <c r="E273" i="49"/>
  <c r="E156" i="49"/>
  <c r="D34" i="49"/>
  <c r="C279" i="49"/>
  <c r="B204" i="49"/>
  <c r="E249" i="50"/>
  <c r="F222" i="50"/>
  <c r="F115" i="50"/>
  <c r="F237" i="49"/>
  <c r="C238" i="49"/>
  <c r="G354" i="50"/>
  <c r="H242" i="40"/>
  <c r="B368" i="50"/>
  <c r="F13" i="50"/>
  <c r="H100" i="40"/>
  <c r="F188" i="50"/>
  <c r="C42" i="49"/>
  <c r="E216" i="49"/>
  <c r="C139" i="49"/>
  <c r="D181" i="50"/>
  <c r="F361" i="49"/>
  <c r="D126" i="50"/>
  <c r="G325" i="50"/>
  <c r="H131" i="50"/>
  <c r="F194" i="50"/>
  <c r="H17" i="40"/>
  <c r="G346" i="50"/>
  <c r="G323" i="50"/>
  <c r="C130" i="50"/>
  <c r="H304" i="40"/>
  <c r="G56" i="50"/>
  <c r="H289" i="50"/>
  <c r="E304" i="49"/>
  <c r="B233" i="49"/>
  <c r="H319" i="50"/>
  <c r="G343" i="50"/>
  <c r="E67" i="50"/>
  <c r="F183" i="49"/>
  <c r="B76" i="50"/>
  <c r="C141" i="49"/>
  <c r="B141" i="50"/>
  <c r="H112" i="50"/>
  <c r="F250" i="50"/>
  <c r="F58" i="50"/>
  <c r="G249" i="50"/>
  <c r="H181" i="50"/>
  <c r="H194" i="40"/>
  <c r="B146" i="50"/>
  <c r="H362" i="40"/>
  <c r="F116" i="49"/>
  <c r="F187" i="50"/>
  <c r="D269" i="49"/>
  <c r="F31" i="49"/>
  <c r="H81" i="40"/>
  <c r="G361" i="50"/>
  <c r="E47" i="50"/>
  <c r="D226" i="49"/>
  <c r="B109" i="49"/>
  <c r="C302" i="49"/>
  <c r="B228" i="50"/>
  <c r="D369" i="49"/>
  <c r="E292" i="49"/>
  <c r="H321" i="40"/>
  <c r="G336" i="50"/>
  <c r="F344" i="50"/>
  <c r="G168" i="50"/>
  <c r="H152" i="50"/>
  <c r="D151" i="49"/>
  <c r="B338" i="49"/>
  <c r="G375" i="50"/>
  <c r="C220" i="49"/>
  <c r="D264" i="49"/>
  <c r="D305" i="49"/>
  <c r="E294" i="49"/>
  <c r="H115" i="40"/>
  <c r="H42" i="40"/>
  <c r="F263" i="49"/>
  <c r="F157" i="50"/>
  <c r="G182" i="50"/>
  <c r="E73" i="49"/>
  <c r="H16" i="50"/>
  <c r="F27" i="49"/>
  <c r="H58" i="50"/>
  <c r="H114" i="40"/>
  <c r="D140" i="49"/>
  <c r="F264" i="50"/>
  <c r="H297" i="50"/>
  <c r="F172" i="50"/>
  <c r="H24" i="50"/>
  <c r="F191" i="49"/>
  <c r="F311" i="50"/>
  <c r="F181" i="50"/>
  <c r="H167" i="40"/>
  <c r="G266" i="50"/>
  <c r="G214" i="50"/>
  <c r="H17" i="50"/>
  <c r="H93" i="50"/>
  <c r="G150" i="50"/>
  <c r="F137" i="50"/>
  <c r="H285" i="40"/>
  <c r="F201" i="50"/>
  <c r="H269" i="50"/>
  <c r="H275" i="40"/>
  <c r="H75" i="40"/>
  <c r="H370" i="40"/>
  <c r="F76" i="50"/>
  <c r="G359" i="50"/>
  <c r="H164" i="40"/>
  <c r="F90" i="49"/>
  <c r="F262" i="50"/>
  <c r="F23" i="50"/>
  <c r="C347" i="49"/>
  <c r="F355" i="50"/>
  <c r="F258" i="50"/>
  <c r="H142" i="50"/>
  <c r="G172" i="50"/>
  <c r="C281" i="49"/>
  <c r="F275" i="50"/>
  <c r="H307" i="50"/>
  <c r="C22" i="49"/>
  <c r="G21" i="50"/>
  <c r="H153" i="40"/>
  <c r="H121" i="50"/>
  <c r="H77" i="50"/>
  <c r="C211" i="49"/>
  <c r="H241" i="40"/>
  <c r="H335" i="40"/>
  <c r="E133" i="49"/>
  <c r="G364" i="50"/>
  <c r="H193" i="50"/>
  <c r="H361" i="50"/>
  <c r="G48" i="50"/>
  <c r="C184" i="49"/>
  <c r="F95" i="50"/>
  <c r="F105" i="50"/>
  <c r="F302" i="49"/>
  <c r="C59" i="49"/>
  <c r="F280" i="50"/>
  <c r="D302" i="49"/>
  <c r="D39" i="50"/>
  <c r="E38" i="49"/>
  <c r="F192" i="49"/>
  <c r="H43" i="50"/>
  <c r="B77" i="50"/>
  <c r="D341" i="49"/>
  <c r="C34" i="50"/>
  <c r="C340" i="50"/>
  <c r="D65" i="49"/>
  <c r="E277" i="50"/>
  <c r="F313" i="50"/>
  <c r="F24" i="50"/>
  <c r="H266" i="40"/>
  <c r="H311" i="40"/>
  <c r="H160" i="50"/>
  <c r="D166" i="49"/>
  <c r="E269" i="50"/>
  <c r="F340" i="49"/>
  <c r="F350" i="50"/>
  <c r="H64" i="50"/>
  <c r="D92" i="49"/>
  <c r="B230" i="49"/>
  <c r="G39" i="50"/>
  <c r="B282" i="49"/>
  <c r="C243" i="49"/>
  <c r="E336" i="49"/>
  <c r="B120" i="49"/>
  <c r="C292" i="50"/>
  <c r="E56" i="50"/>
  <c r="G244" i="50"/>
  <c r="H143" i="40"/>
  <c r="F87" i="50"/>
  <c r="H248" i="50"/>
  <c r="H62" i="40"/>
  <c r="D349" i="49"/>
  <c r="E159" i="50"/>
  <c r="E231" i="49"/>
  <c r="F48" i="49"/>
  <c r="F174" i="50"/>
  <c r="D23" i="49"/>
  <c r="E183" i="50"/>
  <c r="H108" i="40"/>
  <c r="F307" i="49"/>
  <c r="E146" i="49"/>
  <c r="E18" i="49"/>
  <c r="E12" i="50"/>
  <c r="C129" i="50"/>
  <c r="B332" i="50"/>
  <c r="E225" i="49"/>
  <c r="D228" i="49"/>
  <c r="F27" i="50"/>
  <c r="H183" i="50"/>
  <c r="H171" i="40"/>
  <c r="H47" i="50"/>
  <c r="G41" i="50"/>
  <c r="E276" i="49"/>
  <c r="B164" i="50"/>
  <c r="F345" i="49"/>
  <c r="B212" i="49"/>
  <c r="H261" i="50"/>
  <c r="H207" i="50"/>
  <c r="C85" i="49"/>
  <c r="H327" i="40"/>
  <c r="F20" i="49"/>
  <c r="E174" i="49"/>
  <c r="H178" i="40"/>
  <c r="G22" i="50"/>
  <c r="F359" i="50"/>
  <c r="F374" i="49"/>
  <c r="F154" i="49"/>
  <c r="H241" i="50"/>
  <c r="G143" i="50"/>
  <c r="C144" i="49"/>
  <c r="H248" i="40"/>
  <c r="H355" i="50"/>
  <c r="E351" i="49"/>
  <c r="H126" i="50"/>
  <c r="F325" i="49"/>
  <c r="H247" i="50"/>
  <c r="F141" i="50"/>
  <c r="D162" i="49"/>
  <c r="H290" i="50"/>
  <c r="H211" i="40"/>
  <c r="G15" i="50"/>
  <c r="F351" i="50"/>
  <c r="F261" i="49"/>
  <c r="G300" i="50"/>
  <c r="G211" i="50"/>
  <c r="F156" i="50"/>
  <c r="G135" i="50"/>
  <c r="H219" i="50"/>
  <c r="H328" i="40"/>
  <c r="H238" i="40"/>
  <c r="D153" i="49"/>
  <c r="H283" i="40"/>
  <c r="H339" i="50"/>
  <c r="H98" i="40"/>
  <c r="F209" i="50"/>
  <c r="F254" i="50"/>
  <c r="G144" i="50"/>
  <c r="H186" i="40"/>
  <c r="H69" i="50"/>
  <c r="G134" i="50"/>
  <c r="H172" i="50"/>
  <c r="G250" i="50"/>
  <c r="F160" i="50"/>
  <c r="F338" i="50"/>
  <c r="B167" i="49"/>
  <c r="F331" i="49"/>
  <c r="F99" i="50"/>
  <c r="G177" i="50"/>
  <c r="F205" i="50"/>
  <c r="C128" i="49"/>
  <c r="H31" i="50"/>
  <c r="H228" i="40"/>
  <c r="F52" i="50"/>
  <c r="B314" i="49"/>
  <c r="F77" i="49"/>
  <c r="H31" i="40"/>
  <c r="G204" i="50"/>
  <c r="B274" i="49"/>
  <c r="C162" i="49"/>
  <c r="G374" i="50"/>
  <c r="F279" i="49"/>
  <c r="C295" i="50"/>
  <c r="D186" i="49"/>
  <c r="C327" i="49"/>
  <c r="H230" i="50"/>
  <c r="H19" i="40"/>
  <c r="E296" i="49"/>
  <c r="F169" i="50"/>
  <c r="B202" i="49"/>
  <c r="D15" i="49"/>
  <c r="B158" i="50"/>
  <c r="D211" i="50"/>
  <c r="F339" i="50"/>
  <c r="D235" i="50"/>
  <c r="G320" i="50"/>
  <c r="F247" i="49"/>
  <c r="G269" i="50"/>
  <c r="G335" i="50"/>
  <c r="F373" i="49"/>
  <c r="D137" i="49"/>
  <c r="H234" i="40"/>
  <c r="F50" i="49"/>
  <c r="D292" i="49"/>
  <c r="G367" i="50"/>
  <c r="E259" i="49"/>
  <c r="B258" i="50"/>
  <c r="E61" i="49"/>
  <c r="B300" i="49"/>
  <c r="H341" i="40"/>
  <c r="F26" i="49"/>
  <c r="D332" i="50"/>
  <c r="C174" i="50"/>
  <c r="B119" i="49"/>
  <c r="H176" i="40"/>
  <c r="G206" i="50"/>
  <c r="H33" i="50"/>
  <c r="F342" i="50"/>
  <c r="D304" i="49"/>
  <c r="C215" i="49"/>
  <c r="F239" i="50"/>
  <c r="F206" i="50"/>
  <c r="F306" i="49"/>
  <c r="F200" i="50"/>
  <c r="D207" i="49"/>
  <c r="B174" i="49"/>
  <c r="C18" i="49"/>
  <c r="F254" i="49"/>
  <c r="F242" i="50"/>
  <c r="E299" i="49"/>
  <c r="C269" i="50"/>
  <c r="B259" i="50"/>
  <c r="B250" i="49"/>
  <c r="H197" i="40"/>
  <c r="D254" i="49"/>
  <c r="G358" i="50"/>
  <c r="G147" i="50"/>
  <c r="F284" i="50"/>
  <c r="G114" i="50"/>
  <c r="F311" i="49"/>
  <c r="H322" i="40"/>
  <c r="B112" i="50"/>
  <c r="D262" i="49"/>
  <c r="B365" i="49"/>
  <c r="F15" i="49"/>
  <c r="H310" i="40"/>
  <c r="E375" i="49"/>
  <c r="G331" i="50"/>
  <c r="H175" i="40"/>
  <c r="F332" i="49"/>
  <c r="F234" i="50"/>
  <c r="F60" i="50"/>
  <c r="F291" i="50"/>
  <c r="H65" i="40"/>
  <c r="H19" i="50"/>
  <c r="G292" i="50"/>
  <c r="F266" i="50"/>
  <c r="H163" i="50"/>
  <c r="H367" i="40"/>
  <c r="F114" i="50"/>
  <c r="F369" i="50"/>
  <c r="H262" i="50"/>
  <c r="F363" i="49"/>
  <c r="H375" i="50"/>
  <c r="H353" i="40"/>
  <c r="C145" i="49"/>
  <c r="G60" i="50"/>
  <c r="F33" i="50"/>
  <c r="F280" i="49"/>
  <c r="G226" i="50"/>
  <c r="F146" i="49"/>
  <c r="F240" i="50"/>
  <c r="G365" i="50"/>
  <c r="D285" i="49"/>
  <c r="H114" i="50"/>
  <c r="F248" i="50"/>
  <c r="H112" i="40"/>
  <c r="H280" i="50"/>
  <c r="D26" i="49"/>
  <c r="H284" i="50"/>
  <c r="G73" i="50"/>
  <c r="F118" i="49"/>
  <c r="H324" i="40"/>
  <c r="G148" i="50"/>
  <c r="F301" i="50"/>
  <c r="G57" i="50"/>
  <c r="D84" i="49"/>
  <c r="G339" i="50"/>
  <c r="H59" i="50"/>
  <c r="G328" i="50"/>
  <c r="H130" i="40"/>
  <c r="G27" i="50"/>
  <c r="G287" i="50"/>
  <c r="H134" i="40"/>
  <c r="H95" i="40"/>
  <c r="G351" i="50"/>
  <c r="F75" i="50"/>
  <c r="G20" i="50"/>
  <c r="F142" i="50"/>
  <c r="G222" i="50"/>
  <c r="H287" i="50"/>
  <c r="H290" i="40"/>
  <c r="H217" i="40"/>
  <c r="G82" i="50"/>
  <c r="D233" i="49"/>
  <c r="F216" i="50"/>
  <c r="E79" i="49"/>
  <c r="H336" i="40"/>
  <c r="F334" i="50"/>
  <c r="C89" i="50"/>
  <c r="G236" i="50"/>
  <c r="C237" i="49"/>
  <c r="G25" i="50"/>
  <c r="F230" i="50"/>
  <c r="F51" i="49"/>
  <c r="F366" i="49"/>
  <c r="B205" i="49"/>
  <c r="D158" i="50"/>
  <c r="E55" i="49"/>
  <c r="B256" i="50"/>
  <c r="C230" i="49"/>
  <c r="D129" i="49"/>
  <c r="H100" i="50"/>
  <c r="F322" i="50"/>
  <c r="F314" i="50"/>
  <c r="F84" i="49"/>
  <c r="G310" i="50"/>
  <c r="D73" i="49"/>
  <c r="H136" i="50"/>
  <c r="H150" i="40"/>
  <c r="D243" i="49"/>
  <c r="H30" i="40"/>
  <c r="H365" i="40"/>
  <c r="B179" i="50"/>
  <c r="C250" i="49"/>
  <c r="G14" i="50"/>
  <c r="H129" i="50"/>
  <c r="C236" i="49"/>
  <c r="D207" i="50"/>
  <c r="C144" i="50"/>
  <c r="B272" i="50"/>
  <c r="H21" i="50"/>
  <c r="G210" i="50"/>
  <c r="H32" i="40"/>
  <c r="H326" i="50"/>
  <c r="F14" i="50"/>
  <c r="D194" i="49"/>
  <c r="F74" i="50"/>
  <c r="G221" i="50"/>
  <c r="C270" i="49"/>
  <c r="H270" i="50"/>
  <c r="H62" i="50"/>
  <c r="B11" i="50"/>
  <c r="F130" i="49"/>
  <c r="H84" i="40"/>
  <c r="H363" i="40"/>
  <c r="E154" i="50"/>
  <c r="F285" i="49"/>
  <c r="B156" i="50"/>
  <c r="B110" i="49"/>
  <c r="G133" i="50"/>
  <c r="D69" i="50"/>
  <c r="F302" i="50"/>
  <c r="G107" i="50"/>
  <c r="F126" i="50"/>
  <c r="H300" i="40"/>
  <c r="H281" i="40"/>
  <c r="F19" i="50"/>
  <c r="C17" i="50"/>
  <c r="G247" i="50"/>
  <c r="H220" i="40"/>
  <c r="H312" i="50"/>
  <c r="D67" i="49"/>
  <c r="F356" i="49"/>
  <c r="H165" i="50"/>
  <c r="H182" i="40"/>
  <c r="H284" i="40"/>
  <c r="F227" i="50"/>
  <c r="G31" i="50"/>
  <c r="H68" i="40"/>
  <c r="H190" i="40"/>
  <c r="H210" i="50"/>
  <c r="H323" i="50"/>
  <c r="F150" i="50"/>
  <c r="H358" i="40"/>
  <c r="G274" i="50"/>
  <c r="G252" i="50"/>
  <c r="F363" i="50"/>
  <c r="G117" i="50"/>
  <c r="H73" i="50"/>
  <c r="G105" i="50"/>
  <c r="H185" i="50"/>
  <c r="G350" i="50"/>
  <c r="G229" i="50"/>
  <c r="H313" i="50"/>
  <c r="F190" i="50"/>
  <c r="F310" i="50"/>
  <c r="F94" i="49"/>
  <c r="H208" i="50"/>
  <c r="G174" i="50"/>
  <c r="C307" i="49"/>
  <c r="G311" i="50"/>
  <c r="H251" i="50"/>
  <c r="H18" i="50"/>
  <c r="G348" i="50"/>
  <c r="D12" i="49"/>
  <c r="H97" i="50"/>
  <c r="F102" i="50"/>
  <c r="D279" i="49"/>
  <c r="F231" i="50"/>
  <c r="F120" i="49"/>
  <c r="H105" i="40"/>
  <c r="H172" i="40"/>
  <c r="D320" i="49"/>
  <c r="F287" i="50"/>
  <c r="H373" i="50"/>
  <c r="F230" i="49"/>
  <c r="H110" i="40"/>
  <c r="F72" i="49"/>
  <c r="G233" i="50"/>
  <c r="H357" i="40"/>
  <c r="D195" i="49"/>
  <c r="H320" i="50"/>
  <c r="G29" i="50"/>
  <c r="F321" i="49"/>
  <c r="H180" i="40"/>
  <c r="F321" i="50"/>
  <c r="G373" i="50"/>
  <c r="H341" i="50"/>
  <c r="H312" i="40"/>
  <c r="H93" i="40"/>
  <c r="H308" i="40"/>
  <c r="G276" i="50"/>
  <c r="D82" i="49"/>
  <c r="F260" i="50"/>
  <c r="H253" i="50"/>
  <c r="C36" i="50"/>
  <c r="G54" i="50"/>
  <c r="H65" i="50"/>
  <c r="H45" i="50"/>
  <c r="E21" i="49"/>
  <c r="B74" i="49"/>
  <c r="E196" i="49"/>
  <c r="D370" i="49"/>
  <c r="D166" i="50"/>
  <c r="C219" i="49"/>
  <c r="B347" i="50"/>
  <c r="E285" i="49"/>
  <c r="E153" i="49"/>
  <c r="C27" i="49"/>
  <c r="C114" i="49"/>
  <c r="B219" i="49"/>
  <c r="E132" i="50"/>
  <c r="H25" i="50"/>
  <c r="F332" i="50"/>
  <c r="F203" i="49"/>
  <c r="E24" i="49"/>
  <c r="B242" i="49"/>
  <c r="H272" i="50"/>
  <c r="H39" i="50"/>
  <c r="C109" i="49"/>
  <c r="G227" i="50"/>
  <c r="H275" i="50"/>
  <c r="G237" i="50"/>
  <c r="E358" i="50"/>
  <c r="E212" i="49"/>
  <c r="E310" i="50"/>
  <c r="E53" i="50"/>
  <c r="C375" i="49"/>
  <c r="B92" i="49"/>
  <c r="E129" i="50"/>
  <c r="F341" i="49"/>
  <c r="H273" i="40"/>
  <c r="G87" i="50"/>
  <c r="G66" i="50"/>
  <c r="E50" i="49"/>
  <c r="B350" i="49"/>
  <c r="G95" i="50"/>
  <c r="G314" i="50"/>
  <c r="E363" i="50"/>
  <c r="F231" i="49"/>
  <c r="H322" i="50"/>
  <c r="F233" i="49"/>
  <c r="E127" i="50"/>
  <c r="D123" i="49"/>
  <c r="E155" i="50"/>
  <c r="D112" i="50"/>
  <c r="D371" i="49"/>
  <c r="C16" i="50"/>
  <c r="H374" i="50"/>
  <c r="G362" i="50"/>
  <c r="F38" i="50"/>
  <c r="H152" i="40"/>
  <c r="H72" i="40"/>
  <c r="C87" i="49"/>
  <c r="D137" i="50"/>
  <c r="D169" i="49"/>
  <c r="E247" i="49"/>
  <c r="G184" i="50"/>
  <c r="C163" i="49"/>
  <c r="B160" i="49"/>
  <c r="F261" i="50"/>
  <c r="B207" i="49"/>
  <c r="E229" i="50"/>
  <c r="G88" i="50"/>
  <c r="E327" i="49"/>
  <c r="F315" i="49"/>
  <c r="B190" i="49"/>
  <c r="C115" i="50"/>
  <c r="C349" i="49"/>
  <c r="D360" i="49"/>
  <c r="F268" i="49"/>
  <c r="H168" i="40"/>
  <c r="H236" i="50"/>
  <c r="H170" i="40"/>
  <c r="H233" i="40"/>
  <c r="E356" i="49"/>
  <c r="H203" i="50"/>
  <c r="D55" i="49"/>
  <c r="E213" i="50"/>
  <c r="H354" i="40"/>
  <c r="F224" i="49"/>
  <c r="H99" i="40"/>
  <c r="F272" i="50"/>
  <c r="F318" i="49"/>
  <c r="D375" i="49"/>
  <c r="C78" i="49"/>
  <c r="B330" i="49"/>
  <c r="D29" i="49"/>
  <c r="B201" i="49"/>
  <c r="E345" i="49"/>
  <c r="D325" i="50"/>
  <c r="H149" i="50"/>
  <c r="G100" i="50"/>
  <c r="H283" i="50"/>
  <c r="G122" i="50"/>
  <c r="H175" i="50"/>
  <c r="C98" i="49"/>
  <c r="B27" i="50"/>
  <c r="C95" i="49"/>
  <c r="E216" i="50"/>
  <c r="B22" i="50"/>
  <c r="E274" i="50"/>
  <c r="E52" i="49"/>
  <c r="E210" i="50"/>
  <c r="D292" i="50"/>
  <c r="F168" i="49"/>
  <c r="B82" i="50"/>
  <c r="E42" i="49"/>
  <c r="F56" i="49"/>
  <c r="D177" i="49"/>
  <c r="D352" i="50"/>
  <c r="D198" i="49"/>
  <c r="H44" i="50"/>
  <c r="G334" i="50"/>
  <c r="E37" i="50"/>
  <c r="D171" i="50"/>
  <c r="D179" i="50"/>
  <c r="C48" i="50"/>
  <c r="E45" i="50"/>
  <c r="C271" i="50"/>
  <c r="D194" i="50"/>
  <c r="F294" i="49"/>
  <c r="C169" i="50"/>
  <c r="H29" i="40"/>
  <c r="G207" i="50"/>
  <c r="E175" i="49"/>
  <c r="E203" i="50"/>
  <c r="E307" i="49"/>
  <c r="D92" i="50"/>
  <c r="G199" i="50"/>
  <c r="F136" i="49"/>
  <c r="H83" i="40"/>
  <c r="G170" i="50"/>
  <c r="F29" i="50"/>
  <c r="H258" i="40"/>
  <c r="D49" i="49"/>
  <c r="C343" i="50"/>
  <c r="B105" i="50"/>
  <c r="E102" i="50"/>
  <c r="E170" i="49"/>
  <c r="D40" i="50"/>
  <c r="H311" i="50"/>
  <c r="C242" i="50"/>
  <c r="B163" i="49"/>
  <c r="D280" i="50"/>
  <c r="C356" i="50"/>
  <c r="B118" i="49"/>
  <c r="B115" i="49"/>
  <c r="B127" i="50"/>
  <c r="C356" i="49"/>
  <c r="H267" i="50"/>
  <c r="E360" i="49"/>
  <c r="E198" i="49"/>
  <c r="E271" i="49"/>
  <c r="D348" i="49"/>
  <c r="C306" i="49"/>
  <c r="C156" i="50"/>
  <c r="C60" i="50"/>
  <c r="E316" i="49"/>
  <c r="E254" i="50"/>
  <c r="E93" i="49"/>
  <c r="C333" i="50"/>
  <c r="D171" i="49"/>
  <c r="B327" i="50"/>
  <c r="D259" i="49"/>
  <c r="B218" i="50"/>
  <c r="D94" i="50"/>
  <c r="C157" i="50"/>
  <c r="E349" i="49"/>
  <c r="E24" i="50"/>
  <c r="C363" i="50"/>
  <c r="F61" i="49"/>
  <c r="F166" i="50"/>
  <c r="D181" i="49"/>
  <c r="C100" i="49"/>
  <c r="B362" i="49"/>
  <c r="C221" i="49"/>
  <c r="E153" i="50"/>
  <c r="B51" i="49"/>
  <c r="E359" i="49"/>
  <c r="F175" i="49"/>
  <c r="D202" i="50"/>
  <c r="C49" i="50"/>
  <c r="H260" i="40"/>
  <c r="C239" i="49"/>
  <c r="D99" i="50"/>
  <c r="C198" i="49"/>
  <c r="B200" i="49"/>
  <c r="D374" i="49"/>
  <c r="B125" i="50"/>
  <c r="F245" i="50"/>
  <c r="D358" i="49"/>
  <c r="H239" i="50"/>
  <c r="G256" i="50"/>
  <c r="H36" i="50"/>
  <c r="H170" i="50"/>
  <c r="H21" i="40"/>
  <c r="F153" i="50"/>
  <c r="F32" i="49"/>
  <c r="G241" i="50"/>
  <c r="F303" i="50"/>
  <c r="B65" i="49"/>
  <c r="D13" i="49"/>
  <c r="F78" i="50"/>
  <c r="G195" i="50"/>
  <c r="F199" i="50"/>
  <c r="D256" i="49"/>
  <c r="G272" i="50"/>
  <c r="F24" i="49"/>
  <c r="B99" i="50"/>
  <c r="F30" i="49"/>
  <c r="C143" i="49"/>
  <c r="G291" i="50"/>
  <c r="E129" i="49"/>
  <c r="G119" i="50"/>
  <c r="B262" i="49"/>
  <c r="E355" i="49"/>
  <c r="B341" i="49"/>
  <c r="F143" i="49"/>
  <c r="D340" i="50"/>
  <c r="E205" i="49"/>
  <c r="C112" i="49"/>
  <c r="D91" i="49"/>
  <c r="D61" i="50"/>
  <c r="C341" i="50"/>
  <c r="E146" i="50"/>
  <c r="E283" i="49"/>
  <c r="D62" i="50"/>
  <c r="E134" i="50"/>
  <c r="E108" i="50"/>
  <c r="B49" i="50"/>
  <c r="H60" i="40"/>
  <c r="B43" i="49"/>
  <c r="D47" i="50"/>
  <c r="D227" i="49"/>
  <c r="F15" i="50"/>
  <c r="G69" i="50"/>
  <c r="D274" i="50"/>
  <c r="B297" i="49"/>
  <c r="E208" i="50"/>
  <c r="D218" i="50"/>
  <c r="D221" i="50"/>
  <c r="H375" i="40"/>
  <c r="D260" i="50"/>
  <c r="F367" i="49"/>
  <c r="E334" i="50"/>
  <c r="B59" i="50"/>
  <c r="D143" i="49"/>
  <c r="D200" i="49"/>
  <c r="B29" i="49"/>
  <c r="E334" i="49"/>
  <c r="B65" i="50"/>
  <c r="F175" i="50"/>
  <c r="E357" i="49"/>
  <c r="F292" i="49"/>
  <c r="E75" i="49"/>
  <c r="E257" i="49"/>
  <c r="D337" i="49"/>
  <c r="D319" i="50"/>
  <c r="D76" i="50"/>
  <c r="B360" i="49"/>
  <c r="B86" i="49"/>
  <c r="E145" i="49"/>
  <c r="B144" i="50"/>
  <c r="E277" i="49"/>
  <c r="B253" i="50"/>
  <c r="E130" i="49"/>
  <c r="B172" i="50"/>
  <c r="E350" i="50"/>
  <c r="D152" i="50"/>
  <c r="E182" i="49"/>
  <c r="E258" i="50"/>
  <c r="C137" i="50"/>
  <c r="F179" i="50"/>
  <c r="H276" i="50"/>
  <c r="D272" i="49"/>
  <c r="D99" i="49"/>
  <c r="C94" i="49"/>
  <c r="B98" i="49"/>
  <c r="B359" i="49"/>
  <c r="D73" i="50"/>
  <c r="E98" i="50"/>
  <c r="B293" i="49"/>
  <c r="E140" i="50"/>
  <c r="B285" i="50"/>
  <c r="H196" i="40"/>
  <c r="C86" i="49"/>
  <c r="E74" i="49"/>
  <c r="B165" i="50"/>
  <c r="E316" i="50"/>
  <c r="F104" i="49"/>
  <c r="E92" i="49"/>
  <c r="C31" i="50"/>
  <c r="B167" i="50"/>
  <c r="F218" i="50"/>
  <c r="F145" i="50"/>
  <c r="E149" i="49"/>
  <c r="E69" i="49"/>
  <c r="D219" i="49"/>
  <c r="C41" i="49"/>
  <c r="E239" i="49"/>
  <c r="F247" i="50"/>
  <c r="C54" i="50"/>
  <c r="D154" i="49"/>
  <c r="C272" i="50"/>
  <c r="B223" i="49"/>
  <c r="H368" i="40"/>
  <c r="H216" i="40"/>
  <c r="E349" i="50"/>
  <c r="B311" i="50"/>
  <c r="E49" i="50"/>
  <c r="B348" i="49"/>
  <c r="C42" i="50"/>
  <c r="H165" i="40"/>
  <c r="D81" i="50"/>
  <c r="G197" i="50"/>
  <c r="F229" i="50"/>
  <c r="H243" i="50"/>
  <c r="F42" i="50"/>
  <c r="G127" i="50"/>
  <c r="D79" i="49"/>
  <c r="E200" i="50"/>
  <c r="H297" i="40"/>
  <c r="G112" i="50"/>
  <c r="E55" i="50"/>
  <c r="E154" i="49"/>
  <c r="G137" i="50"/>
  <c r="G262" i="50"/>
  <c r="B291" i="49"/>
  <c r="D97" i="49"/>
  <c r="B125" i="49"/>
  <c r="D85" i="49"/>
  <c r="B334" i="50"/>
  <c r="F76" i="49"/>
  <c r="C103" i="50"/>
  <c r="C283" i="49"/>
  <c r="C83" i="49"/>
  <c r="H48" i="40"/>
  <c r="C226" i="49"/>
  <c r="B286" i="49"/>
  <c r="E265" i="50"/>
  <c r="H331" i="40"/>
  <c r="B39" i="49"/>
  <c r="D105" i="50"/>
  <c r="F65" i="49"/>
  <c r="B179" i="49"/>
  <c r="D298" i="50"/>
  <c r="B279" i="50"/>
  <c r="B201" i="50"/>
  <c r="C262" i="49"/>
  <c r="D96" i="50"/>
  <c r="B56" i="49"/>
  <c r="E172" i="50"/>
  <c r="D155" i="50"/>
  <c r="F338" i="49"/>
  <c r="C132" i="49"/>
  <c r="F108" i="49"/>
  <c r="D22" i="50"/>
  <c r="G11" i="50"/>
  <c r="H156" i="40"/>
  <c r="H305" i="50"/>
  <c r="H282" i="40"/>
  <c r="H244" i="50"/>
  <c r="H309" i="40"/>
  <c r="E373" i="49"/>
  <c r="E162" i="49"/>
  <c r="D346" i="50"/>
  <c r="B141" i="49"/>
  <c r="E174" i="50"/>
  <c r="C342" i="49"/>
  <c r="C106" i="49"/>
  <c r="D182" i="49"/>
  <c r="C175" i="49"/>
  <c r="E285" i="50"/>
  <c r="B21" i="50"/>
  <c r="F235" i="49"/>
  <c r="F59" i="50"/>
  <c r="E324" i="49"/>
  <c r="D205" i="49"/>
  <c r="D220" i="49"/>
  <c r="C17" i="49"/>
  <c r="C122" i="50"/>
  <c r="B237" i="50"/>
  <c r="B149" i="49"/>
  <c r="C362" i="49"/>
  <c r="B369" i="49"/>
  <c r="B183" i="50"/>
  <c r="H34" i="40"/>
  <c r="B47" i="50"/>
  <c r="E87" i="49"/>
  <c r="B188" i="50"/>
  <c r="D59" i="50"/>
  <c r="H52" i="50"/>
  <c r="E326" i="49"/>
  <c r="C312" i="50"/>
  <c r="B352" i="50"/>
  <c r="C182" i="49"/>
  <c r="F167" i="50"/>
  <c r="F33" i="49"/>
  <c r="E27" i="49"/>
  <c r="D52" i="49"/>
  <c r="D352" i="49"/>
  <c r="F370" i="49"/>
  <c r="G345" i="50"/>
  <c r="D354" i="50"/>
  <c r="E335" i="49"/>
  <c r="D54" i="50"/>
  <c r="E95" i="50"/>
  <c r="B258" i="49"/>
  <c r="D244" i="49"/>
  <c r="E197" i="50"/>
  <c r="E250" i="49"/>
  <c r="C81" i="50"/>
  <c r="F195" i="50"/>
  <c r="E167" i="50"/>
  <c r="D290" i="49"/>
  <c r="B111" i="50"/>
  <c r="H348" i="50"/>
  <c r="C104" i="49"/>
  <c r="B123" i="49"/>
  <c r="E260" i="50"/>
  <c r="D100" i="50"/>
  <c r="C135" i="50"/>
  <c r="E107" i="50"/>
  <c r="B268" i="49"/>
  <c r="B35" i="50"/>
  <c r="D57" i="49"/>
  <c r="C330" i="50"/>
  <c r="H29" i="50"/>
  <c r="F343" i="50"/>
  <c r="F45" i="49"/>
  <c r="D106" i="50"/>
  <c r="F47" i="49"/>
  <c r="E137" i="50"/>
  <c r="B77" i="49"/>
  <c r="C248" i="50"/>
  <c r="C225" i="49"/>
  <c r="E43" i="49"/>
  <c r="H137" i="40"/>
  <c r="H102" i="50"/>
  <c r="F243" i="50"/>
  <c r="H288" i="50"/>
  <c r="H128" i="50"/>
  <c r="D296" i="49"/>
  <c r="B196" i="49"/>
  <c r="H110" i="50"/>
  <c r="F291" i="49"/>
  <c r="F320" i="49"/>
  <c r="C216" i="49"/>
  <c r="D265" i="49"/>
  <c r="G12" i="50"/>
  <c r="B147" i="49"/>
  <c r="D28" i="50"/>
  <c r="E26" i="49"/>
  <c r="E120" i="49"/>
  <c r="E44" i="49"/>
  <c r="E337" i="50"/>
  <c r="B291" i="50"/>
  <c r="B187" i="49"/>
  <c r="D11" i="49"/>
  <c r="H26" i="40"/>
  <c r="C172" i="49"/>
  <c r="C245" i="49"/>
  <c r="F163" i="49"/>
  <c r="E252" i="49"/>
  <c r="B262" i="50"/>
  <c r="D197" i="50"/>
  <c r="E264" i="49"/>
  <c r="B364" i="49"/>
  <c r="E84" i="49"/>
  <c r="C205" i="50"/>
  <c r="H363" i="50"/>
  <c r="D32" i="49"/>
  <c r="B310" i="50"/>
  <c r="C345" i="49"/>
  <c r="D116" i="50"/>
  <c r="E31" i="49"/>
  <c r="E303" i="50"/>
  <c r="C172" i="50"/>
  <c r="D184" i="49"/>
  <c r="C136" i="50"/>
  <c r="G67" i="50"/>
  <c r="H146" i="40"/>
  <c r="G128" i="50"/>
  <c r="F296" i="50"/>
  <c r="H83" i="50"/>
  <c r="B33" i="49"/>
  <c r="B195" i="49"/>
  <c r="C54" i="49"/>
  <c r="B211" i="50"/>
  <c r="B180" i="50"/>
  <c r="E246" i="50"/>
  <c r="C371" i="50"/>
  <c r="D306" i="49"/>
  <c r="D132" i="50"/>
  <c r="E329" i="49"/>
  <c r="E318" i="50"/>
  <c r="G347" i="50"/>
  <c r="C332" i="49"/>
  <c r="H216" i="50"/>
  <c r="D353" i="49"/>
  <c r="D105" i="49"/>
  <c r="C359" i="49"/>
  <c r="B12" i="49"/>
  <c r="F78" i="49"/>
  <c r="H205" i="50"/>
  <c r="D27" i="50"/>
  <c r="E243" i="49"/>
  <c r="E222" i="50"/>
  <c r="F354" i="50"/>
  <c r="D131" i="49"/>
  <c r="D140" i="50"/>
  <c r="E281" i="50"/>
  <c r="F225" i="49"/>
  <c r="C186" i="50"/>
  <c r="G175" i="50"/>
  <c r="B251" i="49"/>
  <c r="D204" i="50"/>
  <c r="C85" i="50"/>
  <c r="F121" i="49"/>
  <c r="H294" i="50"/>
  <c r="D364" i="50"/>
  <c r="C308" i="50"/>
  <c r="C111" i="50"/>
  <c r="B271" i="50"/>
  <c r="E171" i="50"/>
  <c r="D159" i="49"/>
  <c r="C35" i="50"/>
  <c r="E160" i="49"/>
  <c r="E85" i="50"/>
  <c r="B189" i="49"/>
  <c r="F66" i="49"/>
  <c r="D332" i="49"/>
  <c r="D288" i="50"/>
  <c r="D342" i="49"/>
  <c r="B64" i="50"/>
  <c r="D313" i="49"/>
  <c r="D133" i="50"/>
  <c r="D147" i="49"/>
  <c r="D256" i="50"/>
  <c r="F362" i="50"/>
  <c r="F250" i="49"/>
  <c r="D224" i="49"/>
  <c r="B277" i="49"/>
  <c r="H232" i="50"/>
  <c r="F300" i="50"/>
  <c r="F240" i="49"/>
  <c r="H281" i="50"/>
  <c r="C128" i="50"/>
  <c r="G166" i="50"/>
  <c r="E308" i="49"/>
  <c r="D127" i="49"/>
  <c r="D199" i="49"/>
  <c r="D78" i="50"/>
  <c r="B349" i="50"/>
  <c r="E14" i="50"/>
  <c r="B256" i="49"/>
  <c r="C171" i="49"/>
  <c r="G255" i="50"/>
  <c r="H158" i="40"/>
  <c r="H372" i="40"/>
  <c r="G103" i="50"/>
  <c r="F54" i="49"/>
  <c r="D94" i="49"/>
  <c r="C13" i="49"/>
  <c r="D41" i="49"/>
  <c r="E188" i="50"/>
  <c r="F161" i="50"/>
  <c r="H41" i="40"/>
  <c r="B307" i="49"/>
  <c r="H154" i="50"/>
  <c r="G181" i="50"/>
  <c r="D111" i="50"/>
  <c r="F49" i="49"/>
  <c r="E34" i="50"/>
  <c r="F251" i="49"/>
  <c r="B21" i="49"/>
  <c r="H286" i="50"/>
  <c r="B236" i="49"/>
  <c r="F28" i="50"/>
  <c r="D14" i="49"/>
  <c r="H343" i="50"/>
  <c r="F329" i="49"/>
  <c r="F159" i="50"/>
  <c r="H233" i="50"/>
  <c r="F147" i="49"/>
  <c r="C301" i="50"/>
  <c r="D84" i="50"/>
  <c r="B251" i="50"/>
  <c r="F182" i="49"/>
  <c r="E22" i="50"/>
  <c r="F177" i="50"/>
  <c r="D310" i="50"/>
  <c r="E297" i="49"/>
  <c r="E66" i="50"/>
  <c r="C175" i="50"/>
  <c r="E331" i="50"/>
  <c r="D135" i="50"/>
  <c r="B37" i="50"/>
  <c r="D307" i="49"/>
  <c r="B133" i="50"/>
  <c r="F70" i="50"/>
  <c r="F365" i="50"/>
  <c r="G76" i="50"/>
  <c r="F130" i="50"/>
  <c r="F314" i="49"/>
  <c r="H236" i="40"/>
  <c r="B108" i="50"/>
  <c r="G315" i="50"/>
  <c r="E353" i="49"/>
  <c r="E241" i="50"/>
  <c r="D367" i="50"/>
  <c r="C370" i="49"/>
  <c r="C244" i="50"/>
  <c r="C131" i="50"/>
  <c r="F107" i="49"/>
  <c r="B215" i="50"/>
  <c r="E95" i="49"/>
  <c r="F98" i="50"/>
  <c r="F352" i="50"/>
  <c r="E206" i="50"/>
  <c r="D57" i="50"/>
  <c r="C322" i="50"/>
  <c r="C45" i="50"/>
  <c r="B146" i="49"/>
  <c r="E352" i="49"/>
  <c r="C233" i="50"/>
  <c r="F360" i="49"/>
  <c r="C78" i="50"/>
  <c r="E318" i="49"/>
  <c r="G83" i="50"/>
  <c r="E193" i="49"/>
  <c r="E133" i="50"/>
  <c r="D78" i="49"/>
  <c r="C278" i="50"/>
  <c r="H366" i="50"/>
  <c r="E267" i="50"/>
  <c r="E83" i="49"/>
  <c r="E224" i="50"/>
  <c r="H227" i="50"/>
  <c r="D218" i="49"/>
  <c r="E70" i="49"/>
  <c r="C185" i="49"/>
  <c r="B322" i="49"/>
  <c r="H323" i="40"/>
  <c r="B305" i="49"/>
  <c r="F32" i="50"/>
  <c r="C291" i="50"/>
  <c r="E333" i="50"/>
  <c r="C230" i="50"/>
  <c r="D163" i="50"/>
  <c r="H164" i="50"/>
  <c r="B358" i="49"/>
  <c r="D242" i="50"/>
  <c r="D187" i="49"/>
  <c r="C117" i="50"/>
  <c r="C268" i="49"/>
  <c r="E78" i="50"/>
  <c r="B18" i="49"/>
  <c r="E362" i="50"/>
  <c r="F306" i="50"/>
  <c r="H82" i="40"/>
  <c r="H218" i="50"/>
  <c r="H184" i="50"/>
  <c r="F204" i="49"/>
  <c r="F138" i="50"/>
  <c r="E371" i="49"/>
  <c r="B249" i="50"/>
  <c r="B157" i="50"/>
  <c r="C124" i="50"/>
  <c r="F348" i="50"/>
  <c r="C81" i="49"/>
  <c r="H162" i="40"/>
  <c r="G91" i="50"/>
  <c r="H113" i="50"/>
  <c r="H37" i="50"/>
  <c r="H116" i="50"/>
  <c r="H245" i="50"/>
  <c r="B15" i="50"/>
  <c r="B217" i="49"/>
  <c r="H204" i="50"/>
  <c r="F103" i="50"/>
  <c r="H116" i="40"/>
  <c r="E56" i="49"/>
  <c r="G118" i="50"/>
  <c r="H55" i="40"/>
  <c r="D136" i="50"/>
  <c r="B173" i="49"/>
  <c r="D293" i="50"/>
  <c r="E288" i="50"/>
  <c r="D23" i="50"/>
  <c r="C79" i="49"/>
  <c r="B155" i="50"/>
  <c r="H239" i="40"/>
  <c r="E375" i="50"/>
  <c r="E309" i="49"/>
  <c r="D18" i="49"/>
  <c r="D329" i="49"/>
  <c r="C292" i="49"/>
  <c r="C318" i="49"/>
  <c r="B126" i="49"/>
  <c r="D56" i="50"/>
  <c r="B286" i="50"/>
  <c r="E87" i="50"/>
  <c r="C299" i="50"/>
  <c r="C131" i="49"/>
  <c r="C297" i="50"/>
  <c r="F304" i="49"/>
  <c r="C221" i="50"/>
  <c r="B31" i="50"/>
  <c r="E259" i="50"/>
  <c r="F171" i="49"/>
  <c r="B106" i="50"/>
  <c r="D297" i="50"/>
  <c r="D216" i="50"/>
  <c r="H88" i="40"/>
  <c r="E115" i="49"/>
  <c r="C168" i="49"/>
  <c r="F21" i="49"/>
  <c r="G64" i="50"/>
  <c r="B147" i="50"/>
  <c r="D316" i="49"/>
  <c r="B234" i="49"/>
  <c r="F295" i="49"/>
  <c r="C261" i="50"/>
  <c r="B354" i="50"/>
  <c r="C123" i="50"/>
  <c r="E190" i="49"/>
  <c r="D210" i="50"/>
  <c r="B326" i="49"/>
  <c r="B75" i="49"/>
  <c r="C345" i="50"/>
  <c r="H187" i="40"/>
  <c r="D311" i="49"/>
  <c r="F226" i="49"/>
  <c r="D104" i="49"/>
  <c r="C303" i="49"/>
  <c r="F44" i="49"/>
  <c r="C67" i="49"/>
  <c r="H302" i="40"/>
  <c r="D308" i="50"/>
  <c r="B203" i="49"/>
  <c r="B68" i="49"/>
  <c r="D222" i="50"/>
  <c r="C203" i="49"/>
  <c r="C51" i="49"/>
  <c r="E30" i="50"/>
  <c r="E341" i="49"/>
  <c r="B202" i="50"/>
  <c r="F101" i="50"/>
  <c r="E204" i="50"/>
  <c r="C107" i="49"/>
  <c r="E16" i="50"/>
  <c r="G228" i="50"/>
  <c r="G79" i="50"/>
  <c r="H243" i="40"/>
  <c r="F308" i="50"/>
  <c r="H224" i="50"/>
  <c r="F152" i="50"/>
  <c r="C190" i="49"/>
  <c r="H301" i="50"/>
  <c r="E364" i="50"/>
  <c r="D53" i="50"/>
  <c r="C165" i="50"/>
  <c r="D142" i="50"/>
  <c r="F111" i="49"/>
  <c r="C280" i="49"/>
  <c r="F323" i="49"/>
  <c r="D148" i="50"/>
  <c r="C328" i="50"/>
  <c r="H178" i="50"/>
  <c r="D225" i="50"/>
  <c r="C336" i="49"/>
  <c r="F193" i="49"/>
  <c r="D263" i="49"/>
  <c r="G372" i="50"/>
  <c r="H25" i="40"/>
  <c r="G258" i="50"/>
  <c r="H247" i="40"/>
  <c r="H190" i="50"/>
  <c r="E308" i="50"/>
  <c r="H278" i="40"/>
  <c r="E168" i="50"/>
  <c r="D191" i="50"/>
  <c r="C63" i="50"/>
  <c r="D236" i="50"/>
  <c r="C106" i="50"/>
  <c r="B250" i="50"/>
  <c r="C176" i="49"/>
  <c r="C321" i="50"/>
  <c r="F324" i="49"/>
  <c r="D74" i="49"/>
  <c r="F95" i="49"/>
  <c r="F281" i="50"/>
  <c r="E301" i="50"/>
  <c r="B171" i="49"/>
  <c r="B280" i="50"/>
  <c r="E266" i="50"/>
  <c r="F255" i="50"/>
  <c r="C152" i="50"/>
  <c r="F136" i="50"/>
  <c r="G171" i="50"/>
  <c r="H121" i="40"/>
  <c r="H369" i="40"/>
  <c r="H277" i="50"/>
  <c r="G332" i="50"/>
  <c r="B373" i="49"/>
  <c r="G161" i="50"/>
  <c r="H256" i="50"/>
  <c r="H330" i="40"/>
  <c r="C70" i="49"/>
  <c r="E65" i="49"/>
  <c r="H96" i="40"/>
  <c r="E99" i="49"/>
  <c r="C279" i="50"/>
  <c r="E37" i="49"/>
  <c r="D209" i="50"/>
  <c r="B134" i="49"/>
  <c r="E123" i="50"/>
  <c r="E65" i="50"/>
  <c r="D340" i="49"/>
  <c r="H147" i="50"/>
  <c r="H123" i="50"/>
  <c r="G85" i="50"/>
  <c r="H288" i="40"/>
  <c r="G301" i="50"/>
  <c r="F146" i="50"/>
  <c r="C353" i="50"/>
  <c r="E50" i="50"/>
  <c r="E135" i="49"/>
  <c r="F114" i="49"/>
  <c r="B346" i="49"/>
  <c r="E298" i="50"/>
  <c r="D155" i="49"/>
  <c r="C192" i="50"/>
  <c r="E63" i="50"/>
  <c r="D11" i="50"/>
  <c r="D345" i="50"/>
  <c r="F305" i="49"/>
  <c r="B208" i="49"/>
  <c r="D117" i="50"/>
  <c r="D36" i="50"/>
  <c r="B355" i="50"/>
  <c r="F117" i="50"/>
  <c r="G99" i="50"/>
  <c r="H78" i="40"/>
  <c r="H72" i="50"/>
  <c r="F238" i="50"/>
  <c r="C298" i="49"/>
  <c r="E124" i="50"/>
  <c r="C249" i="49"/>
  <c r="E76" i="50"/>
  <c r="D360" i="50"/>
  <c r="D131" i="50"/>
  <c r="E141" i="50"/>
  <c r="C193" i="49"/>
  <c r="C258" i="49"/>
  <c r="E240" i="50"/>
  <c r="D341" i="50"/>
  <c r="B149" i="50"/>
  <c r="H229" i="50"/>
  <c r="H169" i="50"/>
  <c r="H227" i="40"/>
  <c r="F368" i="50"/>
  <c r="H125" i="40"/>
  <c r="G205" i="50"/>
  <c r="E228" i="49"/>
  <c r="G239" i="50"/>
  <c r="B88" i="50"/>
  <c r="E214" i="50"/>
  <c r="D268" i="50"/>
  <c r="B85" i="49"/>
  <c r="E64" i="49"/>
  <c r="C341" i="49"/>
  <c r="F234" i="49"/>
  <c r="E198" i="50"/>
  <c r="B267" i="50"/>
  <c r="H344" i="40"/>
  <c r="E315" i="50"/>
  <c r="C117" i="49"/>
  <c r="D101" i="49"/>
  <c r="G102" i="50"/>
  <c r="H373" i="40"/>
  <c r="G160" i="50"/>
  <c r="H318" i="40"/>
  <c r="F118" i="50"/>
  <c r="C324" i="49"/>
  <c r="D329" i="50"/>
  <c r="D133" i="49"/>
  <c r="B157" i="49"/>
  <c r="E191" i="50"/>
  <c r="D144" i="50"/>
  <c r="C359" i="50"/>
  <c r="E186" i="50"/>
  <c r="C73" i="50"/>
  <c r="D297" i="49"/>
  <c r="C303" i="50"/>
  <c r="C269" i="49"/>
  <c r="F61" i="50"/>
  <c r="C32" i="49"/>
  <c r="C66" i="50"/>
  <c r="C60" i="49"/>
  <c r="B105" i="49"/>
  <c r="E117" i="49"/>
  <c r="C14" i="49"/>
  <c r="E91" i="49"/>
  <c r="C66" i="49"/>
  <c r="C330" i="49"/>
  <c r="B117" i="50"/>
  <c r="H61" i="50"/>
  <c r="F92" i="49"/>
  <c r="C241" i="50"/>
  <c r="C310" i="49"/>
  <c r="D44" i="49"/>
  <c r="F123" i="50"/>
  <c r="E208" i="49"/>
  <c r="D284" i="50"/>
  <c r="D212" i="49"/>
  <c r="D249" i="50"/>
  <c r="C13" i="50"/>
  <c r="H82" i="50"/>
  <c r="C177" i="50"/>
  <c r="H353" i="50"/>
  <c r="H92" i="40"/>
  <c r="H352" i="40"/>
  <c r="F92" i="50"/>
  <c r="H349" i="50"/>
  <c r="C340" i="49"/>
  <c r="E293" i="49"/>
  <c r="D248" i="49"/>
  <c r="E169" i="49"/>
  <c r="G74" i="50"/>
  <c r="B36" i="49"/>
  <c r="E235" i="50"/>
  <c r="E85" i="49"/>
  <c r="E346" i="49"/>
  <c r="C183" i="49"/>
  <c r="D37" i="49"/>
  <c r="D190" i="50"/>
  <c r="B213" i="49"/>
  <c r="B71" i="49"/>
  <c r="H135" i="40"/>
  <c r="B63" i="49"/>
  <c r="E248" i="49"/>
  <c r="F274" i="50"/>
  <c r="E339" i="49"/>
  <c r="E269" i="49"/>
  <c r="D53" i="49"/>
  <c r="C82" i="49"/>
  <c r="D242" i="49"/>
  <c r="H145" i="50"/>
  <c r="B11" i="49"/>
  <c r="C118" i="49"/>
  <c r="B367" i="50"/>
  <c r="G203" i="50"/>
  <c r="C29" i="49"/>
  <c r="B324" i="49"/>
  <c r="B54" i="49"/>
  <c r="D139" i="49"/>
  <c r="E344" i="50"/>
  <c r="G366" i="50"/>
  <c r="B46" i="49"/>
  <c r="E84" i="50"/>
  <c r="D196" i="50"/>
  <c r="C50" i="50"/>
  <c r="G108" i="50"/>
  <c r="C105" i="49"/>
  <c r="F248" i="49"/>
  <c r="E139" i="49"/>
  <c r="E97" i="49"/>
  <c r="B239" i="50"/>
  <c r="D374" i="50"/>
  <c r="B261" i="49"/>
  <c r="B14" i="49"/>
  <c r="D275" i="49"/>
  <c r="E220" i="50"/>
  <c r="H118" i="40"/>
  <c r="C57" i="49"/>
  <c r="C24" i="50"/>
  <c r="E40" i="50"/>
  <c r="E326" i="50"/>
  <c r="F12" i="49"/>
  <c r="H318" i="50"/>
  <c r="H173" i="50"/>
  <c r="H292" i="50"/>
  <c r="G282" i="50"/>
  <c r="F176" i="50"/>
  <c r="E25" i="49"/>
  <c r="E357" i="50"/>
  <c r="F336" i="49"/>
  <c r="C53" i="50"/>
  <c r="E244" i="50"/>
  <c r="B312" i="49"/>
  <c r="E175" i="50"/>
  <c r="B267" i="49"/>
  <c r="C95" i="50"/>
  <c r="E40" i="49"/>
  <c r="D339" i="50"/>
  <c r="B298" i="49"/>
  <c r="D114" i="49"/>
  <c r="D125" i="49"/>
  <c r="C134" i="50"/>
  <c r="D230" i="49"/>
  <c r="E207" i="49"/>
  <c r="G46" i="50"/>
  <c r="E320" i="49"/>
  <c r="C101" i="49"/>
  <c r="E330" i="49"/>
  <c r="B49" i="49"/>
  <c r="C65" i="50"/>
  <c r="H219" i="40"/>
  <c r="B153" i="49"/>
  <c r="D370" i="50"/>
  <c r="D125" i="50"/>
  <c r="D354" i="49"/>
  <c r="D259" i="50"/>
  <c r="B210" i="50"/>
  <c r="D335" i="49"/>
  <c r="B159" i="50"/>
  <c r="D214" i="49"/>
  <c r="D326" i="49"/>
  <c r="E100" i="49"/>
  <c r="B362" i="50"/>
  <c r="B121" i="49"/>
  <c r="H299" i="50"/>
  <c r="E107" i="49"/>
  <c r="C56" i="49"/>
  <c r="C320" i="49"/>
  <c r="F71" i="49"/>
  <c r="D80" i="49"/>
  <c r="E68" i="49"/>
  <c r="B278" i="50"/>
  <c r="D130" i="49"/>
  <c r="B135" i="50"/>
  <c r="D217" i="50"/>
  <c r="C366" i="49"/>
  <c r="D331" i="49"/>
  <c r="F115" i="49"/>
  <c r="D369" i="50"/>
  <c r="B332" i="49"/>
  <c r="D175" i="50"/>
  <c r="B150" i="50"/>
  <c r="B37" i="49"/>
  <c r="C247" i="50"/>
  <c r="F190" i="49"/>
  <c r="G180" i="50"/>
  <c r="H271" i="40"/>
  <c r="F62" i="50"/>
  <c r="F38" i="49"/>
  <c r="B229" i="49"/>
  <c r="F294" i="50"/>
  <c r="G268" i="50"/>
  <c r="C234" i="49"/>
  <c r="F269" i="49"/>
  <c r="C63" i="49"/>
  <c r="D315" i="50"/>
  <c r="H346" i="40"/>
  <c r="E223" i="49"/>
  <c r="H14" i="40"/>
  <c r="D176" i="49"/>
  <c r="B373" i="50"/>
  <c r="B176" i="50"/>
  <c r="E170" i="50"/>
  <c r="H218" i="40"/>
  <c r="C223" i="49"/>
  <c r="C96" i="49"/>
  <c r="G357" i="50"/>
  <c r="E230" i="50"/>
  <c r="D37" i="50"/>
  <c r="C212" i="50"/>
  <c r="C315" i="50"/>
  <c r="E313" i="49"/>
  <c r="F59" i="49"/>
  <c r="E232" i="50"/>
  <c r="B181" i="49"/>
  <c r="B234" i="50"/>
  <c r="B325" i="49"/>
  <c r="H350" i="50"/>
  <c r="F357" i="49"/>
  <c r="C354" i="49"/>
  <c r="E171" i="49"/>
  <c r="E223" i="50"/>
  <c r="H356" i="50"/>
  <c r="C364" i="50"/>
  <c r="F181" i="49"/>
  <c r="C336" i="50"/>
  <c r="H173" i="40"/>
  <c r="C314" i="49"/>
  <c r="F64" i="50"/>
  <c r="H276" i="40"/>
  <c r="G341" i="50"/>
  <c r="F204" i="50"/>
  <c r="E183" i="49"/>
  <c r="D150" i="50"/>
  <c r="B94" i="50"/>
  <c r="C149" i="49"/>
  <c r="F40" i="49"/>
  <c r="B16" i="49"/>
  <c r="H316" i="40"/>
  <c r="C139" i="50"/>
  <c r="C69" i="49"/>
  <c r="E236" i="50"/>
  <c r="B38" i="50"/>
  <c r="C325" i="50"/>
  <c r="F81" i="49"/>
  <c r="H58" i="40"/>
  <c r="G53" i="50"/>
  <c r="E260" i="49"/>
  <c r="C37" i="49"/>
  <c r="C233" i="49"/>
  <c r="C264" i="50"/>
  <c r="H266" i="50"/>
  <c r="D303" i="49"/>
  <c r="E110" i="50"/>
  <c r="C284" i="50"/>
  <c r="F125" i="49"/>
  <c r="B38" i="49"/>
  <c r="C334" i="50"/>
  <c r="E179" i="49"/>
  <c r="D139" i="50"/>
  <c r="H272" i="40"/>
  <c r="F113" i="49"/>
  <c r="F155" i="49"/>
  <c r="C112" i="50"/>
  <c r="B81" i="49"/>
  <c r="H296" i="50"/>
  <c r="G155" i="50"/>
  <c r="E229" i="49"/>
  <c r="C276" i="49"/>
  <c r="B91" i="49"/>
  <c r="E126" i="49"/>
  <c r="E96" i="49"/>
  <c r="B87" i="50"/>
  <c r="E177" i="49"/>
  <c r="B151" i="50"/>
  <c r="H195" i="40"/>
  <c r="F310" i="49"/>
  <c r="F29" i="49"/>
  <c r="D145" i="50"/>
  <c r="B31" i="49"/>
  <c r="E200" i="49"/>
  <c r="B360" i="50"/>
  <c r="F296" i="49"/>
  <c r="E218" i="50"/>
  <c r="H149" i="40"/>
  <c r="H212" i="50"/>
  <c r="H12" i="50"/>
  <c r="F359" i="49"/>
  <c r="D191" i="49"/>
  <c r="B308" i="49"/>
  <c r="G78" i="50"/>
  <c r="H47" i="40"/>
  <c r="E270" i="49"/>
  <c r="H139" i="50"/>
  <c r="G17" i="50"/>
  <c r="E89" i="50"/>
  <c r="B343" i="49"/>
  <c r="H135" i="50"/>
  <c r="H346" i="50"/>
  <c r="D327" i="50"/>
  <c r="E116" i="49"/>
  <c r="B244" i="49"/>
  <c r="D55" i="50"/>
  <c r="H133" i="40"/>
  <c r="C219" i="50"/>
  <c r="H126" i="40"/>
  <c r="H343" i="40"/>
  <c r="D129" i="50"/>
  <c r="D113" i="50"/>
  <c r="B216" i="49"/>
  <c r="E19" i="50"/>
  <c r="E117" i="50"/>
  <c r="F36" i="50"/>
  <c r="E173" i="50"/>
  <c r="B316" i="49"/>
  <c r="C125" i="50"/>
  <c r="E235" i="49"/>
  <c r="F188" i="49"/>
  <c r="D58" i="49"/>
  <c r="B345" i="50"/>
  <c r="F199" i="49"/>
  <c r="B139" i="50"/>
  <c r="C91" i="49"/>
  <c r="B351" i="50"/>
  <c r="D355" i="49"/>
  <c r="B121" i="50"/>
  <c r="H315" i="50"/>
  <c r="H306" i="50"/>
  <c r="E205" i="50"/>
  <c r="F177" i="49"/>
  <c r="E34" i="49"/>
  <c r="E77" i="49"/>
  <c r="D18" i="50"/>
  <c r="D63" i="50"/>
  <c r="E226" i="49"/>
  <c r="C255" i="50"/>
  <c r="F365" i="49"/>
  <c r="B348" i="50"/>
  <c r="H295" i="50"/>
  <c r="C206" i="50"/>
  <c r="E314" i="49"/>
  <c r="C98" i="50"/>
  <c r="C277" i="49"/>
  <c r="C204" i="50"/>
  <c r="G213" i="50"/>
  <c r="C246" i="49"/>
  <c r="F293" i="49"/>
  <c r="H365" i="50"/>
  <c r="H364" i="50"/>
  <c r="D141" i="50"/>
  <c r="D252" i="49"/>
  <c r="D138" i="50"/>
  <c r="E233" i="49"/>
  <c r="C302" i="50"/>
  <c r="B110" i="50"/>
  <c r="B227" i="50"/>
  <c r="D299" i="49"/>
  <c r="C84" i="50"/>
  <c r="E31" i="50"/>
  <c r="B58" i="50"/>
  <c r="F186" i="49"/>
  <c r="F55" i="50"/>
  <c r="F138" i="49"/>
  <c r="F159" i="49"/>
  <c r="C299" i="49"/>
  <c r="H179" i="40"/>
  <c r="F83" i="50"/>
  <c r="F54" i="50"/>
  <c r="H267" i="40"/>
  <c r="F276" i="50"/>
  <c r="B340" i="49"/>
  <c r="D266" i="50"/>
  <c r="E310" i="49"/>
  <c r="E140" i="49"/>
  <c r="B36" i="50"/>
  <c r="D275" i="50"/>
  <c r="F141" i="49"/>
  <c r="B50" i="49"/>
  <c r="E263" i="50"/>
  <c r="D285" i="50"/>
  <c r="B132" i="50"/>
  <c r="C224" i="50"/>
  <c r="D366" i="49"/>
  <c r="C271" i="49"/>
  <c r="D108" i="49"/>
  <c r="B46" i="50"/>
  <c r="H268" i="50"/>
  <c r="B347" i="49"/>
  <c r="E284" i="50"/>
  <c r="F152" i="49"/>
  <c r="E188" i="49"/>
  <c r="C108" i="50"/>
  <c r="B55" i="50"/>
  <c r="E253" i="50"/>
  <c r="E52" i="50"/>
  <c r="E213" i="49"/>
  <c r="C213" i="50"/>
  <c r="F49" i="50"/>
  <c r="E166" i="49"/>
  <c r="H101" i="40"/>
  <c r="C138" i="49"/>
  <c r="B242" i="50"/>
  <c r="F52" i="49"/>
  <c r="E18" i="50"/>
  <c r="F235" i="50"/>
  <c r="E124" i="49"/>
  <c r="D81" i="49"/>
  <c r="C350" i="49"/>
  <c r="B82" i="49"/>
  <c r="F86" i="50"/>
  <c r="F242" i="49"/>
  <c r="H85" i="40"/>
  <c r="H20" i="40"/>
  <c r="D156" i="49"/>
  <c r="F354" i="49"/>
  <c r="G264" i="50"/>
  <c r="F243" i="49"/>
  <c r="D250" i="50"/>
  <c r="C331" i="49"/>
  <c r="H340" i="50"/>
  <c r="E258" i="49"/>
  <c r="C77" i="50"/>
  <c r="F214" i="49"/>
  <c r="C46" i="50"/>
  <c r="B78" i="50"/>
  <c r="F316" i="49"/>
  <c r="B317" i="50"/>
  <c r="H20" i="50"/>
  <c r="G308" i="50"/>
  <c r="H145" i="40"/>
  <c r="H89" i="50"/>
  <c r="G141" i="50"/>
  <c r="H351" i="50"/>
  <c r="F123" i="49"/>
  <c r="E72" i="49"/>
  <c r="D255" i="50"/>
  <c r="B68" i="50"/>
  <c r="D25" i="50"/>
  <c r="E253" i="49"/>
  <c r="E157" i="49"/>
  <c r="E14" i="49"/>
  <c r="D111" i="49"/>
  <c r="E94" i="50"/>
  <c r="B97" i="50"/>
  <c r="H238" i="50"/>
  <c r="C133" i="49"/>
  <c r="D56" i="49"/>
  <c r="B44" i="50"/>
  <c r="F26" i="50"/>
  <c r="H169" i="40"/>
  <c r="H86" i="50"/>
  <c r="H274" i="50"/>
  <c r="H40" i="50"/>
  <c r="G89" i="50"/>
  <c r="C327" i="50"/>
  <c r="B181" i="50"/>
  <c r="C228" i="49"/>
  <c r="D308" i="49"/>
  <c r="E74" i="50"/>
  <c r="B219" i="50"/>
  <c r="B351" i="49"/>
  <c r="C374" i="50"/>
  <c r="F57" i="49"/>
  <c r="C229" i="50"/>
  <c r="B24" i="49"/>
  <c r="G145" i="50"/>
  <c r="H292" i="40"/>
  <c r="H349" i="40"/>
  <c r="G129" i="50"/>
  <c r="G337" i="50"/>
  <c r="H338" i="50"/>
  <c r="C282" i="49"/>
  <c r="D143" i="50"/>
  <c r="F144" i="49"/>
  <c r="F319" i="49"/>
  <c r="C216" i="50"/>
  <c r="B182" i="50"/>
  <c r="G230" i="50"/>
  <c r="B156" i="49"/>
  <c r="E294" i="50"/>
  <c r="D82" i="50"/>
  <c r="C56" i="50"/>
  <c r="E161" i="50"/>
  <c r="F252" i="49"/>
  <c r="B320" i="49"/>
  <c r="D246" i="49"/>
  <c r="C329" i="50"/>
  <c r="F307" i="50"/>
  <c r="C23" i="49"/>
  <c r="B194" i="49"/>
  <c r="E221" i="50"/>
  <c r="F202" i="49"/>
  <c r="B89" i="50"/>
  <c r="C317" i="50"/>
  <c r="C30" i="49"/>
  <c r="E307" i="50"/>
  <c r="F238" i="49"/>
  <c r="C25" i="50"/>
  <c r="F113" i="50"/>
  <c r="B264" i="49"/>
  <c r="E80" i="50"/>
  <c r="D318" i="50"/>
  <c r="C105" i="50"/>
  <c r="F117" i="49"/>
  <c r="C257" i="50"/>
  <c r="E276" i="50"/>
  <c r="B327" i="49"/>
  <c r="H295" i="40"/>
  <c r="H133" i="50"/>
  <c r="F322" i="49"/>
  <c r="E192" i="49"/>
  <c r="C40" i="49"/>
  <c r="E204" i="49"/>
  <c r="C130" i="49"/>
  <c r="E104" i="49"/>
  <c r="B287" i="50"/>
  <c r="E330" i="50"/>
  <c r="C311" i="50"/>
  <c r="E98" i="49"/>
  <c r="D210" i="49"/>
  <c r="C196" i="49"/>
  <c r="C12" i="49"/>
  <c r="F167" i="49"/>
  <c r="E331" i="49"/>
  <c r="E328" i="49"/>
  <c r="F221" i="49"/>
  <c r="H138" i="40"/>
  <c r="C304" i="49"/>
  <c r="C241" i="49"/>
  <c r="F356" i="50"/>
  <c r="E344" i="49"/>
  <c r="D277" i="49"/>
  <c r="B374" i="49"/>
  <c r="C357" i="49"/>
  <c r="D46" i="49"/>
  <c r="D252" i="50"/>
  <c r="E128" i="50"/>
  <c r="D189" i="50"/>
  <c r="E20" i="50"/>
  <c r="G295" i="50"/>
  <c r="B240" i="50"/>
  <c r="H177" i="40"/>
  <c r="G58" i="50"/>
  <c r="H49" i="50"/>
  <c r="H108" i="50"/>
  <c r="H201" i="50"/>
  <c r="G49" i="50"/>
  <c r="D46" i="50"/>
  <c r="F37" i="49"/>
  <c r="B375" i="50"/>
  <c r="B330" i="50"/>
  <c r="B160" i="50"/>
  <c r="D343" i="50"/>
  <c r="E184" i="49"/>
  <c r="E163" i="50"/>
  <c r="F270" i="49"/>
  <c r="E368" i="50"/>
  <c r="G198" i="50"/>
  <c r="B294" i="49"/>
  <c r="D266" i="49"/>
  <c r="E41" i="50"/>
  <c r="E81" i="49"/>
  <c r="D356" i="49"/>
  <c r="F180" i="49"/>
  <c r="E49" i="49"/>
  <c r="D148" i="49"/>
  <c r="C365" i="49"/>
  <c r="C150" i="49"/>
  <c r="C248" i="49"/>
  <c r="F271" i="49"/>
  <c r="E239" i="50"/>
  <c r="F272" i="49"/>
  <c r="E279" i="50"/>
  <c r="G369" i="50"/>
  <c r="F39" i="49"/>
  <c r="E309" i="50"/>
  <c r="C261" i="49"/>
  <c r="B96" i="49"/>
  <c r="D43" i="50"/>
  <c r="H263" i="40"/>
  <c r="G283" i="50"/>
  <c r="C257" i="49"/>
  <c r="C165" i="49"/>
  <c r="B175" i="49"/>
  <c r="F309" i="49"/>
  <c r="C293" i="50"/>
  <c r="D220" i="50"/>
  <c r="B328" i="49"/>
  <c r="E68" i="50"/>
  <c r="C295" i="49"/>
  <c r="D253" i="50"/>
  <c r="H99" i="50"/>
  <c r="C21" i="49"/>
  <c r="B130" i="49"/>
  <c r="E60" i="50"/>
  <c r="D42" i="50"/>
  <c r="E86" i="49"/>
  <c r="E120" i="50"/>
  <c r="B159" i="49"/>
  <c r="C142" i="49"/>
  <c r="H54" i="50"/>
  <c r="F147" i="50"/>
  <c r="F120" i="50"/>
  <c r="F368" i="49"/>
  <c r="E15" i="49"/>
  <c r="E12" i="49"/>
  <c r="D132" i="49"/>
  <c r="C239" i="50"/>
  <c r="B79" i="49"/>
  <c r="E335" i="50"/>
  <c r="D158" i="49"/>
  <c r="C21" i="50"/>
  <c r="F298" i="50"/>
  <c r="B196" i="50"/>
  <c r="F102" i="49"/>
  <c r="C362" i="50"/>
  <c r="B193" i="49"/>
  <c r="D178" i="50"/>
  <c r="C335" i="49"/>
  <c r="E15" i="50"/>
  <c r="B112" i="49"/>
  <c r="H45" i="40"/>
  <c r="F358" i="50"/>
  <c r="H228" i="50"/>
  <c r="F208" i="50"/>
  <c r="F93" i="50"/>
  <c r="H332" i="40"/>
  <c r="D203" i="50"/>
  <c r="B122" i="50"/>
  <c r="B266" i="49"/>
  <c r="D357" i="50"/>
  <c r="D250" i="49"/>
  <c r="C198" i="50"/>
  <c r="G111" i="50"/>
  <c r="C140" i="49"/>
  <c r="D240" i="49"/>
  <c r="B224" i="50"/>
  <c r="C350" i="50"/>
  <c r="E162" i="50"/>
  <c r="H252" i="40"/>
  <c r="D156" i="50"/>
  <c r="C86" i="50"/>
  <c r="F14" i="49"/>
  <c r="B335" i="49"/>
  <c r="D157" i="49"/>
  <c r="B226" i="50"/>
  <c r="B289" i="50"/>
  <c r="F206" i="49"/>
  <c r="E99" i="50"/>
  <c r="B57" i="49"/>
  <c r="B90" i="50"/>
  <c r="F351" i="49"/>
  <c r="H337" i="50"/>
  <c r="F221" i="50"/>
  <c r="C102" i="49"/>
  <c r="B83" i="49"/>
  <c r="B107" i="49"/>
  <c r="D136" i="49"/>
  <c r="E361" i="49"/>
  <c r="C237" i="50"/>
  <c r="H326" i="40"/>
  <c r="C195" i="50"/>
  <c r="D282" i="50"/>
  <c r="C370" i="50"/>
  <c r="E266" i="49"/>
  <c r="D71" i="50"/>
  <c r="D346" i="49"/>
  <c r="F58" i="49"/>
  <c r="B40" i="50"/>
  <c r="E105" i="49"/>
  <c r="C251" i="49"/>
  <c r="C73" i="49"/>
  <c r="F91" i="49"/>
  <c r="F292" i="50"/>
  <c r="H174" i="50"/>
  <c r="E143" i="49"/>
  <c r="B73" i="50"/>
  <c r="D172" i="50"/>
  <c r="D324" i="50"/>
  <c r="D241" i="49"/>
  <c r="B370" i="49"/>
  <c r="C286" i="50"/>
  <c r="D152" i="49"/>
  <c r="B98" i="50"/>
  <c r="E238" i="49"/>
  <c r="D312" i="50"/>
  <c r="B137" i="50"/>
  <c r="C273" i="50"/>
  <c r="F229" i="49"/>
  <c r="E152" i="50"/>
  <c r="B319" i="49"/>
  <c r="B293" i="50"/>
  <c r="C153" i="49"/>
  <c r="C110" i="50"/>
  <c r="H358" i="50"/>
  <c r="F364" i="50"/>
  <c r="B221" i="50"/>
  <c r="B371" i="50"/>
  <c r="F184" i="49"/>
  <c r="E245" i="49"/>
  <c r="D170" i="49"/>
  <c r="E156" i="50"/>
  <c r="E255" i="50"/>
  <c r="D173" i="50"/>
  <c r="C14" i="50"/>
  <c r="C194" i="49"/>
  <c r="D185" i="49"/>
  <c r="B317" i="49"/>
  <c r="D253" i="49"/>
  <c r="C146" i="50"/>
  <c r="D291" i="50"/>
  <c r="C80" i="50"/>
  <c r="E343" i="50"/>
  <c r="C349" i="50"/>
  <c r="B129" i="50"/>
  <c r="H336" i="50"/>
  <c r="G324" i="50"/>
  <c r="B174" i="50"/>
  <c r="E201" i="49"/>
  <c r="D281" i="49"/>
  <c r="E75" i="50"/>
  <c r="C72" i="49"/>
  <c r="E180" i="50"/>
  <c r="D254" i="50"/>
  <c r="E283" i="50"/>
  <c r="D19" i="50"/>
  <c r="B93" i="49"/>
  <c r="D237" i="49"/>
  <c r="E251" i="50"/>
  <c r="B342" i="49"/>
  <c r="F343" i="49"/>
  <c r="D320" i="50"/>
  <c r="D262" i="50"/>
  <c r="E178" i="49"/>
  <c r="B170" i="50"/>
  <c r="E367" i="49"/>
  <c r="G62" i="50"/>
  <c r="B139" i="49"/>
  <c r="E184" i="50"/>
  <c r="D270" i="49"/>
  <c r="H240" i="50"/>
  <c r="C88" i="49"/>
  <c r="H274" i="40"/>
  <c r="D323" i="50"/>
  <c r="C369" i="50"/>
  <c r="B203" i="50"/>
  <c r="E299" i="50"/>
  <c r="C338" i="49"/>
  <c r="G316" i="50"/>
  <c r="B316" i="50"/>
  <c r="H23" i="50"/>
  <c r="D88" i="50"/>
  <c r="D118" i="49"/>
  <c r="B12" i="50"/>
  <c r="C149" i="50"/>
  <c r="D149" i="50"/>
  <c r="B103" i="49"/>
  <c r="F340" i="50"/>
  <c r="C372" i="49"/>
  <c r="F214" i="50"/>
  <c r="F36" i="49"/>
  <c r="B282" i="50"/>
  <c r="E301" i="49"/>
  <c r="C298" i="50"/>
  <c r="C185" i="50"/>
  <c r="C94" i="50"/>
  <c r="D160" i="50"/>
  <c r="D368" i="50"/>
  <c r="E202" i="50"/>
  <c r="D110" i="49"/>
  <c r="B314" i="50"/>
  <c r="E179" i="50"/>
  <c r="F227" i="49"/>
  <c r="C207" i="50"/>
  <c r="B67" i="49"/>
  <c r="D142" i="49"/>
  <c r="E359" i="50"/>
  <c r="E51" i="50"/>
  <c r="H119" i="50"/>
  <c r="E112" i="50"/>
  <c r="B204" i="50"/>
  <c r="D238" i="49"/>
  <c r="B169" i="49"/>
  <c r="D68" i="50"/>
  <c r="B257" i="50"/>
  <c r="B364" i="50"/>
  <c r="D372" i="49"/>
  <c r="D257" i="50"/>
  <c r="C69" i="50"/>
  <c r="D184" i="50"/>
  <c r="F313" i="49"/>
  <c r="F197" i="49"/>
  <c r="H124" i="50"/>
  <c r="B113" i="50"/>
  <c r="D209" i="49"/>
  <c r="C31" i="49"/>
  <c r="E252" i="50"/>
  <c r="D327" i="49"/>
  <c r="E231" i="50"/>
  <c r="H258" i="50"/>
  <c r="B30" i="50"/>
  <c r="C200" i="50"/>
  <c r="F339" i="49"/>
  <c r="E63" i="49"/>
  <c r="E39" i="49"/>
  <c r="F169" i="49"/>
  <c r="B51" i="50"/>
  <c r="E23" i="49"/>
  <c r="C152" i="49"/>
  <c r="C41" i="50"/>
  <c r="F73" i="49"/>
  <c r="F97" i="49"/>
  <c r="F223" i="50"/>
  <c r="B56" i="50"/>
  <c r="E97" i="50"/>
  <c r="E62" i="50"/>
  <c r="E227" i="49"/>
  <c r="C254" i="50"/>
  <c r="C357" i="50"/>
  <c r="C91" i="50"/>
  <c r="B358" i="50"/>
  <c r="D336" i="49"/>
  <c r="G98" i="50"/>
  <c r="B350" i="50"/>
  <c r="D260" i="49"/>
  <c r="B302" i="49"/>
  <c r="C275" i="49"/>
  <c r="D269" i="50"/>
  <c r="F66" i="50"/>
  <c r="C212" i="49"/>
  <c r="E262" i="50"/>
  <c r="D245" i="49"/>
  <c r="C373" i="50"/>
  <c r="F126" i="49"/>
  <c r="H187" i="50"/>
  <c r="G215" i="50"/>
  <c r="B162" i="49"/>
  <c r="F105" i="49"/>
  <c r="E126" i="50"/>
  <c r="D112" i="49"/>
  <c r="E298" i="49"/>
  <c r="D93" i="50"/>
  <c r="H36" i="40"/>
  <c r="E329" i="50"/>
  <c r="B305" i="50"/>
  <c r="E227" i="50"/>
  <c r="E150" i="49"/>
  <c r="E372" i="49"/>
  <c r="E58" i="50"/>
  <c r="D102" i="49"/>
  <c r="B312" i="50"/>
  <c r="B344" i="50"/>
  <c r="B66" i="49"/>
  <c r="B321" i="50"/>
  <c r="H339" i="40"/>
  <c r="E364" i="49"/>
  <c r="H148" i="50"/>
  <c r="D274" i="49"/>
  <c r="E78" i="49"/>
  <c r="C308" i="49"/>
  <c r="B280" i="49"/>
  <c r="D35" i="49"/>
  <c r="E144" i="50"/>
  <c r="F212" i="50"/>
  <c r="E46" i="50"/>
  <c r="E92" i="50"/>
  <c r="D287" i="50"/>
  <c r="D237" i="50"/>
  <c r="F187" i="49"/>
  <c r="C168" i="50"/>
  <c r="B104" i="49"/>
  <c r="F334" i="49"/>
  <c r="E207" i="50"/>
  <c r="D42" i="49"/>
  <c r="F258" i="49"/>
  <c r="E291" i="49"/>
  <c r="F285" i="50"/>
  <c r="B209" i="49"/>
  <c r="C215" i="50"/>
  <c r="C290" i="49"/>
  <c r="C243" i="50"/>
  <c r="H296" i="40"/>
  <c r="C92" i="49"/>
  <c r="B325" i="50"/>
  <c r="E322" i="49"/>
  <c r="D121" i="49"/>
  <c r="E36" i="50"/>
  <c r="D39" i="49"/>
  <c r="C72" i="50"/>
  <c r="B26" i="50"/>
  <c r="B365" i="50"/>
  <c r="B214" i="49"/>
  <c r="D243" i="50"/>
  <c r="C147" i="49"/>
  <c r="D72" i="49"/>
  <c r="G47" i="50"/>
  <c r="H11" i="50"/>
  <c r="E180" i="49"/>
  <c r="B273" i="49"/>
  <c r="C70" i="50"/>
  <c r="E355" i="50"/>
  <c r="B41" i="49"/>
  <c r="D115" i="50"/>
  <c r="F286" i="49"/>
  <c r="E241" i="49"/>
  <c r="G42" i="50"/>
  <c r="F208" i="49"/>
  <c r="C134" i="49"/>
  <c r="B107" i="50"/>
  <c r="C231" i="50"/>
  <c r="F275" i="49"/>
  <c r="C214" i="50"/>
  <c r="D24" i="49"/>
  <c r="C43" i="50"/>
  <c r="C321" i="49"/>
  <c r="B20" i="50"/>
  <c r="C113" i="49"/>
  <c r="H270" i="40"/>
  <c r="F346" i="49"/>
  <c r="E61" i="50"/>
  <c r="G187" i="50"/>
  <c r="B103" i="50"/>
  <c r="C87" i="50"/>
  <c r="D200" i="50"/>
  <c r="H251" i="40"/>
  <c r="D22" i="49"/>
  <c r="B369" i="50"/>
  <c r="B303" i="50"/>
  <c r="C90" i="49"/>
  <c r="H166" i="50"/>
  <c r="H235" i="50"/>
  <c r="E296" i="50"/>
  <c r="E304" i="50"/>
  <c r="E273" i="50"/>
  <c r="B304" i="50"/>
  <c r="F364" i="49"/>
  <c r="C181" i="50"/>
  <c r="E83" i="50"/>
  <c r="B155" i="49"/>
  <c r="B114" i="50"/>
  <c r="C210" i="49"/>
  <c r="B239" i="49"/>
  <c r="C374" i="49"/>
  <c r="E109" i="50"/>
  <c r="C245" i="50"/>
  <c r="C104" i="50"/>
  <c r="D286" i="50"/>
  <c r="B366" i="50"/>
  <c r="D163" i="49"/>
  <c r="H61" i="40"/>
  <c r="F233" i="50"/>
  <c r="C278" i="49"/>
  <c r="H215" i="40"/>
  <c r="B41" i="50"/>
  <c r="B171" i="50"/>
  <c r="C89" i="49"/>
  <c r="B79" i="50"/>
  <c r="B78" i="49"/>
  <c r="C186" i="49"/>
  <c r="C234" i="50"/>
  <c r="B75" i="50"/>
  <c r="B221" i="49"/>
  <c r="C150" i="50"/>
  <c r="D176" i="50"/>
  <c r="C83" i="50"/>
  <c r="C15" i="50"/>
  <c r="D264" i="50"/>
  <c r="G33" i="50"/>
  <c r="B48" i="50"/>
  <c r="E336" i="50"/>
  <c r="B193" i="50"/>
  <c r="H111" i="50"/>
  <c r="E351" i="50"/>
  <c r="F347" i="50"/>
  <c r="D345" i="49"/>
  <c r="B104" i="50"/>
  <c r="E257" i="50"/>
  <c r="B374" i="50"/>
  <c r="D295" i="49"/>
  <c r="B23" i="49"/>
  <c r="C354" i="50"/>
  <c r="G296" i="50"/>
  <c r="B18" i="50"/>
  <c r="C184" i="50"/>
  <c r="B73" i="49"/>
  <c r="E248" i="50"/>
  <c r="B117" i="49"/>
  <c r="C74" i="50"/>
  <c r="B163" i="50"/>
  <c r="H66" i="50"/>
  <c r="D244" i="50"/>
  <c r="B275" i="50"/>
  <c r="E322" i="50"/>
  <c r="E96" i="50"/>
  <c r="F96" i="50"/>
  <c r="C296" i="49"/>
  <c r="B341" i="50"/>
  <c r="D212" i="50"/>
  <c r="B217" i="50"/>
  <c r="D83" i="49"/>
  <c r="E345" i="50"/>
  <c r="B214" i="50"/>
  <c r="D234" i="49"/>
  <c r="D306" i="50"/>
  <c r="H235" i="40"/>
  <c r="F98" i="49"/>
  <c r="D283" i="50"/>
  <c r="E157" i="50"/>
  <c r="B297" i="50"/>
  <c r="B236" i="50"/>
  <c r="B315" i="50"/>
  <c r="C178" i="50"/>
  <c r="D117" i="49"/>
  <c r="C228" i="50"/>
  <c r="D288" i="49"/>
  <c r="C355" i="50"/>
  <c r="D326" i="50"/>
  <c r="B296" i="49"/>
  <c r="B131" i="49"/>
  <c r="E160" i="50"/>
  <c r="F145" i="49"/>
  <c r="D107" i="50"/>
  <c r="C320" i="50"/>
  <c r="B28" i="50"/>
  <c r="C79" i="50"/>
  <c r="D16" i="49"/>
  <c r="C346" i="49"/>
  <c r="C240" i="50"/>
  <c r="B177" i="49"/>
  <c r="H155" i="40"/>
  <c r="D234" i="50"/>
  <c r="E242" i="50"/>
  <c r="B288" i="49"/>
  <c r="H359" i="40"/>
  <c r="E119" i="49"/>
  <c r="C129" i="49"/>
  <c r="D365" i="49"/>
  <c r="E32" i="50"/>
  <c r="D356" i="50"/>
  <c r="C135" i="49"/>
  <c r="D183" i="50"/>
  <c r="E319" i="50"/>
  <c r="D172" i="49"/>
  <c r="C120" i="49"/>
  <c r="F151" i="50"/>
  <c r="C93" i="50"/>
  <c r="E311" i="49"/>
  <c r="H160" i="40"/>
  <c r="G360" i="50"/>
  <c r="D302" i="50"/>
  <c r="E189" i="50"/>
  <c r="E136" i="49"/>
  <c r="D322" i="50"/>
  <c r="E361" i="50"/>
  <c r="C263" i="50"/>
  <c r="B80" i="50"/>
  <c r="H225" i="50"/>
  <c r="D115" i="49"/>
  <c r="B343" i="50"/>
  <c r="D175" i="49"/>
  <c r="C113" i="50"/>
  <c r="C161" i="50"/>
  <c r="D58" i="50"/>
  <c r="F41" i="50"/>
  <c r="D314" i="50"/>
  <c r="F124" i="49"/>
  <c r="B222" i="49"/>
  <c r="H252" i="50"/>
  <c r="H357" i="50"/>
  <c r="C159" i="50"/>
  <c r="B69" i="50"/>
  <c r="D185" i="50"/>
  <c r="F222" i="49"/>
  <c r="E233" i="50"/>
  <c r="B334" i="49"/>
  <c r="B321" i="49"/>
  <c r="B96" i="50"/>
  <c r="D216" i="49"/>
  <c r="E282" i="49"/>
  <c r="D65" i="50"/>
  <c r="F119" i="49"/>
  <c r="B324" i="50"/>
  <c r="E319" i="49"/>
  <c r="H122" i="40"/>
  <c r="B302" i="50"/>
  <c r="C220" i="50"/>
  <c r="F344" i="49"/>
  <c r="B318" i="50"/>
  <c r="F12" i="50"/>
  <c r="H319" i="40"/>
  <c r="G355" i="50"/>
  <c r="B111" i="49"/>
  <c r="E33" i="50"/>
  <c r="C211" i="50"/>
  <c r="D119" i="50"/>
  <c r="D261" i="50"/>
  <c r="D161" i="49"/>
  <c r="F129" i="49"/>
  <c r="F173" i="50"/>
  <c r="D106" i="49"/>
  <c r="C326" i="50"/>
  <c r="B308" i="50"/>
  <c r="B213" i="50"/>
  <c r="C12" i="50"/>
  <c r="C127" i="49"/>
  <c r="D83" i="50"/>
  <c r="D258" i="49"/>
  <c r="D296" i="50"/>
  <c r="D289" i="50"/>
  <c r="B72" i="50"/>
  <c r="C214" i="49"/>
  <c r="G363" i="50"/>
  <c r="E303" i="49"/>
  <c r="B35" i="49"/>
  <c r="C59" i="50"/>
  <c r="E225" i="50"/>
  <c r="E219" i="50"/>
  <c r="C200" i="49"/>
  <c r="E226" i="50"/>
  <c r="B206" i="50"/>
  <c r="E250" i="50"/>
  <c r="B233" i="50"/>
  <c r="C124" i="49"/>
  <c r="B309" i="50"/>
  <c r="D272" i="50"/>
  <c r="E246" i="49"/>
  <c r="B124" i="49"/>
  <c r="B17" i="50"/>
  <c r="D273" i="49"/>
  <c r="B304" i="49"/>
  <c r="D21" i="50"/>
  <c r="C197" i="50"/>
  <c r="H13" i="50"/>
  <c r="D255" i="49"/>
  <c r="F176" i="49"/>
  <c r="E115" i="50"/>
  <c r="D359" i="50"/>
  <c r="D91" i="50"/>
  <c r="C344" i="49"/>
  <c r="D232" i="50"/>
  <c r="B222" i="50"/>
  <c r="E295" i="50"/>
  <c r="C37" i="50"/>
  <c r="B337" i="49"/>
  <c r="E39" i="50"/>
  <c r="E300" i="50"/>
  <c r="F349" i="49"/>
  <c r="C199" i="50"/>
  <c r="D147" i="50"/>
  <c r="D227" i="50"/>
  <c r="C27" i="50"/>
  <c r="E176" i="50"/>
  <c r="E57" i="49"/>
  <c r="D225" i="49"/>
  <c r="G36" i="50"/>
  <c r="C375" i="50"/>
  <c r="B165" i="49"/>
  <c r="B329" i="49"/>
  <c r="E144" i="49"/>
  <c r="H85" i="50"/>
  <c r="D15" i="50"/>
  <c r="C38" i="50"/>
  <c r="C223" i="50"/>
  <c r="C205" i="49"/>
  <c r="C367" i="49"/>
  <c r="C77" i="49"/>
  <c r="F209" i="49"/>
  <c r="C176" i="50"/>
  <c r="C272" i="49"/>
  <c r="D159" i="50"/>
  <c r="B19" i="49"/>
  <c r="E125" i="50"/>
  <c r="E169" i="50"/>
  <c r="F374" i="50"/>
  <c r="H106" i="40"/>
  <c r="H217" i="50"/>
  <c r="D205" i="50"/>
  <c r="C11" i="49"/>
  <c r="C355" i="49"/>
  <c r="B355" i="49"/>
  <c r="E178" i="50"/>
  <c r="D74" i="50"/>
  <c r="D151" i="50"/>
  <c r="E137" i="49"/>
  <c r="D304" i="50"/>
  <c r="E17" i="49"/>
  <c r="E82" i="50"/>
  <c r="D361" i="50"/>
  <c r="B318" i="49"/>
  <c r="B119" i="50"/>
  <c r="C137" i="49"/>
  <c r="D102" i="50"/>
  <c r="C333" i="49"/>
  <c r="D127" i="50"/>
  <c r="H15" i="40"/>
  <c r="C229" i="49"/>
  <c r="F155" i="50"/>
  <c r="B206" i="49"/>
  <c r="B178" i="50"/>
  <c r="E195" i="50"/>
  <c r="B191" i="50"/>
  <c r="E44" i="50"/>
  <c r="C294" i="50"/>
  <c r="B338" i="50"/>
  <c r="E164" i="50"/>
  <c r="C314" i="50"/>
  <c r="B273" i="50"/>
  <c r="E327" i="50"/>
  <c r="E82" i="49"/>
  <c r="E356" i="50"/>
  <c r="C11" i="50"/>
  <c r="C238" i="50"/>
  <c r="D299" i="50"/>
  <c r="B148" i="49"/>
  <c r="B337" i="50"/>
  <c r="H28" i="50"/>
  <c r="F16" i="49"/>
  <c r="D366" i="50"/>
  <c r="D113" i="49"/>
  <c r="E111" i="49"/>
  <c r="D312" i="49"/>
  <c r="D149" i="49"/>
  <c r="C103" i="49"/>
  <c r="E116" i="50"/>
  <c r="E70" i="50"/>
  <c r="F257" i="49"/>
  <c r="D230" i="50"/>
  <c r="C162" i="50"/>
  <c r="F353" i="49"/>
  <c r="C50" i="49"/>
  <c r="D317" i="50"/>
  <c r="B67" i="50"/>
  <c r="B198" i="50"/>
  <c r="F93" i="49"/>
  <c r="D362" i="50"/>
  <c r="D270" i="50"/>
  <c r="B289" i="49"/>
  <c r="H317" i="50"/>
  <c r="H335" i="50"/>
  <c r="B271" i="49"/>
  <c r="E317" i="50"/>
  <c r="D330" i="50"/>
  <c r="E128" i="49"/>
  <c r="C23" i="50"/>
  <c r="B39" i="50"/>
  <c r="B216" i="50"/>
  <c r="D265" i="50"/>
  <c r="E147" i="49"/>
  <c r="F232" i="49"/>
  <c r="B25" i="50"/>
  <c r="B375" i="49"/>
  <c r="D123" i="50"/>
  <c r="B185" i="49"/>
  <c r="C160" i="49"/>
  <c r="D51" i="50"/>
  <c r="D280" i="49"/>
  <c r="E150" i="50"/>
  <c r="C140" i="50"/>
  <c r="G96" i="50"/>
  <c r="C218" i="49"/>
  <c r="G349" i="50"/>
  <c r="D75" i="49"/>
  <c r="C151" i="50"/>
  <c r="E313" i="50"/>
  <c r="B92" i="50"/>
  <c r="B152" i="50"/>
  <c r="B134" i="50"/>
  <c r="C145" i="50"/>
  <c r="B44" i="49"/>
  <c r="F164" i="49"/>
  <c r="C273" i="49"/>
  <c r="E230" i="49"/>
  <c r="F143" i="50"/>
  <c r="E237" i="50"/>
  <c r="B235" i="50"/>
  <c r="B102" i="49"/>
  <c r="H352" i="50"/>
  <c r="F64" i="49"/>
  <c r="C44" i="50"/>
  <c r="B142" i="50"/>
  <c r="G113" i="50"/>
  <c r="B349" i="49"/>
  <c r="G313" i="50"/>
  <c r="C197" i="49"/>
  <c r="E256" i="49"/>
  <c r="B94" i="49"/>
  <c r="C40" i="50"/>
  <c r="C343" i="49"/>
  <c r="C367" i="50"/>
  <c r="C108" i="49"/>
  <c r="B13" i="49"/>
  <c r="C276" i="50"/>
  <c r="C75" i="49"/>
  <c r="E201" i="50"/>
  <c r="D208" i="49"/>
  <c r="E347" i="50"/>
  <c r="D89" i="49"/>
  <c r="E27" i="50"/>
  <c r="B26" i="49"/>
  <c r="E328" i="50"/>
  <c r="C58" i="49"/>
  <c r="E333" i="49"/>
  <c r="G110" i="50"/>
  <c r="B153" i="50"/>
  <c r="H226" i="50"/>
  <c r="E42" i="50"/>
  <c r="B263" i="50"/>
  <c r="F326" i="49"/>
  <c r="D48" i="50"/>
  <c r="C288" i="50"/>
  <c r="C265" i="49"/>
  <c r="E263" i="49"/>
  <c r="D198" i="50"/>
  <c r="B252" i="49"/>
  <c r="D85" i="50"/>
  <c r="F131" i="49"/>
  <c r="H250" i="40"/>
  <c r="C53" i="49"/>
  <c r="B28" i="49"/>
  <c r="E340" i="50"/>
  <c r="E366" i="50"/>
  <c r="C196" i="50"/>
  <c r="C348" i="49"/>
  <c r="C289" i="49"/>
  <c r="B137" i="49"/>
  <c r="F139" i="49"/>
  <c r="C177" i="49"/>
  <c r="B142" i="49"/>
  <c r="C296" i="50"/>
  <c r="C167" i="49"/>
  <c r="C307" i="50"/>
  <c r="E43" i="50"/>
  <c r="E373" i="50"/>
  <c r="B116" i="50"/>
  <c r="C148" i="50"/>
  <c r="C218" i="50"/>
  <c r="C300" i="50"/>
  <c r="H366" i="40"/>
  <c r="H299" i="40"/>
  <c r="D367" i="49"/>
  <c r="D224" i="50"/>
  <c r="D51" i="49"/>
  <c r="C344" i="50"/>
  <c r="B45" i="49"/>
  <c r="D372" i="50"/>
  <c r="D16" i="50"/>
  <c r="D232" i="49"/>
  <c r="D197" i="49"/>
  <c r="B353" i="49"/>
  <c r="D97" i="50"/>
  <c r="C347" i="50"/>
  <c r="C107" i="50"/>
  <c r="K376" i="44"/>
  <c r="D95" i="50"/>
  <c r="E274" i="49"/>
  <c r="C209" i="49"/>
  <c r="D247" i="49"/>
  <c r="B313" i="49"/>
  <c r="B265" i="49"/>
  <c r="B215" i="49"/>
  <c r="F217" i="49"/>
  <c r="C65" i="49"/>
  <c r="B299" i="50"/>
  <c r="E104" i="50"/>
  <c r="B231" i="50"/>
  <c r="E339" i="50"/>
  <c r="B285" i="49"/>
  <c r="C141" i="50"/>
  <c r="F352" i="49"/>
  <c r="F278" i="49"/>
  <c r="C293" i="49"/>
  <c r="B290" i="50"/>
  <c r="F172" i="49"/>
  <c r="B246" i="49"/>
  <c r="C266" i="49"/>
  <c r="C252" i="50"/>
  <c r="D17" i="50"/>
  <c r="D76" i="49"/>
  <c r="C26" i="50"/>
  <c r="F109" i="49"/>
  <c r="H150" i="50"/>
  <c r="E35" i="49"/>
  <c r="E166" i="50"/>
  <c r="C164" i="50"/>
  <c r="E64" i="50"/>
  <c r="D174" i="50"/>
  <c r="D373" i="50"/>
  <c r="F264" i="49"/>
  <c r="B93" i="50"/>
  <c r="C285" i="49"/>
  <c r="E57" i="50"/>
  <c r="B138" i="49"/>
  <c r="E192" i="50"/>
  <c r="D321" i="50"/>
  <c r="D375" i="50"/>
  <c r="E291" i="50"/>
  <c r="D267" i="49"/>
  <c r="C49" i="49"/>
  <c r="D336" i="50"/>
  <c r="C323" i="50"/>
  <c r="H79" i="50"/>
  <c r="E243" i="50"/>
  <c r="C180" i="49"/>
  <c r="C328" i="49"/>
  <c r="E91" i="50"/>
  <c r="E352" i="50"/>
  <c r="B126" i="50"/>
  <c r="F205" i="49"/>
  <c r="D29" i="50"/>
  <c r="B295" i="50"/>
  <c r="E228" i="50"/>
  <c r="B244" i="50"/>
  <c r="E369" i="49"/>
  <c r="D126" i="49"/>
  <c r="D124" i="50"/>
  <c r="C203" i="50"/>
  <c r="C351" i="50"/>
  <c r="D157" i="50"/>
  <c r="C361" i="49"/>
  <c r="E94" i="49"/>
  <c r="B225" i="50"/>
  <c r="D338" i="49"/>
  <c r="H147" i="40"/>
  <c r="F20" i="50"/>
  <c r="D167" i="50"/>
  <c r="C352" i="49"/>
  <c r="G352" i="50"/>
  <c r="C169" i="49"/>
  <c r="F283" i="49"/>
  <c r="D283" i="49"/>
  <c r="C118" i="50"/>
  <c r="D281" i="50"/>
  <c r="C352" i="50"/>
  <c r="C133" i="50"/>
  <c r="B247" i="49"/>
  <c r="E86" i="50"/>
  <c r="G251" i="50"/>
  <c r="D90" i="50"/>
  <c r="F293" i="50"/>
  <c r="B363" i="50"/>
  <c r="D203" i="49"/>
  <c r="E215" i="50"/>
  <c r="C148" i="49"/>
  <c r="E348" i="50"/>
  <c r="F266" i="49"/>
  <c r="G231" i="50"/>
  <c r="E67" i="49"/>
  <c r="C170" i="49"/>
  <c r="F170" i="49"/>
  <c r="E20" i="49"/>
  <c r="E214" i="49"/>
  <c r="B229" i="50"/>
  <c r="E167" i="49"/>
  <c r="C210" i="50"/>
  <c r="B114" i="49"/>
  <c r="E215" i="49"/>
  <c r="F268" i="50"/>
  <c r="D316" i="50"/>
  <c r="C195" i="49"/>
  <c r="E206" i="49"/>
  <c r="F111" i="50"/>
  <c r="E47" i="49"/>
  <c r="D146" i="49"/>
  <c r="B129" i="49"/>
  <c r="C102" i="50"/>
  <c r="H359" i="50"/>
  <c r="B116" i="49"/>
  <c r="C82" i="50"/>
  <c r="B62" i="49"/>
  <c r="E112" i="49"/>
  <c r="D98" i="50"/>
  <c r="E358" i="49"/>
  <c r="C151" i="49"/>
  <c r="B301" i="50"/>
  <c r="E187" i="50"/>
  <c r="F56" i="50"/>
  <c r="D186" i="50"/>
  <c r="E278" i="49"/>
  <c r="H68" i="50"/>
  <c r="B186" i="49"/>
  <c r="D361" i="49"/>
  <c r="D325" i="49"/>
  <c r="D50" i="50"/>
  <c r="E125" i="49"/>
  <c r="G277" i="50"/>
  <c r="B292" i="50"/>
  <c r="C127" i="50"/>
  <c r="B248" i="50"/>
  <c r="D120" i="50"/>
  <c r="D182" i="50"/>
  <c r="B175" i="50"/>
  <c r="B109" i="50"/>
  <c r="F256" i="50"/>
  <c r="C373" i="49"/>
  <c r="C201" i="49"/>
  <c r="F316" i="50"/>
  <c r="C62" i="50"/>
  <c r="D223" i="49"/>
  <c r="G44" i="50"/>
  <c r="H64" i="40"/>
  <c r="B34" i="49"/>
  <c r="C52" i="50"/>
  <c r="D177" i="50"/>
  <c r="B353" i="50"/>
  <c r="C29" i="50"/>
  <c r="F228" i="50"/>
  <c r="D236" i="49"/>
  <c r="E275" i="49"/>
  <c r="C323" i="49"/>
  <c r="B152" i="49"/>
  <c r="E100" i="50"/>
  <c r="B335" i="50"/>
  <c r="D263" i="50"/>
  <c r="E69" i="50"/>
  <c r="D204" i="49"/>
  <c r="C306" i="50"/>
  <c r="C68" i="50"/>
  <c r="F17" i="49"/>
  <c r="D48" i="49"/>
  <c r="C33" i="49"/>
  <c r="H347" i="40"/>
  <c r="F87" i="49"/>
  <c r="B70" i="50"/>
  <c r="C100" i="50"/>
  <c r="H27" i="40"/>
  <c r="C260" i="50"/>
  <c r="H372" i="50"/>
  <c r="C351" i="49"/>
  <c r="E28" i="49"/>
  <c r="C297" i="49"/>
  <c r="B231" i="49"/>
  <c r="E342" i="49"/>
  <c r="B17" i="49"/>
  <c r="C64" i="50"/>
  <c r="E343" i="49"/>
  <c r="F74" i="49"/>
  <c r="E145" i="50"/>
  <c r="H355" i="40"/>
  <c r="E370" i="50"/>
  <c r="B281" i="50"/>
  <c r="D20" i="49"/>
  <c r="B132" i="49"/>
  <c r="H250" i="50"/>
  <c r="D27" i="49"/>
  <c r="F148" i="49"/>
  <c r="E264" i="50"/>
  <c r="C253" i="50"/>
  <c r="C158" i="50"/>
  <c r="E81" i="50"/>
  <c r="C282" i="50"/>
  <c r="B333" i="49"/>
  <c r="B270" i="50"/>
  <c r="H223" i="50"/>
  <c r="D187" i="50"/>
  <c r="C96" i="50"/>
  <c r="B336" i="49"/>
  <c r="D90" i="49"/>
  <c r="B230" i="50"/>
  <c r="E280" i="50"/>
  <c r="E369" i="50"/>
  <c r="C24" i="49"/>
  <c r="D60" i="50"/>
  <c r="B183" i="49"/>
  <c r="E234" i="49"/>
  <c r="H66" i="40"/>
  <c r="E185" i="50"/>
  <c r="C58" i="50"/>
  <c r="E148" i="49"/>
  <c r="D228" i="50"/>
  <c r="C164" i="49"/>
  <c r="F300" i="49"/>
  <c r="B29" i="50"/>
  <c r="C252" i="49"/>
  <c r="F189" i="49"/>
  <c r="E122" i="49"/>
  <c r="D28" i="49"/>
  <c r="G156" i="50"/>
  <c r="D313" i="50"/>
  <c r="B23" i="50"/>
  <c r="B197" i="50"/>
  <c r="G189" i="50"/>
  <c r="D86" i="49"/>
  <c r="F373" i="50"/>
  <c r="D221" i="49"/>
  <c r="D34" i="50"/>
  <c r="C121" i="50"/>
  <c r="E272" i="50"/>
  <c r="D25" i="49"/>
  <c r="C64" i="49"/>
  <c r="C289" i="50"/>
  <c r="H194" i="50"/>
  <c r="B211" i="49"/>
  <c r="B184" i="50"/>
  <c r="F137" i="49"/>
  <c r="F193" i="50"/>
  <c r="H213" i="40"/>
  <c r="E182" i="50"/>
  <c r="C123" i="49"/>
  <c r="B284" i="50"/>
  <c r="B20" i="49"/>
  <c r="B101" i="49"/>
  <c r="B245" i="50"/>
  <c r="B81" i="50"/>
  <c r="D310" i="49"/>
  <c r="F158" i="49"/>
  <c r="D104" i="50"/>
  <c r="C188" i="50"/>
  <c r="E148" i="50"/>
  <c r="B238" i="49"/>
  <c r="B225" i="49"/>
  <c r="B64" i="49"/>
  <c r="F53" i="49"/>
  <c r="D70" i="50"/>
  <c r="C338" i="50"/>
  <c r="E312" i="50"/>
  <c r="H325" i="50"/>
  <c r="E305" i="49"/>
  <c r="E195" i="49"/>
  <c r="F86" i="49"/>
  <c r="C360" i="49"/>
  <c r="D45" i="49"/>
  <c r="C224" i="49"/>
  <c r="C312" i="49"/>
  <c r="F156" i="49"/>
  <c r="D32" i="50"/>
  <c r="C364" i="49"/>
  <c r="B195" i="50"/>
  <c r="D164" i="50"/>
  <c r="E11" i="49"/>
  <c r="D67" i="50"/>
  <c r="H106" i="50"/>
  <c r="B274" i="50"/>
  <c r="F41" i="49"/>
  <c r="G330" i="50"/>
  <c r="C119" i="50"/>
  <c r="C264" i="49"/>
  <c r="B191" i="49"/>
  <c r="E142" i="49"/>
  <c r="D114" i="50"/>
  <c r="D141" i="49"/>
  <c r="D183" i="49"/>
  <c r="E13" i="49"/>
  <c r="D68" i="49"/>
  <c r="D35" i="50"/>
  <c r="D273" i="50"/>
  <c r="D130" i="50"/>
  <c r="F342" i="49"/>
  <c r="E118" i="50"/>
  <c r="B354" i="49"/>
  <c r="F46" i="49"/>
  <c r="B259" i="49"/>
  <c r="C84" i="49"/>
  <c r="E121" i="50"/>
  <c r="D311" i="50"/>
  <c r="E288" i="49"/>
  <c r="B328" i="50"/>
  <c r="E187" i="49"/>
  <c r="E297" i="50"/>
  <c r="H204" i="40"/>
  <c r="F269" i="50"/>
  <c r="C18" i="50"/>
  <c r="D93" i="49"/>
  <c r="F79" i="49"/>
  <c r="C337" i="49"/>
  <c r="F153" i="49"/>
  <c r="C194" i="50"/>
  <c r="D371" i="50"/>
  <c r="E106" i="50"/>
  <c r="B361" i="49"/>
  <c r="D33" i="49"/>
  <c r="B100" i="49"/>
  <c r="E173" i="49"/>
  <c r="C111" i="49"/>
  <c r="D279" i="50"/>
  <c r="C39" i="50"/>
  <c r="C226" i="50"/>
  <c r="D295" i="50"/>
  <c r="B14" i="50"/>
  <c r="E131" i="49"/>
  <c r="G35" i="50"/>
  <c r="C156" i="49"/>
  <c r="H39" i="40"/>
  <c r="D145" i="49"/>
  <c r="C55" i="50"/>
  <c r="F372" i="49"/>
  <c r="B326" i="50"/>
  <c r="C300" i="49"/>
  <c r="C287" i="49"/>
  <c r="B205" i="50"/>
  <c r="C372" i="50"/>
  <c r="E211" i="49"/>
  <c r="E102" i="49"/>
  <c r="D344" i="49"/>
  <c r="F144" i="50"/>
  <c r="C313" i="50"/>
  <c r="E105" i="50"/>
  <c r="C190" i="50"/>
  <c r="D278" i="50"/>
  <c r="E21" i="50"/>
  <c r="C256" i="49"/>
  <c r="B284" i="49"/>
  <c r="H291" i="40"/>
  <c r="C232" i="50"/>
  <c r="B83" i="50"/>
  <c r="E48" i="50"/>
  <c r="E290" i="49"/>
  <c r="D109" i="50"/>
  <c r="F185" i="49"/>
  <c r="F327" i="50"/>
  <c r="E11" i="50"/>
  <c r="H67" i="50"/>
  <c r="B218" i="49"/>
  <c r="D77" i="50"/>
  <c r="C36" i="49"/>
  <c r="F329" i="50"/>
  <c r="C34" i="49"/>
  <c r="E186" i="49"/>
  <c r="B138" i="50"/>
  <c r="E199" i="50"/>
  <c r="H185" i="40"/>
  <c r="C158" i="49"/>
  <c r="E172" i="49"/>
  <c r="C235" i="50"/>
  <c r="B255" i="49"/>
  <c r="C202" i="49"/>
  <c r="D71" i="49"/>
  <c r="D49" i="50"/>
  <c r="B24" i="50"/>
  <c r="D223" i="50"/>
  <c r="B55" i="49"/>
  <c r="C331" i="50"/>
  <c r="B277" i="50"/>
  <c r="D337" i="50"/>
  <c r="H92" i="50"/>
  <c r="D14" i="50"/>
  <c r="B235" i="49"/>
  <c r="C365" i="50"/>
  <c r="B71" i="50"/>
  <c r="C332" i="50"/>
  <c r="B299" i="49"/>
  <c r="C322" i="49"/>
  <c r="H328" i="50"/>
  <c r="C39" i="49"/>
  <c r="B340" i="50"/>
  <c r="D20" i="50"/>
  <c r="D319" i="49"/>
  <c r="C346" i="50"/>
  <c r="C317" i="49"/>
  <c r="B248" i="49"/>
  <c r="B45" i="50"/>
  <c r="C76" i="49"/>
  <c r="D128" i="49"/>
  <c r="D26" i="50"/>
  <c r="E374" i="49"/>
  <c r="B294" i="50"/>
  <c r="B70" i="49"/>
  <c r="B254" i="49"/>
  <c r="C287" i="50"/>
  <c r="F245" i="49"/>
  <c r="C110" i="49"/>
  <c r="D238" i="50"/>
  <c r="H259" i="40"/>
  <c r="G285" i="50"/>
  <c r="F129" i="50"/>
  <c r="F223" i="49"/>
  <c r="D161" i="50"/>
  <c r="F28" i="49"/>
  <c r="C259" i="50"/>
  <c r="E113" i="49"/>
  <c r="D41" i="50"/>
  <c r="C277" i="50"/>
  <c r="E122" i="50"/>
  <c r="B140" i="49"/>
  <c r="D214" i="50"/>
  <c r="C173" i="50"/>
  <c r="B223" i="50"/>
  <c r="B48" i="49"/>
  <c r="B276" i="49"/>
  <c r="B363" i="49"/>
  <c r="D193" i="50"/>
  <c r="B264" i="50"/>
  <c r="C20" i="49"/>
  <c r="F213" i="50"/>
  <c r="H118" i="50"/>
  <c r="H193" i="40"/>
  <c r="E54" i="49"/>
  <c r="C126" i="50"/>
  <c r="D328" i="49"/>
  <c r="B268" i="50"/>
  <c r="B287" i="49"/>
  <c r="C183" i="50"/>
  <c r="C266" i="50"/>
  <c r="D103" i="49"/>
  <c r="E136" i="50"/>
  <c r="C163" i="50"/>
  <c r="B241" i="49"/>
  <c r="B102" i="50"/>
  <c r="C125" i="49"/>
  <c r="E194" i="50"/>
  <c r="B192" i="49"/>
  <c r="B13" i="50"/>
  <c r="C120" i="50"/>
  <c r="E347" i="49"/>
  <c r="C363" i="49"/>
  <c r="G243" i="50"/>
  <c r="E267" i="49"/>
  <c r="D192" i="49"/>
  <c r="B261" i="50"/>
  <c r="B356" i="50"/>
  <c r="B84" i="50"/>
  <c r="C47" i="49"/>
  <c r="C202" i="50"/>
  <c r="D248" i="50"/>
  <c r="F263" i="50"/>
  <c r="E217" i="50"/>
  <c r="C88" i="50"/>
  <c r="C138" i="50"/>
  <c r="C286" i="49"/>
  <c r="F303" i="49"/>
  <c r="E132" i="49"/>
  <c r="E19" i="49"/>
  <c r="B237" i="49"/>
  <c r="F166" i="49"/>
  <c r="D135" i="49"/>
  <c r="C68" i="49"/>
  <c r="D239" i="49"/>
  <c r="F65" i="50"/>
  <c r="C74" i="49"/>
  <c r="H77" i="40"/>
  <c r="E220" i="49"/>
  <c r="D233" i="50"/>
  <c r="C339" i="49"/>
  <c r="C209" i="50"/>
  <c r="E268" i="50"/>
  <c r="F213" i="49"/>
  <c r="B136" i="50"/>
  <c r="C46" i="49"/>
  <c r="E271" i="50"/>
  <c r="E218" i="49"/>
  <c r="E368" i="49"/>
  <c r="E103" i="49"/>
  <c r="D72" i="50"/>
  <c r="C147" i="50"/>
  <c r="D178" i="49"/>
  <c r="C294" i="49"/>
  <c r="F253" i="50"/>
  <c r="B319" i="50"/>
  <c r="E321" i="50"/>
  <c r="F19" i="49"/>
  <c r="D303" i="50"/>
  <c r="F337" i="49"/>
  <c r="B189" i="50"/>
  <c r="B184" i="49"/>
  <c r="C121" i="49"/>
  <c r="B329" i="50"/>
  <c r="C167" i="50"/>
  <c r="B246" i="50"/>
  <c r="D364" i="49"/>
  <c r="C15" i="49"/>
  <c r="E141" i="49"/>
  <c r="B298" i="50"/>
  <c r="B210" i="49"/>
  <c r="D70" i="49"/>
  <c r="F67" i="49"/>
  <c r="D215" i="49"/>
  <c r="F345" i="50"/>
  <c r="H94" i="40"/>
  <c r="E211" i="50"/>
  <c r="E306" i="49"/>
  <c r="G19" i="50"/>
  <c r="D60" i="49"/>
  <c r="F135" i="50"/>
  <c r="B60" i="50"/>
  <c r="B89" i="49"/>
  <c r="E353" i="50"/>
  <c r="C275" i="50"/>
  <c r="B185" i="50"/>
  <c r="B123" i="50"/>
  <c r="C265" i="50"/>
  <c r="G16" i="50"/>
  <c r="D294" i="50"/>
  <c r="C189" i="50"/>
  <c r="E165" i="49"/>
  <c r="B187" i="50"/>
  <c r="E159" i="49"/>
  <c r="G240" i="50"/>
  <c r="G163" i="50"/>
  <c r="F355" i="49"/>
  <c r="E113" i="50"/>
  <c r="E363" i="49"/>
  <c r="F63" i="49"/>
  <c r="D298" i="49"/>
  <c r="H28" i="40"/>
  <c r="B301" i="49"/>
  <c r="E143" i="50"/>
  <c r="D353" i="50"/>
  <c r="D241" i="50"/>
  <c r="H30" i="50"/>
  <c r="G238" i="50"/>
  <c r="E135" i="50"/>
  <c r="B168" i="49"/>
  <c r="B320" i="50"/>
  <c r="F244" i="49"/>
  <c r="E114" i="50"/>
  <c r="G319" i="50"/>
  <c r="B339" i="50"/>
  <c r="C227" i="49"/>
  <c r="H291" i="50"/>
  <c r="E191" i="49"/>
  <c r="C368" i="50"/>
  <c r="C114" i="50"/>
  <c r="F337" i="50"/>
  <c r="B372" i="50"/>
  <c r="G84" i="50"/>
  <c r="B87" i="49"/>
  <c r="C288" i="49"/>
  <c r="F112" i="49"/>
  <c r="D103" i="50"/>
  <c r="C313" i="49"/>
  <c r="B333" i="50"/>
  <c r="B42" i="50"/>
  <c r="C179" i="49"/>
  <c r="D40" i="49"/>
  <c r="B100" i="50"/>
  <c r="B72" i="49"/>
  <c r="D215" i="50"/>
  <c r="H254" i="40"/>
  <c r="H264" i="40"/>
  <c r="E25" i="50"/>
  <c r="H265" i="50"/>
  <c r="E338" i="50"/>
  <c r="H74" i="50"/>
  <c r="B331" i="49"/>
  <c r="D293" i="49"/>
  <c r="B172" i="49"/>
  <c r="E177" i="50"/>
  <c r="F85" i="49"/>
  <c r="B95" i="49"/>
  <c r="C326" i="49"/>
  <c r="B238" i="50"/>
  <c r="H199" i="40"/>
  <c r="F161" i="49"/>
  <c r="D347" i="50"/>
  <c r="D355" i="50"/>
  <c r="B240" i="49"/>
  <c r="B372" i="49"/>
  <c r="E332" i="50"/>
  <c r="F178" i="49"/>
  <c r="B344" i="49"/>
  <c r="G193" i="50"/>
  <c r="E134" i="49"/>
  <c r="C191" i="50"/>
  <c r="B300" i="50"/>
  <c r="E176" i="49"/>
  <c r="B241" i="50"/>
  <c r="H119" i="40"/>
  <c r="D120" i="49"/>
  <c r="C339" i="50"/>
  <c r="D330" i="49"/>
  <c r="F348" i="49"/>
  <c r="E163" i="49"/>
  <c r="C182" i="50"/>
  <c r="E181" i="50"/>
  <c r="F328" i="49"/>
  <c r="B220" i="50"/>
  <c r="C192" i="49"/>
  <c r="D309" i="49"/>
  <c r="D108" i="50"/>
  <c r="B166" i="50"/>
  <c r="D287" i="49"/>
  <c r="E232" i="49"/>
  <c r="F70" i="49"/>
  <c r="F47" i="50"/>
  <c r="H12" i="40"/>
  <c r="C136" i="49"/>
  <c r="C93" i="49"/>
  <c r="B88" i="49"/>
  <c r="E242" i="49"/>
  <c r="F62" i="49"/>
  <c r="B182" i="49"/>
  <c r="F94" i="50"/>
  <c r="B208" i="50"/>
  <c r="B313" i="50"/>
  <c r="E209" i="50"/>
  <c r="E29" i="49"/>
  <c r="E290" i="50"/>
  <c r="E212" i="50"/>
  <c r="F57" i="50"/>
  <c r="B226" i="49"/>
  <c r="E311" i="50"/>
  <c r="D309" i="50"/>
  <c r="D358" i="50"/>
  <c r="G338" i="50"/>
  <c r="D261" i="49"/>
  <c r="F207" i="49"/>
  <c r="C181" i="49"/>
  <c r="C254" i="49"/>
  <c r="B108" i="49"/>
  <c r="G37" i="50"/>
  <c r="E255" i="49"/>
  <c r="E147" i="50"/>
  <c r="E30" i="49"/>
  <c r="E46" i="49"/>
  <c r="F299" i="49"/>
  <c r="C28" i="49"/>
  <c r="B232" i="50"/>
  <c r="D206" i="49"/>
  <c r="B90" i="49"/>
  <c r="D195" i="50"/>
  <c r="C191" i="49"/>
  <c r="C16" i="49"/>
  <c r="E111" i="50"/>
  <c r="H208" i="40"/>
  <c r="F265" i="49"/>
  <c r="F282" i="50"/>
  <c r="D363" i="49"/>
  <c r="D146" i="50"/>
  <c r="H369" i="50"/>
  <c r="C225" i="50"/>
  <c r="E106" i="49"/>
  <c r="E337" i="49"/>
  <c r="D165" i="50"/>
  <c r="C173" i="49"/>
  <c r="F211" i="49"/>
  <c r="B323" i="49"/>
  <c r="E325" i="49"/>
  <c r="E367" i="50"/>
  <c r="C253" i="49"/>
  <c r="C47" i="50"/>
  <c r="C154" i="49"/>
  <c r="D217" i="49"/>
  <c r="C160" i="50"/>
  <c r="E119" i="50"/>
  <c r="F31" i="50"/>
  <c r="G40" i="50"/>
  <c r="H246" i="50"/>
  <c r="B130" i="50"/>
  <c r="C26" i="49"/>
  <c r="E203" i="49"/>
  <c r="B303" i="49"/>
  <c r="D193" i="49"/>
  <c r="B243" i="50"/>
  <c r="C281" i="50"/>
  <c r="E28" i="50"/>
  <c r="E221" i="49"/>
  <c r="E59" i="49"/>
  <c r="C274" i="50"/>
  <c r="C25" i="49"/>
  <c r="B27" i="49"/>
  <c r="C101" i="50"/>
  <c r="C76" i="50"/>
  <c r="B106" i="49"/>
  <c r="B59" i="49"/>
  <c r="F369" i="49"/>
  <c r="F30" i="50"/>
  <c r="E76" i="49"/>
  <c r="D89" i="50"/>
  <c r="D188" i="49"/>
  <c r="H120" i="50"/>
  <c r="E77" i="50"/>
  <c r="D368" i="49"/>
  <c r="H163" i="40"/>
  <c r="D294" i="49"/>
  <c r="E237" i="49"/>
  <c r="C92" i="50"/>
  <c r="D357" i="49"/>
  <c r="B199" i="50"/>
  <c r="D231" i="50"/>
  <c r="H367" i="50"/>
  <c r="D350" i="50"/>
  <c r="D362" i="49"/>
  <c r="G286" i="50"/>
  <c r="C61" i="50"/>
  <c r="B170" i="49"/>
  <c r="H277" i="40"/>
  <c r="E17" i="50"/>
  <c r="D317" i="49"/>
  <c r="C348" i="50"/>
  <c r="B140" i="50"/>
  <c r="D44" i="50"/>
  <c r="B322" i="50"/>
  <c r="C208" i="50"/>
  <c r="C337" i="50"/>
  <c r="E139" i="50"/>
  <c r="F60" i="49"/>
  <c r="B228" i="49"/>
  <c r="B366" i="49"/>
  <c r="E164" i="49"/>
  <c r="H56" i="40"/>
  <c r="B194" i="50"/>
  <c r="D52" i="50"/>
  <c r="B50" i="50"/>
  <c r="E217" i="49"/>
  <c r="H286" i="40"/>
  <c r="F219" i="49"/>
  <c r="C155" i="50"/>
  <c r="B269" i="49"/>
  <c r="B307" i="50"/>
  <c r="E365" i="49"/>
  <c r="E35" i="50"/>
  <c r="D188" i="50"/>
  <c r="F11" i="49"/>
  <c r="D239" i="50"/>
  <c r="D300" i="50"/>
  <c r="D334" i="49"/>
  <c r="D219" i="50"/>
  <c r="D144" i="49"/>
  <c r="E190" i="50"/>
  <c r="F360" i="50"/>
  <c r="D328" i="50"/>
  <c r="E202" i="49"/>
  <c r="C122" i="49"/>
  <c r="C71" i="50"/>
  <c r="F11" i="50"/>
  <c r="D342" i="50"/>
  <c r="D335" i="50"/>
  <c r="C361" i="50"/>
  <c r="F361" i="50"/>
  <c r="B254" i="50"/>
  <c r="F371" i="49"/>
  <c r="B270" i="49"/>
  <c r="C256" i="50"/>
  <c r="B368" i="49"/>
  <c r="B278" i="49"/>
  <c r="E59" i="50"/>
  <c r="E33" i="49"/>
  <c r="D192" i="50"/>
  <c r="D24" i="50"/>
  <c r="C67" i="50"/>
  <c r="D162" i="50"/>
  <c r="G248" i="50"/>
  <c r="B136" i="49"/>
  <c r="F103" i="49"/>
  <c r="E234" i="50"/>
  <c r="H325" i="40"/>
  <c r="D245" i="50"/>
  <c r="C75" i="50"/>
  <c r="B200" i="50"/>
  <c r="G194" i="50"/>
  <c r="C222" i="49"/>
  <c r="D164" i="49"/>
  <c r="E13" i="50"/>
  <c r="E247" i="50"/>
  <c r="D365" i="50"/>
  <c r="E138" i="50"/>
  <c r="B43" i="50"/>
  <c r="E165" i="50"/>
  <c r="B296" i="50"/>
  <c r="D199" i="50"/>
  <c r="D307" i="50"/>
  <c r="D87" i="50"/>
  <c r="F112" i="50"/>
  <c r="C259" i="49"/>
  <c r="D351" i="50"/>
  <c r="F82" i="49"/>
  <c r="F290" i="50"/>
  <c r="G130" i="50"/>
  <c r="E88" i="50"/>
  <c r="C222" i="50"/>
  <c r="E71" i="50"/>
  <c r="C262" i="50"/>
  <c r="E149" i="50"/>
  <c r="B357" i="50"/>
  <c r="E142" i="50"/>
  <c r="B97" i="49"/>
  <c r="D213" i="50"/>
  <c r="C132" i="50"/>
  <c r="B34" i="50"/>
  <c r="C51" i="50"/>
  <c r="B161" i="50"/>
  <c r="C304" i="50"/>
  <c r="D110" i="50"/>
  <c r="E196" i="50"/>
  <c r="D118" i="50"/>
  <c r="D323" i="49"/>
  <c r="G270" i="50"/>
  <c r="C242" i="49"/>
  <c r="F370" i="50"/>
  <c r="C263" i="49"/>
  <c r="B62" i="50"/>
  <c r="B288" i="50"/>
  <c r="E89" i="49"/>
  <c r="C170" i="50"/>
  <c r="D348" i="50"/>
  <c r="E365" i="50"/>
  <c r="E292" i="50"/>
  <c r="C171" i="50"/>
  <c r="E26" i="50"/>
  <c r="F18" i="49"/>
  <c r="E341" i="50"/>
  <c r="E158" i="50"/>
  <c r="C99" i="50"/>
  <c r="F262" i="49"/>
  <c r="F39" i="50"/>
  <c r="B220" i="49"/>
  <c r="B33" i="50"/>
  <c r="B275" i="49"/>
  <c r="C97" i="50"/>
  <c r="B118" i="50"/>
  <c r="E324" i="50"/>
  <c r="C240" i="49"/>
  <c r="D226" i="50"/>
  <c r="D38" i="49"/>
  <c r="C43" i="49"/>
  <c r="B127" i="49"/>
  <c r="F241" i="49"/>
  <c r="D87" i="49"/>
  <c r="E101" i="50"/>
  <c r="B188" i="49"/>
  <c r="E261" i="50"/>
  <c r="B162" i="50"/>
  <c r="C201" i="50"/>
  <c r="C325" i="49"/>
  <c r="C188" i="49"/>
  <c r="E224" i="49"/>
  <c r="C247" i="49"/>
  <c r="B168" i="50"/>
  <c r="D134" i="50"/>
  <c r="C249" i="50"/>
  <c r="E23" i="50"/>
  <c r="E272" i="49"/>
  <c r="C358" i="50"/>
  <c r="H134" i="50"/>
  <c r="G106" i="50"/>
  <c r="D334" i="50"/>
  <c r="E155" i="49"/>
  <c r="B115" i="50"/>
  <c r="C236" i="50"/>
  <c r="C116" i="50"/>
  <c r="B63" i="50"/>
  <c r="F347" i="49"/>
  <c r="B177" i="50"/>
  <c r="B245" i="49"/>
  <c r="B30" i="49"/>
  <c r="D12" i="50"/>
  <c r="C353" i="49"/>
  <c r="D222" i="49"/>
  <c r="F319" i="50"/>
  <c r="B133" i="49"/>
  <c r="C268" i="50"/>
  <c r="B212" i="50"/>
  <c r="F236" i="49"/>
  <c r="B135" i="49"/>
  <c r="B253" i="49"/>
  <c r="B252" i="50"/>
  <c r="D54" i="49"/>
  <c r="C179" i="50"/>
  <c r="F202" i="50"/>
  <c r="B99" i="49"/>
  <c r="E16" i="49"/>
  <c r="D122" i="49"/>
  <c r="D338" i="50"/>
  <c r="B315" i="49"/>
  <c r="C285" i="50"/>
  <c r="B290" i="49"/>
  <c r="B74" i="50"/>
  <c r="E168" i="49"/>
  <c r="D258" i="50"/>
  <c r="B283" i="50"/>
  <c r="B19" i="50"/>
  <c r="E152" i="49"/>
  <c r="B85" i="50"/>
  <c r="D271" i="50"/>
  <c r="B269" i="50"/>
  <c r="F201" i="49"/>
  <c r="C115" i="49"/>
  <c r="C217" i="50"/>
  <c r="C319" i="50"/>
  <c r="C231" i="49"/>
  <c r="E60" i="49"/>
  <c r="B346" i="50"/>
  <c r="B124" i="50"/>
  <c r="E371" i="50"/>
  <c r="H220" i="50"/>
  <c r="B84" i="49"/>
  <c r="D246" i="50"/>
  <c r="E279" i="49"/>
  <c r="C35" i="49"/>
  <c r="F210" i="49"/>
  <c r="D201" i="50"/>
  <c r="D86" i="50"/>
  <c r="D251" i="50"/>
  <c r="C48" i="49"/>
  <c r="D38" i="50"/>
  <c r="C22" i="50"/>
  <c r="D170" i="50"/>
  <c r="D122" i="50"/>
  <c r="F224" i="50"/>
  <c r="H90" i="40"/>
  <c r="B158" i="49"/>
  <c r="B276" i="50"/>
  <c r="D30" i="50"/>
  <c r="C371" i="49"/>
  <c r="E209" i="49"/>
  <c r="D247" i="50"/>
  <c r="B131" i="50"/>
  <c r="B16" i="50"/>
  <c r="E323" i="50"/>
  <c r="F128" i="49"/>
  <c r="E54" i="50"/>
  <c r="B295" i="49"/>
  <c r="E130" i="50"/>
  <c r="C305" i="50"/>
  <c r="B169" i="50"/>
  <c r="F80" i="49"/>
  <c r="G178" i="50"/>
  <c r="B52" i="50"/>
  <c r="E161" i="49"/>
  <c r="E366" i="49"/>
  <c r="D315" i="49"/>
  <c r="D61" i="49"/>
  <c r="D64" i="50"/>
  <c r="B198" i="49"/>
  <c r="B61" i="49"/>
  <c r="D66" i="49"/>
  <c r="E256" i="50"/>
  <c r="E338" i="49"/>
  <c r="D229" i="50"/>
  <c r="B352" i="49"/>
  <c r="B306" i="50"/>
  <c r="C153" i="50"/>
  <c r="H306" i="40"/>
  <c r="D363" i="50"/>
  <c r="F331" i="50"/>
  <c r="D277" i="50"/>
  <c r="D64" i="49"/>
  <c r="F253" i="49"/>
  <c r="C309" i="50"/>
  <c r="H331" i="50"/>
  <c r="E314" i="50"/>
  <c r="B209" i="50"/>
  <c r="C360" i="50"/>
  <c r="D321" i="49"/>
  <c r="D282" i="49"/>
  <c r="H15" i="50"/>
  <c r="E305" i="50"/>
  <c r="F34" i="50"/>
  <c r="D333" i="50"/>
  <c r="F260" i="49"/>
  <c r="D101" i="50"/>
  <c r="C342" i="50"/>
  <c r="E45" i="49"/>
  <c r="D206" i="50"/>
  <c r="C143" i="50"/>
  <c r="B323" i="50"/>
  <c r="B370" i="50"/>
  <c r="C90" i="50"/>
  <c r="C57" i="50"/>
  <c r="C159" i="49"/>
  <c r="B151" i="49"/>
  <c r="F151" i="49"/>
  <c r="D13" i="50"/>
  <c r="E138" i="49"/>
  <c r="E286" i="50"/>
  <c r="D121" i="50"/>
  <c r="B247" i="50"/>
  <c r="H361" i="40"/>
  <c r="F179" i="49"/>
  <c r="E370" i="49"/>
  <c r="B263" i="49"/>
  <c r="D208" i="50"/>
  <c r="C80" i="49"/>
  <c r="B190" i="50"/>
  <c r="C251" i="50"/>
  <c r="H374" i="40"/>
  <c r="F246" i="50"/>
  <c r="C270" i="50"/>
  <c r="F173" i="49"/>
  <c r="E280" i="49"/>
  <c r="H48" i="50"/>
  <c r="E93" i="50"/>
  <c r="B80" i="49"/>
  <c r="D344" i="50"/>
  <c r="C290" i="50"/>
  <c r="C258" i="50"/>
  <c r="D290" i="50"/>
  <c r="D153" i="50"/>
  <c r="E362" i="49"/>
  <c r="C154" i="50"/>
  <c r="E58" i="49"/>
  <c r="D286" i="49"/>
  <c r="C267" i="50"/>
  <c r="E275" i="50"/>
  <c r="H105" i="50"/>
  <c r="B173" i="50"/>
  <c r="D180" i="50"/>
  <c r="B367" i="49"/>
  <c r="B143" i="49"/>
  <c r="E131" i="50"/>
  <c r="C227" i="50"/>
  <c r="C19" i="49"/>
  <c r="E374" i="50"/>
  <c r="G125" i="50"/>
  <c r="C208" i="49"/>
  <c r="E38" i="50"/>
  <c r="C109" i="50"/>
  <c r="C19" i="50"/>
  <c r="E302" i="49"/>
  <c r="C318" i="50"/>
  <c r="D154" i="50"/>
  <c r="E158" i="49"/>
  <c r="E270" i="50"/>
  <c r="C189" i="49"/>
  <c r="F281" i="49"/>
  <c r="B57" i="50"/>
  <c r="B371" i="49"/>
  <c r="B192" i="50"/>
  <c r="E372" i="50"/>
  <c r="F210" i="50"/>
  <c r="C166" i="50"/>
  <c r="B42" i="49"/>
  <c r="D339" i="49"/>
  <c r="B95" i="50"/>
  <c r="B266" i="50"/>
  <c r="F196" i="49"/>
  <c r="D168" i="50"/>
  <c r="BH384" i="42" l="1"/>
  <c r="BH388" i="42"/>
  <c r="BH389" i="42" s="1"/>
  <c r="BH380" i="42"/>
  <c r="BH385" i="42"/>
  <c r="BH383" i="42"/>
  <c r="BH379" i="42"/>
  <c r="BH387" i="42"/>
  <c r="BH386" i="42"/>
  <c r="BG379" i="42"/>
  <c r="BG383" i="42"/>
  <c r="BG387" i="42"/>
  <c r="BG386" i="42"/>
  <c r="BG388" i="42"/>
  <c r="BG389" i="42" s="1"/>
  <c r="BG384" i="42"/>
  <c r="BG385" i="42"/>
  <c r="BG380" i="42"/>
  <c r="BK386" i="42"/>
  <c r="BK380" i="42"/>
  <c r="BK383" i="42"/>
  <c r="BK384" i="42"/>
  <c r="BK387" i="42"/>
  <c r="BK385" i="42"/>
  <c r="BK379" i="42"/>
  <c r="BK388" i="42"/>
  <c r="BK389" i="42" s="1"/>
  <c r="BJ387" i="42"/>
  <c r="BJ384" i="42"/>
  <c r="BJ379" i="42"/>
  <c r="BJ386" i="42"/>
  <c r="BJ380" i="42"/>
  <c r="BJ385" i="42"/>
  <c r="BJ388" i="42"/>
  <c r="BJ389" i="42" s="1"/>
  <c r="BJ383" i="42"/>
  <c r="BI387" i="42"/>
  <c r="BI379" i="42"/>
  <c r="BI385" i="42"/>
  <c r="BI386" i="42"/>
  <c r="BI388" i="42"/>
  <c r="BI389" i="42" s="1"/>
  <c r="BI384" i="42"/>
  <c r="BI380" i="42"/>
  <c r="BI383" i="42"/>
  <c r="AW31" i="38"/>
  <c r="AX31" i="38"/>
  <c r="AV31" i="38"/>
  <c r="AU33" i="38"/>
  <c r="AT32" i="38"/>
  <c r="AW32" i="38" l="1"/>
  <c r="AX32" i="38"/>
  <c r="AV32" i="38"/>
  <c r="AT33" i="38"/>
  <c r="AU34" i="38"/>
  <c r="AX33" i="38" l="1"/>
  <c r="AW33" i="38"/>
  <c r="AV33" i="38"/>
  <c r="AU35" i="38"/>
  <c r="AT34" i="38"/>
  <c r="AW34" i="38" l="1"/>
  <c r="AX34" i="38"/>
  <c r="AV34" i="38"/>
  <c r="AU36" i="38"/>
  <c r="AT35" i="38"/>
  <c r="AW35" i="38" l="1"/>
  <c r="AV35" i="38"/>
  <c r="AX35" i="38"/>
  <c r="AU37" i="38"/>
  <c r="AT36" i="38"/>
  <c r="B66" i="43"/>
  <c r="C296" i="43"/>
  <c r="D182" i="40"/>
  <c r="G71" i="43"/>
  <c r="O248" i="43"/>
  <c r="D281" i="43"/>
  <c r="C138" i="40"/>
  <c r="N325" i="43"/>
  <c r="C179" i="43"/>
  <c r="F339" i="43"/>
  <c r="O152" i="43"/>
  <c r="E163" i="43"/>
  <c r="K256" i="43"/>
  <c r="M98" i="43"/>
  <c r="M37" i="43"/>
  <c r="D198" i="43"/>
  <c r="H77" i="43"/>
  <c r="I19" i="43"/>
  <c r="F335" i="40"/>
  <c r="K174" i="43"/>
  <c r="P138" i="43"/>
  <c r="O87" i="43"/>
  <c r="AE307" i="42"/>
  <c r="E183" i="43"/>
  <c r="H159" i="43"/>
  <c r="E99" i="43"/>
  <c r="K374" i="43"/>
  <c r="G49" i="43"/>
  <c r="P136" i="43"/>
  <c r="G151" i="43"/>
  <c r="AE129" i="42"/>
  <c r="N250" i="43"/>
  <c r="I368" i="43"/>
  <c r="M77" i="43"/>
  <c r="C352" i="43"/>
  <c r="D289" i="43"/>
  <c r="F86" i="40"/>
  <c r="D265" i="43"/>
  <c r="O310" i="43"/>
  <c r="N311" i="43"/>
  <c r="J314" i="43"/>
  <c r="G311" i="40"/>
  <c r="I329" i="43"/>
  <c r="H286" i="43"/>
  <c r="G206" i="43"/>
  <c r="P185" i="43"/>
  <c r="N56" i="43"/>
  <c r="AE346" i="42"/>
  <c r="F75" i="43"/>
  <c r="L109" i="43"/>
  <c r="L284" i="43"/>
  <c r="M279" i="43"/>
  <c r="L176" i="43"/>
  <c r="G44" i="43"/>
  <c r="P59" i="43"/>
  <c r="B238" i="43"/>
  <c r="L243" i="43"/>
  <c r="D16" i="43"/>
  <c r="K349" i="43"/>
  <c r="L92" i="43"/>
  <c r="H134" i="43"/>
  <c r="N329" i="43"/>
  <c r="C40" i="43"/>
  <c r="M255" i="43"/>
  <c r="N159" i="43"/>
  <c r="B346" i="43"/>
  <c r="P228" i="43"/>
  <c r="G145" i="43"/>
  <c r="C37" i="43"/>
  <c r="E110" i="43"/>
  <c r="I30" i="43"/>
  <c r="I142" i="43"/>
  <c r="F347" i="43"/>
  <c r="G156" i="43"/>
  <c r="L98" i="43"/>
  <c r="D233" i="43"/>
  <c r="C153" i="43"/>
  <c r="D242" i="43"/>
  <c r="D179" i="43"/>
  <c r="O335" i="43"/>
  <c r="L314" i="43"/>
  <c r="C34" i="43"/>
  <c r="C215" i="43"/>
  <c r="M173" i="43"/>
  <c r="E25" i="43"/>
  <c r="D155" i="40"/>
  <c r="M242" i="43"/>
  <c r="K220" i="43"/>
  <c r="I364" i="43"/>
  <c r="J185" i="43"/>
  <c r="D341" i="40"/>
  <c r="F267" i="43"/>
  <c r="P160" i="43"/>
  <c r="Y257" i="42"/>
  <c r="O268" i="43"/>
  <c r="K109" i="43"/>
  <c r="K132" i="43"/>
  <c r="P106" i="43"/>
  <c r="E238" i="43"/>
  <c r="I283" i="43"/>
  <c r="J91" i="43"/>
  <c r="E188" i="43"/>
  <c r="B244" i="43"/>
  <c r="G117" i="40"/>
  <c r="D328" i="43"/>
  <c r="F16" i="43"/>
  <c r="N151" i="43"/>
  <c r="F201" i="43"/>
  <c r="F138" i="40"/>
  <c r="J364" i="43"/>
  <c r="C25" i="43"/>
  <c r="N191" i="43"/>
  <c r="G208" i="43"/>
  <c r="O232" i="43"/>
  <c r="AE320" i="42"/>
  <c r="G302" i="43"/>
  <c r="I173" i="43"/>
  <c r="D206" i="43"/>
  <c r="P261" i="43"/>
  <c r="E90" i="43"/>
  <c r="D60" i="43"/>
  <c r="I348" i="43"/>
  <c r="M214" i="43"/>
  <c r="J68" i="43"/>
  <c r="L140" i="43"/>
  <c r="G131" i="43"/>
  <c r="M253" i="43"/>
  <c r="G249" i="40"/>
  <c r="D332" i="43"/>
  <c r="K365" i="43"/>
  <c r="K242" i="43"/>
  <c r="I16" i="43"/>
  <c r="F91" i="43"/>
  <c r="L171" i="43"/>
  <c r="F265" i="40"/>
  <c r="B37" i="43"/>
  <c r="L103" i="43"/>
  <c r="M18" i="43"/>
  <c r="K146" i="43"/>
  <c r="J176" i="43"/>
  <c r="D353" i="43"/>
  <c r="O340" i="43"/>
  <c r="E313" i="40"/>
  <c r="M146" i="43"/>
  <c r="M345" i="43"/>
  <c r="C123" i="43"/>
  <c r="P58" i="43"/>
  <c r="D54" i="44"/>
  <c r="B130" i="40"/>
  <c r="E267" i="43"/>
  <c r="N314" i="43"/>
  <c r="M20" i="43"/>
  <c r="F308" i="40"/>
  <c r="M331" i="43"/>
  <c r="O128" i="43"/>
  <c r="D375" i="43"/>
  <c r="D160" i="43"/>
  <c r="M121" i="43"/>
  <c r="B266" i="40"/>
  <c r="I106" i="43"/>
  <c r="O369" i="43"/>
  <c r="B328" i="43"/>
  <c r="P39" i="43"/>
  <c r="F244" i="40"/>
  <c r="H105" i="43"/>
  <c r="F238" i="40"/>
  <c r="I328" i="43"/>
  <c r="M239" i="43"/>
  <c r="F77" i="43"/>
  <c r="D121" i="43"/>
  <c r="J356" i="43"/>
  <c r="F205" i="40"/>
  <c r="L97" i="43"/>
  <c r="L356" i="43"/>
  <c r="D105" i="40"/>
  <c r="M147" i="43"/>
  <c r="K90" i="43"/>
  <c r="I202" i="43"/>
  <c r="M102" i="43"/>
  <c r="BP373" i="42"/>
  <c r="AK292" i="42"/>
  <c r="L30" i="43"/>
  <c r="G65" i="43"/>
  <c r="D347" i="43"/>
  <c r="K221" i="43"/>
  <c r="P318" i="43"/>
  <c r="F209" i="40"/>
  <c r="P154" i="43"/>
  <c r="H206" i="43"/>
  <c r="L31" i="43"/>
  <c r="N65" i="43"/>
  <c r="O119" i="43"/>
  <c r="C174" i="40"/>
  <c r="G373" i="43"/>
  <c r="G110" i="43"/>
  <c r="C114" i="43"/>
  <c r="F157" i="43"/>
  <c r="I169" i="43"/>
  <c r="P181" i="43"/>
  <c r="C230" i="43"/>
  <c r="I266" i="43"/>
  <c r="G235" i="40"/>
  <c r="G74" i="43"/>
  <c r="K21" i="43"/>
  <c r="J234" i="43"/>
  <c r="F49" i="43"/>
  <c r="B279" i="43"/>
  <c r="D277" i="40"/>
  <c r="B241" i="43"/>
  <c r="E123" i="40"/>
  <c r="D204" i="40"/>
  <c r="I295" i="43"/>
  <c r="B286" i="43"/>
  <c r="E153" i="43"/>
  <c r="J77" i="43"/>
  <c r="F276" i="40"/>
  <c r="I181" i="43"/>
  <c r="B217" i="43"/>
  <c r="B77" i="43"/>
  <c r="D143" i="43"/>
  <c r="F88" i="40"/>
  <c r="P66" i="43"/>
  <c r="L50" i="43"/>
  <c r="N88" i="43"/>
  <c r="I166" i="43"/>
  <c r="D114" i="40"/>
  <c r="J325" i="43"/>
  <c r="L288" i="43"/>
  <c r="E29" i="40"/>
  <c r="B179" i="43"/>
  <c r="N118" i="43"/>
  <c r="B189" i="43"/>
  <c r="O141" i="43"/>
  <c r="J369" i="43"/>
  <c r="M257" i="43"/>
  <c r="B166" i="40"/>
  <c r="P289" i="43"/>
  <c r="D281" i="40"/>
  <c r="M319" i="43"/>
  <c r="F332" i="43"/>
  <c r="G169" i="43"/>
  <c r="AK138" i="42"/>
  <c r="N128" i="43"/>
  <c r="M166" i="43"/>
  <c r="K203" i="43"/>
  <c r="K25" i="43"/>
  <c r="B350" i="43"/>
  <c r="C197" i="43"/>
  <c r="H132" i="43"/>
  <c r="N271" i="43"/>
  <c r="D57" i="43"/>
  <c r="I201" i="43"/>
  <c r="E117" i="43"/>
  <c r="K235" i="43"/>
  <c r="J144" i="43"/>
  <c r="E236" i="43"/>
  <c r="C232" i="43"/>
  <c r="N258" i="43"/>
  <c r="L253" i="43"/>
  <c r="N222" i="43"/>
  <c r="N231" i="43"/>
  <c r="N280" i="43"/>
  <c r="AK369" i="42"/>
  <c r="O314" i="43"/>
  <c r="H91" i="43"/>
  <c r="G329" i="43"/>
  <c r="D15" i="43"/>
  <c r="M291" i="43"/>
  <c r="D208" i="43"/>
  <c r="N80" i="43"/>
  <c r="C92" i="43"/>
  <c r="P241" i="43"/>
  <c r="G292" i="43"/>
  <c r="K136" i="43"/>
  <c r="E346" i="43"/>
  <c r="E42" i="40"/>
  <c r="G282" i="43"/>
  <c r="J246" i="43"/>
  <c r="K40" i="43"/>
  <c r="G241" i="40"/>
  <c r="K333" i="43"/>
  <c r="D363" i="43"/>
  <c r="C339" i="43"/>
  <c r="F222" i="40"/>
  <c r="K42" i="43"/>
  <c r="B118" i="43"/>
  <c r="B108" i="43"/>
  <c r="M158" i="43"/>
  <c r="I187" i="43"/>
  <c r="B38" i="40"/>
  <c r="D211" i="40"/>
  <c r="Y40" i="42"/>
  <c r="I32" i="43"/>
  <c r="P273" i="43"/>
  <c r="G73" i="40"/>
  <c r="L328" i="43"/>
  <c r="M48" i="43"/>
  <c r="H180" i="43"/>
  <c r="F244" i="43"/>
  <c r="L270" i="43"/>
  <c r="D77" i="43"/>
  <c r="H275" i="43"/>
  <c r="B292" i="43"/>
  <c r="J178" i="43"/>
  <c r="C82" i="43"/>
  <c r="E126" i="43"/>
  <c r="F164" i="40"/>
  <c r="AK104" i="42"/>
  <c r="L178" i="43"/>
  <c r="F167" i="43"/>
  <c r="C50" i="43"/>
  <c r="F195" i="43"/>
  <c r="D25" i="40"/>
  <c r="J256" i="43"/>
  <c r="P300" i="43"/>
  <c r="I87" i="43"/>
  <c r="C84" i="40"/>
  <c r="P275" i="43"/>
  <c r="B150" i="43"/>
  <c r="B278" i="43"/>
  <c r="C269" i="43"/>
  <c r="H182" i="43"/>
  <c r="O265" i="43"/>
  <c r="O85" i="43"/>
  <c r="K239" i="43"/>
  <c r="D346" i="43"/>
  <c r="BP141" i="42"/>
  <c r="O253" i="43"/>
  <c r="J61" i="43"/>
  <c r="F290" i="43"/>
  <c r="I50" i="43"/>
  <c r="I139" i="43"/>
  <c r="H269" i="43"/>
  <c r="B244" i="40"/>
  <c r="P351" i="43"/>
  <c r="B275" i="43"/>
  <c r="N74" i="43"/>
  <c r="C120" i="43"/>
  <c r="AK18" i="42"/>
  <c r="D330" i="43"/>
  <c r="L234" i="43"/>
  <c r="M240" i="43"/>
  <c r="K57" i="43"/>
  <c r="B78" i="43"/>
  <c r="F331" i="40"/>
  <c r="C302" i="43"/>
  <c r="L261" i="43"/>
  <c r="P70" i="43"/>
  <c r="I116" i="43"/>
  <c r="P278" i="43"/>
  <c r="P49" i="43"/>
  <c r="G372" i="43"/>
  <c r="M122" i="43"/>
  <c r="B307" i="40"/>
  <c r="K192" i="43"/>
  <c r="E232" i="43"/>
  <c r="M111" i="43"/>
  <c r="J348" i="43"/>
  <c r="E308" i="43"/>
  <c r="O122" i="43"/>
  <c r="D102" i="43"/>
  <c r="O103" i="43"/>
  <c r="H268" i="43"/>
  <c r="AE303" i="42"/>
  <c r="C285" i="40"/>
  <c r="M225" i="43"/>
  <c r="D239" i="43"/>
  <c r="L278" i="43"/>
  <c r="E291" i="43"/>
  <c r="N361" i="43"/>
  <c r="K287" i="43"/>
  <c r="L128" i="43"/>
  <c r="M184" i="43"/>
  <c r="O24" i="43"/>
  <c r="L99" i="43"/>
  <c r="M165" i="43"/>
  <c r="D137" i="40"/>
  <c r="L335" i="43"/>
  <c r="G84" i="40"/>
  <c r="AE218" i="42"/>
  <c r="O213" i="43"/>
  <c r="P141" i="43"/>
  <c r="G305" i="43"/>
  <c r="L285" i="43"/>
  <c r="L277" i="43"/>
  <c r="E193" i="40"/>
  <c r="M213" i="43"/>
  <c r="E222" i="43"/>
  <c r="D138" i="40"/>
  <c r="B188" i="43"/>
  <c r="D316" i="43"/>
  <c r="E60" i="43"/>
  <c r="I182" i="43"/>
  <c r="G109" i="43"/>
  <c r="L248" i="43"/>
  <c r="O113" i="43"/>
  <c r="O165" i="43"/>
  <c r="P97" i="43"/>
  <c r="N30" i="43"/>
  <c r="G306" i="43"/>
  <c r="G281" i="40"/>
  <c r="N64" i="43"/>
  <c r="G234" i="40"/>
  <c r="B101" i="43"/>
  <c r="G270" i="43"/>
  <c r="M208" i="43"/>
  <c r="B306" i="43"/>
  <c r="K87" i="43"/>
  <c r="J277" i="43"/>
  <c r="M132" i="43"/>
  <c r="L249" i="43"/>
  <c r="E151" i="43"/>
  <c r="L127" i="43"/>
  <c r="P190" i="43"/>
  <c r="B135" i="43"/>
  <c r="G306" i="40"/>
  <c r="L34" i="43"/>
  <c r="F343" i="40"/>
  <c r="L184" i="43"/>
  <c r="C47" i="43"/>
  <c r="F20" i="40"/>
  <c r="L137" i="43"/>
  <c r="G66" i="43"/>
  <c r="C57" i="43"/>
  <c r="C115" i="43"/>
  <c r="D351" i="43"/>
  <c r="C301" i="43"/>
  <c r="J358" i="43"/>
  <c r="P230" i="43"/>
  <c r="G184" i="43"/>
  <c r="N373" i="43"/>
  <c r="I54" i="43"/>
  <c r="H305" i="43"/>
  <c r="Y302" i="42"/>
  <c r="K121" i="43"/>
  <c r="C332" i="43"/>
  <c r="C180" i="43"/>
  <c r="L232" i="43"/>
  <c r="F94" i="43"/>
  <c r="C75" i="43"/>
  <c r="C74" i="43"/>
  <c r="J360" i="43"/>
  <c r="I282" i="43"/>
  <c r="H115" i="43"/>
  <c r="P182" i="43"/>
  <c r="O97" i="43"/>
  <c r="P192" i="43"/>
  <c r="I269" i="43"/>
  <c r="G46" i="43"/>
  <c r="F71" i="43"/>
  <c r="J148" i="43"/>
  <c r="M231" i="43"/>
  <c r="D97" i="43"/>
  <c r="C140" i="43"/>
  <c r="F292" i="43"/>
  <c r="H21" i="43"/>
  <c r="H61" i="43"/>
  <c r="L298" i="43"/>
  <c r="B265" i="40"/>
  <c r="M64" i="43"/>
  <c r="G326" i="40"/>
  <c r="H183" i="43"/>
  <c r="D318" i="43"/>
  <c r="Y84" i="42"/>
  <c r="B281" i="43"/>
  <c r="O134" i="43"/>
  <c r="P134" i="43"/>
  <c r="H20" i="43"/>
  <c r="L286" i="43"/>
  <c r="P94" i="43"/>
  <c r="K93" i="43"/>
  <c r="O195" i="43"/>
  <c r="C189" i="43"/>
  <c r="E172" i="40"/>
  <c r="B331" i="40"/>
  <c r="D244" i="43"/>
  <c r="M339" i="43"/>
  <c r="J153" i="43"/>
  <c r="O23" i="43"/>
  <c r="I277" i="43"/>
  <c r="K290" i="43"/>
  <c r="J40" i="43"/>
  <c r="K331" i="43"/>
  <c r="H245" i="43"/>
  <c r="N107" i="43"/>
  <c r="P48" i="43"/>
  <c r="D313" i="43"/>
  <c r="D174" i="43"/>
  <c r="B273" i="43"/>
  <c r="D256" i="43"/>
  <c r="E256" i="43"/>
  <c r="J161" i="43"/>
  <c r="H125" i="43"/>
  <c r="I175" i="43"/>
  <c r="G127" i="43"/>
  <c r="E246" i="40"/>
  <c r="B358" i="43"/>
  <c r="AK111" i="42"/>
  <c r="M120" i="43"/>
  <c r="G279" i="43"/>
  <c r="E129" i="43"/>
  <c r="B160" i="43"/>
  <c r="F101" i="43"/>
  <c r="J297" i="43"/>
  <c r="E106" i="43"/>
  <c r="O298" i="43"/>
  <c r="AE44" i="42"/>
  <c r="B174" i="40"/>
  <c r="G287" i="43"/>
  <c r="M29" i="43"/>
  <c r="E48" i="43"/>
  <c r="K193" i="43"/>
  <c r="O207" i="43"/>
  <c r="O176" i="43"/>
  <c r="C321" i="43"/>
  <c r="K261" i="43"/>
  <c r="L368" i="43"/>
  <c r="F181" i="43"/>
  <c r="O75" i="43"/>
  <c r="L46" i="43"/>
  <c r="C51" i="43"/>
  <c r="C65" i="43"/>
  <c r="B56" i="43"/>
  <c r="I362" i="43"/>
  <c r="P210" i="43"/>
  <c r="D327" i="43"/>
  <c r="C172" i="43"/>
  <c r="G86" i="43"/>
  <c r="G300" i="43"/>
  <c r="M72" i="43"/>
  <c r="L74" i="43"/>
  <c r="K292" i="43"/>
  <c r="N79" i="43"/>
  <c r="E126" i="40"/>
  <c r="P27" i="43"/>
  <c r="C188" i="43"/>
  <c r="E257" i="43"/>
  <c r="F227" i="40"/>
  <c r="G143" i="43"/>
  <c r="G75" i="43"/>
  <c r="J350" i="43"/>
  <c r="H261" i="43"/>
  <c r="M298" i="43"/>
  <c r="B79" i="43"/>
  <c r="M317" i="43"/>
  <c r="K190" i="43"/>
  <c r="D92" i="43"/>
  <c r="F14" i="43"/>
  <c r="P355" i="43"/>
  <c r="G313" i="43"/>
  <c r="I203" i="43"/>
  <c r="K309" i="43"/>
  <c r="I149" i="43"/>
  <c r="Y170" i="42"/>
  <c r="D35" i="43"/>
  <c r="P35" i="43"/>
  <c r="I193" i="43"/>
  <c r="J179" i="43"/>
  <c r="L245" i="43"/>
  <c r="N103" i="43"/>
  <c r="F224" i="40"/>
  <c r="K227" i="43"/>
  <c r="K209" i="43"/>
  <c r="P337" i="43"/>
  <c r="N154" i="43"/>
  <c r="P240" i="43"/>
  <c r="I191" i="43"/>
  <c r="B298" i="43"/>
  <c r="Y55" i="42"/>
  <c r="E324" i="43"/>
  <c r="B268" i="43"/>
  <c r="I138" i="43"/>
  <c r="E54" i="43"/>
  <c r="P342" i="43"/>
  <c r="O36" i="43"/>
  <c r="C101" i="43"/>
  <c r="M144" i="43"/>
  <c r="N26" i="43"/>
  <c r="E122" i="43"/>
  <c r="D312" i="40"/>
  <c r="N33" i="43"/>
  <c r="C374" i="43"/>
  <c r="E202" i="43"/>
  <c r="C266" i="40"/>
  <c r="F47" i="43"/>
  <c r="E295" i="40"/>
  <c r="J166" i="43"/>
  <c r="O20" i="43"/>
  <c r="F272" i="43"/>
  <c r="P101" i="43"/>
  <c r="K218" i="43"/>
  <c r="I311" i="43"/>
  <c r="E128" i="43"/>
  <c r="AE212" i="42"/>
  <c r="F230" i="43"/>
  <c r="M236" i="43"/>
  <c r="J181" i="43"/>
  <c r="O249" i="43"/>
  <c r="O201" i="43"/>
  <c r="M65" i="43"/>
  <c r="D86" i="43"/>
  <c r="F238" i="43"/>
  <c r="D308" i="43"/>
  <c r="B192" i="43"/>
  <c r="I265" i="43"/>
  <c r="J366" i="43"/>
  <c r="H11" i="43"/>
  <c r="N21" i="43"/>
  <c r="O109" i="43"/>
  <c r="F349" i="40"/>
  <c r="K343" i="43"/>
  <c r="H151" i="43"/>
  <c r="C105" i="43"/>
  <c r="J34" i="43"/>
  <c r="I36" i="43"/>
  <c r="M333" i="43"/>
  <c r="H355" i="43"/>
  <c r="G340" i="43"/>
  <c r="E229" i="43"/>
  <c r="D75" i="40"/>
  <c r="D262" i="43"/>
  <c r="I68" i="43"/>
  <c r="K145" i="43"/>
  <c r="P150" i="43"/>
  <c r="I64" i="43"/>
  <c r="D358" i="43"/>
  <c r="B122" i="43"/>
  <c r="B288" i="40"/>
  <c r="L169" i="43"/>
  <c r="L266" i="43"/>
  <c r="N234" i="43"/>
  <c r="B363" i="43"/>
  <c r="H51" i="43"/>
  <c r="D47" i="43"/>
  <c r="E93" i="43"/>
  <c r="C61" i="43"/>
  <c r="O48" i="43"/>
  <c r="C287" i="43"/>
  <c r="C317" i="43"/>
  <c r="C146" i="43"/>
  <c r="M154" i="43"/>
  <c r="L213" i="43"/>
  <c r="J25" i="43"/>
  <c r="M199" i="43"/>
  <c r="D49" i="43"/>
  <c r="D15" i="40"/>
  <c r="O88" i="43"/>
  <c r="C367" i="43"/>
  <c r="H25" i="43"/>
  <c r="P254" i="43"/>
  <c r="H247" i="43"/>
  <c r="H252" i="43"/>
  <c r="M237" i="43"/>
  <c r="E281" i="43"/>
  <c r="E173" i="43"/>
  <c r="I209" i="43"/>
  <c r="P243" i="43"/>
  <c r="D291" i="43"/>
  <c r="G301" i="40"/>
  <c r="N289" i="43"/>
  <c r="C336" i="43"/>
  <c r="G315" i="40"/>
  <c r="K212" i="43"/>
  <c r="K191" i="43"/>
  <c r="P268" i="43"/>
  <c r="G241" i="43"/>
  <c r="F254" i="43"/>
  <c r="M375" i="43"/>
  <c r="O156" i="43"/>
  <c r="C125" i="43"/>
  <c r="G103" i="43"/>
  <c r="P324" i="43"/>
  <c r="K205" i="43"/>
  <c r="J278" i="43"/>
  <c r="B223" i="43"/>
  <c r="P227" i="43"/>
  <c r="O163" i="43"/>
  <c r="G143" i="40"/>
  <c r="F99" i="43"/>
  <c r="M220" i="43"/>
  <c r="L115" i="43"/>
  <c r="D66" i="43"/>
  <c r="E309" i="43"/>
  <c r="B97" i="43"/>
  <c r="E239" i="43"/>
  <c r="C161" i="43"/>
  <c r="C340" i="43"/>
  <c r="N176" i="43"/>
  <c r="F226" i="43"/>
  <c r="G117" i="43"/>
  <c r="N220" i="43"/>
  <c r="L235" i="43"/>
  <c r="P332" i="43"/>
  <c r="H265" i="43"/>
  <c r="C233" i="43"/>
  <c r="K280" i="43"/>
  <c r="I130" i="43"/>
  <c r="H102" i="43"/>
  <c r="D228" i="40"/>
  <c r="H288" i="43"/>
  <c r="L244" i="43"/>
  <c r="L233" i="43"/>
  <c r="C366" i="43"/>
  <c r="G240" i="43"/>
  <c r="B362" i="43"/>
  <c r="B122" i="40"/>
  <c r="G23" i="43"/>
  <c r="B161" i="40"/>
  <c r="K338" i="43"/>
  <c r="G104" i="40"/>
  <c r="B277" i="43"/>
  <c r="H202" i="43"/>
  <c r="J337" i="43"/>
  <c r="M356" i="43"/>
  <c r="H373" i="43"/>
  <c r="H208" i="43"/>
  <c r="B317" i="43"/>
  <c r="K197" i="43"/>
  <c r="AK334" i="42"/>
  <c r="C58" i="43"/>
  <c r="H22" i="43"/>
  <c r="P233" i="43"/>
  <c r="M260" i="43"/>
  <c r="E304" i="43"/>
  <c r="C308" i="43"/>
  <c r="P302" i="43"/>
  <c r="S132" i="42"/>
  <c r="L281" i="43"/>
  <c r="P374" i="43"/>
  <c r="H23" i="43"/>
  <c r="B80" i="43"/>
  <c r="I33" i="43"/>
  <c r="C229" i="43"/>
  <c r="M268" i="43"/>
  <c r="D20" i="43"/>
  <c r="G346" i="43"/>
  <c r="H26" i="43"/>
  <c r="K183" i="43"/>
  <c r="E52" i="40"/>
  <c r="F175" i="40"/>
  <c r="B61" i="43"/>
  <c r="F219" i="43"/>
  <c r="B92" i="43"/>
  <c r="D321" i="43"/>
  <c r="K336" i="43"/>
  <c r="G226" i="40"/>
  <c r="L272" i="43"/>
  <c r="G36" i="43"/>
  <c r="L54" i="43"/>
  <c r="K228" i="43"/>
  <c r="B190" i="43"/>
  <c r="O266" i="43"/>
  <c r="N330" i="43"/>
  <c r="H140" i="43"/>
  <c r="H160" i="43"/>
  <c r="E17" i="43"/>
  <c r="P239" i="43"/>
  <c r="Y156" i="42"/>
  <c r="B75" i="43"/>
  <c r="F235" i="43"/>
  <c r="D45" i="43"/>
  <c r="K63" i="43"/>
  <c r="D116" i="43"/>
  <c r="I304" i="43"/>
  <c r="N196" i="43"/>
  <c r="J206" i="43"/>
  <c r="AE116" i="42"/>
  <c r="F87" i="43"/>
  <c r="K30" i="43"/>
  <c r="P372" i="43"/>
  <c r="I316" i="43"/>
  <c r="M183" i="43"/>
  <c r="E189" i="43"/>
  <c r="I107" i="43"/>
  <c r="D232" i="40"/>
  <c r="G33" i="43"/>
  <c r="E187" i="43"/>
  <c r="D271" i="40"/>
  <c r="D268" i="43"/>
  <c r="P288" i="43"/>
  <c r="L192" i="43"/>
  <c r="L267" i="43"/>
  <c r="C278" i="43"/>
  <c r="O86" i="43"/>
  <c r="M282" i="43"/>
  <c r="E133" i="43"/>
  <c r="D152" i="43"/>
  <c r="O211" i="43"/>
  <c r="I44" i="43"/>
  <c r="G103" i="40"/>
  <c r="D323" i="43"/>
  <c r="N98" i="43"/>
  <c r="E277" i="40"/>
  <c r="L75" i="43"/>
  <c r="I334" i="43"/>
  <c r="M73" i="43"/>
  <c r="F310" i="43"/>
  <c r="B198" i="43"/>
  <c r="B209" i="43"/>
  <c r="B183" i="43"/>
  <c r="G252" i="40"/>
  <c r="I293" i="43"/>
  <c r="H111" i="43"/>
  <c r="O222" i="43"/>
  <c r="P218" i="43"/>
  <c r="D170" i="40"/>
  <c r="J211" i="43"/>
  <c r="M151" i="43"/>
  <c r="G178" i="43"/>
  <c r="J260" i="43"/>
  <c r="C53" i="43"/>
  <c r="D314" i="43"/>
  <c r="F302" i="43"/>
  <c r="L58" i="43"/>
  <c r="I317" i="43"/>
  <c r="Y53" i="42"/>
  <c r="B213" i="43"/>
  <c r="K44" i="43"/>
  <c r="N29" i="43"/>
  <c r="M247" i="43"/>
  <c r="C283" i="43"/>
  <c r="N247" i="43"/>
  <c r="N23" i="43"/>
  <c r="B273" i="40"/>
  <c r="J119" i="43"/>
  <c r="C33" i="40"/>
  <c r="AE145" i="42"/>
  <c r="M254" i="43"/>
  <c r="I53" i="43"/>
  <c r="M34" i="43"/>
  <c r="C134" i="43"/>
  <c r="G140" i="43"/>
  <c r="N105" i="43"/>
  <c r="N226" i="43"/>
  <c r="B57" i="40"/>
  <c r="I97" i="43"/>
  <c r="G209" i="43"/>
  <c r="D149" i="43"/>
  <c r="E109" i="43"/>
  <c r="O238" i="43"/>
  <c r="O182" i="43"/>
  <c r="H225" i="43"/>
  <c r="P244" i="43"/>
  <c r="O330" i="43"/>
  <c r="H79" i="43"/>
  <c r="E246" i="43"/>
  <c r="E360" i="43"/>
  <c r="E79" i="40"/>
  <c r="I111" i="43"/>
  <c r="C227" i="43"/>
  <c r="J70" i="43"/>
  <c r="F277" i="43"/>
  <c r="G325" i="43"/>
  <c r="L150" i="43"/>
  <c r="E72" i="40"/>
  <c r="K89" i="43"/>
  <c r="B70" i="40"/>
  <c r="C20" i="43"/>
  <c r="J195" i="43"/>
  <c r="E158" i="43"/>
  <c r="P349" i="43"/>
  <c r="M116" i="43"/>
  <c r="N336" i="43"/>
  <c r="E214" i="43"/>
  <c r="S111" i="42"/>
  <c r="O304" i="43"/>
  <c r="F112" i="40"/>
  <c r="F57" i="40"/>
  <c r="G60" i="43"/>
  <c r="E96" i="43"/>
  <c r="D171" i="43"/>
  <c r="G87" i="43"/>
  <c r="L168" i="43"/>
  <c r="N148" i="43"/>
  <c r="F274" i="40"/>
  <c r="F15" i="43"/>
  <c r="M55" i="43"/>
  <c r="H236" i="43"/>
  <c r="I133" i="43"/>
  <c r="E319" i="43"/>
  <c r="D41" i="43"/>
  <c r="J291" i="43"/>
  <c r="H98" i="43"/>
  <c r="AK153" i="42"/>
  <c r="H309" i="43"/>
  <c r="E204" i="40"/>
  <c r="L210" i="43"/>
  <c r="I360" i="43"/>
  <c r="G341" i="43"/>
  <c r="F97" i="43"/>
  <c r="E286" i="43"/>
  <c r="E65" i="43"/>
  <c r="O177" i="43"/>
  <c r="B285" i="43"/>
  <c r="J154" i="43"/>
  <c r="D246" i="43"/>
  <c r="B334" i="43"/>
  <c r="J324" i="43"/>
  <c r="F205" i="43"/>
  <c r="F36" i="43"/>
  <c r="D98" i="40"/>
  <c r="D62" i="43"/>
  <c r="G52" i="43"/>
  <c r="G171" i="43"/>
  <c r="J157" i="43"/>
  <c r="K97" i="43"/>
  <c r="J160" i="43"/>
  <c r="J373" i="43"/>
  <c r="H166" i="43"/>
  <c r="D141" i="43"/>
  <c r="M204" i="43"/>
  <c r="P153" i="43"/>
  <c r="J138" i="43"/>
  <c r="K293" i="43"/>
  <c r="O324" i="43"/>
  <c r="O289" i="43"/>
  <c r="P65" i="43"/>
  <c r="F79" i="40"/>
  <c r="F122" i="40"/>
  <c r="M95" i="43"/>
  <c r="M87" i="43"/>
  <c r="E294" i="43"/>
  <c r="I243" i="43"/>
  <c r="D51" i="43"/>
  <c r="L199" i="43"/>
  <c r="N72" i="43"/>
  <c r="O35" i="43"/>
  <c r="D99" i="43"/>
  <c r="M150" i="43"/>
  <c r="J49" i="43"/>
  <c r="H121" i="43"/>
  <c r="G116" i="43"/>
  <c r="BQ354" i="42"/>
  <c r="C63" i="40"/>
  <c r="C33" i="43"/>
  <c r="L322" i="43"/>
  <c r="D90" i="43"/>
  <c r="C254" i="43"/>
  <c r="M367" i="43"/>
  <c r="F371" i="43"/>
  <c r="M182" i="43"/>
  <c r="G157" i="40"/>
  <c r="D279" i="40"/>
  <c r="G32" i="43"/>
  <c r="E259" i="43"/>
  <c r="J88" i="43"/>
  <c r="L43" i="43"/>
  <c r="M143" i="43"/>
  <c r="Y350" i="42"/>
  <c r="B233" i="43"/>
  <c r="N44" i="43"/>
  <c r="G166" i="43"/>
  <c r="E48" i="40"/>
  <c r="H339" i="43"/>
  <c r="D46" i="43"/>
  <c r="M160" i="43"/>
  <c r="L224" i="43"/>
  <c r="B322" i="40"/>
  <c r="N130" i="43"/>
  <c r="P260" i="43"/>
  <c r="O73" i="43"/>
  <c r="D126" i="43"/>
  <c r="E166" i="43"/>
  <c r="H72" i="43"/>
  <c r="N168" i="43"/>
  <c r="B249" i="43"/>
  <c r="C171" i="40"/>
  <c r="D212" i="40"/>
  <c r="B200" i="43"/>
  <c r="I335" i="43"/>
  <c r="M97" i="43"/>
  <c r="F263" i="43"/>
  <c r="M157" i="43"/>
  <c r="M342" i="43"/>
  <c r="N216" i="43"/>
  <c r="D219" i="43"/>
  <c r="N270" i="43"/>
  <c r="C375" i="43"/>
  <c r="D150" i="43"/>
  <c r="I262" i="43"/>
  <c r="L254" i="43"/>
  <c r="D163" i="40"/>
  <c r="D371" i="43"/>
  <c r="K68" i="43"/>
  <c r="D214" i="43"/>
  <c r="K180" i="43"/>
  <c r="E172" i="43"/>
  <c r="O293" i="43"/>
  <c r="F354" i="40"/>
  <c r="D150" i="40"/>
  <c r="J16" i="43"/>
  <c r="C144" i="43"/>
  <c r="M145" i="43"/>
  <c r="P234" i="43"/>
  <c r="N227" i="43"/>
  <c r="K51" i="43"/>
  <c r="J45" i="43"/>
  <c r="G104" i="43"/>
  <c r="F370" i="40"/>
  <c r="I84" i="43"/>
  <c r="B22" i="43"/>
  <c r="D356" i="43"/>
  <c r="K34" i="43"/>
  <c r="C177" i="43"/>
  <c r="D154" i="43"/>
  <c r="D17" i="43"/>
  <c r="P161" i="43"/>
  <c r="L275" i="43"/>
  <c r="M159" i="43"/>
  <c r="C186" i="43"/>
  <c r="S295" i="42"/>
  <c r="P341" i="43"/>
  <c r="D36" i="43"/>
  <c r="H154" i="43"/>
  <c r="I302" i="43"/>
  <c r="L136" i="43"/>
  <c r="P264" i="43"/>
  <c r="B89" i="43"/>
  <c r="O143" i="43"/>
  <c r="B93" i="43"/>
  <c r="J116" i="43"/>
  <c r="O57" i="43"/>
  <c r="F152" i="43"/>
  <c r="L83" i="43"/>
  <c r="N274" i="43"/>
  <c r="J331" i="43"/>
  <c r="E156" i="43"/>
  <c r="D85" i="40"/>
  <c r="K84" i="43"/>
  <c r="C309" i="43"/>
  <c r="B303" i="43"/>
  <c r="H101" i="43"/>
  <c r="B45" i="43"/>
  <c r="F363" i="43"/>
  <c r="I315" i="43"/>
  <c r="I86" i="43"/>
  <c r="E223" i="43"/>
  <c r="O171" i="43"/>
  <c r="E252" i="43"/>
  <c r="P336" i="43"/>
  <c r="O241" i="43"/>
  <c r="M103" i="43"/>
  <c r="K269" i="43"/>
  <c r="AX11" i="42"/>
  <c r="F108" i="43"/>
  <c r="P204" i="43"/>
  <c r="C88" i="43"/>
  <c r="D133" i="43"/>
  <c r="N263" i="43"/>
  <c r="I290" i="43"/>
  <c r="L225" i="43"/>
  <c r="C263" i="43"/>
  <c r="C326" i="40"/>
  <c r="D122" i="40"/>
  <c r="J59" i="43"/>
  <c r="K196" i="43"/>
  <c r="P108" i="43"/>
  <c r="O153" i="43"/>
  <c r="G217" i="43"/>
  <c r="Y249" i="42"/>
  <c r="M234" i="43"/>
  <c r="N306" i="43"/>
  <c r="G318" i="43"/>
  <c r="I278" i="43"/>
  <c r="I314" i="43"/>
  <c r="C153" i="40"/>
  <c r="M112" i="43"/>
  <c r="C158" i="43"/>
  <c r="G215" i="43"/>
  <c r="K48" i="43"/>
  <c r="L53" i="43"/>
  <c r="I253" i="43"/>
  <c r="L21" i="43"/>
  <c r="L301" i="43"/>
  <c r="M24" i="43"/>
  <c r="B169" i="40"/>
  <c r="F89" i="43"/>
  <c r="J317" i="43"/>
  <c r="K156" i="43"/>
  <c r="E58" i="43"/>
  <c r="N277" i="43"/>
  <c r="F114" i="43"/>
  <c r="E143" i="43"/>
  <c r="I281" i="43"/>
  <c r="J318" i="43"/>
  <c r="S272" i="42"/>
  <c r="E312" i="43"/>
  <c r="J27" i="43"/>
  <c r="N57" i="43"/>
  <c r="M135" i="43"/>
  <c r="H199" i="43"/>
  <c r="E369" i="40"/>
  <c r="F74" i="43"/>
  <c r="C129" i="43"/>
  <c r="G274" i="40"/>
  <c r="B35" i="43"/>
  <c r="B59" i="43"/>
  <c r="B74" i="43"/>
  <c r="N37" i="43"/>
  <c r="C113" i="40"/>
  <c r="S96" i="42"/>
  <c r="P103" i="43"/>
  <c r="K243" i="43"/>
  <c r="B152" i="43"/>
  <c r="K284" i="43"/>
  <c r="D51" i="40"/>
  <c r="L198" i="43"/>
  <c r="E154" i="40"/>
  <c r="F118" i="43"/>
  <c r="D120" i="43"/>
  <c r="K297" i="43"/>
  <c r="P100" i="43"/>
  <c r="C355" i="43"/>
  <c r="P129" i="43"/>
  <c r="I247" i="43"/>
  <c r="H316" i="43"/>
  <c r="F65" i="43"/>
  <c r="C358" i="43"/>
  <c r="C325" i="43"/>
  <c r="M201" i="43"/>
  <c r="H144" i="43"/>
  <c r="J192" i="43"/>
  <c r="H240" i="43"/>
  <c r="G158" i="43"/>
  <c r="G162" i="43"/>
  <c r="I190" i="43"/>
  <c r="C294" i="43"/>
  <c r="P283" i="43"/>
  <c r="H43" i="43"/>
  <c r="N47" i="43"/>
  <c r="D44" i="40"/>
  <c r="D368" i="40"/>
  <c r="B76" i="43"/>
  <c r="J199" i="43"/>
  <c r="F371" i="40"/>
  <c r="O83" i="43"/>
  <c r="K246" i="43"/>
  <c r="C293" i="40"/>
  <c r="I43" i="43"/>
  <c r="D53" i="40"/>
  <c r="D52" i="43"/>
  <c r="G265" i="43"/>
  <c r="K133" i="43"/>
  <c r="O245" i="43"/>
  <c r="F203" i="43"/>
  <c r="P294" i="43"/>
  <c r="F340" i="43"/>
  <c r="M162" i="43"/>
  <c r="D357" i="43"/>
  <c r="G47" i="43"/>
  <c r="B102" i="43"/>
  <c r="G186" i="43"/>
  <c r="G25" i="43"/>
  <c r="F107" i="43"/>
  <c r="BR344" i="42"/>
  <c r="J345" i="43"/>
  <c r="N81" i="43"/>
  <c r="I151" i="43"/>
  <c r="M139" i="43"/>
  <c r="K224" i="43"/>
  <c r="N307" i="43"/>
  <c r="F212" i="43"/>
  <c r="M300" i="43"/>
  <c r="O197" i="43"/>
  <c r="C98" i="40"/>
  <c r="L175" i="43"/>
  <c r="H124" i="43"/>
  <c r="B321" i="43"/>
  <c r="B40" i="43"/>
  <c r="F178" i="40"/>
  <c r="P112" i="43"/>
  <c r="I21" i="43"/>
  <c r="B24" i="43"/>
  <c r="G247" i="43"/>
  <c r="D361" i="43"/>
  <c r="O60" i="43"/>
  <c r="F193" i="43"/>
  <c r="C276" i="43"/>
  <c r="G281" i="43"/>
  <c r="B280" i="43"/>
  <c r="E15" i="43"/>
  <c r="D296" i="43"/>
  <c r="M142" i="43"/>
  <c r="F51" i="43"/>
  <c r="L49" i="43"/>
  <c r="O375" i="43"/>
  <c r="N346" i="43"/>
  <c r="N177" i="43"/>
  <c r="N45" i="43"/>
  <c r="G92" i="43"/>
  <c r="B374" i="43"/>
  <c r="I89" i="43"/>
  <c r="O300" i="43"/>
  <c r="J258" i="43"/>
  <c r="N162" i="43"/>
  <c r="C152" i="43"/>
  <c r="C205" i="43"/>
  <c r="M206" i="43"/>
  <c r="P263" i="43"/>
  <c r="B174" i="43"/>
  <c r="F18" i="43"/>
  <c r="I38" i="43"/>
  <c r="E36" i="43"/>
  <c r="M198" i="43"/>
  <c r="O346" i="43"/>
  <c r="P193" i="43"/>
  <c r="C23" i="40"/>
  <c r="M174" i="43"/>
  <c r="I192" i="43"/>
  <c r="K305" i="43"/>
  <c r="L25" i="43"/>
  <c r="E60" i="40"/>
  <c r="F253" i="43"/>
  <c r="N296" i="43"/>
  <c r="E78" i="43"/>
  <c r="J240" i="43"/>
  <c r="B234" i="43"/>
  <c r="C67" i="40"/>
  <c r="I110" i="43"/>
  <c r="B140" i="43"/>
  <c r="F80" i="40"/>
  <c r="J344" i="43"/>
  <c r="H232" i="43"/>
  <c r="J363" i="43"/>
  <c r="L294" i="43"/>
  <c r="O188" i="43"/>
  <c r="I128" i="43"/>
  <c r="BR317" i="42"/>
  <c r="J327" i="43"/>
  <c r="K32" i="43"/>
  <c r="H99" i="43"/>
  <c r="G123" i="43"/>
  <c r="P353" i="43"/>
  <c r="G102" i="43"/>
  <c r="C363" i="43"/>
  <c r="C121" i="40"/>
  <c r="N269" i="43"/>
  <c r="F240" i="40"/>
  <c r="H74" i="43"/>
  <c r="O212" i="43"/>
  <c r="C35" i="43"/>
  <c r="E181" i="40"/>
  <c r="E50" i="43"/>
  <c r="H34" i="43"/>
  <c r="E164" i="43"/>
  <c r="E231" i="43"/>
  <c r="P276" i="43"/>
  <c r="F142" i="43"/>
  <c r="H321" i="43"/>
  <c r="N85" i="43"/>
  <c r="D345" i="40"/>
  <c r="G277" i="43"/>
  <c r="C262" i="43"/>
  <c r="M152" i="43"/>
  <c r="D106" i="43"/>
  <c r="B365" i="43"/>
  <c r="E338" i="43"/>
  <c r="B185" i="43"/>
  <c r="C78" i="43"/>
  <c r="K54" i="43"/>
  <c r="M172" i="43"/>
  <c r="N28" i="43"/>
  <c r="G253" i="40"/>
  <c r="K29" i="43"/>
  <c r="E303" i="43"/>
  <c r="B165" i="40"/>
  <c r="P151" i="43"/>
  <c r="C167" i="43"/>
  <c r="P175" i="43"/>
  <c r="C42" i="43"/>
  <c r="N223" i="43"/>
  <c r="H259" i="43"/>
  <c r="B178" i="43"/>
  <c r="C300" i="43"/>
  <c r="L185" i="43"/>
  <c r="B105" i="43"/>
  <c r="D275" i="43"/>
  <c r="H29" i="43"/>
  <c r="I46" i="43"/>
  <c r="E327" i="43"/>
  <c r="H38" i="43"/>
  <c r="O240" i="43"/>
  <c r="G200" i="40"/>
  <c r="C163" i="43"/>
  <c r="H58" i="43"/>
  <c r="D331" i="43"/>
  <c r="O273" i="43"/>
  <c r="P64" i="43"/>
  <c r="M128" i="43"/>
  <c r="L144" i="43"/>
  <c r="L81" i="43"/>
  <c r="F116" i="43"/>
  <c r="N60" i="43"/>
  <c r="N127" i="43"/>
  <c r="C117" i="43"/>
  <c r="I286" i="43"/>
  <c r="Y290" i="42"/>
  <c r="P80" i="43"/>
  <c r="G184" i="40"/>
  <c r="I261" i="43"/>
  <c r="I305" i="43"/>
  <c r="K120" i="43"/>
  <c r="B156" i="43"/>
  <c r="K60" i="43"/>
  <c r="D300" i="43"/>
  <c r="M126" i="43"/>
  <c r="E46" i="43"/>
  <c r="AE363" i="42"/>
  <c r="D265" i="40"/>
  <c r="I249" i="43"/>
  <c r="F186" i="43"/>
  <c r="K152" i="43"/>
  <c r="F281" i="43"/>
  <c r="P111" i="43"/>
  <c r="H172" i="43"/>
  <c r="I135" i="43"/>
  <c r="L119" i="43"/>
  <c r="J23" i="43"/>
  <c r="G359" i="43"/>
  <c r="K230" i="43"/>
  <c r="G107" i="43"/>
  <c r="P33" i="43"/>
  <c r="F357" i="43"/>
  <c r="B146" i="43"/>
  <c r="P118" i="43"/>
  <c r="K273" i="43"/>
  <c r="P354" i="43"/>
  <c r="J326" i="43"/>
  <c r="C206" i="43"/>
  <c r="N96" i="43"/>
  <c r="J170" i="43"/>
  <c r="B49" i="43"/>
  <c r="I215" i="43"/>
  <c r="G96" i="43"/>
  <c r="P51" i="43"/>
  <c r="K176" i="43"/>
  <c r="N287" i="43"/>
  <c r="L78" i="43"/>
  <c r="S80" i="42"/>
  <c r="G213" i="43"/>
  <c r="J308" i="43"/>
  <c r="O40" i="43"/>
  <c r="D362" i="43"/>
  <c r="H209" i="43"/>
  <c r="I145" i="43"/>
  <c r="E296" i="43"/>
  <c r="C26" i="40"/>
  <c r="H103" i="43"/>
  <c r="G375" i="40"/>
  <c r="B242" i="43"/>
  <c r="C334" i="43"/>
  <c r="O138" i="43"/>
  <c r="I104" i="43"/>
  <c r="G58" i="43"/>
  <c r="H54" i="43"/>
  <c r="P236" i="43"/>
  <c r="B249" i="40"/>
  <c r="L229" i="43"/>
  <c r="L121" i="43"/>
  <c r="E112" i="43"/>
  <c r="G269" i="43"/>
  <c r="P327" i="43"/>
  <c r="M62" i="43"/>
  <c r="E290" i="43"/>
  <c r="M58" i="43"/>
  <c r="K245" i="43"/>
  <c r="I101" i="43"/>
  <c r="P307" i="43"/>
  <c r="J255" i="43"/>
  <c r="F174" i="40"/>
  <c r="J352" i="43"/>
  <c r="M80" i="43"/>
  <c r="H364" i="43"/>
  <c r="F66" i="43"/>
  <c r="D213" i="40"/>
  <c r="P67" i="43"/>
  <c r="AE126" i="42"/>
  <c r="F283" i="43"/>
  <c r="F251" i="43"/>
  <c r="P186" i="43"/>
  <c r="E234" i="43"/>
  <c r="G35" i="43"/>
  <c r="B203" i="43"/>
  <c r="C248" i="43"/>
  <c r="J74" i="43"/>
  <c r="B296" i="43"/>
  <c r="D195" i="43"/>
  <c r="L63" i="43"/>
  <c r="P96" i="43"/>
  <c r="K18" i="43"/>
  <c r="N238" i="43"/>
  <c r="E265" i="43"/>
  <c r="B201" i="43"/>
  <c r="L108" i="43"/>
  <c r="L279" i="43"/>
  <c r="G130" i="43"/>
  <c r="J103" i="43"/>
  <c r="G293" i="40"/>
  <c r="B219" i="43"/>
  <c r="O282" i="43"/>
  <c r="D65" i="43"/>
  <c r="G41" i="40"/>
  <c r="C314" i="43"/>
  <c r="D191" i="40"/>
  <c r="H87" i="43"/>
  <c r="D209" i="43"/>
  <c r="C240" i="43"/>
  <c r="S39" i="42"/>
  <c r="B305" i="43"/>
  <c r="C44" i="40"/>
  <c r="J172" i="43"/>
  <c r="C277" i="43"/>
  <c r="D155" i="43"/>
  <c r="D117" i="43"/>
  <c r="H120" i="43"/>
  <c r="I108" i="43"/>
  <c r="B90" i="43"/>
  <c r="L221" i="43"/>
  <c r="K231" i="43"/>
  <c r="M187" i="43"/>
  <c r="E131" i="43"/>
  <c r="D248" i="43"/>
  <c r="G366" i="43"/>
  <c r="J29" i="43"/>
  <c r="C18" i="43"/>
  <c r="P211" i="43"/>
  <c r="H280" i="43"/>
  <c r="B33" i="43"/>
  <c r="J300" i="43"/>
  <c r="E95" i="43"/>
  <c r="N209" i="43"/>
  <c r="I58" i="43"/>
  <c r="J288" i="43"/>
  <c r="J242" i="43"/>
  <c r="AE50" i="42"/>
  <c r="P251" i="43"/>
  <c r="G224" i="43"/>
  <c r="E96" i="40"/>
  <c r="O344" i="43"/>
  <c r="D272" i="43"/>
  <c r="B128" i="43"/>
  <c r="E220" i="43"/>
  <c r="G316" i="40"/>
  <c r="J30" i="43"/>
  <c r="AK13" i="42"/>
  <c r="O366" i="43"/>
  <c r="B82" i="43"/>
  <c r="H235" i="43"/>
  <c r="P209" i="43"/>
  <c r="L124" i="43"/>
  <c r="C353" i="40"/>
  <c r="N219" i="43"/>
  <c r="E45" i="43"/>
  <c r="D84" i="43"/>
  <c r="P272" i="43"/>
  <c r="E307" i="43"/>
  <c r="H147" i="43"/>
  <c r="E16" i="43"/>
  <c r="C191" i="43"/>
  <c r="F104" i="43"/>
  <c r="K161" i="43"/>
  <c r="O292" i="43"/>
  <c r="D355" i="43"/>
  <c r="M266" i="43"/>
  <c r="H155" i="43"/>
  <c r="F312" i="40"/>
  <c r="F123" i="43"/>
  <c r="D96" i="40"/>
  <c r="G14" i="43"/>
  <c r="G228" i="43"/>
  <c r="N42" i="43"/>
  <c r="H17" i="43"/>
  <c r="C91" i="40"/>
  <c r="L320" i="43"/>
  <c r="C311" i="43"/>
  <c r="AE232" i="42"/>
  <c r="C54" i="43"/>
  <c r="L107" i="43"/>
  <c r="C261" i="43"/>
  <c r="J99" i="43"/>
  <c r="F72" i="40"/>
  <c r="D254" i="43"/>
  <c r="K350" i="43"/>
  <c r="K294" i="43"/>
  <c r="O311" i="43"/>
  <c r="O296" i="43"/>
  <c r="D136" i="40"/>
  <c r="L359" i="43"/>
  <c r="E262" i="40"/>
  <c r="P206" i="43"/>
  <c r="O320" i="43"/>
  <c r="H128" i="43"/>
  <c r="F167" i="40"/>
  <c r="M81" i="43"/>
  <c r="F231" i="40"/>
  <c r="H304" i="43"/>
  <c r="N178" i="43"/>
  <c r="H307" i="43"/>
  <c r="I214" i="43"/>
  <c r="L84" i="43"/>
  <c r="P157" i="43"/>
  <c r="F159" i="40"/>
  <c r="H220" i="43"/>
  <c r="B119" i="43"/>
  <c r="N84" i="43"/>
  <c r="J243" i="43"/>
  <c r="F140" i="40"/>
  <c r="BP197" i="42"/>
  <c r="D136" i="43"/>
  <c r="P98" i="43"/>
  <c r="B28" i="40"/>
  <c r="D153" i="40"/>
  <c r="G171" i="40"/>
  <c r="O129" i="43"/>
  <c r="I186" i="43"/>
  <c r="I144" i="43"/>
  <c r="G215" i="40"/>
  <c r="E302" i="43"/>
  <c r="BP329" i="42"/>
  <c r="J113" i="43"/>
  <c r="I41" i="43"/>
  <c r="C239" i="43"/>
  <c r="K195" i="43"/>
  <c r="J150" i="43"/>
  <c r="N77" i="43"/>
  <c r="M186" i="43"/>
  <c r="I81" i="43"/>
  <c r="O237" i="43"/>
  <c r="P258" i="43"/>
  <c r="I39" i="43"/>
  <c r="B102" i="40"/>
  <c r="B97" i="40"/>
  <c r="K162" i="43"/>
  <c r="B182" i="43"/>
  <c r="G110" i="40"/>
  <c r="J73" i="43"/>
  <c r="B260" i="43"/>
  <c r="D137" i="43"/>
  <c r="O258" i="43"/>
  <c r="E113" i="40"/>
  <c r="S101" i="42"/>
  <c r="I367" i="43"/>
  <c r="O291" i="43"/>
  <c r="E155" i="40"/>
  <c r="D226" i="43"/>
  <c r="J71" i="43"/>
  <c r="M341" i="43"/>
  <c r="I156" i="43"/>
  <c r="O80" i="43"/>
  <c r="E214" i="40"/>
  <c r="C309" i="40"/>
  <c r="E154" i="43"/>
  <c r="M153" i="43"/>
  <c r="G147" i="43"/>
  <c r="J106" i="43"/>
  <c r="P322" i="43"/>
  <c r="E175" i="43"/>
  <c r="AK22" i="42"/>
  <c r="E102" i="40"/>
  <c r="K81" i="43"/>
  <c r="O261" i="43"/>
  <c r="L358" i="43"/>
  <c r="H130" i="43"/>
  <c r="AK287" i="42"/>
  <c r="D336" i="40"/>
  <c r="J69" i="43"/>
  <c r="H28" i="43"/>
  <c r="AE65" i="42"/>
  <c r="P343" i="43"/>
  <c r="H176" i="43"/>
  <c r="B88" i="40"/>
  <c r="O148" i="43"/>
  <c r="N71" i="43"/>
  <c r="M30" i="43"/>
  <c r="J22" i="43"/>
  <c r="D115" i="43"/>
  <c r="F104" i="40"/>
  <c r="M69" i="43"/>
  <c r="B94" i="43"/>
  <c r="J262" i="43"/>
  <c r="E208" i="43"/>
  <c r="N139" i="43"/>
  <c r="AK355" i="42"/>
  <c r="G96" i="40"/>
  <c r="B107" i="43"/>
  <c r="S345" i="42"/>
  <c r="D64" i="43"/>
  <c r="Y300" i="42"/>
  <c r="D178" i="40"/>
  <c r="M328" i="43"/>
  <c r="N61" i="43"/>
  <c r="C181" i="43"/>
  <c r="F176" i="43"/>
  <c r="E34" i="43"/>
  <c r="AK285" i="42"/>
  <c r="I240" i="43"/>
  <c r="L113" i="43"/>
  <c r="P107" i="43"/>
  <c r="F331" i="43"/>
  <c r="G155" i="40"/>
  <c r="I235" i="43"/>
  <c r="E138" i="43"/>
  <c r="C108" i="43"/>
  <c r="G194" i="40"/>
  <c r="F265" i="43"/>
  <c r="G34" i="40"/>
  <c r="G142" i="43"/>
  <c r="H187" i="43"/>
  <c r="B107" i="40"/>
  <c r="O192" i="43"/>
  <c r="K56" i="43"/>
  <c r="AE342" i="42"/>
  <c r="E242" i="43"/>
  <c r="M297" i="43"/>
  <c r="D252" i="43"/>
  <c r="H143" i="43"/>
  <c r="O308" i="43"/>
  <c r="P370" i="43"/>
  <c r="D250" i="40"/>
  <c r="G81" i="43"/>
  <c r="K126" i="43"/>
  <c r="E82" i="43"/>
  <c r="BP187" i="42"/>
  <c r="J341" i="43"/>
  <c r="E49" i="40"/>
  <c r="H266" i="43"/>
  <c r="J332" i="43"/>
  <c r="I121" i="43"/>
  <c r="J302" i="43"/>
  <c r="D374" i="40"/>
  <c r="G170" i="43"/>
  <c r="N235" i="43"/>
  <c r="F92" i="43"/>
  <c r="E266" i="43"/>
  <c r="F239" i="40"/>
  <c r="O77" i="43"/>
  <c r="L236" i="43"/>
  <c r="G137" i="43"/>
  <c r="G154" i="43"/>
  <c r="K321" i="43"/>
  <c r="G138" i="40"/>
  <c r="H104" i="43"/>
  <c r="P335" i="43"/>
  <c r="F256" i="43"/>
  <c r="E168" i="40"/>
  <c r="S30" i="42"/>
  <c r="BQ104" i="42"/>
  <c r="BR368" i="42"/>
  <c r="D269" i="40"/>
  <c r="G113" i="43"/>
  <c r="F38" i="43"/>
  <c r="C19" i="40"/>
  <c r="D201" i="43"/>
  <c r="J115" i="43"/>
  <c r="D151" i="40"/>
  <c r="J89" i="43"/>
  <c r="D326" i="43"/>
  <c r="D166" i="40"/>
  <c r="F342" i="43"/>
  <c r="AK177" i="42"/>
  <c r="B176" i="43"/>
  <c r="M117" i="43"/>
  <c r="P293" i="43"/>
  <c r="S197" i="42"/>
  <c r="N207" i="43"/>
  <c r="G71" i="40"/>
  <c r="I143" i="43"/>
  <c r="P356" i="43"/>
  <c r="L216" i="43"/>
  <c r="K237" i="43"/>
  <c r="E282" i="43"/>
  <c r="G43" i="40"/>
  <c r="B319" i="40"/>
  <c r="I94" i="43"/>
  <c r="G248" i="43"/>
  <c r="G92" i="40"/>
  <c r="H366" i="43"/>
  <c r="I341" i="43"/>
  <c r="K33" i="43"/>
  <c r="E170" i="40"/>
  <c r="K200" i="43"/>
  <c r="B69" i="43"/>
  <c r="G183" i="43"/>
  <c r="C175" i="40"/>
  <c r="M163" i="43"/>
  <c r="M337" i="43"/>
  <c r="O116" i="43"/>
  <c r="B155" i="43"/>
  <c r="M219" i="43"/>
  <c r="M304" i="43"/>
  <c r="G251" i="43"/>
  <c r="F44" i="43"/>
  <c r="N327" i="43"/>
  <c r="I298" i="43"/>
  <c r="F221" i="43"/>
  <c r="G307" i="40"/>
  <c r="F319" i="43"/>
  <c r="O13" i="43"/>
  <c r="C208" i="43"/>
  <c r="F137" i="43"/>
  <c r="I244" i="43"/>
  <c r="E97" i="43"/>
  <c r="E65" i="40"/>
  <c r="L373" i="43"/>
  <c r="L336" i="43"/>
  <c r="M53" i="43"/>
  <c r="P326" i="43"/>
  <c r="K114" i="43"/>
  <c r="E193" i="43"/>
  <c r="E145" i="43"/>
  <c r="AK107" i="42"/>
  <c r="D113" i="43"/>
  <c r="K71" i="43"/>
  <c r="C255" i="43"/>
  <c r="I51" i="43"/>
  <c r="B338" i="43"/>
  <c r="I324" i="43"/>
  <c r="N55" i="43"/>
  <c r="D317" i="43"/>
  <c r="M320" i="43"/>
  <c r="P290" i="43"/>
  <c r="I312" i="43"/>
  <c r="AK108" i="42"/>
  <c r="G220" i="43"/>
  <c r="P36" i="43"/>
  <c r="D249" i="43"/>
  <c r="G303" i="40"/>
  <c r="B29" i="40"/>
  <c r="E275" i="43"/>
  <c r="S357" i="42"/>
  <c r="P130" i="43"/>
  <c r="F337" i="43"/>
  <c r="C137" i="43"/>
  <c r="C244" i="40"/>
  <c r="E177" i="40"/>
  <c r="K86" i="43"/>
  <c r="P148" i="43"/>
  <c r="O121" i="43"/>
  <c r="F307" i="40"/>
  <c r="C368" i="43"/>
  <c r="D223" i="43"/>
  <c r="H343" i="43"/>
  <c r="Y96" i="42"/>
  <c r="K308" i="43"/>
  <c r="B28" i="43"/>
  <c r="E343" i="43"/>
  <c r="J85" i="43"/>
  <c r="E77" i="43"/>
  <c r="Y224" i="42"/>
  <c r="H279" i="43"/>
  <c r="M107" i="43"/>
  <c r="D375" i="40"/>
  <c r="M305" i="43"/>
  <c r="E208" i="40"/>
  <c r="P303" i="43"/>
  <c r="F60" i="43"/>
  <c r="E216" i="43"/>
  <c r="D91" i="43"/>
  <c r="K151" i="43"/>
  <c r="C238" i="40"/>
  <c r="B46" i="43"/>
  <c r="F341" i="40"/>
  <c r="N225" i="43"/>
  <c r="G190" i="43"/>
  <c r="J86" i="43"/>
  <c r="N375" i="43"/>
  <c r="M124" i="43"/>
  <c r="E225" i="43"/>
  <c r="M38" i="43"/>
  <c r="G157" i="43"/>
  <c r="C267" i="43"/>
  <c r="F200" i="43"/>
  <c r="F45" i="43"/>
  <c r="P310" i="43"/>
  <c r="L56" i="43"/>
  <c r="N160" i="43"/>
  <c r="E268" i="43"/>
  <c r="G237" i="40"/>
  <c r="M130" i="43"/>
  <c r="C370" i="43"/>
  <c r="B124" i="43"/>
  <c r="P266" i="43"/>
  <c r="L302" i="43"/>
  <c r="I234" i="43"/>
  <c r="F246" i="40"/>
  <c r="D166" i="43"/>
  <c r="B45" i="40"/>
  <c r="D48" i="40"/>
  <c r="O206" i="43"/>
  <c r="N31" i="43"/>
  <c r="G244" i="43"/>
  <c r="H231" i="43"/>
  <c r="J194" i="43"/>
  <c r="C214" i="43"/>
  <c r="B197" i="43"/>
  <c r="D256" i="40"/>
  <c r="C70" i="43"/>
  <c r="G323" i="40"/>
  <c r="E280" i="43"/>
  <c r="L177" i="43"/>
  <c r="M215" i="43"/>
  <c r="L87" i="43"/>
  <c r="F50" i="43"/>
  <c r="B270" i="43"/>
  <c r="C218" i="43"/>
  <c r="K168" i="43"/>
  <c r="C268" i="40"/>
  <c r="H181" i="43"/>
  <c r="C292" i="43"/>
  <c r="B229" i="40"/>
  <c r="D270" i="43"/>
  <c r="B205" i="43"/>
  <c r="E278" i="43"/>
  <c r="P88" i="43"/>
  <c r="B369" i="43"/>
  <c r="B31" i="40"/>
  <c r="C202" i="40"/>
  <c r="L349" i="43"/>
  <c r="M277" i="43"/>
  <c r="G295" i="40"/>
  <c r="I52" i="43"/>
  <c r="E174" i="43"/>
  <c r="S141" i="42"/>
  <c r="AE158" i="42"/>
  <c r="C173" i="43"/>
  <c r="K49" i="43"/>
  <c r="H47" i="43"/>
  <c r="C217" i="43"/>
  <c r="G152" i="43"/>
  <c r="G69" i="40"/>
  <c r="B127" i="43"/>
  <c r="J141" i="43"/>
  <c r="F105" i="43"/>
  <c r="H195" i="43"/>
  <c r="P167" i="43"/>
  <c r="E313" i="43"/>
  <c r="S235" i="42"/>
  <c r="L334" i="43"/>
  <c r="K101" i="43"/>
  <c r="I71" i="43"/>
  <c r="G349" i="40"/>
  <c r="N256" i="43"/>
  <c r="C320" i="40"/>
  <c r="K188" i="43"/>
  <c r="M190" i="43"/>
  <c r="H333" i="43"/>
  <c r="H112" i="43"/>
  <c r="G48" i="43"/>
  <c r="L94" i="43"/>
  <c r="D128" i="43"/>
  <c r="F222" i="43"/>
  <c r="I27" i="43"/>
  <c r="P135" i="43"/>
  <c r="H273" i="43"/>
  <c r="S288" i="42"/>
  <c r="E244" i="43"/>
  <c r="F135" i="43"/>
  <c r="F52" i="40"/>
  <c r="G319" i="43"/>
  <c r="N43" i="43"/>
  <c r="C97" i="43"/>
  <c r="O137" i="43"/>
  <c r="E27" i="43"/>
  <c r="M293" i="43"/>
  <c r="C260" i="43"/>
  <c r="L132" i="43"/>
  <c r="K251" i="43"/>
  <c r="Y88" i="42"/>
  <c r="D206" i="40"/>
  <c r="P247" i="43"/>
  <c r="J135" i="43"/>
  <c r="B207" i="43"/>
  <c r="L106" i="43"/>
  <c r="L100" i="43"/>
  <c r="L157" i="43"/>
  <c r="C147" i="43"/>
  <c r="O105" i="43"/>
  <c r="H215" i="43"/>
  <c r="L76" i="43"/>
  <c r="L340" i="43"/>
  <c r="B53" i="43"/>
  <c r="D310" i="40"/>
  <c r="B281" i="40"/>
  <c r="I76" i="43"/>
  <c r="P281" i="43"/>
  <c r="M276" i="43"/>
  <c r="S189" i="42"/>
  <c r="E243" i="43"/>
  <c r="G141" i="43"/>
  <c r="E24" i="40"/>
  <c r="I242" i="43"/>
  <c r="E187" i="40"/>
  <c r="C247" i="43"/>
  <c r="F313" i="43"/>
  <c r="S71" i="42"/>
  <c r="H27" i="43"/>
  <c r="H146" i="43"/>
  <c r="M155" i="43"/>
  <c r="E138" i="40"/>
  <c r="G180" i="43"/>
  <c r="K39" i="43"/>
  <c r="B312" i="43"/>
  <c r="F170" i="40"/>
  <c r="K317" i="43"/>
  <c r="AE97" i="42"/>
  <c r="L241" i="43"/>
  <c r="C21" i="43"/>
  <c r="S196" i="42"/>
  <c r="AK309" i="42"/>
  <c r="E353" i="40"/>
  <c r="H35" i="43"/>
  <c r="E325" i="43"/>
  <c r="L52" i="43"/>
  <c r="K73" i="43"/>
  <c r="G348" i="43"/>
  <c r="E57" i="43"/>
  <c r="P42" i="43"/>
  <c r="G122" i="43"/>
  <c r="I109" i="43"/>
  <c r="F51" i="40"/>
  <c r="D218" i="43"/>
  <c r="D224" i="43"/>
  <c r="I259" i="43"/>
  <c r="L299" i="43"/>
  <c r="G167" i="43"/>
  <c r="D61" i="40"/>
  <c r="B234" i="40"/>
  <c r="D117" i="40"/>
  <c r="M195" i="43"/>
  <c r="C170" i="40"/>
  <c r="B173" i="43"/>
  <c r="E80" i="43"/>
  <c r="P194" i="43"/>
  <c r="E53" i="40"/>
  <c r="E362" i="40"/>
  <c r="C349" i="40"/>
  <c r="I78" i="43"/>
  <c r="B214" i="40"/>
  <c r="H243" i="43"/>
  <c r="B164" i="43"/>
  <c r="B269" i="40"/>
  <c r="F70" i="43"/>
  <c r="G223" i="43"/>
  <c r="P208" i="43"/>
  <c r="AE147" i="42"/>
  <c r="O271" i="43"/>
  <c r="I23" i="43"/>
  <c r="N181" i="43"/>
  <c r="J259" i="43"/>
  <c r="D156" i="40"/>
  <c r="N104" i="43"/>
  <c r="C272" i="43"/>
  <c r="M41" i="43"/>
  <c r="L330" i="43"/>
  <c r="F189" i="40"/>
  <c r="N343" i="43"/>
  <c r="F214" i="43"/>
  <c r="C45" i="43"/>
  <c r="D366" i="40"/>
  <c r="N264" i="43"/>
  <c r="C225" i="40"/>
  <c r="I170" i="43"/>
  <c r="D266" i="40"/>
  <c r="S57" i="42"/>
  <c r="M25" i="43"/>
  <c r="M309" i="43"/>
  <c r="P345" i="43"/>
  <c r="BQ40" i="42"/>
  <c r="C135" i="40"/>
  <c r="G57" i="43"/>
  <c r="C271" i="43"/>
  <c r="L189" i="43"/>
  <c r="J95" i="43"/>
  <c r="F224" i="43"/>
  <c r="H301" i="43"/>
  <c r="K181" i="43"/>
  <c r="L123" i="43"/>
  <c r="O356" i="43"/>
  <c r="E219" i="40"/>
  <c r="G179" i="43"/>
  <c r="P183" i="43"/>
  <c r="M347" i="43"/>
  <c r="S246" i="42"/>
  <c r="J221" i="43"/>
  <c r="C210" i="43"/>
  <c r="I146" i="43"/>
  <c r="C171" i="43"/>
  <c r="C76" i="43"/>
  <c r="Y13" i="42"/>
  <c r="C320" i="43"/>
  <c r="P71" i="43"/>
  <c r="F130" i="43"/>
  <c r="I346" i="43"/>
  <c r="L179" i="43"/>
  <c r="B124" i="40"/>
  <c r="E88" i="43"/>
  <c r="N347" i="43"/>
  <c r="F189" i="43"/>
  <c r="AE74" i="42"/>
  <c r="E363" i="40"/>
  <c r="I103" i="43"/>
  <c r="J339" i="43"/>
  <c r="K98" i="43"/>
  <c r="AE260" i="42"/>
  <c r="K298" i="43"/>
  <c r="C77" i="43"/>
  <c r="F325" i="43"/>
  <c r="C328" i="40"/>
  <c r="J273" i="43"/>
  <c r="B169" i="43"/>
  <c r="I165" i="43"/>
  <c r="H250" i="43"/>
  <c r="G331" i="43"/>
  <c r="L287" i="43"/>
  <c r="M211" i="43"/>
  <c r="I320" i="43"/>
  <c r="D260" i="43"/>
  <c r="G36" i="40"/>
  <c r="E374" i="43"/>
  <c r="F309" i="40"/>
  <c r="P165" i="43"/>
  <c r="D299" i="40"/>
  <c r="M118" i="43"/>
  <c r="P257" i="43"/>
  <c r="E247" i="43"/>
  <c r="D109" i="43"/>
  <c r="Y103" i="42"/>
  <c r="L29" i="43"/>
  <c r="I126" i="43"/>
  <c r="F243" i="43"/>
  <c r="J251" i="43"/>
  <c r="L191" i="43"/>
  <c r="L348" i="43"/>
  <c r="P145" i="43"/>
  <c r="B23" i="40"/>
  <c r="H108" i="43"/>
  <c r="B139" i="43"/>
  <c r="B327" i="43"/>
  <c r="K241" i="43"/>
  <c r="E113" i="43"/>
  <c r="E287" i="43"/>
  <c r="K370" i="43"/>
  <c r="C41" i="43"/>
  <c r="P152" i="43"/>
  <c r="C323" i="43"/>
  <c r="E87" i="43"/>
  <c r="D171" i="40"/>
  <c r="F154" i="40"/>
  <c r="B149" i="43"/>
  <c r="P184" i="43"/>
  <c r="E130" i="43"/>
  <c r="C259" i="40"/>
  <c r="J225" i="43"/>
  <c r="D267" i="43"/>
  <c r="D278" i="43"/>
  <c r="K52" i="43"/>
  <c r="C339" i="40"/>
  <c r="C322" i="43"/>
  <c r="M310" i="43"/>
  <c r="P76" i="43"/>
  <c r="J130" i="43"/>
  <c r="P259" i="43"/>
  <c r="N89" i="43"/>
  <c r="G292" i="40"/>
  <c r="H322" i="43"/>
  <c r="O276" i="43"/>
  <c r="J209" i="43"/>
  <c r="L22" i="43"/>
  <c r="H358" i="43"/>
  <c r="F305" i="43"/>
  <c r="P23" i="43"/>
  <c r="J204" i="43"/>
  <c r="B163" i="40"/>
  <c r="B129" i="40"/>
  <c r="I59" i="43"/>
  <c r="J82" i="43"/>
  <c r="L209" i="43"/>
  <c r="I284" i="43"/>
  <c r="E40" i="43"/>
  <c r="C226" i="40"/>
  <c r="E159" i="43"/>
  <c r="P189" i="43"/>
  <c r="G217" i="40"/>
  <c r="B133" i="40"/>
  <c r="AE250" i="42"/>
  <c r="M35" i="43"/>
  <c r="B229" i="43"/>
  <c r="S331" i="42"/>
  <c r="AK244" i="42"/>
  <c r="P235" i="43"/>
  <c r="G274" i="43"/>
  <c r="E265" i="40"/>
  <c r="B210" i="43"/>
  <c r="B91" i="43"/>
  <c r="O173" i="43"/>
  <c r="K19" i="43"/>
  <c r="G320" i="43"/>
  <c r="I230" i="43"/>
  <c r="O234" i="43"/>
  <c r="N62" i="43"/>
  <c r="D132" i="43"/>
  <c r="H356" i="43"/>
  <c r="D78" i="43"/>
  <c r="E69" i="43"/>
  <c r="H338" i="43"/>
  <c r="AE361" i="42"/>
  <c r="M287" i="43"/>
  <c r="E321" i="40"/>
  <c r="M15" i="43"/>
  <c r="E226" i="43"/>
  <c r="C56" i="40"/>
  <c r="H263" i="43"/>
  <c r="N192" i="43"/>
  <c r="C362" i="40"/>
  <c r="F163" i="43"/>
  <c r="C122" i="43"/>
  <c r="F227" i="43"/>
  <c r="B324" i="43"/>
  <c r="N112" i="43"/>
  <c r="C346" i="43"/>
  <c r="P22" i="43"/>
  <c r="I137" i="43"/>
  <c r="P279" i="43"/>
  <c r="C271" i="40"/>
  <c r="K111" i="43"/>
  <c r="L39" i="43"/>
  <c r="B103" i="40"/>
  <c r="H256" i="43"/>
  <c r="K164" i="43"/>
  <c r="D187" i="43"/>
  <c r="F259" i="43"/>
  <c r="H212" i="43"/>
  <c r="G93" i="43"/>
  <c r="I147" i="43"/>
  <c r="AK127" i="42"/>
  <c r="O209" i="43"/>
  <c r="G89" i="43"/>
  <c r="C126" i="43"/>
  <c r="K66" i="43"/>
  <c r="L70" i="43"/>
  <c r="F226" i="40"/>
  <c r="L357" i="43"/>
  <c r="D112" i="43"/>
  <c r="B142" i="40"/>
  <c r="D174" i="40"/>
  <c r="E140" i="40"/>
  <c r="B16" i="43"/>
  <c r="K355" i="43"/>
  <c r="P319" i="43"/>
  <c r="F127" i="40"/>
  <c r="N108" i="43"/>
  <c r="C327" i="43"/>
  <c r="H248" i="43"/>
  <c r="J173" i="43"/>
  <c r="O306" i="43"/>
  <c r="C347" i="40"/>
  <c r="L226" i="43"/>
  <c r="O133" i="43"/>
  <c r="K122" i="43"/>
  <c r="M106" i="43"/>
  <c r="L305" i="43"/>
  <c r="O154" i="43"/>
  <c r="I228" i="43"/>
  <c r="K234" i="43"/>
  <c r="H170" i="43"/>
  <c r="J275" i="43"/>
  <c r="M301" i="43"/>
  <c r="C154" i="43"/>
  <c r="C318" i="43"/>
  <c r="L212" i="43"/>
  <c r="H196" i="43"/>
  <c r="D113" i="40"/>
  <c r="C194" i="40"/>
  <c r="E312" i="40"/>
  <c r="H223" i="43"/>
  <c r="L145" i="43"/>
  <c r="D167" i="43"/>
  <c r="L166" i="43"/>
  <c r="E288" i="40"/>
  <c r="C282" i="43"/>
  <c r="H100" i="43"/>
  <c r="F83" i="40"/>
  <c r="F20" i="43"/>
  <c r="Y309" i="42"/>
  <c r="C80" i="43"/>
  <c r="P166" i="43"/>
  <c r="F375" i="43"/>
  <c r="O106" i="43"/>
  <c r="O111" i="43"/>
  <c r="B314" i="40"/>
  <c r="N166" i="43"/>
  <c r="M193" i="43"/>
  <c r="AE345" i="42"/>
  <c r="J224" i="43"/>
  <c r="O204" i="43"/>
  <c r="K169" i="43"/>
  <c r="E369" i="43"/>
  <c r="E318" i="43"/>
  <c r="C252" i="43"/>
  <c r="M332" i="43"/>
  <c r="G312" i="40"/>
  <c r="I291" i="43"/>
  <c r="E212" i="40"/>
  <c r="P114" i="43"/>
  <c r="J370" i="43"/>
  <c r="K328" i="43"/>
  <c r="L51" i="43"/>
  <c r="N106" i="43"/>
  <c r="P82" i="43"/>
  <c r="B72" i="43"/>
  <c r="D283" i="40"/>
  <c r="AK220" i="42"/>
  <c r="F141" i="43"/>
  <c r="I252" i="43"/>
  <c r="F289" i="43"/>
  <c r="L269" i="43"/>
  <c r="BP29" i="42"/>
  <c r="H224" i="43"/>
  <c r="N41" i="43"/>
  <c r="I82" i="43"/>
  <c r="G236" i="43"/>
  <c r="G150" i="43"/>
  <c r="K300" i="43"/>
  <c r="K249" i="43"/>
  <c r="I105" i="43"/>
  <c r="B68" i="43"/>
  <c r="K113" i="43"/>
  <c r="G350" i="43"/>
  <c r="H171" i="43"/>
  <c r="C91" i="43"/>
  <c r="N364" i="43"/>
  <c r="S51" i="42"/>
  <c r="G242" i="43"/>
  <c r="L80" i="43"/>
  <c r="G371" i="43"/>
  <c r="D82" i="43"/>
  <c r="L44" i="43"/>
  <c r="B23" i="43"/>
  <c r="P249" i="43"/>
  <c r="F256" i="40"/>
  <c r="L26" i="43"/>
  <c r="E314" i="40"/>
  <c r="I65" i="43"/>
  <c r="M230" i="43"/>
  <c r="G354" i="40"/>
  <c r="P285" i="43"/>
  <c r="F113" i="43"/>
  <c r="Y85" i="42"/>
  <c r="D284" i="43"/>
  <c r="N189" i="43"/>
  <c r="G18" i="40"/>
  <c r="L33" i="43"/>
  <c r="D23" i="43"/>
  <c r="H185" i="43"/>
  <c r="K233" i="43"/>
  <c r="C226" i="43"/>
  <c r="F321" i="43"/>
  <c r="N335" i="43"/>
  <c r="O78" i="43"/>
  <c r="F278" i="43"/>
  <c r="G67" i="43"/>
  <c r="E200" i="40"/>
  <c r="L205" i="43"/>
  <c r="P295" i="43"/>
  <c r="C30" i="40"/>
  <c r="D319" i="43"/>
  <c r="F153" i="43"/>
  <c r="F292" i="40"/>
  <c r="L155" i="43"/>
  <c r="K204" i="43"/>
  <c r="K271" i="43"/>
  <c r="I85" i="43"/>
  <c r="C94" i="40"/>
  <c r="E91" i="43"/>
  <c r="J335" i="43"/>
  <c r="I313" i="43"/>
  <c r="F162" i="43"/>
  <c r="L230" i="43"/>
  <c r="D345" i="43"/>
  <c r="H242" i="43"/>
  <c r="G317" i="43"/>
  <c r="H18" i="43"/>
  <c r="E203" i="43"/>
  <c r="D361" i="40"/>
  <c r="H249" i="43"/>
  <c r="M26" i="43"/>
  <c r="F213" i="40"/>
  <c r="J287" i="43"/>
  <c r="K353" i="43"/>
  <c r="L315" i="43"/>
  <c r="C137" i="40"/>
  <c r="F103" i="43"/>
  <c r="B90" i="40"/>
  <c r="E121" i="43"/>
  <c r="O202" i="43"/>
  <c r="S159" i="42"/>
  <c r="G195" i="43"/>
  <c r="I231" i="43"/>
  <c r="C38" i="43"/>
  <c r="D161" i="43"/>
  <c r="P360" i="43"/>
  <c r="S225" i="42"/>
  <c r="N202" i="43"/>
  <c r="M350" i="43"/>
  <c r="N121" i="43"/>
  <c r="C59" i="43"/>
  <c r="M223" i="43"/>
  <c r="O183" i="43"/>
  <c r="B238" i="40"/>
  <c r="H149" i="43"/>
  <c r="M23" i="43"/>
  <c r="K206" i="43"/>
  <c r="G260" i="43"/>
  <c r="I366" i="43"/>
  <c r="G261" i="40"/>
  <c r="J163" i="43"/>
  <c r="O61" i="43"/>
  <c r="C196" i="43"/>
  <c r="M17" i="43"/>
  <c r="G82" i="43"/>
  <c r="C133" i="43"/>
  <c r="Y149" i="42"/>
  <c r="O218" i="43"/>
  <c r="F209" i="43"/>
  <c r="Y337" i="42"/>
  <c r="I29" i="43"/>
  <c r="M119" i="43"/>
  <c r="H272" i="43"/>
  <c r="M171" i="43"/>
  <c r="M207" i="43"/>
  <c r="G38" i="43"/>
  <c r="E258" i="40"/>
  <c r="C255" i="40"/>
  <c r="B38" i="43"/>
  <c r="J149" i="43"/>
  <c r="C128" i="43"/>
  <c r="E165" i="43"/>
  <c r="E299" i="43"/>
  <c r="K232" i="43"/>
  <c r="E279" i="43"/>
  <c r="K95" i="43"/>
  <c r="P315" i="43"/>
  <c r="B141" i="43"/>
  <c r="O242" i="43"/>
  <c r="C168" i="40"/>
  <c r="S75" i="42"/>
  <c r="E338" i="40"/>
  <c r="B369" i="40"/>
  <c r="O66" i="43"/>
  <c r="G79" i="43"/>
  <c r="I288" i="43"/>
  <c r="F373" i="43"/>
  <c r="P217" i="43"/>
  <c r="F131" i="43"/>
  <c r="D288" i="43"/>
  <c r="AE199" i="42"/>
  <c r="D157" i="40"/>
  <c r="L327" i="43"/>
  <c r="N95" i="43"/>
  <c r="H368" i="43"/>
  <c r="C367" i="40"/>
  <c r="F182" i="43"/>
  <c r="C212" i="40"/>
  <c r="P147" i="43"/>
  <c r="N113" i="43"/>
  <c r="C211" i="43"/>
  <c r="C204" i="43"/>
  <c r="H44" i="43"/>
  <c r="E322" i="43"/>
  <c r="O91" i="43"/>
  <c r="J76" i="43"/>
  <c r="P363" i="43"/>
  <c r="J361" i="43"/>
  <c r="C196" i="40"/>
  <c r="M248" i="43"/>
  <c r="Y217" i="42"/>
  <c r="J188" i="43"/>
  <c r="O42" i="43"/>
  <c r="Y335" i="42"/>
  <c r="F239" i="43"/>
  <c r="M16" i="43"/>
  <c r="B239" i="40"/>
  <c r="F33" i="43"/>
  <c r="B265" i="43"/>
  <c r="E326" i="43"/>
  <c r="L38" i="43"/>
  <c r="L130" i="43"/>
  <c r="P282" i="43"/>
  <c r="D176" i="43"/>
  <c r="D307" i="40"/>
  <c r="B241" i="40"/>
  <c r="D298" i="43"/>
  <c r="C343" i="43"/>
  <c r="E365" i="40"/>
  <c r="C198" i="40"/>
  <c r="AE372" i="42"/>
  <c r="P93" i="43"/>
  <c r="F322" i="40"/>
  <c r="O274" i="43"/>
  <c r="E254" i="43"/>
  <c r="D76" i="43"/>
  <c r="N52" i="43"/>
  <c r="B114" i="43"/>
  <c r="G34" i="43"/>
  <c r="F196" i="43"/>
  <c r="P44" i="43"/>
  <c r="F56" i="43"/>
  <c r="AE298" i="42"/>
  <c r="C349" i="43"/>
  <c r="O30" i="43"/>
  <c r="K327" i="43"/>
  <c r="G188" i="40"/>
  <c r="C146" i="40"/>
  <c r="K229" i="43"/>
  <c r="C102" i="43"/>
  <c r="S269" i="42"/>
  <c r="N78" i="43"/>
  <c r="AK238" i="42"/>
  <c r="E276" i="40"/>
  <c r="P119" i="43"/>
  <c r="N338" i="43"/>
  <c r="K171" i="43"/>
  <c r="Y50" i="42"/>
  <c r="C238" i="43"/>
  <c r="D330" i="40"/>
  <c r="E42" i="43"/>
  <c r="K24" i="43"/>
  <c r="D140" i="43"/>
  <c r="H192" i="43"/>
  <c r="M49" i="43"/>
  <c r="O374" i="43"/>
  <c r="B88" i="43"/>
  <c r="F109" i="43"/>
  <c r="O216" i="43"/>
  <c r="B113" i="43"/>
  <c r="B350" i="40"/>
  <c r="J328" i="43"/>
  <c r="B237" i="40"/>
  <c r="P31" i="43"/>
  <c r="C180" i="40"/>
  <c r="B104" i="43"/>
  <c r="K187" i="43"/>
  <c r="Y333" i="42"/>
  <c r="I45" i="43"/>
  <c r="K282" i="43"/>
  <c r="K157" i="43"/>
  <c r="AK97" i="42"/>
  <c r="E20" i="40"/>
  <c r="G294" i="43"/>
  <c r="L265" i="43"/>
  <c r="I158" i="43"/>
  <c r="B262" i="43"/>
  <c r="J87" i="43"/>
  <c r="M114" i="43"/>
  <c r="K175" i="43"/>
  <c r="D88" i="43"/>
  <c r="K253" i="43"/>
  <c r="B143" i="43"/>
  <c r="C240" i="40"/>
  <c r="I363" i="43"/>
  <c r="J289" i="43"/>
  <c r="P373" i="43"/>
  <c r="M32" i="43"/>
  <c r="AE254" i="42"/>
  <c r="J13" i="43"/>
  <c r="P75" i="43"/>
  <c r="L363" i="43"/>
  <c r="B143" i="40"/>
  <c r="B250" i="40"/>
  <c r="N240" i="43"/>
  <c r="D28" i="43"/>
  <c r="C373" i="43"/>
  <c r="J102" i="43"/>
  <c r="B335" i="43"/>
  <c r="M59" i="43"/>
  <c r="L196" i="43"/>
  <c r="P299" i="43"/>
  <c r="P267" i="43"/>
  <c r="N27" i="43"/>
  <c r="M278" i="43"/>
  <c r="C97" i="40"/>
  <c r="I279" i="43"/>
  <c r="I99" i="43"/>
  <c r="J125" i="43"/>
  <c r="B228" i="43"/>
  <c r="K272" i="43"/>
  <c r="N323" i="43"/>
  <c r="M258" i="43"/>
  <c r="B134" i="43"/>
  <c r="I154" i="43"/>
  <c r="Y278" i="42"/>
  <c r="L251" i="43"/>
  <c r="D282" i="43"/>
  <c r="L365" i="43"/>
  <c r="H294" i="43"/>
  <c r="F188" i="40"/>
  <c r="D342" i="43"/>
  <c r="L102" i="43"/>
  <c r="P329" i="43"/>
  <c r="K236" i="43"/>
  <c r="D103" i="43"/>
  <c r="I369" i="43"/>
  <c r="O200" i="43"/>
  <c r="B172" i="43"/>
  <c r="P72" i="43"/>
  <c r="F240" i="43"/>
  <c r="L346" i="43"/>
  <c r="E150" i="43"/>
  <c r="C176" i="43"/>
  <c r="O64" i="43"/>
  <c r="H142" i="43"/>
  <c r="I194" i="43"/>
  <c r="I264" i="43"/>
  <c r="B290" i="40"/>
  <c r="I206" i="43"/>
  <c r="AK17" i="42"/>
  <c r="E366" i="40"/>
  <c r="N292" i="43"/>
  <c r="H66" i="43"/>
  <c r="E155" i="43"/>
  <c r="B120" i="43"/>
  <c r="C68" i="43"/>
  <c r="B175" i="43"/>
  <c r="B83" i="40"/>
  <c r="C138" i="43"/>
  <c r="L146" i="43"/>
  <c r="C90" i="43"/>
  <c r="AE124" i="42"/>
  <c r="C194" i="43"/>
  <c r="D343" i="40"/>
  <c r="C21" i="40"/>
  <c r="B252" i="43"/>
  <c r="I342" i="43"/>
  <c r="J280" i="43"/>
  <c r="G316" i="43"/>
  <c r="G264" i="43"/>
  <c r="D37" i="40"/>
  <c r="D233" i="40"/>
  <c r="G339" i="43"/>
  <c r="Y60" i="42"/>
  <c r="M74" i="43"/>
  <c r="M312" i="43"/>
  <c r="F249" i="43"/>
  <c r="K103" i="43"/>
  <c r="P287" i="43"/>
  <c r="H55" i="43"/>
  <c r="F326" i="40"/>
  <c r="O190" i="43"/>
  <c r="J313" i="43"/>
  <c r="E373" i="43"/>
  <c r="H342" i="43"/>
  <c r="L173" i="43"/>
  <c r="AE196" i="42"/>
  <c r="P292" i="43"/>
  <c r="F285" i="43"/>
  <c r="M294" i="43"/>
  <c r="P37" i="43"/>
  <c r="F262" i="43"/>
  <c r="BQ258" i="42"/>
  <c r="E178" i="43"/>
  <c r="E108" i="43"/>
  <c r="P168" i="43"/>
  <c r="H320" i="43"/>
  <c r="B230" i="43"/>
  <c r="C342" i="40"/>
  <c r="P47" i="43"/>
  <c r="M264" i="43"/>
  <c r="B25" i="43"/>
  <c r="D367" i="43"/>
  <c r="E190" i="43"/>
  <c r="G174" i="43"/>
  <c r="G41" i="43"/>
  <c r="L152" i="43"/>
  <c r="C184" i="40"/>
  <c r="E297" i="43"/>
  <c r="P197" i="43"/>
  <c r="J114" i="43"/>
  <c r="C195" i="43"/>
  <c r="E194" i="43"/>
  <c r="F346" i="40"/>
  <c r="S29" i="42"/>
  <c r="M292" i="43"/>
  <c r="B293" i="43"/>
  <c r="M372" i="43"/>
  <c r="AE58" i="42"/>
  <c r="I250" i="43"/>
  <c r="H139" i="43"/>
  <c r="P245" i="43"/>
  <c r="O368" i="43"/>
  <c r="B63" i="43"/>
  <c r="H86" i="43"/>
  <c r="K247" i="43"/>
  <c r="F25" i="43"/>
  <c r="P298" i="43"/>
  <c r="J284" i="43"/>
  <c r="F81" i="43"/>
  <c r="F190" i="43"/>
  <c r="O260" i="43"/>
  <c r="P127" i="43"/>
  <c r="J220" i="43"/>
  <c r="H156" i="43"/>
  <c r="G276" i="43"/>
  <c r="F353" i="43"/>
  <c r="N267" i="43"/>
  <c r="C42" i="40"/>
  <c r="F336" i="43"/>
  <c r="C15" i="43"/>
  <c r="G129" i="43"/>
  <c r="O93" i="43"/>
  <c r="S310" i="42"/>
  <c r="AK302" i="42"/>
  <c r="I257" i="43"/>
  <c r="P242" i="43"/>
  <c r="C164" i="40"/>
  <c r="I98" i="43"/>
  <c r="E328" i="43"/>
  <c r="G212" i="43"/>
  <c r="F201" i="40"/>
  <c r="H257" i="43"/>
  <c r="D312" i="43"/>
  <c r="I180" i="43"/>
  <c r="L186" i="43"/>
  <c r="N232" i="43"/>
  <c r="G237" i="43"/>
  <c r="F93" i="43"/>
  <c r="D67" i="40"/>
  <c r="I183" i="43"/>
  <c r="P201" i="43"/>
  <c r="C164" i="43"/>
  <c r="B163" i="43"/>
  <c r="P124" i="43"/>
  <c r="F203" i="40"/>
  <c r="P121" i="43"/>
  <c r="G307" i="43"/>
  <c r="O226" i="43"/>
  <c r="E267" i="40"/>
  <c r="N249" i="43"/>
  <c r="AE257" i="42"/>
  <c r="P84" i="43"/>
  <c r="N39" i="43"/>
  <c r="B351" i="43"/>
  <c r="C354" i="43"/>
  <c r="O316" i="43"/>
  <c r="F39" i="43"/>
  <c r="D156" i="43"/>
  <c r="I285" i="43"/>
  <c r="J357" i="43"/>
  <c r="B138" i="43"/>
  <c r="O114" i="43"/>
  <c r="O348" i="43"/>
  <c r="J46" i="43"/>
  <c r="E285" i="43"/>
  <c r="I125" i="43"/>
  <c r="C362" i="43"/>
  <c r="L293" i="43"/>
  <c r="G265" i="40"/>
  <c r="F279" i="40"/>
  <c r="AE40" i="42"/>
  <c r="B296" i="40"/>
  <c r="G294" i="40"/>
  <c r="H158" i="43"/>
  <c r="P280" i="43"/>
  <c r="H293" i="43"/>
  <c r="N213" i="43"/>
  <c r="B112" i="43"/>
  <c r="I306" i="43"/>
  <c r="N75" i="43"/>
  <c r="B132" i="43"/>
  <c r="O170" i="43"/>
  <c r="J21" i="43"/>
  <c r="M303" i="43"/>
  <c r="F71" i="40"/>
  <c r="F61" i="43"/>
  <c r="P52" i="43"/>
  <c r="C62" i="43"/>
  <c r="C318" i="40"/>
  <c r="H145" i="43"/>
  <c r="M267" i="43"/>
  <c r="K128" i="43"/>
  <c r="C141" i="43"/>
  <c r="E61" i="43"/>
  <c r="B121" i="43"/>
  <c r="G137" i="40"/>
  <c r="M210" i="43"/>
  <c r="B199" i="40"/>
  <c r="C64" i="43"/>
  <c r="L122" i="43"/>
  <c r="L194" i="43"/>
  <c r="O257" i="43"/>
  <c r="D227" i="40"/>
  <c r="E118" i="40"/>
  <c r="D54" i="43"/>
  <c r="I112" i="43"/>
  <c r="O45" i="43"/>
  <c r="D69" i="40"/>
  <c r="P50" i="43"/>
  <c r="G66" i="40"/>
  <c r="C157" i="43"/>
  <c r="B62" i="43"/>
  <c r="P309" i="43"/>
  <c r="P116" i="43"/>
  <c r="P331" i="43"/>
  <c r="M178" i="43"/>
  <c r="O279" i="43"/>
  <c r="F131" i="40"/>
  <c r="J329" i="43"/>
  <c r="C280" i="40"/>
  <c r="K100" i="43"/>
  <c r="E375" i="43"/>
  <c r="I124" i="43"/>
  <c r="B251" i="43"/>
  <c r="C221" i="43"/>
  <c r="D333" i="40"/>
  <c r="I123" i="43"/>
  <c r="S292" i="42"/>
  <c r="P269" i="43"/>
  <c r="E116" i="43"/>
  <c r="G148" i="43"/>
  <c r="L85" i="43"/>
  <c r="F304" i="40"/>
  <c r="Y272" i="42"/>
  <c r="J41" i="43"/>
  <c r="J191" i="43"/>
  <c r="M318" i="43"/>
  <c r="F228" i="40"/>
  <c r="O332" i="43"/>
  <c r="O246" i="43"/>
  <c r="M82" i="43"/>
  <c r="N76" i="43"/>
  <c r="C60" i="43"/>
  <c r="G205" i="43"/>
  <c r="G32" i="40"/>
  <c r="D184" i="43"/>
  <c r="F22" i="43"/>
  <c r="H24" i="43"/>
  <c r="N217" i="43"/>
  <c r="L36" i="43"/>
  <c r="F151" i="43"/>
  <c r="AE220" i="42"/>
  <c r="K348" i="43"/>
  <c r="G342" i="43"/>
  <c r="D173" i="43"/>
  <c r="O67" i="43"/>
  <c r="O16" i="43"/>
  <c r="C297" i="43"/>
  <c r="E51" i="43"/>
  <c r="G182" i="43"/>
  <c r="F273" i="43"/>
  <c r="F197" i="40"/>
  <c r="B225" i="43"/>
  <c r="G279" i="40"/>
  <c r="F327" i="43"/>
  <c r="H246" i="43"/>
  <c r="B352" i="43"/>
  <c r="F96" i="43"/>
  <c r="C278" i="40"/>
  <c r="D189" i="43"/>
  <c r="J272" i="43"/>
  <c r="G85" i="43"/>
  <c r="P177" i="43"/>
  <c r="G98" i="40"/>
  <c r="B212" i="43"/>
  <c r="M167" i="43"/>
  <c r="F211" i="43"/>
  <c r="G355" i="43"/>
  <c r="AE30" i="42"/>
  <c r="J123" i="43"/>
  <c r="K302" i="43"/>
  <c r="I258" i="43"/>
  <c r="O227" i="43"/>
  <c r="G42" i="43"/>
  <c r="G295" i="43"/>
  <c r="H62" i="43"/>
  <c r="D365" i="43"/>
  <c r="G108" i="43"/>
  <c r="AE206" i="42"/>
  <c r="O144" i="43"/>
  <c r="G229" i="43"/>
  <c r="H306" i="43"/>
  <c r="C95" i="43"/>
  <c r="G101" i="40"/>
  <c r="E261" i="43"/>
  <c r="J228" i="43"/>
  <c r="M344" i="43"/>
  <c r="G88" i="40"/>
  <c r="AE31" i="42"/>
  <c r="B279" i="40"/>
  <c r="O112" i="43"/>
  <c r="P113" i="43"/>
  <c r="C64" i="40"/>
  <c r="M156" i="43"/>
  <c r="G189" i="43"/>
  <c r="F291" i="43"/>
  <c r="M22" i="43"/>
  <c r="N70" i="43"/>
  <c r="P316" i="43"/>
  <c r="G100" i="43"/>
  <c r="I73" i="43"/>
  <c r="M67" i="43"/>
  <c r="D177" i="43"/>
  <c r="Y71" i="42"/>
  <c r="G343" i="43"/>
  <c r="AE234" i="42"/>
  <c r="N102" i="43"/>
  <c r="H211" i="43"/>
  <c r="M66" i="43"/>
  <c r="E182" i="43"/>
  <c r="G177" i="43"/>
  <c r="B41" i="43"/>
  <c r="D100" i="43"/>
  <c r="K375" i="43"/>
  <c r="E35" i="43"/>
  <c r="P142" i="43"/>
  <c r="D182" i="43"/>
  <c r="D56" i="43"/>
  <c r="H244" i="43"/>
  <c r="P109" i="43"/>
  <c r="AK164" i="42"/>
  <c r="O262" i="43"/>
  <c r="B303" i="40"/>
  <c r="P115" i="43"/>
  <c r="C290" i="43"/>
  <c r="H298" i="43"/>
  <c r="AK118" i="42"/>
  <c r="F110" i="40"/>
  <c r="P126" i="43"/>
  <c r="J156" i="43"/>
  <c r="BP338" i="42"/>
  <c r="O184" i="43"/>
  <c r="H292" i="43"/>
  <c r="F159" i="43"/>
  <c r="L143" i="43"/>
  <c r="G317" i="40"/>
  <c r="D148" i="43"/>
  <c r="B100" i="40"/>
  <c r="J171" i="43"/>
  <c r="P200" i="43"/>
  <c r="E292" i="40"/>
  <c r="M89" i="43"/>
  <c r="J108" i="43"/>
  <c r="H296" i="43"/>
  <c r="L219" i="43"/>
  <c r="O350" i="43"/>
  <c r="D280" i="43"/>
  <c r="C275" i="43"/>
  <c r="L337" i="43"/>
  <c r="M299" i="43"/>
  <c r="Y16" i="42"/>
  <c r="B371" i="43"/>
  <c r="P125" i="43"/>
  <c r="F98" i="40"/>
  <c r="B156" i="40"/>
  <c r="F188" i="43"/>
  <c r="H283" i="43"/>
  <c r="B49" i="40"/>
  <c r="H42" i="43"/>
  <c r="N117" i="43"/>
  <c r="N134" i="43"/>
  <c r="F248" i="43"/>
  <c r="C199" i="43"/>
  <c r="B364" i="43"/>
  <c r="C65" i="40"/>
  <c r="B243" i="43"/>
  <c r="C244" i="43"/>
  <c r="BQ335" i="42"/>
  <c r="M373" i="43"/>
  <c r="K340" i="43"/>
  <c r="L367" i="43"/>
  <c r="Y227" i="42"/>
  <c r="D169" i="43"/>
  <c r="K266" i="43"/>
  <c r="B181" i="43"/>
  <c r="B343" i="43"/>
  <c r="H239" i="43"/>
  <c r="M161" i="43"/>
  <c r="K178" i="43"/>
  <c r="D232" i="43"/>
  <c r="B152" i="40"/>
  <c r="I164" i="43"/>
  <c r="F185" i="43"/>
  <c r="M338" i="43"/>
  <c r="BR315" i="42"/>
  <c r="B256" i="43"/>
  <c r="L68" i="43"/>
  <c r="F269" i="43"/>
  <c r="O278" i="43"/>
  <c r="C334" i="40"/>
  <c r="L111" i="43"/>
  <c r="B272" i="40"/>
  <c r="D250" i="43"/>
  <c r="K346" i="43"/>
  <c r="F57" i="43"/>
  <c r="E47" i="43"/>
  <c r="B232" i="43"/>
  <c r="C139" i="43"/>
  <c r="M51" i="43"/>
  <c r="B261" i="43"/>
  <c r="G28" i="43"/>
  <c r="Y20" i="42"/>
  <c r="E236" i="40"/>
  <c r="B308" i="43"/>
  <c r="S211" i="42"/>
  <c r="E72" i="43"/>
  <c r="J208" i="43"/>
  <c r="N253" i="43"/>
  <c r="E171" i="43"/>
  <c r="E300" i="43"/>
  <c r="G219" i="43"/>
  <c r="Y131" i="42"/>
  <c r="O94" i="43"/>
  <c r="M188" i="43"/>
  <c r="N73" i="43"/>
  <c r="K58" i="43"/>
  <c r="M175" i="43"/>
  <c r="I248" i="43"/>
  <c r="D38" i="43"/>
  <c r="L227" i="43"/>
  <c r="O319" i="43"/>
  <c r="M70" i="43"/>
  <c r="E102" i="43"/>
  <c r="G280" i="40"/>
  <c r="E243" i="40"/>
  <c r="E175" i="40"/>
  <c r="G245" i="40"/>
  <c r="B370" i="43"/>
  <c r="E67" i="43"/>
  <c r="J11" i="43"/>
  <c r="P220" i="43"/>
  <c r="H50" i="43"/>
  <c r="H200" i="43"/>
  <c r="C176" i="40"/>
  <c r="S152" i="42"/>
  <c r="O247" i="43"/>
  <c r="P352" i="43"/>
  <c r="B187" i="43"/>
  <c r="B326" i="43"/>
  <c r="B96" i="43"/>
  <c r="O333" i="43"/>
  <c r="J219" i="43"/>
  <c r="K83" i="43"/>
  <c r="D282" i="40"/>
  <c r="K304" i="43"/>
  <c r="H276" i="43"/>
  <c r="Y66" i="42"/>
  <c r="E269" i="40"/>
  <c r="E100" i="43"/>
  <c r="B159" i="43"/>
  <c r="B48" i="40"/>
  <c r="O187" i="43"/>
  <c r="G335" i="43"/>
  <c r="P195" i="43"/>
  <c r="M359" i="43"/>
  <c r="I245" i="43"/>
  <c r="D329" i="43"/>
  <c r="C337" i="43"/>
  <c r="O160" i="43"/>
  <c r="D354" i="43"/>
  <c r="G30" i="43"/>
  <c r="E19" i="43"/>
  <c r="L238" i="43"/>
  <c r="P20" i="43"/>
  <c r="J31" i="43"/>
  <c r="C60" i="40"/>
  <c r="D37" i="43"/>
  <c r="G188" i="43"/>
  <c r="G229" i="40"/>
  <c r="L310" i="43"/>
  <c r="AE113" i="42"/>
  <c r="N331" i="43"/>
  <c r="F208" i="43"/>
  <c r="N50" i="43"/>
  <c r="L296" i="43"/>
  <c r="J184" i="43"/>
  <c r="B276" i="43"/>
  <c r="N119" i="43"/>
  <c r="F45" i="40"/>
  <c r="L283" i="43"/>
  <c r="F53" i="40"/>
  <c r="P358" i="43"/>
  <c r="L15" i="43"/>
  <c r="K106" i="43"/>
  <c r="F198" i="43"/>
  <c r="O120" i="43"/>
  <c r="O102" i="43"/>
  <c r="L319" i="43"/>
  <c r="O26" i="43"/>
  <c r="H118" i="43"/>
  <c r="B99" i="43"/>
  <c r="E144" i="43"/>
  <c r="D134" i="43"/>
  <c r="E71" i="43"/>
  <c r="N356" i="43"/>
  <c r="O169" i="43"/>
  <c r="K131" i="43"/>
  <c r="H106" i="43"/>
  <c r="B284" i="43"/>
  <c r="I196" i="43"/>
  <c r="B100" i="43"/>
  <c r="I93" i="43"/>
  <c r="J315" i="43"/>
  <c r="G90" i="43"/>
  <c r="J187" i="43"/>
  <c r="B147" i="43"/>
  <c r="B86" i="43"/>
  <c r="I178" i="43"/>
  <c r="P255" i="43"/>
  <c r="O89" i="43"/>
  <c r="P213" i="43"/>
  <c r="E263" i="43"/>
  <c r="J79" i="43"/>
  <c r="M262" i="43"/>
  <c r="D263" i="40"/>
  <c r="G231" i="40"/>
  <c r="K285" i="43"/>
  <c r="C284" i="43"/>
  <c r="M290" i="43"/>
  <c r="D96" i="43"/>
  <c r="K138" i="43"/>
  <c r="G293" i="43"/>
  <c r="H150" i="43"/>
  <c r="D12" i="40"/>
  <c r="M93" i="43"/>
  <c r="F125" i="43"/>
  <c r="AK370" i="42"/>
  <c r="C142" i="40"/>
  <c r="AE338" i="42"/>
  <c r="N251" i="43"/>
  <c r="B253" i="40"/>
  <c r="L331" i="43"/>
  <c r="L156" i="43"/>
  <c r="J84" i="43"/>
  <c r="N374" i="43"/>
  <c r="D338" i="43"/>
  <c r="D186" i="40"/>
  <c r="N304" i="43"/>
  <c r="AE168" i="42"/>
  <c r="H335" i="43"/>
  <c r="I208" i="43"/>
  <c r="D320" i="43"/>
  <c r="C52" i="40"/>
  <c r="K118" i="43"/>
  <c r="F91" i="40"/>
  <c r="G334" i="43"/>
  <c r="J98" i="43"/>
  <c r="L164" i="43"/>
  <c r="E33" i="40"/>
  <c r="F196" i="40"/>
  <c r="N257" i="43"/>
  <c r="J65" i="43"/>
  <c r="G72" i="43"/>
  <c r="S127" i="42"/>
  <c r="G53" i="43"/>
  <c r="F37" i="43"/>
  <c r="N352" i="43"/>
  <c r="C374" i="40"/>
  <c r="O360" i="43"/>
  <c r="BP360" i="42"/>
  <c r="E70" i="40"/>
  <c r="N206" i="43"/>
  <c r="B17" i="43"/>
  <c r="M360" i="43"/>
  <c r="P256" i="43"/>
  <c r="K344" i="43"/>
  <c r="I42" i="43"/>
  <c r="P163" i="43"/>
  <c r="I100" i="43"/>
  <c r="C310" i="40"/>
  <c r="J67" i="43"/>
  <c r="N90" i="43"/>
  <c r="J271" i="43"/>
  <c r="L163" i="43"/>
  <c r="H141" i="43"/>
  <c r="BQ194" i="42"/>
  <c r="AK193" i="42"/>
  <c r="D56" i="40"/>
  <c r="D94" i="43"/>
  <c r="B202" i="43"/>
  <c r="L45" i="43"/>
  <c r="BP204" i="42"/>
  <c r="K330" i="43"/>
  <c r="E183" i="40"/>
  <c r="H73" i="43"/>
  <c r="M302" i="43"/>
  <c r="D309" i="40"/>
  <c r="G24" i="43"/>
  <c r="H116" i="43"/>
  <c r="B356" i="43"/>
  <c r="E365" i="43"/>
  <c r="Y80" i="42"/>
  <c r="E264" i="43"/>
  <c r="L139" i="43"/>
  <c r="F73" i="43"/>
  <c r="N68" i="43"/>
  <c r="L73" i="43"/>
  <c r="D181" i="43"/>
  <c r="H37" i="43"/>
  <c r="E180" i="40"/>
  <c r="E345" i="43"/>
  <c r="M244" i="43"/>
  <c r="H362" i="43"/>
  <c r="L96" i="43"/>
  <c r="O180" i="43"/>
  <c r="B47" i="43"/>
  <c r="H59" i="43"/>
  <c r="F172" i="43"/>
  <c r="C35" i="40"/>
  <c r="D134" i="40"/>
  <c r="B332" i="43"/>
  <c r="L203" i="43"/>
  <c r="L350" i="43"/>
  <c r="K45" i="43"/>
  <c r="C322" i="40"/>
  <c r="C273" i="40"/>
  <c r="D207" i="40"/>
  <c r="AE367" i="42"/>
  <c r="P53" i="43"/>
  <c r="B224" i="43"/>
  <c r="C223" i="43"/>
  <c r="M306" i="43"/>
  <c r="O124" i="43"/>
  <c r="H336" i="43"/>
  <c r="F156" i="40"/>
  <c r="B349" i="40"/>
  <c r="D124" i="43"/>
  <c r="C141" i="40"/>
  <c r="D205" i="43"/>
  <c r="N313" i="43"/>
  <c r="Y253" i="42"/>
  <c r="O74" i="43"/>
  <c r="J128" i="43"/>
  <c r="S38" i="42"/>
  <c r="L181" i="43"/>
  <c r="D42" i="43"/>
  <c r="E205" i="43"/>
  <c r="P312" i="43"/>
  <c r="F299" i="43"/>
  <c r="O126" i="43"/>
  <c r="F106" i="40"/>
  <c r="D14" i="43"/>
  <c r="C347" i="43"/>
  <c r="F216" i="43"/>
  <c r="F129" i="43"/>
  <c r="N147" i="43"/>
  <c r="K70" i="43"/>
  <c r="Y178" i="42"/>
  <c r="D210" i="40"/>
  <c r="E359" i="43"/>
  <c r="I267" i="43"/>
  <c r="K72" i="43"/>
  <c r="AK243" i="42"/>
  <c r="O117" i="43"/>
  <c r="C214" i="40"/>
  <c r="BP178" i="42"/>
  <c r="E309" i="44"/>
  <c r="F151" i="40"/>
  <c r="AJ253" i="42"/>
  <c r="E259" i="44"/>
  <c r="B145" i="40"/>
  <c r="G139" i="43"/>
  <c r="B345" i="43"/>
  <c r="D231" i="44"/>
  <c r="F16" i="40"/>
  <c r="C241" i="40"/>
  <c r="G289" i="43"/>
  <c r="AD196" i="42"/>
  <c r="D314" i="44"/>
  <c r="C73" i="40"/>
  <c r="BR77" i="42"/>
  <c r="B123" i="43"/>
  <c r="E331" i="43"/>
  <c r="AK58" i="42"/>
  <c r="F97" i="40"/>
  <c r="Y361" i="42"/>
  <c r="BR121" i="42"/>
  <c r="G135" i="43"/>
  <c r="G56" i="40"/>
  <c r="F144" i="43"/>
  <c r="G243" i="43"/>
  <c r="M281" i="43"/>
  <c r="D33" i="43"/>
  <c r="G354" i="43"/>
  <c r="C12" i="43"/>
  <c r="M202" i="43"/>
  <c r="J50" i="43"/>
  <c r="AK110" i="42"/>
  <c r="G26" i="43"/>
  <c r="S92" i="42"/>
  <c r="BR293" i="42"/>
  <c r="BP225" i="42"/>
  <c r="Y342" i="42"/>
  <c r="D124" i="44"/>
  <c r="B36" i="44"/>
  <c r="BQ96" i="42"/>
  <c r="AE76" i="42"/>
  <c r="AE139" i="42"/>
  <c r="M134" i="43"/>
  <c r="C309" i="44"/>
  <c r="AJ198" i="42"/>
  <c r="AE360" i="42"/>
  <c r="F275" i="40"/>
  <c r="G197" i="40"/>
  <c r="BQ118" i="42"/>
  <c r="AK215" i="42"/>
  <c r="X51" i="42"/>
  <c r="I225" i="43"/>
  <c r="O54" i="43"/>
  <c r="L307" i="43"/>
  <c r="D216" i="40"/>
  <c r="C275" i="40"/>
  <c r="F258" i="40"/>
  <c r="K186" i="43"/>
  <c r="G164" i="43"/>
  <c r="C124" i="43"/>
  <c r="Y317" i="42"/>
  <c r="G258" i="43"/>
  <c r="E185" i="43"/>
  <c r="G255" i="40"/>
  <c r="S350" i="42"/>
  <c r="C352" i="40"/>
  <c r="D68" i="43"/>
  <c r="B176" i="40"/>
  <c r="B357" i="40"/>
  <c r="G78" i="40"/>
  <c r="F142" i="40"/>
  <c r="G298" i="40"/>
  <c r="F301" i="40"/>
  <c r="AK40" i="42"/>
  <c r="AJ269" i="42"/>
  <c r="S73" i="42"/>
  <c r="BP45" i="42"/>
  <c r="S277" i="42"/>
  <c r="J83" i="43"/>
  <c r="D38" i="40"/>
  <c r="S117" i="42"/>
  <c r="BQ87" i="42"/>
  <c r="B330" i="43"/>
  <c r="BQ336" i="42"/>
  <c r="F38" i="40"/>
  <c r="O309" i="43"/>
  <c r="B362" i="44"/>
  <c r="I189" i="43"/>
  <c r="AK117" i="42"/>
  <c r="B359" i="43"/>
  <c r="N278" i="43"/>
  <c r="S37" i="42"/>
  <c r="E274" i="40"/>
  <c r="Y151" i="42"/>
  <c r="E248" i="43"/>
  <c r="G225" i="43"/>
  <c r="N157" i="43"/>
  <c r="F163" i="40"/>
  <c r="D83" i="43"/>
  <c r="J137" i="43"/>
  <c r="L41" i="43"/>
  <c r="F121" i="40"/>
  <c r="C365" i="40"/>
  <c r="G124" i="40"/>
  <c r="D369" i="43"/>
  <c r="J226" i="43"/>
  <c r="F309" i="43"/>
  <c r="G206" i="40"/>
  <c r="AE281" i="42"/>
  <c r="AJ369" i="42"/>
  <c r="C190" i="44"/>
  <c r="E204" i="43"/>
  <c r="E73" i="43"/>
  <c r="L93" i="43"/>
  <c r="AK150" i="42"/>
  <c r="AK29" i="42"/>
  <c r="C86" i="43"/>
  <c r="L262" i="43"/>
  <c r="I221" i="43"/>
  <c r="B316" i="43"/>
  <c r="E18" i="43"/>
  <c r="N300" i="43"/>
  <c r="D212" i="43"/>
  <c r="I66" i="43"/>
  <c r="P346" i="43"/>
  <c r="F365" i="40"/>
  <c r="AP173" i="42"/>
  <c r="G17" i="40"/>
  <c r="Y163" i="42"/>
  <c r="D209" i="44"/>
  <c r="AP308" i="42"/>
  <c r="X304" i="42"/>
  <c r="J248" i="43"/>
  <c r="G126" i="43"/>
  <c r="G278" i="40"/>
  <c r="BP374" i="42"/>
  <c r="F47" i="40"/>
  <c r="D328" i="40"/>
  <c r="BR36" i="42"/>
  <c r="E90" i="40"/>
  <c r="G286" i="40"/>
  <c r="AP322" i="42"/>
  <c r="H14" i="43"/>
  <c r="G365" i="43"/>
  <c r="L256" i="43"/>
  <c r="O161" i="43"/>
  <c r="X216" i="42"/>
  <c r="J310" i="43"/>
  <c r="O172" i="43"/>
  <c r="E43" i="43"/>
  <c r="D66" i="40"/>
  <c r="P366" i="43"/>
  <c r="B267" i="43"/>
  <c r="N273" i="43"/>
  <c r="I92" i="43"/>
  <c r="J338" i="43"/>
  <c r="D225" i="40"/>
  <c r="D253" i="43"/>
  <c r="D186" i="43"/>
  <c r="D200" i="43"/>
  <c r="E303" i="40"/>
  <c r="F146" i="40"/>
  <c r="M169" i="43"/>
  <c r="Y208" i="42"/>
  <c r="P216" i="43"/>
  <c r="E357" i="43"/>
  <c r="AJ74" i="42"/>
  <c r="X356" i="42"/>
  <c r="H33" i="43"/>
  <c r="D205" i="40"/>
  <c r="C251" i="40"/>
  <c r="BR19" i="42"/>
  <c r="AK239" i="42"/>
  <c r="Y293" i="42"/>
  <c r="BQ338" i="42"/>
  <c r="C16" i="43"/>
  <c r="H198" i="43"/>
  <c r="E319" i="44"/>
  <c r="D188" i="44"/>
  <c r="P74" i="43"/>
  <c r="N365" i="43"/>
  <c r="AK62" i="42"/>
  <c r="AD319" i="42"/>
  <c r="E98" i="40"/>
  <c r="B353" i="40"/>
  <c r="D251" i="43"/>
  <c r="N239" i="43"/>
  <c r="D339" i="43"/>
  <c r="G136" i="43"/>
  <c r="D352" i="40"/>
  <c r="E24" i="43"/>
  <c r="D14" i="40"/>
  <c r="G324" i="43"/>
  <c r="G159" i="40"/>
  <c r="E115" i="43"/>
  <c r="O203" i="43"/>
  <c r="K127" i="43"/>
  <c r="C36" i="43"/>
  <c r="E136" i="44"/>
  <c r="D319" i="40"/>
  <c r="L338" i="43"/>
  <c r="Y92" i="42"/>
  <c r="X263" i="42"/>
  <c r="E355" i="44"/>
  <c r="O275" i="43"/>
  <c r="K158" i="43"/>
  <c r="C104" i="40"/>
  <c r="AP223" i="42"/>
  <c r="BP115" i="42"/>
  <c r="C257" i="43"/>
  <c r="AJ68" i="42"/>
  <c r="G176" i="43"/>
  <c r="C345" i="43"/>
  <c r="AJ119" i="42"/>
  <c r="BR318" i="42"/>
  <c r="M256" i="43"/>
  <c r="S138" i="42"/>
  <c r="C90" i="40"/>
  <c r="H345" i="43"/>
  <c r="G230" i="43"/>
  <c r="M197" i="43"/>
  <c r="F312" i="43"/>
  <c r="P18" i="43"/>
  <c r="M90" i="43"/>
  <c r="AE142" i="42"/>
  <c r="I57" i="43"/>
  <c r="M91" i="43"/>
  <c r="S36" i="42"/>
  <c r="L292" i="43"/>
  <c r="G185" i="40"/>
  <c r="M40" i="43"/>
  <c r="E32" i="43"/>
  <c r="D364" i="40"/>
  <c r="AE184" i="42"/>
  <c r="AK91" i="42"/>
  <c r="S271" i="42"/>
  <c r="P13" i="43"/>
  <c r="BP165" i="42"/>
  <c r="B281" i="44"/>
  <c r="F223" i="40"/>
  <c r="G218" i="43"/>
  <c r="K137" i="43"/>
  <c r="F64" i="40"/>
  <c r="O51" i="43"/>
  <c r="I20" i="43"/>
  <c r="N35" i="43"/>
  <c r="M311" i="43"/>
  <c r="L263" i="43"/>
  <c r="G133" i="43"/>
  <c r="E249" i="43"/>
  <c r="I297" i="43"/>
  <c r="G353" i="43"/>
  <c r="B373" i="43"/>
  <c r="BR227" i="42"/>
  <c r="B263" i="40"/>
  <c r="AE330" i="42"/>
  <c r="BP224" i="42"/>
  <c r="B298" i="40"/>
  <c r="BR49" i="42"/>
  <c r="AK240" i="42"/>
  <c r="E90" i="44"/>
  <c r="K202" i="43"/>
  <c r="J122" i="43"/>
  <c r="G158" i="40"/>
  <c r="AJ95" i="42"/>
  <c r="E66" i="44"/>
  <c r="G37" i="43"/>
  <c r="C304" i="40"/>
  <c r="H323" i="43"/>
  <c r="D319" i="44"/>
  <c r="AD97" i="42"/>
  <c r="E134" i="43"/>
  <c r="D364" i="43"/>
  <c r="C106" i="40"/>
  <c r="G247" i="40"/>
  <c r="D316" i="40"/>
  <c r="L67" i="43"/>
  <c r="G314" i="43"/>
  <c r="L82" i="43"/>
  <c r="P172" i="43"/>
  <c r="E89" i="43"/>
  <c r="C330" i="43"/>
  <c r="B195" i="40"/>
  <c r="F60" i="40"/>
  <c r="B245" i="40"/>
  <c r="D222" i="40"/>
  <c r="F148" i="43"/>
  <c r="D135" i="40"/>
  <c r="C270" i="40"/>
  <c r="H12" i="43"/>
  <c r="H92" i="43"/>
  <c r="C82" i="40"/>
  <c r="G135" i="40"/>
  <c r="B307" i="44"/>
  <c r="E74" i="44"/>
  <c r="F12" i="43"/>
  <c r="E149" i="40"/>
  <c r="D234" i="43"/>
  <c r="C205" i="40"/>
  <c r="I292" i="43"/>
  <c r="C256" i="44"/>
  <c r="C52" i="43"/>
  <c r="O146" i="43"/>
  <c r="B264" i="43"/>
  <c r="D194" i="40"/>
  <c r="AP342" i="42"/>
  <c r="J299" i="43"/>
  <c r="D119" i="43"/>
  <c r="Y46" i="42"/>
  <c r="G151" i="40"/>
  <c r="AE322" i="42"/>
  <c r="G13" i="43"/>
  <c r="L112" i="43"/>
  <c r="F164" i="43"/>
  <c r="L69" i="43"/>
  <c r="O127" i="43"/>
  <c r="K356" i="43"/>
  <c r="L72" i="43"/>
  <c r="H88" i="43"/>
  <c r="F340" i="40"/>
  <c r="E353" i="43"/>
  <c r="G331" i="40"/>
  <c r="M140" i="43"/>
  <c r="Y336" i="42"/>
  <c r="AK315" i="42"/>
  <c r="C252" i="40"/>
  <c r="Y38" i="42"/>
  <c r="Y173" i="42"/>
  <c r="AP56" i="42"/>
  <c r="D349" i="44"/>
  <c r="D150" i="44"/>
  <c r="G26" i="40"/>
  <c r="S148" i="42"/>
  <c r="D119" i="40"/>
  <c r="E352" i="40"/>
  <c r="F150" i="40"/>
  <c r="H251" i="43"/>
  <c r="C107" i="40"/>
  <c r="C287" i="40"/>
  <c r="K303" i="43"/>
  <c r="BP331" i="42"/>
  <c r="Y210" i="42"/>
  <c r="AJ146" i="42"/>
  <c r="D216" i="43"/>
  <c r="AK219" i="42"/>
  <c r="P24" i="43"/>
  <c r="E125" i="40"/>
  <c r="D202" i="43"/>
  <c r="J96" i="43"/>
  <c r="D254" i="40"/>
  <c r="H347" i="43"/>
  <c r="B131" i="40"/>
  <c r="M369" i="43"/>
  <c r="J293" i="43"/>
  <c r="K288" i="43"/>
  <c r="D81" i="43"/>
  <c r="G332" i="43"/>
  <c r="E124" i="43"/>
  <c r="G369" i="43"/>
  <c r="M125" i="43"/>
  <c r="AE265" i="42"/>
  <c r="BQ30" i="42"/>
  <c r="BR184" i="42"/>
  <c r="H90" i="43"/>
  <c r="X49" i="42"/>
  <c r="D323" i="40"/>
  <c r="B207" i="40"/>
  <c r="B206" i="40"/>
  <c r="K358" i="43"/>
  <c r="K250" i="43"/>
  <c r="F149" i="43"/>
  <c r="N320" i="43"/>
  <c r="I274" i="43"/>
  <c r="F24" i="43"/>
  <c r="F316" i="43"/>
  <c r="E196" i="43"/>
  <c r="F319" i="40"/>
  <c r="E260" i="40"/>
  <c r="D135" i="43"/>
  <c r="B239" i="43"/>
  <c r="G68" i="40"/>
  <c r="B359" i="40"/>
  <c r="BQ134" i="42"/>
  <c r="BR132" i="42"/>
  <c r="G109" i="40"/>
  <c r="H210" i="43"/>
  <c r="E310" i="40"/>
  <c r="F306" i="40"/>
  <c r="AE252" i="42"/>
  <c r="D128" i="40"/>
  <c r="F143" i="40"/>
  <c r="BP114" i="42"/>
  <c r="G179" i="40"/>
  <c r="AK362" i="42"/>
  <c r="AK283" i="42"/>
  <c r="B269" i="43"/>
  <c r="D110" i="40"/>
  <c r="E364" i="44"/>
  <c r="E221" i="44"/>
  <c r="S291" i="42"/>
  <c r="L148" i="43"/>
  <c r="C178" i="40"/>
  <c r="N63" i="43"/>
  <c r="S181" i="42"/>
  <c r="P46" i="43"/>
  <c r="O63" i="43"/>
  <c r="J254" i="43"/>
  <c r="M46" i="43"/>
  <c r="G145" i="40"/>
  <c r="B14" i="40"/>
  <c r="S65" i="42"/>
  <c r="E263" i="40"/>
  <c r="I217" i="43"/>
  <c r="F207" i="43"/>
  <c r="O58" i="43"/>
  <c r="K62" i="43"/>
  <c r="N186" i="43"/>
  <c r="AK23" i="42"/>
  <c r="X315" i="42"/>
  <c r="F295" i="43"/>
  <c r="G83" i="43"/>
  <c r="AK100" i="42"/>
  <c r="BR110" i="42"/>
  <c r="G262" i="40"/>
  <c r="C95" i="40"/>
  <c r="L149" i="43"/>
  <c r="J215" i="43"/>
  <c r="Y247" i="42"/>
  <c r="G191" i="43"/>
  <c r="E309" i="40"/>
  <c r="K255" i="43"/>
  <c r="BP86" i="42"/>
  <c r="AJ293" i="42"/>
  <c r="AE135" i="42"/>
  <c r="E101" i="40"/>
  <c r="J63" i="43"/>
  <c r="G373" i="40"/>
  <c r="F218" i="43"/>
  <c r="P371" i="43"/>
  <c r="E130" i="40"/>
  <c r="E359" i="40"/>
  <c r="B245" i="43"/>
  <c r="F252" i="43"/>
  <c r="S315" i="42"/>
  <c r="D369" i="40"/>
  <c r="BP36" i="42"/>
  <c r="G357" i="40"/>
  <c r="H267" i="43"/>
  <c r="L141" i="43"/>
  <c r="M362" i="43"/>
  <c r="E21" i="43"/>
  <c r="F208" i="40"/>
  <c r="L40" i="43"/>
  <c r="G80" i="40"/>
  <c r="B246" i="43"/>
  <c r="G150" i="40"/>
  <c r="C222" i="44"/>
  <c r="AK350" i="42"/>
  <c r="BP237" i="42"/>
  <c r="B211" i="40"/>
  <c r="C82" i="44"/>
  <c r="F276" i="43"/>
  <c r="J307" i="43"/>
  <c r="BR69" i="42"/>
  <c r="C169" i="44"/>
  <c r="AK122" i="42"/>
  <c r="N294" i="43"/>
  <c r="M123" i="43"/>
  <c r="E322" i="44"/>
  <c r="AJ373" i="42"/>
  <c r="BP263" i="42"/>
  <c r="G271" i="43"/>
  <c r="E317" i="40"/>
  <c r="I276" i="43"/>
  <c r="F360" i="43"/>
  <c r="N122" i="43"/>
  <c r="C112" i="43"/>
  <c r="K360" i="43"/>
  <c r="H375" i="43"/>
  <c r="B372" i="43"/>
  <c r="F177" i="43"/>
  <c r="E59" i="43"/>
  <c r="E108" i="40"/>
  <c r="K14" i="43"/>
  <c r="Y313" i="42"/>
  <c r="D165" i="43"/>
  <c r="E168" i="43"/>
  <c r="AE219" i="42"/>
  <c r="AK178" i="42"/>
  <c r="E323" i="40"/>
  <c r="D107" i="43"/>
  <c r="B64" i="44"/>
  <c r="B138" i="40"/>
  <c r="AJ329" i="42"/>
  <c r="B295" i="43"/>
  <c r="L187" i="43"/>
  <c r="F370" i="43"/>
  <c r="B216" i="43"/>
  <c r="L20" i="43"/>
  <c r="K359" i="43"/>
  <c r="O294" i="43"/>
  <c r="D69" i="43"/>
  <c r="M19" i="43"/>
  <c r="C49" i="40"/>
  <c r="H135" i="43"/>
  <c r="H363" i="43"/>
  <c r="N266" i="43"/>
  <c r="BP39" i="42"/>
  <c r="F229" i="40"/>
  <c r="AE200" i="42"/>
  <c r="F88" i="43"/>
  <c r="S330" i="42"/>
  <c r="X45" i="42"/>
  <c r="B82" i="40"/>
  <c r="BR300" i="42"/>
  <c r="G288" i="43"/>
  <c r="S258" i="42"/>
  <c r="F43" i="40"/>
  <c r="F225" i="40"/>
  <c r="AP65" i="42"/>
  <c r="S332" i="42"/>
  <c r="J294" i="43"/>
  <c r="L333" i="43"/>
  <c r="E238" i="44"/>
  <c r="X101" i="42"/>
  <c r="C34" i="44"/>
  <c r="B263" i="43"/>
  <c r="D159" i="40"/>
  <c r="D314" i="40"/>
  <c r="F166" i="40"/>
  <c r="B206" i="43"/>
  <c r="N355" i="43"/>
  <c r="C109" i="43"/>
  <c r="E317" i="43"/>
  <c r="I254" i="43"/>
  <c r="J232" i="43"/>
  <c r="D91" i="40"/>
  <c r="F109" i="40"/>
  <c r="E234" i="40"/>
  <c r="G144" i="43"/>
  <c r="J174" i="43"/>
  <c r="I321" i="43"/>
  <c r="I332" i="43"/>
  <c r="AD171" i="42"/>
  <c r="AJ282" i="42"/>
  <c r="F96" i="40"/>
  <c r="D249" i="40"/>
  <c r="E53" i="44"/>
  <c r="E349" i="40"/>
  <c r="E30" i="40"/>
  <c r="BQ152" i="42"/>
  <c r="E85" i="40"/>
  <c r="J12" i="43"/>
  <c r="L118" i="43"/>
  <c r="Y105" i="42"/>
  <c r="D350" i="40"/>
  <c r="E252" i="40"/>
  <c r="AK231" i="42"/>
  <c r="S205" i="42"/>
  <c r="G302" i="40"/>
  <c r="C217" i="44"/>
  <c r="AJ27" i="42"/>
  <c r="N205" i="43"/>
  <c r="G349" i="43"/>
  <c r="E344" i="43"/>
  <c r="C46" i="43"/>
  <c r="E319" i="40"/>
  <c r="K337" i="43"/>
  <c r="E55" i="43"/>
  <c r="E228" i="43"/>
  <c r="S146" i="42"/>
  <c r="M232" i="43"/>
  <c r="C183" i="43"/>
  <c r="F261" i="43"/>
  <c r="G115" i="40"/>
  <c r="G312" i="43"/>
  <c r="L215" i="43"/>
  <c r="AE148" i="42"/>
  <c r="L343" i="43"/>
  <c r="C174" i="44"/>
  <c r="D164" i="40"/>
  <c r="AD151" i="42"/>
  <c r="E87" i="40"/>
  <c r="B95" i="43"/>
  <c r="AK273" i="42"/>
  <c r="AP202" i="42"/>
  <c r="AE41" i="42"/>
  <c r="O219" i="43"/>
  <c r="P95" i="43"/>
  <c r="G249" i="43"/>
  <c r="M45" i="43"/>
  <c r="F245" i="43"/>
  <c r="L66" i="43"/>
  <c r="E356" i="43"/>
  <c r="J111" i="43"/>
  <c r="D368" i="44"/>
  <c r="AJ91" i="42"/>
  <c r="X351" i="42"/>
  <c r="K37" i="43"/>
  <c r="B253" i="43"/>
  <c r="D158" i="43"/>
  <c r="F299" i="40"/>
  <c r="F64" i="43"/>
  <c r="AK242" i="42"/>
  <c r="K207" i="43"/>
  <c r="D130" i="40"/>
  <c r="H119" i="43"/>
  <c r="D221" i="43"/>
  <c r="L220" i="43"/>
  <c r="AK161" i="42"/>
  <c r="Y248" i="42"/>
  <c r="O364" i="43"/>
  <c r="J126" i="43"/>
  <c r="E46" i="40"/>
  <c r="D290" i="43"/>
  <c r="C78" i="40"/>
  <c r="BR175" i="42"/>
  <c r="X169" i="42"/>
  <c r="D337" i="43"/>
  <c r="G259" i="43"/>
  <c r="BP161" i="42"/>
  <c r="AP317" i="42"/>
  <c r="B50" i="43"/>
  <c r="J334" i="43"/>
  <c r="E272" i="43"/>
  <c r="N279" i="43"/>
  <c r="D40" i="43"/>
  <c r="G363" i="40"/>
  <c r="J230" i="43"/>
  <c r="D59" i="43"/>
  <c r="J368" i="43"/>
  <c r="K159" i="43"/>
  <c r="F316" i="40"/>
  <c r="D162" i="40"/>
  <c r="F67" i="43"/>
  <c r="S87" i="42"/>
  <c r="AE16" i="42"/>
  <c r="D278" i="40"/>
  <c r="AJ244" i="42"/>
  <c r="B27" i="44"/>
  <c r="K366" i="43"/>
  <c r="E132" i="44"/>
  <c r="X248" i="42"/>
  <c r="F270" i="43"/>
  <c r="H229" i="43"/>
  <c r="B270" i="40"/>
  <c r="D26" i="43"/>
  <c r="AJ240" i="42"/>
  <c r="N350" i="43"/>
  <c r="O95" i="43"/>
  <c r="F185" i="40"/>
  <c r="E124" i="44"/>
  <c r="AD113" i="42"/>
  <c r="BQ239" i="42"/>
  <c r="H83" i="43"/>
  <c r="G266" i="43"/>
  <c r="F320" i="43"/>
  <c r="Y42" i="42"/>
  <c r="BQ306" i="42"/>
  <c r="D310" i="43"/>
  <c r="S255" i="42"/>
  <c r="E284" i="40"/>
  <c r="G99" i="43"/>
  <c r="J182" i="43"/>
  <c r="N221" i="43"/>
  <c r="Y250" i="42"/>
  <c r="K134" i="43"/>
  <c r="D266" i="43"/>
  <c r="O107" i="43"/>
  <c r="F334" i="43"/>
  <c r="G345" i="43"/>
  <c r="D101" i="40"/>
  <c r="D329" i="40"/>
  <c r="G152" i="40"/>
  <c r="E85" i="44"/>
  <c r="G224" i="40"/>
  <c r="Y296" i="42"/>
  <c r="B52" i="44"/>
  <c r="AP289" i="42"/>
  <c r="G351" i="43"/>
  <c r="O38" i="43"/>
  <c r="F259" i="40"/>
  <c r="BP98" i="42"/>
  <c r="E116" i="44"/>
  <c r="F305" i="40"/>
  <c r="AK305" i="42"/>
  <c r="AJ261" i="42"/>
  <c r="BR320" i="42"/>
  <c r="AP260" i="42"/>
  <c r="AP306" i="42"/>
  <c r="O193" i="43"/>
  <c r="K357" i="43"/>
  <c r="J319" i="43"/>
  <c r="C280" i="43"/>
  <c r="Y285" i="42"/>
  <c r="O68" i="43"/>
  <c r="K153" i="43"/>
  <c r="BR46" i="42"/>
  <c r="K150" i="43"/>
  <c r="N236" i="43"/>
  <c r="J167" i="43"/>
  <c r="L217" i="43"/>
  <c r="N175" i="43"/>
  <c r="C228" i="43"/>
  <c r="O285" i="43"/>
  <c r="D74" i="43"/>
  <c r="Y221" i="42"/>
  <c r="BR181" i="42"/>
  <c r="AE236" i="42"/>
  <c r="H138" i="43"/>
  <c r="D226" i="40"/>
  <c r="AD338" i="42"/>
  <c r="C44" i="43"/>
  <c r="E231" i="40"/>
  <c r="F364" i="43"/>
  <c r="D76" i="40"/>
  <c r="J57" i="43"/>
  <c r="J295" i="43"/>
  <c r="E67" i="40"/>
  <c r="O181" i="43"/>
  <c r="C22" i="40"/>
  <c r="D27" i="40"/>
  <c r="D303" i="43"/>
  <c r="D39" i="44"/>
  <c r="AP229" i="42"/>
  <c r="AK72" i="42"/>
  <c r="K210" i="43"/>
  <c r="L316" i="43"/>
  <c r="E76" i="43"/>
  <c r="H97" i="43"/>
  <c r="C302" i="40"/>
  <c r="M47" i="43"/>
  <c r="H270" i="43"/>
  <c r="G357" i="43"/>
  <c r="I13" i="43"/>
  <c r="M101" i="43"/>
  <c r="L172" i="43"/>
  <c r="C117" i="40"/>
  <c r="C96" i="43"/>
  <c r="E250" i="43"/>
  <c r="AK43" i="42"/>
  <c r="P81" i="43"/>
  <c r="G161" i="40"/>
  <c r="BP180" i="42"/>
  <c r="AE42" i="42"/>
  <c r="C59" i="40"/>
  <c r="O361" i="43"/>
  <c r="O29" i="43"/>
  <c r="B114" i="44"/>
  <c r="P16" i="43"/>
  <c r="F253" i="40"/>
  <c r="P199" i="43"/>
  <c r="O354" i="43"/>
  <c r="AE99" i="42"/>
  <c r="J247" i="43"/>
  <c r="G253" i="43"/>
  <c r="K141" i="43"/>
  <c r="N135" i="43"/>
  <c r="F314" i="43"/>
  <c r="H262" i="43"/>
  <c r="G62" i="43"/>
  <c r="L60" i="43"/>
  <c r="D274" i="40"/>
  <c r="E333" i="44"/>
  <c r="E188" i="44"/>
  <c r="B203" i="44"/>
  <c r="E44" i="43"/>
  <c r="H351" i="43"/>
  <c r="E112" i="40"/>
  <c r="B286" i="44"/>
  <c r="AD158" i="42"/>
  <c r="H201" i="43"/>
  <c r="B259" i="40"/>
  <c r="AK359" i="42"/>
  <c r="B367" i="43"/>
  <c r="N129" i="43"/>
  <c r="M249" i="43"/>
  <c r="AD238" i="42"/>
  <c r="I74" i="43"/>
  <c r="X90" i="42"/>
  <c r="D316" i="44"/>
  <c r="B204" i="44"/>
  <c r="Y341" i="42"/>
  <c r="C190" i="40"/>
  <c r="G119" i="40"/>
  <c r="Y184" i="42"/>
  <c r="G344" i="40"/>
  <c r="J303" i="43"/>
  <c r="E358" i="40"/>
  <c r="I77" i="43"/>
  <c r="B85" i="40"/>
  <c r="J24" i="43"/>
  <c r="P91" i="43"/>
  <c r="B62" i="40"/>
  <c r="D349" i="43"/>
  <c r="D202" i="40"/>
  <c r="AE151" i="42"/>
  <c r="B20" i="43"/>
  <c r="K166" i="43"/>
  <c r="L371" i="43"/>
  <c r="S369" i="42"/>
  <c r="BP282" i="42"/>
  <c r="Y197" i="42"/>
  <c r="G283" i="43"/>
  <c r="C337" i="40"/>
  <c r="Y190" i="42"/>
  <c r="BQ257" i="42"/>
  <c r="N214" i="43"/>
  <c r="AK169" i="42"/>
  <c r="Y251" i="42"/>
  <c r="S316" i="42"/>
  <c r="O115" i="43"/>
  <c r="Y132" i="42"/>
  <c r="AJ224" i="42"/>
  <c r="E320" i="40"/>
  <c r="S188" i="42"/>
  <c r="D365" i="40"/>
  <c r="D87" i="44"/>
  <c r="L89" i="43"/>
  <c r="D39" i="40"/>
  <c r="B74" i="40"/>
  <c r="D128" i="44"/>
  <c r="AP371" i="42"/>
  <c r="K318" i="43"/>
  <c r="AK332" i="42"/>
  <c r="C107" i="43"/>
  <c r="E29" i="43"/>
  <c r="AK124" i="42"/>
  <c r="I24" i="43"/>
  <c r="E209" i="40"/>
  <c r="F369" i="43"/>
  <c r="I319" i="43"/>
  <c r="K92" i="43"/>
  <c r="J213" i="43"/>
  <c r="F119" i="43"/>
  <c r="F251" i="40"/>
  <c r="S236" i="42"/>
  <c r="BQ191" i="42"/>
  <c r="B329" i="43"/>
  <c r="H284" i="43"/>
  <c r="X265" i="42"/>
  <c r="AP243" i="42"/>
  <c r="BP249" i="42"/>
  <c r="J290" i="43"/>
  <c r="E300" i="40"/>
  <c r="K182" i="43"/>
  <c r="BQ248" i="42"/>
  <c r="O244" i="43"/>
  <c r="F298" i="43"/>
  <c r="B18" i="40"/>
  <c r="C339" i="44"/>
  <c r="L291" i="43"/>
  <c r="D258" i="40"/>
  <c r="B312" i="44"/>
  <c r="BQ92" i="42"/>
  <c r="O233" i="43"/>
  <c r="I374" i="43"/>
  <c r="E353" i="44"/>
  <c r="AE241" i="42"/>
  <c r="E64" i="43"/>
  <c r="F338" i="43"/>
  <c r="K215" i="43"/>
  <c r="C245" i="43"/>
  <c r="O22" i="43"/>
  <c r="I48" i="43"/>
  <c r="B43" i="43"/>
  <c r="O343" i="43"/>
  <c r="K334" i="43"/>
  <c r="K77" i="43"/>
  <c r="M192" i="43"/>
  <c r="G259" i="40"/>
  <c r="F192" i="40"/>
  <c r="C200" i="40"/>
  <c r="AP294" i="42"/>
  <c r="BR373" i="42"/>
  <c r="P62" i="43"/>
  <c r="K244" i="43"/>
  <c r="AJ326" i="42"/>
  <c r="O321" i="43"/>
  <c r="P297" i="43"/>
  <c r="F210" i="43"/>
  <c r="J207" i="43"/>
  <c r="N25" i="43"/>
  <c r="O251" i="43"/>
  <c r="J33" i="43"/>
  <c r="AK224" i="42"/>
  <c r="AK21" i="42"/>
  <c r="N138" i="43"/>
  <c r="D292" i="43"/>
  <c r="B248" i="43"/>
  <c r="F250" i="40"/>
  <c r="AE127" i="42"/>
  <c r="G273" i="40"/>
  <c r="D368" i="43"/>
  <c r="B33" i="40"/>
  <c r="K262" i="43"/>
  <c r="AE72" i="42"/>
  <c r="AJ251" i="42"/>
  <c r="I232" i="43"/>
  <c r="O345" i="43"/>
  <c r="J238" i="43"/>
  <c r="D324" i="40"/>
  <c r="Y28" i="42"/>
  <c r="AK143" i="42"/>
  <c r="J14" i="43"/>
  <c r="D73" i="40"/>
  <c r="AD303" i="42"/>
  <c r="AD302" i="42"/>
  <c r="AJ129" i="42"/>
  <c r="G300" i="40"/>
  <c r="S176" i="42"/>
  <c r="M217" i="43"/>
  <c r="G330" i="43"/>
  <c r="O179" i="43"/>
  <c r="D301" i="43"/>
  <c r="F241" i="43"/>
  <c r="L159" i="43"/>
  <c r="N371" i="43"/>
  <c r="N229" i="43"/>
  <c r="I223" i="43"/>
  <c r="I195" i="43"/>
  <c r="B313" i="40"/>
  <c r="F293" i="40"/>
  <c r="K185" i="43"/>
  <c r="M227" i="43"/>
  <c r="E34" i="40"/>
  <c r="M99" i="43"/>
  <c r="E217" i="44"/>
  <c r="K277" i="43"/>
  <c r="B219" i="40"/>
  <c r="C101" i="40"/>
  <c r="B153" i="40"/>
  <c r="D239" i="40"/>
  <c r="AE22" i="42"/>
  <c r="C66" i="44"/>
  <c r="J64" i="43"/>
  <c r="O210" i="43"/>
  <c r="F78" i="43"/>
  <c r="D188" i="40"/>
  <c r="L317" i="43"/>
  <c r="BQ318" i="42"/>
  <c r="E337" i="43"/>
  <c r="P14" i="43"/>
  <c r="X171" i="42"/>
  <c r="G127" i="40"/>
  <c r="AE194" i="42"/>
  <c r="P262" i="43"/>
  <c r="G178" i="40"/>
  <c r="X370" i="42"/>
  <c r="Y289" i="42"/>
  <c r="H109" i="43"/>
  <c r="H360" i="43"/>
  <c r="I227" i="43"/>
  <c r="AE340" i="42"/>
  <c r="C331" i="40"/>
  <c r="D172" i="40"/>
  <c r="O317" i="43"/>
  <c r="E370" i="43"/>
  <c r="J28" i="43"/>
  <c r="K219" i="43"/>
  <c r="E174" i="40"/>
  <c r="I102" i="43"/>
  <c r="L91" i="43"/>
  <c r="Y29" i="42"/>
  <c r="C323" i="40"/>
  <c r="B167" i="43"/>
  <c r="J107" i="43"/>
  <c r="C355" i="40"/>
  <c r="F200" i="40"/>
  <c r="L167" i="43"/>
  <c r="D141" i="44"/>
  <c r="O270" i="43"/>
  <c r="G322" i="40"/>
  <c r="O302" i="43"/>
  <c r="K116" i="43"/>
  <c r="BQ225" i="42"/>
  <c r="I272" i="43"/>
  <c r="AE29" i="42"/>
  <c r="B140" i="40"/>
  <c r="X225" i="42"/>
  <c r="X100" i="42"/>
  <c r="BQ350" i="42"/>
  <c r="H136" i="43"/>
  <c r="L308" i="43"/>
  <c r="BQ253" i="42"/>
  <c r="B137" i="40"/>
  <c r="E95" i="40"/>
  <c r="N190" i="43"/>
  <c r="B221" i="43"/>
  <c r="D349" i="40"/>
  <c r="B309" i="43"/>
  <c r="C372" i="40"/>
  <c r="F54" i="43"/>
  <c r="C272" i="40"/>
  <c r="E59" i="40"/>
  <c r="J42" i="43"/>
  <c r="K296" i="43"/>
  <c r="O256" i="43"/>
  <c r="C22" i="43"/>
  <c r="BQ170" i="42"/>
  <c r="E151" i="44"/>
  <c r="BR42" i="42"/>
  <c r="H207" i="43"/>
  <c r="C247" i="40"/>
  <c r="B42" i="40"/>
  <c r="C261" i="44"/>
  <c r="D142" i="43"/>
  <c r="P271" i="43"/>
  <c r="F199" i="43"/>
  <c r="B60" i="43"/>
  <c r="C130" i="43"/>
  <c r="F350" i="40"/>
  <c r="D374" i="43"/>
  <c r="M284" i="43"/>
  <c r="O194" i="43"/>
  <c r="D304" i="43"/>
  <c r="G262" i="43"/>
  <c r="M33" i="43"/>
  <c r="D372" i="43"/>
  <c r="F304" i="43"/>
  <c r="C284" i="40"/>
  <c r="F194" i="40"/>
  <c r="D285" i="43"/>
  <c r="G149" i="40"/>
  <c r="C114" i="44"/>
  <c r="B304" i="44"/>
  <c r="AP94" i="42"/>
  <c r="O72" i="43"/>
  <c r="B54" i="43"/>
  <c r="D43" i="40"/>
  <c r="G80" i="43"/>
  <c r="F93" i="40"/>
  <c r="BP20" i="42"/>
  <c r="Y56" i="42"/>
  <c r="E289" i="40"/>
  <c r="C348" i="40"/>
  <c r="AP156" i="42"/>
  <c r="X37" i="42"/>
  <c r="C331" i="43"/>
  <c r="D43" i="43"/>
  <c r="K238" i="43"/>
  <c r="AE357" i="42"/>
  <c r="BP157" i="42"/>
  <c r="K20" i="43"/>
  <c r="F317" i="43"/>
  <c r="G13" i="40"/>
  <c r="F287" i="43"/>
  <c r="AK289" i="42"/>
  <c r="K74" i="43"/>
  <c r="P340" i="43"/>
  <c r="J196" i="43"/>
  <c r="G203" i="40"/>
  <c r="G168" i="43"/>
  <c r="AE137" i="42"/>
  <c r="F150" i="43"/>
  <c r="L369" i="43"/>
  <c r="D18" i="44"/>
  <c r="I220" i="43"/>
  <c r="C289" i="40"/>
  <c r="J43" i="43"/>
  <c r="F338" i="40"/>
  <c r="D297" i="44"/>
  <c r="G258" i="40"/>
  <c r="N40" i="43"/>
  <c r="N303" i="43"/>
  <c r="H285" i="43"/>
  <c r="G299" i="40"/>
  <c r="C315" i="40"/>
  <c r="J94" i="43"/>
  <c r="BP13" i="42"/>
  <c r="X107" i="42"/>
  <c r="BQ62" i="42"/>
  <c r="M327" i="43"/>
  <c r="G202" i="43"/>
  <c r="M340" i="43"/>
  <c r="B195" i="43"/>
  <c r="B43" i="40"/>
  <c r="E164" i="44"/>
  <c r="AJ153" i="42"/>
  <c r="G78" i="43"/>
  <c r="F41" i="40"/>
  <c r="H234" i="43"/>
  <c r="F55" i="43"/>
  <c r="J347" i="43"/>
  <c r="I229" i="43"/>
  <c r="C70" i="40"/>
  <c r="M349" i="43"/>
  <c r="AK320" i="42"/>
  <c r="G196" i="43"/>
  <c r="AE353" i="42"/>
  <c r="B46" i="40"/>
  <c r="AK139" i="42"/>
  <c r="AK180" i="42"/>
  <c r="G340" i="40"/>
  <c r="B175" i="40"/>
  <c r="D268" i="40"/>
  <c r="AK57" i="42"/>
  <c r="B248" i="44"/>
  <c r="J15" i="43"/>
  <c r="S126" i="42"/>
  <c r="AK176" i="42"/>
  <c r="D223" i="40"/>
  <c r="C100" i="43"/>
  <c r="J183" i="43"/>
  <c r="E66" i="40"/>
  <c r="BQ86" i="42"/>
  <c r="AJ183" i="42"/>
  <c r="Y268" i="42"/>
  <c r="BR372" i="42"/>
  <c r="AD12" i="42"/>
  <c r="BQ315" i="42"/>
  <c r="K194" i="43"/>
  <c r="M273" i="43"/>
  <c r="E86" i="44"/>
  <c r="D151" i="44"/>
  <c r="K313" i="43"/>
  <c r="I365" i="43"/>
  <c r="F369" i="40"/>
  <c r="D325" i="40"/>
  <c r="D30" i="40"/>
  <c r="L193" i="43"/>
  <c r="B117" i="43"/>
  <c r="C71" i="43"/>
  <c r="K198" i="43"/>
  <c r="J309" i="43"/>
  <c r="L289" i="43"/>
  <c r="F115" i="43"/>
  <c r="N94" i="43"/>
  <c r="AE350" i="42"/>
  <c r="AE84" i="42"/>
  <c r="F320" i="40"/>
  <c r="N340" i="43"/>
  <c r="M177" i="43"/>
  <c r="O231" i="43"/>
  <c r="D305" i="43"/>
  <c r="E179" i="43"/>
  <c r="B168" i="43"/>
  <c r="Y87" i="42"/>
  <c r="O53" i="43"/>
  <c r="G154" i="40"/>
  <c r="S180" i="42"/>
  <c r="B250" i="43"/>
  <c r="P286" i="43"/>
  <c r="E227" i="43"/>
  <c r="BQ356" i="42"/>
  <c r="G95" i="40"/>
  <c r="H193" i="43"/>
  <c r="B41" i="40"/>
  <c r="D29" i="40"/>
  <c r="AJ254" i="42"/>
  <c r="C283" i="44"/>
  <c r="BR128" i="42"/>
  <c r="M280" i="43"/>
  <c r="K311" i="43"/>
  <c r="L271" i="43"/>
  <c r="G344" i="43"/>
  <c r="C214" i="44"/>
  <c r="BP242" i="42"/>
  <c r="S202" i="42"/>
  <c r="AE333" i="42"/>
  <c r="X285" i="42"/>
  <c r="B358" i="44"/>
  <c r="F169" i="40"/>
  <c r="I260" i="43"/>
  <c r="C80" i="40"/>
  <c r="BQ222" i="42"/>
  <c r="K351" i="43"/>
  <c r="N326" i="43"/>
  <c r="P63" i="43"/>
  <c r="K22" i="43"/>
  <c r="P348" i="43"/>
  <c r="K329" i="43"/>
  <c r="O31" i="43"/>
  <c r="I239" i="43"/>
  <c r="N99" i="43"/>
  <c r="N228" i="43"/>
  <c r="E18" i="40"/>
  <c r="O349" i="43"/>
  <c r="D315" i="40"/>
  <c r="G29" i="43"/>
  <c r="C77" i="40"/>
  <c r="BP311" i="42"/>
  <c r="E39" i="40"/>
  <c r="BR147" i="42"/>
  <c r="C277" i="40"/>
  <c r="E82" i="44"/>
  <c r="F18" i="40"/>
  <c r="BP316" i="42"/>
  <c r="AK149" i="42"/>
  <c r="L183" i="43"/>
  <c r="I117" i="43"/>
  <c r="BQ35" i="42"/>
  <c r="E310" i="43"/>
  <c r="AP181" i="42"/>
  <c r="D356" i="40"/>
  <c r="G220" i="40"/>
  <c r="BQ184" i="42"/>
  <c r="AE54" i="42"/>
  <c r="S280" i="42"/>
  <c r="L35" i="43"/>
  <c r="F180" i="43"/>
  <c r="Y199" i="42"/>
  <c r="S143" i="42"/>
  <c r="BQ175" i="42"/>
  <c r="P133" i="43"/>
  <c r="N285" i="43"/>
  <c r="AE313" i="42"/>
  <c r="G244" i="40"/>
  <c r="G194" i="43"/>
  <c r="B129" i="43"/>
  <c r="C279" i="43"/>
  <c r="O149" i="43"/>
  <c r="S160" i="42"/>
  <c r="K373" i="43"/>
  <c r="M222" i="43"/>
  <c r="M39" i="43"/>
  <c r="AJ19" i="42"/>
  <c r="X104" i="42"/>
  <c r="N109" i="43"/>
  <c r="N171" i="43"/>
  <c r="S93" i="42"/>
  <c r="E354" i="40"/>
  <c r="G327" i="40"/>
  <c r="D138" i="44"/>
  <c r="C258" i="43"/>
  <c r="D78" i="40"/>
  <c r="B334" i="40"/>
  <c r="C66" i="40"/>
  <c r="Y271" i="42"/>
  <c r="S142" i="42"/>
  <c r="G79" i="40"/>
  <c r="B193" i="40"/>
  <c r="Y239" i="42"/>
  <c r="AD211" i="42"/>
  <c r="AK253" i="42"/>
  <c r="K323" i="43"/>
  <c r="S59" i="42"/>
  <c r="AD56" i="42"/>
  <c r="AJ40" i="42"/>
  <c r="B271" i="40"/>
  <c r="D105" i="43"/>
  <c r="M200" i="43"/>
  <c r="G125" i="43"/>
  <c r="J132" i="43"/>
  <c r="K125" i="43"/>
  <c r="J264" i="43"/>
  <c r="K278" i="43"/>
  <c r="K88" i="43"/>
  <c r="K257" i="43"/>
  <c r="P156" i="43"/>
  <c r="K259" i="43"/>
  <c r="B236" i="43"/>
  <c r="D159" i="44"/>
  <c r="E215" i="43"/>
  <c r="M283" i="43"/>
  <c r="D322" i="40"/>
  <c r="D99" i="40"/>
  <c r="E371" i="40"/>
  <c r="G236" i="40"/>
  <c r="L48" i="43"/>
  <c r="Y203" i="42"/>
  <c r="G280" i="43"/>
  <c r="G198" i="43"/>
  <c r="D264" i="40"/>
  <c r="G199" i="43"/>
  <c r="P170" i="43"/>
  <c r="I222" i="43"/>
  <c r="AK295" i="42"/>
  <c r="O191" i="43"/>
  <c r="B213" i="40"/>
  <c r="E139" i="40"/>
  <c r="C84" i="43"/>
  <c r="E88" i="40"/>
  <c r="S322" i="42"/>
  <c r="B325" i="40"/>
  <c r="G169" i="40"/>
  <c r="D276" i="40"/>
  <c r="E15" i="44"/>
  <c r="AD41" i="42"/>
  <c r="D227" i="43"/>
  <c r="B302" i="40"/>
  <c r="S194" i="42"/>
  <c r="E107" i="44"/>
  <c r="Y69" i="42"/>
  <c r="Y323" i="42"/>
  <c r="AP187" i="42"/>
  <c r="D331" i="40"/>
  <c r="D111" i="44"/>
  <c r="E119" i="43"/>
  <c r="AE73" i="42"/>
  <c r="E201" i="43"/>
  <c r="H188" i="43"/>
  <c r="B94" i="40"/>
  <c r="S353" i="42"/>
  <c r="D115" i="44"/>
  <c r="C193" i="43"/>
  <c r="I120" i="43"/>
  <c r="G189" i="40"/>
  <c r="N187" i="43"/>
  <c r="L370" i="43"/>
  <c r="B64" i="43"/>
  <c r="C106" i="43"/>
  <c r="E321" i="43"/>
  <c r="O167" i="43"/>
  <c r="O305" i="43"/>
  <c r="M265" i="43"/>
  <c r="N276" i="43"/>
  <c r="C26" i="43"/>
  <c r="N193" i="43"/>
  <c r="E122" i="40"/>
  <c r="BR187" i="42"/>
  <c r="S265" i="42"/>
  <c r="AP277" i="42"/>
  <c r="B354" i="44"/>
  <c r="B365" i="44"/>
  <c r="E332" i="43"/>
  <c r="G213" i="40"/>
  <c r="G20" i="43"/>
  <c r="BQ329" i="42"/>
  <c r="C189" i="44"/>
  <c r="G190" i="40"/>
  <c r="BR63" i="42"/>
  <c r="C219" i="44"/>
  <c r="B117" i="44"/>
  <c r="E165" i="40"/>
  <c r="BR255" i="42"/>
  <c r="B310" i="43"/>
  <c r="BR274" i="42"/>
  <c r="K59" i="43"/>
  <c r="D376" i="44"/>
  <c r="J112" i="43"/>
  <c r="N188" i="43"/>
  <c r="C360" i="40"/>
  <c r="L258" i="43"/>
  <c r="J20" i="43"/>
  <c r="F318" i="43"/>
  <c r="J180" i="43"/>
  <c r="E245" i="40"/>
  <c r="G33" i="40"/>
  <c r="H31" i="43"/>
  <c r="F231" i="43"/>
  <c r="D13" i="43"/>
  <c r="F110" i="43"/>
  <c r="B312" i="40"/>
  <c r="M324" i="43"/>
  <c r="B139" i="40"/>
  <c r="BR256" i="42"/>
  <c r="BR100" i="42"/>
  <c r="E53" i="43"/>
  <c r="AD118" i="42"/>
  <c r="C301" i="44"/>
  <c r="N369" i="43"/>
  <c r="AE153" i="42"/>
  <c r="D80" i="40"/>
  <c r="F114" i="40"/>
  <c r="BP292" i="42"/>
  <c r="K252" i="43"/>
  <c r="N248" i="43"/>
  <c r="AP44" i="42"/>
  <c r="AK83" i="42"/>
  <c r="E249" i="40"/>
  <c r="BQ288" i="42"/>
  <c r="BP301" i="42"/>
  <c r="G54" i="40"/>
  <c r="B81" i="40"/>
  <c r="AK323" i="42"/>
  <c r="BP33" i="42"/>
  <c r="M100" i="43"/>
  <c r="E11" i="43"/>
  <c r="J80" i="43"/>
  <c r="G45" i="40"/>
  <c r="Y162" i="42"/>
  <c r="D370" i="40"/>
  <c r="N362" i="43"/>
  <c r="P246" i="43"/>
  <c r="F351" i="43"/>
  <c r="P40" i="43"/>
  <c r="I177" i="43"/>
  <c r="F83" i="43"/>
  <c r="E302" i="44"/>
  <c r="P149" i="43"/>
  <c r="P132" i="43"/>
  <c r="AP292" i="42"/>
  <c r="D275" i="44"/>
  <c r="B109" i="44"/>
  <c r="BP213" i="42"/>
  <c r="M14" i="43"/>
  <c r="F266" i="43"/>
  <c r="L86" i="43"/>
  <c r="C286" i="43"/>
  <c r="F187" i="40"/>
  <c r="K160" i="43"/>
  <c r="G172" i="43"/>
  <c r="N149" i="43"/>
  <c r="P155" i="43"/>
  <c r="O220" i="43"/>
  <c r="BQ370" i="42"/>
  <c r="F211" i="40"/>
  <c r="B285" i="40"/>
  <c r="Y372" i="42"/>
  <c r="N14" i="43"/>
  <c r="C186" i="40"/>
  <c r="AE32" i="42"/>
  <c r="AP159" i="42"/>
  <c r="C207" i="44"/>
  <c r="AD63" i="42"/>
  <c r="C300" i="40"/>
  <c r="O313" i="43"/>
  <c r="D261" i="40"/>
  <c r="G60" i="40"/>
  <c r="BP352" i="42"/>
  <c r="BR206" i="42"/>
  <c r="G54" i="43"/>
  <c r="C93" i="40"/>
  <c r="Y27" i="42"/>
  <c r="C118" i="44"/>
  <c r="C134" i="44"/>
  <c r="E329" i="40"/>
  <c r="AK156" i="42"/>
  <c r="Y308" i="42"/>
  <c r="BQ108" i="42"/>
  <c r="AE157" i="42"/>
  <c r="B282" i="43"/>
  <c r="N165" i="43"/>
  <c r="H107" i="43"/>
  <c r="M250" i="43"/>
  <c r="D243" i="40"/>
  <c r="O79" i="43"/>
  <c r="M42" i="43"/>
  <c r="AE249" i="42"/>
  <c r="B71" i="43"/>
  <c r="N59" i="43"/>
  <c r="H175" i="43"/>
  <c r="E199" i="43"/>
  <c r="M274" i="43"/>
  <c r="G160" i="40"/>
  <c r="Y95" i="42"/>
  <c r="AK33" i="42"/>
  <c r="AJ163" i="42"/>
  <c r="D270" i="44"/>
  <c r="D269" i="43"/>
  <c r="E318" i="44"/>
  <c r="O283" i="43"/>
  <c r="D157" i="43"/>
  <c r="H204" i="43"/>
  <c r="B25" i="40"/>
  <c r="G47" i="40"/>
  <c r="BQ157" i="42"/>
  <c r="AJ366" i="42"/>
  <c r="E133" i="40"/>
  <c r="E161" i="44"/>
  <c r="S228" i="42"/>
  <c r="E43" i="44"/>
  <c r="M31" i="43"/>
  <c r="D320" i="40"/>
  <c r="B264" i="40"/>
  <c r="D276" i="44"/>
  <c r="F237" i="40"/>
  <c r="M109" i="43"/>
  <c r="AK55" i="42"/>
  <c r="E81" i="43"/>
  <c r="E374" i="40"/>
  <c r="G113" i="40"/>
  <c r="C308" i="40"/>
  <c r="J355" i="43"/>
  <c r="AK318" i="42"/>
  <c r="P123" i="43"/>
  <c r="G43" i="43"/>
  <c r="F35" i="43"/>
  <c r="BR216" i="42"/>
  <c r="BQ162" i="42"/>
  <c r="BQ226" i="42"/>
  <c r="M148" i="43"/>
  <c r="K342" i="43"/>
  <c r="S341" i="42"/>
  <c r="C17" i="44"/>
  <c r="N268" i="43"/>
  <c r="C16" i="44"/>
  <c r="E83" i="43"/>
  <c r="Y374" i="42"/>
  <c r="D217" i="40"/>
  <c r="BQ274" i="42"/>
  <c r="G37" i="40"/>
  <c r="F268" i="43"/>
  <c r="E69" i="40"/>
  <c r="G298" i="43"/>
  <c r="D173" i="40"/>
  <c r="C322" i="44"/>
  <c r="S182" i="42"/>
  <c r="K263" i="43"/>
  <c r="L88" i="43"/>
  <c r="AE225" i="42"/>
  <c r="D237" i="44"/>
  <c r="BR356" i="42"/>
  <c r="N136" i="43"/>
  <c r="B52" i="43"/>
  <c r="M224" i="43"/>
  <c r="G242" i="40"/>
  <c r="D11" i="40"/>
  <c r="F366" i="43"/>
  <c r="K104" i="43"/>
  <c r="F116" i="40"/>
  <c r="D306" i="43"/>
  <c r="G333" i="40"/>
  <c r="AK187" i="42"/>
  <c r="K154" i="43"/>
  <c r="M370" i="43"/>
  <c r="F58" i="40"/>
  <c r="E166" i="44"/>
  <c r="L246" i="43"/>
  <c r="E335" i="43"/>
  <c r="AJ30" i="42"/>
  <c r="AK148" i="42"/>
  <c r="K17" i="43"/>
  <c r="AE165" i="42"/>
  <c r="O139" i="43"/>
  <c r="P232" i="43"/>
  <c r="I188" i="43"/>
  <c r="B130" i="44"/>
  <c r="O284" i="43"/>
  <c r="AK347" i="42"/>
  <c r="E31" i="44"/>
  <c r="C220" i="44"/>
  <c r="D44" i="44"/>
  <c r="D213" i="44"/>
  <c r="BR80" i="42"/>
  <c r="C222" i="43"/>
  <c r="I336" i="43"/>
  <c r="K115" i="43"/>
  <c r="BQ367" i="42"/>
  <c r="S107" i="42"/>
  <c r="F372" i="43"/>
  <c r="F175" i="43"/>
  <c r="I88" i="43"/>
  <c r="E354" i="43"/>
  <c r="B248" i="40"/>
  <c r="M229" i="43"/>
  <c r="N97" i="43"/>
  <c r="S128" i="42"/>
  <c r="G197" i="43"/>
  <c r="B75" i="40"/>
  <c r="K335" i="43"/>
  <c r="O82" i="43"/>
  <c r="B211" i="43"/>
  <c r="L32" i="43"/>
  <c r="AP26" i="42"/>
  <c r="E229" i="40"/>
  <c r="C173" i="40"/>
  <c r="BR265" i="42"/>
  <c r="C131" i="44"/>
  <c r="D348" i="40"/>
  <c r="F34" i="43"/>
  <c r="P77" i="43"/>
  <c r="J109" i="43"/>
  <c r="N244" i="43"/>
  <c r="D71" i="43"/>
  <c r="H308" i="43"/>
  <c r="K299" i="43"/>
  <c r="M85" i="43"/>
  <c r="F66" i="40"/>
  <c r="C73" i="43"/>
  <c r="S158" i="42"/>
  <c r="K347" i="43"/>
  <c r="P305" i="43"/>
  <c r="S264" i="42"/>
  <c r="C328" i="43"/>
  <c r="B371" i="40"/>
  <c r="AE122" i="42"/>
  <c r="I338" i="43"/>
  <c r="C267" i="40"/>
  <c r="S119" i="42"/>
  <c r="BQ279" i="42"/>
  <c r="X76" i="42"/>
  <c r="E37" i="43"/>
  <c r="J118" i="43"/>
  <c r="C49" i="43"/>
  <c r="M170" i="43"/>
  <c r="O47" i="43"/>
  <c r="Y121" i="42"/>
  <c r="M110" i="43"/>
  <c r="S204" i="42"/>
  <c r="G168" i="40"/>
  <c r="L57" i="43"/>
  <c r="B81" i="43"/>
  <c r="B57" i="43"/>
  <c r="E98" i="43"/>
  <c r="B31" i="43"/>
  <c r="AD267" i="42"/>
  <c r="S355" i="42"/>
  <c r="AP235" i="42"/>
  <c r="B267" i="40"/>
  <c r="B202" i="44"/>
  <c r="X193" i="42"/>
  <c r="AJ289" i="42"/>
  <c r="F19" i="43"/>
  <c r="AK200" i="42"/>
  <c r="H324" i="43"/>
  <c r="D297" i="43"/>
  <c r="B355" i="43"/>
  <c r="AE352" i="42"/>
  <c r="B155" i="40"/>
  <c r="Y279" i="42"/>
  <c r="BP58" i="42"/>
  <c r="AE207" i="42"/>
  <c r="S304" i="42"/>
  <c r="K27" i="43"/>
  <c r="Y104" i="42"/>
  <c r="N15" i="43"/>
  <c r="E301" i="44"/>
  <c r="AE318" i="42"/>
  <c r="O259" i="43"/>
  <c r="M104" i="43"/>
  <c r="X98" i="42"/>
  <c r="F138" i="43"/>
  <c r="E255" i="40"/>
  <c r="D175" i="40"/>
  <c r="O215" i="43"/>
  <c r="B339" i="40"/>
  <c r="J152" i="43"/>
  <c r="D360" i="43"/>
  <c r="K320" i="43"/>
  <c r="X314" i="42"/>
  <c r="AE359" i="42"/>
  <c r="BP250" i="42"/>
  <c r="C132" i="43"/>
  <c r="I113" i="43"/>
  <c r="BR270" i="42"/>
  <c r="BP217" i="42"/>
  <c r="N339" i="43"/>
  <c r="F295" i="40"/>
  <c r="BP163" i="42"/>
  <c r="H371" i="43"/>
  <c r="AP301" i="42"/>
  <c r="C277" i="44"/>
  <c r="I236" i="43"/>
  <c r="B272" i="43"/>
  <c r="M348" i="43"/>
  <c r="AD251" i="42"/>
  <c r="Y363" i="42"/>
  <c r="BR78" i="42"/>
  <c r="M221" i="43"/>
  <c r="N291" i="43"/>
  <c r="X78" i="42"/>
  <c r="E11" i="40"/>
  <c r="X139" i="42"/>
  <c r="F255" i="40"/>
  <c r="AP359" i="42"/>
  <c r="E39" i="43"/>
  <c r="D326" i="44"/>
  <c r="N317" i="43"/>
  <c r="AE366" i="42"/>
  <c r="H85" i="43"/>
  <c r="N153" i="43"/>
  <c r="BQ59" i="42"/>
  <c r="J374" i="43"/>
  <c r="AP256" i="42"/>
  <c r="AK233" i="42"/>
  <c r="AP182" i="42"/>
  <c r="N237" i="43"/>
  <c r="F31" i="43"/>
  <c r="Y82" i="42"/>
  <c r="E310" i="44"/>
  <c r="AE160" i="42"/>
  <c r="F111" i="40"/>
  <c r="BR193" i="42"/>
  <c r="M88" i="43"/>
  <c r="M363" i="43"/>
  <c r="O25" i="43"/>
  <c r="C345" i="40"/>
  <c r="AD334" i="42"/>
  <c r="E361" i="40"/>
  <c r="C257" i="40"/>
  <c r="E341" i="40"/>
  <c r="AJ69" i="42"/>
  <c r="B151" i="40"/>
  <c r="AP226" i="42"/>
  <c r="L165" i="43"/>
  <c r="S133" i="42"/>
  <c r="D62" i="40"/>
  <c r="C282" i="44"/>
  <c r="BR140" i="42"/>
  <c r="BQ228" i="42"/>
  <c r="S94" i="42"/>
  <c r="AE25" i="42"/>
  <c r="C242" i="44"/>
  <c r="BP49" i="42"/>
  <c r="D339" i="40"/>
  <c r="C119" i="43"/>
  <c r="L64" i="43"/>
  <c r="G83" i="40"/>
  <c r="AE82" i="42"/>
  <c r="BR279" i="42"/>
  <c r="C250" i="44"/>
  <c r="D63" i="43"/>
  <c r="B145" i="43"/>
  <c r="M185" i="43"/>
  <c r="Y213" i="42"/>
  <c r="C100" i="40"/>
  <c r="N272" i="43"/>
  <c r="G156" i="40"/>
  <c r="F199" i="40"/>
  <c r="M191" i="43"/>
  <c r="P69" i="43"/>
  <c r="K99" i="43"/>
  <c r="AP178" i="42"/>
  <c r="AE264" i="42"/>
  <c r="C351" i="44"/>
  <c r="B230" i="44"/>
  <c r="J62" i="43"/>
  <c r="F357" i="40"/>
  <c r="S287" i="42"/>
  <c r="AW12" i="42"/>
  <c r="G260" i="40"/>
  <c r="E26" i="40"/>
  <c r="E160" i="40"/>
  <c r="AK281" i="42"/>
  <c r="AK158" i="42"/>
  <c r="AP161" i="42"/>
  <c r="BP113" i="42"/>
  <c r="L274" i="43"/>
  <c r="X197" i="42"/>
  <c r="M288" i="43"/>
  <c r="E23" i="40"/>
  <c r="Y329" i="42"/>
  <c r="L24" i="43"/>
  <c r="BR44" i="42"/>
  <c r="O166" i="43"/>
  <c r="C142" i="43"/>
  <c r="D170" i="44"/>
  <c r="BQ17" i="42"/>
  <c r="G227" i="43"/>
  <c r="X273" i="42"/>
  <c r="BR13" i="42"/>
  <c r="BR93" i="42"/>
  <c r="BP99" i="42"/>
  <c r="G163" i="43"/>
  <c r="E216" i="44"/>
  <c r="L18" i="43"/>
  <c r="Y231" i="42"/>
  <c r="D258" i="43"/>
  <c r="BR24" i="42"/>
  <c r="AK90" i="42"/>
  <c r="Y254" i="42"/>
  <c r="B257" i="43"/>
  <c r="O331" i="43"/>
  <c r="BR268" i="42"/>
  <c r="B115" i="43"/>
  <c r="E281" i="44"/>
  <c r="E254" i="40"/>
  <c r="I251" i="43"/>
  <c r="D228" i="44"/>
  <c r="G359" i="40"/>
  <c r="AK123" i="42"/>
  <c r="D313" i="40"/>
  <c r="BR29" i="42"/>
  <c r="G290" i="43"/>
  <c r="AJ323" i="42"/>
  <c r="B148" i="40"/>
  <c r="C156" i="44"/>
  <c r="AD38" i="42"/>
  <c r="D265" i="44"/>
  <c r="J19" i="43"/>
  <c r="Y14" i="42"/>
  <c r="AP337" i="42"/>
  <c r="Y176" i="42"/>
  <c r="BP179" i="42"/>
  <c r="BR364" i="42"/>
  <c r="E330" i="43"/>
  <c r="C350" i="40"/>
  <c r="E167" i="44"/>
  <c r="B19" i="43"/>
  <c r="I69" i="43"/>
  <c r="M196" i="43"/>
  <c r="G76" i="43"/>
  <c r="G209" i="40"/>
  <c r="BP354" i="42"/>
  <c r="AE136" i="42"/>
  <c r="C123" i="40"/>
  <c r="X159" i="42"/>
  <c r="AJ368" i="42"/>
  <c r="K362" i="43"/>
  <c r="J222" i="43"/>
  <c r="C88" i="40"/>
  <c r="G15" i="40"/>
  <c r="AK145" i="42"/>
  <c r="BQ98" i="42"/>
  <c r="P301" i="43"/>
  <c r="F156" i="43"/>
  <c r="H39" i="43"/>
  <c r="F352" i="43"/>
  <c r="O168" i="43"/>
  <c r="N114" i="43"/>
  <c r="BP145" i="42"/>
  <c r="H93" i="43"/>
  <c r="F271" i="40"/>
  <c r="J285" i="43"/>
  <c r="N200" i="43"/>
  <c r="G160" i="43"/>
  <c r="L247" i="43"/>
  <c r="AD341" i="42"/>
  <c r="J268" i="43"/>
  <c r="E251" i="43"/>
  <c r="B310" i="40"/>
  <c r="AP162" i="42"/>
  <c r="BQ90" i="42"/>
  <c r="E347" i="44"/>
  <c r="M71" i="43"/>
  <c r="E223" i="40"/>
  <c r="P57" i="43"/>
  <c r="B274" i="43"/>
  <c r="D175" i="43"/>
  <c r="K177" i="43"/>
  <c r="P320" i="43"/>
  <c r="C187" i="40"/>
  <c r="F194" i="43"/>
  <c r="L188" i="43"/>
  <c r="D72" i="43"/>
  <c r="J110" i="43"/>
  <c r="J269" i="43"/>
  <c r="C285" i="43"/>
  <c r="AK65" i="42"/>
  <c r="S175" i="42"/>
  <c r="K43" i="43"/>
  <c r="Y235" i="42"/>
  <c r="C55" i="40"/>
  <c r="E22" i="44"/>
  <c r="I347" i="43"/>
  <c r="AJ364" i="42"/>
  <c r="L162" i="43"/>
  <c r="I184" i="43"/>
  <c r="C131" i="43"/>
  <c r="AE125" i="42"/>
  <c r="C148" i="40"/>
  <c r="E68" i="43"/>
  <c r="J372" i="43"/>
  <c r="E71" i="40"/>
  <c r="E288" i="43"/>
  <c r="F119" i="40"/>
  <c r="J210" i="43"/>
  <c r="C184" i="43"/>
  <c r="B34" i="43"/>
  <c r="I246" i="43"/>
  <c r="G273" i="43"/>
  <c r="BR330" i="42"/>
  <c r="B315" i="40"/>
  <c r="D19" i="40"/>
  <c r="F286" i="43"/>
  <c r="BP258" i="42"/>
  <c r="AD64" i="42"/>
  <c r="C136" i="43"/>
  <c r="F365" i="43"/>
  <c r="J283" i="43"/>
  <c r="AE192" i="42"/>
  <c r="G352" i="43"/>
  <c r="S34" i="42"/>
  <c r="D34" i="40"/>
  <c r="Y179" i="42"/>
  <c r="B214" i="44"/>
  <c r="B131" i="44"/>
  <c r="BR107" i="42"/>
  <c r="G313" i="40"/>
  <c r="O353" i="43"/>
  <c r="B66" i="40"/>
  <c r="P338" i="43"/>
  <c r="F245" i="40"/>
  <c r="G226" i="43"/>
  <c r="Y371" i="42"/>
  <c r="BR43" i="42"/>
  <c r="E63" i="43"/>
  <c r="B149" i="40"/>
  <c r="BQ68" i="42"/>
  <c r="F174" i="43"/>
  <c r="BQ135" i="42"/>
  <c r="AK64" i="42"/>
  <c r="G111" i="40"/>
  <c r="BR183" i="42"/>
  <c r="D55" i="44"/>
  <c r="C106" i="44"/>
  <c r="AE229" i="42"/>
  <c r="O372" i="43"/>
  <c r="I270" i="43"/>
  <c r="B216" i="40"/>
  <c r="O326" i="43"/>
  <c r="E354" i="44"/>
  <c r="AD264" i="42"/>
  <c r="AP236" i="42"/>
  <c r="BR201" i="42"/>
  <c r="BR153" i="42"/>
  <c r="E350" i="44"/>
  <c r="J169" i="43"/>
  <c r="F303" i="40"/>
  <c r="D50" i="40"/>
  <c r="B323" i="44"/>
  <c r="BR253" i="42"/>
  <c r="AJ243" i="42"/>
  <c r="Y198" i="42"/>
  <c r="E128" i="40"/>
  <c r="G291" i="40"/>
  <c r="C13" i="43"/>
  <c r="X158" i="42"/>
  <c r="D39" i="43"/>
  <c r="D234" i="40"/>
  <c r="BP12" i="42"/>
  <c r="D161" i="40"/>
  <c r="AJ327" i="42"/>
  <c r="J159" i="43"/>
  <c r="B316" i="40"/>
  <c r="AK87" i="42"/>
  <c r="BR165" i="42"/>
  <c r="D168" i="43"/>
  <c r="E306" i="43"/>
  <c r="M374" i="43"/>
  <c r="I333" i="43"/>
  <c r="M295" i="43"/>
  <c r="H153" i="43"/>
  <c r="N348" i="43"/>
  <c r="Y147" i="42"/>
  <c r="AK338" i="42"/>
  <c r="G341" i="40"/>
  <c r="X27" i="42"/>
  <c r="P45" i="43"/>
  <c r="F76" i="43"/>
  <c r="E273" i="40"/>
  <c r="E91" i="44"/>
  <c r="BR158" i="42"/>
  <c r="K306" i="43"/>
  <c r="S53" i="42"/>
  <c r="BR238" i="42"/>
  <c r="B93" i="40"/>
  <c r="AJ332" i="42"/>
  <c r="D67" i="44"/>
  <c r="I237" i="43"/>
  <c r="B98" i="40"/>
  <c r="F332" i="40"/>
  <c r="AJ205" i="42"/>
  <c r="C305" i="40"/>
  <c r="E339" i="40"/>
  <c r="C94" i="43"/>
  <c r="I122" i="43"/>
  <c r="C111" i="43"/>
  <c r="BP73" i="42"/>
  <c r="BQ256" i="42"/>
  <c r="C237" i="43"/>
  <c r="BQ246" i="42"/>
  <c r="AE14" i="42"/>
  <c r="D338" i="40"/>
  <c r="F28" i="43"/>
  <c r="I31" i="43"/>
  <c r="G193" i="40"/>
  <c r="J60" i="43"/>
  <c r="J292" i="43"/>
  <c r="E135" i="44"/>
  <c r="AE108" i="42"/>
  <c r="E329" i="43"/>
  <c r="X17" i="42"/>
  <c r="C143" i="43"/>
  <c r="F139" i="40"/>
  <c r="D238" i="43"/>
  <c r="AD43" i="42"/>
  <c r="S359" i="42"/>
  <c r="I15" i="43"/>
  <c r="D104" i="44"/>
  <c r="E168" i="44"/>
  <c r="G251" i="40"/>
  <c r="D130" i="43"/>
  <c r="AK222" i="42"/>
  <c r="B335" i="40"/>
  <c r="E283" i="40"/>
  <c r="G275" i="40"/>
  <c r="D126" i="40"/>
  <c r="BR335" i="42"/>
  <c r="AD236" i="42"/>
  <c r="H357" i="43"/>
  <c r="Y89" i="42"/>
  <c r="C230" i="40"/>
  <c r="B210" i="40"/>
  <c r="AJ77" i="42"/>
  <c r="BQ232" i="42"/>
  <c r="AJ154" i="42"/>
  <c r="N328" i="43"/>
  <c r="E250" i="44"/>
  <c r="C203" i="40"/>
  <c r="BP136" i="42"/>
  <c r="AK364" i="42"/>
  <c r="E363" i="44"/>
  <c r="BR291" i="42"/>
  <c r="S328" i="42"/>
  <c r="B33" i="44"/>
  <c r="BQ312" i="42"/>
  <c r="BP160" i="42"/>
  <c r="J75" i="43"/>
  <c r="D107" i="40"/>
  <c r="E37" i="40"/>
  <c r="AE93" i="42"/>
  <c r="E290" i="40"/>
  <c r="Y311" i="42"/>
  <c r="AD84" i="42"/>
  <c r="B124" i="44"/>
  <c r="K147" i="43"/>
  <c r="AE327" i="42"/>
  <c r="AK167" i="42"/>
  <c r="BR339" i="42"/>
  <c r="E64" i="40"/>
  <c r="L12" i="43"/>
  <c r="E186" i="43"/>
  <c r="AP80" i="42"/>
  <c r="C149" i="43"/>
  <c r="C242" i="40"/>
  <c r="AP286" i="42"/>
  <c r="F339" i="40"/>
  <c r="E325" i="40"/>
  <c r="E173" i="40"/>
  <c r="Y324" i="42"/>
  <c r="BQ113" i="42"/>
  <c r="AD297" i="42"/>
  <c r="BP81" i="42"/>
  <c r="G374" i="43"/>
  <c r="S206" i="42"/>
  <c r="O157" i="43"/>
  <c r="G14" i="40"/>
  <c r="E123" i="44"/>
  <c r="E335" i="40"/>
  <c r="Y326" i="42"/>
  <c r="BR237" i="42"/>
  <c r="AP247" i="42"/>
  <c r="L202" i="43"/>
  <c r="P222" i="43"/>
  <c r="N156" i="43"/>
  <c r="N245" i="43"/>
  <c r="O11" i="43"/>
  <c r="D82" i="40"/>
  <c r="AK192" i="42"/>
  <c r="AP253" i="42"/>
  <c r="X185" i="42"/>
  <c r="Y75" i="42"/>
  <c r="B366" i="44"/>
  <c r="H369" i="43"/>
  <c r="L37" i="43"/>
  <c r="AE102" i="42"/>
  <c r="AP215" i="42"/>
  <c r="B87" i="40"/>
  <c r="S285" i="42"/>
  <c r="K80" i="43"/>
  <c r="E79" i="43"/>
  <c r="B364" i="40"/>
  <c r="E119" i="40"/>
  <c r="C220" i="43"/>
  <c r="C218" i="40"/>
  <c r="B374" i="40"/>
  <c r="B287" i="43"/>
  <c r="C98" i="43"/>
  <c r="E253" i="40"/>
  <c r="S362" i="42"/>
  <c r="O315" i="43"/>
  <c r="F197" i="43"/>
  <c r="BP60" i="42"/>
  <c r="G49" i="40"/>
  <c r="N319" i="43"/>
  <c r="AE284" i="42"/>
  <c r="D46" i="40"/>
  <c r="C110" i="44"/>
  <c r="G84" i="43"/>
  <c r="C24" i="43"/>
  <c r="E332" i="40"/>
  <c r="L280" i="43"/>
  <c r="O264" i="43"/>
  <c r="E136" i="43"/>
  <c r="I233" i="43"/>
  <c r="F349" i="43"/>
  <c r="G231" i="43"/>
  <c r="G185" i="43"/>
  <c r="G196" i="40"/>
  <c r="K208" i="43"/>
  <c r="J146" i="43"/>
  <c r="S26" i="42"/>
  <c r="S83" i="42"/>
  <c r="M316" i="43"/>
  <c r="AK174" i="42"/>
  <c r="AD258" i="42"/>
  <c r="BP367" i="42"/>
  <c r="G210" i="43"/>
  <c r="G11" i="40"/>
  <c r="BQ43" i="42"/>
  <c r="B271" i="43"/>
  <c r="P78" i="43"/>
  <c r="D348" i="43"/>
  <c r="M353" i="43"/>
  <c r="O136" i="43"/>
  <c r="K139" i="43"/>
  <c r="F82" i="43"/>
  <c r="J147" i="43"/>
  <c r="AE180" i="42"/>
  <c r="AK79" i="42"/>
  <c r="B209" i="40"/>
  <c r="M136" i="43"/>
  <c r="E38" i="43"/>
  <c r="I70" i="43"/>
  <c r="D287" i="43"/>
  <c r="G23" i="40"/>
  <c r="N284" i="43"/>
  <c r="S229" i="42"/>
  <c r="X74" i="42"/>
  <c r="B128" i="44"/>
  <c r="F283" i="40"/>
  <c r="L104" i="43"/>
  <c r="E145" i="40"/>
  <c r="AE273" i="42"/>
  <c r="Y265" i="42"/>
  <c r="F262" i="40"/>
  <c r="B205" i="40"/>
  <c r="BP327" i="42"/>
  <c r="C316" i="40"/>
  <c r="BQ276" i="42"/>
  <c r="C239" i="44"/>
  <c r="AE237" i="42"/>
  <c r="L153" i="43"/>
  <c r="E120" i="43"/>
  <c r="BR137" i="42"/>
  <c r="BR214" i="42"/>
  <c r="E326" i="44"/>
  <c r="F169" i="43"/>
  <c r="N172" i="43"/>
  <c r="J235" i="43"/>
  <c r="AE308" i="42"/>
  <c r="O277" i="43"/>
  <c r="AE315" i="42"/>
  <c r="O50" i="43"/>
  <c r="G256" i="40"/>
  <c r="Y369" i="42"/>
  <c r="D134" i="44"/>
  <c r="L290" i="43"/>
  <c r="AJ138" i="42"/>
  <c r="G277" i="40"/>
  <c r="AP148" i="42"/>
  <c r="N208" i="43"/>
  <c r="P54" i="43"/>
  <c r="BP42" i="42"/>
  <c r="E334" i="44"/>
  <c r="E127" i="44"/>
  <c r="C185" i="40"/>
  <c r="E311" i="40"/>
  <c r="C49" i="44"/>
  <c r="AK120" i="42"/>
  <c r="D68" i="44"/>
  <c r="N82" i="43"/>
  <c r="BQ304" i="42"/>
  <c r="S215" i="42"/>
  <c r="F82" i="40"/>
  <c r="AE373" i="42"/>
  <c r="Y22" i="42"/>
  <c r="G124" i="43"/>
  <c r="S110" i="42"/>
  <c r="D59" i="40"/>
  <c r="D125" i="44"/>
  <c r="L351" i="43"/>
  <c r="D192" i="43"/>
  <c r="D334" i="40"/>
  <c r="AD42" i="42"/>
  <c r="AK42" i="42"/>
  <c r="E372" i="40"/>
  <c r="BR54" i="42"/>
  <c r="BR171" i="42"/>
  <c r="O76" i="43"/>
  <c r="G362" i="40"/>
  <c r="F213" i="43"/>
  <c r="AK202" i="42"/>
  <c r="B318" i="43"/>
  <c r="E371" i="44"/>
  <c r="G51" i="43"/>
  <c r="D202" i="44"/>
  <c r="BR92" i="42"/>
  <c r="G91" i="43"/>
  <c r="B58" i="44"/>
  <c r="B139" i="44"/>
  <c r="C367" i="44"/>
  <c r="B15" i="43"/>
  <c r="B127" i="40"/>
  <c r="C75" i="40"/>
  <c r="B36" i="43"/>
  <c r="D98" i="43"/>
  <c r="H60" i="43"/>
  <c r="AE23" i="42"/>
  <c r="B345" i="40"/>
  <c r="B343" i="40"/>
  <c r="BP21" i="42"/>
  <c r="F48" i="40"/>
  <c r="B170" i="40"/>
  <c r="D80" i="44"/>
  <c r="D109" i="44"/>
  <c r="AJ350" i="42"/>
  <c r="D180" i="40"/>
  <c r="BP228" i="42"/>
  <c r="E362" i="44"/>
  <c r="C202" i="43"/>
  <c r="F111" i="43"/>
  <c r="AD169" i="42"/>
  <c r="AK85" i="42"/>
  <c r="C135" i="43"/>
  <c r="G115" i="43"/>
  <c r="AK313" i="42"/>
  <c r="AP186" i="42"/>
  <c r="AP130" i="42"/>
  <c r="H123" i="43"/>
  <c r="E62" i="43"/>
  <c r="E169" i="43"/>
  <c r="E142" i="40"/>
  <c r="S286" i="42"/>
  <c r="AK114" i="42"/>
  <c r="AK170" i="42"/>
  <c r="E26" i="43"/>
  <c r="E305" i="43"/>
  <c r="BQ18" i="42"/>
  <c r="B220" i="40"/>
  <c r="AK155" i="42"/>
  <c r="C281" i="40"/>
  <c r="AD262" i="42"/>
  <c r="AJ290" i="42"/>
  <c r="E267" i="44"/>
  <c r="O254" i="43"/>
  <c r="I307" i="43"/>
  <c r="N152" i="43"/>
  <c r="M272" i="43"/>
  <c r="E235" i="44"/>
  <c r="D192" i="40"/>
  <c r="D186" i="44"/>
  <c r="C168" i="43"/>
  <c r="E38" i="40"/>
  <c r="BP55" i="42"/>
  <c r="C335" i="43"/>
  <c r="B222" i="43"/>
  <c r="Y126" i="42"/>
  <c r="X28" i="42"/>
  <c r="E349" i="44"/>
  <c r="C284" i="44"/>
  <c r="AE374" i="42"/>
  <c r="BQ214" i="42"/>
  <c r="N11" i="43"/>
  <c r="B166" i="44"/>
  <c r="C201" i="44"/>
  <c r="B28" i="44"/>
  <c r="AP160" i="42"/>
  <c r="N281" i="43"/>
  <c r="AP75" i="42"/>
  <c r="S47" i="42"/>
  <c r="AP100" i="42"/>
  <c r="D24" i="43"/>
  <c r="G65" i="40"/>
  <c r="P359" i="43"/>
  <c r="E259" i="40"/>
  <c r="C344" i="43"/>
  <c r="S165" i="42"/>
  <c r="F356" i="40"/>
  <c r="BP185" i="42"/>
  <c r="B153" i="43"/>
  <c r="BR105" i="42"/>
  <c r="G11" i="43"/>
  <c r="H328" i="43"/>
  <c r="B369" i="44"/>
  <c r="BP297" i="42"/>
  <c r="L375" i="43"/>
  <c r="D344" i="43"/>
  <c r="O92" i="43"/>
  <c r="D242" i="40"/>
  <c r="B91" i="40"/>
  <c r="AE302" i="42"/>
  <c r="C363" i="40"/>
  <c r="C265" i="43"/>
  <c r="AK260" i="42"/>
  <c r="BQ365" i="42"/>
  <c r="AJ38" i="42"/>
  <c r="AD254" i="42"/>
  <c r="F282" i="43"/>
  <c r="F250" i="43"/>
  <c r="C191" i="40"/>
  <c r="F19" i="40"/>
  <c r="D263" i="44"/>
  <c r="B227" i="40"/>
  <c r="C48" i="43"/>
  <c r="B208" i="44"/>
  <c r="X124" i="42"/>
  <c r="C321" i="40"/>
  <c r="D324" i="43"/>
  <c r="B67" i="43"/>
  <c r="S46" i="42"/>
  <c r="AJ120" i="42"/>
  <c r="L324" i="43"/>
  <c r="E358" i="44"/>
  <c r="AK268" i="42"/>
  <c r="AP192" i="42"/>
  <c r="AE271" i="42"/>
  <c r="AK342" i="42"/>
  <c r="B168" i="40"/>
  <c r="F343" i="43"/>
  <c r="B298" i="44"/>
  <c r="AK252" i="42"/>
  <c r="AK86" i="42"/>
  <c r="L273" i="43"/>
  <c r="J316" i="43"/>
  <c r="G173" i="43"/>
  <c r="BP144" i="42"/>
  <c r="B228" i="40"/>
  <c r="P365" i="43"/>
  <c r="F128" i="40"/>
  <c r="AK66" i="42"/>
  <c r="M241" i="43"/>
  <c r="J52" i="43"/>
  <c r="P117" i="43"/>
  <c r="M271" i="43"/>
  <c r="P252" i="43"/>
  <c r="AE120" i="42"/>
  <c r="D139" i="43"/>
  <c r="B311" i="40"/>
  <c r="AJ324" i="42"/>
  <c r="E157" i="40"/>
  <c r="E113" i="44"/>
  <c r="C211" i="40"/>
  <c r="I224" i="43"/>
  <c r="E206" i="40"/>
  <c r="F361" i="43"/>
  <c r="B313" i="43"/>
  <c r="O49" i="43"/>
  <c r="J359" i="43"/>
  <c r="M368" i="43"/>
  <c r="N174" i="43"/>
  <c r="M245" i="43"/>
  <c r="G221" i="43"/>
  <c r="K264" i="43"/>
  <c r="B142" i="43"/>
  <c r="G85" i="40"/>
  <c r="L90" i="43"/>
  <c r="G134" i="40"/>
  <c r="N308" i="43"/>
  <c r="BP164" i="42"/>
  <c r="N254" i="43"/>
  <c r="C110" i="40"/>
  <c r="E35" i="40"/>
  <c r="AD299" i="42"/>
  <c r="BP118" i="42"/>
  <c r="AK131" i="42"/>
  <c r="F53" i="43"/>
  <c r="C312" i="43"/>
  <c r="K67" i="43"/>
  <c r="B297" i="40"/>
  <c r="AK52" i="42"/>
  <c r="J229" i="43"/>
  <c r="AK322" i="42"/>
  <c r="G192" i="43"/>
  <c r="G59" i="40"/>
  <c r="B171" i="43"/>
  <c r="C315" i="43"/>
  <c r="E266" i="40"/>
  <c r="D273" i="40"/>
  <c r="F355" i="43"/>
  <c r="K28" i="43"/>
  <c r="F134" i="43"/>
  <c r="Y294" i="42"/>
  <c r="AK31" i="42"/>
  <c r="AE263" i="42"/>
  <c r="BQ156" i="42"/>
  <c r="N123" i="43"/>
  <c r="D247" i="43"/>
  <c r="M56" i="43"/>
  <c r="P79" i="43"/>
  <c r="E197" i="40"/>
  <c r="BP274" i="42"/>
  <c r="J54" i="43"/>
  <c r="C13" i="44"/>
  <c r="B351" i="44"/>
  <c r="E359" i="44"/>
  <c r="H349" i="43"/>
  <c r="BQ79" i="42"/>
  <c r="C99" i="40"/>
  <c r="BQ45" i="42"/>
  <c r="G240" i="40"/>
  <c r="F216" i="40"/>
  <c r="AE173" i="42"/>
  <c r="BR250" i="42"/>
  <c r="B218" i="40"/>
  <c r="O39" i="43"/>
  <c r="F11" i="40"/>
  <c r="S114" i="42"/>
  <c r="O158" i="43"/>
  <c r="E13" i="40"/>
  <c r="E55" i="40"/>
  <c r="D243" i="43"/>
  <c r="S305" i="42"/>
  <c r="BQ27" i="42"/>
  <c r="D187" i="44"/>
  <c r="X223" i="42"/>
  <c r="Y93" i="42"/>
  <c r="I275" i="43"/>
  <c r="BQ81" i="42"/>
  <c r="AK133" i="42"/>
  <c r="K117" i="43"/>
  <c r="J202" i="43"/>
  <c r="P291" i="43"/>
  <c r="AK166" i="42"/>
  <c r="G339" i="40"/>
  <c r="C308" i="44"/>
  <c r="F65" i="40"/>
  <c r="D305" i="40"/>
  <c r="BP149" i="42"/>
  <c r="B159" i="44"/>
  <c r="BQ375" i="42"/>
  <c r="M251" i="43"/>
  <c r="AE208" i="42"/>
  <c r="BP130" i="42"/>
  <c r="D221" i="44"/>
  <c r="F158" i="40"/>
  <c r="E117" i="44"/>
  <c r="O221" i="43"/>
  <c r="BR370" i="42"/>
  <c r="F146" i="43"/>
  <c r="S209" i="42"/>
  <c r="B21" i="40"/>
  <c r="X374" i="42"/>
  <c r="BR195" i="42"/>
  <c r="E306" i="40"/>
  <c r="C351" i="40"/>
  <c r="O155" i="43"/>
  <c r="BQ282" i="42"/>
  <c r="K222" i="43"/>
  <c r="C167" i="40"/>
  <c r="H117" i="43"/>
  <c r="S347" i="42"/>
  <c r="H52" i="43"/>
  <c r="P344" i="43"/>
  <c r="BR228" i="42"/>
  <c r="AE79" i="42"/>
  <c r="AD225" i="42"/>
  <c r="E191" i="43"/>
  <c r="N169" i="43"/>
  <c r="L303" i="43"/>
  <c r="E227" i="40"/>
  <c r="C120" i="40"/>
  <c r="C357" i="40"/>
  <c r="AK60" i="42"/>
  <c r="E152" i="40"/>
  <c r="BQ122" i="42"/>
  <c r="B87" i="44"/>
  <c r="B256" i="44"/>
  <c r="B126" i="43"/>
  <c r="N366" i="43"/>
  <c r="L252" i="43"/>
  <c r="C181" i="44"/>
  <c r="X217" i="42"/>
  <c r="B122" i="44"/>
  <c r="D28" i="40"/>
  <c r="D169" i="40"/>
  <c r="BP80" i="42"/>
  <c r="D362" i="44"/>
  <c r="E101" i="44"/>
  <c r="N321" i="43"/>
  <c r="AE13" i="42"/>
  <c r="X84" i="42"/>
  <c r="Y347" i="42"/>
  <c r="BR272" i="42"/>
  <c r="E251" i="40"/>
  <c r="D210" i="43"/>
  <c r="N344" i="43"/>
  <c r="P19" i="43"/>
  <c r="D153" i="44"/>
  <c r="B262" i="40"/>
  <c r="I212" i="43"/>
  <c r="B374" i="44"/>
  <c r="B325" i="43"/>
  <c r="AE128" i="42"/>
  <c r="S339" i="42"/>
  <c r="BR220" i="42"/>
  <c r="D367" i="40"/>
  <c r="B184" i="44"/>
  <c r="B352" i="44"/>
  <c r="Y18" i="42"/>
  <c r="C324" i="43"/>
  <c r="K211" i="43"/>
  <c r="D123" i="40"/>
  <c r="AP327" i="42"/>
  <c r="C210" i="40"/>
  <c r="F31" i="40"/>
  <c r="S301" i="42"/>
  <c r="E17" i="44"/>
  <c r="G368" i="40"/>
  <c r="E207" i="44"/>
  <c r="N34" i="43"/>
  <c r="Y167" i="42"/>
  <c r="B311" i="43"/>
  <c r="AJ281" i="42"/>
  <c r="G205" i="40"/>
  <c r="E54" i="44"/>
  <c r="O269" i="43"/>
  <c r="B161" i="43"/>
  <c r="G310" i="43"/>
  <c r="BR60" i="42"/>
  <c r="BP170" i="42"/>
  <c r="H237" i="43"/>
  <c r="B22" i="40"/>
  <c r="C27" i="44"/>
  <c r="AE185" i="42"/>
  <c r="S102" i="42"/>
  <c r="O363" i="43"/>
  <c r="E347" i="43"/>
  <c r="M13" i="43"/>
  <c r="C133" i="40"/>
  <c r="D85" i="44"/>
  <c r="L268" i="43"/>
  <c r="D97" i="40"/>
  <c r="G98" i="43"/>
  <c r="C120" i="44"/>
  <c r="M329" i="43"/>
  <c r="I373" i="43"/>
  <c r="S112" i="42"/>
  <c r="E212" i="43"/>
  <c r="P29" i="43"/>
  <c r="E110" i="44"/>
  <c r="BQ349" i="42"/>
  <c r="D73" i="43"/>
  <c r="B63" i="40"/>
  <c r="B301" i="43"/>
  <c r="AK303" i="42"/>
  <c r="B252" i="40"/>
  <c r="I159" i="43"/>
  <c r="D144" i="43"/>
  <c r="AE293" i="42"/>
  <c r="S263" i="42"/>
  <c r="Y321" i="42"/>
  <c r="Y344" i="42"/>
  <c r="I140" i="43"/>
  <c r="B360" i="43"/>
  <c r="N19" i="43"/>
  <c r="AP203" i="42"/>
  <c r="S121" i="42"/>
  <c r="BR65" i="42"/>
  <c r="C325" i="40"/>
  <c r="BQ255" i="42"/>
  <c r="AP49" i="42"/>
  <c r="B266" i="43"/>
  <c r="K179" i="43"/>
  <c r="AK198" i="42"/>
  <c r="X29" i="42"/>
  <c r="E185" i="44"/>
  <c r="P334" i="43"/>
  <c r="C145" i="40"/>
  <c r="L170" i="43"/>
  <c r="D206" i="44"/>
  <c r="B352" i="40"/>
  <c r="Y298" i="42"/>
  <c r="J97" i="43"/>
  <c r="BP244" i="42"/>
  <c r="J193" i="43"/>
  <c r="AK144" i="42"/>
  <c r="E356" i="44"/>
  <c r="H137" i="43"/>
  <c r="F302" i="40"/>
  <c r="G176" i="40"/>
  <c r="I198" i="43"/>
  <c r="D111" i="43"/>
  <c r="N86" i="43"/>
  <c r="P223" i="43"/>
  <c r="AE204" i="42"/>
  <c r="AE201" i="42"/>
  <c r="P159" i="43"/>
  <c r="B21" i="43"/>
  <c r="F129" i="40"/>
  <c r="D262" i="40"/>
  <c r="E366" i="43"/>
  <c r="F202" i="40"/>
  <c r="C328" i="44"/>
  <c r="AD321" i="42"/>
  <c r="AD224" i="42"/>
  <c r="E67" i="44"/>
  <c r="C37" i="44"/>
  <c r="M351" i="43"/>
  <c r="J198" i="43"/>
  <c r="S22" i="42"/>
  <c r="G257" i="43"/>
  <c r="B196" i="43"/>
  <c r="F58" i="43"/>
  <c r="K265" i="43"/>
  <c r="D178" i="43"/>
  <c r="E162" i="43"/>
  <c r="C11" i="40"/>
  <c r="B144" i="40"/>
  <c r="F236" i="40"/>
  <c r="K144" i="43"/>
  <c r="H337" i="43"/>
  <c r="K368" i="43"/>
  <c r="C268" i="43"/>
  <c r="AE246" i="42"/>
  <c r="BP330" i="42"/>
  <c r="AK36" i="42"/>
  <c r="B94" i="44"/>
  <c r="AE105" i="42"/>
  <c r="BR234" i="42"/>
  <c r="E298" i="43"/>
  <c r="K163" i="43"/>
  <c r="F84" i="43"/>
  <c r="N183" i="43"/>
  <c r="N54" i="43"/>
  <c r="K310" i="43"/>
  <c r="BQ345" i="42"/>
  <c r="Y331" i="42"/>
  <c r="B65" i="43"/>
  <c r="I153" i="43"/>
  <c r="E316" i="43"/>
  <c r="G99" i="40"/>
  <c r="P86" i="43"/>
  <c r="BQ190" i="42"/>
  <c r="H165" i="43"/>
  <c r="AE289" i="42"/>
  <c r="E293" i="40"/>
  <c r="G51" i="40"/>
  <c r="AP54" i="42"/>
  <c r="F356" i="43"/>
  <c r="AJ45" i="42"/>
  <c r="D259" i="40"/>
  <c r="Y21" i="42"/>
  <c r="S186" i="42"/>
  <c r="C41" i="40"/>
  <c r="AE154" i="42"/>
  <c r="AE161" i="42"/>
  <c r="BR81" i="42"/>
  <c r="H94" i="43"/>
  <c r="D299" i="44"/>
  <c r="C248" i="44"/>
  <c r="J143" i="43"/>
  <c r="J342" i="43"/>
  <c r="B34" i="40"/>
  <c r="M43" i="43"/>
  <c r="AD197" i="42"/>
  <c r="BQ129" i="42"/>
  <c r="M364" i="43"/>
  <c r="D344" i="40"/>
  <c r="E178" i="40"/>
  <c r="F300" i="43"/>
  <c r="BR329" i="42"/>
  <c r="AP179" i="42"/>
  <c r="O370" i="43"/>
  <c r="E41" i="40"/>
  <c r="B120" i="40"/>
  <c r="F333" i="43"/>
  <c r="E339" i="44"/>
  <c r="E164" i="40"/>
  <c r="BP368" i="42"/>
  <c r="H372" i="43"/>
  <c r="E260" i="43"/>
  <c r="G360" i="40"/>
  <c r="J165" i="43"/>
  <c r="C375" i="40"/>
  <c r="M203" i="43"/>
  <c r="K155" i="43"/>
  <c r="E70" i="43"/>
  <c r="E146" i="44"/>
  <c r="D357" i="44"/>
  <c r="BQ272" i="42"/>
  <c r="G346" i="40"/>
  <c r="E226" i="40"/>
  <c r="G193" i="43"/>
  <c r="C279" i="44"/>
  <c r="AD182" i="42"/>
  <c r="F234" i="40"/>
  <c r="K354" i="43"/>
  <c r="G69" i="43"/>
  <c r="D247" i="44"/>
  <c r="B111" i="44"/>
  <c r="AD163" i="42"/>
  <c r="K258" i="43"/>
  <c r="P128" i="43"/>
  <c r="AE222" i="42"/>
  <c r="E115" i="44"/>
  <c r="B195" i="44"/>
  <c r="D348" i="44"/>
  <c r="P196" i="43"/>
  <c r="AE275" i="42"/>
  <c r="F374" i="43"/>
  <c r="G181" i="40"/>
  <c r="D180" i="43"/>
  <c r="E355" i="40"/>
  <c r="AP127" i="42"/>
  <c r="B327" i="40"/>
  <c r="C178" i="44"/>
  <c r="E93" i="40"/>
  <c r="C359" i="43"/>
  <c r="Y244" i="42"/>
  <c r="X342" i="42"/>
  <c r="BR189" i="42"/>
  <c r="S260" i="42"/>
  <c r="F59" i="43"/>
  <c r="D53" i="43"/>
  <c r="M63" i="43"/>
  <c r="B185" i="40"/>
  <c r="D322" i="44"/>
  <c r="C177" i="40"/>
  <c r="BQ101" i="42"/>
  <c r="BP298" i="42"/>
  <c r="D375" i="44"/>
  <c r="BR97" i="42"/>
  <c r="C289" i="43"/>
  <c r="E73" i="40"/>
  <c r="E86" i="40"/>
  <c r="C194" i="44"/>
  <c r="C126" i="40"/>
  <c r="D335" i="40"/>
  <c r="P328" i="43"/>
  <c r="AE37" i="42"/>
  <c r="D226" i="44"/>
  <c r="D119" i="44"/>
  <c r="G264" i="40"/>
  <c r="B314" i="43"/>
  <c r="C295" i="40"/>
  <c r="D11" i="44"/>
  <c r="AK297" i="42"/>
  <c r="E172" i="44"/>
  <c r="G286" i="43"/>
  <c r="AE365" i="42"/>
  <c r="J279" i="43"/>
  <c r="M335" i="43"/>
  <c r="S123" i="42"/>
  <c r="G335" i="40"/>
  <c r="C350" i="43"/>
  <c r="AK207" i="42"/>
  <c r="F284" i="43"/>
  <c r="P226" i="43"/>
  <c r="AE310" i="42"/>
  <c r="Y310" i="42"/>
  <c r="BQ286" i="42"/>
  <c r="I40" i="43"/>
  <c r="AD34" i="42"/>
  <c r="K341" i="43"/>
  <c r="E147" i="43"/>
  <c r="H299" i="43"/>
  <c r="AD227" i="42"/>
  <c r="D230" i="40"/>
  <c r="M315" i="43"/>
  <c r="AP76" i="42"/>
  <c r="N224" i="43"/>
  <c r="BP220" i="42"/>
  <c r="BP76" i="42"/>
  <c r="E61" i="44"/>
  <c r="G111" i="43"/>
  <c r="Y269" i="42"/>
  <c r="BQ241" i="42"/>
  <c r="AJ90" i="42"/>
  <c r="E272" i="44"/>
  <c r="D166" i="44"/>
  <c r="I344" i="43"/>
  <c r="I354" i="43"/>
  <c r="B148" i="43"/>
  <c r="C209" i="40"/>
  <c r="AD100" i="42"/>
  <c r="P56" i="43"/>
  <c r="G308" i="43"/>
  <c r="F155" i="43"/>
  <c r="C303" i="40"/>
  <c r="AE296" i="42"/>
  <c r="BP206" i="42"/>
  <c r="E139" i="43"/>
  <c r="B43" i="44"/>
  <c r="G118" i="43"/>
  <c r="B277" i="40"/>
  <c r="F141" i="40"/>
  <c r="D217" i="43"/>
  <c r="E75" i="43"/>
  <c r="E220" i="44"/>
  <c r="H271" i="43"/>
  <c r="Y375" i="42"/>
  <c r="C301" i="40"/>
  <c r="O71" i="43"/>
  <c r="C371" i="43"/>
  <c r="AP154" i="42"/>
  <c r="C327" i="40"/>
  <c r="B51" i="43"/>
  <c r="L77" i="43"/>
  <c r="C225" i="43"/>
  <c r="B331" i="44"/>
  <c r="P306" i="43"/>
  <c r="N69" i="43"/>
  <c r="E291" i="44"/>
  <c r="AP198" i="42"/>
  <c r="AP158" i="42"/>
  <c r="F367" i="40"/>
  <c r="B15" i="44"/>
  <c r="N265" i="43"/>
  <c r="D251" i="44"/>
  <c r="O214" i="43"/>
  <c r="B45" i="44"/>
  <c r="BP90" i="42"/>
  <c r="F263" i="40"/>
  <c r="G175" i="43"/>
  <c r="D75" i="44"/>
  <c r="E304" i="44"/>
  <c r="E237" i="43"/>
  <c r="L339" i="43"/>
  <c r="B198" i="40"/>
  <c r="AE239" i="42"/>
  <c r="J330" i="43"/>
  <c r="BR246" i="42"/>
  <c r="E351" i="44"/>
  <c r="C103" i="40"/>
  <c r="I216" i="43"/>
  <c r="B293" i="40"/>
  <c r="F254" i="40"/>
  <c r="H76" i="43"/>
  <c r="F117" i="43"/>
  <c r="E106" i="44"/>
  <c r="AP218" i="42"/>
  <c r="G15" i="43"/>
  <c r="O164" i="43"/>
  <c r="I157" i="43"/>
  <c r="I26" i="43"/>
  <c r="H126" i="43"/>
  <c r="F154" i="43"/>
  <c r="O307" i="43"/>
  <c r="F223" i="43"/>
  <c r="F125" i="40"/>
  <c r="C243" i="43"/>
  <c r="E358" i="43"/>
  <c r="AE18" i="42"/>
  <c r="S149" i="42"/>
  <c r="M371" i="43"/>
  <c r="B126" i="40"/>
  <c r="D49" i="40"/>
  <c r="M269" i="43"/>
  <c r="AK195" i="42"/>
  <c r="AD256" i="42"/>
  <c r="AD270" i="42"/>
  <c r="C212" i="44"/>
  <c r="B367" i="40"/>
  <c r="G16" i="43"/>
  <c r="J233" i="43"/>
  <c r="N184" i="43"/>
  <c r="I296" i="43"/>
  <c r="O33" i="43"/>
  <c r="F15" i="40"/>
  <c r="N36" i="43"/>
  <c r="BQ236" i="42"/>
  <c r="G94" i="43"/>
  <c r="P144" i="43"/>
  <c r="M235" i="43"/>
  <c r="B106" i="40"/>
  <c r="G133" i="40"/>
  <c r="AE214" i="42"/>
  <c r="C286" i="40"/>
  <c r="D145" i="44"/>
  <c r="AD160" i="42"/>
  <c r="D327" i="40"/>
  <c r="E103" i="40"/>
  <c r="AK343" i="42"/>
  <c r="AD121" i="42"/>
  <c r="BQ78" i="42"/>
  <c r="G105" i="43"/>
  <c r="P143" i="43"/>
  <c r="G165" i="43"/>
  <c r="C17" i="40"/>
  <c r="F68" i="43"/>
  <c r="H214" i="43"/>
  <c r="K214" i="43"/>
  <c r="L154" i="43"/>
  <c r="E202" i="40"/>
  <c r="I343" i="43"/>
  <c r="BQ83" i="42"/>
  <c r="F325" i="40"/>
  <c r="N342" i="43"/>
  <c r="L61" i="43"/>
  <c r="E49" i="43"/>
  <c r="Y260" i="42"/>
  <c r="BR50" i="42"/>
  <c r="BQ132" i="42"/>
  <c r="X12" i="42"/>
  <c r="D104" i="43"/>
  <c r="C259" i="43"/>
  <c r="H114" i="43"/>
  <c r="BP140" i="42"/>
  <c r="Y258" i="42"/>
  <c r="B35" i="44"/>
  <c r="C128" i="44"/>
  <c r="C288" i="43"/>
  <c r="Y230" i="42"/>
  <c r="C85" i="44"/>
  <c r="AK146" i="42"/>
  <c r="AJ14" i="42"/>
  <c r="J333" i="43"/>
  <c r="I35" i="43"/>
  <c r="BP132" i="42"/>
  <c r="C24" i="40"/>
  <c r="D275" i="40"/>
  <c r="H331" i="43"/>
  <c r="K108" i="43"/>
  <c r="H205" i="43"/>
  <c r="E224" i="40"/>
  <c r="BQ127" i="42"/>
  <c r="Y191" i="42"/>
  <c r="D116" i="40"/>
  <c r="S319" i="42"/>
  <c r="AD339" i="42"/>
  <c r="L313" i="43"/>
  <c r="BQ224" i="42"/>
  <c r="Y196" i="42"/>
  <c r="C226" i="44"/>
  <c r="D50" i="43"/>
  <c r="C132" i="40"/>
  <c r="B85" i="43"/>
  <c r="AP265" i="42"/>
  <c r="BQ125" i="42"/>
  <c r="P26" i="43"/>
  <c r="C246" i="43"/>
  <c r="G256" i="43"/>
  <c r="AK26" i="42"/>
  <c r="AE277" i="42"/>
  <c r="AD115" i="42"/>
  <c r="N215" i="43"/>
  <c r="G153" i="43"/>
  <c r="D129" i="44"/>
  <c r="E261" i="44"/>
  <c r="AK204" i="42"/>
  <c r="C160" i="44"/>
  <c r="AE36" i="42"/>
  <c r="Y241" i="42"/>
  <c r="E175" i="44"/>
  <c r="AP315" i="42"/>
  <c r="AD298" i="42"/>
  <c r="P30" i="43"/>
  <c r="D184" i="40"/>
  <c r="E368" i="40"/>
  <c r="C166" i="40"/>
  <c r="E350" i="43"/>
  <c r="B375" i="43"/>
  <c r="C113" i="43"/>
  <c r="F306" i="43"/>
  <c r="E144" i="44"/>
  <c r="E287" i="40"/>
  <c r="F69" i="43"/>
  <c r="I160" i="43"/>
  <c r="BQ366" i="42"/>
  <c r="F354" i="43"/>
  <c r="AE104" i="42"/>
  <c r="I303" i="43"/>
  <c r="BP283" i="42"/>
  <c r="AJ306" i="42"/>
  <c r="AK115" i="42"/>
  <c r="BR168" i="42"/>
  <c r="M115" i="43"/>
  <c r="C160" i="43"/>
  <c r="M28" i="43"/>
  <c r="BR167" i="42"/>
  <c r="X252" i="42"/>
  <c r="B222" i="40"/>
  <c r="G246" i="43"/>
  <c r="I301" i="43"/>
  <c r="C79" i="44"/>
  <c r="AE244" i="42"/>
  <c r="D72" i="40"/>
  <c r="J127" i="43"/>
  <c r="BP137" i="42"/>
  <c r="B67" i="40"/>
  <c r="D220" i="40"/>
  <c r="AP43" i="42"/>
  <c r="O287" i="43"/>
  <c r="M83" i="43"/>
  <c r="BQ187" i="42"/>
  <c r="C137" i="44"/>
  <c r="S351" i="42"/>
  <c r="AK329" i="42"/>
  <c r="O243" i="43"/>
  <c r="S256" i="42"/>
  <c r="C68" i="44"/>
  <c r="AP68" i="42"/>
  <c r="AK16" i="42"/>
  <c r="O46" i="43"/>
  <c r="AD279" i="42"/>
  <c r="B333" i="43"/>
  <c r="E215" i="40"/>
  <c r="L142" i="43"/>
  <c r="B128" i="40"/>
  <c r="AJ367" i="42"/>
  <c r="E36" i="44"/>
  <c r="H290" i="43"/>
  <c r="B138" i="44"/>
  <c r="H365" i="43"/>
  <c r="AP309" i="42"/>
  <c r="AE56" i="42"/>
  <c r="H348" i="43"/>
  <c r="B360" i="40"/>
  <c r="D36" i="40"/>
  <c r="J140" i="43"/>
  <c r="K364" i="43"/>
  <c r="B328" i="40"/>
  <c r="AP214" i="42"/>
  <c r="E30" i="43"/>
  <c r="G106" i="40"/>
  <c r="D181" i="40"/>
  <c r="E340" i="40"/>
  <c r="C88" i="44"/>
  <c r="AP58" i="42"/>
  <c r="J139" i="43"/>
  <c r="L295" i="43"/>
  <c r="D251" i="40"/>
  <c r="J90" i="43"/>
  <c r="AE235" i="42"/>
  <c r="D143" i="40"/>
  <c r="B80" i="40"/>
  <c r="G216" i="40"/>
  <c r="AP13" i="42"/>
  <c r="E297" i="44"/>
  <c r="E133" i="44"/>
  <c r="Y319" i="42"/>
  <c r="G318" i="40"/>
  <c r="N357" i="43"/>
  <c r="AK80" i="42"/>
  <c r="E275" i="40"/>
  <c r="AP345" i="42"/>
  <c r="N115" i="43"/>
  <c r="O159" i="43"/>
  <c r="N101" i="43"/>
  <c r="Y205" i="42"/>
  <c r="G159" i="43"/>
  <c r="BP61" i="42"/>
  <c r="M94" i="43"/>
  <c r="BP312" i="42"/>
  <c r="G21" i="43"/>
  <c r="D359" i="43"/>
  <c r="BP324" i="42"/>
  <c r="S208" i="42"/>
  <c r="B99" i="40"/>
  <c r="J55" i="43"/>
  <c r="AJ159" i="42"/>
  <c r="F112" i="43"/>
  <c r="D85" i="43"/>
  <c r="AK102" i="42"/>
  <c r="J343" i="43"/>
  <c r="D19" i="43"/>
  <c r="AP314" i="42"/>
  <c r="Y114" i="42"/>
  <c r="B237" i="43"/>
  <c r="BQ188" i="42"/>
  <c r="BQ21" i="42"/>
  <c r="C116" i="44"/>
  <c r="O229" i="43"/>
  <c r="AP228" i="42"/>
  <c r="O69" i="43"/>
  <c r="X270" i="42"/>
  <c r="C71" i="44"/>
  <c r="B253" i="44"/>
  <c r="S19" i="42"/>
  <c r="AK140" i="42"/>
  <c r="X362" i="42"/>
  <c r="F79" i="43"/>
  <c r="O56" i="43"/>
  <c r="F170" i="43"/>
  <c r="BQ216" i="42"/>
  <c r="AP204" i="42"/>
  <c r="AE211" i="42"/>
  <c r="F260" i="40"/>
  <c r="N173" i="43"/>
  <c r="D362" i="40"/>
  <c r="B15" i="40"/>
  <c r="O104" i="43"/>
  <c r="C342" i="43"/>
  <c r="G55" i="43"/>
  <c r="B354" i="40"/>
  <c r="D193" i="40"/>
  <c r="AK20" i="42"/>
  <c r="N142" i="43"/>
  <c r="E76" i="40"/>
  <c r="M346" i="43"/>
  <c r="E284" i="43"/>
  <c r="B373" i="40"/>
  <c r="H203" i="43"/>
  <c r="B158" i="43"/>
  <c r="J253" i="43"/>
  <c r="N66" i="43"/>
  <c r="K217" i="43"/>
  <c r="O196" i="43"/>
  <c r="J129" i="43"/>
  <c r="C233" i="40"/>
  <c r="F348" i="40"/>
  <c r="B217" i="40"/>
  <c r="AD39" i="42"/>
  <c r="BQ200" i="42"/>
  <c r="AE163" i="42"/>
  <c r="B79" i="40"/>
  <c r="BR38" i="42"/>
  <c r="C295" i="43"/>
  <c r="L200" i="43"/>
  <c r="P304" i="43"/>
  <c r="C251" i="43"/>
  <c r="C159" i="43"/>
  <c r="I115" i="43"/>
  <c r="N18" i="43"/>
  <c r="F121" i="43"/>
  <c r="C87" i="43"/>
  <c r="E176" i="40"/>
  <c r="F158" i="43"/>
  <c r="C290" i="40"/>
  <c r="K65" i="43"/>
  <c r="D55" i="40"/>
  <c r="D257" i="43"/>
  <c r="AD312" i="42"/>
  <c r="Y77" i="42"/>
  <c r="D354" i="40"/>
  <c r="E284" i="44"/>
  <c r="G18" i="43"/>
  <c r="BP37" i="42"/>
  <c r="AJ116" i="42"/>
  <c r="N261" i="43"/>
  <c r="K78" i="43"/>
  <c r="G238" i="43"/>
  <c r="D286" i="43"/>
  <c r="F130" i="40"/>
  <c r="J44" i="43"/>
  <c r="M36" i="43"/>
  <c r="D100" i="40"/>
  <c r="F362" i="43"/>
  <c r="B354" i="43"/>
  <c r="P212" i="43"/>
  <c r="L323" i="43"/>
  <c r="BR363" i="42"/>
  <c r="N302" i="43"/>
  <c r="C351" i="43"/>
  <c r="D199" i="40"/>
  <c r="AP355" i="42"/>
  <c r="H167" i="43"/>
  <c r="Y232" i="42"/>
  <c r="AP39" i="42"/>
  <c r="BR196" i="42"/>
  <c r="J365" i="43"/>
  <c r="E361" i="43"/>
  <c r="D224" i="40"/>
  <c r="S184" i="42"/>
  <c r="G310" i="40"/>
  <c r="F232" i="40"/>
  <c r="AP23" i="42"/>
  <c r="B64" i="40"/>
  <c r="AK372" i="42"/>
  <c r="AD190" i="42"/>
  <c r="F62" i="43"/>
  <c r="S178" i="42"/>
  <c r="BP148" i="42"/>
  <c r="AK259" i="42"/>
  <c r="C273" i="43"/>
  <c r="F165" i="43"/>
  <c r="L201" i="43"/>
  <c r="P321" i="43"/>
  <c r="N211" i="43"/>
  <c r="C365" i="44"/>
  <c r="E295" i="44"/>
  <c r="BR322" i="42"/>
  <c r="L208" i="43"/>
  <c r="AD98" i="42"/>
  <c r="BQ227" i="42"/>
  <c r="Y314" i="42"/>
  <c r="P224" i="43"/>
  <c r="E276" i="44"/>
  <c r="B228" i="44"/>
  <c r="H216" i="43"/>
  <c r="G62" i="40"/>
  <c r="AE130" i="42"/>
  <c r="AK11" i="42"/>
  <c r="H184" i="43"/>
  <c r="Y177" i="42"/>
  <c r="AE240" i="42"/>
  <c r="BP325" i="42"/>
  <c r="C192" i="43"/>
  <c r="O303" i="43"/>
  <c r="B213" i="44"/>
  <c r="C15" i="40"/>
  <c r="C241" i="43"/>
  <c r="E347" i="40"/>
  <c r="E57" i="44"/>
  <c r="BR185" i="42"/>
  <c r="AD205" i="42"/>
  <c r="BP52" i="42"/>
  <c r="B160" i="40"/>
  <c r="B344" i="40"/>
  <c r="C327" i="44"/>
  <c r="BP68" i="42"/>
  <c r="AE213" i="42"/>
  <c r="F257" i="43"/>
  <c r="BP308" i="42"/>
  <c r="B236" i="40"/>
  <c r="X286" i="42"/>
  <c r="P87" i="43"/>
  <c r="P325" i="43"/>
  <c r="K367" i="43"/>
  <c r="AP139" i="42"/>
  <c r="O135" i="43"/>
  <c r="F368" i="40"/>
  <c r="BP24" i="42"/>
  <c r="AJ168" i="42"/>
  <c r="Y157" i="42"/>
  <c r="G31" i="40"/>
  <c r="E210" i="43"/>
  <c r="F204" i="43"/>
  <c r="D224" i="44"/>
  <c r="E272" i="40"/>
  <c r="C262" i="44"/>
  <c r="C162" i="43"/>
  <c r="D32" i="40"/>
  <c r="H329" i="43"/>
  <c r="G320" i="40"/>
  <c r="F168" i="43"/>
  <c r="C234" i="40"/>
  <c r="X38" i="42"/>
  <c r="E144" i="40"/>
  <c r="G219" i="40"/>
  <c r="BP78" i="42"/>
  <c r="D64" i="44"/>
  <c r="N67" i="43"/>
  <c r="K124" i="43"/>
  <c r="G350" i="40"/>
  <c r="AP343" i="42"/>
  <c r="AJ330" i="42"/>
  <c r="F361" i="40"/>
  <c r="C12" i="40"/>
  <c r="BQ265" i="42"/>
  <c r="BR101" i="42"/>
  <c r="C249" i="40"/>
  <c r="AD110" i="42"/>
  <c r="D88" i="44"/>
  <c r="G254" i="40"/>
  <c r="S166" i="42"/>
  <c r="BR87" i="42"/>
  <c r="BR89" i="42"/>
  <c r="G31" i="43"/>
  <c r="E61" i="40"/>
  <c r="F144" i="40"/>
  <c r="K11" i="43"/>
  <c r="S251" i="42"/>
  <c r="S25" i="42"/>
  <c r="AK227" i="42"/>
  <c r="D190" i="40"/>
  <c r="N243" i="43"/>
  <c r="C86" i="40"/>
  <c r="Y287" i="42"/>
  <c r="B30" i="40"/>
  <c r="AE188" i="42"/>
  <c r="Y358" i="42"/>
  <c r="Y229" i="42"/>
  <c r="X50" i="42"/>
  <c r="C221" i="40"/>
  <c r="B214" i="43"/>
  <c r="AD356" i="42"/>
  <c r="BQ264" i="42"/>
  <c r="BR55" i="42"/>
  <c r="C13" i="40"/>
  <c r="AE368" i="42"/>
  <c r="Y15" i="42"/>
  <c r="X227" i="42"/>
  <c r="C92" i="40"/>
  <c r="L218" i="43"/>
  <c r="B71" i="40"/>
  <c r="D95" i="43"/>
  <c r="C161" i="40"/>
  <c r="C151" i="44"/>
  <c r="AK346" i="42"/>
  <c r="M44" i="43"/>
  <c r="S207" i="42"/>
  <c r="X363" i="42"/>
  <c r="E142" i="43"/>
  <c r="O19" i="43"/>
  <c r="E363" i="43"/>
  <c r="BQ250" i="42"/>
  <c r="G147" i="40"/>
  <c r="BP291" i="42"/>
  <c r="F67" i="40"/>
  <c r="D326" i="40"/>
  <c r="AJ174" i="42"/>
  <c r="N283" i="43"/>
  <c r="N13" i="43"/>
  <c r="E111" i="43"/>
  <c r="M54" i="43"/>
  <c r="J286" i="43"/>
  <c r="D271" i="44"/>
  <c r="E356" i="40"/>
  <c r="S297" i="42"/>
  <c r="P214" i="43"/>
  <c r="I211" i="43"/>
  <c r="G167" i="40"/>
  <c r="G369" i="40"/>
  <c r="AP87" i="42"/>
  <c r="D288" i="44"/>
  <c r="H344" i="43"/>
  <c r="F21" i="43"/>
  <c r="H48" i="43"/>
  <c r="C118" i="43"/>
  <c r="K38" i="43"/>
  <c r="B276" i="40"/>
  <c r="AD67" i="42"/>
  <c r="BQ149" i="42"/>
  <c r="BR112" i="42"/>
  <c r="BP281" i="42"/>
  <c r="BR148" i="42"/>
  <c r="C182" i="43"/>
  <c r="E14" i="40"/>
  <c r="P330" i="43"/>
  <c r="AP16" i="42"/>
  <c r="AD150" i="42"/>
  <c r="G270" i="40"/>
  <c r="AD45" i="42"/>
  <c r="D149" i="40"/>
  <c r="BR365" i="42"/>
  <c r="D244" i="40"/>
  <c r="O98" i="43"/>
  <c r="AP129" i="42"/>
  <c r="D123" i="43"/>
  <c r="F99" i="40"/>
  <c r="BQ235" i="42"/>
  <c r="C128" i="40"/>
  <c r="D113" i="44"/>
  <c r="BR145" i="42"/>
  <c r="C329" i="40"/>
  <c r="I204" i="43"/>
  <c r="F307" i="43"/>
  <c r="Y32" i="42"/>
  <c r="I83" i="43"/>
  <c r="S97" i="42"/>
  <c r="H89" i="43"/>
  <c r="C207" i="43"/>
  <c r="F335" i="43"/>
  <c r="G57" i="40"/>
  <c r="I185" i="43"/>
  <c r="D199" i="43"/>
  <c r="C93" i="43"/>
  <c r="F247" i="40"/>
  <c r="Y154" i="42"/>
  <c r="G269" i="40"/>
  <c r="E270" i="43"/>
  <c r="J145" i="43"/>
  <c r="J261" i="43"/>
  <c r="S105" i="42"/>
  <c r="O352" i="43"/>
  <c r="C335" i="40"/>
  <c r="BP69" i="42"/>
  <c r="N305" i="43"/>
  <c r="BQ174" i="42"/>
  <c r="C121" i="44"/>
  <c r="O84" i="43"/>
  <c r="F134" i="40"/>
  <c r="G267" i="40"/>
  <c r="C369" i="43"/>
  <c r="D228" i="43"/>
  <c r="F37" i="40"/>
  <c r="O199" i="43"/>
  <c r="D177" i="40"/>
  <c r="D197" i="43"/>
  <c r="G20" i="40"/>
  <c r="E23" i="43"/>
  <c r="N197" i="43"/>
  <c r="B300" i="43"/>
  <c r="C262" i="40"/>
  <c r="D27" i="44"/>
  <c r="S261" i="42"/>
  <c r="Y102" i="42"/>
  <c r="AJ342" i="42"/>
  <c r="BP103" i="42"/>
  <c r="D83" i="40"/>
  <c r="AK348" i="42"/>
  <c r="Y119" i="42"/>
  <c r="BR161" i="42"/>
  <c r="H53" i="43"/>
  <c r="O131" i="43"/>
  <c r="C313" i="43"/>
  <c r="C124" i="40"/>
  <c r="C360" i="43"/>
  <c r="S44" i="42"/>
  <c r="N182" i="43"/>
  <c r="P60" i="43"/>
  <c r="AE98" i="42"/>
  <c r="O27" i="43"/>
  <c r="K91" i="43"/>
  <c r="O52" i="43"/>
  <c r="AK183" i="42"/>
  <c r="BP125" i="42"/>
  <c r="E73" i="44"/>
  <c r="BP254" i="42"/>
  <c r="K312" i="43"/>
  <c r="E294" i="44"/>
  <c r="E239" i="44"/>
  <c r="E213" i="43"/>
  <c r="BR325" i="42"/>
  <c r="Y325" i="42"/>
  <c r="E367" i="43"/>
  <c r="K148" i="43"/>
  <c r="S325" i="42"/>
  <c r="AD119" i="42"/>
  <c r="AP262" i="42"/>
  <c r="X272" i="42"/>
  <c r="C307" i="43"/>
  <c r="G53" i="40"/>
  <c r="D143" i="44"/>
  <c r="H291" i="43"/>
  <c r="F63" i="43"/>
  <c r="I331" i="43"/>
  <c r="B40" i="40"/>
  <c r="C314" i="44"/>
  <c r="J231" i="43"/>
  <c r="M259" i="43"/>
  <c r="AE107" i="42"/>
  <c r="J133" i="43"/>
  <c r="B278" i="40"/>
  <c r="H354" i="43"/>
  <c r="AD292" i="42"/>
  <c r="O235" i="43"/>
  <c r="L366" i="43"/>
  <c r="J236" i="43"/>
  <c r="I361" i="43"/>
  <c r="AP372" i="42"/>
  <c r="E209" i="44"/>
  <c r="BP104" i="42"/>
  <c r="H217" i="43"/>
  <c r="J353" i="43"/>
  <c r="B165" i="43"/>
  <c r="N125" i="43"/>
  <c r="F296" i="43"/>
  <c r="S157" i="42"/>
  <c r="E261" i="40"/>
  <c r="D158" i="44"/>
  <c r="E63" i="44"/>
  <c r="BR116" i="42"/>
  <c r="BP208" i="42"/>
  <c r="M189" i="43"/>
  <c r="AJ302" i="42"/>
  <c r="K82" i="43"/>
  <c r="Y109" i="42"/>
  <c r="B319" i="44"/>
  <c r="AD139" i="42"/>
  <c r="S302" i="42"/>
  <c r="B70" i="44"/>
  <c r="AD329" i="42"/>
  <c r="BP85" i="42"/>
  <c r="BR308" i="42"/>
  <c r="G207" i="43"/>
  <c r="X301" i="42"/>
  <c r="BQ362" i="42"/>
  <c r="AP271" i="42"/>
  <c r="AJ305" i="42"/>
  <c r="D302" i="40"/>
  <c r="BQ50" i="42"/>
  <c r="C192" i="40"/>
  <c r="BR278" i="42"/>
  <c r="AK225" i="42"/>
  <c r="K289" i="43"/>
  <c r="B72" i="44"/>
  <c r="B48" i="43"/>
  <c r="B107" i="44"/>
  <c r="E199" i="40"/>
  <c r="Y202" i="42"/>
  <c r="D230" i="43"/>
  <c r="F294" i="40"/>
  <c r="K13" i="43"/>
  <c r="B12" i="44"/>
  <c r="H16" i="43"/>
  <c r="E286" i="40"/>
  <c r="S41" i="42"/>
  <c r="AE110" i="42"/>
  <c r="I325" i="43"/>
  <c r="B252" i="44"/>
  <c r="Y133" i="42"/>
  <c r="G372" i="40"/>
  <c r="AK337" i="42"/>
  <c r="BR345" i="42"/>
  <c r="S250" i="42"/>
  <c r="P55" i="43"/>
  <c r="AE198" i="42"/>
  <c r="S349" i="42"/>
  <c r="C333" i="44"/>
  <c r="B206" i="44"/>
  <c r="S187" i="42"/>
  <c r="D63" i="40"/>
  <c r="N48" i="43"/>
  <c r="BP347" i="42"/>
  <c r="Y94" i="42"/>
  <c r="B301" i="40"/>
  <c r="E242" i="44"/>
  <c r="AK330" i="42"/>
  <c r="S129" i="42"/>
  <c r="B324" i="40"/>
  <c r="C53" i="40"/>
  <c r="C293" i="43"/>
  <c r="B164" i="40"/>
  <c r="G27" i="43"/>
  <c r="E227" i="44"/>
  <c r="G297" i="43"/>
  <c r="BR182" i="42"/>
  <c r="B358" i="40"/>
  <c r="X186" i="42"/>
  <c r="O62" i="43"/>
  <c r="D181" i="44"/>
  <c r="K361" i="43"/>
  <c r="E327" i="40"/>
  <c r="C119" i="40"/>
  <c r="Y35" i="42"/>
  <c r="AD143" i="42"/>
  <c r="J26" i="43"/>
  <c r="BR179" i="42"/>
  <c r="AE276" i="42"/>
  <c r="F118" i="40"/>
  <c r="L345" i="43"/>
  <c r="N167" i="43"/>
  <c r="H84" i="43"/>
  <c r="Y267" i="42"/>
  <c r="BR230" i="42"/>
  <c r="BR103" i="42"/>
  <c r="AP12" i="42"/>
  <c r="P308" i="43"/>
  <c r="S324" i="42"/>
  <c r="L14" i="43"/>
  <c r="Y364" i="42"/>
  <c r="BP27" i="42"/>
  <c r="AK230" i="42"/>
  <c r="K110" i="43"/>
  <c r="AE57" i="42"/>
  <c r="X340" i="42"/>
  <c r="G120" i="40"/>
  <c r="AJ200" i="42"/>
  <c r="AE294" i="42"/>
  <c r="P238" i="43"/>
  <c r="AD283" i="42"/>
  <c r="D296" i="44"/>
  <c r="D65" i="44"/>
  <c r="G59" i="43"/>
  <c r="S12" i="42"/>
  <c r="Y263" i="42"/>
  <c r="F358" i="40"/>
  <c r="BQ339" i="42"/>
  <c r="F344" i="43"/>
  <c r="B341" i="43"/>
  <c r="C202" i="44"/>
  <c r="AE34" i="42"/>
  <c r="O130" i="43"/>
  <c r="G263" i="40"/>
  <c r="E125" i="43"/>
  <c r="D210" i="44"/>
  <c r="AJ316" i="42"/>
  <c r="S314" i="42"/>
  <c r="S323" i="42"/>
  <c r="P164" i="43"/>
  <c r="B39" i="43"/>
  <c r="S82" i="42"/>
  <c r="J35" i="43"/>
  <c r="AJ310" i="42"/>
  <c r="D313" i="44"/>
  <c r="H228" i="43"/>
  <c r="D245" i="40"/>
  <c r="E260" i="44"/>
  <c r="AK157" i="42"/>
  <c r="AJ160" i="42"/>
  <c r="AD185" i="42"/>
  <c r="B212" i="40"/>
  <c r="BR51" i="42"/>
  <c r="S219" i="42"/>
  <c r="Y243" i="42"/>
  <c r="K94" i="43"/>
  <c r="C354" i="40"/>
  <c r="B116" i="40"/>
  <c r="J375" i="43"/>
  <c r="G68" i="43"/>
  <c r="AE52" i="42"/>
  <c r="D152" i="40"/>
  <c r="O342" i="43"/>
  <c r="B302" i="43"/>
  <c r="D92" i="40"/>
  <c r="O185" i="43"/>
  <c r="AP237" i="42"/>
  <c r="B320" i="44"/>
  <c r="C260" i="44"/>
  <c r="P323" i="43"/>
  <c r="G361" i="43"/>
  <c r="P314" i="43"/>
  <c r="AD18" i="42"/>
  <c r="S58" i="42"/>
  <c r="E86" i="43"/>
  <c r="O43" i="43"/>
  <c r="E311" i="43"/>
  <c r="P375" i="43"/>
  <c r="F124" i="43"/>
  <c r="F44" i="40"/>
  <c r="F94" i="40"/>
  <c r="B361" i="40"/>
  <c r="E84" i="40"/>
  <c r="BR275" i="42"/>
  <c r="G107" i="40"/>
  <c r="M141" i="43"/>
  <c r="D93" i="43"/>
  <c r="AP53" i="42"/>
  <c r="S45" i="42"/>
  <c r="C109" i="40"/>
  <c r="C152" i="40"/>
  <c r="AP254" i="42"/>
  <c r="AJ315" i="42"/>
  <c r="K371" i="43"/>
  <c r="BP95" i="42"/>
  <c r="D309" i="43"/>
  <c r="G366" i="40"/>
  <c r="F228" i="43"/>
  <c r="O150" i="43"/>
  <c r="D236" i="40"/>
  <c r="G252" i="43"/>
  <c r="M228" i="43"/>
  <c r="D261" i="43"/>
  <c r="BQ89" i="42"/>
  <c r="Y172" i="42"/>
  <c r="F52" i="43"/>
  <c r="B56" i="40"/>
  <c r="N87" i="43"/>
  <c r="AK290" i="42"/>
  <c r="Y275" i="42"/>
  <c r="AK214" i="42"/>
  <c r="F90" i="43"/>
  <c r="E217" i="43"/>
  <c r="AD295" i="42"/>
  <c r="E306" i="44"/>
  <c r="AE233" i="42"/>
  <c r="G50" i="43"/>
  <c r="E184" i="43"/>
  <c r="C111" i="40"/>
  <c r="K291" i="43"/>
  <c r="C110" i="43"/>
  <c r="P85" i="43"/>
  <c r="B131" i="43"/>
  <c r="F24" i="40"/>
  <c r="L120" i="43"/>
  <c r="G235" i="43"/>
  <c r="O108" i="43"/>
  <c r="D129" i="43"/>
  <c r="F225" i="43"/>
  <c r="C297" i="40"/>
  <c r="D187" i="40"/>
  <c r="N51" i="43"/>
  <c r="AP238" i="42"/>
  <c r="B296" i="44"/>
  <c r="C229" i="40"/>
  <c r="AE332" i="42"/>
  <c r="AD114" i="42"/>
  <c r="BP300" i="42"/>
  <c r="P311" i="43"/>
  <c r="N334" i="43"/>
  <c r="AD161" i="42"/>
  <c r="C204" i="40"/>
  <c r="AK181" i="42"/>
  <c r="H317" i="43"/>
  <c r="I375" i="43"/>
  <c r="BP119" i="42"/>
  <c r="BR12" i="42"/>
  <c r="F29" i="43"/>
  <c r="P339" i="43"/>
  <c r="H295" i="43"/>
  <c r="M326" i="43"/>
  <c r="Y146" i="42"/>
  <c r="N195" i="43"/>
  <c r="M138" i="43"/>
  <c r="E211" i="43"/>
  <c r="AE12" i="42"/>
  <c r="O44" i="43"/>
  <c r="F152" i="40"/>
  <c r="J265" i="43"/>
  <c r="BR32" i="42"/>
  <c r="L355" i="43"/>
  <c r="AE149" i="42"/>
  <c r="C296" i="40"/>
  <c r="D125" i="40"/>
  <c r="BP350" i="42"/>
  <c r="E179" i="44"/>
  <c r="X358" i="42"/>
  <c r="B162" i="40"/>
  <c r="BP134" i="42"/>
  <c r="B329" i="40"/>
  <c r="E188" i="40"/>
  <c r="S54" i="42"/>
  <c r="BQ103" i="42"/>
  <c r="Y168" i="42"/>
  <c r="Y328" i="42"/>
  <c r="BR166" i="42"/>
  <c r="BQ39" i="42"/>
  <c r="AK316" i="42"/>
  <c r="J134" i="43"/>
  <c r="H164" i="43"/>
  <c r="AD248" i="42"/>
  <c r="AE370" i="42"/>
  <c r="AJ86" i="42"/>
  <c r="H302" i="43"/>
  <c r="AE131" i="42"/>
  <c r="G327" i="43"/>
  <c r="Y233" i="42"/>
  <c r="E308" i="44"/>
  <c r="BQ167" i="42"/>
  <c r="F41" i="43"/>
  <c r="L101" i="43"/>
  <c r="Y259" i="42"/>
  <c r="B97" i="44"/>
  <c r="AE295" i="42"/>
  <c r="Y169" i="42"/>
  <c r="K96" i="43"/>
  <c r="J105" i="43"/>
  <c r="D146" i="44"/>
  <c r="AJ255" i="42"/>
  <c r="AJ294" i="42"/>
  <c r="AP59" i="42"/>
  <c r="J239" i="43"/>
  <c r="C112" i="44"/>
  <c r="AJ73" i="42"/>
  <c r="X308" i="42"/>
  <c r="G304" i="40"/>
  <c r="D31" i="43"/>
  <c r="BR361" i="42"/>
  <c r="O99" i="43"/>
  <c r="E54" i="40"/>
  <c r="O297" i="43"/>
  <c r="S18" i="42"/>
  <c r="BQ352" i="42"/>
  <c r="AD122" i="42"/>
  <c r="F323" i="40"/>
  <c r="D195" i="44"/>
  <c r="E232" i="44"/>
  <c r="Y223" i="42"/>
  <c r="BP219" i="42"/>
  <c r="J276" i="43"/>
  <c r="F313" i="40"/>
  <c r="B203" i="40"/>
  <c r="BR262" i="42"/>
  <c r="AE166" i="42"/>
  <c r="X30" i="42"/>
  <c r="C243" i="40"/>
  <c r="E58" i="40"/>
  <c r="S172" i="42"/>
  <c r="D286" i="44"/>
  <c r="G161" i="43"/>
  <c r="E274" i="44"/>
  <c r="L312" i="43"/>
  <c r="BP322" i="42"/>
  <c r="B123" i="40"/>
  <c r="S69" i="42"/>
  <c r="D215" i="40"/>
  <c r="B251" i="40"/>
  <c r="D21" i="40"/>
  <c r="F98" i="43"/>
  <c r="E225" i="40"/>
  <c r="H69" i="43"/>
  <c r="B98" i="43"/>
  <c r="K254" i="43"/>
  <c r="H41" i="43"/>
  <c r="G250" i="43"/>
  <c r="F191" i="43"/>
  <c r="G285" i="40"/>
  <c r="F77" i="40"/>
  <c r="D270" i="40"/>
  <c r="E324" i="44"/>
  <c r="AD340" i="42"/>
  <c r="N124" i="43"/>
  <c r="D118" i="40"/>
  <c r="G267" i="43"/>
  <c r="AJ185" i="42"/>
  <c r="E195" i="44"/>
  <c r="H334" i="43"/>
  <c r="D94" i="40"/>
  <c r="BR37" i="42"/>
  <c r="BR284" i="42"/>
  <c r="Y280" i="42"/>
  <c r="BQ373" i="42"/>
  <c r="J214" i="43"/>
  <c r="G303" i="43"/>
  <c r="H40" i="43"/>
  <c r="AJ339" i="42"/>
  <c r="E22" i="43"/>
  <c r="AD219" i="42"/>
  <c r="F273" i="40"/>
  <c r="AJ361" i="42"/>
  <c r="AP32" i="42"/>
  <c r="BR294" i="42"/>
  <c r="B60" i="44"/>
  <c r="L197" i="43"/>
  <c r="AP290" i="42"/>
  <c r="G212" i="40"/>
  <c r="AK210" i="42"/>
  <c r="Y366" i="42"/>
  <c r="D48" i="43"/>
  <c r="D231" i="43"/>
  <c r="N141" i="43"/>
  <c r="F258" i="43"/>
  <c r="BQ142" i="42"/>
  <c r="X238" i="42"/>
  <c r="D273" i="44"/>
  <c r="AD104" i="42"/>
  <c r="K213" i="43"/>
  <c r="P347" i="43"/>
  <c r="B318" i="40"/>
  <c r="S122" i="42"/>
  <c r="I114" i="43"/>
  <c r="BQ144" i="42"/>
  <c r="C208" i="40"/>
  <c r="X218" i="42"/>
  <c r="B226" i="43"/>
  <c r="M60" i="43"/>
  <c r="D52" i="40"/>
  <c r="BR91" i="42"/>
  <c r="J100" i="43"/>
  <c r="B116" i="43"/>
  <c r="G50" i="40"/>
  <c r="D284" i="44"/>
  <c r="D303" i="40"/>
  <c r="N293" i="43"/>
  <c r="AE301" i="42"/>
  <c r="C373" i="40"/>
  <c r="C250" i="43"/>
  <c r="AD154" i="42"/>
  <c r="C100" i="44"/>
  <c r="BP320" i="42"/>
  <c r="M355" i="43"/>
  <c r="E215" i="44"/>
  <c r="E100" i="40"/>
  <c r="C75" i="44"/>
  <c r="G282" i="40"/>
  <c r="S367" i="42"/>
  <c r="AE354" i="42"/>
  <c r="D289" i="40"/>
  <c r="C131" i="40"/>
  <c r="M68" i="43"/>
  <c r="AK373" i="42"/>
  <c r="Y211" i="42"/>
  <c r="E17" i="40"/>
  <c r="X13" i="42"/>
  <c r="G70" i="40"/>
  <c r="H319" i="43"/>
  <c r="J362" i="43"/>
  <c r="K53" i="43"/>
  <c r="G353" i="40"/>
  <c r="O362" i="43"/>
  <c r="P221" i="43"/>
  <c r="N143" i="43"/>
  <c r="D141" i="40"/>
  <c r="I62" i="43"/>
  <c r="D284" i="40"/>
  <c r="G368" i="43"/>
  <c r="B323" i="40"/>
  <c r="E218" i="43"/>
  <c r="AK235" i="42"/>
  <c r="N255" i="43"/>
  <c r="E129" i="40"/>
  <c r="C215" i="44"/>
  <c r="M285" i="43"/>
  <c r="F337" i="40"/>
  <c r="Y45" i="42"/>
  <c r="AP272" i="42"/>
  <c r="L125" i="43"/>
  <c r="C264" i="40"/>
  <c r="J201" i="43"/>
  <c r="AD70" i="42"/>
  <c r="E171" i="40"/>
  <c r="O359" i="43"/>
  <c r="I171" i="43"/>
  <c r="F162" i="40"/>
  <c r="C175" i="43"/>
  <c r="C156" i="43"/>
  <c r="B12" i="40"/>
  <c r="B111" i="40"/>
  <c r="H75" i="43"/>
  <c r="O280" i="43"/>
  <c r="F289" i="40"/>
  <c r="BQ42" i="42"/>
  <c r="N155" i="43"/>
  <c r="AE78" i="42"/>
  <c r="AD240" i="42"/>
  <c r="BQ74" i="42"/>
  <c r="F192" i="43"/>
  <c r="Y174" i="42"/>
  <c r="AP143" i="42"/>
  <c r="BP222" i="42"/>
  <c r="AK186" i="42"/>
  <c r="N91" i="43"/>
  <c r="E169" i="40"/>
  <c r="D21" i="43"/>
  <c r="C174" i="43"/>
  <c r="N194" i="43"/>
  <c r="I226" i="43"/>
  <c r="AE88" i="42"/>
  <c r="M50" i="43"/>
  <c r="C187" i="43"/>
  <c r="C372" i="43"/>
  <c r="I179" i="43"/>
  <c r="O100" i="43"/>
  <c r="D222" i="43"/>
  <c r="F334" i="40"/>
  <c r="AP177" i="42"/>
  <c r="BP235" i="42"/>
  <c r="AP19" i="42"/>
  <c r="O239" i="43"/>
  <c r="G153" i="40"/>
  <c r="G134" i="43"/>
  <c r="BR231" i="42"/>
  <c r="E156" i="44"/>
  <c r="E262" i="43"/>
  <c r="AK203" i="42"/>
  <c r="AX12" i="42"/>
  <c r="B256" i="40"/>
  <c r="F215" i="43"/>
  <c r="E180" i="43"/>
  <c r="B86" i="40"/>
  <c r="Y64" i="42"/>
  <c r="AK45" i="42"/>
  <c r="AP108" i="42"/>
  <c r="P25" i="43"/>
  <c r="AE43" i="42"/>
  <c r="I318" i="43"/>
  <c r="O32" i="43"/>
  <c r="Y237" i="42"/>
  <c r="L276" i="43"/>
  <c r="B295" i="40"/>
  <c r="E136" i="40"/>
  <c r="B84" i="40"/>
  <c r="AK109" i="42"/>
  <c r="G337" i="43"/>
  <c r="B111" i="43"/>
  <c r="D118" i="43"/>
  <c r="I357" i="43"/>
  <c r="N312" i="43"/>
  <c r="E341" i="44"/>
  <c r="AK232" i="42"/>
  <c r="BR96" i="42"/>
  <c r="BQ99" i="42"/>
  <c r="G319" i="40"/>
  <c r="C89" i="43"/>
  <c r="D219" i="40"/>
  <c r="AE67" i="42"/>
  <c r="BR85" i="42"/>
  <c r="S340" i="42"/>
  <c r="D129" i="40"/>
  <c r="B294" i="40"/>
  <c r="D82" i="44"/>
  <c r="AD358" i="42"/>
  <c r="Y266" i="42"/>
  <c r="D371" i="40"/>
  <c r="B103" i="43"/>
  <c r="C289" i="44"/>
  <c r="F344" i="40"/>
  <c r="BQ273" i="42"/>
  <c r="M27" i="43"/>
  <c r="D260" i="40"/>
  <c r="BQ31" i="42"/>
  <c r="C269" i="44"/>
  <c r="AE215" i="42"/>
  <c r="D193" i="44"/>
  <c r="Y349" i="42"/>
  <c r="J58" i="43"/>
  <c r="B34" i="44"/>
  <c r="AJ165" i="42"/>
  <c r="H197" i="43"/>
  <c r="E157" i="43"/>
  <c r="J155" i="43"/>
  <c r="AV12" i="42"/>
  <c r="C280" i="44"/>
  <c r="L190" i="43"/>
  <c r="L242" i="43"/>
  <c r="E22" i="40"/>
  <c r="D112" i="40"/>
  <c r="F274" i="43"/>
  <c r="C27" i="40"/>
  <c r="D213" i="43"/>
  <c r="BR47" i="42"/>
  <c r="AJ175" i="42"/>
  <c r="G238" i="40"/>
  <c r="AK258" i="42"/>
  <c r="D163" i="43"/>
  <c r="D191" i="43"/>
  <c r="AP234" i="42"/>
  <c r="F84" i="40"/>
  <c r="AE49" i="42"/>
  <c r="E28" i="44"/>
  <c r="F280" i="40"/>
  <c r="I289" i="43"/>
  <c r="B182" i="40"/>
  <c r="BP287" i="42"/>
  <c r="K107" i="43"/>
  <c r="I327" i="43"/>
  <c r="E292" i="43"/>
  <c r="AK191" i="42"/>
  <c r="C344" i="44"/>
  <c r="BP344" i="42"/>
  <c r="H122" i="43"/>
  <c r="E237" i="44"/>
  <c r="AD206" i="42"/>
  <c r="AK59" i="42"/>
  <c r="E32" i="40"/>
  <c r="B18" i="43"/>
  <c r="B363" i="40"/>
  <c r="Y90" i="42"/>
  <c r="C48" i="44"/>
  <c r="X55" i="42"/>
  <c r="AK324" i="42"/>
  <c r="K184" i="43"/>
  <c r="E195" i="43"/>
  <c r="D110" i="43"/>
  <c r="BQ111" i="42"/>
  <c r="D194" i="43"/>
  <c r="D308" i="40"/>
  <c r="F285" i="40"/>
  <c r="B99" i="44"/>
  <c r="H32" i="43"/>
  <c r="AE33" i="42"/>
  <c r="L117" i="43"/>
  <c r="D290" i="40"/>
  <c r="E315" i="40"/>
  <c r="X258" i="42"/>
  <c r="S368" i="42"/>
  <c r="N83" i="43"/>
  <c r="D22" i="40"/>
  <c r="D370" i="43"/>
  <c r="B84" i="43"/>
  <c r="F293" i="43"/>
  <c r="BQ97" i="42"/>
  <c r="D304" i="44"/>
  <c r="C167" i="44"/>
  <c r="AD106" i="42"/>
  <c r="AD212" i="42"/>
  <c r="BQ219" i="42"/>
  <c r="D70" i="43"/>
  <c r="Y17" i="42"/>
  <c r="G288" i="40"/>
  <c r="AD210" i="42"/>
  <c r="O351" i="43"/>
  <c r="D91" i="44"/>
  <c r="E154" i="44"/>
  <c r="F33" i="40"/>
  <c r="S366" i="42"/>
  <c r="C321" i="44"/>
  <c r="C76" i="40"/>
  <c r="H148" i="43"/>
  <c r="F73" i="40"/>
  <c r="C20" i="44"/>
  <c r="B301" i="44"/>
  <c r="X242" i="42"/>
  <c r="S115" i="42"/>
  <c r="AP42" i="42"/>
  <c r="F103" i="40"/>
  <c r="M78" i="43"/>
  <c r="AP298" i="42"/>
  <c r="C215" i="40"/>
  <c r="G348" i="40"/>
  <c r="J48" i="43"/>
  <c r="D159" i="43"/>
  <c r="C87" i="44"/>
  <c r="S371" i="42"/>
  <c r="E162" i="40"/>
  <c r="C368" i="40"/>
  <c r="AD288" i="42"/>
  <c r="X21" i="42"/>
  <c r="BR106" i="42"/>
  <c r="G112" i="43"/>
  <c r="AE231" i="42"/>
  <c r="D133" i="40"/>
  <c r="AK32" i="42"/>
  <c r="J81" i="43"/>
  <c r="AD272" i="42"/>
  <c r="AP50" i="42"/>
  <c r="N337" i="43"/>
  <c r="B305" i="40"/>
  <c r="BR257" i="42"/>
  <c r="D295" i="40"/>
  <c r="B347" i="43"/>
  <c r="BQ247" i="42"/>
  <c r="S278" i="42"/>
  <c r="BR306" i="42"/>
  <c r="G228" i="40"/>
  <c r="F233" i="43"/>
  <c r="BQ34" i="42"/>
  <c r="D69" i="44"/>
  <c r="E41" i="43"/>
  <c r="K26" i="43"/>
  <c r="E110" i="40"/>
  <c r="S317" i="42"/>
  <c r="E186" i="40"/>
  <c r="B170" i="43"/>
  <c r="B78" i="40"/>
  <c r="H218" i="43"/>
  <c r="B280" i="40"/>
  <c r="X275" i="42"/>
  <c r="B299" i="40"/>
  <c r="E240" i="43"/>
  <c r="B315" i="43"/>
  <c r="D287" i="40"/>
  <c r="I118" i="43"/>
  <c r="BP353" i="42"/>
  <c r="E150" i="40"/>
  <c r="L309" i="43"/>
  <c r="AK47" i="42"/>
  <c r="O281" i="43"/>
  <c r="P284" i="43"/>
  <c r="B247" i="40"/>
  <c r="AE217" i="42"/>
  <c r="M226" i="43"/>
  <c r="O81" i="43"/>
  <c r="F341" i="43"/>
  <c r="H95" i="43"/>
  <c r="F350" i="43"/>
  <c r="C81" i="40"/>
  <c r="C136" i="40"/>
  <c r="F318" i="40"/>
  <c r="C341" i="43"/>
  <c r="S72" i="42"/>
  <c r="AK197" i="42"/>
  <c r="AK335" i="42"/>
  <c r="G146" i="40"/>
  <c r="P38" i="43"/>
  <c r="J18" i="43"/>
  <c r="N20" i="43"/>
  <c r="H152" i="43"/>
  <c r="J120" i="43"/>
  <c r="G234" i="43"/>
  <c r="L362" i="43"/>
  <c r="G360" i="43"/>
  <c r="C364" i="40"/>
  <c r="G64" i="43"/>
  <c r="O228" i="43"/>
  <c r="B368" i="40"/>
  <c r="B283" i="43"/>
  <c r="P317" i="43"/>
  <c r="P41" i="43"/>
  <c r="F102" i="43"/>
  <c r="E331" i="40"/>
  <c r="G19" i="43"/>
  <c r="E83" i="40"/>
  <c r="AP184" i="42"/>
  <c r="B359" i="44"/>
  <c r="B155" i="44"/>
  <c r="C364" i="43"/>
  <c r="H226" i="43"/>
  <c r="C178" i="43"/>
  <c r="D257" i="40"/>
  <c r="G285" i="43"/>
  <c r="I148" i="43"/>
  <c r="E14" i="43"/>
  <c r="I207" i="43"/>
  <c r="B20" i="40"/>
  <c r="B184" i="40"/>
  <c r="M307" i="43"/>
  <c r="E278" i="40"/>
  <c r="P174" i="43"/>
  <c r="E27" i="44"/>
  <c r="B13" i="40"/>
  <c r="E117" i="40"/>
  <c r="AK112" i="42"/>
  <c r="B30" i="43"/>
  <c r="BQ100" i="42"/>
  <c r="F264" i="40"/>
  <c r="C313" i="44"/>
  <c r="H131" i="43"/>
  <c r="D79" i="43"/>
  <c r="P207" i="43"/>
  <c r="O15" i="43"/>
  <c r="E233" i="44"/>
  <c r="P225" i="43"/>
  <c r="B341" i="40"/>
  <c r="E97" i="40"/>
  <c r="D258" i="44"/>
  <c r="AE282" i="42"/>
  <c r="E370" i="44"/>
  <c r="S364" i="42"/>
  <c r="F261" i="40"/>
  <c r="P32" i="43"/>
  <c r="B344" i="43"/>
  <c r="D122" i="43"/>
  <c r="J312" i="43"/>
  <c r="N49" i="43"/>
  <c r="Y209" i="42"/>
  <c r="E181" i="43"/>
  <c r="AK321" i="42"/>
  <c r="BQ359" i="42"/>
  <c r="E373" i="44"/>
  <c r="O267" i="43"/>
  <c r="I12" i="43"/>
  <c r="AP323" i="42"/>
  <c r="S100" i="42"/>
  <c r="BP371" i="42"/>
  <c r="E205" i="40"/>
  <c r="BQ374" i="42"/>
  <c r="M168" i="43"/>
  <c r="I60" i="43"/>
  <c r="C291" i="40"/>
  <c r="X91" i="42"/>
  <c r="H367" i="43"/>
  <c r="F127" i="43"/>
  <c r="D196" i="40"/>
  <c r="AJ335" i="42"/>
  <c r="AP82" i="42"/>
  <c r="C36" i="40"/>
  <c r="B362" i="40"/>
  <c r="N120" i="43"/>
  <c r="E375" i="40"/>
  <c r="F219" i="40"/>
  <c r="B290" i="44"/>
  <c r="B121" i="40"/>
  <c r="N180" i="43"/>
  <c r="AE81" i="42"/>
  <c r="BQ229" i="42"/>
  <c r="AJ338" i="42"/>
  <c r="C31" i="43"/>
  <c r="G198" i="40"/>
  <c r="BR143" i="42"/>
  <c r="AP207" i="42"/>
  <c r="Y332" i="42"/>
  <c r="AD304" i="42"/>
  <c r="N360" i="43"/>
  <c r="M180" i="43"/>
  <c r="K142" i="43"/>
  <c r="S48" i="42"/>
  <c r="Y240" i="42"/>
  <c r="C68" i="40"/>
  <c r="J257" i="43"/>
  <c r="BR58" i="42"/>
  <c r="O336" i="43"/>
  <c r="B271" i="44"/>
  <c r="AE285" i="42"/>
  <c r="E239" i="40"/>
  <c r="D31" i="40"/>
  <c r="AJ155" i="42"/>
  <c r="C307" i="40"/>
  <c r="E43" i="40"/>
  <c r="E277" i="43"/>
  <c r="S185" i="42"/>
  <c r="Y34" i="42"/>
  <c r="BQ161" i="42"/>
  <c r="Y214" i="42"/>
  <c r="AE172" i="42"/>
  <c r="E326" i="40"/>
  <c r="D249" i="44"/>
  <c r="AK121" i="42"/>
  <c r="F32" i="40"/>
  <c r="L158" i="43"/>
  <c r="G191" i="40"/>
  <c r="K267" i="43"/>
  <c r="G362" i="43"/>
  <c r="AP348" i="42"/>
  <c r="E120" i="44"/>
  <c r="D317" i="40"/>
  <c r="C312" i="40"/>
  <c r="X202" i="42"/>
  <c r="X199" i="42"/>
  <c r="E282" i="44"/>
  <c r="P171" i="43"/>
  <c r="C302" i="44"/>
  <c r="F206" i="40"/>
  <c r="E41" i="44"/>
  <c r="G370" i="43"/>
  <c r="E163" i="40"/>
  <c r="G81" i="40"/>
  <c r="E151" i="40"/>
  <c r="F288" i="40"/>
  <c r="AK134" i="42"/>
  <c r="F181" i="40"/>
  <c r="S222" i="42"/>
  <c r="AE299" i="42"/>
  <c r="AP220" i="42"/>
  <c r="D64" i="40"/>
  <c r="AV11" i="42"/>
  <c r="S326" i="42"/>
  <c r="E276" i="43"/>
  <c r="BP106" i="42"/>
  <c r="AJ148" i="42"/>
  <c r="AP33" i="42"/>
  <c r="S28" i="42"/>
  <c r="O151" i="43"/>
  <c r="M275" i="43"/>
  <c r="I141" i="43"/>
  <c r="K314" i="43"/>
  <c r="C232" i="40"/>
  <c r="H162" i="43"/>
  <c r="E141" i="43"/>
  <c r="AD198" i="42"/>
  <c r="F137" i="40"/>
  <c r="G40" i="40"/>
  <c r="AK105" i="42"/>
  <c r="BP326" i="42"/>
  <c r="D23" i="40"/>
  <c r="BR310" i="42"/>
  <c r="D77" i="40"/>
  <c r="AP302" i="42"/>
  <c r="S342" i="42"/>
  <c r="E123" i="43"/>
  <c r="AP90" i="42"/>
  <c r="BR264" i="42"/>
  <c r="AJ344" i="42"/>
  <c r="G24" i="40"/>
  <c r="BP34" i="42"/>
  <c r="C274" i="44"/>
  <c r="C48" i="40"/>
  <c r="BP117" i="42"/>
  <c r="G338" i="43"/>
  <c r="BP173" i="42"/>
  <c r="P139" i="43"/>
  <c r="I79" i="43"/>
  <c r="AD69" i="42"/>
  <c r="F81" i="40"/>
  <c r="S223" i="42"/>
  <c r="D220" i="44"/>
  <c r="B375" i="40"/>
  <c r="E216" i="40"/>
  <c r="I330" i="43"/>
  <c r="BP273" i="42"/>
  <c r="AP128" i="42"/>
  <c r="BR314" i="42"/>
  <c r="AD40" i="42"/>
  <c r="AP242" i="42"/>
  <c r="L16" i="43"/>
  <c r="C324" i="40"/>
  <c r="C333" i="40"/>
  <c r="B208" i="40"/>
  <c r="E39" i="44"/>
  <c r="S234" i="42"/>
  <c r="S89" i="42"/>
  <c r="BR355" i="42"/>
  <c r="AP284" i="42"/>
  <c r="D321" i="44"/>
  <c r="H57" i="43"/>
  <c r="B227" i="43"/>
  <c r="Y327" i="42"/>
  <c r="AE132" i="42"/>
  <c r="E99" i="40"/>
  <c r="C364" i="44"/>
  <c r="L259" i="43"/>
  <c r="K316" i="43"/>
  <c r="BQ353" i="42"/>
  <c r="N252" i="43"/>
  <c r="P350" i="43"/>
  <c r="M108" i="43"/>
  <c r="L195" i="43"/>
  <c r="E105" i="40"/>
  <c r="AK141" i="42"/>
  <c r="F36" i="40"/>
  <c r="F55" i="40"/>
  <c r="B247" i="44"/>
  <c r="AD221" i="42"/>
  <c r="AP240" i="42"/>
  <c r="G204" i="40"/>
  <c r="BP184" i="42"/>
  <c r="AE119" i="42"/>
  <c r="M105" i="43"/>
  <c r="AK314" i="42"/>
  <c r="C55" i="43"/>
  <c r="P131" i="43"/>
  <c r="L71" i="43"/>
  <c r="AK368" i="42"/>
  <c r="L214" i="43"/>
  <c r="M289" i="43"/>
  <c r="I199" i="43"/>
  <c r="P28" i="43"/>
  <c r="G261" i="43"/>
  <c r="H361" i="43"/>
  <c r="BP270" i="42"/>
  <c r="I359" i="43"/>
  <c r="BR172" i="42"/>
  <c r="AE103" i="42"/>
  <c r="Y49" i="42"/>
  <c r="BP120" i="42"/>
  <c r="AK213" i="42"/>
  <c r="BQ116" i="42"/>
  <c r="B287" i="44"/>
  <c r="E71" i="44"/>
  <c r="N145" i="43"/>
  <c r="P61" i="43"/>
  <c r="B353" i="43"/>
  <c r="L341" i="43"/>
  <c r="D341" i="43"/>
  <c r="M252" i="43"/>
  <c r="B204" i="40"/>
  <c r="K216" i="43"/>
  <c r="D196" i="43"/>
  <c r="B154" i="43"/>
  <c r="F328" i="43"/>
  <c r="C234" i="43"/>
  <c r="C56" i="43"/>
  <c r="E124" i="40"/>
  <c r="AD232" i="42"/>
  <c r="L318" i="43"/>
  <c r="AK173" i="42"/>
  <c r="I172" i="43"/>
  <c r="E153" i="40"/>
  <c r="C254" i="40"/>
  <c r="B38" i="44"/>
  <c r="C50" i="44"/>
  <c r="M308" i="43"/>
  <c r="P178" i="43"/>
  <c r="H191" i="43"/>
  <c r="BP318" i="42"/>
  <c r="AE331" i="42"/>
  <c r="I356" i="43"/>
  <c r="P362" i="43"/>
  <c r="BP296" i="42"/>
  <c r="F95" i="40"/>
  <c r="L204" i="43"/>
  <c r="F242" i="40"/>
  <c r="B240" i="40"/>
  <c r="B119" i="40"/>
  <c r="AE106" i="42"/>
  <c r="E52" i="43"/>
  <c r="Y141" i="42"/>
  <c r="BR95" i="42"/>
  <c r="S60" i="42"/>
  <c r="N58" i="43"/>
  <c r="AP91" i="42"/>
  <c r="B100" i="44"/>
  <c r="I350" i="43"/>
  <c r="P169" i="43"/>
  <c r="M205" i="43"/>
  <c r="D22" i="44"/>
  <c r="P367" i="43"/>
  <c r="N212" i="43"/>
  <c r="L347" i="43"/>
  <c r="AJ16" i="42"/>
  <c r="C244" i="44"/>
  <c r="D248" i="40"/>
  <c r="AK344" i="42"/>
  <c r="D34" i="43"/>
  <c r="J51" i="43"/>
  <c r="G299" i="43"/>
  <c r="F86" i="43"/>
  <c r="B140" i="44"/>
  <c r="C17" i="43"/>
  <c r="B240" i="43"/>
  <c r="D353" i="44"/>
  <c r="AK93" i="42"/>
  <c r="BR352" i="42"/>
  <c r="X344" i="42"/>
  <c r="B162" i="43"/>
  <c r="X316" i="42"/>
  <c r="D203" i="43"/>
  <c r="AE297" i="42"/>
  <c r="B59" i="40"/>
  <c r="B83" i="44"/>
  <c r="B326" i="44"/>
  <c r="AK206" i="42"/>
  <c r="E176" i="43"/>
  <c r="I219" i="43"/>
  <c r="BP176" i="42"/>
  <c r="BP79" i="42"/>
  <c r="F266" i="40"/>
  <c r="B67" i="44"/>
  <c r="G297" i="40"/>
  <c r="D167" i="40"/>
  <c r="C172" i="44"/>
  <c r="S333" i="42"/>
  <c r="BQ28" i="42"/>
  <c r="B233" i="40"/>
  <c r="BP116" i="42"/>
  <c r="AJ286" i="42"/>
  <c r="BR337" i="42"/>
  <c r="D195" i="40"/>
  <c r="J336" i="43"/>
  <c r="AK152" i="42"/>
  <c r="H327" i="43"/>
  <c r="B144" i="43"/>
  <c r="BQ342" i="42"/>
  <c r="B207" i="44"/>
  <c r="S183" i="42"/>
  <c r="AK250" i="42"/>
  <c r="X366" i="42"/>
  <c r="C343" i="40"/>
  <c r="AE134" i="42"/>
  <c r="S77" i="42"/>
  <c r="B319" i="43"/>
  <c r="F136" i="43"/>
  <c r="I287" i="43"/>
  <c r="C61" i="40"/>
  <c r="G211" i="40"/>
  <c r="C125" i="44"/>
  <c r="N132" i="43"/>
  <c r="N299" i="43"/>
  <c r="B317" i="40"/>
  <c r="S245" i="42"/>
  <c r="AE38" i="42"/>
  <c r="X215" i="42"/>
  <c r="BQ360" i="42"/>
  <c r="BP355" i="42"/>
  <c r="D299" i="43"/>
  <c r="E283" i="43"/>
  <c r="AK296" i="42"/>
  <c r="C369" i="40"/>
  <c r="AE59" i="42"/>
  <c r="AE92" i="42"/>
  <c r="AK282" i="42"/>
  <c r="AP324" i="42"/>
  <c r="AP78" i="42"/>
  <c r="M194" i="43"/>
  <c r="E134" i="40"/>
  <c r="Y155" i="42"/>
  <c r="D90" i="40"/>
  <c r="C368" i="44"/>
  <c r="BR11" i="42"/>
  <c r="S155" i="42"/>
  <c r="H287" i="43"/>
  <c r="D288" i="40"/>
  <c r="X359" i="42"/>
  <c r="E170" i="44"/>
  <c r="AJ134" i="42"/>
  <c r="G272" i="40"/>
  <c r="C281" i="43"/>
  <c r="F120" i="43"/>
  <c r="X326" i="42"/>
  <c r="D222" i="44"/>
  <c r="Y351" i="42"/>
  <c r="AP124" i="42"/>
  <c r="F247" i="43"/>
  <c r="D153" i="43"/>
  <c r="Y189" i="42"/>
  <c r="E111" i="40"/>
  <c r="BR164" i="42"/>
  <c r="BQ242" i="42"/>
  <c r="Y166" i="42"/>
  <c r="F317" i="40"/>
  <c r="AP145" i="42"/>
  <c r="I96" i="43"/>
  <c r="G309" i="43"/>
  <c r="C361" i="44"/>
  <c r="AK147" i="42"/>
  <c r="B222" i="44"/>
  <c r="J189" i="43"/>
  <c r="S40" i="42"/>
  <c r="C356" i="43"/>
  <c r="S154" i="42"/>
  <c r="Y11" i="42"/>
  <c r="D120" i="40"/>
  <c r="D337" i="44"/>
  <c r="H174" i="43"/>
  <c r="C299" i="44"/>
  <c r="BP271" i="42"/>
  <c r="D336" i="43"/>
  <c r="J346" i="43"/>
  <c r="N359" i="43"/>
  <c r="S242" i="42"/>
  <c r="D334" i="44"/>
  <c r="G29" i="40"/>
  <c r="D276" i="43"/>
  <c r="I91" i="43"/>
  <c r="K189" i="43"/>
  <c r="D238" i="40"/>
  <c r="D17" i="44"/>
  <c r="I75" i="43"/>
  <c r="K75" i="43"/>
  <c r="Y73" i="42"/>
  <c r="AD336" i="42"/>
  <c r="B245" i="44"/>
  <c r="B51" i="44"/>
  <c r="AK14" i="42"/>
  <c r="J136" i="43"/>
  <c r="G246" i="40"/>
  <c r="J162" i="43"/>
  <c r="S240" i="42"/>
  <c r="B235" i="40"/>
  <c r="O223" i="43"/>
  <c r="N322" i="43"/>
  <c r="N116" i="43"/>
  <c r="AE309" i="42"/>
  <c r="C232" i="44"/>
  <c r="G118" i="40"/>
  <c r="AK172" i="42"/>
  <c r="AJ149" i="42"/>
  <c r="C27" i="43"/>
  <c r="BR226" i="42"/>
  <c r="C231" i="43"/>
  <c r="D220" i="43"/>
  <c r="AK229" i="42"/>
  <c r="K275" i="43"/>
  <c r="C269" i="40"/>
  <c r="D292" i="40"/>
  <c r="I268" i="43"/>
  <c r="AJ356" i="42"/>
  <c r="C39" i="44"/>
  <c r="BQ183" i="42"/>
  <c r="P237" i="43"/>
  <c r="L28" i="43"/>
  <c r="AP362" i="42"/>
  <c r="BR340" i="42"/>
  <c r="G170" i="40"/>
  <c r="E65" i="44"/>
  <c r="B308" i="40"/>
  <c r="G105" i="40"/>
  <c r="B77" i="44"/>
  <c r="E104" i="40"/>
  <c r="E218" i="40"/>
  <c r="B293" i="44"/>
  <c r="H352" i="43"/>
  <c r="E81" i="40"/>
  <c r="S169" i="42"/>
  <c r="BP50" i="42"/>
  <c r="G129" i="40"/>
  <c r="B71" i="44"/>
  <c r="S356" i="42"/>
  <c r="C30" i="43"/>
  <c r="H253" i="43"/>
  <c r="I17" i="43"/>
  <c r="AE60" i="42"/>
  <c r="D145" i="40"/>
  <c r="E299" i="44"/>
  <c r="BQ148" i="42"/>
  <c r="P313" i="43"/>
  <c r="B54" i="44"/>
  <c r="AE283" i="42"/>
  <c r="N372" i="43"/>
  <c r="X121" i="42"/>
  <c r="AP34" i="42"/>
  <c r="C366" i="44"/>
  <c r="E20" i="43"/>
  <c r="D80" i="43"/>
  <c r="AK299" i="42"/>
  <c r="AE278" i="42"/>
  <c r="C115" i="40"/>
  <c r="AD266" i="42"/>
  <c r="AE152" i="42"/>
  <c r="BR203" i="42"/>
  <c r="AP300" i="42"/>
  <c r="D240" i="44"/>
  <c r="Y262" i="42"/>
  <c r="P205" i="43"/>
  <c r="BQ244" i="42"/>
  <c r="BP280" i="42"/>
  <c r="BR84" i="42"/>
  <c r="E129" i="44"/>
  <c r="K123" i="43"/>
  <c r="L105" i="43"/>
  <c r="AE15" i="42"/>
  <c r="E330" i="44"/>
  <c r="S274" i="42"/>
  <c r="B273" i="44"/>
  <c r="E342" i="43"/>
  <c r="B255" i="43"/>
  <c r="BR86" i="42"/>
  <c r="BQ291" i="42"/>
  <c r="BR296" i="42"/>
  <c r="B83" i="43"/>
  <c r="AE191" i="42"/>
  <c r="E170" i="43"/>
  <c r="Y225" i="42"/>
  <c r="E331" i="44"/>
  <c r="F140" i="43"/>
  <c r="F204" i="40"/>
  <c r="BR288" i="42"/>
  <c r="AE362" i="42"/>
  <c r="E146" i="40"/>
  <c r="BQ323" i="42"/>
  <c r="BR70" i="42"/>
  <c r="B295" i="44"/>
  <c r="X210" i="42"/>
  <c r="B118" i="40"/>
  <c r="BR25" i="42"/>
  <c r="I25" i="43"/>
  <c r="G120" i="43"/>
  <c r="S167" i="42"/>
  <c r="N140" i="43"/>
  <c r="BQ234" i="42"/>
  <c r="AK353" i="42"/>
  <c r="Y47" i="42"/>
  <c r="L180" i="43"/>
  <c r="D77" i="44"/>
  <c r="S116" i="42"/>
  <c r="B177" i="43"/>
  <c r="L129" i="43"/>
  <c r="BQ54" i="42"/>
  <c r="BR215" i="42"/>
  <c r="AJ237" i="42"/>
  <c r="X236" i="42"/>
  <c r="P219" i="43"/>
  <c r="BQ321" i="42"/>
  <c r="G121" i="40"/>
  <c r="E116" i="40"/>
  <c r="B167" i="40"/>
  <c r="L114" i="43"/>
  <c r="B304" i="40"/>
  <c r="N241" i="43"/>
  <c r="C273" i="44"/>
  <c r="D42" i="44"/>
  <c r="K268" i="43"/>
  <c r="S281" i="42"/>
  <c r="Y159" i="42"/>
  <c r="E364" i="43"/>
  <c r="S91" i="42"/>
  <c r="D227" i="44"/>
  <c r="N286" i="43"/>
  <c r="L23" i="43"/>
  <c r="G345" i="40"/>
  <c r="I210" i="43"/>
  <c r="M57" i="43"/>
  <c r="M76" i="43"/>
  <c r="E150" i="44"/>
  <c r="B254" i="40"/>
  <c r="Y48" i="42"/>
  <c r="B104" i="40"/>
  <c r="AE317" i="42"/>
  <c r="X209" i="42"/>
  <c r="M238" i="43"/>
  <c r="L372" i="43"/>
  <c r="E143" i="44"/>
  <c r="C274" i="43"/>
  <c r="D162" i="43"/>
  <c r="M286" i="43"/>
  <c r="BP290" i="42"/>
  <c r="Y264" i="42"/>
  <c r="AK354" i="42"/>
  <c r="L282" i="43"/>
  <c r="P17" i="43"/>
  <c r="X291" i="42"/>
  <c r="N111" i="43"/>
  <c r="D285" i="40"/>
  <c r="F85" i="40"/>
  <c r="G25" i="40"/>
  <c r="X239" i="42"/>
  <c r="G90" i="40"/>
  <c r="B102" i="44"/>
  <c r="AK68" i="42"/>
  <c r="E89" i="44"/>
  <c r="F166" i="43"/>
  <c r="AK119" i="42"/>
  <c r="AK76" i="42"/>
  <c r="G63" i="40"/>
  <c r="BP307" i="42"/>
  <c r="H311" i="43"/>
  <c r="K61" i="43"/>
  <c r="BR169" i="42"/>
  <c r="Y140" i="42"/>
  <c r="G370" i="40"/>
  <c r="Y219" i="42"/>
  <c r="G326" i="43"/>
  <c r="S212" i="42"/>
  <c r="D329" i="44"/>
  <c r="BR371" i="42"/>
  <c r="AJ24" i="42"/>
  <c r="D260" i="44"/>
  <c r="B151" i="43"/>
  <c r="C66" i="43"/>
  <c r="AK333" i="42"/>
  <c r="M52" i="43"/>
  <c r="BR254" i="42"/>
  <c r="K332" i="43"/>
  <c r="AE279" i="42"/>
  <c r="S95" i="42"/>
  <c r="S118" i="42"/>
  <c r="AE364" i="42"/>
  <c r="F13" i="43"/>
  <c r="F133" i="40"/>
  <c r="AK38" i="42"/>
  <c r="D325" i="44"/>
  <c r="AJ130" i="42"/>
  <c r="AP282" i="42"/>
  <c r="BR66" i="42"/>
  <c r="AE197" i="42"/>
  <c r="D363" i="40"/>
  <c r="S372" i="42"/>
  <c r="BQ137" i="42"/>
  <c r="AE300" i="42"/>
  <c r="AK279" i="42"/>
  <c r="BQ206" i="42"/>
  <c r="BK42" i="42"/>
  <c r="BR217" i="42"/>
  <c r="S156" i="42"/>
  <c r="BG167" i="42"/>
  <c r="BI26" i="42"/>
  <c r="AQ144" i="42"/>
  <c r="BL126" i="42"/>
  <c r="BN62" i="42"/>
  <c r="BO14" i="42"/>
  <c r="BP303" i="42"/>
  <c r="E325" i="44"/>
  <c r="BG36" i="42"/>
  <c r="BI228" i="42"/>
  <c r="BK310" i="42"/>
  <c r="AD19" i="42"/>
  <c r="F270" i="44"/>
  <c r="BM74" i="42"/>
  <c r="F84" i="44"/>
  <c r="BM206" i="42"/>
  <c r="AD71" i="42"/>
  <c r="C326" i="44"/>
  <c r="BR176" i="42"/>
  <c r="D330" i="44"/>
  <c r="C36" i="44"/>
  <c r="AJ354" i="42"/>
  <c r="BR242" i="42"/>
  <c r="I241" i="43"/>
  <c r="E128" i="44"/>
  <c r="F21" i="40"/>
  <c r="AK95" i="42"/>
  <c r="D182" i="44"/>
  <c r="B24" i="40"/>
  <c r="AK262" i="42"/>
  <c r="BG299" i="42"/>
  <c r="BI176" i="42"/>
  <c r="D36" i="44"/>
  <c r="I11" i="43"/>
  <c r="BH307" i="42"/>
  <c r="AQ271" i="42"/>
  <c r="B180" i="44"/>
  <c r="F228" i="44"/>
  <c r="BL276" i="42"/>
  <c r="Y277" i="42"/>
  <c r="S174" i="42"/>
  <c r="D29" i="44"/>
  <c r="BH247" i="42"/>
  <c r="BH202" i="42"/>
  <c r="BK299" i="42"/>
  <c r="C170" i="44"/>
  <c r="BF225" i="42"/>
  <c r="BO310" i="42"/>
  <c r="AD204" i="42"/>
  <c r="AQ254" i="42"/>
  <c r="AJ88" i="42"/>
  <c r="BH58" i="42"/>
  <c r="BJ327" i="42"/>
  <c r="S14" i="42"/>
  <c r="E137" i="44"/>
  <c r="BH35" i="42"/>
  <c r="BM187" i="42"/>
  <c r="F112" i="44"/>
  <c r="BN258" i="42"/>
  <c r="C140" i="40"/>
  <c r="F296" i="40"/>
  <c r="Y255" i="42"/>
  <c r="AK277" i="42"/>
  <c r="C59" i="44"/>
  <c r="AJ283" i="42"/>
  <c r="Y365" i="42"/>
  <c r="BR136" i="42"/>
  <c r="X251" i="42"/>
  <c r="BP236" i="42"/>
  <c r="I14" i="43"/>
  <c r="B336" i="44"/>
  <c r="C119" i="44"/>
  <c r="BQ105" i="42"/>
  <c r="AJ257" i="42"/>
  <c r="BH24" i="42"/>
  <c r="BI218" i="42"/>
  <c r="BK295" i="42"/>
  <c r="AD306" i="42"/>
  <c r="G121" i="43"/>
  <c r="S231" i="42"/>
  <c r="D171" i="44"/>
  <c r="D146" i="40"/>
  <c r="G287" i="40"/>
  <c r="AK165" i="42"/>
  <c r="B333" i="40"/>
  <c r="Y204" i="42"/>
  <c r="S164" i="42"/>
  <c r="X229" i="42"/>
  <c r="AK274" i="42"/>
  <c r="M246" i="43"/>
  <c r="E135" i="43"/>
  <c r="AK371" i="42"/>
  <c r="F186" i="40"/>
  <c r="S227" i="42"/>
  <c r="Y234" i="42"/>
  <c r="BP57" i="42"/>
  <c r="G222" i="43"/>
  <c r="AE24" i="42"/>
  <c r="E56" i="43"/>
  <c r="S253" i="42"/>
  <c r="K143" i="43"/>
  <c r="B276" i="44"/>
  <c r="AJ215" i="42"/>
  <c r="E84" i="43"/>
  <c r="F260" i="43"/>
  <c r="G183" i="40"/>
  <c r="F12" i="40"/>
  <c r="D127" i="40"/>
  <c r="G201" i="40"/>
  <c r="AK284" i="42"/>
  <c r="AK336" i="42"/>
  <c r="C224" i="43"/>
  <c r="BR271" i="42"/>
  <c r="P265" i="43"/>
  <c r="H213" i="43"/>
  <c r="E167" i="40"/>
  <c r="AP27" i="42"/>
  <c r="S299" i="42"/>
  <c r="B370" i="44"/>
  <c r="E355" i="43"/>
  <c r="L250" i="43"/>
  <c r="B178" i="40"/>
  <c r="BQ290" i="42"/>
  <c r="X151" i="42"/>
  <c r="D95" i="40"/>
  <c r="F160" i="43"/>
  <c r="B357" i="43"/>
  <c r="BR221" i="42"/>
  <c r="AJ296" i="42"/>
  <c r="C41" i="44"/>
  <c r="K369" i="43"/>
  <c r="J281" i="43"/>
  <c r="F184" i="40"/>
  <c r="D342" i="40"/>
  <c r="Y220" i="42"/>
  <c r="AK245" i="42"/>
  <c r="D306" i="40"/>
  <c r="C228" i="40"/>
  <c r="BR15" i="42"/>
  <c r="B247" i="43"/>
  <c r="J323" i="43"/>
  <c r="B55" i="44"/>
  <c r="F321" i="40"/>
  <c r="B143" i="44"/>
  <c r="E56" i="44"/>
  <c r="AE83" i="42"/>
  <c r="F206" i="43"/>
  <c r="I322" i="43"/>
  <c r="BR333" i="42"/>
  <c r="D321" i="40"/>
  <c r="B76" i="40"/>
  <c r="D115" i="40"/>
  <c r="S79" i="42"/>
  <c r="B371" i="44"/>
  <c r="AP268" i="42"/>
  <c r="C300" i="44"/>
  <c r="E314" i="43"/>
  <c r="B232" i="40"/>
  <c r="Y195" i="42"/>
  <c r="AJ151" i="42"/>
  <c r="AP230" i="42"/>
  <c r="C117" i="44"/>
  <c r="C256" i="43"/>
  <c r="B320" i="43"/>
  <c r="BR266" i="42"/>
  <c r="B176" i="44"/>
  <c r="BP286" i="42"/>
  <c r="J263" i="43"/>
  <c r="AE17" i="42"/>
  <c r="B297" i="43"/>
  <c r="AK77" i="42"/>
  <c r="BR149" i="42"/>
  <c r="X271" i="42"/>
  <c r="D139" i="40"/>
  <c r="F59" i="40"/>
  <c r="H325" i="43"/>
  <c r="C72" i="43"/>
  <c r="D311" i="40"/>
  <c r="J131" i="43"/>
  <c r="D184" i="44"/>
  <c r="AE11" i="42"/>
  <c r="C32" i="40"/>
  <c r="H233" i="43"/>
  <c r="B166" i="43"/>
  <c r="S64" i="42"/>
  <c r="Y306" i="42"/>
  <c r="AE242" i="42"/>
  <c r="C23" i="43"/>
  <c r="S150" i="42"/>
  <c r="D352" i="44"/>
  <c r="N259" i="43"/>
  <c r="AJ110" i="42"/>
  <c r="S78" i="42"/>
  <c r="AK352" i="42"/>
  <c r="E63" i="40"/>
  <c r="N53" i="43"/>
  <c r="Y116" i="42"/>
  <c r="Y78" i="42"/>
  <c r="C125" i="40"/>
  <c r="S31" i="42"/>
  <c r="C206" i="40"/>
  <c r="E257" i="40"/>
  <c r="N301" i="43"/>
  <c r="J241" i="43"/>
  <c r="E240" i="40"/>
  <c r="B165" i="44"/>
  <c r="D165" i="40"/>
  <c r="C156" i="40"/>
  <c r="G102" i="40"/>
  <c r="BR233" i="42"/>
  <c r="C331" i="44"/>
  <c r="Y303" i="42"/>
  <c r="BQ141" i="42"/>
  <c r="F198" i="40"/>
  <c r="F355" i="40"/>
  <c r="Y52" i="42"/>
  <c r="D351" i="40"/>
  <c r="N332" i="43"/>
  <c r="AK358" i="42"/>
  <c r="I197" i="43"/>
  <c r="BR252" i="42"/>
  <c r="S24" i="42"/>
  <c r="F147" i="40"/>
  <c r="F136" i="40"/>
  <c r="X40" i="42"/>
  <c r="BQ281" i="42"/>
  <c r="D18" i="43"/>
  <c r="K119" i="43"/>
  <c r="E348" i="43"/>
  <c r="E302" i="40"/>
  <c r="G308" i="40"/>
  <c r="O224" i="43"/>
  <c r="P198" i="43"/>
  <c r="D176" i="44"/>
  <c r="F101" i="40"/>
  <c r="P296" i="43"/>
  <c r="L311" i="43"/>
  <c r="E162" i="44"/>
  <c r="C47" i="40"/>
  <c r="E131" i="40"/>
  <c r="X354" i="42"/>
  <c r="AD332" i="42"/>
  <c r="AP11" i="42"/>
  <c r="BQ263" i="42"/>
  <c r="C304" i="43"/>
  <c r="AE177" i="42"/>
  <c r="AD313" i="42"/>
  <c r="D70" i="44"/>
  <c r="AD157" i="42"/>
  <c r="B27" i="40"/>
  <c r="D27" i="43"/>
  <c r="BP124" i="42"/>
  <c r="B40" i="44"/>
  <c r="BG324" i="42"/>
  <c r="BI87" i="42"/>
  <c r="BK223" i="42"/>
  <c r="X221" i="42"/>
  <c r="BG311" i="42"/>
  <c r="BL193" i="42"/>
  <c r="BN85" i="42"/>
  <c r="H190" i="43"/>
  <c r="S199" i="42"/>
  <c r="BH224" i="42"/>
  <c r="BJ34" i="42"/>
  <c r="AK179" i="42"/>
  <c r="E323" i="44"/>
  <c r="C64" i="44"/>
  <c r="F290" i="44"/>
  <c r="BM242" i="42"/>
  <c r="BN254" i="42"/>
  <c r="AQ277" i="42"/>
  <c r="E271" i="43"/>
  <c r="O147" i="43"/>
  <c r="N198" i="43"/>
  <c r="D208" i="40"/>
  <c r="AD276" i="42"/>
  <c r="AP233" i="42"/>
  <c r="E342" i="40"/>
  <c r="M365" i="43"/>
  <c r="AJ177" i="42"/>
  <c r="X234" i="42"/>
  <c r="AP93" i="42"/>
  <c r="G323" i="43"/>
  <c r="M334" i="43"/>
  <c r="AP63" i="42"/>
  <c r="BK143" i="42"/>
  <c r="X85" i="42"/>
  <c r="Y57" i="42"/>
  <c r="BJ250" i="42"/>
  <c r="BK194" i="42"/>
  <c r="AE53" i="42"/>
  <c r="BF362" i="42"/>
  <c r="BM51" i="42"/>
  <c r="BM200" i="42"/>
  <c r="AD284" i="42"/>
  <c r="BR150" i="42"/>
  <c r="BI326" i="42"/>
  <c r="BJ71" i="42"/>
  <c r="D212" i="44"/>
  <c r="BO116" i="42"/>
  <c r="BH109" i="42"/>
  <c r="AQ84" i="42"/>
  <c r="AQ154" i="42"/>
  <c r="BL306" i="42"/>
  <c r="BN252" i="42"/>
  <c r="AD125" i="42"/>
  <c r="AD269" i="42"/>
  <c r="AJ331" i="42"/>
  <c r="BG174" i="42"/>
  <c r="BI318" i="42"/>
  <c r="AD320" i="42"/>
  <c r="BL144" i="42"/>
  <c r="AD177" i="42"/>
  <c r="F317" i="44"/>
  <c r="C83" i="43"/>
  <c r="Y99" i="42"/>
  <c r="G17" i="43"/>
  <c r="C279" i="40"/>
  <c r="C343" i="44"/>
  <c r="AJ26" i="42"/>
  <c r="AJ78" i="42"/>
  <c r="C356" i="40"/>
  <c r="H179" i="43"/>
  <c r="D155" i="44"/>
  <c r="X283" i="42"/>
  <c r="AE288" i="42"/>
  <c r="AJ249" i="42"/>
  <c r="AJ12" i="42"/>
  <c r="BI30" i="42"/>
  <c r="BJ256" i="42"/>
  <c r="E92" i="44"/>
  <c r="BF206" i="42"/>
  <c r="BH290" i="42"/>
  <c r="F30" i="43"/>
  <c r="AD222" i="42"/>
  <c r="C332" i="44"/>
  <c r="AD217" i="42"/>
  <c r="I134" i="43"/>
  <c r="E106" i="40"/>
  <c r="B342" i="40"/>
  <c r="BP289" i="42"/>
  <c r="C29" i="40"/>
  <c r="K274" i="43"/>
  <c r="I255" i="43"/>
  <c r="E107" i="43"/>
  <c r="M96" i="43"/>
  <c r="H326" i="43"/>
  <c r="O318" i="43"/>
  <c r="I353" i="43"/>
  <c r="Y115" i="42"/>
  <c r="BR261" i="42"/>
  <c r="D296" i="40"/>
  <c r="N144" i="43"/>
  <c r="X237" i="42"/>
  <c r="BR98" i="42"/>
  <c r="AJ375" i="42"/>
  <c r="AJ131" i="42"/>
  <c r="D215" i="44"/>
  <c r="O65" i="43"/>
  <c r="B44" i="40"/>
  <c r="P369" i="43"/>
  <c r="G347" i="43"/>
  <c r="F171" i="40"/>
  <c r="D178" i="44"/>
  <c r="AK182" i="42"/>
  <c r="Y106" i="42"/>
  <c r="E255" i="44"/>
  <c r="D214" i="44"/>
  <c r="BR82" i="42"/>
  <c r="K85" i="43"/>
  <c r="C326" i="43"/>
  <c r="F330" i="40"/>
  <c r="D108" i="44"/>
  <c r="J78" i="43"/>
  <c r="G56" i="43"/>
  <c r="S33" i="42"/>
  <c r="BR348" i="42"/>
  <c r="S131" i="42"/>
  <c r="AD207" i="42"/>
  <c r="AD141" i="42"/>
  <c r="Y201" i="42"/>
  <c r="P11" i="43"/>
  <c r="BQ343" i="42"/>
  <c r="BP94" i="42"/>
  <c r="AE176" i="42"/>
  <c r="J340" i="43"/>
  <c r="O365" i="43"/>
  <c r="F183" i="43"/>
  <c r="Y222" i="42"/>
  <c r="G128" i="43"/>
  <c r="D60" i="40"/>
  <c r="E74" i="43"/>
  <c r="D289" i="44"/>
  <c r="E224" i="43"/>
  <c r="C235" i="40"/>
  <c r="D12" i="43"/>
  <c r="E206" i="43"/>
  <c r="BR163" i="42"/>
  <c r="AK63" i="42"/>
  <c r="F220" i="40"/>
  <c r="BQ210" i="42"/>
  <c r="K79" i="43"/>
  <c r="AK254" i="42"/>
  <c r="F359" i="40"/>
  <c r="Y284" i="42"/>
  <c r="B108" i="44"/>
  <c r="D151" i="43"/>
  <c r="Y316" i="42"/>
  <c r="X226" i="42"/>
  <c r="X247" i="42"/>
  <c r="AD271" i="42"/>
  <c r="O334" i="43"/>
  <c r="BQ254" i="42"/>
  <c r="AD111" i="42"/>
  <c r="D21" i="44"/>
  <c r="AJ112" i="42"/>
  <c r="AK212" i="42"/>
  <c r="L257" i="43"/>
  <c r="G30" i="40"/>
  <c r="C150" i="40"/>
  <c r="AK375" i="42"/>
  <c r="X177" i="42"/>
  <c r="E222" i="40"/>
  <c r="BP238" i="42"/>
  <c r="F252" i="40"/>
  <c r="X307" i="42"/>
  <c r="G257" i="40"/>
  <c r="X287" i="42"/>
  <c r="E183" i="44"/>
  <c r="C162" i="44"/>
  <c r="F42" i="43"/>
  <c r="J104" i="43"/>
  <c r="AP74" i="42"/>
  <c r="J32" i="43"/>
  <c r="O37" i="43"/>
  <c r="AJ321" i="42"/>
  <c r="AP332" i="42"/>
  <c r="E258" i="44"/>
  <c r="J121" i="43"/>
  <c r="B305" i="44"/>
  <c r="AJ295" i="42"/>
  <c r="D285" i="44"/>
  <c r="F291" i="40"/>
  <c r="P43" i="43"/>
  <c r="BR157" i="42"/>
  <c r="AK236" i="42"/>
  <c r="AK345" i="42"/>
  <c r="AJ72" i="42"/>
  <c r="BP75" i="42"/>
  <c r="BQ261" i="42"/>
  <c r="B158" i="40"/>
  <c r="X269" i="42"/>
  <c r="BP334" i="42"/>
  <c r="C102" i="44"/>
  <c r="D79" i="40"/>
  <c r="BP279" i="42"/>
  <c r="AJ139" i="42"/>
  <c r="B348" i="40"/>
  <c r="Y41" i="42"/>
  <c r="BR360" i="42"/>
  <c r="AK216" i="42"/>
  <c r="J252" i="43"/>
  <c r="E103" i="43"/>
  <c r="X329" i="42"/>
  <c r="E264" i="40"/>
  <c r="Y282" i="42"/>
  <c r="Y97" i="42"/>
  <c r="B347" i="40"/>
  <c r="S262" i="42"/>
  <c r="I22" i="43"/>
  <c r="D25" i="44"/>
  <c r="I294" i="43"/>
  <c r="Y61" i="42"/>
  <c r="AE189" i="42"/>
  <c r="J244" i="43"/>
  <c r="AE46" i="42"/>
  <c r="E251" i="44"/>
  <c r="BP211" i="42"/>
  <c r="S120" i="42"/>
  <c r="I167" i="43"/>
  <c r="S290" i="42"/>
  <c r="O355" i="43"/>
  <c r="G97" i="43"/>
  <c r="AD342" i="42"/>
  <c r="BQ73" i="42"/>
  <c r="AD347" i="42"/>
  <c r="F367" i="43"/>
  <c r="B258" i="43"/>
  <c r="B328" i="44"/>
  <c r="AP217" i="42"/>
  <c r="I150" i="43"/>
  <c r="P364" i="43"/>
  <c r="D272" i="44"/>
  <c r="BQ23" i="42"/>
  <c r="AD355" i="42"/>
  <c r="D133" i="44"/>
  <c r="E92" i="40"/>
  <c r="J354" i="43"/>
  <c r="C211" i="44"/>
  <c r="O217" i="43"/>
  <c r="G283" i="40"/>
  <c r="E262" i="44"/>
  <c r="D280" i="40"/>
  <c r="X322" i="42"/>
  <c r="AK30" i="42"/>
  <c r="E58" i="44"/>
  <c r="BH237" i="42"/>
  <c r="BH30" i="42"/>
  <c r="BK104" i="42"/>
  <c r="E125" i="44"/>
  <c r="BO172" i="42"/>
  <c r="BH374" i="42"/>
  <c r="BF221" i="42"/>
  <c r="BO196" i="42"/>
  <c r="C19" i="44"/>
  <c r="F115" i="40"/>
  <c r="B348" i="43"/>
  <c r="AE187" i="42"/>
  <c r="AK15" i="42"/>
  <c r="BH239" i="42"/>
  <c r="C346" i="40"/>
  <c r="X183" i="42"/>
  <c r="BM132" i="42"/>
  <c r="BN120" i="42"/>
  <c r="BF279" i="42"/>
  <c r="AP339" i="42"/>
  <c r="D132" i="40"/>
  <c r="D58" i="43"/>
  <c r="AJ271" i="42"/>
  <c r="D79" i="44"/>
  <c r="E244" i="40"/>
  <c r="E180" i="44"/>
  <c r="C130" i="40"/>
  <c r="L300" i="43"/>
  <c r="P357" i="43"/>
  <c r="BP234" i="42"/>
  <c r="BQ128" i="42"/>
  <c r="C225" i="44"/>
  <c r="F311" i="43"/>
  <c r="E62" i="40"/>
  <c r="BF31" i="42"/>
  <c r="AP208" i="42"/>
  <c r="BK368" i="42"/>
  <c r="AP358" i="42"/>
  <c r="BO191" i="42"/>
  <c r="BL275" i="42"/>
  <c r="BL343" i="42"/>
  <c r="BN300" i="42"/>
  <c r="BH238" i="42"/>
  <c r="P173" i="43"/>
  <c r="BK23" i="42"/>
  <c r="C342" i="44"/>
  <c r="D164" i="44"/>
  <c r="BG112" i="42"/>
  <c r="BI275" i="42"/>
  <c r="BK359" i="42"/>
  <c r="BM71" i="42"/>
  <c r="BH17" i="42"/>
  <c r="BM174" i="42"/>
  <c r="Y334" i="42"/>
  <c r="D304" i="40"/>
  <c r="BG135" i="42"/>
  <c r="BI105" i="42"/>
  <c r="BK196" i="42"/>
  <c r="B285" i="44"/>
  <c r="AP351" i="42"/>
  <c r="BH243" i="42"/>
  <c r="BL176" i="42"/>
  <c r="BJ197" i="42"/>
  <c r="D341" i="44"/>
  <c r="D111" i="40"/>
  <c r="O90" i="43"/>
  <c r="C14" i="43"/>
  <c r="H168" i="43"/>
  <c r="AP368" i="42"/>
  <c r="P203" i="43"/>
  <c r="AK88" i="42"/>
  <c r="I213" i="43"/>
  <c r="E305" i="44"/>
  <c r="AJ217" i="42"/>
  <c r="O328" i="43"/>
  <c r="Y276" i="42"/>
  <c r="BK369" i="42"/>
  <c r="AJ141" i="42"/>
  <c r="BF96" i="42"/>
  <c r="BH68" i="42"/>
  <c r="BI116" i="42"/>
  <c r="BK84" i="42"/>
  <c r="BR239" i="42"/>
  <c r="X341" i="42"/>
  <c r="BP332" i="42"/>
  <c r="F218" i="40"/>
  <c r="C246" i="40"/>
  <c r="N100" i="43"/>
  <c r="F39" i="40"/>
  <c r="D307" i="44"/>
  <c r="F62" i="40"/>
  <c r="D55" i="43"/>
  <c r="Y124" i="42"/>
  <c r="C99" i="43"/>
  <c r="J227" i="43"/>
  <c r="X70" i="42"/>
  <c r="F128" i="43"/>
  <c r="E242" i="40"/>
  <c r="AD123" i="42"/>
  <c r="L231" i="43"/>
  <c r="E217" i="40"/>
  <c r="E248" i="40"/>
  <c r="B177" i="40"/>
  <c r="F13" i="40"/>
  <c r="BP215" i="42"/>
  <c r="X23" i="42"/>
  <c r="BP336" i="42"/>
  <c r="J218" i="43"/>
  <c r="D87" i="43"/>
  <c r="BP223" i="42"/>
  <c r="AE339" i="42"/>
  <c r="AK249" i="42"/>
  <c r="F46" i="43"/>
  <c r="C162" i="40"/>
  <c r="BQ37" i="42"/>
  <c r="B346" i="44"/>
  <c r="H297" i="43"/>
  <c r="AP125" i="42"/>
  <c r="B115" i="40"/>
  <c r="E158" i="44"/>
  <c r="F324" i="43"/>
  <c r="BP275" i="42"/>
  <c r="AP321" i="42"/>
  <c r="E210" i="40"/>
  <c r="J351" i="43"/>
  <c r="D273" i="43"/>
  <c r="AP283" i="42"/>
  <c r="Y128" i="42"/>
  <c r="BQ332" i="42"/>
  <c r="B340" i="40"/>
  <c r="G116" i="40"/>
  <c r="X44" i="42"/>
  <c r="AK48" i="42"/>
  <c r="S243" i="42"/>
  <c r="C256" i="40"/>
  <c r="E327" i="44"/>
  <c r="G289" i="40"/>
  <c r="AP194" i="42"/>
  <c r="L147" i="43"/>
  <c r="AJ11" i="42"/>
  <c r="AJ29" i="42"/>
  <c r="E34" i="44"/>
  <c r="P73" i="43"/>
  <c r="H82" i="43"/>
  <c r="BP191" i="42"/>
  <c r="AK51" i="42"/>
  <c r="D283" i="43"/>
  <c r="D340" i="43"/>
  <c r="AP206" i="42"/>
  <c r="D147" i="40"/>
  <c r="BP302" i="42"/>
  <c r="S193" i="42"/>
  <c r="AK288" i="42"/>
  <c r="G214" i="40"/>
  <c r="Y91" i="42"/>
  <c r="I358" i="43"/>
  <c r="J47" i="43"/>
  <c r="S201" i="42"/>
  <c r="D315" i="44"/>
  <c r="AP117" i="42"/>
  <c r="B336" i="40"/>
  <c r="Y288" i="42"/>
  <c r="K35" i="43"/>
  <c r="AK128" i="42"/>
  <c r="X233" i="42"/>
  <c r="S192" i="42"/>
  <c r="BR301" i="42"/>
  <c r="BR369" i="42"/>
  <c r="E19" i="44"/>
  <c r="BR341" i="42"/>
  <c r="B220" i="44"/>
  <c r="B361" i="43"/>
  <c r="I300" i="43"/>
  <c r="C330" i="40"/>
  <c r="B250" i="44"/>
  <c r="BQ252" i="42"/>
  <c r="Y123" i="42"/>
  <c r="N203" i="43"/>
  <c r="H81" i="43"/>
  <c r="AD81" i="42"/>
  <c r="AD68" i="42"/>
  <c r="AP370" i="42"/>
  <c r="I63" i="43"/>
  <c r="L260" i="43"/>
  <c r="E50" i="40"/>
  <c r="B306" i="44"/>
  <c r="S311" i="42"/>
  <c r="I308" i="43"/>
  <c r="E35" i="44"/>
  <c r="E357" i="44"/>
  <c r="M270" i="43"/>
  <c r="BP26" i="42"/>
  <c r="F308" i="43"/>
  <c r="AD109" i="42"/>
  <c r="Y183" i="42"/>
  <c r="L131" i="43"/>
  <c r="F75" i="40"/>
  <c r="C169" i="40"/>
  <c r="D290" i="44"/>
  <c r="Y261" i="42"/>
  <c r="BP186" i="42"/>
  <c r="BQ249" i="42"/>
  <c r="J282" i="43"/>
  <c r="AK340" i="42"/>
  <c r="F323" i="43"/>
  <c r="AK116" i="42"/>
  <c r="I273" i="43"/>
  <c r="X240" i="42"/>
  <c r="BQ220" i="42"/>
  <c r="E140" i="44"/>
  <c r="Y145" i="42"/>
  <c r="G314" i="40"/>
  <c r="X245" i="42"/>
  <c r="AP21" i="42"/>
  <c r="G63" i="43"/>
  <c r="AK160" i="42"/>
  <c r="D240" i="40"/>
  <c r="AJ227" i="42"/>
  <c r="F23" i="43"/>
  <c r="AP360" i="42"/>
  <c r="E266" i="44"/>
  <c r="AK208" i="42"/>
  <c r="D102" i="44"/>
  <c r="C54" i="40"/>
  <c r="D154" i="40"/>
  <c r="D232" i="44"/>
  <c r="D28" i="44"/>
  <c r="AW11" i="42"/>
  <c r="C81" i="43"/>
  <c r="BR127" i="42"/>
  <c r="G180" i="40"/>
  <c r="Y74" i="42"/>
  <c r="E321" i="44"/>
  <c r="Y357" i="42"/>
  <c r="BP346" i="42"/>
  <c r="AJ193" i="42"/>
  <c r="AE70" i="42"/>
  <c r="F345" i="43"/>
  <c r="AJ115" i="42"/>
  <c r="E371" i="43"/>
  <c r="AP205" i="42"/>
  <c r="B215" i="44"/>
  <c r="N242" i="43"/>
  <c r="BQ121" i="42"/>
  <c r="O337" i="43"/>
  <c r="H281" i="43"/>
  <c r="D103" i="40"/>
  <c r="BQ207" i="42"/>
  <c r="B95" i="40"/>
  <c r="F195" i="40"/>
  <c r="J301" i="43"/>
  <c r="BQ38" i="42"/>
  <c r="L304" i="43"/>
  <c r="E152" i="43"/>
  <c r="H96" i="43"/>
  <c r="BJ338" i="42"/>
  <c r="AE95" i="42"/>
  <c r="BO163" i="42"/>
  <c r="BH183" i="42"/>
  <c r="BJ352" i="42"/>
  <c r="BO80" i="42"/>
  <c r="AQ38" i="42"/>
  <c r="BI141" i="42"/>
  <c r="BF32" i="42"/>
  <c r="E80" i="40"/>
  <c r="E252" i="44"/>
  <c r="BG302" i="42"/>
  <c r="BI314" i="42"/>
  <c r="G304" i="43"/>
  <c r="G192" i="40"/>
  <c r="BH188" i="42"/>
  <c r="F171" i="44"/>
  <c r="X46" i="42"/>
  <c r="F355" i="44"/>
  <c r="BL302" i="42"/>
  <c r="C145" i="43"/>
  <c r="E70" i="44"/>
  <c r="AP170" i="42"/>
  <c r="B109" i="40"/>
  <c r="C376" i="44"/>
  <c r="B26" i="43"/>
  <c r="X146" i="42"/>
  <c r="E198" i="43"/>
  <c r="BQ146" i="42"/>
  <c r="BR374" i="42"/>
  <c r="X253" i="42"/>
  <c r="F215" i="40"/>
  <c r="AD372" i="42"/>
  <c r="Y291" i="42"/>
  <c r="D16" i="40"/>
  <c r="AD370" i="42"/>
  <c r="BQ107" i="42"/>
  <c r="BG114" i="42"/>
  <c r="BI293" i="42"/>
  <c r="B360" i="44"/>
  <c r="AQ238" i="42"/>
  <c r="F120" i="44"/>
  <c r="AP326" i="42"/>
  <c r="BR346" i="42"/>
  <c r="AP35" i="42"/>
  <c r="BG196" i="42"/>
  <c r="BI329" i="42"/>
  <c r="BK96" i="42"/>
  <c r="B226" i="40"/>
  <c r="BG143" i="42"/>
  <c r="BN183" i="42"/>
  <c r="BF317" i="42"/>
  <c r="BF40" i="42"/>
  <c r="L344" i="43"/>
  <c r="Y12" i="42"/>
  <c r="BK88" i="42"/>
  <c r="E222" i="44"/>
  <c r="BO152" i="42"/>
  <c r="BP295" i="42"/>
  <c r="BK350" i="42"/>
  <c r="BL269" i="42"/>
  <c r="BM311" i="42"/>
  <c r="BN266" i="42"/>
  <c r="D174" i="44"/>
  <c r="AE77" i="42"/>
  <c r="E161" i="43"/>
  <c r="C127" i="40"/>
  <c r="BP111" i="42"/>
  <c r="B132" i="40"/>
  <c r="B366" i="43"/>
  <c r="BP28" i="42"/>
  <c r="BR79" i="42"/>
  <c r="G324" i="40"/>
  <c r="E352" i="43"/>
  <c r="E333" i="40"/>
  <c r="B112" i="40"/>
  <c r="B171" i="44"/>
  <c r="BG184" i="42"/>
  <c r="BI52" i="42"/>
  <c r="BK29" i="42"/>
  <c r="AD47" i="42"/>
  <c r="BG102" i="42"/>
  <c r="AP67" i="42"/>
  <c r="BR178" i="42"/>
  <c r="Y26" i="42"/>
  <c r="C287" i="44"/>
  <c r="L326" i="43"/>
  <c r="F207" i="40"/>
  <c r="B154" i="40"/>
  <c r="AP211" i="42"/>
  <c r="AP163" i="42"/>
  <c r="C43" i="43"/>
  <c r="B157" i="43"/>
  <c r="AE156" i="42"/>
  <c r="P248" i="43"/>
  <c r="AJ325" i="42"/>
  <c r="AJ82" i="42"/>
  <c r="D33" i="44"/>
  <c r="AK126" i="42"/>
  <c r="J306" i="43"/>
  <c r="C266" i="43"/>
  <c r="E322" i="40"/>
  <c r="S348" i="42"/>
  <c r="P162" i="43"/>
  <c r="X97" i="42"/>
  <c r="F74" i="40"/>
  <c r="BR207" i="42"/>
  <c r="G82" i="40"/>
  <c r="G136" i="40"/>
  <c r="B181" i="44"/>
  <c r="F22" i="40"/>
  <c r="S284" i="42"/>
  <c r="AD280" i="42"/>
  <c r="D135" i="44"/>
  <c r="N363" i="43"/>
  <c r="F298" i="40"/>
  <c r="E159" i="44"/>
  <c r="AJ298" i="42"/>
  <c r="L161" i="43"/>
  <c r="E141" i="44"/>
  <c r="AJ114" i="42"/>
  <c r="S27" i="42"/>
  <c r="AE349" i="42"/>
  <c r="D176" i="40"/>
  <c r="C11" i="43"/>
  <c r="S252" i="42"/>
  <c r="E14" i="44"/>
  <c r="BQ298" i="42"/>
  <c r="AJ275" i="42"/>
  <c r="BR359" i="42"/>
  <c r="F133" i="43"/>
  <c r="E240" i="44"/>
  <c r="E176" i="44"/>
  <c r="G76" i="40"/>
  <c r="D54" i="40"/>
  <c r="C216" i="43"/>
  <c r="J124" i="43"/>
  <c r="F301" i="43"/>
  <c r="H177" i="43"/>
  <c r="N367" i="43"/>
  <c r="F147" i="43"/>
  <c r="X48" i="42"/>
  <c r="N170" i="43"/>
  <c r="F374" i="40"/>
  <c r="C217" i="40"/>
  <c r="AK272" i="42"/>
  <c r="S153" i="42"/>
  <c r="BQ361" i="42"/>
  <c r="AJ225" i="42"/>
  <c r="N368" i="43"/>
  <c r="G375" i="43"/>
  <c r="F237" i="43"/>
  <c r="AJ34" i="42"/>
  <c r="AK205" i="42"/>
  <c r="AE182" i="42"/>
  <c r="E196" i="40"/>
  <c r="BP305" i="42"/>
  <c r="BP264" i="42"/>
  <c r="AD287" i="42"/>
  <c r="E13" i="44"/>
  <c r="G39" i="43"/>
  <c r="AE28" i="42"/>
  <c r="B146" i="40"/>
  <c r="AE266" i="42"/>
  <c r="AD353" i="42"/>
  <c r="B342" i="43"/>
  <c r="B356" i="40"/>
  <c r="G208" i="40"/>
  <c r="D302" i="43"/>
  <c r="C104" i="44"/>
  <c r="S360" i="42"/>
  <c r="C316" i="43"/>
  <c r="B186" i="43"/>
  <c r="G204" i="43"/>
  <c r="P231" i="43"/>
  <c r="AJ307" i="42"/>
  <c r="N38" i="43"/>
  <c r="G70" i="43"/>
  <c r="M313" i="43"/>
  <c r="N349" i="43"/>
  <c r="AE162" i="42"/>
  <c r="BQ193" i="42"/>
  <c r="C165" i="40"/>
  <c r="S13" i="42"/>
  <c r="K69" i="43"/>
  <c r="B87" i="43"/>
  <c r="AP153" i="42"/>
  <c r="F242" i="43"/>
  <c r="I80" i="43"/>
  <c r="B323" i="43"/>
  <c r="B336" i="43"/>
  <c r="J93" i="43"/>
  <c r="H277" i="43"/>
  <c r="AJ313" i="42"/>
  <c r="N163" i="43"/>
  <c r="S338" i="42"/>
  <c r="F297" i="43"/>
  <c r="B61" i="40"/>
  <c r="AJ75" i="42"/>
  <c r="L19" i="43"/>
  <c r="B47" i="40"/>
  <c r="F40" i="40"/>
  <c r="C282" i="40"/>
  <c r="BP166" i="42"/>
  <c r="E214" i="44"/>
  <c r="AE306" i="42"/>
  <c r="S179" i="42"/>
  <c r="E179" i="40"/>
  <c r="M357" i="43"/>
  <c r="C26" i="44"/>
  <c r="S173" i="42"/>
  <c r="BP205" i="42"/>
  <c r="F324" i="40"/>
  <c r="F272" i="40"/>
  <c r="L42" i="43"/>
  <c r="B260" i="40"/>
  <c r="Y148" i="42"/>
  <c r="AK27" i="42"/>
  <c r="L207" i="43"/>
  <c r="G187" i="40"/>
  <c r="BR174" i="42"/>
  <c r="BR154" i="42"/>
  <c r="F336" i="40"/>
  <c r="S306" i="42"/>
  <c r="L174" i="43"/>
  <c r="N309" i="43"/>
  <c r="E374" i="44"/>
  <c r="C253" i="43"/>
  <c r="H133" i="43"/>
  <c r="BQ221" i="42"/>
  <c r="F352" i="40"/>
  <c r="N298" i="43"/>
  <c r="B172" i="40"/>
  <c r="E121" i="40"/>
  <c r="G358" i="43"/>
  <c r="E88" i="44"/>
  <c r="K315" i="43"/>
  <c r="D172" i="43"/>
  <c r="C272" i="44"/>
  <c r="X349" i="42"/>
  <c r="Y343" i="42"/>
  <c r="Y125" i="42"/>
  <c r="B141" i="40"/>
  <c r="X95" i="42"/>
  <c r="D19" i="44"/>
  <c r="BQ84" i="42"/>
  <c r="D197" i="44"/>
  <c r="AD48" i="42"/>
  <c r="M343" i="43"/>
  <c r="BR23" i="42"/>
  <c r="O70" i="43"/>
  <c r="AK96" i="42"/>
  <c r="E346" i="40"/>
  <c r="C196" i="44"/>
  <c r="X292" i="42"/>
  <c r="AP141" i="42"/>
  <c r="BG211" i="42"/>
  <c r="BI267" i="42"/>
  <c r="BK132" i="42"/>
  <c r="S163" i="42"/>
  <c r="F162" i="44"/>
  <c r="BO73" i="42"/>
  <c r="BL304" i="42"/>
  <c r="BN285" i="42"/>
  <c r="E213" i="40"/>
  <c r="BP193" i="42"/>
  <c r="BK108" i="42"/>
  <c r="E44" i="44"/>
  <c r="X131" i="42"/>
  <c r="BJ213" i="42"/>
  <c r="BJ33" i="42"/>
  <c r="AE115" i="42"/>
  <c r="AJ62" i="42"/>
  <c r="BM155" i="42"/>
  <c r="BM134" i="42"/>
  <c r="F246" i="43"/>
  <c r="C216" i="44"/>
  <c r="AJ32" i="42"/>
  <c r="C336" i="44"/>
  <c r="BQ199" i="42"/>
  <c r="Y256" i="42"/>
  <c r="J168" i="43"/>
  <c r="F297" i="40"/>
  <c r="D370" i="44"/>
  <c r="E186" i="44"/>
  <c r="AD159" i="42"/>
  <c r="E342" i="44"/>
  <c r="C230" i="44"/>
  <c r="AP297" i="42"/>
  <c r="D58" i="44"/>
  <c r="BH267" i="42"/>
  <c r="BI170" i="42"/>
  <c r="BK26" i="42"/>
  <c r="X162" i="42"/>
  <c r="BF172" i="42"/>
  <c r="BG330" i="42"/>
  <c r="F261" i="44"/>
  <c r="BL89" i="42"/>
  <c r="AK28" i="42"/>
  <c r="BI300" i="42"/>
  <c r="BK65" i="42"/>
  <c r="D340" i="44"/>
  <c r="BO134" i="42"/>
  <c r="BH150" i="42"/>
  <c r="BN335" i="42"/>
  <c r="AQ221" i="42"/>
  <c r="BF365" i="42"/>
  <c r="F204" i="44"/>
  <c r="AP131" i="42"/>
  <c r="F286" i="40"/>
  <c r="BO51" i="42"/>
  <c r="BH99" i="42"/>
  <c r="G46" i="40"/>
  <c r="BP96" i="42"/>
  <c r="D196" i="44"/>
  <c r="AQ18" i="42"/>
  <c r="BO169" i="42"/>
  <c r="AQ23" i="42"/>
  <c r="C71" i="40"/>
  <c r="BR200" i="42"/>
  <c r="AP77" i="42"/>
  <c r="D189" i="40"/>
  <c r="AP334" i="42"/>
  <c r="B173" i="40"/>
  <c r="P270" i="43"/>
  <c r="H278" i="43"/>
  <c r="AP197" i="42"/>
  <c r="B74" i="44"/>
  <c r="B353" i="44"/>
  <c r="B188" i="40"/>
  <c r="AK228" i="42"/>
  <c r="BI195" i="42"/>
  <c r="BK366" i="42"/>
  <c r="B350" i="44"/>
  <c r="BO110" i="42"/>
  <c r="BH193" i="42"/>
  <c r="BN51" i="42"/>
  <c r="F303" i="43"/>
  <c r="AD250" i="42"/>
  <c r="X261" i="42"/>
  <c r="S241" i="42"/>
  <c r="C361" i="40"/>
  <c r="AP280" i="42"/>
  <c r="B221" i="40"/>
  <c r="AD352" i="42"/>
  <c r="AJ220" i="42"/>
  <c r="K339" i="43"/>
  <c r="G155" i="43"/>
  <c r="E143" i="40"/>
  <c r="K64" i="43"/>
  <c r="AD127" i="42"/>
  <c r="F69" i="40"/>
  <c r="BQ72" i="42"/>
  <c r="C168" i="44"/>
  <c r="N146" i="43"/>
  <c r="F108" i="40"/>
  <c r="O140" i="43"/>
  <c r="AP352" i="42"/>
  <c r="E238" i="40"/>
  <c r="D286" i="40"/>
  <c r="AD229" i="42"/>
  <c r="F149" i="40"/>
  <c r="D145" i="43"/>
  <c r="C213" i="43"/>
  <c r="I174" i="43"/>
  <c r="AJ99" i="42"/>
  <c r="BP97" i="42"/>
  <c r="AP176" i="42"/>
  <c r="B105" i="40"/>
  <c r="B142" i="44"/>
  <c r="H264" i="43"/>
  <c r="BP171" i="42"/>
  <c r="J296" i="43"/>
  <c r="S327" i="42"/>
  <c r="E233" i="43"/>
  <c r="Y24" i="42"/>
  <c r="AD354" i="42"/>
  <c r="D41" i="40"/>
  <c r="F345" i="40"/>
  <c r="E362" i="43"/>
  <c r="F284" i="40"/>
  <c r="S11" i="42"/>
  <c r="G203" i="43"/>
  <c r="B286" i="40"/>
  <c r="E185" i="40"/>
  <c r="S85" i="42"/>
  <c r="X364" i="42"/>
  <c r="E337" i="44"/>
  <c r="M79" i="43"/>
  <c r="P110" i="43"/>
  <c r="BR299" i="42"/>
  <c r="O186" i="43"/>
  <c r="E332" i="44"/>
  <c r="G214" i="43"/>
  <c r="B60" i="40"/>
  <c r="E307" i="40"/>
  <c r="B235" i="43"/>
  <c r="B137" i="43"/>
  <c r="C329" i="43"/>
  <c r="BR56" i="42"/>
  <c r="E159" i="40"/>
  <c r="BR35" i="42"/>
  <c r="BP267" i="42"/>
  <c r="AK25" i="42"/>
  <c r="B242" i="40"/>
  <c r="F173" i="40"/>
  <c r="G22" i="43"/>
  <c r="Y62" i="42"/>
  <c r="S35" i="42"/>
  <c r="H340" i="43"/>
  <c r="C291" i="43"/>
  <c r="D140" i="40"/>
  <c r="D70" i="40"/>
  <c r="Y181" i="42"/>
  <c r="S109" i="42"/>
  <c r="AK130" i="42"/>
  <c r="N230" i="43"/>
  <c r="BP335" i="42"/>
  <c r="S136" i="42"/>
  <c r="D291" i="40"/>
  <c r="E191" i="44"/>
  <c r="E269" i="43"/>
  <c r="P191" i="43"/>
  <c r="AD58" i="42"/>
  <c r="BP65" i="42"/>
  <c r="BR241" i="42"/>
  <c r="K279" i="43"/>
  <c r="AE286" i="42"/>
  <c r="BP189" i="42"/>
  <c r="BQ311" i="42"/>
  <c r="AD364" i="42"/>
  <c r="C163" i="40"/>
  <c r="D293" i="43"/>
  <c r="N370" i="43"/>
  <c r="E209" i="43"/>
  <c r="B182" i="44"/>
  <c r="BP276" i="42"/>
  <c r="Y305" i="42"/>
  <c r="BQ22" i="42"/>
  <c r="B287" i="40"/>
  <c r="AE341" i="42"/>
  <c r="C122" i="44"/>
  <c r="P253" i="43"/>
  <c r="G106" i="43"/>
  <c r="E200" i="43"/>
  <c r="H71" i="43"/>
  <c r="Y98" i="42"/>
  <c r="D101" i="44"/>
  <c r="E74" i="40"/>
  <c r="BP247" i="42"/>
  <c r="E308" i="40"/>
  <c r="P250" i="43"/>
  <c r="AP101" i="42"/>
  <c r="D207" i="44"/>
  <c r="J266" i="43"/>
  <c r="B231" i="43"/>
  <c r="AE144" i="42"/>
  <c r="S312" i="42"/>
  <c r="Y120" i="42"/>
  <c r="N262" i="43"/>
  <c r="BQ267" i="42"/>
  <c r="C319" i="43"/>
  <c r="F179" i="43"/>
  <c r="D235" i="43"/>
  <c r="K102" i="43"/>
  <c r="H163" i="43"/>
  <c r="BP169" i="42"/>
  <c r="D241" i="43"/>
  <c r="AE114" i="42"/>
  <c r="Y63" i="42"/>
  <c r="J322" i="43"/>
  <c r="AK168" i="42"/>
  <c r="M361" i="43"/>
  <c r="BQ94" i="42"/>
  <c r="D207" i="43"/>
  <c r="K240" i="43"/>
  <c r="BP177" i="42"/>
  <c r="M322" i="43"/>
  <c r="AJ301" i="42"/>
  <c r="D279" i="43"/>
  <c r="N282" i="43"/>
  <c r="X350" i="42"/>
  <c r="AD27" i="42"/>
  <c r="B196" i="40"/>
  <c r="E205" i="44"/>
  <c r="O347" i="43"/>
  <c r="D197" i="40"/>
  <c r="J37" i="43"/>
  <c r="N137" i="43"/>
  <c r="G322" i="43"/>
  <c r="M216" i="43"/>
  <c r="H64" i="43"/>
  <c r="B346" i="40"/>
  <c r="G266" i="40"/>
  <c r="S104" i="42"/>
  <c r="H68" i="43"/>
  <c r="F132" i="40"/>
  <c r="J321" i="43"/>
  <c r="AJ372" i="42"/>
  <c r="C290" i="44"/>
  <c r="B17" i="40"/>
  <c r="AJ272" i="42"/>
  <c r="X300" i="42"/>
  <c r="G181" i="43"/>
  <c r="S224" i="42"/>
  <c r="N161" i="43"/>
  <c r="E83" i="44"/>
  <c r="BP112" i="42"/>
  <c r="L206" i="43"/>
  <c r="G172" i="40"/>
  <c r="BI287" i="42"/>
  <c r="BK232" i="42"/>
  <c r="E199" i="44"/>
  <c r="BO261" i="42"/>
  <c r="C151" i="40"/>
  <c r="BL28" i="42"/>
  <c r="BN305" i="42"/>
  <c r="BF101" i="42"/>
  <c r="F250" i="44"/>
  <c r="S200" i="42"/>
  <c r="Y54" i="42"/>
  <c r="BO38" i="42"/>
  <c r="E16" i="44"/>
  <c r="BK75" i="42"/>
  <c r="E345" i="40"/>
  <c r="BO208" i="42"/>
  <c r="BL116" i="42"/>
  <c r="BL134" i="42"/>
  <c r="BN204" i="42"/>
  <c r="BH321" i="42"/>
  <c r="B191" i="40"/>
  <c r="AK78" i="42"/>
  <c r="H238" i="43"/>
  <c r="O198" i="43"/>
  <c r="AP349" i="42"/>
  <c r="O373" i="43"/>
  <c r="AJ358" i="42"/>
  <c r="BP241" i="42"/>
  <c r="N201" i="43"/>
  <c r="AK280" i="42"/>
  <c r="Y283" i="42"/>
  <c r="BQ139" i="42"/>
  <c r="C166" i="44"/>
  <c r="C143" i="44"/>
  <c r="BJ215" i="42"/>
  <c r="BK296" i="42"/>
  <c r="D61" i="44"/>
  <c r="BF77" i="42"/>
  <c r="BH121" i="42"/>
  <c r="AQ148" i="42"/>
  <c r="F136" i="44"/>
  <c r="BM151" i="42"/>
  <c r="BO238" i="42"/>
  <c r="AD291" i="42"/>
  <c r="B113" i="44"/>
  <c r="BO287" i="42"/>
  <c r="BH199" i="42"/>
  <c r="BJ336" i="42"/>
  <c r="S145" i="42"/>
  <c r="F156" i="44"/>
  <c r="AQ141" i="42"/>
  <c r="F166" i="44"/>
  <c r="BM15" i="42"/>
  <c r="B55" i="43"/>
  <c r="B177" i="44"/>
  <c r="BJ109" i="42"/>
  <c r="AE280" i="42"/>
  <c r="B210" i="44"/>
  <c r="BH65" i="42"/>
  <c r="BI344" i="42"/>
  <c r="BO265" i="42"/>
  <c r="BF355" i="42"/>
  <c r="AD253" i="42"/>
  <c r="H80" i="43"/>
  <c r="B304" i="43"/>
  <c r="E194" i="44"/>
  <c r="Y218" i="42"/>
  <c r="G74" i="40"/>
  <c r="E19" i="40"/>
  <c r="F348" i="43"/>
  <c r="E45" i="44"/>
  <c r="Y242" i="42"/>
  <c r="AE209" i="42"/>
  <c r="B24" i="44"/>
  <c r="X52" i="42"/>
  <c r="S308" i="42"/>
  <c r="BQ238" i="42"/>
  <c r="BO363" i="42"/>
  <c r="BH203" i="42"/>
  <c r="BJ221" i="42"/>
  <c r="AJ210" i="42"/>
  <c r="AQ196" i="42"/>
  <c r="D218" i="40"/>
  <c r="S363" i="42"/>
  <c r="BR104" i="42"/>
  <c r="Y368" i="42"/>
  <c r="E92" i="43"/>
  <c r="E203" i="40"/>
  <c r="D335" i="43"/>
  <c r="X99" i="42"/>
  <c r="AD29" i="42"/>
  <c r="H36" i="43"/>
  <c r="D65" i="40"/>
  <c r="L55" i="43"/>
  <c r="S140" i="42"/>
  <c r="C96" i="40"/>
  <c r="AE323" i="42"/>
  <c r="E323" i="43"/>
  <c r="AD36" i="42"/>
  <c r="AE247" i="42"/>
  <c r="E351" i="40"/>
  <c r="C227" i="44"/>
  <c r="C250" i="40"/>
  <c r="F132" i="43"/>
  <c r="BP83" i="42"/>
  <c r="BR113" i="42"/>
  <c r="Y180" i="42"/>
  <c r="Y175" i="42"/>
  <c r="J298" i="43"/>
  <c r="G239" i="40"/>
  <c r="D211" i="44"/>
  <c r="I61" i="43"/>
  <c r="K167" i="43"/>
  <c r="K372" i="43"/>
  <c r="E93" i="44"/>
  <c r="C154" i="44"/>
  <c r="B25" i="44"/>
  <c r="D89" i="43"/>
  <c r="C105" i="40"/>
  <c r="AD192" i="42"/>
  <c r="B92" i="44"/>
  <c r="E182" i="44"/>
  <c r="AD359" i="42"/>
  <c r="N158" i="43"/>
  <c r="Y292" i="42"/>
  <c r="E16" i="40"/>
  <c r="AE258" i="42"/>
  <c r="AP138" i="42"/>
  <c r="F267" i="40"/>
  <c r="Y67" i="42"/>
  <c r="BR267" i="42"/>
  <c r="D45" i="40"/>
  <c r="O17" i="43"/>
  <c r="AK234" i="42"/>
  <c r="S170" i="42"/>
  <c r="B338" i="40"/>
  <c r="P229" i="43"/>
  <c r="F25" i="40"/>
  <c r="N218" i="43"/>
  <c r="BQ325" i="42"/>
  <c r="C276" i="40"/>
  <c r="L329" i="43"/>
  <c r="C270" i="43"/>
  <c r="E94" i="40"/>
  <c r="AJ142" i="42"/>
  <c r="K47" i="43"/>
  <c r="S334" i="42"/>
  <c r="E294" i="40"/>
  <c r="E279" i="40"/>
  <c r="I95" i="43"/>
  <c r="H19" i="43"/>
  <c r="O175" i="43"/>
  <c r="D24" i="40"/>
  <c r="F76" i="40"/>
  <c r="C69" i="40"/>
  <c r="BP356" i="42"/>
  <c r="B66" i="44"/>
  <c r="AD82" i="42"/>
  <c r="AP136" i="42"/>
  <c r="S282" i="42"/>
  <c r="O41" i="43"/>
  <c r="B35" i="40"/>
  <c r="E241" i="40"/>
  <c r="C369" i="44"/>
  <c r="N353" i="43"/>
  <c r="Y182" i="42"/>
  <c r="AP279" i="42"/>
  <c r="M366" i="43"/>
  <c r="S161" i="42"/>
  <c r="C155" i="40"/>
  <c r="AD293" i="42"/>
  <c r="O357" i="43"/>
  <c r="BP89" i="42"/>
  <c r="E98" i="44"/>
  <c r="AD191" i="42"/>
  <c r="S375" i="42"/>
  <c r="C150" i="43"/>
  <c r="G130" i="40"/>
  <c r="K50" i="43"/>
  <c r="E278" i="44"/>
  <c r="P333" i="43"/>
  <c r="B368" i="44"/>
  <c r="AE319" i="42"/>
  <c r="BP229" i="42"/>
  <c r="S21" i="42"/>
  <c r="AD156" i="42"/>
  <c r="AJ297" i="42"/>
  <c r="S343" i="42"/>
  <c r="O288" i="43"/>
  <c r="AK255" i="42"/>
  <c r="B332" i="40"/>
  <c r="AD149" i="42"/>
  <c r="AE356" i="42"/>
  <c r="AP62" i="42"/>
  <c r="AE311" i="42"/>
  <c r="AE146" i="42"/>
  <c r="B37" i="40"/>
  <c r="D257" i="44"/>
  <c r="AE369" i="42"/>
  <c r="BP230" i="42"/>
  <c r="I299" i="43"/>
  <c r="D241" i="40"/>
  <c r="H70" i="43"/>
  <c r="AJ328" i="42"/>
  <c r="J212" i="43"/>
  <c r="AJ173" i="42"/>
  <c r="BR236" i="42"/>
  <c r="G89" i="40"/>
  <c r="G119" i="43"/>
  <c r="AK41" i="42"/>
  <c r="C205" i="44"/>
  <c r="BR26" i="42"/>
  <c r="J38" i="43"/>
  <c r="S15" i="42"/>
  <c r="E370" i="40"/>
  <c r="D235" i="44"/>
  <c r="B73" i="40"/>
  <c r="B13" i="44"/>
  <c r="BQ123" i="42"/>
  <c r="C209" i="43"/>
  <c r="C248" i="40"/>
  <c r="P368" i="43"/>
  <c r="E195" i="40"/>
  <c r="S279" i="42"/>
  <c r="L361" i="43"/>
  <c r="P361" i="43"/>
  <c r="L11" i="43"/>
  <c r="BP19" i="42"/>
  <c r="B135" i="40"/>
  <c r="D101" i="43"/>
  <c r="S63" i="42"/>
  <c r="G245" i="43"/>
  <c r="C129" i="44"/>
  <c r="BQ71" i="42"/>
  <c r="AD102" i="42"/>
  <c r="BQ177" i="42"/>
  <c r="AE314" i="42"/>
  <c r="AK185" i="42"/>
  <c r="X323" i="42"/>
  <c r="AD234" i="42"/>
  <c r="F315" i="43"/>
  <c r="K363" i="43"/>
  <c r="G356" i="40"/>
  <c r="G296" i="43"/>
  <c r="D11" i="43"/>
  <c r="F248" i="40"/>
  <c r="E51" i="44"/>
  <c r="AJ359" i="42"/>
  <c r="I345" i="43"/>
  <c r="G55" i="40"/>
  <c r="Y152" i="42"/>
  <c r="AP89" i="42"/>
  <c r="D312" i="44"/>
  <c r="Y130" i="42"/>
  <c r="E62" i="44"/>
  <c r="X331" i="42"/>
  <c r="BF297" i="42"/>
  <c r="BH84" i="42"/>
  <c r="AJ318" i="42"/>
  <c r="D356" i="44"/>
  <c r="BM76" i="42"/>
  <c r="BO140" i="42"/>
  <c r="BO229" i="42"/>
  <c r="F296" i="44"/>
  <c r="X112" i="42"/>
  <c r="BP252" i="42"/>
  <c r="AD91" i="42"/>
  <c r="C253" i="40"/>
  <c r="D89" i="44"/>
  <c r="BG80" i="42"/>
  <c r="BI257" i="42"/>
  <c r="BF255" i="42"/>
  <c r="AQ336" i="42"/>
  <c r="F264" i="44"/>
  <c r="BK272" i="42"/>
  <c r="N150" i="43"/>
  <c r="BP363" i="42"/>
  <c r="D66" i="44"/>
  <c r="BQ91" i="42"/>
  <c r="B19" i="40"/>
  <c r="AD335" i="42"/>
  <c r="O236" i="43"/>
  <c r="C216" i="40"/>
  <c r="X250" i="42"/>
  <c r="AD326" i="42"/>
  <c r="AD181" i="42"/>
  <c r="AK351" i="42"/>
  <c r="E27" i="40"/>
  <c r="BR286" i="42"/>
  <c r="X196" i="42"/>
  <c r="BF207" i="42"/>
  <c r="BH82" i="42"/>
  <c r="BJ149" i="42"/>
  <c r="AJ135" i="42"/>
  <c r="BO11" i="42"/>
  <c r="AQ187" i="42"/>
  <c r="BN98" i="42"/>
  <c r="I205" i="43"/>
  <c r="B92" i="40"/>
  <c r="BH187" i="42"/>
  <c r="BJ231" i="42"/>
  <c r="AJ182" i="42"/>
  <c r="AJ192" i="42"/>
  <c r="B279" i="44"/>
  <c r="AJ145" i="42"/>
  <c r="BM221" i="42"/>
  <c r="BL236" i="42"/>
  <c r="BL344" i="42"/>
  <c r="S55" i="42"/>
  <c r="C337" i="44"/>
  <c r="BQ93" i="42"/>
  <c r="BR328" i="42"/>
  <c r="BJ135" i="42"/>
  <c r="BK90" i="42"/>
  <c r="B274" i="44"/>
  <c r="BG159" i="42"/>
  <c r="F18" i="44"/>
  <c r="BL31" i="42"/>
  <c r="L352" i="43"/>
  <c r="E130" i="44"/>
  <c r="D201" i="44"/>
  <c r="C359" i="40"/>
  <c r="AP261" i="42"/>
  <c r="Y286" i="42"/>
  <c r="B291" i="40"/>
  <c r="S213" i="42"/>
  <c r="B11" i="43"/>
  <c r="BR244" i="42"/>
  <c r="C296" i="44"/>
  <c r="M164" i="43"/>
  <c r="B302" i="44"/>
  <c r="BH327" i="42"/>
  <c r="BJ269" i="42"/>
  <c r="B175" i="44"/>
  <c r="B127" i="44"/>
  <c r="E192" i="40"/>
  <c r="BR251" i="42"/>
  <c r="E221" i="40"/>
  <c r="D188" i="43"/>
  <c r="E76" i="44"/>
  <c r="G61" i="40"/>
  <c r="L110" i="43"/>
  <c r="AE90" i="42"/>
  <c r="BP232" i="42"/>
  <c r="B332" i="44"/>
  <c r="AK92" i="42"/>
  <c r="P34" i="43"/>
  <c r="E337" i="40"/>
  <c r="H219" i="43"/>
  <c r="BR73" i="42"/>
  <c r="I129" i="43"/>
  <c r="D32" i="43"/>
  <c r="O323" i="43"/>
  <c r="AJ152" i="42"/>
  <c r="F327" i="40"/>
  <c r="AK190" i="42"/>
  <c r="O12" i="43"/>
  <c r="BR146" i="42"/>
  <c r="X87" i="42"/>
  <c r="AK54" i="42"/>
  <c r="O208" i="43"/>
  <c r="B39" i="44"/>
  <c r="H194" i="43"/>
  <c r="Y23" i="42"/>
  <c r="AE186" i="42"/>
  <c r="AK361" i="42"/>
  <c r="AJ111" i="42"/>
  <c r="B294" i="44"/>
  <c r="D229" i="43"/>
  <c r="E173" i="44"/>
  <c r="B185" i="44"/>
  <c r="E243" i="44"/>
  <c r="F48" i="43"/>
  <c r="C353" i="43"/>
  <c r="G329" i="40"/>
  <c r="D109" i="40"/>
  <c r="BQ217" i="42"/>
  <c r="AJ137" i="42"/>
  <c r="C195" i="40"/>
  <c r="BQ369" i="42"/>
  <c r="Y322" i="42"/>
  <c r="AE66" i="42"/>
  <c r="C171" i="44"/>
  <c r="D358" i="40"/>
  <c r="S259" i="42"/>
  <c r="C108" i="44"/>
  <c r="AF375" i="42"/>
  <c r="BR302" i="42"/>
  <c r="AK70" i="42"/>
  <c r="B289" i="44"/>
  <c r="S276" i="42"/>
  <c r="I370" i="43"/>
  <c r="S203" i="42"/>
  <c r="F171" i="43"/>
  <c r="BQ172" i="42"/>
  <c r="D347" i="40"/>
  <c r="AJ25" i="42"/>
  <c r="S198" i="42"/>
  <c r="BQ106" i="42"/>
  <c r="D201" i="40"/>
  <c r="AK46" i="42"/>
  <c r="AE291" i="42"/>
  <c r="B261" i="40"/>
  <c r="D263" i="43"/>
  <c r="N233" i="43"/>
  <c r="J197" i="43"/>
  <c r="M176" i="43"/>
  <c r="L222" i="43"/>
  <c r="G91" i="40"/>
  <c r="X334" i="42"/>
  <c r="F126" i="43"/>
  <c r="E75" i="40"/>
  <c r="E373" i="40"/>
  <c r="AD144" i="42"/>
  <c r="E80" i="44"/>
  <c r="O189" i="43"/>
  <c r="G230" i="40"/>
  <c r="O205" i="43"/>
  <c r="BR75" i="42"/>
  <c r="G38" i="40"/>
  <c r="AP224" i="42"/>
  <c r="F135" i="40"/>
  <c r="F264" i="43"/>
  <c r="B292" i="44"/>
  <c r="E318" i="40"/>
  <c r="Y158" i="42"/>
  <c r="D146" i="43"/>
  <c r="E274" i="43"/>
  <c r="AJ37" i="42"/>
  <c r="S191" i="42"/>
  <c r="AJ209" i="42"/>
  <c r="N131" i="43"/>
  <c r="E197" i="43"/>
  <c r="O123" i="43"/>
  <c r="AP109" i="42"/>
  <c r="F279" i="43"/>
  <c r="D74" i="40"/>
  <c r="G12" i="43"/>
  <c r="G45" i="43"/>
  <c r="G39" i="40"/>
  <c r="C330" i="44"/>
  <c r="D351" i="44"/>
  <c r="BP139" i="42"/>
  <c r="E78" i="40"/>
  <c r="C149" i="40"/>
  <c r="B320" i="40"/>
  <c r="AE290" i="42"/>
  <c r="Y117" i="42"/>
  <c r="G332" i="40"/>
  <c r="Y108" i="42"/>
  <c r="AE141" i="42"/>
  <c r="G141" i="40"/>
  <c r="AP330" i="42"/>
  <c r="E341" i="43"/>
  <c r="X122" i="42"/>
  <c r="H359" i="43"/>
  <c r="D297" i="40"/>
  <c r="D47" i="40"/>
  <c r="BQ15" i="42"/>
  <c r="B254" i="43"/>
  <c r="M212" i="43"/>
  <c r="B246" i="40"/>
  <c r="B283" i="44"/>
  <c r="AE262" i="42"/>
  <c r="BP135" i="42"/>
  <c r="S373" i="42"/>
  <c r="H313" i="43"/>
  <c r="I47" i="43"/>
  <c r="S221" i="42"/>
  <c r="G101" i="43"/>
  <c r="Y193" i="42"/>
  <c r="F300" i="40"/>
  <c r="AD348" i="42"/>
  <c r="AJ234" i="42"/>
  <c r="C19" i="43"/>
  <c r="D267" i="44"/>
  <c r="C338" i="40"/>
  <c r="B255" i="40"/>
  <c r="Y185" i="42"/>
  <c r="E343" i="40"/>
  <c r="C310" i="43"/>
  <c r="AP375" i="42"/>
  <c r="N12" i="43"/>
  <c r="S62" i="42"/>
  <c r="B321" i="40"/>
  <c r="BP361" i="42"/>
  <c r="AK349" i="42"/>
  <c r="AD285" i="42"/>
  <c r="C113" i="44"/>
  <c r="B288" i="44"/>
  <c r="BQ32" i="42"/>
  <c r="AD346" i="42"/>
  <c r="BP167" i="42"/>
  <c r="BP256" i="42"/>
  <c r="E94" i="44"/>
  <c r="M296" i="43"/>
  <c r="AP305" i="42"/>
  <c r="D42" i="40"/>
  <c r="AJ92" i="42"/>
  <c r="G207" i="40"/>
  <c r="C65" i="44"/>
  <c r="AD200" i="42"/>
  <c r="BR350" i="42"/>
  <c r="C319" i="40"/>
  <c r="F191" i="40"/>
  <c r="S113" i="42"/>
  <c r="AD184" i="42"/>
  <c r="X184" i="42"/>
  <c r="F235" i="40"/>
  <c r="AE344" i="42"/>
  <c r="BH142" i="42"/>
  <c r="BJ212" i="42"/>
  <c r="AE243" i="42"/>
  <c r="C224" i="44"/>
  <c r="BI179" i="42"/>
  <c r="AQ239" i="42"/>
  <c r="F321" i="44"/>
  <c r="F256" i="44"/>
  <c r="BM168" i="42"/>
  <c r="D45" i="44"/>
  <c r="S125" i="42"/>
  <c r="AP303" i="42"/>
  <c r="BH93" i="42"/>
  <c r="BI111" i="42"/>
  <c r="BK102" i="42"/>
  <c r="B262" i="44"/>
  <c r="BO16" i="42"/>
  <c r="BO234" i="42"/>
  <c r="F143" i="44"/>
  <c r="BL72" i="42"/>
  <c r="C270" i="44"/>
  <c r="M181" i="43"/>
  <c r="B189" i="40"/>
  <c r="AJ164" i="42"/>
  <c r="D130" i="44"/>
  <c r="BR68" i="42"/>
  <c r="E146" i="43"/>
  <c r="AK73" i="42"/>
  <c r="AP328" i="42"/>
  <c r="F364" i="40"/>
  <c r="D308" i="44"/>
  <c r="AK89" i="42"/>
  <c r="F161" i="43"/>
  <c r="BG222" i="42"/>
  <c r="BH284" i="42"/>
  <c r="BJ22" i="42"/>
  <c r="E118" i="44"/>
  <c r="X368" i="42"/>
  <c r="BG338" i="42"/>
  <c r="BN263" i="42"/>
  <c r="BF88" i="42"/>
  <c r="BJ225" i="42"/>
  <c r="D357" i="40"/>
  <c r="AK125" i="42"/>
  <c r="BK250" i="42"/>
  <c r="BQ213" i="42"/>
  <c r="BG307" i="42"/>
  <c r="AJ98" i="42"/>
  <c r="AJ214" i="42"/>
  <c r="BL119" i="42"/>
  <c r="BM266" i="42"/>
  <c r="BN43" i="42"/>
  <c r="BH363" i="42"/>
  <c r="G305" i="40"/>
  <c r="B123" i="44"/>
  <c r="AK356" i="42"/>
  <c r="B163" i="44"/>
  <c r="C195" i="44"/>
  <c r="BO98" i="42"/>
  <c r="BH173" i="42"/>
  <c r="BN368" i="42"/>
  <c r="BO128" i="42"/>
  <c r="BM13" i="42"/>
  <c r="D236" i="44"/>
  <c r="K223" i="43"/>
  <c r="AE347" i="42"/>
  <c r="D108" i="40"/>
  <c r="E201" i="44"/>
  <c r="BQ75" i="42"/>
  <c r="S336" i="42"/>
  <c r="B194" i="40"/>
  <c r="E247" i="44"/>
  <c r="AJ362" i="42"/>
  <c r="AJ256" i="42"/>
  <c r="O286" i="43"/>
  <c r="BQ44" i="42"/>
  <c r="AJ197" i="42"/>
  <c r="BR39" i="42"/>
  <c r="BG110" i="42"/>
  <c r="BQ102" i="42"/>
  <c r="D344" i="44"/>
  <c r="BL38" i="42"/>
  <c r="E235" i="40"/>
  <c r="AP36" i="42"/>
  <c r="C130" i="44"/>
  <c r="Y81" i="42"/>
  <c r="I309" i="43"/>
  <c r="AE355" i="42"/>
  <c r="AD15" i="42"/>
  <c r="S335" i="42"/>
  <c r="AE68" i="42"/>
  <c r="E194" i="40"/>
  <c r="BR204" i="42"/>
  <c r="F89" i="40"/>
  <c r="F353" i="40"/>
  <c r="E192" i="43"/>
  <c r="B237" i="44"/>
  <c r="BQ277" i="42"/>
  <c r="AP361" i="42"/>
  <c r="M243" i="43"/>
  <c r="F362" i="40"/>
  <c r="G367" i="40"/>
  <c r="C218" i="44"/>
  <c r="Y359" i="42"/>
  <c r="H241" i="43"/>
  <c r="G342" i="40"/>
  <c r="C247" i="44"/>
  <c r="J117" i="43"/>
  <c r="F95" i="43"/>
  <c r="O132" i="43"/>
  <c r="AD315" i="42"/>
  <c r="B12" i="43"/>
  <c r="K345" i="43"/>
  <c r="B50" i="40"/>
  <c r="X166" i="42"/>
  <c r="X134" i="42"/>
  <c r="B201" i="44"/>
  <c r="B109" i="43"/>
  <c r="H258" i="43"/>
  <c r="E250" i="40"/>
  <c r="X94" i="42"/>
  <c r="AP40" i="42"/>
  <c r="E303" i="44"/>
  <c r="G325" i="40"/>
  <c r="B133" i="43"/>
  <c r="BR334" i="42"/>
  <c r="BR289" i="42"/>
  <c r="L151" i="43"/>
  <c r="G187" i="43"/>
  <c r="B300" i="40"/>
  <c r="K301" i="43"/>
  <c r="E137" i="40"/>
  <c r="D71" i="44"/>
  <c r="X190" i="42"/>
  <c r="J250" i="43"/>
  <c r="K76" i="43"/>
  <c r="L182" i="43"/>
  <c r="F85" i="43"/>
  <c r="B153" i="44"/>
  <c r="Y186" i="42"/>
  <c r="B65" i="40"/>
  <c r="BP91" i="42"/>
  <c r="G291" i="43"/>
  <c r="BQ159" i="42"/>
  <c r="Y339" i="42"/>
  <c r="BR119" i="42"/>
  <c r="B317" i="44"/>
  <c r="AE123" i="42"/>
  <c r="B146" i="44"/>
  <c r="C104" i="43"/>
  <c r="D125" i="43"/>
  <c r="C358" i="40"/>
  <c r="G93" i="40"/>
  <c r="D165" i="44"/>
  <c r="D231" i="40"/>
  <c r="BP240" i="42"/>
  <c r="AJ246" i="42"/>
  <c r="D92" i="44"/>
  <c r="AJ203" i="42"/>
  <c r="L116" i="43"/>
  <c r="E336" i="40"/>
  <c r="O322" i="43"/>
  <c r="B299" i="43"/>
  <c r="B96" i="40"/>
  <c r="AK291" i="42"/>
  <c r="F178" i="43"/>
  <c r="AK267" i="42"/>
  <c r="E299" i="40"/>
  <c r="AE203" i="42"/>
  <c r="G100" i="40"/>
  <c r="Y33" i="42"/>
  <c r="D138" i="43"/>
  <c r="C148" i="44"/>
  <c r="D360" i="44"/>
  <c r="AP374" i="42"/>
  <c r="C206" i="44"/>
  <c r="C261" i="40"/>
  <c r="E230" i="40"/>
  <c r="E120" i="40"/>
  <c r="BR199" i="42"/>
  <c r="F143" i="43"/>
  <c r="B349" i="43"/>
  <c r="P104" i="43"/>
  <c r="AP278" i="42"/>
  <c r="O272" i="43"/>
  <c r="B14" i="43"/>
  <c r="AE245" i="42"/>
  <c r="K149" i="43"/>
  <c r="H315" i="43"/>
  <c r="S365" i="42"/>
  <c r="J304" i="43"/>
  <c r="AE117" i="42"/>
  <c r="AK71" i="42"/>
  <c r="L79" i="43"/>
  <c r="F326" i="43"/>
  <c r="BP207" i="42"/>
  <c r="S134" i="42"/>
  <c r="BQ169" i="42"/>
  <c r="B117" i="40"/>
  <c r="F330" i="43"/>
  <c r="F329" i="40"/>
  <c r="G132" i="40"/>
  <c r="X289" i="42"/>
  <c r="C329" i="44"/>
  <c r="F105" i="40"/>
  <c r="O145" i="43"/>
  <c r="G182" i="40"/>
  <c r="BP150" i="42"/>
  <c r="AD194" i="42"/>
  <c r="AD89" i="42"/>
  <c r="AD30" i="42"/>
  <c r="F11" i="43"/>
  <c r="P122" i="43"/>
  <c r="AJ169" i="42"/>
  <c r="N110" i="43"/>
  <c r="BP174" i="42"/>
  <c r="F42" i="40"/>
  <c r="P68" i="43"/>
  <c r="S232" i="42"/>
  <c r="BP317" i="42"/>
  <c r="AP134" i="42"/>
  <c r="E315" i="43"/>
  <c r="B160" i="44"/>
  <c r="S124" i="42"/>
  <c r="AK286" i="42"/>
  <c r="H45" i="43"/>
  <c r="B199" i="44"/>
  <c r="BP35" i="42"/>
  <c r="E245" i="43"/>
  <c r="B275" i="40"/>
  <c r="C298" i="43"/>
  <c r="C47" i="44"/>
  <c r="D51" i="44"/>
  <c r="C219" i="40"/>
  <c r="I55" i="43"/>
  <c r="B150" i="40"/>
  <c r="BR307" i="42"/>
  <c r="AE48" i="42"/>
  <c r="D205" i="44"/>
  <c r="D355" i="40"/>
  <c r="F153" i="40"/>
  <c r="N288" i="43"/>
  <c r="S307" i="42"/>
  <c r="AK293" i="42"/>
  <c r="F29" i="40"/>
  <c r="AK374" i="42"/>
  <c r="D57" i="40"/>
  <c r="I326" i="43"/>
  <c r="I163" i="43"/>
  <c r="C179" i="40"/>
  <c r="AJ233" i="42"/>
  <c r="B89" i="44"/>
  <c r="G321" i="40"/>
  <c r="BR245" i="42"/>
  <c r="AE64" i="42"/>
  <c r="AD180" i="42"/>
  <c r="X22" i="42"/>
  <c r="D310" i="44"/>
  <c r="BJ350" i="42"/>
  <c r="BK203" i="42"/>
  <c r="AQ32" i="42"/>
  <c r="F353" i="44"/>
  <c r="BO153" i="42"/>
  <c r="F273" i="44"/>
  <c r="D76" i="44"/>
  <c r="D57" i="44"/>
  <c r="BJ295" i="42"/>
  <c r="BK69" i="42"/>
  <c r="E344" i="44"/>
  <c r="BO219" i="42"/>
  <c r="BH96" i="42"/>
  <c r="F252" i="44"/>
  <c r="AQ169" i="42"/>
  <c r="BM148" i="42"/>
  <c r="BO156" i="42"/>
  <c r="E301" i="43"/>
  <c r="B63" i="44"/>
  <c r="AD80" i="42"/>
  <c r="I176" i="43"/>
  <c r="AE175" i="42"/>
  <c r="BP92" i="42"/>
  <c r="I280" i="43"/>
  <c r="B89" i="40"/>
  <c r="Y315" i="42"/>
  <c r="X89" i="42"/>
  <c r="S293" i="42"/>
  <c r="AJ232" i="42"/>
  <c r="BR298" i="42"/>
  <c r="BJ202" i="42"/>
  <c r="BR295" i="42"/>
  <c r="AD187" i="42"/>
  <c r="BG230" i="42"/>
  <c r="BI59" i="42"/>
  <c r="BN199" i="42"/>
  <c r="F308" i="44"/>
  <c r="BF202" i="42"/>
  <c r="BN162" i="42"/>
  <c r="BR243" i="42"/>
  <c r="C182" i="40"/>
  <c r="BG259" i="42"/>
  <c r="BI375" i="42"/>
  <c r="X320" i="42"/>
  <c r="D56" i="44"/>
  <c r="BG51" i="42"/>
  <c r="BM361" i="42"/>
  <c r="BI304" i="42"/>
  <c r="AQ131" i="42"/>
  <c r="BL354" i="42"/>
  <c r="BP203" i="42"/>
  <c r="AJ105" i="42"/>
  <c r="B278" i="44"/>
  <c r="BG195" i="42"/>
  <c r="BH212" i="42"/>
  <c r="BJ270" i="42"/>
  <c r="X249" i="42"/>
  <c r="BN95" i="42"/>
  <c r="BF178" i="42"/>
  <c r="BI248" i="42"/>
  <c r="D246" i="40"/>
  <c r="AE228" i="42"/>
  <c r="C160" i="40"/>
  <c r="D337" i="40"/>
  <c r="BR126" i="42"/>
  <c r="X276" i="42"/>
  <c r="E296" i="40"/>
  <c r="O178" i="43"/>
  <c r="C213" i="40"/>
  <c r="AK366" i="42"/>
  <c r="AD278" i="42"/>
  <c r="G336" i="43"/>
  <c r="D81" i="44"/>
  <c r="BG162" i="42"/>
  <c r="BI132" i="42"/>
  <c r="D149" i="44"/>
  <c r="S303" i="42"/>
  <c r="BG24" i="42"/>
  <c r="BM280" i="42"/>
  <c r="F287" i="40"/>
  <c r="X367" i="42"/>
  <c r="C147" i="40"/>
  <c r="AP209" i="42"/>
  <c r="L360" i="43"/>
  <c r="F122" i="43"/>
  <c r="S88" i="42"/>
  <c r="X136" i="42"/>
  <c r="BR321" i="42"/>
  <c r="F232" i="43"/>
  <c r="D104" i="40"/>
  <c r="F139" i="43"/>
  <c r="AJ238" i="42"/>
  <c r="P140" i="43"/>
  <c r="AK188" i="42"/>
  <c r="D75" i="43"/>
  <c r="AP133" i="42"/>
  <c r="D267" i="40"/>
  <c r="M179" i="43"/>
  <c r="BQ179" i="42"/>
  <c r="D293" i="40"/>
  <c r="BP375" i="42"/>
  <c r="E334" i="40"/>
  <c r="BR212" i="42"/>
  <c r="O255" i="43"/>
  <c r="E115" i="40"/>
  <c r="E94" i="43"/>
  <c r="C370" i="40"/>
  <c r="AE268" i="42"/>
  <c r="I337" i="43"/>
  <c r="G72" i="40"/>
  <c r="B137" i="44"/>
  <c r="B46" i="44"/>
  <c r="AE61" i="42"/>
  <c r="D131" i="43"/>
  <c r="P187" i="43"/>
  <c r="S103" i="42"/>
  <c r="E228" i="40"/>
  <c r="L47" i="43"/>
  <c r="AJ13" i="42"/>
  <c r="I90" i="43"/>
  <c r="J270" i="43"/>
  <c r="AE91" i="42"/>
  <c r="BQ120" i="42"/>
  <c r="F281" i="40"/>
  <c r="B338" i="44"/>
  <c r="C103" i="43"/>
  <c r="L126" i="43"/>
  <c r="E189" i="40"/>
  <c r="Y215" i="42"/>
  <c r="L364" i="43"/>
  <c r="J164" i="43"/>
  <c r="G355" i="40"/>
  <c r="C116" i="43"/>
  <c r="N32" i="43"/>
  <c r="C108" i="40"/>
  <c r="B181" i="40"/>
  <c r="C201" i="40"/>
  <c r="J217" i="43"/>
  <c r="AE328" i="42"/>
  <c r="G186" i="40"/>
  <c r="S177" i="42"/>
  <c r="K322" i="43"/>
  <c r="E66" i="43"/>
  <c r="B235" i="44"/>
  <c r="BQ82" i="42"/>
  <c r="AJ180" i="42"/>
  <c r="L353" i="43"/>
  <c r="H173" i="43"/>
  <c r="AE216" i="42"/>
  <c r="K105" i="43"/>
  <c r="P12" i="43"/>
  <c r="AE140" i="42"/>
  <c r="AP22" i="42"/>
  <c r="K352" i="43"/>
  <c r="AJ204" i="42"/>
  <c r="D204" i="44"/>
  <c r="D343" i="43"/>
  <c r="AE316" i="42"/>
  <c r="H300" i="43"/>
  <c r="C189" i="40"/>
  <c r="AP102" i="42"/>
  <c r="S74" i="42"/>
  <c r="B36" i="40"/>
  <c r="G363" i="43"/>
  <c r="Y367" i="42"/>
  <c r="BR249" i="42"/>
  <c r="H30" i="43"/>
  <c r="B337" i="43"/>
  <c r="G114" i="43"/>
  <c r="P179" i="43"/>
  <c r="AK308" i="42"/>
  <c r="D274" i="44"/>
  <c r="AJ84" i="42"/>
  <c r="E104" i="43"/>
  <c r="AJ195" i="42"/>
  <c r="E91" i="40"/>
  <c r="E192" i="44"/>
  <c r="E279" i="44"/>
  <c r="N260" i="43"/>
  <c r="S244" i="42"/>
  <c r="E121" i="44"/>
  <c r="C283" i="40"/>
  <c r="P202" i="43"/>
  <c r="AJ67" i="42"/>
  <c r="AE164" i="42"/>
  <c r="G284" i="43"/>
  <c r="G21" i="40"/>
  <c r="AJ374" i="42"/>
  <c r="E273" i="43"/>
  <c r="C32" i="44"/>
  <c r="K46" i="43"/>
  <c r="B282" i="40"/>
  <c r="AK12" i="42"/>
  <c r="E324" i="40"/>
  <c r="L228" i="43"/>
  <c r="AJ96" i="42"/>
  <c r="I28" i="43"/>
  <c r="S81" i="42"/>
  <c r="X117" i="42"/>
  <c r="AK75" i="42"/>
  <c r="C70" i="44"/>
  <c r="B179" i="40"/>
  <c r="H127" i="43"/>
  <c r="I340" i="43"/>
  <c r="Y273" i="42"/>
  <c r="BR188" i="42"/>
  <c r="G284" i="40"/>
  <c r="D366" i="43"/>
  <c r="AJ55" i="42"/>
  <c r="G67" i="40"/>
  <c r="AD86" i="42"/>
  <c r="C239" i="40"/>
  <c r="C175" i="44"/>
  <c r="BP243" i="42"/>
  <c r="H63" i="43"/>
  <c r="S50" i="42"/>
  <c r="C293" i="44"/>
  <c r="D323" i="44"/>
  <c r="D215" i="43"/>
  <c r="C166" i="43"/>
  <c r="F78" i="40"/>
  <c r="BQ95" i="42"/>
  <c r="X212" i="42"/>
  <c r="BP155" i="42"/>
  <c r="AE121" i="42"/>
  <c r="I155" i="43"/>
  <c r="AE86" i="42"/>
  <c r="AP244" i="42"/>
  <c r="C304" i="44"/>
  <c r="K283" i="43"/>
  <c r="B322" i="43"/>
  <c r="C313" i="40"/>
  <c r="E230" i="43"/>
  <c r="I371" i="43"/>
  <c r="C148" i="43"/>
  <c r="Y346" i="42"/>
  <c r="X110" i="42"/>
  <c r="AE183" i="42"/>
  <c r="B186" i="40"/>
  <c r="D121" i="40"/>
  <c r="X96" i="42"/>
  <c r="AJ87" i="42"/>
  <c r="D350" i="43"/>
  <c r="C306" i="40"/>
  <c r="F290" i="40"/>
  <c r="AE336" i="42"/>
  <c r="D40" i="40"/>
  <c r="AE375" i="42"/>
  <c r="AP357" i="42"/>
  <c r="E328" i="40"/>
  <c r="S321" i="42"/>
  <c r="X73" i="42"/>
  <c r="BG225" i="42"/>
  <c r="E131" i="44"/>
  <c r="AK278" i="42"/>
  <c r="AJ132" i="42"/>
  <c r="BO70" i="42"/>
  <c r="BM102" i="42"/>
  <c r="BM260" i="42"/>
  <c r="BN179" i="42"/>
  <c r="Y160" i="42"/>
  <c r="I67" i="43"/>
  <c r="AP180" i="42"/>
  <c r="D246" i="44"/>
  <c r="BF103" i="42"/>
  <c r="BH304" i="42"/>
  <c r="BJ283" i="42"/>
  <c r="AD21" i="42"/>
  <c r="BN75" i="42"/>
  <c r="AQ225" i="42"/>
  <c r="BN347" i="42"/>
  <c r="D237" i="43"/>
  <c r="AJ58" i="42"/>
  <c r="D336" i="44"/>
  <c r="AJ128" i="42"/>
  <c r="G177" i="40"/>
  <c r="B244" i="44"/>
  <c r="C349" i="44"/>
  <c r="N318" i="43"/>
  <c r="BQ309" i="42"/>
  <c r="AK37" i="42"/>
  <c r="AJ222" i="42"/>
  <c r="C89" i="44"/>
  <c r="B187" i="44"/>
  <c r="C316" i="44"/>
  <c r="B216" i="44"/>
  <c r="BG308" i="42"/>
  <c r="BI183" i="42"/>
  <c r="BK168" i="42"/>
  <c r="AD183" i="42"/>
  <c r="AQ344" i="42"/>
  <c r="BM176" i="42"/>
  <c r="F116" i="44"/>
  <c r="BN15" i="42"/>
  <c r="AJ108" i="42"/>
  <c r="E339" i="43"/>
  <c r="BJ159" i="42"/>
  <c r="E271" i="44"/>
  <c r="C46" i="44"/>
  <c r="BI56" i="42"/>
  <c r="BJ39" i="42"/>
  <c r="BH339" i="42"/>
  <c r="BJ92" i="42"/>
  <c r="F305" i="44"/>
  <c r="AQ193" i="42"/>
  <c r="AD226" i="42"/>
  <c r="AP172" i="42"/>
  <c r="BI82" i="42"/>
  <c r="BJ88" i="42"/>
  <c r="AP248" i="42"/>
  <c r="F282" i="40"/>
  <c r="BG237" i="42"/>
  <c r="AQ275" i="42"/>
  <c r="F99" i="44"/>
  <c r="BP62" i="42"/>
  <c r="K307" i="43"/>
  <c r="K319" i="43"/>
  <c r="C366" i="40"/>
  <c r="D194" i="44"/>
  <c r="X206" i="42"/>
  <c r="P83" i="43"/>
  <c r="F271" i="43"/>
  <c r="L17" i="43"/>
  <c r="E368" i="43"/>
  <c r="AP46" i="42"/>
  <c r="X135" i="42"/>
  <c r="BR122" i="42"/>
  <c r="BQ368" i="42"/>
  <c r="BJ142" i="42"/>
  <c r="AP353" i="42"/>
  <c r="D52" i="44"/>
  <c r="BI277" i="42"/>
  <c r="BJ139" i="42"/>
  <c r="BI208" i="42"/>
  <c r="E147" i="40"/>
  <c r="AP275" i="42"/>
  <c r="AD373" i="42"/>
  <c r="H255" i="43"/>
  <c r="M21" i="43"/>
  <c r="AD243" i="42"/>
  <c r="E230" i="44"/>
  <c r="BQ330" i="42"/>
  <c r="AE329" i="42"/>
  <c r="H67" i="43"/>
  <c r="B200" i="40"/>
  <c r="G165" i="40"/>
  <c r="O174" i="43"/>
  <c r="I18" i="43"/>
  <c r="E105" i="43"/>
  <c r="B108" i="40"/>
  <c r="B119" i="44"/>
  <c r="F220" i="43"/>
  <c r="B171" i="40"/>
  <c r="BR192" i="42"/>
  <c r="D298" i="40"/>
  <c r="X64" i="42"/>
  <c r="E225" i="44"/>
  <c r="F230" i="40"/>
  <c r="D245" i="43"/>
  <c r="K286" i="43"/>
  <c r="D67" i="43"/>
  <c r="D255" i="40"/>
  <c r="AE143" i="42"/>
  <c r="F329" i="43"/>
  <c r="D168" i="40"/>
  <c r="H129" i="43"/>
  <c r="X35" i="42"/>
  <c r="Y304" i="42"/>
  <c r="I200" i="43"/>
  <c r="G146" i="43"/>
  <c r="BP310" i="42"/>
  <c r="G175" i="40"/>
  <c r="AE171" i="42"/>
  <c r="E268" i="40"/>
  <c r="BR16" i="42"/>
  <c r="C299" i="43"/>
  <c r="E49" i="44"/>
  <c r="AD101" i="42"/>
  <c r="AJ103" i="42"/>
  <c r="C159" i="44"/>
  <c r="AE287" i="42"/>
  <c r="E235" i="43"/>
  <c r="BP190" i="42"/>
  <c r="AP152" i="42"/>
  <c r="BQ285" i="42"/>
  <c r="O142" i="43"/>
  <c r="BR338" i="42"/>
  <c r="D183" i="43"/>
  <c r="C365" i="43"/>
  <c r="AD273" i="42"/>
  <c r="AK94" i="42"/>
  <c r="G343" i="40"/>
  <c r="C237" i="40"/>
  <c r="I34" i="43"/>
  <c r="F314" i="40"/>
  <c r="AE69" i="42"/>
  <c r="X15" i="42"/>
  <c r="D277" i="43"/>
  <c r="X284" i="42"/>
  <c r="F351" i="40"/>
  <c r="E139" i="44"/>
  <c r="M84" i="43"/>
  <c r="K16" i="43"/>
  <c r="C231" i="40"/>
  <c r="D58" i="40"/>
  <c r="G64" i="40"/>
  <c r="G364" i="40"/>
  <c r="G328" i="40"/>
  <c r="E158" i="40"/>
  <c r="AJ53" i="42"/>
  <c r="B284" i="40"/>
  <c r="D71" i="40"/>
  <c r="E155" i="44"/>
  <c r="O299" i="43"/>
  <c r="N246" i="43"/>
  <c r="X244" i="42"/>
  <c r="AJ133" i="42"/>
  <c r="K326" i="43"/>
  <c r="M354" i="43"/>
  <c r="C314" i="40"/>
  <c r="BQ275" i="42"/>
  <c r="AJ216" i="42"/>
  <c r="AD126" i="42"/>
  <c r="F26" i="43"/>
  <c r="AE238" i="42"/>
  <c r="BR283" i="42"/>
  <c r="AP51" i="42"/>
  <c r="C76" i="44"/>
  <c r="G275" i="43"/>
  <c r="B220" i="43"/>
  <c r="S346" i="42"/>
  <c r="M12" i="43"/>
  <c r="C45" i="40"/>
  <c r="H161" i="43"/>
  <c r="C78" i="44"/>
  <c r="BR34" i="42"/>
  <c r="AP251" i="42"/>
  <c r="F102" i="40"/>
  <c r="BP84" i="42"/>
  <c r="C228" i="44"/>
  <c r="D259" i="43"/>
  <c r="AJ76" i="42"/>
  <c r="C152" i="44"/>
  <c r="I37" i="43"/>
  <c r="C311" i="44"/>
  <c r="G254" i="43"/>
  <c r="E246" i="44"/>
  <c r="AK256" i="42"/>
  <c r="C12" i="44"/>
  <c r="C332" i="40"/>
  <c r="E273" i="44"/>
  <c r="BQ119" i="42"/>
  <c r="C14" i="40"/>
  <c r="D252" i="40"/>
  <c r="BP110" i="42"/>
  <c r="B39" i="40"/>
  <c r="K55" i="43"/>
  <c r="F288" i="43"/>
  <c r="B331" i="43"/>
  <c r="C265" i="44"/>
  <c r="E190" i="40"/>
  <c r="D88" i="40"/>
  <c r="BR88" i="42"/>
  <c r="E184" i="40"/>
  <c r="M113" i="43"/>
  <c r="B313" i="44"/>
  <c r="D142" i="40"/>
  <c r="P89" i="43"/>
  <c r="E247" i="40"/>
  <c r="F249" i="40"/>
  <c r="BP306" i="42"/>
  <c r="BQ212" i="42"/>
  <c r="L95" i="43"/>
  <c r="S86" i="42"/>
  <c r="H56" i="43"/>
  <c r="AJ144" i="42"/>
  <c r="B373" i="44"/>
  <c r="BQ192" i="42"/>
  <c r="D311" i="43"/>
  <c r="E109" i="44"/>
  <c r="BQ231" i="42"/>
  <c r="BQ13" i="42"/>
  <c r="X65" i="42"/>
  <c r="AE85" i="42"/>
  <c r="B218" i="43"/>
  <c r="X33" i="42"/>
  <c r="O339" i="43"/>
  <c r="BQ178" i="42"/>
  <c r="Y113" i="42"/>
  <c r="BQ51" i="42"/>
  <c r="Y246" i="42"/>
  <c r="B184" i="43"/>
  <c r="AP189" i="42"/>
  <c r="J66" i="43"/>
  <c r="G122" i="40"/>
  <c r="D354" i="44"/>
  <c r="BQ80" i="42"/>
  <c r="AP222" i="42"/>
  <c r="C138" i="44"/>
  <c r="E241" i="43"/>
  <c r="AK39" i="42"/>
  <c r="AE45" i="42"/>
  <c r="AD209" i="42"/>
  <c r="C288" i="40"/>
  <c r="BR118" i="42"/>
  <c r="K226" i="43"/>
  <c r="D317" i="44"/>
  <c r="AP120" i="42"/>
  <c r="X93" i="42"/>
  <c r="BG183" i="42"/>
  <c r="BH39" i="42"/>
  <c r="BJ165" i="42"/>
  <c r="BO205" i="42"/>
  <c r="BM118" i="42"/>
  <c r="F167" i="44"/>
  <c r="BL369" i="42"/>
  <c r="F243" i="40"/>
  <c r="BG98" i="42"/>
  <c r="BH215" i="42"/>
  <c r="BJ371" i="42"/>
  <c r="AP144" i="42"/>
  <c r="AK341" i="42"/>
  <c r="BG234" i="42"/>
  <c r="BN92" i="42"/>
  <c r="BO112" i="42"/>
  <c r="BI279" i="42"/>
  <c r="B215" i="43"/>
  <c r="O14" i="43"/>
  <c r="S230" i="42"/>
  <c r="AD145" i="42"/>
  <c r="AK103" i="42"/>
  <c r="C192" i="44"/>
  <c r="C179" i="44"/>
  <c r="B204" i="43"/>
  <c r="E127" i="40"/>
  <c r="BR357" i="42"/>
  <c r="E46" i="44"/>
  <c r="C260" i="40"/>
  <c r="D294" i="40"/>
  <c r="BR316" i="42"/>
  <c r="BH249" i="42"/>
  <c r="BJ94" i="42"/>
  <c r="BR141" i="42"/>
  <c r="BO23" i="42"/>
  <c r="X173" i="42"/>
  <c r="AQ236" i="42"/>
  <c r="BN313" i="42"/>
  <c r="BN215" i="42"/>
  <c r="F226" i="44"/>
  <c r="N126" i="43"/>
  <c r="S257" i="42"/>
  <c r="AJ102" i="42"/>
  <c r="AK221" i="42"/>
  <c r="BK157" i="42"/>
  <c r="X330" i="42"/>
  <c r="AD235" i="42"/>
  <c r="BK53" i="42"/>
  <c r="BL50" i="42"/>
  <c r="BM232" i="42"/>
  <c r="BF329" i="42"/>
  <c r="BP323" i="42"/>
  <c r="BJ235" i="42"/>
  <c r="BK35" i="42"/>
  <c r="B349" i="44"/>
  <c r="BG21" i="42"/>
  <c r="BI236" i="42"/>
  <c r="BK165" i="42"/>
  <c r="F61" i="44"/>
  <c r="BN126" i="42"/>
  <c r="BL207" i="42"/>
  <c r="G365" i="40"/>
  <c r="AJ231" i="42"/>
  <c r="L237" i="43"/>
  <c r="AP276" i="42"/>
  <c r="B121" i="44"/>
  <c r="AE251" i="42"/>
  <c r="E28" i="43"/>
  <c r="B55" i="40"/>
  <c r="AD83" i="42"/>
  <c r="BP259" i="42"/>
  <c r="S99" i="42"/>
  <c r="C361" i="43"/>
  <c r="M233" i="43"/>
  <c r="AJ167" i="42"/>
  <c r="AK265" i="42"/>
  <c r="BK89" i="42"/>
  <c r="E68" i="44"/>
  <c r="AJ370" i="42"/>
  <c r="E241" i="44"/>
  <c r="F106" i="43"/>
  <c r="D266" i="44"/>
  <c r="C121" i="43"/>
  <c r="K130" i="43"/>
  <c r="I339" i="43"/>
  <c r="E200" i="44"/>
  <c r="AK326" i="42"/>
  <c r="X149" i="42"/>
  <c r="AK129" i="42"/>
  <c r="F210" i="40"/>
  <c r="Y252" i="42"/>
  <c r="J267" i="43"/>
  <c r="N16" i="43"/>
  <c r="O327" i="43"/>
  <c r="B136" i="40"/>
  <c r="G200" i="43"/>
  <c r="BR142" i="42"/>
  <c r="H113" i="43"/>
  <c r="F35" i="40"/>
  <c r="AK189" i="42"/>
  <c r="AK223" i="42"/>
  <c r="BP328" i="42"/>
  <c r="X108" i="42"/>
  <c r="D244" i="44"/>
  <c r="G138" i="43"/>
  <c r="F221" i="40"/>
  <c r="K36" i="43"/>
  <c r="B187" i="40"/>
  <c r="L27" i="43"/>
  <c r="L255" i="43"/>
  <c r="BQ307" i="42"/>
  <c r="B27" i="43"/>
  <c r="AP241" i="42"/>
  <c r="D14" i="44"/>
  <c r="BQ49" i="42"/>
  <c r="M61" i="43"/>
  <c r="C50" i="40"/>
  <c r="S171" i="42"/>
  <c r="X346" i="42"/>
  <c r="C54" i="44"/>
  <c r="E256" i="40"/>
  <c r="B190" i="40"/>
  <c r="BP127" i="42"/>
  <c r="N324" i="43"/>
  <c r="G271" i="40"/>
  <c r="B53" i="44"/>
  <c r="G232" i="43"/>
  <c r="AJ61" i="42"/>
  <c r="BP251" i="42"/>
  <c r="BR40" i="42"/>
  <c r="X172" i="42"/>
  <c r="D185" i="40"/>
  <c r="J158" i="43"/>
  <c r="G351" i="40"/>
  <c r="F176" i="40"/>
  <c r="D236" i="43"/>
  <c r="F187" i="43"/>
  <c r="E132" i="40"/>
  <c r="Y37" i="42"/>
  <c r="J249" i="43"/>
  <c r="D93" i="44"/>
  <c r="G296" i="40"/>
  <c r="Y79" i="42"/>
  <c r="AE112" i="42"/>
  <c r="AJ352" i="42"/>
  <c r="BR53" i="42"/>
  <c r="E360" i="44"/>
  <c r="G301" i="43"/>
  <c r="Y122" i="42"/>
  <c r="D47" i="44"/>
  <c r="C294" i="40"/>
  <c r="D240" i="43"/>
  <c r="E258" i="43"/>
  <c r="AK310" i="42"/>
  <c r="E313" i="44"/>
  <c r="L160" i="43"/>
  <c r="D204" i="43"/>
  <c r="AE270" i="42"/>
  <c r="AK307" i="42"/>
  <c r="G148" i="40"/>
  <c r="BR194" i="42"/>
  <c r="I256" i="43"/>
  <c r="BR225" i="42"/>
  <c r="C38" i="40"/>
  <c r="C32" i="43"/>
  <c r="G255" i="43"/>
  <c r="C357" i="44"/>
  <c r="AJ239" i="42"/>
  <c r="C303" i="43"/>
  <c r="AK44" i="42"/>
  <c r="H312" i="43"/>
  <c r="B101" i="44"/>
  <c r="C245" i="44"/>
  <c r="C157" i="44"/>
  <c r="B365" i="40"/>
  <c r="S32" i="42"/>
  <c r="B113" i="40"/>
  <c r="B42" i="43"/>
  <c r="B77" i="40"/>
  <c r="D315" i="43"/>
  <c r="B223" i="40"/>
  <c r="AP267" i="42"/>
  <c r="F27" i="43"/>
  <c r="BP129" i="42"/>
  <c r="D298" i="44"/>
  <c r="BP262" i="42"/>
  <c r="M218" i="43"/>
  <c r="D38" i="44"/>
  <c r="C144" i="40"/>
  <c r="O96" i="43"/>
  <c r="Y70" i="42"/>
  <c r="I161" i="43"/>
  <c r="B193" i="43"/>
  <c r="E372" i="43"/>
  <c r="E152" i="44"/>
  <c r="I56" i="43"/>
  <c r="AJ250" i="42"/>
  <c r="AP17" i="42"/>
  <c r="AD17" i="42"/>
  <c r="F268" i="40"/>
  <c r="I372" i="43"/>
  <c r="B73" i="43"/>
  <c r="AP335" i="42"/>
  <c r="P99" i="43"/>
  <c r="F278" i="40"/>
  <c r="E40" i="44"/>
  <c r="F87" i="40"/>
  <c r="D30" i="43"/>
  <c r="E111" i="44"/>
  <c r="X111" i="42"/>
  <c r="J56" i="43"/>
  <c r="B292" i="40"/>
  <c r="L211" i="43"/>
  <c r="P105" i="43"/>
  <c r="B315" i="44"/>
  <c r="O110" i="43"/>
  <c r="G268" i="43"/>
  <c r="D164" i="43"/>
  <c r="AE35" i="42"/>
  <c r="B268" i="40"/>
  <c r="I119" i="43"/>
  <c r="F28" i="40"/>
  <c r="E78" i="44"/>
  <c r="F363" i="40"/>
  <c r="P137" i="43"/>
  <c r="AK135" i="42"/>
  <c r="AJ80" i="42"/>
  <c r="BP105" i="42"/>
  <c r="BQ211" i="42"/>
  <c r="C311" i="40"/>
  <c r="G123" i="40"/>
  <c r="X361" i="42"/>
  <c r="B51" i="40"/>
  <c r="C107" i="44"/>
  <c r="D13" i="40"/>
  <c r="BP198" i="42"/>
  <c r="G361" i="40"/>
  <c r="BQ168" i="42"/>
  <c r="G321" i="43"/>
  <c r="Y118" i="42"/>
  <c r="S298" i="42"/>
  <c r="S56" i="42"/>
  <c r="X327" i="42"/>
  <c r="AD59" i="42"/>
  <c r="F372" i="40"/>
  <c r="AP99" i="42"/>
  <c r="C134" i="40"/>
  <c r="AK266" i="42"/>
  <c r="C161" i="44"/>
  <c r="BP210" i="42"/>
  <c r="AE150" i="42"/>
  <c r="AP212" i="42"/>
  <c r="D373" i="40"/>
  <c r="BQ372" i="42"/>
  <c r="BI69" i="42"/>
  <c r="BJ190" i="42"/>
  <c r="G94" i="40"/>
  <c r="BQ58" i="42"/>
  <c r="BH201" i="42"/>
  <c r="BJ133" i="42"/>
  <c r="BM143" i="42"/>
  <c r="BM70" i="42"/>
  <c r="D200" i="44"/>
  <c r="BI99" i="42"/>
  <c r="BK63" i="42"/>
  <c r="E343" i="44"/>
  <c r="BG49" i="42"/>
  <c r="BI140" i="42"/>
  <c r="BN68" i="42"/>
  <c r="BL117" i="42"/>
  <c r="BO336" i="42"/>
  <c r="BN20" i="42"/>
  <c r="BP11" i="42"/>
  <c r="Y25" i="42"/>
  <c r="K276" i="43"/>
  <c r="I271" i="43"/>
  <c r="E255" i="43"/>
  <c r="E51" i="40"/>
  <c r="X211" i="42"/>
  <c r="S268" i="42"/>
  <c r="BQ70" i="42"/>
  <c r="F217" i="43"/>
  <c r="AJ349" i="42"/>
  <c r="D237" i="40"/>
  <c r="AE21" i="42"/>
  <c r="E352" i="44"/>
  <c r="I152" i="43"/>
  <c r="BF195" i="42"/>
  <c r="BH48" i="42"/>
  <c r="D327" i="44"/>
  <c r="D152" i="44"/>
  <c r="BM283" i="42"/>
  <c r="BN334" i="42"/>
  <c r="BF144" i="42"/>
  <c r="C233" i="44"/>
  <c r="C292" i="40"/>
  <c r="C243" i="44"/>
  <c r="E366" i="44"/>
  <c r="G223" i="40"/>
  <c r="AJ219" i="42"/>
  <c r="BG273" i="42"/>
  <c r="BI126" i="42"/>
  <c r="BL359" i="42"/>
  <c r="F375" i="44"/>
  <c r="AQ320" i="42"/>
  <c r="BH40" i="42"/>
  <c r="Y348" i="42"/>
  <c r="F358" i="43"/>
  <c r="BO235" i="42"/>
  <c r="BI234" i="42"/>
  <c r="BJ348" i="42"/>
  <c r="Y142" i="42"/>
  <c r="BO138" i="42"/>
  <c r="BM350" i="42"/>
  <c r="BN36" i="42"/>
  <c r="J142" i="43"/>
  <c r="AE272" i="42"/>
  <c r="AK137" i="42"/>
  <c r="F157" i="40"/>
  <c r="Y72" i="42"/>
  <c r="B26" i="40"/>
  <c r="AP147" i="42"/>
  <c r="F40" i="43"/>
  <c r="K199" i="43"/>
  <c r="AK81" i="42"/>
  <c r="AP146" i="42"/>
  <c r="AP210" i="42"/>
  <c r="AD316" i="42"/>
  <c r="G125" i="40"/>
  <c r="C294" i="44"/>
  <c r="AP190" i="42"/>
  <c r="D123" i="44"/>
  <c r="BG34" i="42"/>
  <c r="BI34" i="42"/>
  <c r="BN84" i="42"/>
  <c r="BF104" i="42"/>
  <c r="BF212" i="42"/>
  <c r="C51" i="44"/>
  <c r="BL326" i="42"/>
  <c r="C133" i="44"/>
  <c r="BH262" i="42"/>
  <c r="BJ81" i="42"/>
  <c r="AJ50" i="42"/>
  <c r="BO324" i="42"/>
  <c r="BH295" i="42"/>
  <c r="BM286" i="42"/>
  <c r="F94" i="44"/>
  <c r="BO256" i="42"/>
  <c r="C292" i="44"/>
  <c r="P215" i="43"/>
  <c r="C258" i="40"/>
  <c r="C188" i="40"/>
  <c r="BG213" i="42"/>
  <c r="BQ198" i="42"/>
  <c r="AP73" i="42"/>
  <c r="AD223" i="42"/>
  <c r="AQ85" i="42"/>
  <c r="BF220" i="42"/>
  <c r="BM273" i="42"/>
  <c r="C317" i="40"/>
  <c r="AD147" i="42"/>
  <c r="BQ292" i="42"/>
  <c r="D221" i="40"/>
  <c r="AJ85" i="42"/>
  <c r="C84" i="44"/>
  <c r="P188" i="43"/>
  <c r="B337" i="40"/>
  <c r="B264" i="44"/>
  <c r="C165" i="44"/>
  <c r="AJ284" i="42"/>
  <c r="BQ150" i="42"/>
  <c r="X77" i="42"/>
  <c r="AP319" i="42"/>
  <c r="BR177" i="42"/>
  <c r="BH115" i="42"/>
  <c r="BI297" i="42"/>
  <c r="D31" i="44"/>
  <c r="BM49" i="42"/>
  <c r="BQ209" i="42"/>
  <c r="F50" i="44"/>
  <c r="BL347" i="42"/>
  <c r="C34" i="40"/>
  <c r="AP165" i="42"/>
  <c r="BI178" i="42"/>
  <c r="BQ115" i="42"/>
  <c r="D203" i="44"/>
  <c r="BH116" i="42"/>
  <c r="BI359" i="42"/>
  <c r="BO202" i="42"/>
  <c r="BO338" i="42"/>
  <c r="BJ253" i="42"/>
  <c r="BF245" i="42"/>
  <c r="X198" i="42"/>
  <c r="X137" i="42"/>
  <c r="BG37" i="42"/>
  <c r="BH279" i="42"/>
  <c r="BJ210" i="42"/>
  <c r="BP199" i="42"/>
  <c r="BF190" i="42"/>
  <c r="S17" i="42"/>
  <c r="BQ85" i="42"/>
  <c r="BR258" i="42"/>
  <c r="H110" i="43"/>
  <c r="D116" i="44"/>
  <c r="AE94" i="42"/>
  <c r="M336" i="43"/>
  <c r="C223" i="40"/>
  <c r="E177" i="44"/>
  <c r="BR269" i="42"/>
  <c r="BP246" i="42"/>
  <c r="BQ358" i="42"/>
  <c r="C315" i="44"/>
  <c r="BK172" i="42"/>
  <c r="B324" i="44"/>
  <c r="BG151" i="42"/>
  <c r="BI162" i="42"/>
  <c r="AP313" i="42"/>
  <c r="F367" i="44"/>
  <c r="BJ47" i="42"/>
  <c r="Y107" i="42"/>
  <c r="BL209" i="42"/>
  <c r="AE155" i="42"/>
  <c r="AK271" i="42"/>
  <c r="BI225" i="42"/>
  <c r="D311" i="44"/>
  <c r="X92" i="42"/>
  <c r="BG314" i="42"/>
  <c r="BH63" i="42"/>
  <c r="BN329" i="42"/>
  <c r="BF49" i="42"/>
  <c r="BG70" i="42"/>
  <c r="BN41" i="42"/>
  <c r="X56" i="42"/>
  <c r="D218" i="44"/>
  <c r="BG297" i="42"/>
  <c r="BH83" i="42"/>
  <c r="BJ127" i="42"/>
  <c r="B21" i="44"/>
  <c r="J175" i="43"/>
  <c r="AQ292" i="42"/>
  <c r="AQ87" i="42"/>
  <c r="BO266" i="42"/>
  <c r="G358" i="40"/>
  <c r="BR134" i="42"/>
  <c r="B239" i="44"/>
  <c r="F92" i="40"/>
  <c r="E36" i="40"/>
  <c r="S361" i="42"/>
  <c r="C85" i="43"/>
  <c r="AE62" i="42"/>
  <c r="D363" i="44"/>
  <c r="K170" i="43"/>
  <c r="E330" i="40"/>
  <c r="C40" i="40"/>
  <c r="D281" i="44"/>
  <c r="E148" i="40"/>
  <c r="BQ284" i="42"/>
  <c r="BI290" i="42"/>
  <c r="BJ224" i="42"/>
  <c r="E208" i="44"/>
  <c r="BF295" i="42"/>
  <c r="F68" i="44"/>
  <c r="F33" i="44"/>
  <c r="BN187" i="42"/>
  <c r="E376" i="44"/>
  <c r="BI219" i="42"/>
  <c r="BJ57" i="42"/>
  <c r="C116" i="40"/>
  <c r="AJ157" i="42"/>
  <c r="BG105" i="42"/>
  <c r="BI362" i="42"/>
  <c r="BG298" i="42"/>
  <c r="AD328" i="42"/>
  <c r="AQ348" i="42"/>
  <c r="F315" i="40"/>
  <c r="BR292" i="42"/>
  <c r="BR99" i="42"/>
  <c r="BG136" i="42"/>
  <c r="BI149" i="42"/>
  <c r="B208" i="43"/>
  <c r="X231" i="42"/>
  <c r="BN18" i="42"/>
  <c r="BF346" i="42"/>
  <c r="BG284" i="42"/>
  <c r="P21" i="43"/>
  <c r="AE326" i="42"/>
  <c r="B183" i="44"/>
  <c r="BK144" i="42"/>
  <c r="BK187" i="42"/>
  <c r="BL155" i="42"/>
  <c r="BJ278" i="42"/>
  <c r="BL57" i="42"/>
  <c r="C103" i="44"/>
  <c r="BJ261" i="42"/>
  <c r="BI146" i="42"/>
  <c r="BL342" i="42"/>
  <c r="BN375" i="42"/>
  <c r="D12" i="44"/>
  <c r="BR323" i="42"/>
  <c r="D245" i="44"/>
  <c r="X372" i="42"/>
  <c r="BF107" i="42"/>
  <c r="BH289" i="42"/>
  <c r="BJ138" i="42"/>
  <c r="BL360" i="42"/>
  <c r="BM321" i="42"/>
  <c r="BF79" i="42"/>
  <c r="BJ118" i="42"/>
  <c r="AD25" i="42"/>
  <c r="E181" i="44"/>
  <c r="BH345" i="42"/>
  <c r="BJ65" i="42"/>
  <c r="BK289" i="42"/>
  <c r="D168" i="44"/>
  <c r="F122" i="44"/>
  <c r="BF359" i="42"/>
  <c r="BL339" i="42"/>
  <c r="BN260" i="42"/>
  <c r="F233" i="40"/>
  <c r="F63" i="44"/>
  <c r="BI256" i="42"/>
  <c r="BL103" i="42"/>
  <c r="BO237" i="42"/>
  <c r="BM209" i="42"/>
  <c r="AQ267" i="42"/>
  <c r="L297" i="43"/>
  <c r="BL368" i="42"/>
  <c r="D131" i="40"/>
  <c r="C180" i="44"/>
  <c r="D161" i="44"/>
  <c r="BJ169" i="42"/>
  <c r="BK274" i="42"/>
  <c r="BR20" i="42"/>
  <c r="BG121" i="42"/>
  <c r="BI201" i="42"/>
  <c r="AJ189" i="42"/>
  <c r="B186" i="44"/>
  <c r="BN54" i="42"/>
  <c r="BN227" i="42"/>
  <c r="E33" i="43"/>
  <c r="J237" i="43"/>
  <c r="BI289" i="42"/>
  <c r="BK312" i="42"/>
  <c r="B192" i="40"/>
  <c r="BG31" i="42"/>
  <c r="AD322" i="42"/>
  <c r="BM329" i="42"/>
  <c r="BN317" i="42"/>
  <c r="BO24" i="42"/>
  <c r="AQ145" i="42"/>
  <c r="BP44" i="42"/>
  <c r="BR27" i="42"/>
  <c r="BO147" i="42"/>
  <c r="Y216" i="42"/>
  <c r="Y226" i="42"/>
  <c r="AD300" i="42"/>
  <c r="BO26" i="42"/>
  <c r="BL110" i="42"/>
  <c r="BM116" i="42"/>
  <c r="BN200" i="42"/>
  <c r="BH32" i="42"/>
  <c r="BO341" i="42"/>
  <c r="AQ219" i="42"/>
  <c r="BN125" i="42"/>
  <c r="F34" i="40"/>
  <c r="F242" i="44"/>
  <c r="AQ270" i="42"/>
  <c r="BN326" i="42"/>
  <c r="AP225" i="42"/>
  <c r="X138" i="42"/>
  <c r="AP119" i="42"/>
  <c r="AP193" i="42"/>
  <c r="D18" i="40"/>
  <c r="B68" i="44"/>
  <c r="AQ368" i="42"/>
  <c r="BK301" i="42"/>
  <c r="BI321" i="42"/>
  <c r="BH191" i="42"/>
  <c r="BH145" i="42"/>
  <c r="BG360" i="42"/>
  <c r="BL279" i="42"/>
  <c r="BF239" i="42"/>
  <c r="I218" i="43"/>
  <c r="H227" i="43"/>
  <c r="L321" i="43"/>
  <c r="AQ68" i="42"/>
  <c r="F170" i="44"/>
  <c r="BL32" i="42"/>
  <c r="BN336" i="42"/>
  <c r="D293" i="44"/>
  <c r="B344" i="44"/>
  <c r="AD252" i="42"/>
  <c r="BG344" i="42"/>
  <c r="BI199" i="42"/>
  <c r="S254" i="42"/>
  <c r="BM201" i="42"/>
  <c r="C352" i="44"/>
  <c r="AQ184" i="42"/>
  <c r="BL174" i="42"/>
  <c r="B191" i="43"/>
  <c r="N17" i="43"/>
  <c r="BI209" i="42"/>
  <c r="N315" i="43"/>
  <c r="B219" i="44"/>
  <c r="BH244" i="42"/>
  <c r="BI367" i="42"/>
  <c r="BO369" i="42"/>
  <c r="BF81" i="42"/>
  <c r="BJ191" i="42"/>
  <c r="C37" i="40"/>
  <c r="B326" i="40"/>
  <c r="S283" i="42"/>
  <c r="G16" i="40"/>
  <c r="E287" i="44"/>
  <c r="C241" i="44"/>
  <c r="J53" i="43"/>
  <c r="B258" i="40"/>
  <c r="L240" i="43"/>
  <c r="E293" i="44"/>
  <c r="BP16" i="42"/>
  <c r="N179" i="43"/>
  <c r="AJ46" i="42"/>
  <c r="BG97" i="42"/>
  <c r="BI102" i="42"/>
  <c r="BK218" i="42"/>
  <c r="E171" i="44"/>
  <c r="Y76" i="42"/>
  <c r="BI298" i="42"/>
  <c r="BL149" i="42"/>
  <c r="D43" i="44"/>
  <c r="F132" i="44"/>
  <c r="F359" i="43"/>
  <c r="B172" i="44"/>
  <c r="X293" i="42"/>
  <c r="AD327" i="42"/>
  <c r="BJ120" i="42"/>
  <c r="BJ290" i="42"/>
  <c r="BP138" i="42"/>
  <c r="BO259" i="42"/>
  <c r="F278" i="44"/>
  <c r="BL121" i="42"/>
  <c r="BN274" i="42"/>
  <c r="S147" i="42"/>
  <c r="BI331" i="42"/>
  <c r="BJ174" i="42"/>
  <c r="AD369" i="42"/>
  <c r="AK163" i="42"/>
  <c r="BG303" i="42"/>
  <c r="BI95" i="42"/>
  <c r="AK69" i="42"/>
  <c r="AD152" i="42"/>
  <c r="E37" i="44"/>
  <c r="X59" i="42"/>
  <c r="X266" i="42"/>
  <c r="AD188" i="42"/>
  <c r="I168" i="43"/>
  <c r="C224" i="40"/>
  <c r="B53" i="40"/>
  <c r="D172" i="44"/>
  <c r="C98" i="44"/>
  <c r="E132" i="43"/>
  <c r="AJ52" i="42"/>
  <c r="BG120" i="42"/>
  <c r="BI306" i="42"/>
  <c r="BK127" i="42"/>
  <c r="AJ17" i="42"/>
  <c r="AP111" i="42"/>
  <c r="BO175" i="42"/>
  <c r="AJ276" i="42"/>
  <c r="BF138" i="42"/>
  <c r="AJ121" i="42"/>
  <c r="BQ317" i="42"/>
  <c r="X181" i="42"/>
  <c r="E167" i="43"/>
  <c r="C198" i="44"/>
  <c r="BI339" i="42"/>
  <c r="BJ357" i="42"/>
  <c r="E249" i="44"/>
  <c r="BO359" i="42"/>
  <c r="F307" i="44"/>
  <c r="F118" i="44"/>
  <c r="BN58" i="42"/>
  <c r="BP319" i="42"/>
  <c r="BI35" i="42"/>
  <c r="BI207" i="42"/>
  <c r="X274" i="42"/>
  <c r="E47" i="44"/>
  <c r="BG176" i="42"/>
  <c r="BI227" i="42"/>
  <c r="BO160" i="42"/>
  <c r="BR353" i="42"/>
  <c r="H260" i="43"/>
  <c r="M137" i="43"/>
  <c r="F360" i="40"/>
  <c r="G128" i="40"/>
  <c r="S267" i="42"/>
  <c r="L332" i="43"/>
  <c r="X154" i="42"/>
  <c r="Y295" i="42"/>
  <c r="K325" i="43"/>
  <c r="G272" i="43"/>
  <c r="B217" i="44"/>
  <c r="E231" i="44"/>
  <c r="Y354" i="42"/>
  <c r="BP107" i="42"/>
  <c r="D262" i="44"/>
  <c r="BK56" i="42"/>
  <c r="C23" i="44"/>
  <c r="BQ19" i="42"/>
  <c r="BG22" i="42"/>
  <c r="BL349" i="42"/>
  <c r="BL159" i="42"/>
  <c r="F269" i="44"/>
  <c r="BN47" i="42"/>
  <c r="C20" i="40"/>
  <c r="BK111" i="42"/>
  <c r="AD132" i="42"/>
  <c r="BG349" i="42"/>
  <c r="BI31" i="42"/>
  <c r="BK365" i="42"/>
  <c r="BO78" i="42"/>
  <c r="F240" i="44"/>
  <c r="BL233" i="42"/>
  <c r="BL315" i="42"/>
  <c r="F311" i="40"/>
  <c r="S190" i="42"/>
  <c r="BH341" i="42"/>
  <c r="BJ154" i="42"/>
  <c r="X294" i="42"/>
  <c r="AD23" i="42"/>
  <c r="BI337" i="42"/>
  <c r="BL130" i="42"/>
  <c r="AQ198" i="42"/>
  <c r="AQ300" i="42"/>
  <c r="M131" i="43"/>
  <c r="X348" i="42"/>
  <c r="D274" i="43"/>
  <c r="BI177" i="42"/>
  <c r="BJ70" i="42"/>
  <c r="BN140" i="42"/>
  <c r="BJ115" i="42"/>
  <c r="BK151" i="42"/>
  <c r="BQ202" i="42"/>
  <c r="BR72" i="42"/>
  <c r="BP339" i="42"/>
  <c r="BO126" i="42"/>
  <c r="AQ106" i="42"/>
  <c r="BP348" i="42"/>
  <c r="X147" i="42"/>
  <c r="BG346" i="42"/>
  <c r="BH233" i="42"/>
  <c r="BJ75" i="42"/>
  <c r="BR332" i="42"/>
  <c r="B37" i="44"/>
  <c r="AQ21" i="42"/>
  <c r="AQ313" i="42"/>
  <c r="BF116" i="42"/>
  <c r="K270" i="43"/>
  <c r="D371" i="44"/>
  <c r="BI113" i="42"/>
  <c r="BK337" i="42"/>
  <c r="D247" i="40"/>
  <c r="BG150" i="42"/>
  <c r="AP115" i="42"/>
  <c r="BM339" i="42"/>
  <c r="BN133" i="42"/>
  <c r="BO282" i="42"/>
  <c r="AQ190" i="42"/>
  <c r="BJ119" i="42"/>
  <c r="F253" i="44"/>
  <c r="BN136" i="42"/>
  <c r="BL188" i="42"/>
  <c r="C183" i="40"/>
  <c r="BN246" i="42"/>
  <c r="B81" i="44"/>
  <c r="BI22" i="42"/>
  <c r="AQ39" i="42"/>
  <c r="G347" i="40"/>
  <c r="E177" i="43"/>
  <c r="D335" i="44"/>
  <c r="BF263" i="42"/>
  <c r="AQ302" i="42"/>
  <c r="E236" i="44"/>
  <c r="S247" i="42"/>
  <c r="AQ203" i="42"/>
  <c r="BI242" i="42"/>
  <c r="BI246" i="42"/>
  <c r="F254" i="44"/>
  <c r="F17" i="44"/>
  <c r="N22" i="43"/>
  <c r="Y101" i="42"/>
  <c r="BQ334" i="42"/>
  <c r="BR367" i="42"/>
  <c r="BI180" i="42"/>
  <c r="B151" i="44"/>
  <c r="X105" i="42"/>
  <c r="BN294" i="42"/>
  <c r="BF319" i="42"/>
  <c r="BG40" i="42"/>
  <c r="F106" i="44"/>
  <c r="C263" i="44"/>
  <c r="C53" i="44"/>
  <c r="AJ314" i="42"/>
  <c r="BP63" i="42"/>
  <c r="BG33" i="42"/>
  <c r="BH57" i="42"/>
  <c r="BJ176" i="42"/>
  <c r="BL189" i="42"/>
  <c r="BL108" i="42"/>
  <c r="BL171" i="42"/>
  <c r="B211" i="44"/>
  <c r="F62" i="44"/>
  <c r="F113" i="44"/>
  <c r="BI120" i="42"/>
  <c r="AP307" i="42"/>
  <c r="BN192" i="42"/>
  <c r="BM170" i="42"/>
  <c r="BO295" i="42"/>
  <c r="BO48" i="42"/>
  <c r="L62" i="43"/>
  <c r="AK136" i="42"/>
  <c r="D229" i="44"/>
  <c r="E119" i="44"/>
  <c r="BH20" i="42"/>
  <c r="BF164" i="42"/>
  <c r="BH241" i="42"/>
  <c r="F283" i="44"/>
  <c r="AE358" i="42"/>
  <c r="BK76" i="42"/>
  <c r="BJ276" i="42"/>
  <c r="BM212" i="42"/>
  <c r="F225" i="44"/>
  <c r="C129" i="40"/>
  <c r="BQ109" i="42"/>
  <c r="C208" i="44"/>
  <c r="BM181" i="42"/>
  <c r="BJ147" i="42"/>
  <c r="BM129" i="42"/>
  <c r="E101" i="43"/>
  <c r="E338" i="44"/>
  <c r="BG201" i="42"/>
  <c r="BI43" i="42"/>
  <c r="BK314" i="42"/>
  <c r="C255" i="44"/>
  <c r="Y137" i="42"/>
  <c r="BI75" i="42"/>
  <c r="BL365" i="42"/>
  <c r="AK363" i="42"/>
  <c r="F200" i="44"/>
  <c r="AD52" i="42"/>
  <c r="C240" i="44"/>
  <c r="AE202" i="42"/>
  <c r="B194" i="44"/>
  <c r="BI374" i="42"/>
  <c r="BJ158" i="42"/>
  <c r="F257" i="40"/>
  <c r="BF274" i="42"/>
  <c r="AQ298" i="42"/>
  <c r="BL54" i="42"/>
  <c r="E25" i="44"/>
  <c r="G328" i="43"/>
  <c r="P176" i="43"/>
  <c r="M323" i="43"/>
  <c r="AD76" i="42"/>
  <c r="D177" i="44"/>
  <c r="K135" i="43"/>
  <c r="E48" i="44"/>
  <c r="D158" i="40"/>
  <c r="D160" i="40"/>
  <c r="E163" i="44"/>
  <c r="AK99" i="42"/>
  <c r="X338" i="42"/>
  <c r="BK70" i="42"/>
  <c r="C213" i="44"/>
  <c r="G367" i="43"/>
  <c r="P15" i="43"/>
  <c r="AJ303" i="42"/>
  <c r="BL243" i="42"/>
  <c r="BM274" i="42"/>
  <c r="BN282" i="42"/>
  <c r="BO137" i="42"/>
  <c r="AJ308" i="42"/>
  <c r="BQ153" i="42"/>
  <c r="B49" i="44"/>
  <c r="BK62" i="42"/>
  <c r="X156" i="42"/>
  <c r="D261" i="44"/>
  <c r="BH72" i="42"/>
  <c r="AQ339" i="42"/>
  <c r="BN178" i="42"/>
  <c r="BL195" i="42"/>
  <c r="BO327" i="42"/>
  <c r="G95" i="43"/>
  <c r="X128" i="42"/>
  <c r="BQ269" i="42"/>
  <c r="BG104" i="42"/>
  <c r="BI351" i="42"/>
  <c r="BK24" i="42"/>
  <c r="BI80" i="42"/>
  <c r="E196" i="44"/>
  <c r="J101" i="43"/>
  <c r="E295" i="43"/>
  <c r="BQ245" i="42"/>
  <c r="AD51" i="42"/>
  <c r="X160" i="42"/>
  <c r="F17" i="43"/>
  <c r="X317" i="42"/>
  <c r="E340" i="43"/>
  <c r="E289" i="43"/>
  <c r="BR111" i="42"/>
  <c r="G233" i="40"/>
  <c r="BR276" i="42"/>
  <c r="BJ239" i="42"/>
  <c r="AJ22" i="42"/>
  <c r="AE305" i="42"/>
  <c r="E198" i="44"/>
  <c r="BK231" i="42"/>
  <c r="F164" i="44"/>
  <c r="BL29" i="42"/>
  <c r="BM65" i="42"/>
  <c r="BF335" i="42"/>
  <c r="E282" i="40"/>
  <c r="AD179" i="42"/>
  <c r="AJ317" i="42"/>
  <c r="BK109" i="42"/>
  <c r="BK48" i="42"/>
  <c r="E12" i="44"/>
  <c r="BG369" i="42"/>
  <c r="F34" i="44"/>
  <c r="BL281" i="42"/>
  <c r="F37" i="44"/>
  <c r="BN116" i="42"/>
  <c r="C276" i="44"/>
  <c r="BK164" i="42"/>
  <c r="AJ208" i="42"/>
  <c r="BG374" i="42"/>
  <c r="BI292" i="42"/>
  <c r="BK107" i="42"/>
  <c r="BF189" i="42"/>
  <c r="AQ295" i="42"/>
  <c r="BL370" i="42"/>
  <c r="E33" i="44"/>
  <c r="G73" i="43"/>
  <c r="BQ52" i="42"/>
  <c r="AE321" i="42"/>
  <c r="B196" i="44"/>
  <c r="BP209" i="42"/>
  <c r="AJ181" i="42"/>
  <c r="Y139" i="42"/>
  <c r="C203" i="44"/>
  <c r="AD49" i="42"/>
  <c r="BR61" i="42"/>
  <c r="BP32" i="42"/>
  <c r="F100" i="40"/>
  <c r="BR131" i="42"/>
  <c r="B78" i="44"/>
  <c r="BQ46" i="42"/>
  <c r="BG345" i="42"/>
  <c r="BI373" i="42"/>
  <c r="BK351" i="42"/>
  <c r="BM194" i="42"/>
  <c r="BN132" i="42"/>
  <c r="BF171" i="42"/>
  <c r="AQ230" i="42"/>
  <c r="S108" i="42"/>
  <c r="BO176" i="42"/>
  <c r="BH208" i="42"/>
  <c r="BJ330" i="42"/>
  <c r="C305" i="43"/>
  <c r="BF124" i="42"/>
  <c r="F73" i="44"/>
  <c r="F224" i="44"/>
  <c r="BM328" i="42"/>
  <c r="BF100" i="42"/>
  <c r="BR31" i="42"/>
  <c r="X298" i="42"/>
  <c r="G28" i="40"/>
  <c r="B212" i="44"/>
  <c r="AP365" i="42"/>
  <c r="BK22" i="42"/>
  <c r="B85" i="44"/>
  <c r="BL260" i="42"/>
  <c r="BL133" i="42"/>
  <c r="BF330" i="42"/>
  <c r="BQ344" i="42"/>
  <c r="AK237" i="42"/>
  <c r="AJ79" i="42"/>
  <c r="BP362" i="42"/>
  <c r="BF374" i="42"/>
  <c r="BN176" i="42"/>
  <c r="BO215" i="42"/>
  <c r="AQ104" i="42"/>
  <c r="B288" i="43"/>
  <c r="BK201" i="42"/>
  <c r="BJ206" i="42"/>
  <c r="BL329" i="42"/>
  <c r="AQ317" i="42"/>
  <c r="X119" i="42"/>
  <c r="BH232" i="42"/>
  <c r="BI79" i="42"/>
  <c r="BK230" i="42"/>
  <c r="AD331" i="42"/>
  <c r="BG200" i="42"/>
  <c r="BI336" i="42"/>
  <c r="BF201" i="42"/>
  <c r="BK254" i="42"/>
  <c r="F356" i="44"/>
  <c r="AK151" i="42"/>
  <c r="Y164" i="42"/>
  <c r="B29" i="43"/>
  <c r="BF68" i="42"/>
  <c r="BH85" i="42"/>
  <c r="E368" i="44"/>
  <c r="BR57" i="42"/>
  <c r="BN166" i="42"/>
  <c r="BO263" i="42"/>
  <c r="BF146" i="42"/>
  <c r="G337" i="40"/>
  <c r="BG198" i="42"/>
  <c r="BM369" i="42"/>
  <c r="BM156" i="42"/>
  <c r="AQ231" i="42"/>
  <c r="BH360" i="42"/>
  <c r="BO249" i="42"/>
  <c r="BO111" i="42"/>
  <c r="BG202" i="42"/>
  <c r="AQ308" i="42"/>
  <c r="S49" i="42"/>
  <c r="E351" i="43"/>
  <c r="G352" i="40"/>
  <c r="AJ334" i="42"/>
  <c r="AQ179" i="42"/>
  <c r="C55" i="44"/>
  <c r="C362" i="44"/>
  <c r="BM278" i="42"/>
  <c r="AJ279" i="42"/>
  <c r="B202" i="40"/>
  <c r="BL106" i="42"/>
  <c r="BN325" i="42"/>
  <c r="N351" i="43"/>
  <c r="AD318" i="42"/>
  <c r="BH44" i="42"/>
  <c r="BJ349" i="42"/>
  <c r="C102" i="40"/>
  <c r="AP350" i="42"/>
  <c r="BI93" i="42"/>
  <c r="F268" i="44"/>
  <c r="F285" i="44"/>
  <c r="F183" i="44"/>
  <c r="BM345" i="42"/>
  <c r="BR156" i="42"/>
  <c r="B135" i="44"/>
  <c r="AE190" i="42"/>
  <c r="BI271" i="42"/>
  <c r="BI156" i="42"/>
  <c r="BK148" i="42"/>
  <c r="D23" i="44"/>
  <c r="BO372" i="42"/>
  <c r="BG232" i="42"/>
  <c r="BL44" i="42"/>
  <c r="BI81" i="42"/>
  <c r="BF316" i="42"/>
  <c r="BF375" i="42"/>
  <c r="F74" i="44"/>
  <c r="BJ248" i="42"/>
  <c r="BL259" i="42"/>
  <c r="BN88" i="42"/>
  <c r="AQ204" i="42"/>
  <c r="AP104" i="42"/>
  <c r="AK328" i="42"/>
  <c r="E134" i="44"/>
  <c r="BQ322" i="42"/>
  <c r="BG245" i="42"/>
  <c r="BF125" i="42"/>
  <c r="BF92" i="42"/>
  <c r="B355" i="44"/>
  <c r="BL79" i="42"/>
  <c r="C307" i="44"/>
  <c r="BI73" i="42"/>
  <c r="BH356" i="42"/>
  <c r="AE223" i="42"/>
  <c r="BM359" i="42"/>
  <c r="AJ49" i="42"/>
  <c r="X176" i="42"/>
  <c r="BN302" i="42"/>
  <c r="BO320" i="42"/>
  <c r="E367" i="44"/>
  <c r="P120" i="43"/>
  <c r="AD305" i="42"/>
  <c r="BK114" i="42"/>
  <c r="AJ196" i="42"/>
  <c r="BF286" i="42"/>
  <c r="AJ319" i="42"/>
  <c r="D305" i="44"/>
  <c r="BL196" i="42"/>
  <c r="BM244" i="42"/>
  <c r="BN161" i="42"/>
  <c r="BO18" i="42"/>
  <c r="S294" i="42"/>
  <c r="C90" i="44"/>
  <c r="BP192" i="42"/>
  <c r="BK169" i="42"/>
  <c r="X116" i="42"/>
  <c r="X187" i="42"/>
  <c r="BG340" i="42"/>
  <c r="F186" i="44"/>
  <c r="BN110" i="42"/>
  <c r="BL62" i="42"/>
  <c r="BQ131" i="42"/>
  <c r="BR218" i="42"/>
  <c r="AK275" i="42"/>
  <c r="C141" i="44"/>
  <c r="B161" i="44"/>
  <c r="E191" i="40"/>
  <c r="L374" i="43"/>
  <c r="E357" i="40"/>
  <c r="C172" i="40"/>
  <c r="AP266" i="42"/>
  <c r="AD148" i="42"/>
  <c r="BP288" i="42"/>
  <c r="AJ43" i="42"/>
  <c r="BO113" i="42"/>
  <c r="BH320" i="42"/>
  <c r="B134" i="44"/>
  <c r="G334" i="40"/>
  <c r="BG101" i="42"/>
  <c r="BL295" i="42"/>
  <c r="BF174" i="42"/>
  <c r="AQ205" i="42"/>
  <c r="F22" i="44"/>
  <c r="E229" i="44"/>
  <c r="BP294" i="42"/>
  <c r="C188" i="44"/>
  <c r="AD53" i="42"/>
  <c r="BG366" i="42"/>
  <c r="BI308" i="42"/>
  <c r="BK270" i="42"/>
  <c r="BN93" i="42"/>
  <c r="BN267" i="42"/>
  <c r="BO317" i="42"/>
  <c r="AQ362" i="42"/>
  <c r="B126" i="44"/>
  <c r="BG96" i="42"/>
  <c r="BI335" i="42"/>
  <c r="BK192" i="42"/>
  <c r="BQ140" i="42"/>
  <c r="BO60" i="42"/>
  <c r="BL372" i="42"/>
  <c r="C96" i="44"/>
  <c r="BQ326" i="42"/>
  <c r="S374" i="42"/>
  <c r="AJ184" i="42"/>
  <c r="BP175" i="42"/>
  <c r="S249" i="42"/>
  <c r="Y39" i="42"/>
  <c r="AE226" i="42"/>
  <c r="BP182" i="42"/>
  <c r="D96" i="44"/>
  <c r="S329" i="42"/>
  <c r="G12" i="40"/>
  <c r="BQ230" i="42"/>
  <c r="BP122" i="42"/>
  <c r="BH353" i="42"/>
  <c r="AP312" i="42"/>
  <c r="C252" i="44"/>
  <c r="AJ230" i="42"/>
  <c r="AQ171" i="42"/>
  <c r="BF276" i="42"/>
  <c r="BN11" i="42"/>
  <c r="F255" i="44"/>
  <c r="E280" i="40"/>
  <c r="D235" i="40"/>
  <c r="E31" i="43"/>
  <c r="AJ322" i="42"/>
  <c r="BG128" i="42"/>
  <c r="BI21" i="42"/>
  <c r="BK150" i="42"/>
  <c r="BM191" i="42"/>
  <c r="BM208" i="42"/>
  <c r="BO273" i="42"/>
  <c r="AQ280" i="42"/>
  <c r="BR170" i="42"/>
  <c r="BO17" i="42"/>
  <c r="BH170" i="42"/>
  <c r="BJ281" i="42"/>
  <c r="AJ371" i="42"/>
  <c r="AD165" i="42"/>
  <c r="AQ58" i="42"/>
  <c r="AQ160" i="42"/>
  <c r="BM145" i="42"/>
  <c r="BP48" i="42"/>
  <c r="G248" i="40"/>
  <c r="B130" i="43"/>
  <c r="H341" i="43"/>
  <c r="C190" i="43"/>
  <c r="B141" i="44"/>
  <c r="AD50" i="42"/>
  <c r="BR108" i="42"/>
  <c r="J151" i="43"/>
  <c r="C115" i="44"/>
  <c r="AJ211" i="42"/>
  <c r="BR125" i="42"/>
  <c r="AJ147" i="42"/>
  <c r="AJ337" i="42"/>
  <c r="BH265" i="42"/>
  <c r="BI70" i="42"/>
  <c r="BK171" i="42"/>
  <c r="BP231" i="42"/>
  <c r="BO177" i="42"/>
  <c r="BM279" i="42"/>
  <c r="AQ206" i="42"/>
  <c r="BG69" i="42"/>
  <c r="BK113" i="42"/>
  <c r="D81" i="40"/>
  <c r="BJ300" i="42"/>
  <c r="B257" i="40"/>
  <c r="BF303" i="42"/>
  <c r="BH162" i="42"/>
  <c r="E149" i="44"/>
  <c r="BO97" i="42"/>
  <c r="BO19" i="42"/>
  <c r="BO284" i="42"/>
  <c r="AQ328" i="42"/>
  <c r="Y270" i="42"/>
  <c r="BQ341" i="42"/>
  <c r="BG342" i="42"/>
  <c r="G333" i="43"/>
  <c r="BR336" i="42"/>
  <c r="C264" i="44"/>
  <c r="BG231" i="42"/>
  <c r="BM198" i="42"/>
  <c r="BM304" i="42"/>
  <c r="BF247" i="42"/>
  <c r="F277" i="40"/>
  <c r="B16" i="40"/>
  <c r="BP18" i="42"/>
  <c r="AD237" i="42"/>
  <c r="BG356" i="42"/>
  <c r="J274" i="43"/>
  <c r="AD294" i="42"/>
  <c r="F295" i="44"/>
  <c r="AJ353" i="42"/>
  <c r="AP66" i="42"/>
  <c r="C99" i="44"/>
  <c r="F281" i="44"/>
  <c r="BM205" i="42"/>
  <c r="X170" i="42"/>
  <c r="BK214" i="42"/>
  <c r="AD333" i="42"/>
  <c r="BG148" i="42"/>
  <c r="BH167" i="42"/>
  <c r="BJ189" i="42"/>
  <c r="BF192" i="42"/>
  <c r="F131" i="44"/>
  <c r="BL78" i="42"/>
  <c r="BL86" i="42"/>
  <c r="E320" i="43"/>
  <c r="AD131" i="42"/>
  <c r="BH313" i="42"/>
  <c r="BJ267" i="42"/>
  <c r="AJ36" i="42"/>
  <c r="AE248" i="42"/>
  <c r="BI137" i="42"/>
  <c r="AQ365" i="42"/>
  <c r="F82" i="44"/>
  <c r="F306" i="44"/>
  <c r="D29" i="43"/>
  <c r="X201" i="42"/>
  <c r="BN168" i="42"/>
  <c r="BN56" i="42"/>
  <c r="G364" i="43"/>
  <c r="B267" i="44"/>
  <c r="BN40" i="42"/>
  <c r="BM331" i="42"/>
  <c r="BK95" i="42"/>
  <c r="O252" i="43"/>
  <c r="C197" i="44"/>
  <c r="G199" i="40"/>
  <c r="AP196" i="42"/>
  <c r="BJ166" i="42"/>
  <c r="B197" i="40"/>
  <c r="BJ84" i="42"/>
  <c r="BI348" i="42"/>
  <c r="BO194" i="42"/>
  <c r="BJ375" i="42"/>
  <c r="BJ45" i="42"/>
  <c r="BG68" i="42"/>
  <c r="BM40" i="42"/>
  <c r="BP342" i="42"/>
  <c r="BQ308" i="42"/>
  <c r="AP258" i="42"/>
  <c r="AP245" i="42"/>
  <c r="X336" i="42"/>
  <c r="BK330" i="42"/>
  <c r="BK334" i="42"/>
  <c r="F337" i="44"/>
  <c r="AQ134" i="42"/>
  <c r="BO243" i="42"/>
  <c r="AQ288" i="42"/>
  <c r="X200" i="42"/>
  <c r="E114" i="40"/>
  <c r="BJ302" i="42"/>
  <c r="BK52" i="42"/>
  <c r="C83" i="40"/>
  <c r="BG208" i="42"/>
  <c r="BI90" i="42"/>
  <c r="AQ122" i="42"/>
  <c r="AQ321" i="42"/>
  <c r="BM330" i="42"/>
  <c r="AJ106" i="42"/>
  <c r="BF309" i="42"/>
  <c r="BG228" i="42"/>
  <c r="BL82" i="42"/>
  <c r="BH143" i="42"/>
  <c r="AQ103" i="42"/>
  <c r="BG305" i="42"/>
  <c r="BM63" i="42"/>
  <c r="BH25" i="42"/>
  <c r="J203" i="43"/>
  <c r="D328" i="44"/>
  <c r="C63" i="43"/>
  <c r="C62" i="44"/>
  <c r="BQ53" i="42"/>
  <c r="BL373" i="42"/>
  <c r="D142" i="44"/>
  <c r="BL167" i="42"/>
  <c r="AJ117" i="42"/>
  <c r="B341" i="44"/>
  <c r="I310" i="43"/>
  <c r="BL18" i="42"/>
  <c r="BL24" i="42"/>
  <c r="Y345" i="42"/>
  <c r="AQ67" i="42"/>
  <c r="BO242" i="42"/>
  <c r="BL140" i="42"/>
  <c r="Y68" i="42"/>
  <c r="C298" i="44"/>
  <c r="BO22" i="42"/>
  <c r="BH216" i="42"/>
  <c r="BP22" i="42"/>
  <c r="C374" i="44"/>
  <c r="B268" i="44"/>
  <c r="AQ116" i="42"/>
  <c r="BO139" i="42"/>
  <c r="AQ241" i="42"/>
  <c r="F354" i="44"/>
  <c r="C86" i="44"/>
  <c r="O295" i="43"/>
  <c r="BP183" i="42"/>
  <c r="BQ237" i="42"/>
  <c r="BG219" i="42"/>
  <c r="BI84" i="42"/>
  <c r="BK99" i="42"/>
  <c r="BN82" i="42"/>
  <c r="BN109" i="42"/>
  <c r="BF306" i="42"/>
  <c r="C39" i="43"/>
  <c r="I132" i="43"/>
  <c r="AE47" i="42"/>
  <c r="X355" i="42"/>
  <c r="BQ185" i="42"/>
  <c r="G218" i="40"/>
  <c r="P180" i="43"/>
  <c r="Y207" i="42"/>
  <c r="E26" i="44"/>
  <c r="AJ100" i="42"/>
  <c r="G290" i="40"/>
  <c r="C278" i="44"/>
  <c r="E333" i="43"/>
  <c r="BJ42" i="42"/>
  <c r="AK263" i="42"/>
  <c r="C25" i="40"/>
  <c r="BI153" i="42"/>
  <c r="BI157" i="42"/>
  <c r="BO348" i="42"/>
  <c r="BG309" i="42"/>
  <c r="AQ19" i="42"/>
  <c r="AQ172" i="42"/>
  <c r="B283" i="40"/>
  <c r="D40" i="44"/>
  <c r="BH104" i="42"/>
  <c r="BI154" i="42"/>
  <c r="BK329" i="42"/>
  <c r="X281" i="42"/>
  <c r="BF64" i="42"/>
  <c r="F217" i="44"/>
  <c r="BL84" i="42"/>
  <c r="BJ198" i="42"/>
  <c r="F31" i="44"/>
  <c r="B265" i="44"/>
  <c r="BK152" i="42"/>
  <c r="Y238" i="42"/>
  <c r="BF19" i="42"/>
  <c r="BH283" i="42"/>
  <c r="Y206" i="42"/>
  <c r="BK294" i="42"/>
  <c r="H350" i="43"/>
  <c r="D294" i="43"/>
  <c r="H13" i="43"/>
  <c r="Y299" i="42"/>
  <c r="E275" i="44"/>
  <c r="BR109" i="42"/>
  <c r="D185" i="43"/>
  <c r="H303" i="43"/>
  <c r="AJ104" i="42"/>
  <c r="B75" i="44"/>
  <c r="E108" i="44"/>
  <c r="X260" i="42"/>
  <c r="BR209" i="42"/>
  <c r="BI94" i="42"/>
  <c r="C176" i="44"/>
  <c r="AJ20" i="42"/>
  <c r="BH146" i="42"/>
  <c r="BI255" i="42"/>
  <c r="BO321" i="42"/>
  <c r="BO59" i="42"/>
  <c r="BK189" i="42"/>
  <c r="BG276" i="42"/>
  <c r="AK61" i="42"/>
  <c r="F120" i="40"/>
  <c r="BH102" i="42"/>
  <c r="BI143" i="42"/>
  <c r="BJ359" i="42"/>
  <c r="AE224" i="42"/>
  <c r="BO141" i="42"/>
  <c r="BM305" i="42"/>
  <c r="AQ315" i="42"/>
  <c r="BF140" i="42"/>
  <c r="BI294" i="42"/>
  <c r="AD199" i="42"/>
  <c r="BJ125" i="42"/>
  <c r="AJ236" i="42"/>
  <c r="B300" i="44"/>
  <c r="BG182" i="42"/>
  <c r="BP364" i="42"/>
  <c r="BF54" i="42"/>
  <c r="BO346" i="42"/>
  <c r="BF345" i="42"/>
  <c r="F80" i="43"/>
  <c r="S195" i="42"/>
  <c r="AK196" i="42"/>
  <c r="AJ252" i="42"/>
  <c r="S76" i="42"/>
  <c r="BP154" i="42"/>
  <c r="F212" i="40"/>
  <c r="L59" i="43"/>
  <c r="S70" i="42"/>
  <c r="D255" i="43"/>
  <c r="E253" i="44"/>
  <c r="G195" i="40"/>
  <c r="AJ31" i="42"/>
  <c r="BI239" i="42"/>
  <c r="BJ242" i="42"/>
  <c r="D278" i="44"/>
  <c r="BO269" i="42"/>
  <c r="BH312" i="42"/>
  <c r="BJ230" i="42"/>
  <c r="BK79" i="42"/>
  <c r="F219" i="44"/>
  <c r="AQ216" i="42"/>
  <c r="F183" i="40"/>
  <c r="I323" i="43"/>
  <c r="C39" i="40"/>
  <c r="BG155" i="42"/>
  <c r="BI368" i="42"/>
  <c r="X375" i="42"/>
  <c r="X148" i="42"/>
  <c r="BO294" i="42"/>
  <c r="BF290" i="42"/>
  <c r="BK138" i="42"/>
  <c r="BM291" i="42"/>
  <c r="C203" i="43"/>
  <c r="B226" i="44"/>
  <c r="AP157" i="42"/>
  <c r="BQ283" i="42"/>
  <c r="BH228" i="42"/>
  <c r="BH218" i="42"/>
  <c r="BJ187" i="42"/>
  <c r="F357" i="44"/>
  <c r="F207" i="44"/>
  <c r="AQ309" i="42"/>
  <c r="C371" i="40"/>
  <c r="F214" i="40"/>
  <c r="B205" i="44"/>
  <c r="BK221" i="42"/>
  <c r="F196" i="44"/>
  <c r="D322" i="43"/>
  <c r="BJ19" i="42"/>
  <c r="C312" i="44"/>
  <c r="C220" i="40"/>
  <c r="B98" i="44"/>
  <c r="BK241" i="42"/>
  <c r="BM293" i="42"/>
  <c r="F279" i="44"/>
  <c r="Y194" i="42"/>
  <c r="BF17" i="42"/>
  <c r="BH33" i="42"/>
  <c r="BJ268" i="42"/>
  <c r="BR224" i="42"/>
  <c r="BQ133" i="42"/>
  <c r="F71" i="44"/>
  <c r="F294" i="44"/>
  <c r="BM58" i="42"/>
  <c r="BO335" i="42"/>
  <c r="C154" i="40"/>
  <c r="X115" i="42"/>
  <c r="X36" i="42"/>
  <c r="AP287" i="42"/>
  <c r="M352" i="43"/>
  <c r="BK174" i="42"/>
  <c r="BK140" i="42"/>
  <c r="F237" i="44"/>
  <c r="BM319" i="42"/>
  <c r="BO311" i="42"/>
  <c r="X61" i="42"/>
  <c r="BN225" i="42"/>
  <c r="BK345" i="42"/>
  <c r="AQ234" i="42"/>
  <c r="AJ235" i="42"/>
  <c r="BJ122" i="42"/>
  <c r="AQ50" i="42"/>
  <c r="BL323" i="42"/>
  <c r="BH27" i="42"/>
  <c r="I72" i="43"/>
  <c r="C340" i="44"/>
  <c r="D170" i="43"/>
  <c r="D229" i="40"/>
  <c r="BH97" i="42"/>
  <c r="K165" i="43"/>
  <c r="BH179" i="42"/>
  <c r="BH324" i="42"/>
  <c r="BM101" i="42"/>
  <c r="AD310" i="42"/>
  <c r="AD337" i="42"/>
  <c r="BF310" i="42"/>
  <c r="BN198" i="42"/>
  <c r="Y192" i="42"/>
  <c r="H318" i="43"/>
  <c r="BG168" i="42"/>
  <c r="P146" i="43"/>
  <c r="X130" i="42"/>
  <c r="AE267" i="42"/>
  <c r="BG111" i="42"/>
  <c r="BM62" i="42"/>
  <c r="BM50" i="42"/>
  <c r="BO326" i="42"/>
  <c r="BR305" i="42"/>
  <c r="F368" i="43"/>
  <c r="X31" i="42"/>
  <c r="AJ228" i="42"/>
  <c r="BF158" i="42"/>
  <c r="BH100" i="42"/>
  <c r="BJ184" i="42"/>
  <c r="AP199" i="42"/>
  <c r="BF354" i="42"/>
  <c r="F75" i="44"/>
  <c r="BN365" i="42"/>
  <c r="BK197" i="42"/>
  <c r="AQ75" i="42"/>
  <c r="F209" i="44"/>
  <c r="C303" i="44"/>
  <c r="N164" i="43"/>
  <c r="BM109" i="42"/>
  <c r="BG264" i="42"/>
  <c r="F333" i="40"/>
  <c r="C257" i="44"/>
  <c r="Y110" i="42"/>
  <c r="AD371" i="42"/>
  <c r="BP357" i="42"/>
  <c r="Y312" i="42"/>
  <c r="BJ89" i="42"/>
  <c r="AE210" i="42"/>
  <c r="BJ160" i="42"/>
  <c r="BJ289" i="42"/>
  <c r="AD366" i="42"/>
  <c r="BG316" i="42"/>
  <c r="BF28" i="42"/>
  <c r="BO101" i="42"/>
  <c r="BH77" i="42"/>
  <c r="D208" i="44"/>
  <c r="BG332" i="42"/>
  <c r="F334" i="44"/>
  <c r="F107" i="44"/>
  <c r="BM88" i="42"/>
  <c r="C105" i="44"/>
  <c r="Y136" i="42"/>
  <c r="BJ368" i="42"/>
  <c r="C42" i="44"/>
  <c r="B190" i="44"/>
  <c r="BH80" i="42"/>
  <c r="BI33" i="42"/>
  <c r="BF196" i="42"/>
  <c r="BG119" i="42"/>
  <c r="C29" i="44"/>
  <c r="AQ113" i="42"/>
  <c r="BP30" i="42"/>
  <c r="AJ166" i="42"/>
  <c r="BH47" i="42"/>
  <c r="BI226" i="42"/>
  <c r="BK17" i="42"/>
  <c r="AD174" i="42"/>
  <c r="BF275" i="42"/>
  <c r="AQ183" i="42"/>
  <c r="BL27" i="42"/>
  <c r="BI315" i="42"/>
  <c r="B180" i="43"/>
  <c r="AJ158" i="42"/>
  <c r="B270" i="44"/>
  <c r="BR273" i="42"/>
  <c r="B48" i="44"/>
  <c r="BQ319" i="42"/>
  <c r="D106" i="40"/>
  <c r="BQ171" i="42"/>
  <c r="D277" i="44"/>
  <c r="G114" i="40"/>
  <c r="E212" i="44"/>
  <c r="E161" i="40"/>
  <c r="D355" i="44"/>
  <c r="C124" i="44"/>
  <c r="AP45" i="42"/>
  <c r="BJ141" i="42"/>
  <c r="BK293" i="42"/>
  <c r="AE253" i="42"/>
  <c r="BH21" i="42"/>
  <c r="F350" i="44"/>
  <c r="BM353" i="42"/>
  <c r="BO213" i="42"/>
  <c r="E11" i="44"/>
  <c r="BJ366" i="42"/>
  <c r="BK142" i="42"/>
  <c r="BQ158" i="42"/>
  <c r="BO122" i="42"/>
  <c r="BH113" i="42"/>
  <c r="BJ40" i="42"/>
  <c r="X230" i="42"/>
  <c r="BL265" i="42"/>
  <c r="BL105" i="42"/>
  <c r="O101" i="43"/>
  <c r="D147" i="43"/>
  <c r="BO374" i="42"/>
  <c r="BH319" i="42"/>
  <c r="BJ64" i="42"/>
  <c r="E280" i="44"/>
  <c r="AD265" i="42"/>
  <c r="BO86" i="42"/>
  <c r="L354" i="43"/>
  <c r="X109" i="42"/>
  <c r="E107" i="40"/>
  <c r="C135" i="44"/>
  <c r="AD314" i="42"/>
  <c r="G112" i="40"/>
  <c r="E211" i="40"/>
  <c r="AE26" i="42"/>
  <c r="AK56" i="42"/>
  <c r="AD90" i="42"/>
  <c r="S43" i="42"/>
  <c r="BR18" i="42"/>
  <c r="X114" i="42"/>
  <c r="K281" i="43"/>
  <c r="AD170" i="42"/>
  <c r="BJ85" i="42"/>
  <c r="BJ339" i="42"/>
  <c r="X279" i="42"/>
  <c r="BF143" i="42"/>
  <c r="F41" i="44"/>
  <c r="BL340" i="42"/>
  <c r="BN172" i="42"/>
  <c r="D294" i="44"/>
  <c r="BI200" i="42"/>
  <c r="BJ93" i="42"/>
  <c r="AP246" i="42"/>
  <c r="E289" i="44"/>
  <c r="BH334" i="42"/>
  <c r="BJ222" i="42"/>
  <c r="BJ255" i="42"/>
  <c r="F227" i="44"/>
  <c r="F179" i="44"/>
  <c r="E293" i="43"/>
  <c r="D93" i="40"/>
  <c r="B156" i="44"/>
  <c r="BG240" i="42"/>
  <c r="BI303" i="42"/>
  <c r="C28" i="44"/>
  <c r="AE19" i="42"/>
  <c r="BN233" i="42"/>
  <c r="BF47" i="42"/>
  <c r="BK86" i="42"/>
  <c r="F236" i="43"/>
  <c r="BP196" i="42"/>
  <c r="E256" i="44"/>
  <c r="S68" i="42"/>
  <c r="D132" i="44"/>
  <c r="X32" i="42"/>
  <c r="C67" i="43"/>
  <c r="M358" i="43"/>
  <c r="C170" i="43"/>
  <c r="BQ173" i="42"/>
  <c r="E166" i="40"/>
  <c r="AJ123" i="42"/>
  <c r="BP277" i="42"/>
  <c r="B88" i="44"/>
  <c r="C354" i="44"/>
  <c r="BH172" i="42"/>
  <c r="BI49" i="42"/>
  <c r="BK321" i="42"/>
  <c r="BJ229" i="42"/>
  <c r="BL330" i="42"/>
  <c r="BM202" i="42"/>
  <c r="BN171" i="42"/>
  <c r="Y187" i="42"/>
  <c r="BQ24" i="42"/>
  <c r="BI54" i="42"/>
  <c r="BK149" i="42"/>
  <c r="E142" i="44"/>
  <c r="E42" i="44"/>
  <c r="BJ175" i="42"/>
  <c r="AQ108" i="42"/>
  <c r="AQ149" i="42"/>
  <c r="BL128" i="42"/>
  <c r="BN117" i="42"/>
  <c r="AE179" i="42"/>
  <c r="C151" i="43"/>
  <c r="S370" i="42"/>
  <c r="BI345" i="42"/>
  <c r="BJ152" i="42"/>
  <c r="AD94" i="42"/>
  <c r="BO362" i="42"/>
  <c r="BJ315" i="42"/>
  <c r="X63" i="42"/>
  <c r="BN44" i="42"/>
  <c r="F172" i="40"/>
  <c r="C237" i="44"/>
  <c r="D189" i="44"/>
  <c r="BJ207" i="42"/>
  <c r="BO350" i="42"/>
  <c r="M263" i="43"/>
  <c r="BH306" i="42"/>
  <c r="AJ288" i="42"/>
  <c r="BQ316" i="42"/>
  <c r="BQ271" i="42"/>
  <c r="AQ191" i="42"/>
  <c r="BH266" i="42"/>
  <c r="BK131" i="42"/>
  <c r="C69" i="44"/>
  <c r="BJ285" i="42"/>
  <c r="D324" i="44"/>
  <c r="BP269" i="42"/>
  <c r="BG313" i="42"/>
  <c r="BP349" i="42"/>
  <c r="BF356" i="42"/>
  <c r="BF39" i="42"/>
  <c r="BO203" i="42"/>
  <c r="AQ354" i="42"/>
  <c r="BQ76" i="42"/>
  <c r="X207" i="42"/>
  <c r="BG327" i="42"/>
  <c r="BP284" i="42"/>
  <c r="AD73" i="42"/>
  <c r="AJ188" i="42"/>
  <c r="BG30" i="42"/>
  <c r="BM252" i="42"/>
  <c r="BM185" i="42"/>
  <c r="BO103" i="42"/>
  <c r="BK290" i="42"/>
  <c r="BM371" i="42"/>
  <c r="BL324" i="42"/>
  <c r="AQ284" i="42"/>
  <c r="K140" i="43"/>
  <c r="BN348" i="42"/>
  <c r="F359" i="44"/>
  <c r="F104" i="44"/>
  <c r="M86" i="43"/>
  <c r="AP363" i="42"/>
  <c r="F160" i="40"/>
  <c r="B299" i="44"/>
  <c r="E211" i="44"/>
  <c r="AK154" i="42"/>
  <c r="F135" i="44"/>
  <c r="Y330" i="42"/>
  <c r="BP25" i="42"/>
  <c r="BM54" i="42"/>
  <c r="BH329" i="42"/>
  <c r="BH195" i="42"/>
  <c r="AQ162" i="42"/>
  <c r="BI98" i="42"/>
  <c r="E29" i="44"/>
  <c r="C72" i="44"/>
  <c r="BR313" i="42"/>
  <c r="X11" i="42"/>
  <c r="BH34" i="42"/>
  <c r="BH275" i="42"/>
  <c r="BJ277" i="42"/>
  <c r="AP296" i="42"/>
  <c r="BN213" i="42"/>
  <c r="F330" i="44"/>
  <c r="BL328" i="42"/>
  <c r="AD166" i="42"/>
  <c r="BG341" i="42"/>
  <c r="BH119" i="42"/>
  <c r="BJ181" i="42"/>
  <c r="B347" i="44"/>
  <c r="C200" i="44"/>
  <c r="BG77" i="42"/>
  <c r="BN340" i="42"/>
  <c r="BO66" i="42"/>
  <c r="BK235" i="42"/>
  <c r="Y59" i="42"/>
  <c r="BN57" i="42"/>
  <c r="BN22" i="42"/>
  <c r="BQ294" i="42"/>
  <c r="BI334" i="42"/>
  <c r="BG294" i="42"/>
  <c r="BO239" i="42"/>
  <c r="BR135" i="42"/>
  <c r="BJ232" i="42"/>
  <c r="C143" i="40"/>
  <c r="H49" i="43"/>
  <c r="N204" i="43"/>
  <c r="BI264" i="42"/>
  <c r="F193" i="44"/>
  <c r="AE205" i="42"/>
  <c r="BP239" i="42"/>
  <c r="BF213" i="42"/>
  <c r="BP158" i="42"/>
  <c r="BP143" i="42"/>
  <c r="BR210" i="42"/>
  <c r="F43" i="44"/>
  <c r="F316" i="44"/>
  <c r="BR280" i="42"/>
  <c r="BJ49" i="42"/>
  <c r="S309" i="42"/>
  <c r="C91" i="44"/>
  <c r="BG156" i="42"/>
  <c r="BI186" i="42"/>
  <c r="BN269" i="42"/>
  <c r="F363" i="44"/>
  <c r="BM81" i="42"/>
  <c r="BL197" i="42"/>
  <c r="BM313" i="42"/>
  <c r="G19" i="40"/>
  <c r="B246" i="44"/>
  <c r="BP142" i="42"/>
  <c r="BP202" i="42"/>
  <c r="BJ279" i="42"/>
  <c r="BK160" i="42"/>
  <c r="X335" i="42"/>
  <c r="BH373" i="42"/>
  <c r="AQ227" i="42"/>
  <c r="BL325" i="42"/>
  <c r="BO162" i="42"/>
  <c r="S226" i="42"/>
  <c r="BJ100" i="42"/>
  <c r="BK198" i="42"/>
  <c r="D367" i="44"/>
  <c r="BO37" i="42"/>
  <c r="BH322" i="42"/>
  <c r="BJ44" i="42"/>
  <c r="F182" i="40"/>
  <c r="BL309" i="42"/>
  <c r="C249" i="43"/>
  <c r="D264" i="43"/>
  <c r="F113" i="40"/>
  <c r="BQ88" i="42"/>
  <c r="E149" i="43"/>
  <c r="Y356" i="42"/>
  <c r="BQ205" i="42"/>
  <c r="B125" i="40"/>
  <c r="G97" i="40"/>
  <c r="X143" i="42"/>
  <c r="C182" i="44"/>
  <c r="X179" i="42"/>
  <c r="BR94" i="42"/>
  <c r="E340" i="44"/>
  <c r="E20" i="44"/>
  <c r="X83" i="42"/>
  <c r="AJ51" i="42"/>
  <c r="BF16" i="42"/>
  <c r="BH350" i="42"/>
  <c r="BF322" i="42"/>
  <c r="BF184" i="42"/>
  <c r="BG244" i="42"/>
  <c r="BO349" i="42"/>
  <c r="BR375" i="42"/>
  <c r="D292" i="44"/>
  <c r="BF63" i="42"/>
  <c r="BH221" i="42"/>
  <c r="BJ35" i="42"/>
  <c r="Y373" i="42"/>
  <c r="C297" i="44"/>
  <c r="BL286" i="42"/>
  <c r="BM166" i="42"/>
  <c r="BF162" i="42"/>
  <c r="F70" i="40"/>
  <c r="AE256" i="42"/>
  <c r="BJ325" i="42"/>
  <c r="C24" i="44"/>
  <c r="AD95" i="42"/>
  <c r="AK171" i="42"/>
  <c r="BJ162" i="42"/>
  <c r="N341" i="43"/>
  <c r="B58" i="43"/>
  <c r="E223" i="44"/>
  <c r="AE133" i="42"/>
  <c r="AK226" i="42"/>
  <c r="B114" i="40"/>
  <c r="BQ327" i="42"/>
  <c r="AK35" i="42"/>
  <c r="D68" i="40"/>
  <c r="BR223" i="42"/>
  <c r="C139" i="44"/>
  <c r="AD215" i="42"/>
  <c r="F342" i="40"/>
  <c r="D112" i="44"/>
  <c r="AP257" i="42"/>
  <c r="BK186" i="42"/>
  <c r="X152" i="42"/>
  <c r="BF118" i="42"/>
  <c r="BH134" i="42"/>
  <c r="F271" i="44"/>
  <c r="BN323" i="42"/>
  <c r="BL204" i="42"/>
  <c r="BF87" i="42"/>
  <c r="AD153" i="42"/>
  <c r="D147" i="44"/>
  <c r="AJ162" i="42"/>
  <c r="BG115" i="42"/>
  <c r="BI241" i="42"/>
  <c r="BK336" i="42"/>
  <c r="BJ153" i="42"/>
  <c r="BL143" i="42"/>
  <c r="BM164" i="42"/>
  <c r="BN281" i="42"/>
  <c r="BR162" i="42"/>
  <c r="F161" i="40"/>
  <c r="BI192" i="42"/>
  <c r="BK371" i="42"/>
  <c r="D332" i="44"/>
  <c r="B14" i="44"/>
  <c r="BJ196" i="42"/>
  <c r="AQ94" i="42"/>
  <c r="F199" i="44"/>
  <c r="BL65" i="42"/>
  <c r="S90" i="42"/>
  <c r="AD324" i="42"/>
  <c r="C263" i="40"/>
  <c r="BQ163" i="42"/>
  <c r="AK84" i="42"/>
  <c r="BP71" i="42"/>
  <c r="G149" i="43"/>
  <c r="AP293" i="42"/>
  <c r="B259" i="43"/>
  <c r="D126" i="44"/>
  <c r="E316" i="44"/>
  <c r="AP103" i="42"/>
  <c r="AP86" i="42"/>
  <c r="BG142" i="42"/>
  <c r="BI291" i="42"/>
  <c r="BK328" i="42"/>
  <c r="AJ206" i="42"/>
  <c r="BG160" i="42"/>
  <c r="BL92" i="42"/>
  <c r="BL192" i="42"/>
  <c r="BM214" i="42"/>
  <c r="BO105" i="42"/>
  <c r="AE167" i="42"/>
  <c r="D253" i="44"/>
  <c r="BQ278" i="42"/>
  <c r="BO50" i="42"/>
  <c r="E364" i="40"/>
  <c r="BK370" i="42"/>
  <c r="X328" i="42"/>
  <c r="BN244" i="42"/>
  <c r="BM337" i="42"/>
  <c r="AQ99" i="42"/>
  <c r="BL262" i="42"/>
  <c r="BQ280" i="42"/>
  <c r="AJ48" i="42"/>
  <c r="BK133" i="42"/>
  <c r="AK142" i="42"/>
  <c r="B115" i="44"/>
  <c r="BG93" i="42"/>
  <c r="BI32" i="42"/>
  <c r="BL175" i="42"/>
  <c r="BL374" i="42"/>
  <c r="BN112" i="42"/>
  <c r="F27" i="40"/>
  <c r="G311" i="43"/>
  <c r="D84" i="44"/>
  <c r="BG125" i="42"/>
  <c r="F26" i="44"/>
  <c r="J200" i="43"/>
  <c r="E50" i="44"/>
  <c r="AQ282" i="42"/>
  <c r="BJ18" i="42"/>
  <c r="BJ374" i="42"/>
  <c r="AQ51" i="42"/>
  <c r="BL245" i="42"/>
  <c r="F190" i="40"/>
  <c r="BQ363" i="42"/>
  <c r="B367" i="44"/>
  <c r="BG370" i="42"/>
  <c r="BI244" i="42"/>
  <c r="M321" i="43"/>
  <c r="B179" i="44"/>
  <c r="BN160" i="42"/>
  <c r="BO373" i="42"/>
  <c r="BJ148" i="42"/>
  <c r="BM224" i="42"/>
  <c r="AP15" i="42"/>
  <c r="C157" i="40"/>
  <c r="BP51" i="42"/>
  <c r="AD260" i="42"/>
  <c r="BG304" i="42"/>
  <c r="BH344" i="42"/>
  <c r="BJ104" i="42"/>
  <c r="BI51" i="42"/>
  <c r="BN223" i="42"/>
  <c r="AQ42" i="42"/>
  <c r="BG88" i="42"/>
  <c r="BJ116" i="42"/>
  <c r="BM254" i="42"/>
  <c r="BF301" i="42"/>
  <c r="E141" i="40"/>
  <c r="BL109" i="42"/>
  <c r="BM138" i="42"/>
  <c r="BL361" i="42"/>
  <c r="BJ136" i="42"/>
  <c r="AD120" i="42"/>
  <c r="B180" i="40"/>
  <c r="AP48" i="42"/>
  <c r="C31" i="44"/>
  <c r="Y212" i="42"/>
  <c r="BO278" i="42"/>
  <c r="BP123" i="42"/>
  <c r="BF289" i="42"/>
  <c r="G58" i="40"/>
  <c r="BF93" i="42"/>
  <c r="AP221" i="42"/>
  <c r="BN154" i="42"/>
  <c r="BM169" i="42"/>
  <c r="E336" i="44"/>
  <c r="AD75" i="42"/>
  <c r="E30" i="44"/>
  <c r="BI41" i="42"/>
  <c r="BJ50" i="42"/>
  <c r="AJ345" i="42"/>
  <c r="AK50" i="42"/>
  <c r="BJ74" i="42"/>
  <c r="AJ300" i="42"/>
  <c r="BN358" i="42"/>
  <c r="BM140" i="42"/>
  <c r="AP250" i="42"/>
  <c r="BJ52" i="42"/>
  <c r="AD137" i="42"/>
  <c r="AD289" i="42"/>
  <c r="BG260" i="42"/>
  <c r="BI167" i="42"/>
  <c r="BN332" i="42"/>
  <c r="AQ112" i="42"/>
  <c r="BG236" i="42"/>
  <c r="BO301" i="42"/>
  <c r="AP69" i="42"/>
  <c r="BN144" i="42"/>
  <c r="BN114" i="42"/>
  <c r="BH56" i="42"/>
  <c r="BQ65" i="42"/>
  <c r="B50" i="44"/>
  <c r="BM173" i="42"/>
  <c r="C112" i="40"/>
  <c r="F366" i="44"/>
  <c r="G163" i="40"/>
  <c r="C201" i="43"/>
  <c r="E102" i="44"/>
  <c r="BF135" i="42"/>
  <c r="BN235" i="42"/>
  <c r="S67" i="42"/>
  <c r="AD245" i="42"/>
  <c r="BL51" i="42"/>
  <c r="B308" i="44"/>
  <c r="BG336" i="42"/>
  <c r="BG118" i="42"/>
  <c r="BO79" i="42"/>
  <c r="F146" i="44"/>
  <c r="AK319" i="42"/>
  <c r="B84" i="44"/>
  <c r="BN135" i="42"/>
  <c r="BN219" i="42"/>
  <c r="BI217" i="42"/>
  <c r="D148" i="40"/>
  <c r="C155" i="44"/>
  <c r="AP219" i="42"/>
  <c r="AP149" i="42"/>
  <c r="AD22" i="42"/>
  <c r="BO244" i="42"/>
  <c r="BH78" i="42"/>
  <c r="BN309" i="42"/>
  <c r="BO241" i="42"/>
  <c r="BN45" i="42"/>
  <c r="BO148" i="42"/>
  <c r="E24" i="44"/>
  <c r="BQ145" i="42"/>
  <c r="BO185" i="42"/>
  <c r="BH367" i="42"/>
  <c r="BJ364" i="42"/>
  <c r="AP135" i="42"/>
  <c r="X288" i="42"/>
  <c r="BL185" i="42"/>
  <c r="BM94" i="42"/>
  <c r="Y153" i="42"/>
  <c r="B339" i="43"/>
  <c r="X72" i="42"/>
  <c r="BQ176" i="42"/>
  <c r="E204" i="44"/>
  <c r="F229" i="43"/>
  <c r="B368" i="43"/>
  <c r="Y200" i="42"/>
  <c r="H314" i="43"/>
  <c r="S273" i="42"/>
  <c r="G42" i="40"/>
  <c r="AJ56" i="42"/>
  <c r="C245" i="40"/>
  <c r="C158" i="44"/>
  <c r="X313" i="42"/>
  <c r="BG235" i="42"/>
  <c r="BH154" i="42"/>
  <c r="BJ188" i="42"/>
  <c r="D105" i="44"/>
  <c r="BN339" i="42"/>
  <c r="BF373" i="42"/>
  <c r="BJ272" i="42"/>
  <c r="F301" i="44"/>
  <c r="BR205" i="42"/>
  <c r="BH159" i="42"/>
  <c r="BJ223" i="42"/>
  <c r="D160" i="44"/>
  <c r="X224" i="42"/>
  <c r="BG66" i="42"/>
  <c r="BL98" i="42"/>
  <c r="BN94" i="42"/>
  <c r="BN298" i="42"/>
  <c r="BI130" i="42"/>
  <c r="AD296" i="42"/>
  <c r="C18" i="44"/>
  <c r="C22" i="44"/>
  <c r="BG229" i="42"/>
  <c r="BQ55" i="42"/>
  <c r="X345" i="42"/>
  <c r="AE20" i="42"/>
  <c r="B310" i="44"/>
  <c r="BP17" i="42"/>
  <c r="C28" i="43"/>
  <c r="BQ67" i="42"/>
  <c r="AD178" i="42"/>
  <c r="D106" i="44"/>
  <c r="S318" i="42"/>
  <c r="BP108" i="42"/>
  <c r="Y150" i="42"/>
  <c r="S66" i="42"/>
  <c r="AE159" i="42"/>
  <c r="AE312" i="42"/>
  <c r="BQ320" i="42"/>
  <c r="BR186" i="42"/>
  <c r="C38" i="44"/>
  <c r="E69" i="44"/>
  <c r="BG368" i="42"/>
  <c r="BI369" i="42"/>
  <c r="BK20" i="42"/>
  <c r="BN118" i="42"/>
  <c r="BN209" i="42"/>
  <c r="BG19" i="42"/>
  <c r="F328" i="44"/>
  <c r="S144" i="42"/>
  <c r="BG295" i="42"/>
  <c r="BI356" i="42"/>
  <c r="BK19" i="42"/>
  <c r="C132" i="44"/>
  <c r="BF334" i="42"/>
  <c r="BL138" i="42"/>
  <c r="BL26" i="42"/>
  <c r="BM103" i="42"/>
  <c r="BO360" i="42"/>
  <c r="BP152" i="42"/>
  <c r="S216" i="42"/>
  <c r="AD78" i="42"/>
  <c r="BO150" i="42"/>
  <c r="BQ110" i="42"/>
  <c r="BK51" i="42"/>
  <c r="X278" i="42"/>
  <c r="BN307" i="42"/>
  <c r="BM270" i="42"/>
  <c r="F29" i="44"/>
  <c r="F145" i="43"/>
  <c r="BQ186" i="42"/>
  <c r="H330" i="43"/>
  <c r="BQ164" i="42"/>
  <c r="E311" i="44"/>
  <c r="F193" i="40"/>
  <c r="O312" i="43"/>
  <c r="C57" i="40"/>
  <c r="Y360" i="42"/>
  <c r="AK257" i="42"/>
  <c r="AJ54" i="42"/>
  <c r="D167" i="44"/>
  <c r="B162" i="44"/>
  <c r="BK245" i="42"/>
  <c r="D89" i="40"/>
  <c r="BO325" i="42"/>
  <c r="BH95" i="42"/>
  <c r="C357" i="43"/>
  <c r="F163" i="44"/>
  <c r="BG315" i="42"/>
  <c r="BI112" i="42"/>
  <c r="AQ364" i="42"/>
  <c r="B309" i="40"/>
  <c r="BQ56" i="42"/>
  <c r="BH128" i="42"/>
  <c r="C336" i="40"/>
  <c r="D295" i="44"/>
  <c r="C142" i="44"/>
  <c r="BG57" i="42"/>
  <c r="BN50" i="42"/>
  <c r="BN147" i="42"/>
  <c r="BO35" i="42"/>
  <c r="BL81" i="42"/>
  <c r="AP185" i="42"/>
  <c r="AJ28" i="42"/>
  <c r="D361" i="44"/>
  <c r="BG256" i="42"/>
  <c r="BI72" i="42"/>
  <c r="BK182" i="42"/>
  <c r="D279" i="44"/>
  <c r="AQ53" i="42"/>
  <c r="BM255" i="42"/>
  <c r="BF313" i="42"/>
  <c r="D84" i="40"/>
  <c r="H157" i="43"/>
  <c r="B70" i="43"/>
  <c r="X324" i="42"/>
  <c r="AQ326" i="42"/>
  <c r="E345" i="44"/>
  <c r="AD14" i="42"/>
  <c r="BO187" i="42"/>
  <c r="BH108" i="42"/>
  <c r="BG247" i="42"/>
  <c r="BN372" i="42"/>
  <c r="BF84" i="42"/>
  <c r="N354" i="43"/>
  <c r="C268" i="44"/>
  <c r="BI258" i="42"/>
  <c r="BK251" i="42"/>
  <c r="D225" i="44"/>
  <c r="BR102" i="42"/>
  <c r="BI355" i="42"/>
  <c r="F194" i="44"/>
  <c r="F265" i="44"/>
  <c r="BL71" i="42"/>
  <c r="BN328" i="42"/>
  <c r="O225" i="43"/>
  <c r="AP95" i="42"/>
  <c r="C11" i="44"/>
  <c r="BI288" i="42"/>
  <c r="BJ275" i="42"/>
  <c r="E335" i="44"/>
  <c r="AD308" i="42"/>
  <c r="BI64" i="42"/>
  <c r="BK320" i="42"/>
  <c r="BN71" i="42"/>
  <c r="B69" i="44"/>
  <c r="BK50" i="42"/>
  <c r="BG163" i="42"/>
  <c r="BL115" i="42"/>
  <c r="F30" i="40"/>
  <c r="BO136" i="42"/>
  <c r="F341" i="44"/>
  <c r="AQ240" i="42"/>
  <c r="AD103" i="42"/>
  <c r="D301" i="44"/>
  <c r="AD108" i="42"/>
  <c r="F322" i="43"/>
  <c r="BK97" i="42"/>
  <c r="BJ63" i="42"/>
  <c r="F86" i="44"/>
  <c r="BJ54" i="42"/>
  <c r="AQ201" i="42"/>
  <c r="BP212" i="42"/>
  <c r="BI325" i="42"/>
  <c r="BI169" i="42"/>
  <c r="F14" i="44"/>
  <c r="BM162" i="42"/>
  <c r="B120" i="44"/>
  <c r="BQ260" i="42"/>
  <c r="BK335" i="42"/>
  <c r="X295" i="42"/>
  <c r="C323" i="44"/>
  <c r="BG23" i="42"/>
  <c r="BI63" i="42"/>
  <c r="BL21" i="42"/>
  <c r="BL104" i="42"/>
  <c r="BN220" i="42"/>
  <c r="BO220" i="42"/>
  <c r="G201" i="43"/>
  <c r="E298" i="44"/>
  <c r="BG246" i="42"/>
  <c r="BI224" i="42"/>
  <c r="BK354" i="42"/>
  <c r="AD32" i="42"/>
  <c r="AQ178" i="42"/>
  <c r="BN14" i="42"/>
  <c r="AQ273" i="42"/>
  <c r="BN12" i="42"/>
  <c r="BJ226" i="42"/>
  <c r="AQ310" i="42"/>
  <c r="BF210" i="42"/>
  <c r="BO297" i="42"/>
  <c r="BK46" i="42"/>
  <c r="BJ323" i="42"/>
  <c r="BL125" i="42"/>
  <c r="BJ80" i="42"/>
  <c r="F236" i="44"/>
  <c r="BP351" i="42"/>
  <c r="D33" i="40"/>
  <c r="BR331" i="42"/>
  <c r="X332" i="42"/>
  <c r="BM25" i="42"/>
  <c r="AK300" i="42"/>
  <c r="AJ278" i="42"/>
  <c r="BL23" i="42"/>
  <c r="BR247" i="42"/>
  <c r="C281" i="44"/>
  <c r="BL277" i="42"/>
  <c r="BM299" i="42"/>
  <c r="M330" i="43"/>
  <c r="Y161" i="42"/>
  <c r="BI272" i="42"/>
  <c r="BJ245" i="42"/>
  <c r="F325" i="44"/>
  <c r="BL355" i="42"/>
  <c r="E126" i="44"/>
  <c r="C348" i="44"/>
  <c r="X208" i="42"/>
  <c r="BG137" i="42"/>
  <c r="BH18" i="42"/>
  <c r="BJ205" i="42"/>
  <c r="K295" i="43"/>
  <c r="BN238" i="42"/>
  <c r="BF260" i="42"/>
  <c r="BJ140" i="42"/>
  <c r="F44" i="44"/>
  <c r="AD164" i="42"/>
  <c r="BH130" i="42"/>
  <c r="BJ361" i="42"/>
  <c r="X228" i="42"/>
  <c r="F100" i="43"/>
  <c r="BG60" i="42"/>
  <c r="BL261" i="42"/>
  <c r="BM346" i="42"/>
  <c r="BN34" i="42"/>
  <c r="AK74" i="42"/>
  <c r="E219" i="43"/>
  <c r="N92" i="43"/>
  <c r="M92" i="43"/>
  <c r="AJ348" i="42"/>
  <c r="G356" i="43"/>
  <c r="C62" i="40"/>
  <c r="C199" i="40"/>
  <c r="H78" i="43"/>
  <c r="AP105" i="42"/>
  <c r="BR229" i="42"/>
  <c r="G221" i="40"/>
  <c r="BQ20" i="42"/>
  <c r="BQ331" i="42"/>
  <c r="BI151" i="42"/>
  <c r="BJ209" i="42"/>
  <c r="E206" i="44"/>
  <c r="AP239" i="42"/>
  <c r="BG157" i="42"/>
  <c r="AQ110" i="42"/>
  <c r="F263" i="44"/>
  <c r="AP88" i="42"/>
  <c r="BN301" i="42"/>
  <c r="AJ15" i="42"/>
  <c r="BK282" i="42"/>
  <c r="B361" i="44"/>
  <c r="BG141" i="42"/>
  <c r="BI341" i="42"/>
  <c r="X16" i="42"/>
  <c r="AQ165" i="42"/>
  <c r="BI296" i="42"/>
  <c r="BQ310" i="42"/>
  <c r="BL74" i="42"/>
  <c r="O34" i="43"/>
  <c r="C219" i="43"/>
  <c r="BH54" i="42"/>
  <c r="I127" i="43"/>
  <c r="AD208" i="42"/>
  <c r="BG131" i="42"/>
  <c r="BH287" i="42"/>
  <c r="AE51" i="42"/>
  <c r="Y44" i="42"/>
  <c r="AK106" i="42"/>
  <c r="K172" i="43"/>
  <c r="Y134" i="42"/>
  <c r="BP72" i="42"/>
  <c r="D131" i="44"/>
  <c r="C52" i="44"/>
  <c r="Y100" i="42"/>
  <c r="B249" i="44"/>
  <c r="AD216" i="42"/>
  <c r="N333" i="43"/>
  <c r="AJ340" i="42"/>
  <c r="G87" i="40"/>
  <c r="BH293" i="42"/>
  <c r="BI164" i="42"/>
  <c r="BK33" i="42"/>
  <c r="D190" i="44"/>
  <c r="BG364" i="42"/>
  <c r="AQ263" i="42"/>
  <c r="BL39" i="42"/>
  <c r="BJ271" i="42"/>
  <c r="AQ64" i="42"/>
  <c r="AJ245" i="42"/>
  <c r="BK195" i="42"/>
  <c r="C95" i="44"/>
  <c r="BF208" i="42"/>
  <c r="BH74" i="42"/>
  <c r="BQ355" i="42"/>
  <c r="G126" i="40"/>
  <c r="BF25" i="42"/>
  <c r="BH362" i="42"/>
  <c r="AQ128" i="42"/>
  <c r="AK298" i="42"/>
  <c r="AP295" i="42"/>
  <c r="BH346" i="42"/>
  <c r="AD136" i="42"/>
  <c r="D306" i="44"/>
  <c r="B236" i="44"/>
  <c r="BG359" i="42"/>
  <c r="BN230" i="42"/>
  <c r="BN87" i="42"/>
  <c r="BF85" i="42"/>
  <c r="G166" i="40"/>
  <c r="D127" i="43"/>
  <c r="Y338" i="42"/>
  <c r="AD309" i="42"/>
  <c r="AK247" i="42"/>
  <c r="AP98" i="42"/>
  <c r="F14" i="40"/>
  <c r="J367" i="43"/>
  <c r="Y352" i="42"/>
  <c r="E270" i="40"/>
  <c r="AP347" i="42"/>
  <c r="C85" i="40"/>
  <c r="E55" i="44"/>
  <c r="BO166" i="42"/>
  <c r="BH122" i="42"/>
  <c r="BJ219" i="42"/>
  <c r="BP93" i="42"/>
  <c r="B23" i="44"/>
  <c r="BO210" i="42"/>
  <c r="BJ360" i="42"/>
  <c r="BF357" i="42"/>
  <c r="BO227" i="42"/>
  <c r="AP285" i="42"/>
  <c r="E316" i="40"/>
  <c r="BR326" i="42"/>
  <c r="AJ320" i="42"/>
  <c r="BH250" i="42"/>
  <c r="BI361" i="42"/>
  <c r="BK339" i="42"/>
  <c r="BM146" i="42"/>
  <c r="AQ151" i="42"/>
  <c r="F92" i="44"/>
  <c r="BM67" i="42"/>
  <c r="AK67" i="42"/>
  <c r="BH227" i="42"/>
  <c r="BI252" i="42"/>
  <c r="BK27" i="42"/>
  <c r="X53" i="42"/>
  <c r="BF43" i="42"/>
  <c r="BH163" i="42"/>
  <c r="BF181" i="42"/>
  <c r="BH335" i="42"/>
  <c r="C306" i="43"/>
  <c r="E44" i="40"/>
  <c r="D358" i="44"/>
  <c r="D282" i="44"/>
  <c r="BK87" i="42"/>
  <c r="F331" i="44"/>
  <c r="BK118" i="42"/>
  <c r="BJ185" i="42"/>
  <c r="AQ33" i="42"/>
  <c r="BK129" i="42"/>
  <c r="BJ173" i="42"/>
  <c r="AQ80" i="42"/>
  <c r="F52" i="44"/>
  <c r="BP133" i="42"/>
  <c r="C149" i="44"/>
  <c r="F269" i="40"/>
  <c r="BF168" i="42"/>
  <c r="C324" i="44"/>
  <c r="BK302" i="42"/>
  <c r="D35" i="40"/>
  <c r="BM75" i="42"/>
  <c r="BM367" i="42"/>
  <c r="O118" i="43"/>
  <c r="AQ366" i="42"/>
  <c r="Y19" i="42"/>
  <c r="B200" i="44"/>
  <c r="BK101" i="42"/>
  <c r="BR213" i="42"/>
  <c r="C173" i="44"/>
  <c r="BG194" i="42"/>
  <c r="BI107" i="42"/>
  <c r="BL190" i="42"/>
  <c r="BL19" i="42"/>
  <c r="BN32" i="42"/>
  <c r="BI172" i="42"/>
  <c r="F67" i="44"/>
  <c r="BK38" i="42"/>
  <c r="BN111" i="42"/>
  <c r="BK31" i="42"/>
  <c r="BL157" i="42"/>
  <c r="BJ172" i="42"/>
  <c r="F231" i="44"/>
  <c r="C200" i="43"/>
  <c r="N46" i="43"/>
  <c r="D90" i="44"/>
  <c r="AJ333" i="42"/>
  <c r="BI307" i="42"/>
  <c r="BI147" i="42"/>
  <c r="BM112" i="42"/>
  <c r="BI317" i="42"/>
  <c r="BG55" i="42"/>
  <c r="F54" i="40"/>
  <c r="E228" i="44"/>
  <c r="C236" i="44"/>
  <c r="BM171" i="42"/>
  <c r="BN53" i="42"/>
  <c r="AD128" i="42"/>
  <c r="C60" i="44"/>
  <c r="J17" i="43"/>
  <c r="BG206" i="42"/>
  <c r="BI39" i="42"/>
  <c r="BK284" i="42"/>
  <c r="AJ143" i="42"/>
  <c r="C186" i="44"/>
  <c r="BM121" i="42"/>
  <c r="BO29" i="42"/>
  <c r="B294" i="43"/>
  <c r="D41" i="44"/>
  <c r="BI142" i="42"/>
  <c r="BK283" i="42"/>
  <c r="AJ126" i="42"/>
  <c r="BO132" i="42"/>
  <c r="B322" i="44"/>
  <c r="AQ246" i="42"/>
  <c r="BN374" i="42"/>
  <c r="BN81" i="42"/>
  <c r="F169" i="44"/>
  <c r="BO36" i="42"/>
  <c r="F173" i="44"/>
  <c r="BO108" i="42"/>
  <c r="BO298" i="42"/>
  <c r="BR139" i="42"/>
  <c r="BL165" i="42"/>
  <c r="BF209" i="42"/>
  <c r="BO358" i="42"/>
  <c r="BO280" i="42"/>
  <c r="AK339" i="42"/>
  <c r="Y320" i="42"/>
  <c r="Y236" i="42"/>
  <c r="BK179" i="42"/>
  <c r="AQ327" i="42"/>
  <c r="AP338" i="42"/>
  <c r="BK161" i="42"/>
  <c r="BG322" i="42"/>
  <c r="BK66" i="42"/>
  <c r="F222" i="44"/>
  <c r="BL297" i="42"/>
  <c r="X205" i="42"/>
  <c r="AP70" i="42"/>
  <c r="BI163" i="42"/>
  <c r="BJ217" i="42"/>
  <c r="F23" i="40"/>
  <c r="X39" i="42"/>
  <c r="BG286" i="42"/>
  <c r="AQ349" i="42"/>
  <c r="AQ155" i="42"/>
  <c r="B243" i="44"/>
  <c r="BM303" i="42"/>
  <c r="AE75" i="42"/>
  <c r="BK125" i="42"/>
  <c r="S320" i="42"/>
  <c r="BG267" i="42"/>
  <c r="BI352" i="42"/>
  <c r="S237" i="42"/>
  <c r="F342" i="44"/>
  <c r="BI184" i="42"/>
  <c r="BK121" i="42"/>
  <c r="E156" i="40"/>
  <c r="S61" i="42"/>
  <c r="G40" i="43"/>
  <c r="S239" i="42"/>
  <c r="BP146" i="42"/>
  <c r="B233" i="44"/>
  <c r="C155" i="43"/>
  <c r="O358" i="43"/>
  <c r="BQ302" i="42"/>
  <c r="E264" i="44"/>
  <c r="AP84" i="42"/>
  <c r="E182" i="40"/>
  <c r="X246" i="42"/>
  <c r="BK353" i="42"/>
  <c r="BK317" i="42"/>
  <c r="AJ201" i="42"/>
  <c r="BG258" i="42"/>
  <c r="BI159" i="42"/>
  <c r="BK41" i="42"/>
  <c r="AQ180" i="42"/>
  <c r="BO53" i="42"/>
  <c r="BL217" i="42"/>
  <c r="J186" i="43"/>
  <c r="G315" i="43"/>
  <c r="BG223" i="42"/>
  <c r="BH181" i="42"/>
  <c r="BK219" i="42"/>
  <c r="J92" i="43"/>
  <c r="AJ124" i="42"/>
  <c r="BF344" i="42"/>
  <c r="AK301" i="42"/>
  <c r="BO182" i="42"/>
  <c r="X353" i="42"/>
  <c r="AE255" i="42"/>
  <c r="AD218" i="42"/>
  <c r="E89" i="40"/>
  <c r="X264" i="42"/>
  <c r="BI197" i="42"/>
  <c r="BJ304" i="42"/>
  <c r="C197" i="40"/>
  <c r="AK306" i="42"/>
  <c r="G233" i="43"/>
  <c r="B337" i="44"/>
  <c r="BP253" i="42"/>
  <c r="AJ259" i="42"/>
  <c r="D107" i="44"/>
  <c r="L306" i="43"/>
  <c r="D373" i="43"/>
  <c r="AE343" i="42"/>
  <c r="C348" i="43"/>
  <c r="E365" i="44"/>
  <c r="B136" i="43"/>
  <c r="AP291" i="42"/>
  <c r="BJ249" i="42"/>
  <c r="BK364" i="42"/>
  <c r="Y301" i="42"/>
  <c r="BF151" i="42"/>
  <c r="BH161" i="42"/>
  <c r="BJ161" i="42"/>
  <c r="AQ192" i="42"/>
  <c r="BM165" i="42"/>
  <c r="BL67" i="42"/>
  <c r="O55" i="43"/>
  <c r="O341" i="43"/>
  <c r="BF296" i="42"/>
  <c r="BH336" i="42"/>
  <c r="BJ177" i="42"/>
  <c r="G268" i="40"/>
  <c r="D190" i="43"/>
  <c r="BO367" i="42"/>
  <c r="BI122" i="42"/>
  <c r="BO96" i="42"/>
  <c r="BF237" i="42"/>
  <c r="S20" i="42"/>
  <c r="D180" i="44"/>
  <c r="BP41" i="42"/>
  <c r="AJ191" i="42"/>
  <c r="BH53" i="42"/>
  <c r="BI45" i="42"/>
  <c r="BK122" i="42"/>
  <c r="BM154" i="42"/>
  <c r="F238" i="44"/>
  <c r="AQ89" i="42"/>
  <c r="C274" i="40"/>
  <c r="AE274" i="42"/>
  <c r="N345" i="43"/>
  <c r="N185" i="43"/>
  <c r="AK98" i="42"/>
  <c r="BP341" i="42"/>
  <c r="Y143" i="42"/>
  <c r="J311" i="43"/>
  <c r="BR354" i="42"/>
  <c r="D325" i="43"/>
  <c r="S337" i="42"/>
  <c r="BQ300" i="42"/>
  <c r="D49" i="44"/>
  <c r="BJ186" i="42"/>
  <c r="X164" i="42"/>
  <c r="C305" i="44"/>
  <c r="E153" i="44"/>
  <c r="BJ282" i="42"/>
  <c r="F65" i="44"/>
  <c r="BL137" i="42"/>
  <c r="BM150" i="42"/>
  <c r="BO72" i="42"/>
  <c r="D95" i="44"/>
  <c r="K248" i="43"/>
  <c r="D346" i="44"/>
  <c r="BJ287" i="42"/>
  <c r="BK327" i="42"/>
  <c r="AE259" i="42"/>
  <c r="BO302" i="42"/>
  <c r="BF285" i="42"/>
  <c r="AQ325" i="42"/>
  <c r="BK167" i="42"/>
  <c r="BN24" i="42"/>
  <c r="AE178" i="42"/>
  <c r="BK256" i="42"/>
  <c r="X290" i="42"/>
  <c r="BF59" i="42"/>
  <c r="BH55" i="42"/>
  <c r="BJ171" i="42"/>
  <c r="BO195" i="42"/>
  <c r="AQ70" i="42"/>
  <c r="AP263" i="42"/>
  <c r="K225" i="43"/>
  <c r="B327" i="44"/>
  <c r="C127" i="44"/>
  <c r="X299" i="42"/>
  <c r="BI117" i="42"/>
  <c r="BL183" i="42"/>
  <c r="BH226" i="42"/>
  <c r="BI327" i="42"/>
  <c r="BM31" i="42"/>
  <c r="AJ280" i="42"/>
  <c r="AJ304" i="42"/>
  <c r="BM48" i="42"/>
  <c r="BF130" i="42"/>
  <c r="E305" i="40"/>
  <c r="B329" i="44"/>
  <c r="BH298" i="42"/>
  <c r="X132" i="42"/>
  <c r="AP41" i="42"/>
  <c r="F117" i="40"/>
  <c r="BG220" i="42"/>
  <c r="BN107" i="42"/>
  <c r="BN106" i="42"/>
  <c r="BO357" i="42"/>
  <c r="F157" i="44"/>
  <c r="AD363" i="42"/>
  <c r="AJ109" i="42"/>
  <c r="AK294" i="42"/>
  <c r="BG166" i="42"/>
  <c r="BI28" i="42"/>
  <c r="BK58" i="42"/>
  <c r="C81" i="44"/>
  <c r="BK224" i="42"/>
  <c r="BL95" i="42"/>
  <c r="BN243" i="42"/>
  <c r="BF66" i="42"/>
  <c r="BM312" i="42"/>
  <c r="BL68" i="42"/>
  <c r="F145" i="44"/>
  <c r="BG139" i="42"/>
  <c r="BI286" i="42"/>
  <c r="BJ25" i="42"/>
  <c r="E140" i="43"/>
  <c r="BJ107" i="42"/>
  <c r="AK331" i="42"/>
  <c r="E23" i="44"/>
  <c r="BR282" i="42"/>
  <c r="AJ355" i="42"/>
  <c r="BF90" i="42"/>
  <c r="BM237" i="42"/>
  <c r="N133" i="43"/>
  <c r="F178" i="44"/>
  <c r="AJ94" i="42"/>
  <c r="BJ24" i="42"/>
  <c r="BJ72" i="42"/>
  <c r="BI131" i="42"/>
  <c r="BK202" i="42"/>
  <c r="B104" i="44"/>
  <c r="BH86" i="42"/>
  <c r="BI190" i="42"/>
  <c r="BK340" i="42"/>
  <c r="X373" i="42"/>
  <c r="BO52" i="42"/>
  <c r="BH31" i="42"/>
  <c r="BO289" i="42"/>
  <c r="BG203" i="42"/>
  <c r="F241" i="44"/>
  <c r="O230" i="43"/>
  <c r="E32" i="44"/>
  <c r="X34" i="42"/>
  <c r="BF229" i="42"/>
  <c r="BH66" i="42"/>
  <c r="AD99" i="42"/>
  <c r="C77" i="44"/>
  <c r="BM314" i="42"/>
  <c r="BN205" i="42"/>
  <c r="BF141" i="42"/>
  <c r="D144" i="40"/>
  <c r="BK375" i="42"/>
  <c r="BM281" i="42"/>
  <c r="BL255" i="42"/>
  <c r="BM46" i="42"/>
  <c r="AJ83" i="42"/>
  <c r="BM161" i="42"/>
  <c r="AQ34" i="42"/>
  <c r="BK264" i="42"/>
  <c r="BM294" i="42"/>
  <c r="X79" i="42"/>
  <c r="N210" i="43"/>
  <c r="L13" i="43"/>
  <c r="BQ208" i="42"/>
  <c r="BN177" i="42"/>
  <c r="BR358" i="42"/>
  <c r="BG371" i="42"/>
  <c r="BN226" i="42"/>
  <c r="D233" i="44"/>
  <c r="BQ16" i="42"/>
  <c r="BL17" i="42"/>
  <c r="BN288" i="42"/>
  <c r="M314" i="43"/>
  <c r="BQ29" i="42"/>
  <c r="BL222" i="42"/>
  <c r="BM231" i="42"/>
  <c r="BF270" i="42"/>
  <c r="E281" i="40"/>
  <c r="BJ79" i="42"/>
  <c r="BK18" i="42"/>
  <c r="AK311" i="42"/>
  <c r="BG355" i="42"/>
  <c r="BI104" i="42"/>
  <c r="BK209" i="42"/>
  <c r="AQ307" i="42"/>
  <c r="BN345" i="42"/>
  <c r="BL341" i="42"/>
  <c r="C333" i="43"/>
  <c r="BQ112" i="42"/>
  <c r="BF182" i="42"/>
  <c r="BH269" i="42"/>
  <c r="BJ90" i="42"/>
  <c r="AK218" i="42"/>
  <c r="AD263" i="42"/>
  <c r="BF180" i="42"/>
  <c r="AJ258" i="42"/>
  <c r="BF35" i="42"/>
  <c r="AD368" i="42"/>
  <c r="G216" i="43"/>
  <c r="B52" i="40"/>
  <c r="Y111" i="42"/>
  <c r="BR129" i="42"/>
  <c r="BR21" i="42"/>
  <c r="G263" i="43"/>
  <c r="BP66" i="42"/>
  <c r="L65" i="43"/>
  <c r="B58" i="40"/>
  <c r="L223" i="43"/>
  <c r="BQ203" i="42"/>
  <c r="BR362" i="42"/>
  <c r="AP269" i="42"/>
  <c r="BG75" i="42"/>
  <c r="BI212" i="42"/>
  <c r="BK286" i="42"/>
  <c r="D338" i="44"/>
  <c r="BO299" i="42"/>
  <c r="BM149" i="42"/>
  <c r="BN191" i="42"/>
  <c r="BF198" i="42"/>
  <c r="J205" i="43"/>
  <c r="K15" i="43"/>
  <c r="BJ21" i="42"/>
  <c r="X195" i="42"/>
  <c r="D198" i="44"/>
  <c r="B145" i="44"/>
  <c r="BK279" i="42"/>
  <c r="F110" i="44"/>
  <c r="BL114" i="42"/>
  <c r="BM114" i="42"/>
  <c r="BF280" i="42"/>
  <c r="S130" i="42"/>
  <c r="X333" i="42"/>
  <c r="BQ270" i="42"/>
  <c r="BK357" i="42"/>
  <c r="BK268" i="42"/>
  <c r="AP52" i="42"/>
  <c r="BG186" i="42"/>
  <c r="I238" i="43"/>
  <c r="AE96" i="42"/>
  <c r="G239" i="43"/>
  <c r="L133" i="43"/>
  <c r="L138" i="43"/>
  <c r="B174" i="44"/>
  <c r="F255" i="43"/>
  <c r="D352" i="43"/>
  <c r="C341" i="40"/>
  <c r="BQ357" i="42"/>
  <c r="I352" i="43"/>
  <c r="E232" i="40"/>
  <c r="O301" i="43"/>
  <c r="AP20" i="42"/>
  <c r="BO12" i="42"/>
  <c r="BH286" i="42"/>
  <c r="BJ260" i="42"/>
  <c r="X47" i="42"/>
  <c r="D192" i="44"/>
  <c r="BL147" i="42"/>
  <c r="BM295" i="42"/>
  <c r="BF199" i="42"/>
  <c r="C87" i="40"/>
  <c r="E138" i="44"/>
  <c r="BJ193" i="42"/>
  <c r="BP245" i="42"/>
  <c r="C310" i="44"/>
  <c r="E31" i="40"/>
  <c r="BJ51" i="42"/>
  <c r="F91" i="44"/>
  <c r="BL88" i="42"/>
  <c r="BM264" i="42"/>
  <c r="BO330" i="42"/>
  <c r="D179" i="40"/>
  <c r="G338" i="40"/>
  <c r="AD65" i="42"/>
  <c r="BJ112" i="42"/>
  <c r="BK110" i="42"/>
  <c r="C358" i="44"/>
  <c r="BO305" i="42"/>
  <c r="D140" i="44"/>
  <c r="AQ324" i="42"/>
  <c r="BI23" i="42"/>
  <c r="B291" i="44"/>
  <c r="D209" i="40"/>
  <c r="AD176" i="42"/>
  <c r="B13" i="43"/>
  <c r="X163" i="42"/>
  <c r="H353" i="43"/>
  <c r="AE261" i="42"/>
  <c r="H346" i="43"/>
  <c r="E197" i="44"/>
  <c r="D124" i="40"/>
  <c r="AE71" i="42"/>
  <c r="H254" i="43"/>
  <c r="C344" i="40"/>
  <c r="BQ182" i="42"/>
  <c r="BG227" i="42"/>
  <c r="AJ21" i="42"/>
  <c r="D62" i="44"/>
  <c r="BP358" i="42"/>
  <c r="BI247" i="42"/>
  <c r="BO251" i="42"/>
  <c r="BL224" i="42"/>
  <c r="AQ265" i="42"/>
  <c r="C61" i="44"/>
  <c r="BR41" i="42"/>
  <c r="AD31" i="42"/>
  <c r="E292" i="44"/>
  <c r="BO88" i="42"/>
  <c r="BH123" i="42"/>
  <c r="BJ28" i="42"/>
  <c r="BM287" i="42"/>
  <c r="BM108" i="42"/>
  <c r="BO371" i="42"/>
  <c r="BK139" i="42"/>
  <c r="D26" i="44"/>
  <c r="BF27" i="42"/>
  <c r="BH209" i="42"/>
  <c r="BJ218" i="42"/>
  <c r="AD130" i="42"/>
  <c r="X82" i="42"/>
  <c r="AQ45" i="42"/>
  <c r="BH222" i="42"/>
  <c r="BL22" i="42"/>
  <c r="AD124" i="42"/>
  <c r="N297" i="43"/>
  <c r="AJ263" i="42"/>
  <c r="G232" i="40"/>
  <c r="E82" i="40"/>
  <c r="BL168" i="42"/>
  <c r="X174" i="42"/>
  <c r="BO151" i="42"/>
  <c r="BM85" i="42"/>
  <c r="AD242" i="42"/>
  <c r="BK307" i="42"/>
  <c r="BL337" i="42"/>
  <c r="X232" i="42"/>
  <c r="F217" i="40"/>
  <c r="AD193" i="42"/>
  <c r="B191" i="44"/>
  <c r="B30" i="44"/>
  <c r="BH223" i="42"/>
  <c r="BI40" i="42"/>
  <c r="BK288" i="42"/>
  <c r="BL76" i="42"/>
  <c r="AQ353" i="42"/>
  <c r="AQ117" i="42"/>
  <c r="BM136" i="42"/>
  <c r="BQ151" i="42"/>
  <c r="BH118" i="42"/>
  <c r="BI114" i="42"/>
  <c r="BK238" i="42"/>
  <c r="E270" i="44"/>
  <c r="BO102" i="42"/>
  <c r="BH253" i="42"/>
  <c r="BO217" i="42"/>
  <c r="BG153" i="42"/>
  <c r="F221" i="44"/>
  <c r="G371" i="40"/>
  <c r="BO328" i="42"/>
  <c r="BF366" i="42"/>
  <c r="C253" i="44"/>
  <c r="B193" i="44"/>
  <c r="BN207" i="42"/>
  <c r="BN312" i="42"/>
  <c r="BR235" i="42"/>
  <c r="AP107" i="42"/>
  <c r="C28" i="40"/>
  <c r="G77" i="43"/>
  <c r="F17" i="40"/>
  <c r="Y30" i="42"/>
  <c r="BO198" i="42"/>
  <c r="H332" i="43"/>
  <c r="BQ36" i="42"/>
  <c r="AQ286" i="42"/>
  <c r="B159" i="40"/>
  <c r="AP57" i="42"/>
  <c r="BQ26" i="42"/>
  <c r="AQ248" i="42"/>
  <c r="BL70" i="42"/>
  <c r="BR33" i="42"/>
  <c r="BJ358" i="42"/>
  <c r="X75" i="42"/>
  <c r="BF324" i="42"/>
  <c r="BH158" i="42"/>
  <c r="BJ344" i="42"/>
  <c r="BO351" i="42"/>
  <c r="F212" i="44"/>
  <c r="BK123" i="42"/>
  <c r="BK163" i="42"/>
  <c r="D238" i="44"/>
  <c r="S248" i="42"/>
  <c r="BH219" i="42"/>
  <c r="BJ168" i="42"/>
  <c r="AD74" i="42"/>
  <c r="C92" i="44"/>
  <c r="BH200" i="42"/>
  <c r="AQ37" i="42"/>
  <c r="F83" i="44"/>
  <c r="F59" i="44"/>
  <c r="BQ287" i="42"/>
  <c r="BH165" i="42"/>
  <c r="BL154" i="42"/>
  <c r="F47" i="44"/>
  <c r="I355" i="43"/>
  <c r="BJ110" i="42"/>
  <c r="BN148" i="42"/>
  <c r="C185" i="43"/>
  <c r="BH140" i="42"/>
  <c r="P158" i="43"/>
  <c r="X257" i="42"/>
  <c r="H282" i="43"/>
  <c r="AK201" i="42"/>
  <c r="BF127" i="42"/>
  <c r="BM80" i="42"/>
  <c r="BF72" i="42"/>
  <c r="X282" i="42"/>
  <c r="BF38" i="42"/>
  <c r="BG58" i="42"/>
  <c r="BF299" i="42"/>
  <c r="BO233" i="42"/>
  <c r="F345" i="44"/>
  <c r="BP77" i="42"/>
  <c r="D230" i="44"/>
  <c r="BK28" i="42"/>
  <c r="F276" i="44"/>
  <c r="AQ359" i="42"/>
  <c r="BH124" i="42"/>
  <c r="AP213" i="42"/>
  <c r="X80" i="42"/>
  <c r="BG249" i="42"/>
  <c r="BI360" i="42"/>
  <c r="BJ318" i="42"/>
  <c r="BP23" i="42"/>
  <c r="BO279" i="42"/>
  <c r="BM297" i="42"/>
  <c r="BN164" i="42"/>
  <c r="BO224" i="42"/>
  <c r="E127" i="43"/>
  <c r="AD249" i="42"/>
  <c r="BJ195" i="42"/>
  <c r="B363" i="44"/>
  <c r="C73" i="44"/>
  <c r="Y297" i="42"/>
  <c r="BK220" i="42"/>
  <c r="AQ261" i="42"/>
  <c r="BL331" i="42"/>
  <c r="BM16" i="42"/>
  <c r="C29" i="43"/>
  <c r="D346" i="40"/>
  <c r="AE100" i="42"/>
  <c r="D102" i="40"/>
  <c r="D183" i="40"/>
  <c r="BQ215" i="42"/>
  <c r="Y135" i="42"/>
  <c r="S358" i="42"/>
  <c r="AE39" i="42"/>
  <c r="C259" i="44"/>
  <c r="AD233" i="42"/>
  <c r="E248" i="44"/>
  <c r="AJ186" i="42"/>
  <c r="BH155" i="42"/>
  <c r="BJ236" i="42"/>
  <c r="G164" i="40"/>
  <c r="BF18" i="42"/>
  <c r="BH61" i="42"/>
  <c r="BM197" i="42"/>
  <c r="AQ374" i="42"/>
  <c r="BO178" i="42"/>
  <c r="AP320" i="42"/>
  <c r="D334" i="43"/>
  <c r="BP293" i="42"/>
  <c r="BR248" i="42"/>
  <c r="BG261" i="42"/>
  <c r="BR151" i="42"/>
  <c r="Y165" i="42"/>
  <c r="Y127" i="42"/>
  <c r="F244" i="44"/>
  <c r="BO100" i="42"/>
  <c r="BM250" i="42"/>
  <c r="AQ343" i="42"/>
  <c r="F180" i="40"/>
  <c r="S162" i="42"/>
  <c r="AJ57" i="42"/>
  <c r="AD16" i="42"/>
  <c r="BG92" i="42"/>
  <c r="BI282" i="42"/>
  <c r="BK349" i="42"/>
  <c r="BP15" i="42"/>
  <c r="C94" i="44"/>
  <c r="B238" i="44"/>
  <c r="D253" i="40"/>
  <c r="N358" i="43"/>
  <c r="E283" i="44"/>
  <c r="J223" i="43"/>
  <c r="AK24" i="42"/>
  <c r="K324" i="43"/>
  <c r="D162" i="44"/>
  <c r="B69" i="40"/>
  <c r="B118" i="44"/>
  <c r="C246" i="44"/>
  <c r="BH257" i="42"/>
  <c r="BJ257" i="42"/>
  <c r="E202" i="44"/>
  <c r="AJ336" i="42"/>
  <c r="BG190" i="42"/>
  <c r="BL202" i="42"/>
  <c r="BN202" i="42"/>
  <c r="BN65" i="42"/>
  <c r="BJ128" i="42"/>
  <c r="E367" i="40"/>
  <c r="D365" i="44"/>
  <c r="D24" i="44"/>
  <c r="BG375" i="42"/>
  <c r="B376" i="44"/>
  <c r="B274" i="40"/>
  <c r="D139" i="44"/>
  <c r="BG306" i="42"/>
  <c r="BF23" i="42"/>
  <c r="AQ228" i="42"/>
  <c r="AQ312" i="42"/>
  <c r="B284" i="44"/>
  <c r="B243" i="40"/>
  <c r="X339" i="42"/>
  <c r="S151" i="42"/>
  <c r="BF320" i="42"/>
  <c r="BH310" i="42"/>
  <c r="BJ82" i="42"/>
  <c r="BL169" i="42"/>
  <c r="BM333" i="42"/>
  <c r="BF267" i="42"/>
  <c r="J36" i="43"/>
  <c r="C114" i="40"/>
  <c r="C236" i="40"/>
  <c r="F202" i="43"/>
  <c r="AD135" i="42"/>
  <c r="Y31" i="42"/>
  <c r="F184" i="43"/>
  <c r="AK101" i="42"/>
  <c r="C229" i="44"/>
  <c r="B269" i="44"/>
  <c r="BP188" i="42"/>
  <c r="L264" i="43"/>
  <c r="J349" i="43"/>
  <c r="BI281" i="42"/>
  <c r="D97" i="44"/>
  <c r="BQ259" i="42"/>
  <c r="BG238" i="42"/>
  <c r="BH355" i="42"/>
  <c r="BF48" i="42"/>
  <c r="BF236" i="42"/>
  <c r="BG199" i="42"/>
  <c r="BN218" i="42"/>
  <c r="AP183" i="42"/>
  <c r="BR45" i="42"/>
  <c r="BG282" i="42"/>
  <c r="BH176" i="42"/>
  <c r="BJ132" i="42"/>
  <c r="X255" i="42"/>
  <c r="D300" i="44"/>
  <c r="AQ316" i="42"/>
  <c r="AQ79" i="42"/>
  <c r="BO155" i="42"/>
  <c r="H65" i="43"/>
  <c r="D144" i="44"/>
  <c r="BI20" i="42"/>
  <c r="BK117" i="42"/>
  <c r="X118" i="42"/>
  <c r="BG65" i="42"/>
  <c r="X125" i="42"/>
  <c r="BM352" i="42"/>
  <c r="BO252" i="42"/>
  <c r="BO323" i="42"/>
  <c r="D239" i="44"/>
  <c r="B183" i="40"/>
  <c r="F155" i="40"/>
  <c r="B31" i="44"/>
  <c r="X182" i="42"/>
  <c r="Y188" i="42"/>
  <c r="C249" i="44"/>
  <c r="BO292" i="42"/>
  <c r="M133" i="43"/>
  <c r="BG147" i="42"/>
  <c r="BO62" i="42"/>
  <c r="BF340" i="42"/>
  <c r="BO83" i="42"/>
  <c r="BP131" i="42"/>
  <c r="X144" i="42"/>
  <c r="AP123" i="42"/>
  <c r="BJ129" i="42"/>
  <c r="BK83" i="42"/>
  <c r="BR208" i="42"/>
  <c r="BO85" i="42"/>
  <c r="AJ202" i="42"/>
  <c r="AQ143" i="42"/>
  <c r="BH349" i="42"/>
  <c r="BN141" i="42"/>
  <c r="Y307" i="42"/>
  <c r="BJ362" i="42"/>
  <c r="D339" i="44"/>
  <c r="BO49" i="42"/>
  <c r="BH368" i="42"/>
  <c r="BJ121" i="42"/>
  <c r="BO142" i="42"/>
  <c r="F361" i="44"/>
  <c r="BJ56" i="42"/>
  <c r="BI74" i="42"/>
  <c r="BH139" i="42"/>
  <c r="BO264" i="42"/>
  <c r="BF265" i="42"/>
  <c r="BJ124" i="42"/>
  <c r="BI136" i="42"/>
  <c r="BN349" i="42"/>
  <c r="BL187" i="42"/>
  <c r="D87" i="40"/>
  <c r="F293" i="44"/>
  <c r="J305" i="43"/>
  <c r="K112" i="43"/>
  <c r="BQ147" i="42"/>
  <c r="BK205" i="42"/>
  <c r="BL177" i="42"/>
  <c r="BP345" i="42"/>
  <c r="BJ103" i="42"/>
  <c r="BI187" i="42"/>
  <c r="B291" i="43"/>
  <c r="BH196" i="42"/>
  <c r="BH302" i="42"/>
  <c r="BH318" i="42"/>
  <c r="BM207" i="42"/>
  <c r="S275" i="42"/>
  <c r="BF318" i="42"/>
  <c r="BH141" i="42"/>
  <c r="BJ199" i="42"/>
  <c r="X194" i="42"/>
  <c r="B345" i="44"/>
  <c r="AQ220" i="42"/>
  <c r="BG331" i="42"/>
  <c r="BL311" i="42"/>
  <c r="BN30" i="42"/>
  <c r="G22" i="40"/>
  <c r="D369" i="44"/>
  <c r="BK137" i="42"/>
  <c r="X18" i="42"/>
  <c r="B330" i="44"/>
  <c r="BJ48" i="42"/>
  <c r="BK181" i="42"/>
  <c r="X14" i="42"/>
  <c r="BF142" i="42"/>
  <c r="BN343" i="42"/>
  <c r="BR52" i="42"/>
  <c r="F93" i="44"/>
  <c r="BH288" i="42"/>
  <c r="AJ179" i="42"/>
  <c r="S296" i="42"/>
  <c r="BF331" i="42"/>
  <c r="F25" i="44"/>
  <c r="S218" i="42"/>
  <c r="C45" i="44"/>
  <c r="BQ138" i="42"/>
  <c r="BP343" i="42"/>
  <c r="J320" i="43"/>
  <c r="J245" i="43"/>
  <c r="C231" i="44"/>
  <c r="BM19" i="42"/>
  <c r="BP299" i="42"/>
  <c r="B372" i="44"/>
  <c r="F100" i="44"/>
  <c r="C35" i="44"/>
  <c r="C177" i="44"/>
  <c r="BN138" i="42"/>
  <c r="BM213" i="42"/>
  <c r="BP67" i="42"/>
  <c r="X142" i="42"/>
  <c r="BG132" i="42"/>
  <c r="X297" i="42"/>
  <c r="B170" i="44"/>
  <c r="E12" i="43"/>
  <c r="BF12" i="42"/>
  <c r="BL338" i="42"/>
  <c r="BM298" i="42"/>
  <c r="BI47" i="42"/>
  <c r="BG107" i="42"/>
  <c r="BH50" i="42"/>
  <c r="BJ200" i="42"/>
  <c r="Y245" i="42"/>
  <c r="BF120" i="42"/>
  <c r="BG348" i="42"/>
  <c r="BF186" i="42"/>
  <c r="X192" i="42"/>
  <c r="O263" i="43"/>
  <c r="BG26" i="42"/>
  <c r="BI44" i="42"/>
  <c r="X303" i="42"/>
  <c r="E348" i="40"/>
  <c r="BH229" i="42"/>
  <c r="BN251" i="42"/>
  <c r="BK206" i="42"/>
  <c r="F172" i="44"/>
  <c r="B221" i="44"/>
  <c r="BG263" i="42"/>
  <c r="AQ150" i="42"/>
  <c r="BO322" i="42"/>
  <c r="F32" i="43"/>
  <c r="BG170" i="42"/>
  <c r="BM284" i="42"/>
  <c r="BJ58" i="42"/>
  <c r="E361" i="44"/>
  <c r="AJ101" i="42"/>
  <c r="E114" i="44"/>
  <c r="AJ266" i="42"/>
  <c r="BF97" i="42"/>
  <c r="BQ196" i="42"/>
  <c r="BO333" i="42"/>
  <c r="D347" i="44"/>
  <c r="AQ252" i="42"/>
  <c r="D301" i="40"/>
  <c r="AK251" i="42"/>
  <c r="AJ187" i="42"/>
  <c r="BH184" i="42"/>
  <c r="BL282" i="42"/>
  <c r="BR319" i="42"/>
  <c r="B218" i="44"/>
  <c r="BJ194" i="42"/>
  <c r="BK72" i="42"/>
  <c r="D53" i="44"/>
  <c r="BF264" i="42"/>
  <c r="BH205" i="42"/>
  <c r="AQ60" i="42"/>
  <c r="AQ114" i="42"/>
  <c r="BM216" i="42"/>
  <c r="BO204" i="42"/>
  <c r="C164" i="44"/>
  <c r="B95" i="44"/>
  <c r="BF44" i="42"/>
  <c r="BH220" i="42"/>
  <c r="BJ311" i="42"/>
  <c r="AD116" i="42"/>
  <c r="BM267" i="42"/>
  <c r="AQ224" i="42"/>
  <c r="AQ137" i="42"/>
  <c r="BM55" i="42"/>
  <c r="BK358" i="42"/>
  <c r="BF175" i="42"/>
  <c r="BN29" i="42"/>
  <c r="F181" i="44"/>
  <c r="BR152" i="42"/>
  <c r="BN156" i="42"/>
  <c r="BM240" i="42"/>
  <c r="BJ342" i="42"/>
  <c r="AQ279" i="42"/>
  <c r="H46" i="43"/>
  <c r="B199" i="43"/>
  <c r="BR324" i="42"/>
  <c r="AE181" i="42"/>
  <c r="BN185" i="42"/>
  <c r="E207" i="40"/>
  <c r="BI168" i="42"/>
  <c r="BM22" i="42"/>
  <c r="AD146" i="42"/>
  <c r="X113" i="42"/>
  <c r="BO285" i="42"/>
  <c r="BM29" i="42"/>
  <c r="BF115" i="42"/>
  <c r="BQ154" i="42"/>
  <c r="BP43" i="42"/>
  <c r="BO61" i="42"/>
  <c r="BH314" i="42"/>
  <c r="BJ237" i="42"/>
  <c r="O329" i="43"/>
  <c r="BN286" i="42"/>
  <c r="F88" i="44"/>
  <c r="AQ355" i="42"/>
  <c r="BM86" i="42"/>
  <c r="D63" i="44"/>
  <c r="S214" i="42"/>
  <c r="BI206" i="42"/>
  <c r="AJ291" i="42"/>
  <c r="E174" i="44"/>
  <c r="BH112" i="42"/>
  <c r="BI67" i="42"/>
  <c r="BF30" i="42"/>
  <c r="BF248" i="42"/>
  <c r="AP227" i="42"/>
  <c r="AJ312" i="42"/>
  <c r="F315" i="44"/>
  <c r="BN310" i="42"/>
  <c r="AE227" i="42"/>
  <c r="D30" i="44"/>
  <c r="AE111" i="42"/>
  <c r="E301" i="40"/>
  <c r="BG253" i="42"/>
  <c r="BF361" i="42"/>
  <c r="BG52" i="42"/>
  <c r="BF36" i="42"/>
  <c r="BK54" i="42"/>
  <c r="BI36" i="42"/>
  <c r="BI166" i="42"/>
  <c r="BO13" i="42"/>
  <c r="F206" i="44"/>
  <c r="E329" i="44"/>
  <c r="X254" i="42"/>
  <c r="E95" i="44"/>
  <c r="AP79" i="42"/>
  <c r="BJ201" i="42"/>
  <c r="BK265" i="42"/>
  <c r="AP60" i="42"/>
  <c r="BG90" i="42"/>
  <c r="AQ146" i="42"/>
  <c r="BL156" i="42"/>
  <c r="BF349" i="42"/>
  <c r="X150" i="42"/>
  <c r="BJ299" i="42"/>
  <c r="BJ246" i="42"/>
  <c r="BQ351" i="42"/>
  <c r="BO275" i="42"/>
  <c r="BH370" i="42"/>
  <c r="BJ68" i="42"/>
  <c r="BR120" i="42"/>
  <c r="AQ41" i="42"/>
  <c r="AQ98" i="42"/>
  <c r="D259" i="44"/>
  <c r="AQ11" i="42"/>
  <c r="BJ20" i="42"/>
  <c r="BK260" i="42"/>
  <c r="C209" i="44"/>
  <c r="F49" i="44"/>
  <c r="AQ215" i="42"/>
  <c r="BQ371" i="42"/>
  <c r="BH236" i="42"/>
  <c r="BR117" i="42"/>
  <c r="E328" i="44"/>
  <c r="G276" i="40"/>
  <c r="G227" i="40"/>
  <c r="BH245" i="42"/>
  <c r="BI123" i="42"/>
  <c r="BG59" i="42"/>
  <c r="F310" i="40"/>
  <c r="AP150" i="42"/>
  <c r="BL364" i="42"/>
  <c r="BN360" i="42"/>
  <c r="BN134" i="42"/>
  <c r="BO145" i="42"/>
  <c r="BH214" i="42"/>
  <c r="BL270" i="42"/>
  <c r="AD186" i="42"/>
  <c r="BQ266" i="42"/>
  <c r="BO345" i="42"/>
  <c r="BN231" i="42"/>
  <c r="BI121" i="42"/>
  <c r="G44" i="40"/>
  <c r="BI24" i="42"/>
  <c r="AQ333" i="42"/>
  <c r="BR297" i="42"/>
  <c r="BM335" i="42"/>
  <c r="BF183" i="42"/>
  <c r="AQ120" i="42"/>
  <c r="F24" i="44"/>
  <c r="AQ105" i="42"/>
  <c r="BR123" i="42"/>
  <c r="C299" i="40"/>
  <c r="BQ165" i="42"/>
  <c r="AE269" i="42"/>
  <c r="BG67" i="42"/>
  <c r="BF117" i="42"/>
  <c r="B57" i="44"/>
  <c r="E109" i="40"/>
  <c r="BI274" i="42"/>
  <c r="O59" i="43"/>
  <c r="BL60" i="42"/>
  <c r="BF71" i="42"/>
  <c r="AQ66" i="42"/>
  <c r="AD290" i="42"/>
  <c r="BN341" i="42"/>
  <c r="BF327" i="42"/>
  <c r="Y83" i="42"/>
  <c r="AJ97" i="42"/>
  <c r="AQ260" i="42"/>
  <c r="BJ234" i="42"/>
  <c r="C353" i="44"/>
  <c r="BK25" i="42"/>
  <c r="BN28" i="42"/>
  <c r="C275" i="44"/>
  <c r="AP299" i="42"/>
  <c r="BN59" i="42"/>
  <c r="X86" i="42"/>
  <c r="BH117" i="42"/>
  <c r="BF369" i="42"/>
  <c r="AD201" i="42"/>
  <c r="BN165" i="42"/>
  <c r="AQ61" i="42"/>
  <c r="E148" i="43"/>
  <c r="BQ296" i="42"/>
  <c r="BO281" i="42"/>
  <c r="BJ303" i="42"/>
  <c r="E348" i="44"/>
  <c r="BF94" i="42"/>
  <c r="BL13" i="42"/>
  <c r="X57" i="42"/>
  <c r="BI165" i="42"/>
  <c r="E218" i="44"/>
  <c r="AD323" i="42"/>
  <c r="BN193" i="42"/>
  <c r="F137" i="44"/>
  <c r="BF227" i="42"/>
  <c r="BJ29" i="42"/>
  <c r="BH361" i="42"/>
  <c r="F314" i="44"/>
  <c r="B209" i="44"/>
  <c r="E184" i="44"/>
  <c r="BL184" i="42"/>
  <c r="BO77" i="42"/>
  <c r="D137" i="44"/>
  <c r="BO164" i="42"/>
  <c r="X140" i="42"/>
  <c r="BH342" i="42"/>
  <c r="BK81" i="42"/>
  <c r="AP316" i="42"/>
  <c r="BH343" i="42"/>
  <c r="BI216" i="42"/>
  <c r="BF50" i="42"/>
  <c r="AQ217" i="42"/>
  <c r="BN196" i="42"/>
  <c r="Y138" i="42"/>
  <c r="AE334" i="42"/>
  <c r="BK242" i="42"/>
  <c r="J39" i="43"/>
  <c r="AP264" i="42"/>
  <c r="BI346" i="42"/>
  <c r="BJ108" i="42"/>
  <c r="BJ66" i="42"/>
  <c r="AK357" i="42"/>
  <c r="BL307" i="42"/>
  <c r="D350" i="44"/>
  <c r="BN228" i="42"/>
  <c r="BF20" i="42"/>
  <c r="BH258" i="42"/>
  <c r="K129" i="43"/>
  <c r="BK255" i="42"/>
  <c r="BM77" i="42"/>
  <c r="B198" i="44"/>
  <c r="BI46" i="42"/>
  <c r="C338" i="43"/>
  <c r="D114" i="43"/>
  <c r="C340" i="40"/>
  <c r="BQ143" i="42"/>
  <c r="Y51" i="42"/>
  <c r="F202" i="44"/>
  <c r="D359" i="44"/>
  <c r="F195" i="44"/>
  <c r="E147" i="44"/>
  <c r="E285" i="40"/>
  <c r="X222" i="42"/>
  <c r="BL214" i="42"/>
  <c r="AQ274" i="42"/>
  <c r="C264" i="43"/>
  <c r="BK91" i="42"/>
  <c r="B334" i="44"/>
  <c r="BF46" i="42"/>
  <c r="BH372" i="42"/>
  <c r="BJ341" i="42"/>
  <c r="C40" i="44"/>
  <c r="BN189" i="42"/>
  <c r="AQ257" i="42"/>
  <c r="BM323" i="42"/>
  <c r="K173" i="43"/>
  <c r="BQ11" i="42"/>
  <c r="BG323" i="42"/>
  <c r="BI119" i="42"/>
  <c r="AD173" i="42"/>
  <c r="BQ333" i="42"/>
  <c r="AD162" i="42"/>
  <c r="BK45" i="42"/>
  <c r="BM327" i="42"/>
  <c r="F302" i="44"/>
  <c r="F275" i="44"/>
  <c r="BG268" i="42"/>
  <c r="BH137" i="42"/>
  <c r="F326" i="44"/>
  <c r="BN214" i="42"/>
  <c r="BJ312" i="42"/>
  <c r="F191" i="44"/>
  <c r="BL287" i="42"/>
  <c r="BG103" i="42"/>
  <c r="BM64" i="42"/>
  <c r="AK312" i="42"/>
  <c r="I162" i="43"/>
  <c r="AP200" i="42"/>
  <c r="BH240" i="42"/>
  <c r="BL229" i="42"/>
  <c r="E77" i="40"/>
  <c r="BG275" i="42"/>
  <c r="BO216" i="42"/>
  <c r="BK67" i="42"/>
  <c r="BK40" i="42"/>
  <c r="BQ41" i="42"/>
  <c r="E79" i="44"/>
  <c r="M129" i="43"/>
  <c r="AJ311" i="42"/>
  <c r="BH308" i="42"/>
  <c r="BI266" i="42"/>
  <c r="E160" i="44"/>
  <c r="X203" i="42"/>
  <c r="K23" i="43"/>
  <c r="BK207" i="42"/>
  <c r="BM21" i="42"/>
  <c r="AQ235" i="42"/>
  <c r="BL371" i="42"/>
  <c r="X256" i="42"/>
  <c r="AE169" i="42"/>
  <c r="X81" i="42"/>
  <c r="J216" i="43"/>
  <c r="BJ353" i="42"/>
  <c r="BK343" i="42"/>
  <c r="X280" i="42"/>
  <c r="BF218" i="42"/>
  <c r="F251" i="44"/>
  <c r="BL136" i="42"/>
  <c r="B42" i="44"/>
  <c r="AQ306" i="42"/>
  <c r="F298" i="44"/>
  <c r="H289" i="43"/>
  <c r="C320" i="44"/>
  <c r="Y36" i="42"/>
  <c r="BP233" i="42"/>
  <c r="D300" i="40"/>
  <c r="BO75" i="42"/>
  <c r="J190" i="43"/>
  <c r="F280" i="43"/>
  <c r="G144" i="40"/>
  <c r="BK105" i="42"/>
  <c r="BK226" i="42"/>
  <c r="BN149" i="42"/>
  <c r="BN139" i="42"/>
  <c r="E77" i="44"/>
  <c r="AP166" i="42"/>
  <c r="C286" i="44"/>
  <c r="B254" i="44"/>
  <c r="D342" i="44"/>
  <c r="BF292" i="42"/>
  <c r="BH348" i="42"/>
  <c r="BM47" i="42"/>
  <c r="BO129" i="42"/>
  <c r="BM374" i="42"/>
  <c r="BF326" i="42"/>
  <c r="Y43" i="42"/>
  <c r="AJ221" i="42"/>
  <c r="BO33" i="42"/>
  <c r="BH264" i="42"/>
  <c r="BJ333" i="42"/>
  <c r="Y171" i="42"/>
  <c r="BK39" i="42"/>
  <c r="BL131" i="42"/>
  <c r="BM320" i="42"/>
  <c r="BN37" i="42"/>
  <c r="BJ251" i="42"/>
  <c r="BL317" i="42"/>
  <c r="BN272" i="42"/>
  <c r="BL375" i="42"/>
  <c r="BK146" i="42"/>
  <c r="BG334" i="42"/>
  <c r="BN256" i="42"/>
  <c r="AP188" i="42"/>
  <c r="F54" i="44"/>
  <c r="O18" i="43"/>
  <c r="C199" i="44"/>
  <c r="F373" i="40"/>
  <c r="X60" i="42"/>
  <c r="E178" i="44"/>
  <c r="BH171" i="42"/>
  <c r="Y318" i="42"/>
  <c r="BG127" i="42"/>
  <c r="BH148" i="42"/>
  <c r="BR173" i="42"/>
  <c r="AQ118" i="42"/>
  <c r="BN353" i="42"/>
  <c r="AQ357" i="42"/>
  <c r="Y281" i="42"/>
  <c r="BK106" i="42"/>
  <c r="BL267" i="42"/>
  <c r="BJ60" i="42"/>
  <c r="BF252" i="42"/>
  <c r="BL113" i="42"/>
  <c r="BK300" i="42"/>
  <c r="BK208" i="42"/>
  <c r="BG72" i="42"/>
  <c r="BI134" i="42"/>
  <c r="AJ42" i="42"/>
  <c r="BL53" i="42"/>
  <c r="AJ118" i="42"/>
  <c r="BO221" i="42"/>
  <c r="B134" i="40"/>
  <c r="AQ135" i="42"/>
  <c r="AK248" i="42"/>
  <c r="BR62" i="42"/>
  <c r="B230" i="40"/>
  <c r="C372" i="44"/>
  <c r="AK194" i="42"/>
  <c r="BO117" i="42"/>
  <c r="BR342" i="42"/>
  <c r="BO74" i="42"/>
  <c r="D302" i="44"/>
  <c r="C16" i="40"/>
  <c r="BO344" i="42"/>
  <c r="AD195" i="42"/>
  <c r="BL203" i="42"/>
  <c r="BH64" i="42"/>
  <c r="BF235" i="42"/>
  <c r="AQ303" i="42"/>
  <c r="BG45" i="42"/>
  <c r="BF187" i="42"/>
  <c r="M261" i="43"/>
  <c r="BM324" i="42"/>
  <c r="AJ309" i="42"/>
  <c r="BF153" i="42"/>
  <c r="F81" i="44"/>
  <c r="BK315" i="42"/>
  <c r="BJ306" i="42"/>
  <c r="G211" i="43"/>
  <c r="BJ334" i="42"/>
  <c r="BG279" i="42"/>
  <c r="BF291" i="42"/>
  <c r="BK180" i="42"/>
  <c r="AK317" i="42"/>
  <c r="AQ71" i="42"/>
  <c r="D98" i="44"/>
  <c r="Y65" i="42"/>
  <c r="F175" i="44"/>
  <c r="BH268" i="42"/>
  <c r="BK68" i="42"/>
  <c r="BM218" i="42"/>
  <c r="BM316" i="42"/>
  <c r="BK204" i="42"/>
  <c r="F78" i="44"/>
  <c r="BF272" i="42"/>
  <c r="BO262" i="42"/>
  <c r="F230" i="44"/>
  <c r="F270" i="40"/>
  <c r="F220" i="44"/>
  <c r="F152" i="44"/>
  <c r="BO30" i="42"/>
  <c r="F347" i="40"/>
  <c r="Y274" i="42"/>
  <c r="BJ320" i="42"/>
  <c r="BM68" i="42"/>
  <c r="Y353" i="42"/>
  <c r="B342" i="44"/>
  <c r="BN90" i="42"/>
  <c r="BK47" i="42"/>
  <c r="AQ197" i="42"/>
  <c r="BO339" i="42"/>
  <c r="B105" i="44"/>
  <c r="BP109" i="42"/>
  <c r="B16" i="44"/>
  <c r="BN46" i="42"/>
  <c r="BN255" i="42"/>
  <c r="AQ331" i="42"/>
  <c r="O367" i="43"/>
  <c r="E224" i="44"/>
  <c r="AD20" i="42"/>
  <c r="BR240" i="42"/>
  <c r="BK248" i="42"/>
  <c r="E122" i="44"/>
  <c r="AP37" i="42"/>
  <c r="S233" i="42"/>
  <c r="BL356" i="42"/>
  <c r="BM57" i="42"/>
  <c r="BK276" i="42"/>
  <c r="AQ124" i="42"/>
  <c r="F203" i="44"/>
  <c r="BG252" i="42"/>
  <c r="E57" i="40"/>
  <c r="BL321" i="42"/>
  <c r="BK306" i="42"/>
  <c r="BG32" i="42"/>
  <c r="BP265" i="42"/>
  <c r="AJ44" i="42"/>
  <c r="AJ218" i="42"/>
  <c r="E372" i="44"/>
  <c r="BK292" i="42"/>
  <c r="BJ355" i="42"/>
  <c r="BH326" i="42"/>
  <c r="BI311" i="42"/>
  <c r="BF37" i="42"/>
  <c r="BP337" i="42"/>
  <c r="BO214" i="42"/>
  <c r="BQ313" i="42"/>
  <c r="BF76" i="42"/>
  <c r="BF343" i="42"/>
  <c r="AK360" i="42"/>
  <c r="BQ303" i="42"/>
  <c r="BH174" i="42"/>
  <c r="BJ328" i="42"/>
  <c r="BK61" i="42"/>
  <c r="E315" i="44"/>
  <c r="BG20" i="42"/>
  <c r="BN370" i="42"/>
  <c r="BF132" i="42"/>
  <c r="BH297" i="42"/>
  <c r="E13" i="43"/>
  <c r="AJ347" i="42"/>
  <c r="BK356" i="42"/>
  <c r="G52" i="40"/>
  <c r="BG292" i="42"/>
  <c r="B306" i="40"/>
  <c r="BQ130" i="42"/>
  <c r="BL120" i="42"/>
  <c r="BM107" i="42"/>
  <c r="BN157" i="42"/>
  <c r="AJ268" i="42"/>
  <c r="BP194" i="42"/>
  <c r="BL85" i="42"/>
  <c r="AQ337" i="42"/>
  <c r="BJ346" i="42"/>
  <c r="E75" i="44"/>
  <c r="BF231" i="42"/>
  <c r="BF372" i="42"/>
  <c r="B80" i="44"/>
  <c r="BJ307" i="42"/>
  <c r="C118" i="40"/>
  <c r="H15" i="43"/>
  <c r="BQ240" i="42"/>
  <c r="BF53" i="42"/>
  <c r="BF109" i="42"/>
  <c r="G75" i="40"/>
  <c r="B343" i="44"/>
  <c r="BF350" i="42"/>
  <c r="AP336" i="42"/>
  <c r="C207" i="40"/>
  <c r="BF15" i="42"/>
  <c r="AQ49" i="42"/>
  <c r="AE55" i="42"/>
  <c r="BQ66" i="42"/>
  <c r="BK253" i="42"/>
  <c r="BQ268" i="42"/>
  <c r="BG287" i="42"/>
  <c r="AP92" i="42"/>
  <c r="AJ262" i="42"/>
  <c r="BL181" i="42"/>
  <c r="BM98" i="42"/>
  <c r="BN295" i="42"/>
  <c r="BG289" i="42"/>
  <c r="BP82" i="42"/>
  <c r="B62" i="44"/>
  <c r="AP113" i="42"/>
  <c r="AD79" i="42"/>
  <c r="BR76" i="42"/>
  <c r="BF244" i="42"/>
  <c r="BH246" i="42"/>
  <c r="BL258" i="42"/>
  <c r="BF157" i="42"/>
  <c r="BM122" i="42"/>
  <c r="G330" i="40"/>
  <c r="AQ195" i="42"/>
  <c r="BM159" i="42"/>
  <c r="BP227" i="42"/>
  <c r="BP369" i="42"/>
  <c r="BP31" i="42"/>
  <c r="B227" i="44"/>
  <c r="BK141" i="42"/>
  <c r="BO56" i="42"/>
  <c r="BK326" i="42"/>
  <c r="BL345" i="42"/>
  <c r="E314" i="44"/>
  <c r="BO303" i="42"/>
  <c r="BO300" i="42"/>
  <c r="BO184" i="42"/>
  <c r="BO253" i="42"/>
  <c r="O250" i="43"/>
  <c r="E300" i="44"/>
  <c r="AD55" i="42"/>
  <c r="BG254" i="42"/>
  <c r="BH88" i="42"/>
  <c r="BJ137" i="42"/>
  <c r="AP325" i="42"/>
  <c r="BN129" i="42"/>
  <c r="BN229" i="42"/>
  <c r="BH285" i="42"/>
  <c r="F376" i="44"/>
  <c r="S137" i="42"/>
  <c r="BG158" i="42"/>
  <c r="BI260" i="42"/>
  <c r="BK332" i="42"/>
  <c r="D118" i="44"/>
  <c r="BG44" i="42"/>
  <c r="BL127" i="42"/>
  <c r="BM259" i="42"/>
  <c r="BN83" i="42"/>
  <c r="BG326" i="42"/>
  <c r="BG205" i="42"/>
  <c r="BF305" i="42"/>
  <c r="F98" i="44"/>
  <c r="BM113" i="42"/>
  <c r="BI188" i="42"/>
  <c r="F287" i="44"/>
  <c r="BL263" i="42"/>
  <c r="AP18" i="42"/>
  <c r="BL201" i="42"/>
  <c r="E165" i="44"/>
  <c r="L239" i="43"/>
  <c r="BM288" i="42"/>
  <c r="BK240" i="42"/>
  <c r="AP231" i="42"/>
  <c r="AQ82" i="42"/>
  <c r="E15" i="40"/>
  <c r="BN232" i="42"/>
  <c r="BM28" i="42"/>
  <c r="AD277" i="42"/>
  <c r="BK156" i="42"/>
  <c r="BM222" i="42"/>
  <c r="F288" i="44"/>
  <c r="BI263" i="42"/>
  <c r="BO258" i="42"/>
  <c r="BM256" i="42"/>
  <c r="AP373" i="42"/>
  <c r="AQ214" i="42"/>
  <c r="BL363" i="42"/>
  <c r="BG43" i="42"/>
  <c r="BF253" i="42"/>
  <c r="F57" i="44"/>
  <c r="BQ301" i="42"/>
  <c r="BL351" i="42"/>
  <c r="BO236" i="42"/>
  <c r="C25" i="44"/>
  <c r="F184" i="44"/>
  <c r="BK134" i="42"/>
  <c r="BO54" i="42"/>
  <c r="B356" i="44"/>
  <c r="B257" i="44"/>
  <c r="AQ59" i="42"/>
  <c r="BK228" i="42"/>
  <c r="BR180" i="42"/>
  <c r="AQ213" i="42"/>
  <c r="AJ156" i="42"/>
  <c r="BM177" i="42"/>
  <c r="AQ100" i="42"/>
  <c r="AJ93" i="42"/>
  <c r="BF351" i="42"/>
  <c r="BI299" i="42"/>
  <c r="BN237" i="42"/>
  <c r="AD28" i="42"/>
  <c r="BM336" i="42"/>
  <c r="F218" i="44"/>
  <c r="BP56" i="42"/>
  <c r="BN150" i="42"/>
  <c r="BL20" i="42"/>
  <c r="BM253" i="42"/>
  <c r="AD96" i="42"/>
  <c r="BG41" i="42"/>
  <c r="BO63" i="42"/>
  <c r="BH256" i="42"/>
  <c r="BO45" i="42"/>
  <c r="BR144" i="42"/>
  <c r="BI253" i="42"/>
  <c r="F249" i="44"/>
  <c r="F311" i="44"/>
  <c r="BM95" i="42"/>
  <c r="BH273" i="42"/>
  <c r="BL221" i="42"/>
  <c r="D268" i="44"/>
  <c r="BJ243" i="42"/>
  <c r="BL198" i="42"/>
  <c r="BO286" i="42"/>
  <c r="BG149" i="42"/>
  <c r="BL49" i="42"/>
  <c r="BO332" i="42"/>
  <c r="BL186" i="42"/>
  <c r="X204" i="42"/>
  <c r="AQ159" i="42"/>
  <c r="AQ161" i="42"/>
  <c r="BR115" i="42"/>
  <c r="F105" i="44"/>
  <c r="BR351" i="42"/>
  <c r="BI109" i="42"/>
  <c r="AQ166" i="42"/>
  <c r="BI285" i="42"/>
  <c r="AD129" i="42"/>
  <c r="BF256" i="42"/>
  <c r="AD105" i="42"/>
  <c r="BJ258" i="42"/>
  <c r="BI101" i="42"/>
  <c r="C165" i="43"/>
  <c r="BI37" i="42"/>
  <c r="AQ158" i="42"/>
  <c r="BJ321" i="42"/>
  <c r="BG78" i="42"/>
  <c r="BG99" i="42"/>
  <c r="BH169" i="42"/>
  <c r="BN265" i="42"/>
  <c r="BO119" i="42"/>
  <c r="F368" i="44"/>
  <c r="AP281" i="42"/>
  <c r="B375" i="44"/>
  <c r="Y144" i="42"/>
  <c r="AD246" i="42"/>
  <c r="AJ341" i="42"/>
  <c r="BG122" i="42"/>
  <c r="BI129" i="42"/>
  <c r="BL151" i="42"/>
  <c r="F243" i="44"/>
  <c r="F349" i="44"/>
  <c r="BH157" i="42"/>
  <c r="BN146" i="42"/>
  <c r="BR114" i="42"/>
  <c r="BO34" i="42"/>
  <c r="BK305" i="42"/>
  <c r="AQ29" i="42"/>
  <c r="BL97" i="42"/>
  <c r="BL90" i="42"/>
  <c r="BK178" i="42"/>
  <c r="AD286" i="42"/>
  <c r="E198" i="40"/>
  <c r="B224" i="40"/>
  <c r="BH103" i="42"/>
  <c r="F125" i="44"/>
  <c r="P90" i="43"/>
  <c r="D163" i="44"/>
  <c r="BL257" i="42"/>
  <c r="AD66" i="42"/>
  <c r="BI262" i="42"/>
  <c r="BI343" i="42"/>
  <c r="BF111" i="42"/>
  <c r="AQ173" i="42"/>
  <c r="F179" i="40"/>
  <c r="BI364" i="42"/>
  <c r="BK185" i="42"/>
  <c r="AJ267" i="42"/>
  <c r="BG288" i="42"/>
  <c r="BI193" i="42"/>
  <c r="BN330" i="42"/>
  <c r="BL241" i="42"/>
  <c r="BF67" i="42"/>
  <c r="BM373" i="42"/>
  <c r="D61" i="43"/>
  <c r="B255" i="44"/>
  <c r="BO47" i="42"/>
  <c r="BH323" i="42"/>
  <c r="BQ180" i="42"/>
  <c r="AP31" i="42"/>
  <c r="BG214" i="42"/>
  <c r="BL200" i="42"/>
  <c r="BG187" i="42"/>
  <c r="F214" i="44"/>
  <c r="BP101" i="42"/>
  <c r="BM265" i="42"/>
  <c r="BJ27" i="42"/>
  <c r="BL272" i="42"/>
  <c r="N93" i="43"/>
  <c r="BK325" i="42"/>
  <c r="BM300" i="42"/>
  <c r="BI78" i="42"/>
  <c r="AK365" i="42"/>
  <c r="BN17" i="42"/>
  <c r="F294" i="43"/>
  <c r="H221" i="43"/>
  <c r="B231" i="40"/>
  <c r="B316" i="44"/>
  <c r="BN283" i="42"/>
  <c r="BR232" i="42"/>
  <c r="BK49" i="42"/>
  <c r="BO199" i="42"/>
  <c r="BH178" i="42"/>
  <c r="BG296" i="42"/>
  <c r="BO91" i="42"/>
  <c r="F239" i="44"/>
  <c r="X66" i="42"/>
  <c r="AJ285" i="42"/>
  <c r="BF230" i="42"/>
  <c r="BH359" i="42"/>
  <c r="BR14" i="42"/>
  <c r="BP162" i="42"/>
  <c r="BG95" i="42"/>
  <c r="BM39" i="42"/>
  <c r="BH375" i="42"/>
  <c r="AQ56" i="42"/>
  <c r="F297" i="44"/>
  <c r="AK246" i="42"/>
  <c r="E56" i="40"/>
  <c r="B357" i="44"/>
  <c r="BG310" i="42"/>
  <c r="BH186" i="42"/>
  <c r="BJ211" i="42"/>
  <c r="D59" i="44"/>
  <c r="BN121" i="42"/>
  <c r="BN186" i="42"/>
  <c r="BH111" i="42"/>
  <c r="BF254" i="42"/>
  <c r="AQ185" i="42"/>
  <c r="BN143" i="42"/>
  <c r="BP47" i="42"/>
  <c r="B54" i="40"/>
  <c r="C169" i="43"/>
  <c r="BJ363" i="42"/>
  <c r="D331" i="44"/>
  <c r="AQ323" i="42"/>
  <c r="D345" i="44"/>
  <c r="BM115" i="42"/>
  <c r="F49" i="40"/>
  <c r="C93" i="44"/>
  <c r="L342" i="43"/>
  <c r="F69" i="44"/>
  <c r="F198" i="44"/>
  <c r="C44" i="44"/>
  <c r="D15" i="44"/>
  <c r="BI58" i="42"/>
  <c r="BJ298" i="42"/>
  <c r="BK291" i="42"/>
  <c r="B266" i="44"/>
  <c r="BG337" i="42"/>
  <c r="AQ96" i="42"/>
  <c r="F55" i="44"/>
  <c r="AD62" i="42"/>
  <c r="BL320" i="42"/>
  <c r="B59" i="44"/>
  <c r="BK158" i="42"/>
  <c r="AK217" i="42"/>
  <c r="BG350" i="42"/>
  <c r="BH254" i="42"/>
  <c r="D242" i="44"/>
  <c r="AQ329" i="42"/>
  <c r="BG321" i="42"/>
  <c r="BJ150" i="42"/>
  <c r="AQ351" i="42"/>
  <c r="AD317" i="42"/>
  <c r="F372" i="44"/>
  <c r="BH197" i="42"/>
  <c r="BH73" i="42"/>
  <c r="AD33" i="42"/>
  <c r="X41" i="42"/>
  <c r="BF215" i="42"/>
  <c r="BR48" i="42"/>
  <c r="BJ369" i="42"/>
  <c r="C285" i="44"/>
  <c r="BQ348" i="42"/>
  <c r="F148" i="44"/>
  <c r="BI340" i="42"/>
  <c r="BH62" i="42"/>
  <c r="BO118" i="42"/>
  <c r="BH351" i="42"/>
  <c r="BL191" i="42"/>
  <c r="BO257" i="42"/>
  <c r="BH70" i="42"/>
  <c r="BN80" i="42"/>
  <c r="BM90" i="42"/>
  <c r="BN276" i="42"/>
  <c r="AP55" i="42"/>
  <c r="BG123" i="42"/>
  <c r="BH91" i="42"/>
  <c r="F61" i="40"/>
  <c r="BF80" i="42"/>
  <c r="BM235" i="42"/>
  <c r="BN350" i="42"/>
  <c r="C235" i="43"/>
  <c r="BN259" i="42"/>
  <c r="BN224" i="42"/>
  <c r="AQ330" i="42"/>
  <c r="BM133" i="42"/>
  <c r="BK98" i="42"/>
  <c r="F140" i="44"/>
  <c r="BO127" i="42"/>
  <c r="BF14" i="42"/>
  <c r="D223" i="44"/>
  <c r="AP71" i="42"/>
  <c r="F87" i="44"/>
  <c r="BH192" i="42"/>
  <c r="BH340" i="42"/>
  <c r="BM338" i="42"/>
  <c r="BH325" i="42"/>
  <c r="F108" i="44"/>
  <c r="BK266" i="42"/>
  <c r="AE195" i="42"/>
  <c r="AQ156" i="42"/>
  <c r="BL16" i="42"/>
  <c r="BL358" i="42"/>
  <c r="B241" i="44"/>
  <c r="BO135" i="42"/>
  <c r="BG357" i="42"/>
  <c r="D169" i="44"/>
  <c r="F123" i="40"/>
  <c r="BF249" i="42"/>
  <c r="BQ126" i="42"/>
  <c r="D272" i="40"/>
  <c r="BM360" i="42"/>
  <c r="F53" i="44"/>
  <c r="AD13" i="42"/>
  <c r="BO168" i="42"/>
  <c r="AK264" i="42"/>
  <c r="BP153" i="42"/>
  <c r="AD26" i="42"/>
  <c r="BG362" i="42"/>
  <c r="BN369" i="42"/>
  <c r="S139" i="42"/>
  <c r="AQ77" i="42"/>
  <c r="C31" i="40"/>
  <c r="BN321" i="42"/>
  <c r="BN52" i="42"/>
  <c r="BL172" i="42"/>
  <c r="AJ273" i="42"/>
  <c r="AQ338" i="42"/>
  <c r="F343" i="44"/>
  <c r="AQ350" i="42"/>
  <c r="BQ262" i="42"/>
  <c r="AP30" i="42"/>
  <c r="BN293" i="42"/>
  <c r="BH147" i="42"/>
  <c r="AQ212" i="42"/>
  <c r="BG215" i="42"/>
  <c r="BK281" i="42"/>
  <c r="BF261" i="42"/>
  <c r="F333" i="44"/>
  <c r="BK262" i="42"/>
  <c r="BO161" i="42"/>
  <c r="BN69" i="42"/>
  <c r="BH331" i="42"/>
  <c r="BF348" i="42"/>
  <c r="C136" i="44"/>
  <c r="AK34" i="42"/>
  <c r="Y86" i="42"/>
  <c r="BI189" i="42"/>
  <c r="BJ351" i="42"/>
  <c r="F259" i="44"/>
  <c r="BN249" i="42"/>
  <c r="F101" i="44"/>
  <c r="BM203" i="42"/>
  <c r="D372" i="40"/>
  <c r="AD202" i="42"/>
  <c r="S344" i="42"/>
  <c r="BH194" i="42"/>
  <c r="BI100" i="42"/>
  <c r="BK135" i="42"/>
  <c r="AP28" i="42"/>
  <c r="BO39" i="42"/>
  <c r="BF312" i="42"/>
  <c r="F51" i="44"/>
  <c r="AD168" i="42"/>
  <c r="BL240" i="42"/>
  <c r="BF284" i="42"/>
  <c r="C204" i="44"/>
  <c r="BF95" i="42"/>
  <c r="BG373" i="42"/>
  <c r="BL52" i="42"/>
  <c r="BN234" i="42"/>
  <c r="BI309" i="42"/>
  <c r="I351" i="43"/>
  <c r="D22" i="43"/>
  <c r="S352" i="42"/>
  <c r="AP356" i="42"/>
  <c r="BM189" i="42"/>
  <c r="C74" i="40"/>
  <c r="AP329" i="42"/>
  <c r="BL158" i="42"/>
  <c r="BP314" i="42"/>
  <c r="BG216" i="42"/>
  <c r="BO343" i="42"/>
  <c r="BF246" i="42"/>
  <c r="AD85" i="42"/>
  <c r="X267" i="42"/>
  <c r="AJ241" i="42"/>
  <c r="BF136" i="42"/>
  <c r="BH272" i="42"/>
  <c r="BJ55" i="42"/>
  <c r="BQ324" i="42"/>
  <c r="AQ115" i="42"/>
  <c r="BL129" i="42"/>
  <c r="F299" i="44"/>
  <c r="BM72" i="42"/>
  <c r="AE337" i="42"/>
  <c r="B150" i="44"/>
  <c r="BJ99" i="42"/>
  <c r="E103" i="44"/>
  <c r="AD257" i="42"/>
  <c r="BI261" i="42"/>
  <c r="BJ227" i="42"/>
  <c r="BG56" i="42"/>
  <c r="BH190" i="42"/>
  <c r="F282" i="44"/>
  <c r="E112" i="44"/>
  <c r="BF222" i="42"/>
  <c r="BO313" i="42"/>
  <c r="BF105" i="42"/>
  <c r="AE325" i="42"/>
  <c r="BG165" i="42"/>
  <c r="BL46" i="42"/>
  <c r="F13" i="44"/>
  <c r="BF269" i="42"/>
  <c r="BQ337" i="42"/>
  <c r="Y228" i="42"/>
  <c r="E118" i="43"/>
  <c r="X188" i="42"/>
  <c r="BJ105" i="42"/>
  <c r="F245" i="44"/>
  <c r="BJ97" i="42"/>
  <c r="BP128" i="42"/>
  <c r="AQ294" i="42"/>
  <c r="G35" i="40"/>
  <c r="X306" i="42"/>
  <c r="BM12" i="42"/>
  <c r="BO27" i="42"/>
  <c r="S300" i="42"/>
  <c r="AP81" i="42"/>
  <c r="BJ98" i="42"/>
  <c r="E135" i="40"/>
  <c r="S217" i="42"/>
  <c r="BI18" i="42"/>
  <c r="BJ340" i="42"/>
  <c r="BG35" i="42"/>
  <c r="BI150" i="42"/>
  <c r="F201" i="44"/>
  <c r="AQ101" i="42"/>
  <c r="BR160" i="42"/>
  <c r="AP85" i="42"/>
  <c r="BH136" i="42"/>
  <c r="BI85" i="42"/>
  <c r="BK166" i="42"/>
  <c r="E40" i="40"/>
  <c r="BG181" i="42"/>
  <c r="AQ102" i="42"/>
  <c r="F128" i="44"/>
  <c r="BK103" i="42"/>
  <c r="AP164" i="42"/>
  <c r="AQ332" i="42"/>
  <c r="BN184" i="42"/>
  <c r="E344" i="40"/>
  <c r="BR285" i="42"/>
  <c r="BR190" i="42"/>
  <c r="BG178" i="42"/>
  <c r="BG242" i="42"/>
  <c r="F257" i="44"/>
  <c r="BG233" i="42"/>
  <c r="BF314" i="42"/>
  <c r="BP313" i="42"/>
  <c r="BH213" i="42"/>
  <c r="BH36" i="42"/>
  <c r="BL298" i="42"/>
  <c r="BO250" i="42"/>
  <c r="AP255" i="42"/>
  <c r="BJ203" i="42"/>
  <c r="BK211" i="42"/>
  <c r="C140" i="44"/>
  <c r="BG29" i="42"/>
  <c r="BI365" i="42"/>
  <c r="BK36" i="42"/>
  <c r="AQ16" i="42"/>
  <c r="BN242" i="42"/>
  <c r="BL61" i="42"/>
  <c r="C242" i="43"/>
  <c r="AD112" i="42"/>
  <c r="BO206" i="42"/>
  <c r="BH371" i="42"/>
  <c r="BJ183" i="42"/>
  <c r="BR59" i="42"/>
  <c r="AD231" i="42"/>
  <c r="BF287" i="42"/>
  <c r="BK199" i="42"/>
  <c r="BM37" i="42"/>
  <c r="H230" i="43"/>
  <c r="B372" i="40"/>
  <c r="BF62" i="42"/>
  <c r="D103" i="44"/>
  <c r="BK237" i="42"/>
  <c r="BJ111" i="42"/>
  <c r="BF302" i="42"/>
  <c r="BI108" i="42"/>
  <c r="L325" i="43"/>
  <c r="BN289" i="42"/>
  <c r="BR197" i="42"/>
  <c r="F280" i="44"/>
  <c r="AD54" i="42"/>
  <c r="BH347" i="42"/>
  <c r="BO114" i="42"/>
  <c r="F121" i="44"/>
  <c r="BF339" i="42"/>
  <c r="BF170" i="42"/>
  <c r="BF52" i="42"/>
  <c r="C251" i="44"/>
  <c r="AK132" i="42"/>
  <c r="BN211" i="42"/>
  <c r="AD344" i="42"/>
  <c r="BK348" i="42"/>
  <c r="F123" i="44"/>
  <c r="C58" i="44"/>
  <c r="BJ254" i="42"/>
  <c r="F95" i="44"/>
  <c r="BN174" i="42"/>
  <c r="BG328" i="42"/>
  <c r="BI27" i="42"/>
  <c r="D34" i="44"/>
  <c r="BF281" i="42"/>
  <c r="BL15" i="42"/>
  <c r="Y340" i="42"/>
  <c r="AP118" i="42"/>
  <c r="BH369" i="42"/>
  <c r="AQ14" i="42"/>
  <c r="BR263" i="42"/>
  <c r="AJ363" i="42"/>
  <c r="BN261" i="42"/>
  <c r="BI229" i="42"/>
  <c r="BG241" i="42"/>
  <c r="BO68" i="42"/>
  <c r="BO307" i="42"/>
  <c r="X175" i="42"/>
  <c r="BF293" i="42"/>
  <c r="BM34" i="42"/>
  <c r="BO109" i="42"/>
  <c r="C238" i="44"/>
  <c r="BL73" i="42"/>
  <c r="BQ160" i="42"/>
  <c r="BG251" i="42"/>
  <c r="F284" i="44"/>
  <c r="BG318" i="42"/>
  <c r="BG300" i="42"/>
  <c r="BF325" i="42"/>
  <c r="BN194" i="42"/>
  <c r="BQ347" i="42"/>
  <c r="BK57" i="42"/>
  <c r="AJ223" i="42"/>
  <c r="BM137" i="42"/>
  <c r="BQ47" i="42"/>
  <c r="BR64" i="42"/>
  <c r="S106" i="42"/>
  <c r="E263" i="44"/>
  <c r="AP195" i="42"/>
  <c r="BO370" i="42"/>
  <c r="AQ57" i="42"/>
  <c r="BP333" i="42"/>
  <c r="BL234" i="42"/>
  <c r="BG285" i="42"/>
  <c r="BL308" i="42"/>
  <c r="AQ297" i="42"/>
  <c r="AQ269" i="42"/>
  <c r="BQ297" i="42"/>
  <c r="BM358" i="42"/>
  <c r="F149" i="44"/>
  <c r="F42" i="44"/>
  <c r="BQ69" i="42"/>
  <c r="BG352" i="42"/>
  <c r="F180" i="44"/>
  <c r="BP260" i="42"/>
  <c r="BO314" i="42"/>
  <c r="BG124" i="42"/>
  <c r="BO277" i="42"/>
  <c r="BO329" i="42"/>
  <c r="C223" i="44"/>
  <c r="D110" i="44"/>
  <c r="AP288" i="42"/>
  <c r="C185" i="44"/>
  <c r="BL96" i="42"/>
  <c r="F329" i="44"/>
  <c r="BN49" i="42"/>
  <c r="BN296" i="42"/>
  <c r="AJ41" i="42"/>
  <c r="X120" i="42"/>
  <c r="BJ252" i="42"/>
  <c r="BK193" i="42"/>
  <c r="X371" i="42"/>
  <c r="BO124" i="42"/>
  <c r="BH309" i="42"/>
  <c r="AQ35" i="42"/>
  <c r="AQ334" i="42"/>
  <c r="BM192" i="42"/>
  <c r="B282" i="44"/>
  <c r="BF315" i="42"/>
  <c r="BF271" i="42"/>
  <c r="AQ123" i="42"/>
  <c r="AD343" i="42"/>
  <c r="BO201" i="42"/>
  <c r="BF42" i="42"/>
  <c r="BN206" i="42"/>
  <c r="E100" i="44"/>
  <c r="B147" i="44"/>
  <c r="AE109" i="42"/>
  <c r="O338" i="43"/>
  <c r="B125" i="44"/>
  <c r="BL300" i="42"/>
  <c r="D100" i="44"/>
  <c r="BK323" i="42"/>
  <c r="BL350" i="42"/>
  <c r="B148" i="44"/>
  <c r="BK59" i="42"/>
  <c r="F60" i="44"/>
  <c r="AQ133" i="42"/>
  <c r="C46" i="40"/>
  <c r="BQ181" i="42"/>
  <c r="BH260" i="42"/>
  <c r="BJ264" i="42"/>
  <c r="AP116" i="42"/>
  <c r="B133" i="44"/>
  <c r="S270" i="42"/>
  <c r="F96" i="44"/>
  <c r="BM292" i="42"/>
  <c r="BM147" i="42"/>
  <c r="BM349" i="42"/>
  <c r="C236" i="43"/>
  <c r="BR155" i="42"/>
  <c r="E148" i="44"/>
  <c r="AP121" i="42"/>
  <c r="BJ95" i="42"/>
  <c r="BK341" i="42"/>
  <c r="D291" i="44"/>
  <c r="BI65" i="42"/>
  <c r="BL64" i="42"/>
  <c r="BM341" i="42"/>
  <c r="BH230" i="42"/>
  <c r="AQ291" i="42"/>
  <c r="AQ352" i="42"/>
  <c r="BM342" i="42"/>
  <c r="B364" i="44"/>
  <c r="BR349" i="42"/>
  <c r="BG42" i="42"/>
  <c r="AQ199" i="42"/>
  <c r="C67" i="44"/>
  <c r="D108" i="43"/>
  <c r="K201" i="43"/>
  <c r="B330" i="40"/>
  <c r="D241" i="44"/>
  <c r="BH182" i="42"/>
  <c r="BO334" i="42"/>
  <c r="BG188" i="42"/>
  <c r="BG87" i="42"/>
  <c r="F234" i="44"/>
  <c r="BJ114" i="42"/>
  <c r="BJ208" i="42"/>
  <c r="BI118" i="42"/>
  <c r="BL178" i="42"/>
  <c r="AE304" i="42"/>
  <c r="B110" i="44"/>
  <c r="C72" i="40"/>
  <c r="G278" i="43"/>
  <c r="BK126" i="42"/>
  <c r="BK176" i="42"/>
  <c r="E245" i="44"/>
  <c r="BJ331" i="42"/>
  <c r="BL45" i="42"/>
  <c r="BM30" i="42"/>
  <c r="BF65" i="42"/>
  <c r="AJ199" i="42"/>
  <c r="BJ247" i="42"/>
  <c r="BK246" i="42"/>
  <c r="C57" i="44"/>
  <c r="BG347" i="42"/>
  <c r="BH98" i="42"/>
  <c r="BJ284" i="42"/>
  <c r="AQ258" i="42"/>
  <c r="BM87" i="42"/>
  <c r="BL264" i="42"/>
  <c r="BH366" i="42"/>
  <c r="BM44" i="42"/>
  <c r="AP61" i="42"/>
  <c r="D193" i="43"/>
  <c r="B72" i="40"/>
  <c r="C334" i="44"/>
  <c r="AP304" i="42"/>
  <c r="E277" i="44"/>
  <c r="M75" i="43"/>
  <c r="BR304" i="42"/>
  <c r="BN303" i="42"/>
  <c r="M127" i="43"/>
  <c r="BJ37" i="42"/>
  <c r="BJ144" i="42"/>
  <c r="BL218" i="42"/>
  <c r="BN333" i="42"/>
  <c r="X343" i="42"/>
  <c r="AJ23" i="42"/>
  <c r="BO41" i="42"/>
  <c r="BH129" i="42"/>
  <c r="BJ78" i="42"/>
  <c r="B29" i="44"/>
  <c r="BF240" i="42"/>
  <c r="BM78" i="42"/>
  <c r="BN105" i="42"/>
  <c r="BO316" i="42"/>
  <c r="AD255" i="42"/>
  <c r="BQ60" i="42"/>
  <c r="BJ69" i="42"/>
  <c r="AJ47" i="42"/>
  <c r="D78" i="44"/>
  <c r="BP159" i="42"/>
  <c r="BK355" i="42"/>
  <c r="AQ360" i="42"/>
  <c r="BL227" i="42"/>
  <c r="BM82" i="42"/>
  <c r="AD172" i="42"/>
  <c r="B106" i="43"/>
  <c r="F213" i="44"/>
  <c r="BJ356" i="42"/>
  <c r="AQ272" i="42"/>
  <c r="BG91" i="42"/>
  <c r="BH248" i="42"/>
  <c r="F76" i="44"/>
  <c r="C193" i="44"/>
  <c r="B333" i="44"/>
  <c r="E104" i="44"/>
  <c r="BI83" i="42"/>
  <c r="F153" i="44"/>
  <c r="C271" i="44"/>
  <c r="F130" i="44"/>
  <c r="S354" i="42"/>
  <c r="B154" i="44"/>
  <c r="BN287" i="42"/>
  <c r="BM42" i="42"/>
  <c r="BP64" i="42"/>
  <c r="C318" i="44"/>
  <c r="BN364" i="42"/>
  <c r="B96" i="44"/>
  <c r="F35" i="44"/>
  <c r="BF167" i="42"/>
  <c r="F235" i="44"/>
  <c r="BO254" i="42"/>
  <c r="F187" i="44"/>
  <c r="B260" i="44"/>
  <c r="BN60" i="42"/>
  <c r="BO306" i="42"/>
  <c r="AK261" i="42"/>
  <c r="BO90" i="42"/>
  <c r="BF11" i="42"/>
  <c r="Y58" i="42"/>
  <c r="C123" i="44"/>
  <c r="F133" i="44"/>
  <c r="C295" i="44"/>
  <c r="AD189" i="42"/>
  <c r="E207" i="43"/>
  <c r="BO58" i="42"/>
  <c r="F158" i="44"/>
  <c r="B297" i="44"/>
  <c r="BI96" i="42"/>
  <c r="H310" i="43"/>
  <c r="B348" i="44"/>
  <c r="BN151" i="42"/>
  <c r="BM258" i="42"/>
  <c r="BF200" i="42"/>
  <c r="BG180" i="42"/>
  <c r="BM275" i="42"/>
  <c r="BR211" i="42"/>
  <c r="F309" i="44"/>
  <c r="BN337" i="42"/>
  <c r="AQ168" i="42"/>
  <c r="BR311" i="42"/>
  <c r="B272" i="44"/>
  <c r="BF122" i="42"/>
  <c r="AK241" i="42"/>
  <c r="BG257" i="42"/>
  <c r="BG367" i="42"/>
  <c r="H186" i="43"/>
  <c r="BJ61" i="42"/>
  <c r="BP40" i="42"/>
  <c r="D94" i="44"/>
  <c r="BI319" i="42"/>
  <c r="AQ147" i="42"/>
  <c r="F16" i="44"/>
  <c r="BF99" i="42"/>
  <c r="B169" i="44"/>
  <c r="BL348" i="42"/>
  <c r="D179" i="44"/>
  <c r="BF278" i="42"/>
  <c r="F373" i="44"/>
  <c r="BM93" i="42"/>
  <c r="BO218" i="42"/>
  <c r="BN21" i="42"/>
  <c r="BM158" i="42"/>
  <c r="AD117" i="42"/>
  <c r="BK259" i="42"/>
  <c r="F72" i="44"/>
  <c r="F145" i="40"/>
  <c r="BM277" i="42"/>
  <c r="AQ91" i="42"/>
  <c r="AJ39" i="42"/>
  <c r="BF338" i="42"/>
  <c r="AE27" i="42"/>
  <c r="E269" i="44"/>
  <c r="BK352" i="42"/>
  <c r="AP29" i="42"/>
  <c r="BL59" i="42"/>
  <c r="AE371" i="42"/>
  <c r="BI363" i="42"/>
  <c r="AE221" i="42"/>
  <c r="E307" i="44"/>
  <c r="BI61" i="42"/>
  <c r="BN66" i="42"/>
  <c r="AQ109" i="42"/>
  <c r="D373" i="44"/>
  <c r="F286" i="44"/>
  <c r="B188" i="44"/>
  <c r="BN25" i="42"/>
  <c r="AQ319" i="42"/>
  <c r="AQ188" i="42"/>
  <c r="AJ226" i="42"/>
  <c r="BL248" i="42"/>
  <c r="BJ329" i="42"/>
  <c r="BO104" i="42"/>
  <c r="AQ358" i="42"/>
  <c r="BK100" i="42"/>
  <c r="E137" i="43"/>
  <c r="BI128" i="42"/>
  <c r="BF121" i="42"/>
  <c r="BF311" i="42"/>
  <c r="C139" i="40"/>
  <c r="BI68" i="42"/>
  <c r="BI323" i="42"/>
  <c r="AJ122" i="42"/>
  <c r="BI353" i="42"/>
  <c r="BH107" i="42"/>
  <c r="F43" i="43"/>
  <c r="BM111" i="42"/>
  <c r="AQ40" i="42"/>
  <c r="BN245" i="42"/>
  <c r="BJ59" i="42"/>
  <c r="B194" i="43"/>
  <c r="BK333" i="42"/>
  <c r="AD167" i="42"/>
  <c r="BO94" i="42"/>
  <c r="BH198" i="42"/>
  <c r="BJ73" i="42"/>
  <c r="N316" i="43"/>
  <c r="BM251" i="42"/>
  <c r="AD365" i="42"/>
  <c r="BM234" i="42"/>
  <c r="BG61" i="42"/>
  <c r="BM53" i="42"/>
  <c r="AQ202" i="42"/>
  <c r="BJ178" i="42"/>
  <c r="BH338" i="42"/>
  <c r="AQ276" i="42"/>
  <c r="BF332" i="42"/>
  <c r="B68" i="40"/>
  <c r="BJ319" i="42"/>
  <c r="G162" i="40"/>
  <c r="AK159" i="42"/>
  <c r="AJ212" i="42"/>
  <c r="BJ313" i="42"/>
  <c r="BK298" i="42"/>
  <c r="B157" i="44"/>
  <c r="BJ43" i="42"/>
  <c r="BN102" i="42"/>
  <c r="AD350" i="42"/>
  <c r="AE348" i="42"/>
  <c r="BM175" i="42"/>
  <c r="AQ130" i="42"/>
  <c r="F26" i="40"/>
  <c r="AJ264" i="42"/>
  <c r="S289" i="42"/>
  <c r="AD259" i="42"/>
  <c r="BG351" i="42"/>
  <c r="X102" i="42"/>
  <c r="BQ124" i="42"/>
  <c r="BM269" i="42"/>
  <c r="BN306" i="42"/>
  <c r="BO20" i="42"/>
  <c r="BK280" i="42"/>
  <c r="G225" i="40"/>
  <c r="BP195" i="42"/>
  <c r="S16" i="42"/>
  <c r="E268" i="44"/>
  <c r="AP25" i="42"/>
  <c r="BO267" i="42"/>
  <c r="BH89" i="42"/>
  <c r="BH278" i="42"/>
  <c r="BI171" i="42"/>
  <c r="AQ181" i="42"/>
  <c r="X347" i="42"/>
  <c r="AQ69" i="42"/>
  <c r="BO342" i="42"/>
  <c r="BN64" i="42"/>
  <c r="BG239" i="42"/>
  <c r="BN236" i="42"/>
  <c r="AQ340" i="42"/>
  <c r="BG28" i="42"/>
  <c r="BH271" i="42"/>
  <c r="M325" i="43"/>
  <c r="E21" i="40"/>
  <c r="X42" i="42"/>
  <c r="C187" i="44"/>
  <c r="X318" i="42"/>
  <c r="BF259" i="42"/>
  <c r="X153" i="42"/>
  <c r="B234" i="44"/>
  <c r="P92" i="43"/>
  <c r="C146" i="44"/>
  <c r="X165" i="42"/>
  <c r="BL305" i="42"/>
  <c r="BF152" i="42"/>
  <c r="D46" i="44"/>
  <c r="Y370" i="42"/>
  <c r="E285" i="44"/>
  <c r="G48" i="40"/>
  <c r="F50" i="40"/>
  <c r="BG312" i="42"/>
  <c r="BI324" i="42"/>
  <c r="AE138" i="42"/>
  <c r="BJ292" i="42"/>
  <c r="AQ95" i="42"/>
  <c r="BG358" i="42"/>
  <c r="D359" i="40"/>
  <c r="BQ233" i="42"/>
  <c r="BF273" i="42"/>
  <c r="BH337" i="42"/>
  <c r="BJ241" i="42"/>
  <c r="AP122" i="42"/>
  <c r="BF134" i="42"/>
  <c r="BM33" i="42"/>
  <c r="BN115" i="42"/>
  <c r="BF258" i="42"/>
  <c r="AJ190" i="42"/>
  <c r="AQ243" i="42"/>
  <c r="BG361" i="42"/>
  <c r="C266" i="44"/>
  <c r="C58" i="40"/>
  <c r="AD282" i="42"/>
  <c r="AJ242" i="42"/>
  <c r="BN344" i="42"/>
  <c r="B110" i="40"/>
  <c r="AD239" i="42"/>
  <c r="BM246" i="42"/>
  <c r="D269" i="44"/>
  <c r="BH352" i="42"/>
  <c r="BH255" i="42"/>
  <c r="BO69" i="42"/>
  <c r="AQ264" i="42"/>
  <c r="B164" i="44"/>
  <c r="BH252" i="42"/>
  <c r="BJ123" i="42"/>
  <c r="B280" i="44"/>
  <c r="X54" i="42"/>
  <c r="BG113" i="42"/>
  <c r="BM219" i="42"/>
  <c r="F40" i="44"/>
  <c r="BN103" i="42"/>
  <c r="G173" i="40"/>
  <c r="B290" i="43"/>
  <c r="BQ77" i="42"/>
  <c r="AE193" i="42"/>
  <c r="BG335" i="42"/>
  <c r="C222" i="40"/>
  <c r="X26" i="42"/>
  <c r="B79" i="44"/>
  <c r="B73" i="44"/>
  <c r="BO189" i="42"/>
  <c r="BL37" i="42"/>
  <c r="AD77" i="42"/>
  <c r="BM18" i="42"/>
  <c r="BM306" i="42"/>
  <c r="BN39" i="42"/>
  <c r="BQ218" i="42"/>
  <c r="C267" i="44"/>
  <c r="F215" i="44"/>
  <c r="D280" i="44"/>
  <c r="E59" i="44"/>
  <c r="E286" i="44"/>
  <c r="X180" i="42"/>
  <c r="BL310" i="42"/>
  <c r="BM241" i="42"/>
  <c r="E45" i="40"/>
  <c r="BF197" i="42"/>
  <c r="X141" i="42"/>
  <c r="BJ145" i="42"/>
  <c r="F229" i="44"/>
  <c r="BM104" i="42"/>
  <c r="AJ140" i="42"/>
  <c r="BJ259" i="42"/>
  <c r="BM228" i="42"/>
  <c r="BQ201" i="42"/>
  <c r="BL56" i="42"/>
  <c r="BO181" i="42"/>
  <c r="BN248" i="42"/>
  <c r="BK297" i="42"/>
  <c r="BM282" i="42"/>
  <c r="BF148" i="42"/>
  <c r="BO331" i="42"/>
  <c r="BH282" i="42"/>
  <c r="BJ228" i="42"/>
  <c r="E96" i="44"/>
  <c r="BF368" i="42"/>
  <c r="BF51" i="42"/>
  <c r="I349" i="43"/>
  <c r="BF268" i="42"/>
  <c r="F23" i="44"/>
  <c r="B351" i="40"/>
  <c r="X305" i="42"/>
  <c r="F369" i="44"/>
  <c r="BL83" i="42"/>
  <c r="B340" i="44"/>
  <c r="BN299" i="42"/>
  <c r="BQ33" i="42"/>
  <c r="BJ280" i="42"/>
  <c r="F36" i="44"/>
  <c r="BM11" i="42"/>
  <c r="BN241" i="42"/>
  <c r="BO42" i="42"/>
  <c r="F346" i="44"/>
  <c r="D148" i="44"/>
  <c r="BL150" i="42"/>
  <c r="BN356" i="42"/>
  <c r="F12" i="44"/>
  <c r="AK327" i="42"/>
  <c r="BF82" i="42"/>
  <c r="BJ214" i="42"/>
  <c r="O325" i="43"/>
  <c r="D73" i="44"/>
  <c r="E296" i="44"/>
  <c r="BQ251" i="42"/>
  <c r="BI233" i="42"/>
  <c r="AQ244" i="42"/>
  <c r="BI42" i="42"/>
  <c r="BG130" i="42"/>
  <c r="F258" i="44"/>
  <c r="BO188" i="42"/>
  <c r="BL87" i="42"/>
  <c r="BI312" i="42"/>
  <c r="AJ248" i="42"/>
  <c r="BI38" i="42"/>
  <c r="AQ304" i="42"/>
  <c r="BM309" i="42"/>
  <c r="J72" i="43"/>
  <c r="X88" i="42"/>
  <c r="BN128" i="42"/>
  <c r="AE324" i="42"/>
  <c r="G140" i="40"/>
  <c r="X262" i="42"/>
  <c r="BG271" i="42"/>
  <c r="BI211" i="42"/>
  <c r="BO32" i="42"/>
  <c r="C356" i="44"/>
  <c r="BO268" i="42"/>
  <c r="AQ12" i="42"/>
  <c r="B44" i="44"/>
  <c r="BP70" i="42"/>
  <c r="BF282" i="42"/>
  <c r="X19" i="42"/>
  <c r="G222" i="40"/>
  <c r="BJ101" i="42"/>
  <c r="BH207" i="42"/>
  <c r="AP151" i="42"/>
  <c r="BI230" i="42"/>
  <c r="B76" i="44"/>
  <c r="BK316" i="42"/>
  <c r="X220" i="42"/>
  <c r="AP112" i="42"/>
  <c r="F39" i="44"/>
  <c r="BL141" i="42"/>
  <c r="BL100" i="42"/>
  <c r="D309" i="44"/>
  <c r="B47" i="44"/>
  <c r="AJ35" i="42"/>
  <c r="BG212" i="42"/>
  <c r="BJ343" i="42"/>
  <c r="BK233" i="42"/>
  <c r="B20" i="44"/>
  <c r="BG291" i="42"/>
  <c r="BN145" i="42"/>
  <c r="BO283" i="42"/>
  <c r="BH276" i="42"/>
  <c r="C373" i="44"/>
  <c r="BL152" i="42"/>
  <c r="BM24" i="42"/>
  <c r="BN318" i="42"/>
  <c r="AP369" i="42"/>
  <c r="BM362" i="42"/>
  <c r="BL313" i="42"/>
  <c r="Y112" i="42"/>
  <c r="BG17" i="42"/>
  <c r="C234" i="44"/>
  <c r="C265" i="40"/>
  <c r="F177" i="40"/>
  <c r="X369" i="42"/>
  <c r="E304" i="40"/>
  <c r="AD357" i="42"/>
  <c r="BG82" i="42"/>
  <c r="BN362" i="42"/>
  <c r="BK80" i="42"/>
  <c r="BK93" i="42"/>
  <c r="BK37" i="42"/>
  <c r="BM245" i="42"/>
  <c r="D372" i="44"/>
  <c r="B32" i="43"/>
  <c r="BG76" i="42"/>
  <c r="BI110" i="42"/>
  <c r="AJ81" i="42"/>
  <c r="S238" i="42"/>
  <c r="BH180" i="42"/>
  <c r="AQ88" i="42"/>
  <c r="BK183" i="42"/>
  <c r="AQ74" i="42"/>
  <c r="BL132" i="42"/>
  <c r="X357" i="42"/>
  <c r="AP311" i="42"/>
  <c r="X178" i="42"/>
  <c r="BG274" i="42"/>
  <c r="BH217" i="42"/>
  <c r="BJ67" i="42"/>
  <c r="X24" i="42"/>
  <c r="BO115" i="42"/>
  <c r="BO375" i="42"/>
  <c r="BK177" i="42"/>
  <c r="BJ106" i="42"/>
  <c r="BN119" i="42"/>
  <c r="BN72" i="42"/>
  <c r="BF219" i="42"/>
  <c r="BK269" i="42"/>
  <c r="BF41" i="42"/>
  <c r="AQ242" i="42"/>
  <c r="BK34" i="42"/>
  <c r="BR71" i="42"/>
  <c r="BP53" i="42"/>
  <c r="BR327" i="42"/>
  <c r="D185" i="44"/>
  <c r="B229" i="44"/>
  <c r="G210" i="40"/>
  <c r="BO190" i="42"/>
  <c r="B275" i="44"/>
  <c r="BN222" i="42"/>
  <c r="D175" i="44"/>
  <c r="BJ38" i="42"/>
  <c r="BI358" i="42"/>
  <c r="BI198" i="42"/>
  <c r="BI25" i="42"/>
  <c r="D332" i="40"/>
  <c r="AK211" i="42"/>
  <c r="B314" i="44"/>
  <c r="BH41" i="42"/>
  <c r="BH231" i="42"/>
  <c r="BJ87" i="42"/>
  <c r="D250" i="44"/>
  <c r="BO65" i="42"/>
  <c r="BF113" i="42"/>
  <c r="BR22" i="42"/>
  <c r="AQ301" i="42"/>
  <c r="B110" i="43"/>
  <c r="BH149" i="42"/>
  <c r="BJ297" i="42"/>
  <c r="F90" i="40"/>
  <c r="AJ299" i="42"/>
  <c r="BG126" i="42"/>
  <c r="BM355" i="42"/>
  <c r="AQ129" i="42"/>
  <c r="BN357" i="42"/>
  <c r="BK128" i="42"/>
  <c r="BJ308" i="42"/>
  <c r="BG189" i="42"/>
  <c r="AQ25" i="42"/>
  <c r="X103" i="42"/>
  <c r="F173" i="43"/>
  <c r="BQ364" i="42"/>
  <c r="C221" i="44"/>
  <c r="BM257" i="42"/>
  <c r="AD140" i="42"/>
  <c r="BI204" i="42"/>
  <c r="BL142" i="42"/>
  <c r="B318" i="44"/>
  <c r="BQ204" i="42"/>
  <c r="BN195" i="42"/>
  <c r="AQ256" i="42"/>
  <c r="BM99" i="42"/>
  <c r="AP273" i="42"/>
  <c r="E265" i="44"/>
  <c r="AD241" i="42"/>
  <c r="BG39" i="42"/>
  <c r="BI251" i="42"/>
  <c r="X126" i="42"/>
  <c r="BL268" i="42"/>
  <c r="C14" i="44"/>
  <c r="F89" i="44"/>
  <c r="BL283" i="42"/>
  <c r="S210" i="42"/>
  <c r="E220" i="40"/>
  <c r="BI310" i="42"/>
  <c r="C341" i="44"/>
  <c r="B309" i="44"/>
  <c r="BH125" i="42"/>
  <c r="BH204" i="42"/>
  <c r="BF165" i="42"/>
  <c r="BO365" i="42"/>
  <c r="BI333" i="42"/>
  <c r="BQ223" i="42"/>
  <c r="BH365" i="42"/>
  <c r="BN13" i="42"/>
  <c r="BG134" i="42"/>
  <c r="B158" i="44"/>
  <c r="BL285" i="42"/>
  <c r="BH45" i="42"/>
  <c r="F142" i="44"/>
  <c r="BG177" i="42"/>
  <c r="F148" i="40"/>
  <c r="C375" i="44"/>
  <c r="BQ114" i="42"/>
  <c r="F124" i="44"/>
  <c r="BI19" i="42"/>
  <c r="F371" i="44"/>
  <c r="AP331" i="42"/>
  <c r="BH274" i="42"/>
  <c r="BG269" i="42"/>
  <c r="BN373" i="42"/>
  <c r="BF250" i="42"/>
  <c r="BI259" i="42"/>
  <c r="BF139" i="42"/>
  <c r="BO272" i="42"/>
  <c r="B225" i="44"/>
  <c r="AQ262" i="42"/>
  <c r="BI250" i="42"/>
  <c r="BH160" i="42"/>
  <c r="BO71" i="42"/>
  <c r="F260" i="44"/>
  <c r="BM364" i="42"/>
  <c r="BH60" i="42"/>
  <c r="BK271" i="42"/>
  <c r="AQ142" i="42"/>
  <c r="D99" i="44"/>
  <c r="X309" i="42"/>
  <c r="BM326" i="42"/>
  <c r="D303" i="44"/>
  <c r="BF217" i="42"/>
  <c r="D25" i="43"/>
  <c r="AJ113" i="42"/>
  <c r="I131" i="43"/>
  <c r="F247" i="44"/>
  <c r="BH51" i="42"/>
  <c r="BL274" i="42"/>
  <c r="AP97" i="42"/>
  <c r="BG179" i="42"/>
  <c r="BO64" i="42"/>
  <c r="BL146" i="42"/>
  <c r="AQ152" i="42"/>
  <c r="BI222" i="42"/>
  <c r="BN76" i="42"/>
  <c r="BK252" i="42"/>
  <c r="BG164" i="42"/>
  <c r="BL161" i="42"/>
  <c r="BM59" i="42"/>
  <c r="B149" i="44"/>
  <c r="BF75" i="42"/>
  <c r="BM97" i="42"/>
  <c r="B116" i="44"/>
  <c r="BM52" i="42"/>
  <c r="BH166" i="42"/>
  <c r="BQ243" i="42"/>
  <c r="BF98" i="42"/>
  <c r="BL293" i="42"/>
  <c r="BO361" i="42"/>
  <c r="G336" i="40"/>
  <c r="F68" i="40"/>
  <c r="AP38" i="42"/>
  <c r="BN210" i="42"/>
  <c r="BK82" i="42"/>
  <c r="BP221" i="42"/>
  <c r="BG71" i="42"/>
  <c r="BK215" i="42"/>
  <c r="BM183" i="42"/>
  <c r="AD213" i="42"/>
  <c r="BH211" i="42"/>
  <c r="AQ17" i="42"/>
  <c r="F126" i="40"/>
  <c r="BI270" i="42"/>
  <c r="BK273" i="42"/>
  <c r="BH22" i="42"/>
  <c r="BF223" i="42"/>
  <c r="B17" i="44"/>
  <c r="B144" i="44"/>
  <c r="BM126" i="42"/>
  <c r="BI76" i="42"/>
  <c r="E97" i="44"/>
  <c r="AD138" i="42"/>
  <c r="BH42" i="42"/>
  <c r="C109" i="44"/>
  <c r="C212" i="43"/>
  <c r="BI223" i="42"/>
  <c r="F318" i="44"/>
  <c r="BH235" i="42"/>
  <c r="BH19" i="42"/>
  <c r="AP367" i="42"/>
  <c r="BK154" i="42"/>
  <c r="BQ328" i="42"/>
  <c r="F292" i="44"/>
  <c r="BH152" i="42"/>
  <c r="BL237" i="42"/>
  <c r="BL318" i="42"/>
  <c r="AJ229" i="42"/>
  <c r="BI97" i="42"/>
  <c r="BK331" i="42"/>
  <c r="AD93" i="42"/>
  <c r="BG18" i="42"/>
  <c r="BI181" i="42"/>
  <c r="BN101" i="42"/>
  <c r="BL93" i="42"/>
  <c r="BO130" i="42"/>
  <c r="BM120" i="42"/>
  <c r="BI276" i="42"/>
  <c r="BM106" i="42"/>
  <c r="BM27" i="42"/>
  <c r="BN180" i="42"/>
  <c r="AP201" i="42"/>
  <c r="BO309" i="42"/>
  <c r="BR219" i="42"/>
  <c r="B325" i="44"/>
  <c r="D198" i="40"/>
  <c r="AD362" i="42"/>
  <c r="O290" i="43"/>
  <c r="AJ351" i="42"/>
  <c r="BO167" i="42"/>
  <c r="BL250" i="42"/>
  <c r="BR347" i="42"/>
  <c r="B90" i="44"/>
  <c r="BN123" i="42"/>
  <c r="BO245" i="42"/>
  <c r="AK270" i="42"/>
  <c r="BF216" i="42"/>
  <c r="BP181" i="42"/>
  <c r="D214" i="40"/>
  <c r="I136" i="43"/>
  <c r="BK64" i="42"/>
  <c r="BP172" i="42"/>
  <c r="D183" i="44"/>
  <c r="BI215" i="42"/>
  <c r="BJ301" i="42"/>
  <c r="BK73" i="42"/>
  <c r="E47" i="40"/>
  <c r="BL273" i="42"/>
  <c r="BL288" i="42"/>
  <c r="D114" i="44"/>
  <c r="AD325" i="42"/>
  <c r="BI194" i="42"/>
  <c r="BJ233" i="42"/>
  <c r="X20" i="42"/>
  <c r="BR202" i="42"/>
  <c r="BG270" i="42"/>
  <c r="AQ20" i="42"/>
  <c r="F111" i="44"/>
  <c r="BL80" i="42"/>
  <c r="E336" i="43"/>
  <c r="BL266" i="42"/>
  <c r="BF70" i="42"/>
  <c r="AQ223" i="42"/>
  <c r="BH87" i="42"/>
  <c r="BF91" i="42"/>
  <c r="BO92" i="42"/>
  <c r="AQ247" i="42"/>
  <c r="BJ262" i="42"/>
  <c r="BQ346" i="42"/>
  <c r="D37" i="44"/>
  <c r="C159" i="40"/>
  <c r="BJ296" i="42"/>
  <c r="AD230" i="42"/>
  <c r="AQ341" i="42"/>
  <c r="B225" i="40"/>
  <c r="BM128" i="42"/>
  <c r="E25" i="40"/>
  <c r="D154" i="44"/>
  <c r="AD247" i="42"/>
  <c r="BN163" i="42"/>
  <c r="BL228" i="42"/>
  <c r="BP214" i="42"/>
  <c r="B242" i="44"/>
  <c r="BI313" i="42"/>
  <c r="BJ305" i="42"/>
  <c r="AP252" i="42"/>
  <c r="BP46" i="42"/>
  <c r="BG38" i="42"/>
  <c r="AQ281" i="42"/>
  <c r="AQ136" i="42"/>
  <c r="BL213" i="42"/>
  <c r="BN290" i="42"/>
  <c r="N290" i="43"/>
  <c r="X43" i="42"/>
  <c r="C210" i="44"/>
  <c r="BG266" i="42"/>
  <c r="BI152" i="42"/>
  <c r="F375" i="40"/>
  <c r="BL278" i="42"/>
  <c r="BK173" i="42"/>
  <c r="AD268" i="42"/>
  <c r="BL247" i="42"/>
  <c r="BG140" i="42"/>
  <c r="BN319" i="42"/>
  <c r="BL211" i="42"/>
  <c r="E271" i="40"/>
  <c r="BP370" i="42"/>
  <c r="BP38" i="42"/>
  <c r="BG116" i="42"/>
  <c r="F313" i="44"/>
  <c r="B263" i="44"/>
  <c r="BF347" i="42"/>
  <c r="BN280" i="42"/>
  <c r="BG73" i="42"/>
  <c r="BG353" i="42"/>
  <c r="BM357" i="42"/>
  <c r="BO143" i="42"/>
  <c r="H169" i="43"/>
  <c r="C145" i="44"/>
  <c r="BG175" i="42"/>
  <c r="BI55" i="42"/>
  <c r="BK303" i="42"/>
  <c r="D156" i="44"/>
  <c r="B335" i="44"/>
  <c r="BH301" i="42"/>
  <c r="BL148" i="42"/>
  <c r="BH52" i="42"/>
  <c r="F56" i="44"/>
  <c r="G27" i="40"/>
  <c r="AJ66" i="42"/>
  <c r="AJ292" i="42"/>
  <c r="AJ274" i="42"/>
  <c r="BI17" i="42"/>
  <c r="BJ263" i="42"/>
  <c r="AK175" i="42"/>
  <c r="BF360" i="42"/>
  <c r="AQ72" i="42"/>
  <c r="BL252" i="42"/>
  <c r="BI268" i="42"/>
  <c r="BN77" i="42"/>
  <c r="F150" i="44"/>
  <c r="BL220" i="42"/>
  <c r="G139" i="40"/>
  <c r="BO291" i="42"/>
  <c r="BO44" i="42"/>
  <c r="BL111" i="42"/>
  <c r="B91" i="44"/>
  <c r="S98" i="42"/>
  <c r="BM271" i="42"/>
  <c r="E219" i="44"/>
  <c r="F232" i="44"/>
  <c r="BG329" i="42"/>
  <c r="BH67" i="42"/>
  <c r="BQ57" i="42"/>
  <c r="BG283" i="42"/>
  <c r="BO28" i="42"/>
  <c r="AQ250" i="42"/>
  <c r="AQ157" i="42"/>
  <c r="BG265" i="42"/>
  <c r="F90" i="44"/>
  <c r="BP359" i="42"/>
  <c r="AQ176" i="42"/>
  <c r="BN130" i="42"/>
  <c r="BH126" i="42"/>
  <c r="C43" i="40"/>
  <c r="BL271" i="42"/>
  <c r="AK184" i="42"/>
  <c r="AQ251" i="42"/>
  <c r="E201" i="40"/>
  <c r="BJ146" i="42"/>
  <c r="AQ24" i="42"/>
  <c r="BO364" i="42"/>
  <c r="BG280" i="42"/>
  <c r="G142" i="40"/>
  <c r="BI357" i="42"/>
  <c r="AP96" i="42"/>
  <c r="E190" i="44"/>
  <c r="AQ361" i="42"/>
  <c r="AP344" i="42"/>
  <c r="F188" i="44"/>
  <c r="BO159" i="42"/>
  <c r="BO157" i="42"/>
  <c r="X277" i="42"/>
  <c r="B370" i="40"/>
  <c r="BO290" i="42"/>
  <c r="F38" i="44"/>
  <c r="BM35" i="42"/>
  <c r="BF224" i="42"/>
  <c r="BN308" i="42"/>
  <c r="AE230" i="42"/>
  <c r="BM354" i="42"/>
  <c r="BM167" i="42"/>
  <c r="BK287" i="42"/>
  <c r="F134" i="44"/>
  <c r="D307" i="43"/>
  <c r="BL153" i="42"/>
  <c r="BQ293" i="42"/>
  <c r="E317" i="44"/>
  <c r="BJ317" i="42"/>
  <c r="BJ238" i="42"/>
  <c r="BF163" i="42"/>
  <c r="BH37" i="42"/>
  <c r="BM131" i="42"/>
  <c r="F85" i="44"/>
  <c r="BM285" i="42"/>
  <c r="BF147" i="42"/>
  <c r="BP156" i="42"/>
  <c r="AD107" i="42"/>
  <c r="BO347" i="42"/>
  <c r="BH330" i="42"/>
  <c r="BJ46" i="42"/>
  <c r="B86" i="44"/>
  <c r="AQ299" i="42"/>
  <c r="BL43" i="42"/>
  <c r="F115" i="44"/>
  <c r="BM152" i="42"/>
  <c r="BG169" i="42"/>
  <c r="BK60" i="42"/>
  <c r="BO192" i="42"/>
  <c r="BM347" i="42"/>
  <c r="BG50" i="42"/>
  <c r="BF266" i="42"/>
  <c r="BK229" i="42"/>
  <c r="AP14" i="42"/>
  <c r="I263" i="43"/>
  <c r="BP340" i="42"/>
  <c r="G108" i="40"/>
  <c r="AJ63" i="42"/>
  <c r="E298" i="40"/>
  <c r="BL232" i="42"/>
  <c r="AJ150" i="42"/>
  <c r="BK275" i="42"/>
  <c r="F336" i="44"/>
  <c r="BJ36" i="42"/>
  <c r="BJ96" i="42"/>
  <c r="BL33" i="42"/>
  <c r="BM296" i="42"/>
  <c r="G174" i="40"/>
  <c r="AP333" i="42"/>
  <c r="BO368" i="42"/>
  <c r="BQ305" i="42"/>
  <c r="BK373" i="42"/>
  <c r="C127" i="43"/>
  <c r="X243" i="42"/>
  <c r="D127" i="44"/>
  <c r="BL235" i="42"/>
  <c r="BM318" i="42"/>
  <c r="BG272" i="42"/>
  <c r="BP226" i="42"/>
  <c r="BK243" i="42"/>
  <c r="X302" i="42"/>
  <c r="AD361" i="42"/>
  <c r="BG74" i="42"/>
  <c r="BI50" i="42"/>
  <c r="BK32" i="42"/>
  <c r="BL284" i="42"/>
  <c r="BO315" i="42"/>
  <c r="BM127" i="42"/>
  <c r="BP168" i="42"/>
  <c r="BJ53" i="42"/>
  <c r="F97" i="44"/>
  <c r="AP140" i="42"/>
  <c r="M209" i="43"/>
  <c r="BM179" i="42"/>
  <c r="BN324" i="42"/>
  <c r="G77" i="40"/>
  <c r="BF203" i="42"/>
  <c r="E237" i="40"/>
  <c r="G309" i="40"/>
  <c r="D86" i="44"/>
  <c r="BH280" i="42"/>
  <c r="BH300" i="42"/>
  <c r="BL357" i="42"/>
  <c r="BG83" i="42"/>
  <c r="AQ119" i="42"/>
  <c r="BP268" i="42"/>
  <c r="BI124" i="42"/>
  <c r="BH311" i="42"/>
  <c r="AQ90" i="42"/>
  <c r="BJ157" i="42"/>
  <c r="AP171" i="42"/>
  <c r="BK130" i="42"/>
  <c r="AD92" i="42"/>
  <c r="AP142" i="42"/>
  <c r="BG210" i="42"/>
  <c r="BI185" i="42"/>
  <c r="BK308" i="42"/>
  <c r="BL238" i="42"/>
  <c r="BO107" i="42"/>
  <c r="BM45" i="42"/>
  <c r="D86" i="40"/>
  <c r="C89" i="40"/>
  <c r="BG117" i="42"/>
  <c r="BI213" i="42"/>
  <c r="BK309" i="42"/>
  <c r="AD72" i="42"/>
  <c r="B147" i="40"/>
  <c r="BG161" i="42"/>
  <c r="BL179" i="42"/>
  <c r="BO146" i="42"/>
  <c r="AQ237" i="42"/>
  <c r="E21" i="44"/>
  <c r="BF126" i="42"/>
  <c r="C355" i="44"/>
  <c r="BP59" i="42"/>
  <c r="N24" i="43"/>
  <c r="L134" i="43"/>
  <c r="B129" i="44"/>
  <c r="BO223" i="42"/>
  <c r="BP315" i="42"/>
  <c r="AD360" i="42"/>
  <c r="BN142" i="42"/>
  <c r="AD261" i="42"/>
  <c r="BP255" i="42"/>
  <c r="F109" i="44"/>
  <c r="BN137" i="42"/>
  <c r="B32" i="40"/>
  <c r="AJ60" i="42"/>
  <c r="BK374" i="42"/>
  <c r="BP14" i="42"/>
  <c r="BF13" i="42"/>
  <c r="AJ260" i="42"/>
  <c r="BK239" i="42"/>
  <c r="AQ163" i="42"/>
  <c r="BM56" i="42"/>
  <c r="BN73" i="42"/>
  <c r="BO354" i="42"/>
  <c r="X155" i="42"/>
  <c r="AP341" i="42"/>
  <c r="D199" i="44"/>
  <c r="BK217" i="42"/>
  <c r="BP88" i="42"/>
  <c r="D83" i="44"/>
  <c r="BG173" i="42"/>
  <c r="BM372" i="42"/>
  <c r="BM105" i="42"/>
  <c r="F291" i="44"/>
  <c r="AD88" i="42"/>
  <c r="BJ365" i="42"/>
  <c r="F154" i="44"/>
  <c r="BI202" i="42"/>
  <c r="BG209" i="42"/>
  <c r="BM375" i="42"/>
  <c r="F266" i="44"/>
  <c r="B61" i="44"/>
  <c r="BI269" i="42"/>
  <c r="E297" i="40"/>
  <c r="AD349" i="42"/>
  <c r="AP310" i="42"/>
  <c r="B232" i="44"/>
  <c r="AJ33" i="42"/>
  <c r="BF367" i="42"/>
  <c r="AJ59" i="42"/>
  <c r="D234" i="44"/>
  <c r="BO125" i="42"/>
  <c r="BO228" i="42"/>
  <c r="BF341" i="42"/>
  <c r="AD275" i="42"/>
  <c r="F168" i="40"/>
  <c r="BH28" i="42"/>
  <c r="BL99" i="42"/>
  <c r="BN221" i="42"/>
  <c r="BN217" i="42"/>
  <c r="AD281" i="42"/>
  <c r="BO76" i="42"/>
  <c r="AD57" i="42"/>
  <c r="BM196" i="42"/>
  <c r="BH23" i="42"/>
  <c r="AP110" i="42"/>
  <c r="BO211" i="42"/>
  <c r="BJ102" i="42"/>
  <c r="O28" i="43"/>
  <c r="G202" i="40"/>
  <c r="BM239" i="42"/>
  <c r="BM14" i="42"/>
  <c r="E334" i="43"/>
  <c r="BI316" i="42"/>
  <c r="BR74" i="42"/>
  <c r="K41" i="43"/>
  <c r="E234" i="44"/>
  <c r="BO186" i="42"/>
  <c r="C335" i="44"/>
  <c r="BK21" i="42"/>
  <c r="BO87" i="42"/>
  <c r="BM225" i="42"/>
  <c r="BF232" i="42"/>
  <c r="BN371" i="42"/>
  <c r="B112" i="44"/>
  <c r="B321" i="44"/>
  <c r="BJ134" i="42"/>
  <c r="BM233" i="42"/>
  <c r="N310" i="43"/>
  <c r="BL242" i="42"/>
  <c r="D340" i="40"/>
  <c r="BF233" i="42"/>
  <c r="BP87" i="42"/>
  <c r="E18" i="44"/>
  <c r="AJ65" i="42"/>
  <c r="E60" i="44"/>
  <c r="BJ77" i="42"/>
  <c r="BL124" i="42"/>
  <c r="BJ164" i="42"/>
  <c r="BI302" i="42"/>
  <c r="BJ324" i="42"/>
  <c r="C183" i="44"/>
  <c r="BN16" i="42"/>
  <c r="BL55" i="42"/>
  <c r="C291" i="44"/>
  <c r="BH333" i="42"/>
  <c r="BK120" i="42"/>
  <c r="BM182" i="42"/>
  <c r="D243" i="44"/>
  <c r="AQ363" i="42"/>
  <c r="BM178" i="42"/>
  <c r="BJ86" i="42"/>
  <c r="BH328" i="42"/>
  <c r="BL256" i="42"/>
  <c r="AQ139" i="42"/>
  <c r="AQ121" i="42"/>
  <c r="F182" i="44"/>
  <c r="BG172" i="42"/>
  <c r="BG94" i="42"/>
  <c r="C150" i="44"/>
  <c r="BO82" i="42"/>
  <c r="G132" i="43"/>
  <c r="AD351" i="42"/>
  <c r="AP64" i="42"/>
  <c r="E38" i="44"/>
  <c r="C370" i="44"/>
  <c r="BP272" i="42"/>
  <c r="G61" i="43"/>
  <c r="BR191" i="42"/>
  <c r="BI174" i="42"/>
  <c r="D13" i="44"/>
  <c r="BK74" i="42"/>
  <c r="BO179" i="42"/>
  <c r="AQ209" i="42"/>
  <c r="BN61" i="42"/>
  <c r="G86" i="40"/>
  <c r="C227" i="40"/>
  <c r="BH164" i="42"/>
  <c r="BJ354" i="42"/>
  <c r="AD133" i="42"/>
  <c r="D225" i="43"/>
  <c r="C18" i="40"/>
  <c r="AQ287" i="42"/>
  <c r="BM17" i="42"/>
  <c r="BL162" i="42"/>
  <c r="BM38" i="42"/>
  <c r="BK184" i="42"/>
  <c r="D366" i="44"/>
  <c r="F177" i="44"/>
  <c r="BL296" i="42"/>
  <c r="D136" i="44"/>
  <c r="F141" i="44"/>
  <c r="BN355" i="42"/>
  <c r="BK94" i="42"/>
  <c r="D17" i="40"/>
  <c r="AD37" i="42"/>
  <c r="D26" i="40"/>
  <c r="BR287" i="42"/>
  <c r="BK338" i="42"/>
  <c r="BH177" i="42"/>
  <c r="BK119" i="42"/>
  <c r="BI366" i="42"/>
  <c r="BO154" i="42"/>
  <c r="BG204" i="42"/>
  <c r="BG343" i="42"/>
  <c r="F310" i="44"/>
  <c r="BO43" i="42"/>
  <c r="BP248" i="42"/>
  <c r="BR343" i="42"/>
  <c r="K12" i="43"/>
  <c r="E81" i="44"/>
  <c r="D191" i="44"/>
  <c r="BG372" i="42"/>
  <c r="BI342" i="42"/>
  <c r="BL299" i="42"/>
  <c r="AQ174" i="42"/>
  <c r="F277" i="44"/>
  <c r="BJ23" i="42"/>
  <c r="B167" i="44"/>
  <c r="C43" i="44"/>
  <c r="BG53" i="42"/>
  <c r="BI106" i="42"/>
  <c r="BK263" i="42"/>
  <c r="AD24" i="42"/>
  <c r="BO84" i="42"/>
  <c r="BM325" i="42"/>
  <c r="BN291" i="42"/>
  <c r="BF60" i="42"/>
  <c r="BJ117" i="42"/>
  <c r="F272" i="44"/>
  <c r="AQ81" i="42"/>
  <c r="BM243" i="42"/>
  <c r="BJ347" i="42"/>
  <c r="BK344" i="42"/>
  <c r="F102" i="44"/>
  <c r="E114" i="43"/>
  <c r="BF228" i="42"/>
  <c r="H178" i="43"/>
  <c r="C306" i="44"/>
  <c r="BP147" i="42"/>
  <c r="BG63" i="42"/>
  <c r="C347" i="44"/>
  <c r="F72" i="43"/>
  <c r="B251" i="44"/>
  <c r="BF34" i="42"/>
  <c r="C97" i="44"/>
  <c r="B355" i="40"/>
  <c r="BQ299" i="42"/>
  <c r="BM186" i="42"/>
  <c r="BF128" i="42"/>
  <c r="AP346" i="42"/>
  <c r="B366" i="40"/>
  <c r="BG89" i="42"/>
  <c r="BI175" i="42"/>
  <c r="BK162" i="42"/>
  <c r="E375" i="44"/>
  <c r="BF371" i="42"/>
  <c r="BM276" i="42"/>
  <c r="BN262" i="42"/>
  <c r="BO158" i="42"/>
  <c r="BP266" i="42"/>
  <c r="BR277" i="42"/>
  <c r="BK159" i="42"/>
  <c r="AP364" i="42"/>
  <c r="BO57" i="42"/>
  <c r="E193" i="44"/>
  <c r="BK212" i="42"/>
  <c r="AQ177" i="42"/>
  <c r="BM184" i="42"/>
  <c r="BM172" i="42"/>
  <c r="H370" i="43"/>
  <c r="BI220" i="42"/>
  <c r="AQ335" i="42"/>
  <c r="AP72" i="42"/>
  <c r="E64" i="44"/>
  <c r="D20" i="40"/>
  <c r="C181" i="40"/>
  <c r="AJ127" i="42"/>
  <c r="BN292" i="42"/>
  <c r="C345" i="44"/>
  <c r="BK116" i="42"/>
  <c r="BN327" i="42"/>
  <c r="BG191" i="42"/>
  <c r="BG129" i="42"/>
  <c r="BN188" i="42"/>
  <c r="BL123" i="42"/>
  <c r="N199" i="43"/>
  <c r="AJ176" i="42"/>
  <c r="BF26" i="42"/>
  <c r="BH296" i="42"/>
  <c r="B223" i="44"/>
  <c r="X129" i="42"/>
  <c r="B56" i="44"/>
  <c r="F21" i="44"/>
  <c r="BO46" i="42"/>
  <c r="AQ138" i="42"/>
  <c r="F365" i="44"/>
  <c r="AD203" i="42"/>
  <c r="P102" i="43"/>
  <c r="X62" i="42"/>
  <c r="AD60" i="42"/>
  <c r="BG192" i="42"/>
  <c r="BI330" i="42"/>
  <c r="BK322" i="42"/>
  <c r="BM142" i="42"/>
  <c r="BN67" i="42"/>
  <c r="BF29" i="42"/>
  <c r="BK346" i="42"/>
  <c r="BF133" i="42"/>
  <c r="BM217" i="42"/>
  <c r="F348" i="44"/>
  <c r="AJ161" i="42"/>
  <c r="F370" i="44"/>
  <c r="BM368" i="42"/>
  <c r="BM302" i="42"/>
  <c r="BO222" i="42"/>
  <c r="Y355" i="42"/>
  <c r="BN316" i="42"/>
  <c r="C235" i="44"/>
  <c r="C360" i="44"/>
  <c r="BK244" i="42"/>
  <c r="BL11" i="42"/>
  <c r="BJ216" i="42"/>
  <c r="AD274" i="42"/>
  <c r="AQ290" i="42"/>
  <c r="AJ136" i="42"/>
  <c r="BO318" i="42"/>
  <c r="BM84" i="42"/>
  <c r="BH168" i="42"/>
  <c r="C184" i="44"/>
  <c r="AQ305" i="42"/>
  <c r="BF169" i="42"/>
  <c r="D287" i="44"/>
  <c r="BG339" i="42"/>
  <c r="F304" i="44"/>
  <c r="BG154" i="42"/>
  <c r="BF179" i="42"/>
  <c r="BM20" i="42"/>
  <c r="O21" i="43"/>
  <c r="D264" i="44"/>
  <c r="BO120" i="42"/>
  <c r="BG193" i="42"/>
  <c r="BH270" i="42"/>
  <c r="BF108" i="42"/>
  <c r="B303" i="44"/>
  <c r="B168" i="44"/>
  <c r="BL249" i="42"/>
  <c r="E52" i="44"/>
  <c r="X123" i="42"/>
  <c r="BJ130" i="42"/>
  <c r="F319" i="44"/>
  <c r="BJ30" i="42"/>
  <c r="B22" i="44"/>
  <c r="F79" i="44"/>
  <c r="D374" i="44"/>
  <c r="BN86" i="42"/>
  <c r="BF211" i="42"/>
  <c r="BK360" i="42"/>
  <c r="BK191" i="42"/>
  <c r="F168" i="44"/>
  <c r="BN104" i="42"/>
  <c r="BQ166" i="42"/>
  <c r="BM123" i="42"/>
  <c r="BM110" i="42"/>
  <c r="B261" i="44"/>
  <c r="AP168" i="42"/>
  <c r="BK313" i="42"/>
  <c r="BG146" i="42"/>
  <c r="BJ220" i="42"/>
  <c r="BH358" i="42"/>
  <c r="BL336" i="42"/>
  <c r="BH94" i="42"/>
  <c r="BF155" i="42"/>
  <c r="C254" i="44"/>
  <c r="E350" i="40"/>
  <c r="BL319" i="42"/>
  <c r="BF33" i="42"/>
  <c r="BL294" i="42"/>
  <c r="X337" i="42"/>
  <c r="BN216" i="42"/>
  <c r="F159" i="44"/>
  <c r="BQ189" i="42"/>
  <c r="BN124" i="42"/>
  <c r="F80" i="44"/>
  <c r="D333" i="44"/>
  <c r="AP137" i="42"/>
  <c r="AJ287" i="42"/>
  <c r="AQ107" i="42"/>
  <c r="AQ92" i="42"/>
  <c r="E253" i="43"/>
  <c r="BL63" i="42"/>
  <c r="BL180" i="42"/>
  <c r="BR17" i="42"/>
  <c r="BL289" i="42"/>
  <c r="BH92" i="42"/>
  <c r="Y362" i="42"/>
  <c r="B82" i="44"/>
  <c r="BJ240" i="42"/>
  <c r="F28" i="44"/>
  <c r="BF283" i="42"/>
  <c r="BP304" i="42"/>
  <c r="F165" i="40"/>
  <c r="AD220" i="42"/>
  <c r="X235" i="42"/>
  <c r="D60" i="44"/>
  <c r="BG47" i="42"/>
  <c r="B339" i="44"/>
  <c r="S313" i="42"/>
  <c r="BM210" i="42"/>
  <c r="BN361" i="42"/>
  <c r="BO356" i="42"/>
  <c r="C79" i="43"/>
  <c r="BH332" i="42"/>
  <c r="BL335" i="42"/>
  <c r="AQ55" i="42"/>
  <c r="AQ164" i="42"/>
  <c r="BI145" i="42"/>
  <c r="AQ27" i="42"/>
  <c r="F364" i="44"/>
  <c r="BG333" i="42"/>
  <c r="AK209" i="42"/>
  <c r="E169" i="44"/>
  <c r="O162" i="43"/>
  <c r="AJ270" i="42"/>
  <c r="BH144" i="42"/>
  <c r="BN304" i="42"/>
  <c r="BG293" i="42"/>
  <c r="F185" i="44"/>
  <c r="G131" i="40"/>
  <c r="BJ31" i="42"/>
  <c r="BJ372" i="42"/>
  <c r="BM249" i="42"/>
  <c r="AJ170" i="42"/>
  <c r="BP218" i="42"/>
  <c r="AP155" i="42"/>
  <c r="D157" i="44"/>
  <c r="BH81" i="42"/>
  <c r="BI372" i="42"/>
  <c r="BK43" i="42"/>
  <c r="AP270" i="42"/>
  <c r="BO366" i="42"/>
  <c r="BF185" i="42"/>
  <c r="AQ26" i="42"/>
  <c r="BL332" i="42"/>
  <c r="BR67" i="42"/>
  <c r="BI347" i="42"/>
  <c r="BK362" i="42"/>
  <c r="AJ207" i="42"/>
  <c r="BO232" i="42"/>
  <c r="BH261" i="42"/>
  <c r="BM188" i="42"/>
  <c r="AQ356" i="42"/>
  <c r="BF243" i="42"/>
  <c r="BF242" i="42"/>
  <c r="AP169" i="42"/>
  <c r="BL107" i="42"/>
  <c r="BL208" i="42"/>
  <c r="F351" i="44"/>
  <c r="AJ346" i="42"/>
  <c r="BN63" i="42"/>
  <c r="BF304" i="42"/>
  <c r="C21" i="44"/>
  <c r="BM340" i="42"/>
  <c r="AK276" i="42"/>
  <c r="F234" i="43"/>
  <c r="E254" i="44"/>
  <c r="AK53" i="42"/>
  <c r="BF336" i="42"/>
  <c r="AJ171" i="42"/>
  <c r="BR83" i="42"/>
  <c r="BN297" i="42"/>
  <c r="C191" i="44"/>
  <c r="BI60" i="42"/>
  <c r="BH357" i="42"/>
  <c r="F27" i="44"/>
  <c r="AQ52" i="42"/>
  <c r="E187" i="44"/>
  <c r="BI265" i="42"/>
  <c r="BK216" i="42"/>
  <c r="D364" i="44"/>
  <c r="BF307" i="42"/>
  <c r="BH189" i="42"/>
  <c r="BM23" i="42"/>
  <c r="AQ232" i="42"/>
  <c r="BO255" i="42"/>
  <c r="BO180" i="42"/>
  <c r="BP74" i="42"/>
  <c r="D50" i="44"/>
  <c r="BO173" i="42"/>
  <c r="BH90" i="42"/>
  <c r="AD134" i="42"/>
  <c r="BR198" i="42"/>
  <c r="B178" i="44"/>
  <c r="AQ375" i="42"/>
  <c r="BF145" i="42"/>
  <c r="B11" i="40"/>
  <c r="BQ197" i="42"/>
  <c r="F126" i="44"/>
  <c r="BF205" i="42"/>
  <c r="S220" i="42"/>
  <c r="B215" i="40"/>
  <c r="BP102" i="42"/>
  <c r="F366" i="40"/>
  <c r="BI354" i="42"/>
  <c r="BM238" i="42"/>
  <c r="BI77" i="42"/>
  <c r="E28" i="40"/>
  <c r="F327" i="44"/>
  <c r="B289" i="43"/>
  <c r="B277" i="44"/>
  <c r="F197" i="44"/>
  <c r="BM89" i="42"/>
  <c r="E221" i="43"/>
  <c r="BR290" i="42"/>
  <c r="BJ32" i="42"/>
  <c r="BQ61" i="42"/>
  <c r="X352" i="42"/>
  <c r="BH234" i="42"/>
  <c r="BI29" i="42"/>
  <c r="BF55" i="42"/>
  <c r="BO207" i="42"/>
  <c r="X241" i="42"/>
  <c r="C56" i="44"/>
  <c r="BP285" i="42"/>
  <c r="BR130" i="42"/>
  <c r="BH299" i="42"/>
  <c r="BI273" i="42"/>
  <c r="BK92" i="42"/>
  <c r="C33" i="44"/>
  <c r="BF150" i="42"/>
  <c r="BN250" i="42"/>
  <c r="AQ189" i="42"/>
  <c r="BH206" i="42"/>
  <c r="BI322" i="42"/>
  <c r="BN97" i="42"/>
  <c r="BN240" i="42"/>
  <c r="BO121" i="42"/>
  <c r="BI133" i="42"/>
  <c r="BN359" i="42"/>
  <c r="BN268" i="42"/>
  <c r="BL112" i="42"/>
  <c r="BP201" i="42"/>
  <c r="H189" i="43"/>
  <c r="AD330" i="42"/>
  <c r="BQ195" i="42"/>
  <c r="X268" i="42"/>
  <c r="BI138" i="42"/>
  <c r="BK285" i="42"/>
  <c r="BH69" i="42"/>
  <c r="BH110" i="42"/>
  <c r="C288" i="44"/>
  <c r="BO131" i="42"/>
  <c r="S266" i="42"/>
  <c r="BL367" i="42"/>
  <c r="BJ91" i="42"/>
  <c r="BJ170" i="42"/>
  <c r="BF308" i="42"/>
  <c r="F210" i="44"/>
  <c r="D44" i="43"/>
  <c r="BO312" i="42"/>
  <c r="BN346" i="42"/>
  <c r="F211" i="44"/>
  <c r="BR309" i="42"/>
  <c r="AP174" i="42"/>
  <c r="BK71" i="42"/>
  <c r="BG106" i="42"/>
  <c r="BN239" i="42"/>
  <c r="B26" i="44"/>
  <c r="F322" i="44"/>
  <c r="BK85" i="42"/>
  <c r="BH127" i="42"/>
  <c r="H274" i="43"/>
  <c r="BR28" i="42"/>
  <c r="B224" i="44"/>
  <c r="AD35" i="42"/>
  <c r="BH294" i="42"/>
  <c r="BG281" i="42"/>
  <c r="BH259" i="42"/>
  <c r="BG363" i="42"/>
  <c r="S52" i="42"/>
  <c r="B103" i="44"/>
  <c r="BN275" i="42"/>
  <c r="BF363" i="42"/>
  <c r="AQ259" i="42"/>
  <c r="BF137" i="42"/>
  <c r="F362" i="44"/>
  <c r="B32" i="44"/>
  <c r="E320" i="44"/>
  <c r="AP83" i="42"/>
  <c r="BI161" i="42"/>
  <c r="D295" i="43"/>
  <c r="AD142" i="42"/>
  <c r="AE80" i="42"/>
  <c r="BM348" i="42"/>
  <c r="BF298" i="42"/>
  <c r="B106" i="44"/>
  <c r="BH131" i="42"/>
  <c r="D217" i="44"/>
  <c r="BN38" i="42"/>
  <c r="BG354" i="42"/>
  <c r="AP259" i="42"/>
  <c r="BJ345" i="42"/>
  <c r="BO247" i="42"/>
  <c r="BH59" i="42"/>
  <c r="BJ182" i="42"/>
  <c r="BG255" i="42"/>
  <c r="BO106" i="42"/>
  <c r="BJ156" i="42"/>
  <c r="AQ43" i="42"/>
  <c r="D283" i="44"/>
  <c r="BH251" i="42"/>
  <c r="BH151" i="42"/>
  <c r="X219" i="42"/>
  <c r="BQ295" i="42"/>
  <c r="BN271" i="42"/>
  <c r="B173" i="44"/>
  <c r="BN42" i="42"/>
  <c r="F138" i="44"/>
  <c r="BI243" i="42"/>
  <c r="F303" i="44"/>
  <c r="BP100" i="42"/>
  <c r="BJ373" i="42"/>
  <c r="BK267" i="42"/>
  <c r="BI173" i="42"/>
  <c r="BG152" i="42"/>
  <c r="AQ76" i="42"/>
  <c r="BG207" i="42"/>
  <c r="BN170" i="42"/>
  <c r="BK155" i="42"/>
  <c r="BK258" i="42"/>
  <c r="BF177" i="42"/>
  <c r="BN354" i="42"/>
  <c r="BF24" i="42"/>
  <c r="G250" i="40"/>
  <c r="BM262" i="42"/>
  <c r="AQ153" i="42"/>
  <c r="BH71" i="42"/>
  <c r="AQ78" i="42"/>
  <c r="BM301" i="42"/>
  <c r="BP372" i="42"/>
  <c r="AD345" i="42"/>
  <c r="BO183" i="42"/>
  <c r="BI182" i="42"/>
  <c r="BO271" i="42"/>
  <c r="BF114" i="42"/>
  <c r="X325" i="42"/>
  <c r="B340" i="43"/>
  <c r="BI66" i="42"/>
  <c r="X25" i="42"/>
  <c r="D121" i="44"/>
  <c r="AQ311" i="42"/>
  <c r="BM332" i="42"/>
  <c r="AQ218" i="42"/>
  <c r="BH153" i="42"/>
  <c r="AQ175" i="42"/>
  <c r="BM190" i="42"/>
  <c r="BO193" i="42"/>
  <c r="BF333" i="42"/>
  <c r="AE174" i="42"/>
  <c r="BO174" i="42"/>
  <c r="BO226" i="42"/>
  <c r="BP216" i="42"/>
  <c r="BN201" i="42"/>
  <c r="AQ22" i="42"/>
  <c r="C69" i="43"/>
  <c r="BF21" i="42"/>
  <c r="BH49" i="42"/>
  <c r="BN279" i="42"/>
  <c r="C63" i="44"/>
  <c r="BN284" i="42"/>
  <c r="BI254" i="42"/>
  <c r="BI305" i="42"/>
  <c r="E290" i="44"/>
  <c r="X106" i="42"/>
  <c r="BM220" i="42"/>
  <c r="D256" i="44"/>
  <c r="BK277" i="42"/>
  <c r="BM125" i="42"/>
  <c r="BO355" i="42"/>
  <c r="AQ65" i="42"/>
  <c r="BF214" i="42"/>
  <c r="X319" i="42"/>
  <c r="BK190" i="42"/>
  <c r="BL352" i="42"/>
  <c r="AJ64" i="42"/>
  <c r="E291" i="40"/>
  <c r="X157" i="42"/>
  <c r="BM119" i="42"/>
  <c r="BR133" i="42"/>
  <c r="E360" i="40"/>
  <c r="BG320" i="42"/>
  <c r="AQ127" i="42"/>
  <c r="BM344" i="42"/>
  <c r="BI139" i="42"/>
  <c r="AJ360" i="42"/>
  <c r="D35" i="44"/>
  <c r="B197" i="44"/>
  <c r="BP54" i="42"/>
  <c r="BF358" i="42"/>
  <c r="F70" i="44"/>
  <c r="B152" i="44"/>
  <c r="BP321" i="42"/>
  <c r="F165" i="44"/>
  <c r="D254" i="44"/>
  <c r="BL346" i="42"/>
  <c r="BM370" i="42"/>
  <c r="BF191" i="42"/>
  <c r="BF106" i="42"/>
  <c r="BF78" i="42"/>
  <c r="BL225" i="42"/>
  <c r="BI280" i="42"/>
  <c r="BJ83" i="42"/>
  <c r="E189" i="44"/>
  <c r="BG144" i="42"/>
  <c r="BL42" i="42"/>
  <c r="BN208" i="42"/>
  <c r="AE335" i="42"/>
  <c r="BN78" i="42"/>
  <c r="BH43" i="42"/>
  <c r="AQ207" i="42"/>
  <c r="BO212" i="42"/>
  <c r="BF353" i="42"/>
  <c r="BI115" i="42"/>
  <c r="D320" i="44"/>
  <c r="BF57" i="42"/>
  <c r="BF123" i="42"/>
  <c r="BL170" i="42"/>
  <c r="BK227" i="42"/>
  <c r="G88" i="43"/>
  <c r="C126" i="44"/>
  <c r="AE87" i="42"/>
  <c r="E85" i="43"/>
  <c r="BQ14" i="42"/>
  <c r="BI103" i="42"/>
  <c r="BF89" i="42"/>
  <c r="BP366" i="42"/>
  <c r="X161" i="42"/>
  <c r="D16" i="44"/>
  <c r="BR281" i="42"/>
  <c r="BF204" i="42"/>
  <c r="F46" i="44"/>
  <c r="BJ286" i="42"/>
  <c r="BM356" i="42"/>
  <c r="BL362" i="42"/>
  <c r="BJ310" i="42"/>
  <c r="BJ126" i="42"/>
  <c r="F174" i="44"/>
  <c r="F129" i="44"/>
  <c r="BN31" i="42"/>
  <c r="BF238" i="42"/>
  <c r="AQ86" i="42"/>
  <c r="BL12" i="42"/>
  <c r="BH316" i="42"/>
  <c r="BI301" i="42"/>
  <c r="BK136" i="42"/>
  <c r="AP340" i="42"/>
  <c r="BJ76" i="42"/>
  <c r="BM83" i="42"/>
  <c r="BI155" i="42"/>
  <c r="BJ288" i="42"/>
  <c r="BP257" i="42"/>
  <c r="BM351" i="42"/>
  <c r="AQ314" i="42"/>
  <c r="BF56" i="42"/>
  <c r="BG248" i="42"/>
  <c r="BH38" i="42"/>
  <c r="BF154" i="42"/>
  <c r="BL231" i="42"/>
  <c r="AP106" i="42"/>
  <c r="BI62" i="42"/>
  <c r="BM363" i="42"/>
  <c r="X127" i="42"/>
  <c r="D122" i="44"/>
  <c r="D48" i="44"/>
  <c r="AD311" i="42"/>
  <c r="BL253" i="42"/>
  <c r="AQ200" i="42"/>
  <c r="BK112" i="42"/>
  <c r="BG138" i="42"/>
  <c r="AQ222" i="42"/>
  <c r="BH106" i="42"/>
  <c r="BM215" i="42"/>
  <c r="BM199" i="42"/>
  <c r="S42" i="42"/>
  <c r="BJ309" i="42"/>
  <c r="B41" i="44"/>
  <c r="BJ273" i="42"/>
  <c r="F117" i="44"/>
  <c r="BM79" i="42"/>
  <c r="BF226" i="42"/>
  <c r="M149" i="43"/>
  <c r="AK19" i="42"/>
  <c r="C122" i="40"/>
  <c r="BO225" i="42"/>
  <c r="BL215" i="42"/>
  <c r="BG250" i="42"/>
  <c r="X259" i="42"/>
  <c r="F144" i="44"/>
  <c r="BN338" i="42"/>
  <c r="BJ192" i="42"/>
  <c r="BL301" i="42"/>
  <c r="F344" i="44"/>
  <c r="BQ48" i="42"/>
  <c r="BL353" i="42"/>
  <c r="D120" i="44"/>
  <c r="AJ343" i="42"/>
  <c r="E87" i="44"/>
  <c r="AJ70" i="42"/>
  <c r="BN270" i="42"/>
  <c r="E210" i="44"/>
  <c r="BK278" i="42"/>
  <c r="F114" i="44"/>
  <c r="BN182" i="42"/>
  <c r="BO293" i="42"/>
  <c r="D117" i="44"/>
  <c r="BF131" i="42"/>
  <c r="BO288" i="42"/>
  <c r="BL48" i="42"/>
  <c r="C317" i="44"/>
  <c r="C163" i="44"/>
  <c r="AJ89" i="42"/>
  <c r="D343" i="44"/>
  <c r="BG365" i="42"/>
  <c r="BJ179" i="42"/>
  <c r="BK363" i="42"/>
  <c r="AP132" i="42"/>
  <c r="BF22" i="42"/>
  <c r="BO95" i="42"/>
  <c r="BM290" i="42"/>
  <c r="BM317" i="42"/>
  <c r="BG243" i="42"/>
  <c r="BF364" i="42"/>
  <c r="B258" i="44"/>
  <c r="BH101" i="42"/>
  <c r="BK361" i="42"/>
  <c r="AQ140" i="42"/>
  <c r="BG277" i="42"/>
  <c r="AJ18" i="42"/>
  <c r="BL291" i="42"/>
  <c r="BK367" i="42"/>
  <c r="BJ265" i="42"/>
  <c r="F107" i="40"/>
  <c r="C371" i="44"/>
  <c r="BM144" i="42"/>
  <c r="BQ314" i="42"/>
  <c r="BG226" i="42"/>
  <c r="B311" i="44"/>
  <c r="BL334" i="42"/>
  <c r="BL314" i="42"/>
  <c r="BL292" i="42"/>
  <c r="F358" i="44"/>
  <c r="AD61" i="42"/>
  <c r="BJ41" i="42"/>
  <c r="BO93" i="42"/>
  <c r="AD374" i="42"/>
  <c r="BF342" i="42"/>
  <c r="BI71" i="42"/>
  <c r="X189" i="42"/>
  <c r="AE351" i="42"/>
  <c r="BJ266" i="42"/>
  <c r="AQ194" i="42"/>
  <c r="BK324" i="42"/>
  <c r="BH46" i="42"/>
  <c r="X360" i="42"/>
  <c r="BI53" i="42"/>
  <c r="E244" i="44"/>
  <c r="BG317" i="42"/>
  <c r="BM157" i="42"/>
  <c r="BN181" i="42"/>
  <c r="BI148" i="42"/>
  <c r="BL47" i="42"/>
  <c r="O371" i="43"/>
  <c r="E105" i="44"/>
  <c r="BL30" i="42"/>
  <c r="AQ83" i="42"/>
  <c r="BH210" i="42"/>
  <c r="D255" i="44"/>
  <c r="BF83" i="42"/>
  <c r="BQ12" i="42"/>
  <c r="BN99" i="42"/>
  <c r="F160" i="44"/>
  <c r="BF323" i="42"/>
  <c r="BI235" i="42"/>
  <c r="BN26" i="42"/>
  <c r="AQ249" i="42"/>
  <c r="BF300" i="42"/>
  <c r="BI203" i="42"/>
  <c r="G374" i="40"/>
  <c r="BI332" i="42"/>
  <c r="BH315" i="42"/>
  <c r="X365" i="42"/>
  <c r="BP278" i="42"/>
  <c r="BN100" i="42"/>
  <c r="F324" i="44"/>
  <c r="AQ283" i="42"/>
  <c r="BJ155" i="42"/>
  <c r="BM229" i="42"/>
  <c r="BG325" i="42"/>
  <c r="BO260" i="42"/>
  <c r="AP318" i="42"/>
  <c r="BN131" i="42"/>
  <c r="BL58" i="42"/>
  <c r="AP24" i="42"/>
  <c r="X310" i="42"/>
  <c r="E84" i="44"/>
  <c r="BF112" i="42"/>
  <c r="X321" i="42"/>
  <c r="X191" i="42"/>
  <c r="BM135" i="42"/>
  <c r="BK222" i="42"/>
  <c r="F58" i="44"/>
  <c r="BG217" i="42"/>
  <c r="Y129" i="42"/>
  <c r="BL206" i="42"/>
  <c r="AJ194" i="42"/>
  <c r="B18" i="44"/>
  <c r="BG278" i="42"/>
  <c r="BM307" i="42"/>
  <c r="BQ117" i="42"/>
  <c r="BL312" i="42"/>
  <c r="H222" i="43"/>
  <c r="F176" i="44"/>
  <c r="BI57" i="42"/>
  <c r="AD46" i="42"/>
  <c r="AP366" i="42"/>
  <c r="BL216" i="42"/>
  <c r="BP200" i="42"/>
  <c r="BH29" i="42"/>
  <c r="BO230" i="42"/>
  <c r="B307" i="43"/>
  <c r="AQ63" i="42"/>
  <c r="BH133" i="42"/>
  <c r="AQ268" i="42"/>
  <c r="BI160" i="42"/>
  <c r="BG108" i="42"/>
  <c r="AQ211" i="42"/>
  <c r="BI245" i="42"/>
  <c r="BH225" i="42"/>
  <c r="BL223" i="42"/>
  <c r="BK77" i="42"/>
  <c r="AK325" i="42"/>
  <c r="F45" i="44"/>
  <c r="X296" i="42"/>
  <c r="F46" i="40"/>
  <c r="AQ31" i="42"/>
  <c r="BN175" i="42"/>
  <c r="BN153" i="42"/>
  <c r="BM204" i="42"/>
  <c r="BH114" i="42"/>
  <c r="X71" i="42"/>
  <c r="AQ186" i="42"/>
  <c r="BG319" i="42"/>
  <c r="BF119" i="42"/>
  <c r="AD244" i="42"/>
  <c r="BO99" i="42"/>
  <c r="BM272" i="42"/>
  <c r="BL366" i="42"/>
  <c r="F233" i="44"/>
  <c r="BI221" i="42"/>
  <c r="F312" i="44"/>
  <c r="B11" i="44"/>
  <c r="BL182" i="42"/>
  <c r="BF69" i="42"/>
  <c r="F15" i="44"/>
  <c r="BG197" i="42"/>
  <c r="BL219" i="42"/>
  <c r="BK175" i="42"/>
  <c r="BO21" i="42"/>
  <c r="AK162" i="42"/>
  <c r="BJ17" i="42"/>
  <c r="F339" i="44"/>
  <c r="O125" i="43"/>
  <c r="D32" i="44"/>
  <c r="AQ226" i="42"/>
  <c r="M11" i="43"/>
  <c r="X167" i="42"/>
  <c r="BK55" i="42"/>
  <c r="BL254" i="42"/>
  <c r="BJ337" i="42"/>
  <c r="BH242" i="42"/>
  <c r="BI320" i="42"/>
  <c r="BH317" i="42"/>
  <c r="BN173" i="42"/>
  <c r="BH354" i="42"/>
  <c r="BI232" i="42"/>
  <c r="BN322" i="42"/>
  <c r="BR138" i="42"/>
  <c r="BK342" i="42"/>
  <c r="F64" i="44"/>
  <c r="D173" i="44"/>
  <c r="BK145" i="42"/>
  <c r="F19" i="44"/>
  <c r="S23" i="42"/>
  <c r="B289" i="40"/>
  <c r="BJ367" i="42"/>
  <c r="AJ357" i="42"/>
  <c r="D318" i="44"/>
  <c r="BN27" i="42"/>
  <c r="BK213" i="42"/>
  <c r="F139" i="44"/>
  <c r="BJ294" i="42"/>
  <c r="AE170" i="42"/>
  <c r="BN152" i="42"/>
  <c r="BL199" i="42"/>
  <c r="BM43" i="42"/>
  <c r="X311" i="42"/>
  <c r="BL194" i="42"/>
  <c r="BK44" i="42"/>
  <c r="C79" i="40"/>
  <c r="BN257" i="42"/>
  <c r="AQ111" i="42"/>
  <c r="BI158" i="42"/>
  <c r="X58" i="42"/>
  <c r="BM117" i="42"/>
  <c r="AJ265" i="42"/>
  <c r="B65" i="44"/>
  <c r="E288" i="44"/>
  <c r="BF176" i="42"/>
  <c r="AQ54" i="42"/>
  <c r="E233" i="40"/>
  <c r="BO353" i="42"/>
  <c r="X68" i="42"/>
  <c r="BO123" i="42"/>
  <c r="AP274" i="42"/>
  <c r="BM92" i="42"/>
  <c r="D20" i="44"/>
  <c r="S84" i="42"/>
  <c r="BL212" i="42"/>
  <c r="AP114" i="42"/>
  <c r="BN197" i="42"/>
  <c r="BH303" i="42"/>
  <c r="BJ322" i="42"/>
  <c r="BJ332" i="42"/>
  <c r="AQ373" i="42"/>
  <c r="AQ371" i="42"/>
  <c r="BM263" i="42"/>
  <c r="BK304" i="42"/>
  <c r="BJ26" i="42"/>
  <c r="BL333" i="42"/>
  <c r="BN169" i="42"/>
  <c r="BK225" i="42"/>
  <c r="C346" i="44"/>
  <c r="BG62" i="42"/>
  <c r="BL14" i="42"/>
  <c r="BI127" i="42"/>
  <c r="BK347" i="42"/>
  <c r="B189" i="44"/>
  <c r="BP151" i="42"/>
  <c r="BJ180" i="42"/>
  <c r="BI349" i="42"/>
  <c r="F320" i="44"/>
  <c r="F323" i="44"/>
  <c r="BQ25" i="42"/>
  <c r="BH305" i="42"/>
  <c r="E145" i="44"/>
  <c r="BN273" i="42"/>
  <c r="F246" i="44"/>
  <c r="BK200" i="42"/>
  <c r="F208" i="44"/>
  <c r="BO31" i="42"/>
  <c r="BL135" i="42"/>
  <c r="E312" i="44"/>
  <c r="BP126" i="42"/>
  <c r="BN70" i="42"/>
  <c r="F241" i="40"/>
  <c r="E349" i="43"/>
  <c r="AD375" i="42"/>
  <c r="BK147" i="42"/>
  <c r="BJ113" i="42"/>
  <c r="BK311" i="42"/>
  <c r="BF262" i="42"/>
  <c r="BJ167" i="42"/>
  <c r="AQ233" i="42"/>
  <c r="BM91" i="42"/>
  <c r="AK269" i="42"/>
  <c r="BO25" i="42"/>
  <c r="BM247" i="42"/>
  <c r="AQ208" i="42"/>
  <c r="BK115" i="42"/>
  <c r="BL246" i="42"/>
  <c r="AQ46" i="42"/>
  <c r="BJ131" i="42"/>
  <c r="X69" i="42"/>
  <c r="BF194" i="42"/>
  <c r="BO89" i="42"/>
  <c r="BH364" i="42"/>
  <c r="BN190" i="42"/>
  <c r="BL25" i="42"/>
  <c r="BF241" i="42"/>
  <c r="BO133" i="42"/>
  <c r="BN127" i="42"/>
  <c r="AQ170" i="42"/>
  <c r="AP47" i="42"/>
  <c r="BN19" i="42"/>
  <c r="BP121" i="42"/>
  <c r="AQ245" i="42"/>
  <c r="BK153" i="42"/>
  <c r="AQ342" i="42"/>
  <c r="AP249" i="42"/>
  <c r="BK78" i="42"/>
  <c r="B132" i="44"/>
  <c r="BM236" i="42"/>
  <c r="AQ253" i="42"/>
  <c r="BK372" i="42"/>
  <c r="BM223" i="42"/>
  <c r="BF166" i="42"/>
  <c r="BM343" i="42"/>
  <c r="BI205" i="42"/>
  <c r="AQ93" i="42"/>
  <c r="BH263" i="42"/>
  <c r="BO55" i="42"/>
  <c r="BM226" i="42"/>
  <c r="BG262" i="42"/>
  <c r="BN363" i="42"/>
  <c r="BL91" i="42"/>
  <c r="BH132" i="42"/>
  <c r="BN366" i="42"/>
  <c r="BF159" i="42"/>
  <c r="BG54" i="42"/>
  <c r="X67" i="42"/>
  <c r="BL251" i="42"/>
  <c r="BL327" i="42"/>
  <c r="BO340" i="42"/>
  <c r="BR90" i="42"/>
  <c r="BN264" i="42"/>
  <c r="BF160" i="42"/>
  <c r="D318" i="40"/>
  <c r="B136" i="44"/>
  <c r="F63" i="40"/>
  <c r="BN212" i="42"/>
  <c r="BL160" i="42"/>
  <c r="BN35" i="42"/>
  <c r="BG85" i="42"/>
  <c r="BN155" i="42"/>
  <c r="BF337" i="42"/>
  <c r="AK367" i="42"/>
  <c r="BL244" i="42"/>
  <c r="F216" i="44"/>
  <c r="BI191" i="42"/>
  <c r="E369" i="44"/>
  <c r="BI328" i="42"/>
  <c r="BN351" i="42"/>
  <c r="AJ172" i="42"/>
  <c r="AP232" i="42"/>
  <c r="F340" i="44"/>
  <c r="BM26" i="42"/>
  <c r="H374" i="43"/>
  <c r="BI371" i="42"/>
  <c r="BL205" i="42"/>
  <c r="C258" i="44"/>
  <c r="BG218" i="42"/>
  <c r="BO15" i="42"/>
  <c r="BG145" i="42"/>
  <c r="BL210" i="42"/>
  <c r="BN352" i="42"/>
  <c r="BI214" i="42"/>
  <c r="BM230" i="42"/>
  <c r="BI338" i="42"/>
  <c r="K260" i="43"/>
  <c r="BI284" i="42"/>
  <c r="BN315" i="42"/>
  <c r="E72" i="44"/>
  <c r="BO67" i="42"/>
  <c r="F127" i="44"/>
  <c r="BH76" i="42"/>
  <c r="BJ326" i="42"/>
  <c r="D200" i="40"/>
  <c r="D211" i="43"/>
  <c r="BQ136" i="42"/>
  <c r="BN167" i="42"/>
  <c r="C193" i="40"/>
  <c r="BI88" i="42"/>
  <c r="BI196" i="42"/>
  <c r="B125" i="43"/>
  <c r="AQ36" i="42"/>
  <c r="BK210" i="42"/>
  <c r="E12" i="40"/>
  <c r="C51" i="40"/>
  <c r="BN278" i="42"/>
  <c r="BP309" i="42"/>
  <c r="BH120" i="42"/>
  <c r="BN158" i="42"/>
  <c r="BL163" i="42"/>
  <c r="AD175" i="42"/>
  <c r="AQ97" i="42"/>
  <c r="BN96" i="42"/>
  <c r="BQ63" i="42"/>
  <c r="BF277" i="42"/>
  <c r="BF234" i="42"/>
  <c r="BF294" i="42"/>
  <c r="E68" i="40"/>
  <c r="BO319" i="42"/>
  <c r="K31" i="43"/>
  <c r="F332" i="44"/>
  <c r="BF370" i="42"/>
  <c r="B157" i="40"/>
  <c r="BL145" i="42"/>
  <c r="BR366" i="42"/>
  <c r="BM193" i="42"/>
  <c r="BJ274" i="42"/>
  <c r="BO304" i="42"/>
  <c r="B44" i="43"/>
  <c r="BK261" i="42"/>
  <c r="BI350" i="42"/>
  <c r="J177" i="43"/>
  <c r="BN203" i="42"/>
  <c r="C153" i="44"/>
  <c r="BL322" i="42"/>
  <c r="AQ15" i="42"/>
  <c r="BM96" i="42"/>
  <c r="AQ229" i="42"/>
  <c r="BO231" i="42"/>
  <c r="AQ266" i="42"/>
  <c r="BO81" i="42"/>
  <c r="AQ296" i="42"/>
  <c r="BI238" i="42"/>
  <c r="X312" i="42"/>
  <c r="F189" i="44"/>
  <c r="F151" i="44"/>
  <c r="D353" i="40"/>
  <c r="BL118" i="42"/>
  <c r="AJ213" i="42"/>
  <c r="D74" i="44"/>
  <c r="BF110" i="42"/>
  <c r="BH291" i="42"/>
  <c r="BR260" i="42"/>
  <c r="BN367" i="42"/>
  <c r="AE89" i="42"/>
  <c r="BI144" i="42"/>
  <c r="AQ278" i="42"/>
  <c r="BF156" i="42"/>
  <c r="B240" i="44"/>
  <c r="BP261" i="42"/>
  <c r="AK304" i="42"/>
  <c r="AQ30" i="42"/>
  <c r="F267" i="44"/>
  <c r="G243" i="40"/>
  <c r="C158" i="40"/>
  <c r="BK170" i="42"/>
  <c r="E213" i="44"/>
  <c r="X214" i="42"/>
  <c r="AQ48" i="42"/>
  <c r="C319" i="44"/>
  <c r="X133" i="42"/>
  <c r="F155" i="44"/>
  <c r="BL164" i="42"/>
  <c r="AJ107" i="42"/>
  <c r="BF129" i="42"/>
  <c r="BK319" i="42"/>
  <c r="BM195" i="42"/>
  <c r="BF149" i="42"/>
  <c r="BR259" i="42"/>
  <c r="BF173" i="42"/>
  <c r="BM248" i="42"/>
  <c r="BR30" i="42"/>
  <c r="AQ126" i="42"/>
  <c r="C83" i="44"/>
  <c r="B101" i="40"/>
  <c r="BO270" i="42"/>
  <c r="BM130" i="42"/>
  <c r="BO40" i="42"/>
  <c r="C15" i="44"/>
  <c r="BO165" i="42"/>
  <c r="F205" i="44"/>
  <c r="BM124" i="42"/>
  <c r="F347" i="44"/>
  <c r="J371" i="43"/>
  <c r="N295" i="43"/>
  <c r="BN247" i="42"/>
  <c r="BF352" i="42"/>
  <c r="BR124" i="42"/>
  <c r="BJ204" i="42"/>
  <c r="F32" i="44"/>
  <c r="AE101" i="42"/>
  <c r="B19" i="44"/>
  <c r="BI240" i="42"/>
  <c r="AQ369" i="42"/>
  <c r="AD228" i="42"/>
  <c r="BK249" i="42"/>
  <c r="AJ125" i="42"/>
  <c r="BM227" i="42"/>
  <c r="AQ285" i="42"/>
  <c r="E226" i="44"/>
  <c r="F274" i="44"/>
  <c r="BO144" i="42"/>
  <c r="BF321" i="42"/>
  <c r="AQ347" i="42"/>
  <c r="BN159" i="42"/>
  <c r="BN314" i="42"/>
  <c r="BH138" i="42"/>
  <c r="BM69" i="42"/>
  <c r="P274" i="43"/>
  <c r="F289" i="44"/>
  <c r="BH75" i="42"/>
  <c r="BJ335" i="42"/>
  <c r="AD155" i="42"/>
  <c r="BJ244" i="42"/>
  <c r="BG86" i="42"/>
  <c r="BJ316" i="42"/>
  <c r="N275" i="43"/>
  <c r="AD307" i="42"/>
  <c r="BH26" i="42"/>
  <c r="BL40" i="42"/>
  <c r="F124" i="40"/>
  <c r="F360" i="44"/>
  <c r="AE63" i="42"/>
  <c r="BK247" i="42"/>
  <c r="AQ62" i="42"/>
  <c r="AQ255" i="42"/>
  <c r="BM160" i="42"/>
  <c r="AJ71" i="42"/>
  <c r="AQ28" i="42"/>
  <c r="AP216" i="42"/>
  <c r="BL101" i="42"/>
  <c r="C80" i="44"/>
  <c r="BM366" i="42"/>
  <c r="E346" i="44"/>
  <c r="BO276" i="42"/>
  <c r="BN342" i="42"/>
  <c r="BM60" i="42"/>
  <c r="BG171" i="42"/>
  <c r="BK236" i="42"/>
  <c r="AQ370" i="42"/>
  <c r="BO171" i="42"/>
  <c r="BI125" i="42"/>
  <c r="AD214" i="42"/>
  <c r="BI135" i="42"/>
  <c r="I49" i="43"/>
  <c r="BQ155" i="42"/>
  <c r="C363" i="44"/>
  <c r="AK113" i="42"/>
  <c r="C144" i="44"/>
  <c r="BM268" i="42"/>
  <c r="B231" i="44"/>
  <c r="C111" i="44"/>
  <c r="AK49" i="42"/>
  <c r="BL35" i="42"/>
  <c r="F300" i="44"/>
  <c r="BM73" i="42"/>
  <c r="BF288" i="42"/>
  <c r="F103" i="44"/>
  <c r="BL303" i="42"/>
  <c r="BJ293" i="42"/>
  <c r="BL66" i="42"/>
  <c r="E157" i="44"/>
  <c r="AQ367" i="42"/>
  <c r="BN55" i="42"/>
  <c r="F66" i="44"/>
  <c r="BG221" i="42"/>
  <c r="D333" i="43"/>
  <c r="BM153" i="42"/>
  <c r="C325" i="44"/>
  <c r="AE292" i="42"/>
  <c r="BI86" i="42"/>
  <c r="AP126" i="42"/>
  <c r="BM32" i="42"/>
  <c r="F119" i="44"/>
  <c r="BI237" i="42"/>
  <c r="BH135" i="42"/>
  <c r="BM334" i="42"/>
  <c r="BO296" i="42"/>
  <c r="BQ289" i="42"/>
  <c r="BF193" i="42"/>
  <c r="BL166" i="42"/>
  <c r="BK257" i="42"/>
  <c r="BN311" i="42"/>
  <c r="F56" i="40"/>
  <c r="BI283" i="42"/>
  <c r="BL77" i="42"/>
  <c r="BL239" i="42"/>
  <c r="BG290" i="42"/>
  <c r="AD367" i="42"/>
  <c r="BN253" i="42"/>
  <c r="AJ247" i="42"/>
  <c r="AQ345" i="42"/>
  <c r="BL173" i="42"/>
  <c r="BN89" i="42"/>
  <c r="AP191" i="42"/>
  <c r="BO246" i="42"/>
  <c r="BN48" i="42"/>
  <c r="BL41" i="42"/>
  <c r="AQ167" i="42"/>
  <c r="AD301" i="42"/>
  <c r="BJ291" i="42"/>
  <c r="F346" i="43"/>
  <c r="BM36" i="42"/>
  <c r="BI249" i="42"/>
  <c r="E160" i="43"/>
  <c r="AJ365" i="42"/>
  <c r="BG48" i="42"/>
  <c r="BK234" i="42"/>
  <c r="D216" i="44"/>
  <c r="C298" i="40"/>
  <c r="AQ318" i="42"/>
  <c r="BK318" i="42"/>
  <c r="BJ163" i="42"/>
  <c r="E203" i="44"/>
  <c r="BL122" i="42"/>
  <c r="BO274" i="42"/>
  <c r="AQ47" i="42"/>
  <c r="BN91" i="42"/>
  <c r="AP354" i="42"/>
  <c r="F248" i="44"/>
  <c r="BL230" i="42"/>
  <c r="BQ64" i="42"/>
  <c r="BF73" i="42"/>
  <c r="BO240" i="42"/>
  <c r="AE118" i="42"/>
  <c r="AD11" i="42"/>
  <c r="AQ293" i="42"/>
  <c r="F11" i="44"/>
  <c r="BI89" i="42"/>
  <c r="BL69" i="42"/>
  <c r="BG79" i="42"/>
  <c r="BF188" i="42"/>
  <c r="AD44" i="42"/>
  <c r="B93" i="44"/>
  <c r="BM139" i="42"/>
  <c r="BO200" i="42"/>
  <c r="BG100" i="42"/>
  <c r="C359" i="44"/>
  <c r="BG185" i="42"/>
  <c r="BN74" i="42"/>
  <c r="F223" i="44"/>
  <c r="BK188" i="42"/>
  <c r="BR303" i="42"/>
  <c r="BJ62" i="42"/>
  <c r="BN79" i="42"/>
  <c r="BL75" i="42"/>
  <c r="BN33" i="42"/>
  <c r="B201" i="40"/>
  <c r="F338" i="44"/>
  <c r="BL34" i="42"/>
  <c r="BR312" i="42"/>
  <c r="BL36" i="42"/>
  <c r="BL102" i="42"/>
  <c r="BO352" i="42"/>
  <c r="F335" i="44"/>
  <c r="BG133" i="42"/>
  <c r="X213" i="42"/>
  <c r="D248" i="44"/>
  <c r="BL280" i="42"/>
  <c r="X145" i="42"/>
  <c r="F30" i="44"/>
  <c r="BN23" i="42"/>
  <c r="BH277" i="42"/>
  <c r="BL316" i="42"/>
  <c r="AP175" i="42"/>
  <c r="D360" i="40"/>
  <c r="BL94" i="42"/>
  <c r="BF251" i="42"/>
  <c r="BL290" i="42"/>
  <c r="D271" i="43"/>
  <c r="F352" i="44"/>
  <c r="BI48" i="42"/>
  <c r="AQ182" i="42"/>
  <c r="BM163" i="42"/>
  <c r="F48" i="44"/>
  <c r="D252" i="44"/>
  <c r="F374" i="44"/>
  <c r="BO308" i="42"/>
  <c r="BM66" i="42"/>
  <c r="C198" i="43"/>
  <c r="BI231" i="42"/>
  <c r="BH185" i="42"/>
  <c r="C30" i="44"/>
  <c r="BH281" i="42"/>
  <c r="AQ322" i="42"/>
  <c r="AK199" i="42"/>
  <c r="S135" i="42"/>
  <c r="BF161" i="42"/>
  <c r="X168" i="42"/>
  <c r="E257" i="44"/>
  <c r="BI210" i="42"/>
  <c r="BO337" i="42"/>
  <c r="BH156" i="42"/>
  <c r="AQ289" i="42"/>
  <c r="C338" i="44"/>
  <c r="AP167" i="42"/>
  <c r="BM315" i="42"/>
  <c r="BM365" i="42"/>
  <c r="BN122" i="42"/>
  <c r="BG64" i="42"/>
  <c r="BM61" i="42"/>
  <c r="BM289" i="42"/>
  <c r="B192" i="44"/>
  <c r="BO209" i="42"/>
  <c r="F262" i="44"/>
  <c r="BI278" i="42"/>
  <c r="AQ210" i="42"/>
  <c r="BI370" i="42"/>
  <c r="BF74" i="42"/>
  <c r="F275" i="43"/>
  <c r="BK124" i="42"/>
  <c r="BG84" i="42"/>
  <c r="AD87" i="42"/>
  <c r="BI295" i="42"/>
  <c r="F77" i="44"/>
  <c r="BM310" i="42"/>
  <c r="AQ125" i="42"/>
  <c r="AQ44" i="42"/>
  <c r="AJ277" i="42"/>
  <c r="F192" i="44"/>
  <c r="BM141" i="42"/>
  <c r="BQ340" i="42"/>
  <c r="AQ372" i="42"/>
  <c r="BO170" i="42"/>
  <c r="BJ143" i="42"/>
  <c r="AQ13" i="42"/>
  <c r="BF61" i="42"/>
  <c r="E99" i="44"/>
  <c r="BM100" i="42"/>
  <c r="BN277" i="42"/>
  <c r="BJ314" i="42"/>
  <c r="P277" i="43"/>
  <c r="L135" i="43"/>
  <c r="AK82" i="42"/>
  <c r="BL139" i="42"/>
  <c r="AJ178" i="42"/>
  <c r="D203" i="40"/>
  <c r="F190" i="44"/>
  <c r="AQ346" i="42"/>
  <c r="BI91" i="42"/>
  <c r="BK30" i="42"/>
  <c r="BR222" i="42"/>
  <c r="B259" i="44"/>
  <c r="BN331" i="42"/>
  <c r="BI92" i="42"/>
  <c r="BF45" i="42"/>
  <c r="BG81" i="42"/>
  <c r="F20" i="44"/>
  <c r="BJ151" i="42"/>
  <c r="BG301" i="42"/>
  <c r="S168" i="42"/>
  <c r="AQ73" i="42"/>
  <c r="F161" i="44"/>
  <c r="BR159" i="42"/>
  <c r="BP365" i="42"/>
  <c r="BM308" i="42"/>
  <c r="BL226" i="42"/>
  <c r="D219" i="44"/>
  <c r="BG25" i="42"/>
  <c r="C74" i="44"/>
  <c r="BG109" i="42"/>
  <c r="BF102" i="42"/>
  <c r="BO149" i="42"/>
  <c r="BO197" i="42"/>
  <c r="BM180" i="42"/>
  <c r="F147" i="44"/>
  <c r="C350" i="44"/>
  <c r="BF328" i="42"/>
  <c r="AQ132" i="42"/>
  <c r="BO248" i="42"/>
  <c r="F328" i="40"/>
  <c r="BG46" i="42"/>
  <c r="BF58" i="42"/>
  <c r="C101" i="44"/>
  <c r="BM261" i="42"/>
  <c r="BN320" i="42"/>
  <c r="BJ370" i="42"/>
  <c r="BH175" i="42"/>
  <c r="BM211" i="42"/>
  <c r="BG224" i="42"/>
  <c r="BH79" i="42"/>
  <c r="BM322" i="42"/>
  <c r="C147" i="44"/>
  <c r="BN113" i="42"/>
  <c r="BF257" i="42"/>
  <c r="D72" i="44"/>
  <c r="BG27" i="42"/>
  <c r="BF86" i="42"/>
  <c r="BM41" i="42"/>
  <c r="BH292" i="42"/>
  <c r="BH105" i="42"/>
  <c r="BN108" i="42"/>
  <c r="AD382" i="42" l="1"/>
  <c r="AD385" i="42"/>
  <c r="AD383" i="42"/>
  <c r="AD388" i="42"/>
  <c r="AD389" i="42" s="1"/>
  <c r="AD380" i="42"/>
  <c r="AD379" i="42"/>
  <c r="AD387" i="42"/>
  <c r="AD384" i="42"/>
  <c r="AD386" i="42"/>
  <c r="G39" i="8"/>
  <c r="BJ382" i="42"/>
  <c r="BJ381" i="42" s="1"/>
  <c r="BL386" i="42"/>
  <c r="BL385" i="42"/>
  <c r="BL388" i="42"/>
  <c r="BL389" i="42" s="1"/>
  <c r="BL382" i="42"/>
  <c r="BL383" i="42"/>
  <c r="BL379" i="42"/>
  <c r="BL387" i="42"/>
  <c r="BL380" i="42"/>
  <c r="BL384" i="42"/>
  <c r="BI382" i="42"/>
  <c r="BI381" i="42" s="1"/>
  <c r="E39" i="8"/>
  <c r="G20" i="51" s="1"/>
  <c r="C39" i="8"/>
  <c r="E20" i="51" s="1"/>
  <c r="BG382" i="42"/>
  <c r="BG381" i="42" s="1"/>
  <c r="BM383" i="42"/>
  <c r="BM381" i="42" s="1"/>
  <c r="BM380" i="42"/>
  <c r="BM385" i="42"/>
  <c r="BM382" i="42"/>
  <c r="BM388" i="42"/>
  <c r="BM389" i="42" s="1"/>
  <c r="BM384" i="42"/>
  <c r="BM387" i="42"/>
  <c r="BM379" i="42"/>
  <c r="BM386" i="42"/>
  <c r="BF383" i="42"/>
  <c r="BF386" i="42"/>
  <c r="BF385" i="42"/>
  <c r="BF379" i="42"/>
  <c r="BF382" i="42"/>
  <c r="BF387" i="42"/>
  <c r="BF384" i="42"/>
  <c r="BF388" i="42"/>
  <c r="BF389" i="42" s="1"/>
  <c r="BF380" i="42"/>
  <c r="BQ388" i="42"/>
  <c r="BQ389" i="42" s="1"/>
  <c r="BQ384" i="42"/>
  <c r="BQ385" i="42"/>
  <c r="BQ379" i="42"/>
  <c r="BQ380" i="42"/>
  <c r="BQ386" i="42"/>
  <c r="BQ387" i="42"/>
  <c r="BQ382" i="42"/>
  <c r="BQ381" i="42" s="1"/>
  <c r="BQ383" i="42"/>
  <c r="AQ385" i="42"/>
  <c r="AQ386" i="42"/>
  <c r="AQ380" i="42"/>
  <c r="AQ388" i="42"/>
  <c r="AQ389" i="42" s="1"/>
  <c r="AQ384" i="42"/>
  <c r="AQ382" i="42"/>
  <c r="AQ387" i="42"/>
  <c r="AQ379" i="42"/>
  <c r="AQ383" i="42"/>
  <c r="X388" i="42"/>
  <c r="X389" i="42" s="1"/>
  <c r="X379" i="42"/>
  <c r="X385" i="42"/>
  <c r="X387" i="42"/>
  <c r="X382" i="42"/>
  <c r="X386" i="42"/>
  <c r="X380" i="42"/>
  <c r="X384" i="42"/>
  <c r="X383" i="42"/>
  <c r="BK382" i="42"/>
  <c r="BK381" i="42" s="1"/>
  <c r="J39" i="8"/>
  <c r="J40" i="8" s="1"/>
  <c r="BN384" i="42"/>
  <c r="BN379" i="42"/>
  <c r="BN382" i="42"/>
  <c r="BN381" i="42" s="1"/>
  <c r="BN388" i="42"/>
  <c r="BN389" i="42" s="1"/>
  <c r="BN380" i="42"/>
  <c r="BN385" i="42"/>
  <c r="BN387" i="42"/>
  <c r="BN386" i="42"/>
  <c r="BN383" i="42"/>
  <c r="BP388" i="42"/>
  <c r="BP389" i="42" s="1"/>
  <c r="BP385" i="42"/>
  <c r="BP382" i="42"/>
  <c r="BP381" i="42" s="1"/>
  <c r="BP386" i="42"/>
  <c r="BP383" i="42"/>
  <c r="BP380" i="42"/>
  <c r="BP379" i="42"/>
  <c r="BP384" i="42"/>
  <c r="BP387" i="42"/>
  <c r="BO388" i="42"/>
  <c r="BO389" i="42" s="1"/>
  <c r="BO386" i="42"/>
  <c r="BO383" i="42"/>
  <c r="BO382" i="42"/>
  <c r="BO381" i="42" s="1"/>
  <c r="BO384" i="42"/>
  <c r="BO387" i="42"/>
  <c r="BO385" i="42"/>
  <c r="BO380" i="42"/>
  <c r="BO379" i="42"/>
  <c r="S384" i="42"/>
  <c r="S386" i="42"/>
  <c r="S385" i="42"/>
  <c r="S387" i="42"/>
  <c r="S382" i="42"/>
  <c r="S380" i="42"/>
  <c r="S388" i="42"/>
  <c r="S389" i="42" s="1"/>
  <c r="S379" i="42"/>
  <c r="S383" i="42"/>
  <c r="AJ379" i="42"/>
  <c r="AJ380" i="42"/>
  <c r="AJ384" i="42"/>
  <c r="AJ387" i="42"/>
  <c r="AJ388" i="42"/>
  <c r="AJ389" i="42" s="1"/>
  <c r="AJ383" i="42"/>
  <c r="AJ386" i="42"/>
  <c r="AJ385" i="42"/>
  <c r="AJ382" i="42"/>
  <c r="BH382" i="42"/>
  <c r="BH381" i="42" s="1"/>
  <c r="D39" i="8"/>
  <c r="D40" i="8" s="1"/>
  <c r="D41" i="8" s="1"/>
  <c r="F22" i="51" s="1"/>
  <c r="AP380" i="42"/>
  <c r="AP382" i="42"/>
  <c r="AP381" i="42" s="1"/>
  <c r="AP385" i="42"/>
  <c r="AP379" i="42"/>
  <c r="AP386" i="42"/>
  <c r="AP384" i="42"/>
  <c r="AP383" i="42"/>
  <c r="AP388" i="42"/>
  <c r="AP389" i="42" s="1"/>
  <c r="AP387" i="42"/>
  <c r="AE380" i="42"/>
  <c r="AE382" i="42"/>
  <c r="AE387" i="42"/>
  <c r="AE383" i="42"/>
  <c r="AE381" i="42" s="1"/>
  <c r="AE388" i="42"/>
  <c r="AE389" i="42" s="1"/>
  <c r="AE379" i="42"/>
  <c r="AE385" i="42"/>
  <c r="AE384" i="42"/>
  <c r="AE386" i="42"/>
  <c r="Y386" i="42"/>
  <c r="Y380" i="42"/>
  <c r="Y379" i="42"/>
  <c r="Y388" i="42"/>
  <c r="Y389" i="42" s="1"/>
  <c r="Y387" i="42"/>
  <c r="Y383" i="42"/>
  <c r="Y384" i="42"/>
  <c r="Y385" i="42"/>
  <c r="Y382" i="42"/>
  <c r="BR387" i="42"/>
  <c r="BR380" i="42"/>
  <c r="BR382" i="42"/>
  <c r="BR385" i="42"/>
  <c r="BR383" i="42"/>
  <c r="BR386" i="42"/>
  <c r="BR379" i="42"/>
  <c r="BR384" i="42"/>
  <c r="BR388" i="42"/>
  <c r="BR389" i="42" s="1"/>
  <c r="AK380" i="42"/>
  <c r="AK388" i="42"/>
  <c r="AK389" i="42" s="1"/>
  <c r="AK387" i="42"/>
  <c r="AK379" i="42"/>
  <c r="AK386" i="42"/>
  <c r="AK383" i="42"/>
  <c r="AK382" i="42"/>
  <c r="AK384" i="42"/>
  <c r="AK385" i="42"/>
  <c r="BF381" i="42"/>
  <c r="AJ381" i="42"/>
  <c r="BL381" i="42"/>
  <c r="AQ381" i="42"/>
  <c r="BR381" i="42"/>
  <c r="AD381" i="42"/>
  <c r="X381" i="42"/>
  <c r="F21" i="51"/>
  <c r="AK381" i="42"/>
  <c r="S381" i="42"/>
  <c r="I20" i="51"/>
  <c r="G40" i="8"/>
  <c r="H20" i="51"/>
  <c r="AX36" i="38"/>
  <c r="AV36" i="38"/>
  <c r="AW36" i="38"/>
  <c r="AU38" i="38"/>
  <c r="AT37" i="38"/>
  <c r="AC25" i="42"/>
  <c r="AL38" i="42"/>
  <c r="T152" i="42"/>
  <c r="AA240" i="42"/>
  <c r="AB57" i="42"/>
  <c r="T242" i="42"/>
  <c r="K309" i="44"/>
  <c r="AB166" i="42"/>
  <c r="AG53" i="42"/>
  <c r="AH270" i="42"/>
  <c r="AM287" i="42"/>
  <c r="AO25" i="42"/>
  <c r="AG331" i="42"/>
  <c r="AH353" i="42"/>
  <c r="T186" i="42"/>
  <c r="AC190" i="42"/>
  <c r="AH210" i="42"/>
  <c r="AH20" i="42"/>
  <c r="AO207" i="42"/>
  <c r="T173" i="42"/>
  <c r="U92" i="42"/>
  <c r="AA138" i="42"/>
  <c r="U369" i="42"/>
  <c r="AB156" i="42"/>
  <c r="AN208" i="42"/>
  <c r="T103" i="42"/>
  <c r="AA99" i="42"/>
  <c r="Z31" i="42"/>
  <c r="AI229" i="42"/>
  <c r="K209" i="44"/>
  <c r="AI61" i="42"/>
  <c r="V42" i="42"/>
  <c r="AG305" i="42"/>
  <c r="AB74" i="42"/>
  <c r="AI139" i="42"/>
  <c r="AL180" i="42"/>
  <c r="AI233" i="42"/>
  <c r="AG49" i="42"/>
  <c r="AA313" i="42"/>
  <c r="AF193" i="42"/>
  <c r="AO145" i="42"/>
  <c r="AF173" i="42"/>
  <c r="AL59" i="42"/>
  <c r="AO124" i="42"/>
  <c r="AB80" i="42"/>
  <c r="Z142" i="42"/>
  <c r="U321" i="42"/>
  <c r="AF98" i="42"/>
  <c r="AW32" i="42"/>
  <c r="Z47" i="42"/>
  <c r="AO255" i="42"/>
  <c r="AL115" i="42"/>
  <c r="AF185" i="42"/>
  <c r="Z20" i="42"/>
  <c r="Z316" i="42"/>
  <c r="T140" i="42"/>
  <c r="AI303" i="42"/>
  <c r="AB210" i="42"/>
  <c r="AI272" i="42"/>
  <c r="AH23" i="42"/>
  <c r="T328" i="42"/>
  <c r="AA243" i="42"/>
  <c r="AL298" i="42"/>
  <c r="AB283" i="42"/>
  <c r="AO222" i="42"/>
  <c r="AB146" i="42"/>
  <c r="AB255" i="42"/>
  <c r="AN369" i="42"/>
  <c r="AL20" i="42"/>
  <c r="AB355" i="42"/>
  <c r="AI372" i="42"/>
  <c r="AN237" i="42"/>
  <c r="V168" i="42"/>
  <c r="AI204" i="42"/>
  <c r="AH59" i="42"/>
  <c r="U180" i="42"/>
  <c r="AG270" i="42"/>
  <c r="AM237" i="42"/>
  <c r="K265" i="44"/>
  <c r="AG187" i="42"/>
  <c r="V68" i="42"/>
  <c r="AM192" i="42"/>
  <c r="AA48" i="42"/>
  <c r="V247" i="42"/>
  <c r="AG189" i="42"/>
  <c r="AL28" i="42"/>
  <c r="V186" i="42"/>
  <c r="AG196" i="42"/>
  <c r="W57" i="42"/>
  <c r="K187" i="44"/>
  <c r="AH159" i="42"/>
  <c r="K288" i="44"/>
  <c r="AB91" i="42"/>
  <c r="Z282" i="42"/>
  <c r="V123" i="42"/>
  <c r="V21" i="42"/>
  <c r="AC310" i="42"/>
  <c r="AI116" i="42"/>
  <c r="AH128" i="42"/>
  <c r="AH253" i="42"/>
  <c r="AA364" i="42"/>
  <c r="Z66" i="42"/>
  <c r="W237" i="42"/>
  <c r="AF292" i="42"/>
  <c r="AF294" i="42"/>
  <c r="W301" i="42"/>
  <c r="AL278" i="42"/>
  <c r="AB157" i="42"/>
  <c r="AN147" i="42"/>
  <c r="AB228" i="42"/>
  <c r="AN261" i="42"/>
  <c r="AL151" i="42"/>
  <c r="AB22" i="42"/>
  <c r="AC303" i="42"/>
  <c r="AH372" i="42"/>
  <c r="AF204" i="42"/>
  <c r="AA30" i="42"/>
  <c r="AL206" i="42"/>
  <c r="AI356" i="42"/>
  <c r="AH332" i="42"/>
  <c r="AM165" i="42"/>
  <c r="AN158" i="42"/>
  <c r="W130" i="42"/>
  <c r="AO206" i="42"/>
  <c r="Z226" i="42"/>
  <c r="AL123" i="42"/>
  <c r="AF306" i="42"/>
  <c r="K300" i="44"/>
  <c r="AA127" i="42"/>
  <c r="K157" i="44"/>
  <c r="AA71" i="42"/>
  <c r="AH217" i="42"/>
  <c r="AC370" i="42"/>
  <c r="T371" i="42"/>
  <c r="AF143" i="42"/>
  <c r="W36" i="42"/>
  <c r="U247" i="42"/>
  <c r="Z351" i="42"/>
  <c r="AM362" i="42"/>
  <c r="AG228" i="42"/>
  <c r="AH213" i="42"/>
  <c r="AL352" i="42"/>
  <c r="AI166" i="42"/>
  <c r="AC307" i="42"/>
  <c r="V240" i="42"/>
  <c r="AO96" i="42"/>
  <c r="AL303" i="42"/>
  <c r="T300" i="42"/>
  <c r="AG198" i="42"/>
  <c r="AM38" i="42"/>
  <c r="AB216" i="42"/>
  <c r="AB107" i="42"/>
  <c r="W368" i="42"/>
  <c r="T79" i="42"/>
  <c r="T284" i="42"/>
  <c r="W116" i="42"/>
  <c r="AL177" i="42"/>
  <c r="AL19" i="42"/>
  <c r="T262" i="42"/>
  <c r="AF303" i="42"/>
  <c r="T139" i="42"/>
  <c r="AA336" i="42"/>
  <c r="U19" i="42"/>
  <c r="AC363" i="42"/>
  <c r="AG143" i="42"/>
  <c r="AI20" i="42"/>
  <c r="AC173" i="42"/>
  <c r="AL33" i="42"/>
  <c r="AI26" i="42"/>
  <c r="V80" i="42"/>
  <c r="T117" i="42"/>
  <c r="V92" i="42"/>
  <c r="AH297" i="42"/>
  <c r="W117" i="42"/>
  <c r="V55" i="42"/>
  <c r="AG119" i="42"/>
  <c r="T65" i="42"/>
  <c r="AM50" i="42"/>
  <c r="AI31" i="42"/>
  <c r="AM205" i="42"/>
  <c r="AO63" i="42"/>
  <c r="V271" i="42"/>
  <c r="V292" i="42"/>
  <c r="AM99" i="42"/>
  <c r="AB71" i="42"/>
  <c r="Z218" i="42"/>
  <c r="Z14" i="42"/>
  <c r="Z124" i="42"/>
  <c r="AC96" i="42"/>
  <c r="AL349" i="42"/>
  <c r="AN375" i="42"/>
  <c r="AL321" i="42"/>
  <c r="K118" i="44"/>
  <c r="AA352" i="42"/>
  <c r="AL64" i="42"/>
  <c r="AC118" i="42"/>
  <c r="AG361" i="42"/>
  <c r="AM74" i="42"/>
  <c r="AL132" i="42"/>
  <c r="V188" i="42"/>
  <c r="AG200" i="42"/>
  <c r="W102" i="42"/>
  <c r="AN54" i="42"/>
  <c r="V160" i="42"/>
  <c r="AG157" i="42"/>
  <c r="AG111" i="42"/>
  <c r="AC221" i="42"/>
  <c r="AC148" i="42"/>
  <c r="AC356" i="42"/>
  <c r="AG179" i="42"/>
  <c r="AC91" i="42"/>
  <c r="AN178" i="42"/>
  <c r="AN142" i="42"/>
  <c r="AF335" i="42"/>
  <c r="AN336" i="42"/>
  <c r="AF45" i="42"/>
  <c r="AB49" i="42"/>
  <c r="AO257" i="42"/>
  <c r="W127" i="42"/>
  <c r="AA298" i="42"/>
  <c r="AO273" i="42"/>
  <c r="AA309" i="42"/>
  <c r="V302" i="42"/>
  <c r="AB88" i="42"/>
  <c r="W248" i="42"/>
  <c r="AM186" i="42"/>
  <c r="T112" i="42"/>
  <c r="AF216" i="42"/>
  <c r="AN275" i="42"/>
  <c r="T374" i="42"/>
  <c r="AC167" i="42"/>
  <c r="AL314" i="42"/>
  <c r="W351" i="42"/>
  <c r="AF181" i="42"/>
  <c r="AF16" i="42"/>
  <c r="Z12" i="42"/>
  <c r="AC286" i="42"/>
  <c r="AH140" i="42"/>
  <c r="AC34" i="42"/>
  <c r="AM371" i="42"/>
  <c r="AB281" i="42"/>
  <c r="AI89" i="42"/>
  <c r="V137" i="42"/>
  <c r="AC273" i="42"/>
  <c r="K253" i="44"/>
  <c r="AB137" i="42"/>
  <c r="AH48" i="42"/>
  <c r="K368" i="44"/>
  <c r="AH360" i="42"/>
  <c r="AL224" i="42"/>
  <c r="AF342" i="42"/>
  <c r="T312" i="42"/>
  <c r="AH167" i="42"/>
  <c r="V217" i="42"/>
  <c r="AC184" i="42"/>
  <c r="AI38" i="42"/>
  <c r="V85" i="42"/>
  <c r="V253" i="42"/>
  <c r="W318" i="42"/>
  <c r="AI266" i="42"/>
  <c r="U145" i="42"/>
  <c r="AH185" i="42"/>
  <c r="K238" i="44"/>
  <c r="AL175" i="42"/>
  <c r="AB14" i="42"/>
  <c r="AL56" i="42"/>
  <c r="AL195" i="42"/>
  <c r="AM178" i="42"/>
  <c r="AA197" i="42"/>
  <c r="AF167" i="42"/>
  <c r="U163" i="42"/>
  <c r="AG306" i="42"/>
  <c r="AO39" i="42"/>
  <c r="AC22" i="42"/>
  <c r="W73" i="42"/>
  <c r="K116" i="44"/>
  <c r="W175" i="42"/>
  <c r="AF360" i="42"/>
  <c r="T251" i="42"/>
  <c r="Z292" i="42"/>
  <c r="AN86" i="42"/>
  <c r="AM70" i="42"/>
  <c r="AO223" i="42"/>
  <c r="T81" i="42"/>
  <c r="AO361" i="42"/>
  <c r="AM285" i="42"/>
  <c r="AN170" i="42"/>
  <c r="V183" i="42"/>
  <c r="V60" i="42"/>
  <c r="AC328" i="42"/>
  <c r="T201" i="42"/>
  <c r="AH110" i="42"/>
  <c r="V45" i="42"/>
  <c r="AB154" i="42"/>
  <c r="V101" i="42"/>
  <c r="AC327" i="42"/>
  <c r="AO295" i="42"/>
  <c r="AN298" i="42"/>
  <c r="AC77" i="42"/>
  <c r="V159" i="42"/>
  <c r="K16" i="44"/>
  <c r="V20" i="42"/>
  <c r="AO12" i="42"/>
  <c r="K274" i="44"/>
  <c r="U238" i="42"/>
  <c r="AM175" i="42"/>
  <c r="Z232" i="42"/>
  <c r="AH240" i="42"/>
  <c r="AL330" i="42"/>
  <c r="T193" i="42"/>
  <c r="AL246" i="42"/>
  <c r="T143" i="42"/>
  <c r="K56" i="44"/>
  <c r="AA331" i="42"/>
  <c r="AO109" i="42"/>
  <c r="AC71" i="42"/>
  <c r="AM339" i="42"/>
  <c r="AF49" i="42"/>
  <c r="AH319" i="42"/>
  <c r="Z122" i="42"/>
  <c r="AN255" i="42"/>
  <c r="AH225" i="42"/>
  <c r="K358" i="44"/>
  <c r="AF113" i="42"/>
  <c r="AO65" i="42"/>
  <c r="AH93" i="42"/>
  <c r="AL368" i="42"/>
  <c r="W291" i="42"/>
  <c r="T369" i="42"/>
  <c r="AH24" i="42"/>
  <c r="AH85" i="42"/>
  <c r="AO157" i="42"/>
  <c r="AG149" i="42"/>
  <c r="U48" i="42"/>
  <c r="V118" i="42"/>
  <c r="W25" i="42"/>
  <c r="AF146" i="42"/>
  <c r="AO181" i="42"/>
  <c r="AI217" i="42"/>
  <c r="AF227" i="42"/>
  <c r="AM127" i="42"/>
  <c r="U142" i="42"/>
  <c r="U363" i="42"/>
  <c r="AH373" i="42"/>
  <c r="AI200" i="42"/>
  <c r="AI360" i="42"/>
  <c r="AB196" i="42"/>
  <c r="AM294" i="42"/>
  <c r="Z356" i="42"/>
  <c r="AM358" i="42"/>
  <c r="V73" i="42"/>
  <c r="T74" i="42"/>
  <c r="T273" i="42"/>
  <c r="AC252" i="42"/>
  <c r="U267" i="42"/>
  <c r="U220" i="42"/>
  <c r="K336" i="44"/>
  <c r="Z131" i="42"/>
  <c r="AN303" i="42"/>
  <c r="AN179" i="42"/>
  <c r="AC168" i="42"/>
  <c r="AB266" i="42"/>
  <c r="Z368" i="42"/>
  <c r="AN22" i="42"/>
  <c r="K302" i="44"/>
  <c r="AN165" i="42"/>
  <c r="Z127" i="42"/>
  <c r="AI306" i="42"/>
  <c r="T283" i="42"/>
  <c r="AI126" i="42"/>
  <c r="AM312" i="42"/>
  <c r="K343" i="44"/>
  <c r="V279" i="42"/>
  <c r="AI267" i="42"/>
  <c r="AN360" i="42"/>
  <c r="AH370" i="42"/>
  <c r="U25" i="42"/>
  <c r="AF37" i="42"/>
  <c r="AL251" i="42"/>
  <c r="AM311" i="42"/>
  <c r="AL37" i="42"/>
  <c r="AC368" i="42"/>
  <c r="W155" i="42"/>
  <c r="U257" i="42"/>
  <c r="V372" i="42"/>
  <c r="AH177" i="42"/>
  <c r="AB125" i="42"/>
  <c r="Z303" i="42"/>
  <c r="AF172" i="42"/>
  <c r="V147" i="42"/>
  <c r="AL11" i="42"/>
  <c r="T346" i="42"/>
  <c r="AL141" i="42"/>
  <c r="AC134" i="42"/>
  <c r="AN146" i="42"/>
  <c r="AC136" i="42"/>
  <c r="AC115" i="42"/>
  <c r="AO89" i="42"/>
  <c r="AM104" i="42"/>
  <c r="AB240" i="42"/>
  <c r="AI96" i="42"/>
  <c r="AF290" i="42"/>
  <c r="W310" i="42"/>
  <c r="U102" i="42"/>
  <c r="AI133" i="42"/>
  <c r="K354" i="44"/>
  <c r="AI43" i="42"/>
  <c r="AF176" i="42"/>
  <c r="AL47" i="42"/>
  <c r="AM72" i="42"/>
  <c r="AM142" i="42"/>
  <c r="AH199" i="42"/>
  <c r="AI35" i="42"/>
  <c r="V105" i="42"/>
  <c r="V119" i="42"/>
  <c r="AB351" i="42"/>
  <c r="AW19" i="42"/>
  <c r="AG94" i="42"/>
  <c r="AO114" i="42"/>
  <c r="T326" i="42"/>
  <c r="AM83" i="42"/>
  <c r="AH183" i="42"/>
  <c r="T223" i="42"/>
  <c r="AF277" i="42"/>
  <c r="U89" i="42"/>
  <c r="AN304" i="42"/>
  <c r="Z310" i="42"/>
  <c r="AC322" i="42"/>
  <c r="AN35" i="42"/>
  <c r="AH178" i="42"/>
  <c r="W236" i="42"/>
  <c r="AA314" i="42"/>
  <c r="K186" i="44"/>
  <c r="W33" i="42"/>
  <c r="AA72" i="42"/>
  <c r="AN124" i="42"/>
  <c r="AB344" i="42"/>
  <c r="AC36" i="42"/>
  <c r="AI102" i="42"/>
  <c r="AM87" i="42"/>
  <c r="AA118" i="42"/>
  <c r="AH255" i="42"/>
  <c r="AV30" i="42"/>
  <c r="AM152" i="42"/>
  <c r="V149" i="42"/>
  <c r="U13" i="42"/>
  <c r="W152" i="42"/>
  <c r="AN279" i="42"/>
  <c r="W150" i="42"/>
  <c r="AH97" i="42"/>
  <c r="AF242" i="42"/>
  <c r="AG345" i="42"/>
  <c r="AG78" i="42"/>
  <c r="AC76" i="42"/>
  <c r="AO276" i="42"/>
  <c r="AH42" i="42"/>
  <c r="K179" i="44"/>
  <c r="AF313" i="42"/>
  <c r="U353" i="42"/>
  <c r="AF24" i="42"/>
  <c r="AB144" i="42"/>
  <c r="AI283" i="42"/>
  <c r="AO78" i="42"/>
  <c r="AO331" i="42"/>
  <c r="AB52" i="42"/>
  <c r="AN159" i="42"/>
  <c r="AC348" i="42"/>
  <c r="AI112" i="42"/>
  <c r="AL75" i="42"/>
  <c r="AN245" i="42"/>
  <c r="V200" i="42"/>
  <c r="U367" i="42"/>
  <c r="AF268" i="42"/>
  <c r="AB324" i="42"/>
  <c r="K360" i="44"/>
  <c r="AM29" i="42"/>
  <c r="W287" i="42"/>
  <c r="AC161" i="42"/>
  <c r="AF353" i="42"/>
  <c r="AN282" i="42"/>
  <c r="AC35" i="42"/>
  <c r="V189" i="42"/>
  <c r="Z22" i="42"/>
  <c r="AF109" i="42"/>
  <c r="K231" i="44"/>
  <c r="AA255" i="42"/>
  <c r="AN280" i="42"/>
  <c r="AH137" i="42"/>
  <c r="AH179" i="42"/>
  <c r="AC289" i="42"/>
  <c r="AF295" i="42"/>
  <c r="AM102" i="42"/>
  <c r="AF168" i="42"/>
  <c r="AC201" i="42"/>
  <c r="AI201" i="42"/>
  <c r="AL281" i="42"/>
  <c r="AO221" i="42"/>
  <c r="AG236" i="42"/>
  <c r="V125" i="42"/>
  <c r="AO22" i="42"/>
  <c r="AA198" i="42"/>
  <c r="AL68" i="42"/>
  <c r="AA128" i="42"/>
  <c r="V170" i="42"/>
  <c r="T192" i="42"/>
  <c r="V321" i="42"/>
  <c r="AH313" i="42"/>
  <c r="Z216" i="42"/>
  <c r="AF139" i="42"/>
  <c r="AA261" i="42"/>
  <c r="AA15" i="42"/>
  <c r="W249" i="42"/>
  <c r="Z274" i="42"/>
  <c r="AF121" i="42"/>
  <c r="T41" i="42"/>
  <c r="AF195" i="42"/>
  <c r="AC194" i="42"/>
  <c r="AM307" i="42"/>
  <c r="AA241" i="42"/>
  <c r="AO79" i="42"/>
  <c r="AG124" i="42"/>
  <c r="AA139" i="42"/>
  <c r="AF330" i="42"/>
  <c r="AC68" i="42"/>
  <c r="AA184" i="42"/>
  <c r="AL169" i="42"/>
  <c r="AA93" i="42"/>
  <c r="AH358" i="42"/>
  <c r="Z287" i="42"/>
  <c r="AF191" i="42"/>
  <c r="AA301" i="42"/>
  <c r="K99" i="44"/>
  <c r="K223" i="44"/>
  <c r="AH84" i="42"/>
  <c r="AM260" i="42"/>
  <c r="AL125" i="42"/>
  <c r="AG133" i="42"/>
  <c r="AC270" i="42"/>
  <c r="V25" i="42"/>
  <c r="AM233" i="42"/>
  <c r="V33" i="42"/>
  <c r="AN128" i="42"/>
  <c r="AF325" i="42"/>
  <c r="AA226" i="42"/>
  <c r="AF69" i="42"/>
  <c r="W346" i="42"/>
  <c r="AF174" i="42"/>
  <c r="AG109" i="42"/>
  <c r="AI371" i="42"/>
  <c r="AG19" i="42"/>
  <c r="AO171" i="42"/>
  <c r="V375" i="42"/>
  <c r="AH15" i="42"/>
  <c r="AL339" i="42"/>
  <c r="AH272" i="42"/>
  <c r="AA52" i="42"/>
  <c r="AO266" i="42"/>
  <c r="AI186" i="42"/>
  <c r="V225" i="42"/>
  <c r="W194" i="42"/>
  <c r="AN112" i="42"/>
  <c r="AL186" i="42"/>
  <c r="AF122" i="42"/>
  <c r="T131" i="42"/>
  <c r="AO156" i="42"/>
  <c r="T40" i="42"/>
  <c r="AN176" i="42"/>
  <c r="AB167" i="42"/>
  <c r="AG242" i="42"/>
  <c r="K81" i="44"/>
  <c r="AA234" i="42"/>
  <c r="AH311" i="42"/>
  <c r="T244" i="42"/>
  <c r="AH343" i="42"/>
  <c r="Z307" i="42"/>
  <c r="V331" i="42"/>
  <c r="AA21" i="42"/>
  <c r="AL286" i="42"/>
  <c r="AB231" i="42"/>
  <c r="K115" i="44"/>
  <c r="AO46" i="42"/>
  <c r="AH314" i="42"/>
  <c r="W79" i="42"/>
  <c r="AG235" i="42"/>
  <c r="AH340" i="42"/>
  <c r="AM247" i="42"/>
  <c r="AN162" i="42"/>
  <c r="AL220" i="42"/>
  <c r="AN118" i="42"/>
  <c r="AM283" i="42"/>
  <c r="AG37" i="42"/>
  <c r="K150" i="44"/>
  <c r="AN80" i="42"/>
  <c r="AM337" i="42"/>
  <c r="AN262" i="42"/>
  <c r="W104" i="42"/>
  <c r="AF366" i="42"/>
  <c r="V256" i="42"/>
  <c r="U31" i="42"/>
  <c r="AB225" i="42"/>
  <c r="K105" i="44"/>
  <c r="AL316" i="42"/>
  <c r="AG112" i="42"/>
  <c r="AB131" i="42"/>
  <c r="AA260" i="42"/>
  <c r="AB268" i="42"/>
  <c r="T118" i="42"/>
  <c r="T47" i="42"/>
  <c r="AC195" i="42"/>
  <c r="AC170" i="42"/>
  <c r="AB372" i="42"/>
  <c r="AB160" i="42"/>
  <c r="AB123" i="42"/>
  <c r="AF241" i="42"/>
  <c r="T255" i="42"/>
  <c r="V242" i="42"/>
  <c r="AM265" i="42"/>
  <c r="AG139" i="42"/>
  <c r="W211" i="42"/>
  <c r="Z160" i="42"/>
  <c r="AF183" i="42"/>
  <c r="K114" i="44"/>
  <c r="Z110" i="42"/>
  <c r="AW20" i="42"/>
  <c r="Z85" i="42"/>
  <c r="AB362" i="42"/>
  <c r="AI337" i="42"/>
  <c r="AI345" i="42"/>
  <c r="AH323" i="42"/>
  <c r="AM201" i="42"/>
  <c r="K88" i="44"/>
  <c r="AA216" i="42"/>
  <c r="T32" i="42"/>
  <c r="AG351" i="42"/>
  <c r="AN123" i="42"/>
  <c r="T219" i="42"/>
  <c r="T291" i="42"/>
  <c r="AM21" i="42"/>
  <c r="AC228" i="42"/>
  <c r="K54" i="44"/>
  <c r="W137" i="42"/>
  <c r="U132" i="42"/>
  <c r="Z228" i="42"/>
  <c r="AA155" i="42"/>
  <c r="AB242" i="42"/>
  <c r="AO218" i="42"/>
  <c r="AC354" i="42"/>
  <c r="AC250" i="42"/>
  <c r="AF246" i="42"/>
  <c r="AB340" i="42"/>
  <c r="Z180" i="42"/>
  <c r="AO213" i="42"/>
  <c r="AN131" i="42"/>
  <c r="AI142" i="42"/>
  <c r="AW24" i="42"/>
  <c r="AN182" i="42"/>
  <c r="AF41" i="42"/>
  <c r="AL223" i="42"/>
  <c r="V281" i="42"/>
  <c r="AB195" i="42"/>
  <c r="U158" i="42"/>
  <c r="W348" i="42"/>
  <c r="AL254" i="42"/>
  <c r="AH204" i="42"/>
  <c r="AA367" i="42"/>
  <c r="AI67" i="42"/>
  <c r="AI349" i="42"/>
  <c r="AF250" i="42"/>
  <c r="U338" i="42"/>
  <c r="V128" i="42"/>
  <c r="Z217" i="42"/>
  <c r="T80" i="42"/>
  <c r="AB212" i="42"/>
  <c r="AL103" i="42"/>
  <c r="AG101" i="42"/>
  <c r="U190" i="42"/>
  <c r="AI72" i="42"/>
  <c r="AA88" i="42"/>
  <c r="AF184" i="42"/>
  <c r="AO11" i="42"/>
  <c r="AL181" i="42"/>
  <c r="AB335" i="42"/>
  <c r="AF40" i="42"/>
  <c r="AL74" i="42"/>
  <c r="AO189" i="42"/>
  <c r="Z247" i="42"/>
  <c r="AG292" i="42"/>
  <c r="T266" i="42"/>
  <c r="AM219" i="42"/>
  <c r="AN36" i="42"/>
  <c r="AO278" i="42"/>
  <c r="AH13" i="42"/>
  <c r="W135" i="42"/>
  <c r="AB198" i="42"/>
  <c r="AN209" i="42"/>
  <c r="AM51" i="42"/>
  <c r="U354" i="42"/>
  <c r="AM253" i="42"/>
  <c r="Z137" i="42"/>
  <c r="AA276" i="42"/>
  <c r="AO254" i="42"/>
  <c r="AC208" i="42"/>
  <c r="U157" i="42"/>
  <c r="AF79" i="42"/>
  <c r="V287" i="42"/>
  <c r="AH211" i="42"/>
  <c r="AN172" i="42"/>
  <c r="AM88" i="42"/>
  <c r="AF58" i="42"/>
  <c r="AM197" i="42"/>
  <c r="AG221" i="42"/>
  <c r="AC353" i="42"/>
  <c r="AA299" i="42"/>
  <c r="AL182" i="42"/>
  <c r="V138" i="42"/>
  <c r="AL58" i="42"/>
  <c r="AF322" i="42"/>
  <c r="AA311" i="42"/>
  <c r="AM275" i="42"/>
  <c r="V300" i="42"/>
  <c r="AI49" i="42"/>
  <c r="V88" i="42"/>
  <c r="AI298" i="42"/>
  <c r="AM117" i="42"/>
  <c r="AO27" i="42"/>
  <c r="W343" i="42"/>
  <c r="U223" i="42"/>
  <c r="AH45" i="42"/>
  <c r="AL202" i="42"/>
  <c r="AH230" i="42"/>
  <c r="AG202" i="42"/>
  <c r="AI185" i="42"/>
  <c r="Z234" i="42"/>
  <c r="U45" i="42"/>
  <c r="T138" i="42"/>
  <c r="AO220" i="42"/>
  <c r="V309" i="42"/>
  <c r="T282" i="42"/>
  <c r="AB99" i="42"/>
  <c r="AL244" i="42"/>
  <c r="AB98" i="42"/>
  <c r="T142" i="42"/>
  <c r="AO281" i="42"/>
  <c r="AA54" i="42"/>
  <c r="AM366" i="42"/>
  <c r="Z290" i="42"/>
  <c r="AO135" i="42"/>
  <c r="T237" i="42"/>
  <c r="K237" i="44"/>
  <c r="AN240" i="42"/>
  <c r="T115" i="42"/>
  <c r="AO333" i="42"/>
  <c r="AA79" i="42"/>
  <c r="AM137" i="42"/>
  <c r="AH294" i="42"/>
  <c r="AL27" i="42"/>
  <c r="AH321" i="42"/>
  <c r="AC210" i="42"/>
  <c r="AG35" i="42"/>
  <c r="AL184" i="42"/>
  <c r="AN119" i="42"/>
  <c r="W124" i="42"/>
  <c r="AC197" i="42"/>
  <c r="AM238" i="42"/>
  <c r="AG247" i="42"/>
  <c r="AH237" i="42"/>
  <c r="AG120" i="42"/>
  <c r="AB245" i="42"/>
  <c r="V116" i="42"/>
  <c r="T285" i="42"/>
  <c r="Z266" i="42"/>
  <c r="Z344" i="42"/>
  <c r="K112" i="44"/>
  <c r="AN50" i="42"/>
  <c r="V310" i="42"/>
  <c r="AO373" i="42"/>
  <c r="AI269" i="42"/>
  <c r="AB126" i="42"/>
  <c r="AL200" i="42"/>
  <c r="AN229" i="42"/>
  <c r="Z62" i="42"/>
  <c r="AV18" i="42"/>
  <c r="U365" i="42"/>
  <c r="AA185" i="42"/>
  <c r="AH190" i="42"/>
  <c r="Z306" i="42"/>
  <c r="K177" i="44"/>
  <c r="AG152" i="42"/>
  <c r="AC26" i="42"/>
  <c r="T177" i="42"/>
  <c r="AM369" i="42"/>
  <c r="AC174" i="42"/>
  <c r="W179" i="42"/>
  <c r="K341" i="44"/>
  <c r="AF155" i="42"/>
  <c r="AH293" i="42"/>
  <c r="AL161" i="42"/>
  <c r="W224" i="42"/>
  <c r="AO94" i="42"/>
  <c r="AM326" i="42"/>
  <c r="AM296" i="42"/>
  <c r="K220" i="44"/>
  <c r="AG158" i="42"/>
  <c r="Z261" i="42"/>
  <c r="AG211" i="42"/>
  <c r="T222" i="42"/>
  <c r="T76" i="42"/>
  <c r="AC177" i="42"/>
  <c r="U80" i="42"/>
  <c r="AO23" i="42"/>
  <c r="K169" i="44"/>
  <c r="AN296" i="42"/>
  <c r="AL361" i="42"/>
  <c r="Z151" i="42"/>
  <c r="AL371" i="42"/>
  <c r="AH247" i="42"/>
  <c r="W263" i="42"/>
  <c r="AN53" i="42"/>
  <c r="W37" i="42"/>
  <c r="V365" i="42"/>
  <c r="Z277" i="42"/>
  <c r="V150" i="42"/>
  <c r="AI62" i="42"/>
  <c r="AL41" i="42"/>
  <c r="U16" i="42"/>
  <c r="T256" i="42"/>
  <c r="V64" i="42"/>
  <c r="AB89" i="42"/>
  <c r="W193" i="42"/>
  <c r="AA20" i="42"/>
  <c r="AL304" i="42"/>
  <c r="W181" i="42"/>
  <c r="AF371" i="42"/>
  <c r="AN329" i="42"/>
  <c r="AM46" i="42"/>
  <c r="AO20" i="42"/>
  <c r="AI82" i="42"/>
  <c r="AA40" i="42"/>
  <c r="AA66" i="42"/>
  <c r="W325" i="42"/>
  <c r="Z76" i="42"/>
  <c r="K202" i="44"/>
  <c r="U307" i="42"/>
  <c r="AN198" i="42"/>
  <c r="AV13" i="42"/>
  <c r="K146" i="44"/>
  <c r="AM110" i="42"/>
  <c r="AI125" i="42"/>
  <c r="AL307" i="42"/>
  <c r="V373" i="42"/>
  <c r="T83" i="42"/>
  <c r="AL234" i="42"/>
  <c r="K130" i="44"/>
  <c r="V43" i="42"/>
  <c r="AI205" i="42"/>
  <c r="U111" i="42"/>
  <c r="AM263" i="42"/>
  <c r="AO84" i="42"/>
  <c r="AL348" i="42"/>
  <c r="AC218" i="42"/>
  <c r="T99" i="42"/>
  <c r="U265" i="42"/>
  <c r="K248" i="44"/>
  <c r="W47" i="42"/>
  <c r="W350" i="42"/>
  <c r="AN149" i="42"/>
  <c r="AV14" i="42"/>
  <c r="AI117" i="42"/>
  <c r="AC230" i="42"/>
  <c r="AM73" i="42"/>
  <c r="AH258" i="42"/>
  <c r="AC265" i="42"/>
  <c r="K24" i="44"/>
  <c r="W238" i="42"/>
  <c r="AG218" i="42"/>
  <c r="AC147" i="42"/>
  <c r="AM209" i="42"/>
  <c r="AC185" i="42"/>
  <c r="U160" i="42"/>
  <c r="AI241" i="42"/>
  <c r="AH40" i="42"/>
  <c r="AI74" i="42"/>
  <c r="AG265" i="42"/>
  <c r="AN224" i="42"/>
  <c r="Z235" i="42"/>
  <c r="AC28" i="42"/>
  <c r="AA98" i="42"/>
  <c r="AI180" i="42"/>
  <c r="AG287" i="42"/>
  <c r="AH299" i="42"/>
  <c r="AO148" i="42"/>
  <c r="AN196" i="42"/>
  <c r="AG70" i="42"/>
  <c r="Z302" i="42"/>
  <c r="V335" i="42"/>
  <c r="V184" i="42"/>
  <c r="V154" i="42"/>
  <c r="AH331" i="42"/>
  <c r="AN202" i="42"/>
  <c r="AC111" i="42"/>
  <c r="V317" i="42"/>
  <c r="AC47" i="42"/>
  <c r="AH280" i="42"/>
  <c r="AA37" i="42"/>
  <c r="T232" i="42"/>
  <c r="AC331" i="42"/>
  <c r="V266" i="42"/>
  <c r="V243" i="42"/>
  <c r="AH339" i="42"/>
  <c r="AH147" i="42"/>
  <c r="AM271" i="42"/>
  <c r="K126" i="44"/>
  <c r="T241" i="42"/>
  <c r="U264" i="42"/>
  <c r="AA284" i="42"/>
  <c r="AO258" i="42"/>
  <c r="T307" i="42"/>
  <c r="U290" i="42"/>
  <c r="AN14" i="42"/>
  <c r="AO307" i="42"/>
  <c r="AF19" i="42"/>
  <c r="AC278" i="42"/>
  <c r="V245" i="42"/>
  <c r="AM309" i="42"/>
  <c r="AI69" i="42"/>
  <c r="AA278" i="42"/>
  <c r="AN25" i="42"/>
  <c r="AL150" i="42"/>
  <c r="AI336" i="42"/>
  <c r="Z93" i="42"/>
  <c r="Z291" i="42"/>
  <c r="AB40" i="42"/>
  <c r="AO98" i="42"/>
  <c r="W28" i="42"/>
  <c r="U106" i="42"/>
  <c r="AG69" i="42"/>
  <c r="AH320" i="42"/>
  <c r="AF147" i="42"/>
  <c r="AM313" i="42"/>
  <c r="U279" i="42"/>
  <c r="AI98" i="42"/>
  <c r="AF182" i="42"/>
  <c r="AM370" i="42"/>
  <c r="AA271" i="42"/>
  <c r="K44" i="44"/>
  <c r="AH53" i="42"/>
  <c r="U200" i="42"/>
  <c r="AI124" i="42"/>
  <c r="AB286" i="42"/>
  <c r="AA358" i="42"/>
  <c r="AH196" i="42"/>
  <c r="AC361" i="42"/>
  <c r="AC74" i="42"/>
  <c r="AO42" i="42"/>
  <c r="Z183" i="42"/>
  <c r="AB59" i="42"/>
  <c r="V156" i="42"/>
  <c r="AG193" i="42"/>
  <c r="AL137" i="42"/>
  <c r="AF163" i="42"/>
  <c r="AO238" i="42"/>
  <c r="AL218" i="42"/>
  <c r="Z54" i="42"/>
  <c r="AG311" i="42"/>
  <c r="AL191" i="42"/>
  <c r="Z364" i="42"/>
  <c r="AO313" i="42"/>
  <c r="AF39" i="42"/>
  <c r="T314" i="42"/>
  <c r="AA153" i="42"/>
  <c r="AG374" i="42"/>
  <c r="AI239" i="42"/>
  <c r="U81" i="42"/>
  <c r="K103" i="44"/>
  <c r="Z25" i="42"/>
  <c r="AH134" i="42"/>
  <c r="AO179" i="42"/>
  <c r="AI132" i="42"/>
  <c r="AH98" i="42"/>
  <c r="AC48" i="42"/>
  <c r="AG303" i="42"/>
  <c r="K261" i="44"/>
  <c r="V84" i="42"/>
  <c r="K32" i="44"/>
  <c r="AC191" i="42"/>
  <c r="AM54" i="42"/>
  <c r="AL366" i="42"/>
  <c r="AO355" i="42"/>
  <c r="U219" i="42"/>
  <c r="T238" i="42"/>
  <c r="AG278" i="42"/>
  <c r="Z134" i="42"/>
  <c r="AB272" i="42"/>
  <c r="T109" i="42"/>
  <c r="T27" i="42"/>
  <c r="AL215" i="42"/>
  <c r="AL13" i="42"/>
  <c r="AC60" i="42"/>
  <c r="AC180" i="42"/>
  <c r="AC226" i="42"/>
  <c r="AA50" i="42"/>
  <c r="AA232" i="42"/>
  <c r="AX35" i="42"/>
  <c r="V263" i="42"/>
  <c r="AF63" i="42"/>
  <c r="AG175" i="42"/>
  <c r="AB127" i="42"/>
  <c r="AC297" i="42"/>
  <c r="U234" i="42"/>
  <c r="K129" i="44"/>
  <c r="AM112" i="42"/>
  <c r="Z165" i="42"/>
  <c r="AH19" i="42"/>
  <c r="AN32" i="42"/>
  <c r="AC291" i="42"/>
  <c r="AF262" i="42"/>
  <c r="AB170" i="42"/>
  <c r="AB239" i="42"/>
  <c r="AG371" i="42"/>
  <c r="AM81" i="42"/>
  <c r="K266" i="44"/>
  <c r="K167" i="44"/>
  <c r="AM299" i="42"/>
  <c r="AG44" i="42"/>
  <c r="Z92" i="42"/>
  <c r="AB179" i="42"/>
  <c r="U335" i="42"/>
  <c r="AA180" i="42"/>
  <c r="Z370" i="42"/>
  <c r="AG315" i="42"/>
  <c r="AO224" i="42"/>
  <c r="AF116" i="42"/>
  <c r="AC209" i="42"/>
  <c r="AM252" i="42"/>
  <c r="V259" i="42"/>
  <c r="AM65" i="42"/>
  <c r="AO202" i="42"/>
  <c r="AA171" i="42"/>
  <c r="AM174" i="42"/>
  <c r="AH218" i="42"/>
  <c r="AF352" i="42"/>
  <c r="AB97" i="42"/>
  <c r="Z263" i="42"/>
  <c r="U60" i="42"/>
  <c r="AN317" i="42"/>
  <c r="Z210" i="42"/>
  <c r="AH312" i="42"/>
  <c r="AL171" i="42"/>
  <c r="AH107" i="42"/>
  <c r="AN56" i="42"/>
  <c r="AF77" i="42"/>
  <c r="W361" i="42"/>
  <c r="AM318" i="42"/>
  <c r="AG131" i="42"/>
  <c r="T333" i="42"/>
  <c r="W177" i="42"/>
  <c r="AH30" i="42"/>
  <c r="U301" i="42"/>
  <c r="AB214" i="42"/>
  <c r="AI318" i="42"/>
  <c r="T88" i="42"/>
  <c r="W303" i="42"/>
  <c r="AH22" i="42"/>
  <c r="K286" i="44"/>
  <c r="AM267" i="42"/>
  <c r="V46" i="42"/>
  <c r="Z358" i="42"/>
  <c r="AO133" i="42"/>
  <c r="AO211" i="42"/>
  <c r="W218" i="42"/>
  <c r="AA213" i="42"/>
  <c r="W374" i="42"/>
  <c r="AC345" i="42"/>
  <c r="W105" i="42"/>
  <c r="T352" i="42"/>
  <c r="V61" i="42"/>
  <c r="V267" i="42"/>
  <c r="AB305" i="42"/>
  <c r="V265" i="42"/>
  <c r="AO182" i="42"/>
  <c r="AO306" i="42"/>
  <c r="W232" i="42"/>
  <c r="AM30" i="42"/>
  <c r="T149" i="42"/>
  <c r="AA164" i="42"/>
  <c r="K242" i="44"/>
  <c r="AM304" i="42"/>
  <c r="AC259" i="42"/>
  <c r="AA218" i="42"/>
  <c r="AA207" i="42"/>
  <c r="Z152" i="42"/>
  <c r="AN122" i="42"/>
  <c r="AM229" i="42"/>
  <c r="AG166" i="42"/>
  <c r="AH315" i="42"/>
  <c r="K281" i="44"/>
  <c r="AB103" i="42"/>
  <c r="AB206" i="42"/>
  <c r="Z363" i="42"/>
  <c r="AG279" i="42"/>
  <c r="AL194" i="42"/>
  <c r="AC125" i="42"/>
  <c r="AC128" i="42"/>
  <c r="AI314" i="42"/>
  <c r="AN44" i="42"/>
  <c r="AH245" i="42"/>
  <c r="AM144" i="42"/>
  <c r="AB63" i="42"/>
  <c r="AC262" i="42"/>
  <c r="T122" i="42"/>
  <c r="V238" i="42"/>
  <c r="W112" i="42"/>
  <c r="K189" i="44"/>
  <c r="AL272" i="42"/>
  <c r="AI282" i="42"/>
  <c r="AH338" i="42"/>
  <c r="AW22" i="42"/>
  <c r="AB118" i="42"/>
  <c r="Z108" i="42"/>
  <c r="AH282" i="42"/>
  <c r="AI300" i="42"/>
  <c r="AB273" i="42"/>
  <c r="K350" i="44"/>
  <c r="K58" i="44"/>
  <c r="AG316" i="42"/>
  <c r="AB78" i="42"/>
  <c r="AA112" i="42"/>
  <c r="T339" i="42"/>
  <c r="AA133" i="42"/>
  <c r="AO335" i="42"/>
  <c r="AF170" i="42"/>
  <c r="AO192" i="42"/>
  <c r="AH65" i="42"/>
  <c r="AF189" i="42"/>
  <c r="AI172" i="42"/>
  <c r="AN164" i="42"/>
  <c r="K236" i="44"/>
  <c r="V291" i="42"/>
  <c r="AO175" i="42"/>
  <c r="V83" i="42"/>
  <c r="W42" i="42"/>
  <c r="AN276" i="42"/>
  <c r="AG80" i="42"/>
  <c r="T50" i="42"/>
  <c r="AB147" i="42"/>
  <c r="V174" i="42"/>
  <c r="AH250" i="42"/>
  <c r="AN372" i="42"/>
  <c r="AB183" i="42"/>
  <c r="T164" i="42"/>
  <c r="AM276" i="42"/>
  <c r="AA272" i="42"/>
  <c r="Z223" i="42"/>
  <c r="AB312" i="42"/>
  <c r="AL239" i="42"/>
  <c r="AL146" i="42"/>
  <c r="AN102" i="42"/>
  <c r="T372" i="42"/>
  <c r="Z53" i="42"/>
  <c r="U283" i="42"/>
  <c r="K222" i="44"/>
  <c r="W220" i="42"/>
  <c r="AG59" i="42"/>
  <c r="AM153" i="42"/>
  <c r="K366" i="44"/>
  <c r="Z77" i="42"/>
  <c r="W148" i="42"/>
  <c r="AI309" i="42"/>
  <c r="AH365" i="42"/>
  <c r="T309" i="42"/>
  <c r="U254" i="42"/>
  <c r="AA219" i="42"/>
  <c r="AG229" i="42"/>
  <c r="V278" i="42"/>
  <c r="AN155" i="42"/>
  <c r="V29" i="42"/>
  <c r="AN27" i="42"/>
  <c r="AG141" i="42"/>
  <c r="AB315" i="42"/>
  <c r="W345" i="42"/>
  <c r="AM235" i="42"/>
  <c r="AF74" i="42"/>
  <c r="V342" i="42"/>
  <c r="AC61" i="42"/>
  <c r="AM33" i="42"/>
  <c r="V277" i="42"/>
  <c r="AG312" i="42"/>
  <c r="AA347" i="42"/>
  <c r="V336" i="42"/>
  <c r="AM246" i="42"/>
  <c r="AC69" i="42"/>
  <c r="T368" i="42"/>
  <c r="W146" i="42"/>
  <c r="V273" i="42"/>
  <c r="T227" i="42"/>
  <c r="AL342" i="42"/>
  <c r="W281" i="42"/>
  <c r="U329" i="42"/>
  <c r="AF298" i="42"/>
  <c r="K252" i="44"/>
  <c r="AG362" i="42"/>
  <c r="AL110" i="42"/>
  <c r="AG271" i="42"/>
  <c r="AB108" i="42"/>
  <c r="AC283" i="42"/>
  <c r="AN342" i="42"/>
  <c r="AC306" i="42"/>
  <c r="AA230" i="42"/>
  <c r="U286" i="42"/>
  <c r="AF370" i="42"/>
  <c r="AB95" i="42"/>
  <c r="V270" i="42"/>
  <c r="AI211" i="42"/>
  <c r="AI255" i="42"/>
  <c r="AH142" i="42"/>
  <c r="AF179" i="42"/>
  <c r="AL40" i="42"/>
  <c r="AN110" i="42"/>
  <c r="AF56" i="42"/>
  <c r="AA39" i="42"/>
  <c r="AA59" i="42"/>
  <c r="W192" i="42"/>
  <c r="AI236" i="42"/>
  <c r="AG301" i="42"/>
  <c r="AB44" i="42"/>
  <c r="AC54" i="42"/>
  <c r="AF363" i="42"/>
  <c r="U148" i="42"/>
  <c r="AM109" i="42"/>
  <c r="T106" i="42"/>
  <c r="AM196" i="42"/>
  <c r="U281" i="42"/>
  <c r="W11" i="42"/>
  <c r="Z188" i="42"/>
  <c r="U214" i="42"/>
  <c r="AN46" i="42"/>
  <c r="AH249" i="42"/>
  <c r="AL214" i="42"/>
  <c r="AB337" i="42"/>
  <c r="AM261" i="42"/>
  <c r="AB133" i="42"/>
  <c r="AA304" i="42"/>
  <c r="Z328" i="42"/>
  <c r="K283" i="44"/>
  <c r="AL154" i="42"/>
  <c r="AB252" i="42"/>
  <c r="T325" i="42"/>
  <c r="AA274" i="42"/>
  <c r="Z40" i="42"/>
  <c r="V196" i="42"/>
  <c r="AH214" i="42"/>
  <c r="AG164" i="42"/>
  <c r="T54" i="42"/>
  <c r="Z189" i="42"/>
  <c r="AN38" i="42"/>
  <c r="U144" i="42"/>
  <c r="AF126" i="42"/>
  <c r="T37" i="42"/>
  <c r="AO52" i="42"/>
  <c r="AL359" i="42"/>
  <c r="AM321" i="42"/>
  <c r="AM353" i="42"/>
  <c r="W91" i="42"/>
  <c r="AL237" i="42"/>
  <c r="Z75" i="42"/>
  <c r="AI296" i="42"/>
  <c r="U140" i="42"/>
  <c r="AG201" i="42"/>
  <c r="K49" i="44"/>
  <c r="T25" i="42"/>
  <c r="W101" i="42"/>
  <c r="AN214" i="42"/>
  <c r="AM163" i="42"/>
  <c r="W302" i="42"/>
  <c r="AG227" i="42"/>
  <c r="AL91" i="42"/>
  <c r="AC263" i="42"/>
  <c r="AN341" i="42"/>
  <c r="K332" i="44"/>
  <c r="AG55" i="42"/>
  <c r="AN90" i="42"/>
  <c r="AL108" i="42"/>
  <c r="AF291" i="42"/>
  <c r="AF31" i="42"/>
  <c r="W122" i="42"/>
  <c r="V349" i="42"/>
  <c r="AL81" i="42"/>
  <c r="AB327" i="42"/>
  <c r="W22" i="42"/>
  <c r="AI11" i="42"/>
  <c r="AM232" i="42"/>
  <c r="AF331" i="42"/>
  <c r="AO353" i="42"/>
  <c r="W133" i="42"/>
  <c r="AF95" i="42"/>
  <c r="AC284" i="42"/>
  <c r="AO28" i="42"/>
  <c r="AF286" i="42"/>
  <c r="K151" i="44"/>
  <c r="AC99" i="42"/>
  <c r="AH238" i="42"/>
  <c r="W77" i="42"/>
  <c r="AB152" i="42"/>
  <c r="AH46" i="42"/>
  <c r="AH286" i="42"/>
  <c r="W356" i="42"/>
  <c r="AL65" i="42"/>
  <c r="AB365" i="42"/>
  <c r="AB348" i="42"/>
  <c r="AI78" i="42"/>
  <c r="AH184" i="42"/>
  <c r="V241" i="42"/>
  <c r="AA181" i="42"/>
  <c r="AN226" i="42"/>
  <c r="AO262" i="42"/>
  <c r="AB145" i="42"/>
  <c r="T33" i="42"/>
  <c r="Z195" i="42"/>
  <c r="T362" i="42"/>
  <c r="AH96" i="42"/>
  <c r="AA214" i="42"/>
  <c r="V98" i="42"/>
  <c r="AG61" i="42"/>
  <c r="AI327" i="42"/>
  <c r="AI374" i="42"/>
  <c r="AF198" i="42"/>
  <c r="AB18" i="42"/>
  <c r="W141" i="42"/>
  <c r="AI39" i="42"/>
  <c r="T207" i="42"/>
  <c r="AM56" i="42"/>
  <c r="AM314" i="42"/>
  <c r="U20" i="42"/>
  <c r="AL259" i="42"/>
  <c r="AN256" i="42"/>
  <c r="AO351" i="42"/>
  <c r="V234" i="42"/>
  <c r="AL290" i="42"/>
  <c r="AL172" i="42"/>
  <c r="U112" i="42"/>
  <c r="AM173" i="42"/>
  <c r="AH71" i="42"/>
  <c r="AM317" i="42"/>
  <c r="AI184" i="42"/>
  <c r="T110" i="42"/>
  <c r="AH168" i="42"/>
  <c r="U37" i="42"/>
  <c r="AB274" i="42"/>
  <c r="AL34" i="42"/>
  <c r="AF356" i="42"/>
  <c r="AH80" i="42"/>
  <c r="AI79" i="42"/>
  <c r="AI27" i="42"/>
  <c r="AA165" i="42"/>
  <c r="AG113" i="42"/>
  <c r="W44" i="42"/>
  <c r="Z35" i="42"/>
  <c r="W159" i="42"/>
  <c r="AG320" i="42"/>
  <c r="W266" i="42"/>
  <c r="Z194" i="42"/>
  <c r="K154" i="44"/>
  <c r="AA253" i="42"/>
  <c r="AF362" i="42"/>
  <c r="U225" i="42"/>
  <c r="AF124" i="42"/>
  <c r="AN177" i="42"/>
  <c r="AH64" i="42"/>
  <c r="AG99" i="42"/>
  <c r="Z13" i="42"/>
  <c r="U63" i="42"/>
  <c r="V205" i="42"/>
  <c r="AI369" i="42"/>
  <c r="AO195" i="42"/>
  <c r="AL135" i="42"/>
  <c r="AI70" i="42"/>
  <c r="AO177" i="42"/>
  <c r="AL83" i="42"/>
  <c r="W48" i="42"/>
  <c r="Z230" i="42"/>
  <c r="AO291" i="42"/>
  <c r="AB51" i="42"/>
  <c r="U288" i="42"/>
  <c r="T272" i="42"/>
  <c r="AB290" i="42"/>
  <c r="U36" i="42"/>
  <c r="W362" i="42"/>
  <c r="AA307" i="42"/>
  <c r="AO130" i="42"/>
  <c r="AN223" i="42"/>
  <c r="U332" i="42"/>
  <c r="AH292" i="42"/>
  <c r="AA100" i="42"/>
  <c r="AC215" i="42"/>
  <c r="V142" i="42"/>
  <c r="U183" i="42"/>
  <c r="T104" i="42"/>
  <c r="AN51" i="42"/>
  <c r="AC198" i="42"/>
  <c r="K35" i="44"/>
  <c r="Z29" i="42"/>
  <c r="AL44" i="42"/>
  <c r="AC346" i="42"/>
  <c r="AM18" i="42"/>
  <c r="AF311" i="42"/>
  <c r="AC104" i="42"/>
  <c r="AC32" i="42"/>
  <c r="T225" i="42"/>
  <c r="AC362" i="42"/>
  <c r="W14" i="42"/>
  <c r="AO121" i="42"/>
  <c r="Z15" i="42"/>
  <c r="AL35" i="42"/>
  <c r="AI260" i="42"/>
  <c r="AG188" i="42"/>
  <c r="U222" i="42"/>
  <c r="AB21" i="42"/>
  <c r="AN64" i="42"/>
  <c r="AH16" i="42"/>
  <c r="AF132" i="42"/>
  <c r="Z264" i="42"/>
  <c r="AL124" i="42"/>
  <c r="W103" i="42"/>
  <c r="AB62" i="42"/>
  <c r="AA89" i="42"/>
  <c r="AI152" i="42"/>
  <c r="AA215" i="42"/>
  <c r="T279" i="42"/>
  <c r="AB310" i="42"/>
  <c r="AB116" i="42"/>
  <c r="AC13" i="42"/>
  <c r="AA356" i="42"/>
  <c r="AH63" i="42"/>
  <c r="W171" i="42"/>
  <c r="W172" i="42"/>
  <c r="AL176" i="42"/>
  <c r="AM354" i="42"/>
  <c r="AL23" i="42"/>
  <c r="AM130" i="42"/>
  <c r="AO354" i="42"/>
  <c r="V75" i="42"/>
  <c r="V69" i="42"/>
  <c r="AB93" i="42"/>
  <c r="AC18" i="42"/>
  <c r="AC248" i="42"/>
  <c r="AI288" i="42"/>
  <c r="AM200" i="42"/>
  <c r="AG22" i="42"/>
  <c r="AI111" i="42"/>
  <c r="AB243" i="42"/>
  <c r="AH175" i="42"/>
  <c r="AF367" i="42"/>
  <c r="T116" i="42"/>
  <c r="AO118" i="42"/>
  <c r="Z272" i="42"/>
  <c r="AG336" i="42"/>
  <c r="AI158" i="42"/>
  <c r="AM223" i="42"/>
  <c r="AC153" i="42"/>
  <c r="Z157" i="42"/>
  <c r="AN289" i="42"/>
  <c r="AN81" i="42"/>
  <c r="AG272" i="42"/>
  <c r="V111" i="42"/>
  <c r="AI130" i="42"/>
  <c r="AO15" i="42"/>
  <c r="AH83" i="42"/>
  <c r="AG319" i="42"/>
  <c r="AC279" i="42"/>
  <c r="W280" i="42"/>
  <c r="AB207" i="42"/>
  <c r="AM158" i="42"/>
  <c r="V303" i="42"/>
  <c r="AI188" i="42"/>
  <c r="AN242" i="42"/>
  <c r="T304" i="42"/>
  <c r="AF115" i="42"/>
  <c r="AC119" i="42"/>
  <c r="AA173" i="42"/>
  <c r="AA28" i="42"/>
  <c r="AB194" i="42"/>
  <c r="Z372" i="42"/>
  <c r="AO188" i="42"/>
  <c r="T55" i="42"/>
  <c r="W267" i="42"/>
  <c r="AA342" i="42"/>
  <c r="AG240" i="42"/>
  <c r="AF104" i="42"/>
  <c r="AG137" i="42"/>
  <c r="V130" i="42"/>
  <c r="AI53" i="42"/>
  <c r="U178" i="42"/>
  <c r="AM59" i="42"/>
  <c r="AI313" i="42"/>
  <c r="AI17" i="42"/>
  <c r="W34" i="42"/>
  <c r="W311" i="42"/>
  <c r="V53" i="42"/>
  <c r="AB342" i="42"/>
  <c r="U309" i="42"/>
  <c r="AC137" i="42"/>
  <c r="AG239" i="42"/>
  <c r="AC240" i="42"/>
  <c r="K254" i="44"/>
  <c r="U326" i="42"/>
  <c r="AF35" i="42"/>
  <c r="Z295" i="42"/>
  <c r="AA333" i="42"/>
  <c r="U205" i="42"/>
  <c r="V81" i="42"/>
  <c r="AG56" i="42"/>
  <c r="AL256" i="42"/>
  <c r="T329" i="42"/>
  <c r="U256" i="42"/>
  <c r="AM167" i="42"/>
  <c r="Z138" i="42"/>
  <c r="AF99" i="42"/>
  <c r="T341" i="42"/>
  <c r="AC247" i="42"/>
  <c r="V363" i="42"/>
  <c r="T363" i="42"/>
  <c r="AG177" i="42"/>
  <c r="AF299" i="42"/>
  <c r="AH109" i="42"/>
  <c r="K344" i="44"/>
  <c r="U296" i="42"/>
  <c r="AB117" i="42"/>
  <c r="AO167" i="42"/>
  <c r="AB180" i="42"/>
  <c r="AM151" i="42"/>
  <c r="W225" i="42"/>
  <c r="AL336" i="42"/>
  <c r="K289" i="44"/>
  <c r="AO293" i="42"/>
  <c r="K210" i="44"/>
  <c r="AB309" i="42"/>
  <c r="K163" i="44"/>
  <c r="V87" i="42"/>
  <c r="AF118" i="42"/>
  <c r="AO297" i="42"/>
  <c r="AG100" i="42"/>
  <c r="AL208" i="42"/>
  <c r="AC84" i="42"/>
  <c r="K215" i="44"/>
  <c r="AF276" i="42"/>
  <c r="AO172" i="42"/>
  <c r="W366" i="42"/>
  <c r="AC360" i="42"/>
  <c r="AN332" i="42"/>
  <c r="AH241" i="42"/>
  <c r="AH106" i="42"/>
  <c r="AN249" i="42"/>
  <c r="AL185" i="42"/>
  <c r="AI289" i="42"/>
  <c r="AA108" i="42"/>
  <c r="W24" i="42"/>
  <c r="AO113" i="42"/>
  <c r="W76" i="42"/>
  <c r="AN42" i="42"/>
  <c r="Z192" i="42"/>
  <c r="AB263" i="42"/>
  <c r="K95" i="44"/>
  <c r="AL370" i="42"/>
  <c r="AA169" i="42"/>
  <c r="V145" i="42"/>
  <c r="AA265" i="42"/>
  <c r="AC162" i="42"/>
  <c r="AN326" i="42"/>
  <c r="AM148" i="42"/>
  <c r="AB289" i="42"/>
  <c r="AB285" i="42"/>
  <c r="AA266" i="42"/>
  <c r="K329" i="44"/>
  <c r="AL280" i="42"/>
  <c r="Z73" i="42"/>
  <c r="K194" i="44"/>
  <c r="K296" i="44"/>
  <c r="W49" i="42"/>
  <c r="AG261" i="42"/>
  <c r="AX25" i="42"/>
  <c r="V366" i="42"/>
  <c r="T170" i="42"/>
  <c r="K40" i="44"/>
  <c r="AB204" i="42"/>
  <c r="AA249" i="42"/>
  <c r="AM27" i="42"/>
  <c r="W89" i="42"/>
  <c r="W32" i="42"/>
  <c r="T226" i="42"/>
  <c r="T135" i="42"/>
  <c r="AL320" i="42"/>
  <c r="T26" i="42"/>
  <c r="K152" i="44"/>
  <c r="T206" i="42"/>
  <c r="AO43" i="42"/>
  <c r="AM149" i="42"/>
  <c r="AO280" i="42"/>
  <c r="AN47" i="42"/>
  <c r="AB336" i="42"/>
  <c r="AC267" i="42"/>
  <c r="AN318" i="42"/>
  <c r="AB311" i="42"/>
  <c r="AG160" i="42"/>
  <c r="Z48" i="42"/>
  <c r="AO358" i="42"/>
  <c r="AI218" i="42"/>
  <c r="AI47" i="42"/>
  <c r="AC63" i="42"/>
  <c r="AV29" i="42"/>
  <c r="Z144" i="42"/>
  <c r="V323" i="42"/>
  <c r="AC159" i="42"/>
  <c r="AC29" i="42"/>
  <c r="U356" i="42"/>
  <c r="AB76" i="42"/>
  <c r="AF106" i="42"/>
  <c r="AA328" i="42"/>
  <c r="AH79" i="42"/>
  <c r="AL296" i="42"/>
  <c r="AH336" i="42"/>
  <c r="AF314" i="42"/>
  <c r="AN117" i="42"/>
  <c r="AO58" i="42"/>
  <c r="U59" i="42"/>
  <c r="AO83" i="42"/>
  <c r="AM168" i="42"/>
  <c r="AO336" i="42"/>
  <c r="AN331" i="42"/>
  <c r="AL80" i="42"/>
  <c r="AG220" i="42"/>
  <c r="AL173" i="42"/>
  <c r="K43" i="44"/>
  <c r="AA204" i="42"/>
  <c r="AN352" i="42"/>
  <c r="AH350" i="42"/>
  <c r="T119" i="42"/>
  <c r="AO217" i="42"/>
  <c r="AL170" i="42"/>
  <c r="T111" i="42"/>
  <c r="AM44" i="42"/>
  <c r="AN105" i="42"/>
  <c r="AF33" i="42"/>
  <c r="AM290" i="42"/>
  <c r="AO260" i="42"/>
  <c r="AG140" i="42"/>
  <c r="AA113" i="42"/>
  <c r="AL329" i="42"/>
  <c r="V99" i="42"/>
  <c r="W205" i="42"/>
  <c r="U312" i="42"/>
  <c r="AA203" i="42"/>
  <c r="AA166" i="42"/>
  <c r="Z309" i="42"/>
  <c r="AC200" i="42"/>
  <c r="AG335" i="42"/>
  <c r="AN361" i="42"/>
  <c r="AN114" i="42"/>
  <c r="U300" i="42"/>
  <c r="AH87" i="42"/>
  <c r="AB159" i="42"/>
  <c r="AF90" i="42"/>
  <c r="AN314" i="42"/>
  <c r="AA292" i="42"/>
  <c r="AB161" i="42"/>
  <c r="AG36" i="42"/>
  <c r="AH337" i="42"/>
  <c r="AX14" i="42"/>
  <c r="AG262" i="42"/>
  <c r="AM335" i="42"/>
  <c r="AO136" i="42"/>
  <c r="AL328" i="42"/>
  <c r="AL358" i="42"/>
  <c r="AG20" i="42"/>
  <c r="AI75" i="42"/>
  <c r="AG253" i="42"/>
  <c r="AC51" i="42"/>
  <c r="K235" i="44"/>
  <c r="AC298" i="42"/>
  <c r="AG230" i="42"/>
  <c r="AO370" i="42"/>
  <c r="T310" i="42"/>
  <c r="AN43" i="42"/>
  <c r="AN358" i="42"/>
  <c r="AL356" i="42"/>
  <c r="AO197" i="42"/>
  <c r="AB165" i="42"/>
  <c r="W240" i="42"/>
  <c r="AB296" i="42"/>
  <c r="K60" i="44"/>
  <c r="AB223" i="42"/>
  <c r="Z176" i="42"/>
  <c r="AA281" i="42"/>
  <c r="AA44" i="42"/>
  <c r="T72" i="42"/>
  <c r="AL269" i="42"/>
  <c r="AF162" i="42"/>
  <c r="AN203" i="42"/>
  <c r="AB174" i="42"/>
  <c r="U320" i="42"/>
  <c r="AM214" i="42"/>
  <c r="Z357" i="42"/>
  <c r="AN70" i="42"/>
  <c r="AH66" i="42"/>
  <c r="AG209" i="42"/>
  <c r="AC20" i="42"/>
  <c r="AA280" i="42"/>
  <c r="AO139" i="42"/>
  <c r="K330" i="44"/>
  <c r="AI361" i="42"/>
  <c r="Z204" i="42"/>
  <c r="U201" i="42"/>
  <c r="AO241" i="42"/>
  <c r="AF103" i="42"/>
  <c r="AO134" i="42"/>
  <c r="AH144" i="42"/>
  <c r="W226" i="42"/>
  <c r="AN221" i="42"/>
  <c r="Z99" i="42"/>
  <c r="AN153" i="42"/>
  <c r="K52" i="44"/>
  <c r="AA259" i="42"/>
  <c r="AF270" i="42"/>
  <c r="AH291" i="42"/>
  <c r="V166" i="42"/>
  <c r="K257" i="44"/>
  <c r="AI147" i="42"/>
  <c r="U306" i="42"/>
  <c r="AO146" i="42"/>
  <c r="AB238" i="42"/>
  <c r="AL50" i="42"/>
  <c r="K25" i="44"/>
  <c r="AB202" i="42"/>
  <c r="W95" i="42"/>
  <c r="T276" i="42"/>
  <c r="AN75" i="42"/>
  <c r="AB149" i="42"/>
  <c r="W250" i="42"/>
  <c r="AG24" i="42"/>
  <c r="Z101" i="42"/>
  <c r="AM266" i="42"/>
  <c r="AM281" i="42"/>
  <c r="K362" i="44"/>
  <c r="AL326" i="42"/>
  <c r="AO178" i="42"/>
  <c r="AN306" i="42"/>
  <c r="Z367" i="42"/>
  <c r="Z128" i="42"/>
  <c r="AG135" i="42"/>
  <c r="AB244" i="42"/>
  <c r="T230" i="42"/>
  <c r="AA267" i="42"/>
  <c r="AC166" i="42"/>
  <c r="V367" i="42"/>
  <c r="U231" i="42"/>
  <c r="AB141" i="42"/>
  <c r="AN107" i="42"/>
  <c r="AC14" i="42"/>
  <c r="AF97" i="42"/>
  <c r="AL340" i="42"/>
  <c r="AO41" i="42"/>
  <c r="AH296" i="42"/>
  <c r="T347" i="42"/>
  <c r="AB124" i="42"/>
  <c r="AM227" i="42"/>
  <c r="AN21" i="42"/>
  <c r="AF201" i="42"/>
  <c r="AF332" i="42"/>
  <c r="W132" i="42"/>
  <c r="AB220" i="42"/>
  <c r="AA175" i="42"/>
  <c r="AI182" i="42"/>
  <c r="AO196" i="42"/>
  <c r="W371" i="42"/>
  <c r="Z27" i="42"/>
  <c r="AC80" i="42"/>
  <c r="W75" i="42"/>
  <c r="U139" i="42"/>
  <c r="AF130" i="42"/>
  <c r="AC75" i="42"/>
  <c r="AA237" i="42"/>
  <c r="K262" i="44"/>
  <c r="AO249" i="42"/>
  <c r="U259" i="42"/>
  <c r="AC219" i="42"/>
  <c r="AN127" i="42"/>
  <c r="AM319" i="42"/>
  <c r="AB190" i="42"/>
  <c r="AF323" i="42"/>
  <c r="AA146" i="42"/>
  <c r="AA192" i="42"/>
  <c r="U138" i="42"/>
  <c r="AI59" i="42"/>
  <c r="T233" i="42"/>
  <c r="T155" i="42"/>
  <c r="AN312" i="42"/>
  <c r="AL97" i="42"/>
  <c r="AO330" i="42"/>
  <c r="W195" i="42"/>
  <c r="AM184" i="42"/>
  <c r="K208" i="44"/>
  <c r="AM125" i="42"/>
  <c r="AN187" i="42"/>
  <c r="AL153" i="42"/>
  <c r="AL25" i="42"/>
  <c r="Z196" i="42"/>
  <c r="AM250" i="42"/>
  <c r="AO62" i="42"/>
  <c r="Z18" i="42"/>
  <c r="AB211" i="42"/>
  <c r="T330" i="42"/>
  <c r="AL192" i="42"/>
  <c r="AL118" i="42"/>
  <c r="AI355" i="42"/>
  <c r="AL317" i="42"/>
  <c r="AC46" i="42"/>
  <c r="T252" i="42"/>
  <c r="AO299" i="42"/>
  <c r="AB60" i="42"/>
  <c r="AH34" i="42"/>
  <c r="AI277" i="42"/>
  <c r="AN315" i="42"/>
  <c r="AF114" i="42"/>
  <c r="K251" i="44"/>
  <c r="AL87" i="42"/>
  <c r="AF141" i="42"/>
  <c r="AO68" i="42"/>
  <c r="T13" i="42"/>
  <c r="U221" i="42"/>
  <c r="AG153" i="42"/>
  <c r="Z147" i="42"/>
  <c r="AI237" i="42"/>
  <c r="AM239" i="42"/>
  <c r="AI254" i="42"/>
  <c r="AH359" i="42"/>
  <c r="AH152" i="42"/>
  <c r="Z38" i="42"/>
  <c r="AA141" i="42"/>
  <c r="AO340" i="42"/>
  <c r="AO168" i="42"/>
  <c r="Z315" i="42"/>
  <c r="K214" i="44"/>
  <c r="AF293" i="42"/>
  <c r="AW26" i="42"/>
  <c r="AL341" i="42"/>
  <c r="AM28" i="42"/>
  <c r="AF20" i="42"/>
  <c r="AI50" i="42"/>
  <c r="AF23" i="42"/>
  <c r="AN349" i="42"/>
  <c r="V297" i="42"/>
  <c r="AH112" i="42"/>
  <c r="AO153" i="42"/>
  <c r="AN213" i="42"/>
  <c r="AF329" i="42"/>
  <c r="W234" i="42"/>
  <c r="AL345" i="42"/>
  <c r="AH325" i="42"/>
  <c r="U285" i="42"/>
  <c r="AL333" i="42"/>
  <c r="AN302" i="42"/>
  <c r="AO108" i="42"/>
  <c r="Z284" i="42"/>
  <c r="AB53" i="42"/>
  <c r="AF197" i="42"/>
  <c r="AG346" i="42"/>
  <c r="T268" i="42"/>
  <c r="U126" i="42"/>
  <c r="K53" i="44"/>
  <c r="AA114" i="42"/>
  <c r="U305" i="42"/>
  <c r="AC211" i="42"/>
  <c r="AO243" i="42"/>
  <c r="AN348" i="42"/>
  <c r="W88" i="42"/>
  <c r="W149" i="42"/>
  <c r="AN204" i="42"/>
  <c r="AO38" i="42"/>
  <c r="U224" i="42"/>
  <c r="AN109" i="42"/>
  <c r="V269" i="42"/>
  <c r="T154" i="42"/>
  <c r="AC295" i="42"/>
  <c r="T364" i="42"/>
  <c r="AG71" i="42"/>
  <c r="V140" i="42"/>
  <c r="AM372" i="42"/>
  <c r="AM329" i="42"/>
  <c r="AA140" i="42"/>
  <c r="AC182" i="42"/>
  <c r="U169" i="42"/>
  <c r="U246" i="42"/>
  <c r="AO51" i="42"/>
  <c r="AG321" i="42"/>
  <c r="U253" i="42"/>
  <c r="AF263" i="42"/>
  <c r="AM108" i="42"/>
  <c r="AL365" i="42"/>
  <c r="AN104" i="42"/>
  <c r="U121" i="42"/>
  <c r="Z164" i="42"/>
  <c r="AB85" i="42"/>
  <c r="AC220" i="42"/>
  <c r="W241" i="42"/>
  <c r="W235" i="42"/>
  <c r="AO205" i="42"/>
  <c r="AL121" i="42"/>
  <c r="AM78" i="42"/>
  <c r="AN111" i="42"/>
  <c r="AG26" i="42"/>
  <c r="V235" i="42"/>
  <c r="AO264" i="42"/>
  <c r="AM295" i="42"/>
  <c r="AL166" i="42"/>
  <c r="AH129" i="42"/>
  <c r="AM122" i="42"/>
  <c r="AI66" i="42"/>
  <c r="T248" i="42"/>
  <c r="AI122" i="42"/>
  <c r="AC314" i="42"/>
  <c r="K234" i="44"/>
  <c r="U274" i="42"/>
  <c r="K295" i="44"/>
  <c r="W344" i="42"/>
  <c r="AB264" i="42"/>
  <c r="AL29" i="42"/>
  <c r="AM62" i="42"/>
  <c r="AC129" i="42"/>
  <c r="AW18" i="42"/>
  <c r="AC335" i="42"/>
  <c r="AH149" i="42"/>
  <c r="AA238" i="42"/>
  <c r="AM248" i="42"/>
  <c r="AH345" i="42"/>
  <c r="T322" i="42"/>
  <c r="AM273" i="42"/>
  <c r="AH279" i="42"/>
  <c r="AM159" i="42"/>
  <c r="AI294" i="42"/>
  <c r="K83" i="44"/>
  <c r="AC95" i="42"/>
  <c r="U17" i="42"/>
  <c r="AH111" i="42"/>
  <c r="W261" i="42"/>
  <c r="AG60" i="42"/>
  <c r="W282" i="42"/>
  <c r="AC336" i="42"/>
  <c r="AM121" i="42"/>
  <c r="Z207" i="42"/>
  <c r="AI275" i="42"/>
  <c r="V305" i="42"/>
  <c r="AN168" i="42"/>
  <c r="AL260" i="42"/>
  <c r="AG147" i="42"/>
  <c r="AO375" i="42"/>
  <c r="U243" i="42"/>
  <c r="AF171" i="42"/>
  <c r="AB321" i="42"/>
  <c r="K291" i="44"/>
  <c r="AC186" i="42"/>
  <c r="U171" i="42"/>
  <c r="Z265" i="42"/>
  <c r="AM185" i="42"/>
  <c r="T205" i="42"/>
  <c r="Z237" i="42"/>
  <c r="U146" i="42"/>
  <c r="AA182" i="42"/>
  <c r="K145" i="44"/>
  <c r="AG194" i="42"/>
  <c r="AN188" i="42"/>
  <c r="AM255" i="42"/>
  <c r="W353" i="42"/>
  <c r="AG349" i="42"/>
  <c r="AC330" i="42"/>
  <c r="AH302" i="42"/>
  <c r="AI167" i="42"/>
  <c r="AC287" i="42"/>
  <c r="AC109" i="42"/>
  <c r="K164" i="44"/>
  <c r="AG46" i="42"/>
  <c r="AC367" i="42"/>
  <c r="AN366" i="42"/>
  <c r="AI358" i="42"/>
  <c r="AC145" i="42"/>
  <c r="AI268" i="42"/>
  <c r="U24" i="42"/>
  <c r="AC224" i="42"/>
  <c r="Z116" i="42"/>
  <c r="AI340" i="42"/>
  <c r="AA168" i="42"/>
  <c r="AB295" i="42"/>
  <c r="AL42" i="42"/>
  <c r="Z162" i="42"/>
  <c r="AI339" i="42"/>
  <c r="AI60" i="42"/>
  <c r="Z69" i="42"/>
  <c r="AC120" i="42"/>
  <c r="AN367" i="42"/>
  <c r="AF349" i="42"/>
  <c r="T327" i="42"/>
  <c r="T239" i="42"/>
  <c r="AN106" i="42"/>
  <c r="AH257" i="42"/>
  <c r="AH135" i="42"/>
  <c r="AH86" i="42"/>
  <c r="K197" i="44"/>
  <c r="AL95" i="42"/>
  <c r="Z126" i="42"/>
  <c r="AH232" i="42"/>
  <c r="W305" i="42"/>
  <c r="AI244" i="42"/>
  <c r="T209" i="42"/>
  <c r="Z208" i="42"/>
  <c r="AF315" i="42"/>
  <c r="AO116" i="42"/>
  <c r="AB330" i="42"/>
  <c r="AN150" i="42"/>
  <c r="AA269" i="42"/>
  <c r="AG215" i="42"/>
  <c r="Z324" i="42"/>
  <c r="K228" i="44"/>
  <c r="AH115" i="42"/>
  <c r="AC288" i="42"/>
  <c r="AG257" i="42"/>
  <c r="AF308" i="42"/>
  <c r="T208" i="42"/>
  <c r="AN129" i="42"/>
  <c r="AI44" i="42"/>
  <c r="AA27" i="42"/>
  <c r="T318" i="42"/>
  <c r="AI34" i="42"/>
  <c r="AB341" i="42"/>
  <c r="K331" i="44"/>
  <c r="Z81" i="42"/>
  <c r="AG252" i="42"/>
  <c r="AF273" i="42"/>
  <c r="AO363" i="42"/>
  <c r="AI225" i="42"/>
  <c r="W165" i="42"/>
  <c r="Z88" i="42"/>
  <c r="AM183" i="42"/>
  <c r="AH35" i="42"/>
  <c r="K293" i="44"/>
  <c r="AG280" i="42"/>
  <c r="AO64" i="42"/>
  <c r="AO338" i="42"/>
  <c r="AM69" i="42"/>
  <c r="AO350" i="42"/>
  <c r="AN192" i="42"/>
  <c r="T195" i="42"/>
  <c r="AA188" i="42"/>
  <c r="AN287" i="42"/>
  <c r="W107" i="42"/>
  <c r="AO201" i="42"/>
  <c r="AB267" i="42"/>
  <c r="Z249" i="42"/>
  <c r="AI338" i="42"/>
  <c r="AC268" i="42"/>
  <c r="AC31" i="42"/>
  <c r="U152" i="42"/>
  <c r="W296" i="42"/>
  <c r="T51" i="42"/>
  <c r="AM133" i="42"/>
  <c r="AC227" i="42"/>
  <c r="K23" i="44"/>
  <c r="Z193" i="42"/>
  <c r="U319" i="42"/>
  <c r="AH52" i="42"/>
  <c r="AA322" i="42"/>
  <c r="AL31" i="42"/>
  <c r="AL12" i="42"/>
  <c r="AM68" i="42"/>
  <c r="V322" i="42"/>
  <c r="T338" i="42"/>
  <c r="AH170" i="42"/>
  <c r="W331" i="42"/>
  <c r="K206" i="44"/>
  <c r="T254" i="42"/>
  <c r="U333" i="42"/>
  <c r="AH82" i="42"/>
  <c r="AB27" i="42"/>
  <c r="AG11" i="42"/>
  <c r="W210" i="42"/>
  <c r="T270" i="42"/>
  <c r="K140" i="44"/>
  <c r="W52" i="42"/>
  <c r="AH187" i="42"/>
  <c r="AO214" i="42"/>
  <c r="AA229" i="42"/>
  <c r="AI100" i="42"/>
  <c r="AO349" i="42"/>
  <c r="V193" i="42"/>
  <c r="AA69" i="42"/>
  <c r="U237" i="42"/>
  <c r="U124" i="42"/>
  <c r="W100" i="42"/>
  <c r="AH105" i="42"/>
  <c r="W110" i="42"/>
  <c r="Z211" i="42"/>
  <c r="AO117" i="42"/>
  <c r="Z276" i="42"/>
  <c r="AG226" i="42"/>
  <c r="AI163" i="42"/>
  <c r="V126" i="42"/>
  <c r="Z51" i="42"/>
  <c r="AH348" i="42"/>
  <c r="AC344" i="42"/>
  <c r="AA55" i="42"/>
  <c r="AI143" i="42"/>
  <c r="AO57" i="42"/>
  <c r="AA351" i="42"/>
  <c r="W269" i="42"/>
  <c r="W53" i="42"/>
  <c r="U11" i="42"/>
  <c r="AF321" i="42"/>
  <c r="AG258" i="42"/>
  <c r="U236" i="42"/>
  <c r="AB278" i="42"/>
  <c r="AL213" i="42"/>
  <c r="AH310" i="42"/>
  <c r="AO325" i="42"/>
  <c r="AO155" i="42"/>
  <c r="AB111" i="42"/>
  <c r="AA235" i="42"/>
  <c r="AM114" i="42"/>
  <c r="AF194" i="42"/>
  <c r="AI103" i="42"/>
  <c r="V298" i="42"/>
  <c r="AC212" i="42"/>
  <c r="AL229" i="42"/>
  <c r="U258" i="42"/>
  <c r="W314" i="42"/>
  <c r="AI353" i="42"/>
  <c r="U315" i="42"/>
  <c r="AH41" i="42"/>
  <c r="AG159" i="42"/>
  <c r="AL323" i="42"/>
  <c r="AF215" i="42"/>
  <c r="AA323" i="42"/>
  <c r="U228" i="42"/>
  <c r="V230" i="42"/>
  <c r="K147" i="44"/>
  <c r="Z243" i="42"/>
  <c r="AL199" i="42"/>
  <c r="AH11" i="42"/>
  <c r="T57" i="42"/>
  <c r="AN97" i="42"/>
  <c r="AC55" i="42"/>
  <c r="W274" i="42"/>
  <c r="V283" i="42"/>
  <c r="AO282" i="42"/>
  <c r="T38" i="42"/>
  <c r="AM169" i="42"/>
  <c r="AG295" i="42"/>
  <c r="AH277" i="42"/>
  <c r="AA317" i="42"/>
  <c r="V360" i="42"/>
  <c r="AC19" i="42"/>
  <c r="W294" i="42"/>
  <c r="AI165" i="42"/>
  <c r="U96" i="42"/>
  <c r="AF341" i="42"/>
  <c r="AH155" i="42"/>
  <c r="AC103" i="42"/>
  <c r="AF46" i="42"/>
  <c r="AF274" i="42"/>
  <c r="T189" i="42"/>
  <c r="AN29" i="42"/>
  <c r="T84" i="42"/>
  <c r="AM128" i="42"/>
  <c r="AN345" i="42"/>
  <c r="AH221" i="42"/>
  <c r="U179" i="42"/>
  <c r="U127" i="42"/>
  <c r="AC23" i="42"/>
  <c r="AH17" i="42"/>
  <c r="U44" i="42"/>
  <c r="Z304" i="42"/>
  <c r="Z175" i="42"/>
  <c r="AG359" i="42"/>
  <c r="AV21" i="42"/>
  <c r="AM226" i="42"/>
  <c r="K133" i="44"/>
  <c r="V339" i="42"/>
  <c r="AH139" i="42"/>
  <c r="T370" i="42"/>
  <c r="AN362" i="42"/>
  <c r="U216" i="42"/>
  <c r="AI363" i="42"/>
  <c r="AN365" i="42"/>
  <c r="AG84" i="42"/>
  <c r="AG314" i="42"/>
  <c r="AM258" i="42"/>
  <c r="AN67" i="42"/>
  <c r="T91" i="42"/>
  <c r="AC178" i="42"/>
  <c r="AF212" i="42"/>
  <c r="W140" i="42"/>
  <c r="AA179" i="42"/>
  <c r="AA344" i="42"/>
  <c r="W123" i="42"/>
  <c r="W283" i="42"/>
  <c r="AL291" i="42"/>
  <c r="AC217" i="42"/>
  <c r="AG210" i="42"/>
  <c r="AF22" i="42"/>
  <c r="AI68" i="42"/>
  <c r="AM179" i="42"/>
  <c r="AA67" i="42"/>
  <c r="V78" i="42"/>
  <c r="AI305" i="42"/>
  <c r="AA282" i="42"/>
  <c r="AC116" i="42"/>
  <c r="AC261" i="42"/>
  <c r="AO174" i="42"/>
  <c r="AL18" i="42"/>
  <c r="T324" i="42"/>
  <c r="AC179" i="42"/>
  <c r="W21" i="42"/>
  <c r="AL134" i="42"/>
  <c r="AC235" i="42"/>
  <c r="AH259" i="42"/>
  <c r="AI284" i="42"/>
  <c r="Z375" i="42"/>
  <c r="AF111" i="42"/>
  <c r="K41" i="44"/>
  <c r="AF269" i="42"/>
  <c r="Z350" i="42"/>
  <c r="AF88" i="42"/>
  <c r="AF252" i="42"/>
  <c r="U47" i="42"/>
  <c r="AA177" i="42"/>
  <c r="AA159" i="42"/>
  <c r="U181" i="42"/>
  <c r="AG134" i="42"/>
  <c r="AG294" i="42"/>
  <c r="W174" i="42"/>
  <c r="AN337" i="42"/>
  <c r="T234" i="42"/>
  <c r="AM40" i="42"/>
  <c r="AB187" i="42"/>
  <c r="V233" i="42"/>
  <c r="V308" i="42"/>
  <c r="AB122" i="42"/>
  <c r="V218" i="42"/>
  <c r="AN351" i="42"/>
  <c r="V255" i="42"/>
  <c r="AF169" i="42"/>
  <c r="T15" i="42"/>
  <c r="T311" i="42"/>
  <c r="Z325" i="42"/>
  <c r="AF288" i="42"/>
  <c r="AF374" i="42"/>
  <c r="U244" i="42"/>
  <c r="AO344" i="42"/>
  <c r="AM293" i="42"/>
  <c r="Z275" i="42"/>
  <c r="AO149" i="42"/>
  <c r="AI242" i="42"/>
  <c r="Z153" i="42"/>
  <c r="K346" i="44"/>
  <c r="AA135" i="42"/>
  <c r="T277" i="42"/>
  <c r="AN323" i="42"/>
  <c r="Z334" i="42"/>
  <c r="T58" i="42"/>
  <c r="AB192" i="42"/>
  <c r="U269" i="42"/>
  <c r="AN95" i="42"/>
  <c r="AO106" i="42"/>
  <c r="K171" i="44"/>
  <c r="AH37" i="42"/>
  <c r="AA199" i="42"/>
  <c r="AA145" i="42"/>
  <c r="K70" i="44"/>
  <c r="K351" i="44"/>
  <c r="V228" i="42"/>
  <c r="AN257" i="42"/>
  <c r="U88" i="42"/>
  <c r="W298" i="42"/>
  <c r="AB297" i="42"/>
  <c r="AN23" i="42"/>
  <c r="W190" i="42"/>
  <c r="AH374" i="42"/>
  <c r="W320" i="42"/>
  <c r="AL178" i="42"/>
  <c r="AG122" i="42"/>
  <c r="AN222" i="42"/>
  <c r="V260" i="42"/>
  <c r="U348" i="42"/>
  <c r="AL248" i="42"/>
  <c r="AO229" i="42"/>
  <c r="AF59" i="42"/>
  <c r="AN334" i="42"/>
  <c r="T303" i="42"/>
  <c r="AF30" i="42"/>
  <c r="AG354" i="42"/>
  <c r="U357" i="42"/>
  <c r="AH361" i="42"/>
  <c r="T360" i="42"/>
  <c r="AI216" i="42"/>
  <c r="AB222" i="42"/>
  <c r="AM356" i="42"/>
  <c r="AI127" i="42"/>
  <c r="AM43" i="42"/>
  <c r="AG213" i="42"/>
  <c r="AH77" i="42"/>
  <c r="AB209" i="42"/>
  <c r="W164" i="42"/>
  <c r="K180" i="44"/>
  <c r="W342" i="42"/>
  <c r="AN288" i="42"/>
  <c r="K78" i="44"/>
  <c r="V201" i="42"/>
  <c r="AB253" i="42"/>
  <c r="AM289" i="42"/>
  <c r="AM331" i="42"/>
  <c r="K173" i="44"/>
  <c r="U54" i="42"/>
  <c r="AV33" i="42"/>
  <c r="V134" i="42"/>
  <c r="AC372" i="42"/>
  <c r="AM292" i="42"/>
  <c r="AN138" i="42"/>
  <c r="AI29" i="42"/>
  <c r="AI129" i="42"/>
  <c r="AH113" i="42"/>
  <c r="AG91" i="42"/>
  <c r="T125" i="42"/>
  <c r="AF255" i="42"/>
  <c r="AA120" i="42"/>
  <c r="U314" i="42"/>
  <c r="U77" i="42"/>
  <c r="AF192" i="42"/>
  <c r="AH363" i="42"/>
  <c r="AG333" i="42"/>
  <c r="AA330" i="42"/>
  <c r="T156" i="42"/>
  <c r="AO170" i="42"/>
  <c r="AF102" i="42"/>
  <c r="AI155" i="42"/>
  <c r="AN291" i="42"/>
  <c r="AO341" i="42"/>
  <c r="AG183" i="42"/>
  <c r="V171" i="42"/>
  <c r="AO251" i="42"/>
  <c r="AL54" i="42"/>
  <c r="AA348" i="42"/>
  <c r="AF257" i="42"/>
  <c r="AM348" i="42"/>
  <c r="AA268" i="42"/>
  <c r="AH166" i="42"/>
  <c r="Z229" i="42"/>
  <c r="AH236" i="42"/>
  <c r="AA75" i="42"/>
  <c r="AM187" i="42"/>
  <c r="AF70" i="42"/>
  <c r="AF265" i="42"/>
  <c r="W120" i="42"/>
  <c r="T43" i="42"/>
  <c r="AC193" i="42"/>
  <c r="AG205" i="42"/>
  <c r="K375" i="44"/>
  <c r="AA172" i="42"/>
  <c r="AG317" i="42"/>
  <c r="AN194" i="42"/>
  <c r="AI176" i="42"/>
  <c r="T216" i="42"/>
  <c r="K93" i="44"/>
  <c r="AM82" i="42"/>
  <c r="AN218" i="42"/>
  <c r="V239" i="42"/>
  <c r="Z293" i="42"/>
  <c r="AM303" i="42"/>
  <c r="AG50" i="42"/>
  <c r="T151" i="42"/>
  <c r="V223" i="42"/>
  <c r="T62" i="42"/>
  <c r="U318" i="42"/>
  <c r="AL196" i="42"/>
  <c r="T46" i="42"/>
  <c r="K213" i="44"/>
  <c r="T236" i="42"/>
  <c r="W244" i="42"/>
  <c r="AG125" i="42"/>
  <c r="AL197" i="42"/>
  <c r="AX16" i="42"/>
  <c r="Z161" i="42"/>
  <c r="AM35" i="42"/>
  <c r="AH371" i="42"/>
  <c r="V107" i="42"/>
  <c r="AH133" i="42"/>
  <c r="AL117" i="42"/>
  <c r="AF305" i="42"/>
  <c r="AA244" i="42"/>
  <c r="K176" i="44"/>
  <c r="AA318" i="42"/>
  <c r="K316" i="44"/>
  <c r="W62" i="42"/>
  <c r="AI203" i="42"/>
  <c r="W167" i="42"/>
  <c r="AI84" i="42"/>
  <c r="AF328" i="42"/>
  <c r="AC124" i="42"/>
  <c r="AB43" i="42"/>
  <c r="AG110" i="42"/>
  <c r="K334" i="44"/>
  <c r="K111" i="44"/>
  <c r="AH326" i="42"/>
  <c r="AN216" i="42"/>
  <c r="AC329" i="42"/>
  <c r="AF338" i="42"/>
  <c r="AL82" i="42"/>
  <c r="AI37" i="42"/>
  <c r="AM36" i="42"/>
  <c r="AN133" i="42"/>
  <c r="AM63" i="42"/>
  <c r="T350" i="42"/>
  <c r="AC355" i="42"/>
  <c r="AI365" i="42"/>
  <c r="AH81" i="42"/>
  <c r="AH89" i="42"/>
  <c r="AL119" i="42"/>
  <c r="AG204" i="42"/>
  <c r="AA107" i="42"/>
  <c r="U64" i="42"/>
  <c r="K340" i="44"/>
  <c r="AF96" i="42"/>
  <c r="AX17" i="42"/>
  <c r="V132" i="42"/>
  <c r="AM363" i="42"/>
  <c r="AB102" i="42"/>
  <c r="AM155" i="42"/>
  <c r="U350" i="42"/>
  <c r="AL140" i="42"/>
  <c r="T172" i="42"/>
  <c r="AA370" i="42"/>
  <c r="V202" i="42"/>
  <c r="AB319" i="42"/>
  <c r="AF66" i="42"/>
  <c r="U122" i="42"/>
  <c r="AI210" i="42"/>
  <c r="T132" i="42"/>
  <c r="AL268" i="42"/>
  <c r="AA248" i="42"/>
  <c r="Z21" i="42"/>
  <c r="AM92" i="42"/>
  <c r="AN297" i="42"/>
  <c r="AL148" i="42"/>
  <c r="Z190" i="42"/>
  <c r="W69" i="42"/>
  <c r="AO30" i="42"/>
  <c r="U110" i="42"/>
  <c r="AI291" i="42"/>
  <c r="K303" i="44"/>
  <c r="K174" i="44"/>
  <c r="AA306" i="42"/>
  <c r="AB70" i="42"/>
  <c r="AL299" i="42"/>
  <c r="AC342" i="42"/>
  <c r="AA57" i="42"/>
  <c r="V268" i="42"/>
  <c r="AL300" i="42"/>
  <c r="T34" i="42"/>
  <c r="AH169" i="42"/>
  <c r="AH12" i="42"/>
  <c r="AF258" i="42"/>
  <c r="K269" i="44"/>
  <c r="AC204" i="42"/>
  <c r="AH341" i="42"/>
  <c r="V23" i="42"/>
  <c r="AH369" i="42"/>
  <c r="AN230" i="42"/>
  <c r="AI293" i="42"/>
  <c r="AB371" i="42"/>
  <c r="K109" i="44"/>
  <c r="Z331" i="42"/>
  <c r="AM176" i="42"/>
  <c r="AL71" i="42"/>
  <c r="AI93" i="42"/>
  <c r="AN364" i="42"/>
  <c r="V155" i="42"/>
  <c r="T275" i="42"/>
  <c r="AF153" i="42"/>
  <c r="V364" i="42"/>
  <c r="AH165" i="42"/>
  <c r="AC30" i="42"/>
  <c r="K259" i="44"/>
  <c r="V224" i="42"/>
  <c r="AH182" i="42"/>
  <c r="V52" i="42"/>
  <c r="V209" i="42"/>
  <c r="U52" i="42"/>
  <c r="K271" i="44"/>
  <c r="AL14" i="42"/>
  <c r="AF213" i="42"/>
  <c r="AF177" i="42"/>
  <c r="AG310" i="42"/>
  <c r="U87" i="42"/>
  <c r="AO37" i="42"/>
  <c r="AO230" i="42"/>
  <c r="AI350" i="42"/>
  <c r="AF137" i="42"/>
  <c r="AB229" i="42"/>
  <c r="AC257" i="42"/>
  <c r="U123" i="42"/>
  <c r="Z140" i="42"/>
  <c r="W138" i="42"/>
  <c r="AA231" i="42"/>
  <c r="AL69" i="42"/>
  <c r="AL240" i="42"/>
  <c r="AH264" i="42"/>
  <c r="AL147" i="42"/>
  <c r="AM221" i="42"/>
  <c r="V343" i="42"/>
  <c r="AL193" i="42"/>
  <c r="AM325" i="42"/>
  <c r="Z242" i="42"/>
  <c r="Z296" i="42"/>
  <c r="AA310" i="42"/>
  <c r="T17" i="42"/>
  <c r="AM359" i="42"/>
  <c r="AC121" i="42"/>
  <c r="V329" i="42"/>
  <c r="W144" i="42"/>
  <c r="W145" i="42"/>
  <c r="AC189" i="42"/>
  <c r="AA160" i="42"/>
  <c r="V288" i="42"/>
  <c r="Z57" i="42"/>
  <c r="AG233" i="42"/>
  <c r="AN357" i="42"/>
  <c r="AF309" i="42"/>
  <c r="AL227" i="42"/>
  <c r="V197" i="42"/>
  <c r="AO296" i="42"/>
  <c r="U284" i="42"/>
  <c r="AO151" i="42"/>
  <c r="AO362" i="42"/>
  <c r="AG255" i="42"/>
  <c r="AO35" i="42"/>
  <c r="AC236" i="42"/>
  <c r="AB120" i="42"/>
  <c r="K119" i="44"/>
  <c r="W257" i="42"/>
  <c r="U97" i="42"/>
  <c r="AB326" i="42"/>
  <c r="V173" i="42"/>
  <c r="K63" i="44"/>
  <c r="AG195" i="42"/>
  <c r="U28" i="42"/>
  <c r="AG66" i="42"/>
  <c r="AA211" i="42"/>
  <c r="AO232" i="42"/>
  <c r="AN325" i="42"/>
  <c r="Z269" i="42"/>
  <c r="AH285" i="42"/>
  <c r="AB334" i="42"/>
  <c r="T190" i="42"/>
  <c r="V167" i="42"/>
  <c r="AG368" i="42"/>
  <c r="AH308" i="42"/>
  <c r="AC15" i="42"/>
  <c r="AO374" i="42"/>
  <c r="AN151" i="42"/>
  <c r="AI364" i="42"/>
  <c r="AI212" i="42"/>
  <c r="AF319" i="42"/>
  <c r="AB369" i="42"/>
  <c r="W23" i="42"/>
  <c r="Z83" i="42"/>
  <c r="AB259" i="42"/>
  <c r="AF310" i="42"/>
  <c r="AH90" i="42"/>
  <c r="AI46" i="42"/>
  <c r="AH138" i="42"/>
  <c r="T48" i="42"/>
  <c r="AI134" i="42"/>
  <c r="AO138" i="42"/>
  <c r="K200" i="44"/>
  <c r="T68" i="42"/>
  <c r="W204" i="42"/>
  <c r="AM177" i="42"/>
  <c r="U346" i="42"/>
  <c r="AH260" i="42"/>
  <c r="W246" i="42"/>
  <c r="AG77" i="42"/>
  <c r="Z115" i="42"/>
  <c r="AN52" i="42"/>
  <c r="AM85" i="42"/>
  <c r="Z268" i="42"/>
  <c r="Z154" i="42"/>
  <c r="Z366" i="42"/>
  <c r="AC338" i="42"/>
  <c r="V185" i="42"/>
  <c r="AL99" i="42"/>
  <c r="U278" i="42"/>
  <c r="K359" i="44"/>
  <c r="U337" i="42"/>
  <c r="AL157" i="42"/>
  <c r="U56" i="42"/>
  <c r="K82" i="44"/>
  <c r="AA35" i="42"/>
  <c r="AV17" i="42"/>
  <c r="T217" i="42"/>
  <c r="AM279" i="42"/>
  <c r="AO163" i="42"/>
  <c r="AL225" i="42"/>
  <c r="AI19" i="42"/>
  <c r="W358" i="42"/>
  <c r="AG82" i="42"/>
  <c r="T199" i="42"/>
  <c r="W336" i="42"/>
  <c r="AH305" i="42"/>
  <c r="AA236" i="42"/>
  <c r="AO210" i="42"/>
  <c r="AA125" i="42"/>
  <c r="AA339" i="42"/>
  <c r="T250" i="42"/>
  <c r="V54" i="42"/>
  <c r="AI279" i="42"/>
  <c r="W142" i="42"/>
  <c r="AL158" i="42"/>
  <c r="AA223" i="42"/>
  <c r="Z43" i="42"/>
  <c r="AA327" i="42"/>
  <c r="U204" i="42"/>
  <c r="AO184" i="42"/>
  <c r="AH318" i="42"/>
  <c r="AM16" i="42"/>
  <c r="K245" i="44"/>
  <c r="V22" i="42"/>
  <c r="AL266" i="42"/>
  <c r="AL275" i="42"/>
  <c r="W97" i="42"/>
  <c r="AN68" i="42"/>
  <c r="AO346" i="42"/>
  <c r="U252" i="42"/>
  <c r="AM124" i="42"/>
  <c r="AN74" i="42"/>
  <c r="AN232" i="42"/>
  <c r="AA329" i="42"/>
  <c r="V222" i="42"/>
  <c r="U154" i="42"/>
  <c r="U69" i="42"/>
  <c r="AG281" i="42"/>
  <c r="AO302" i="42"/>
  <c r="T67" i="42"/>
  <c r="AF249" i="42"/>
  <c r="AH189" i="42"/>
  <c r="Z71" i="42"/>
  <c r="AF234" i="42"/>
  <c r="AN220" i="42"/>
  <c r="T85" i="42"/>
  <c r="AH108" i="42"/>
  <c r="AA70" i="42"/>
  <c r="AO305" i="42"/>
  <c r="T169" i="42"/>
  <c r="AL277" i="42"/>
  <c r="AI18" i="42"/>
  <c r="AB375" i="42"/>
  <c r="AN12" i="42"/>
  <c r="AI328" i="42"/>
  <c r="AM156" i="42"/>
  <c r="AM244" i="42"/>
  <c r="AM118" i="42"/>
  <c r="AX24" i="42"/>
  <c r="T313" i="42"/>
  <c r="AG127" i="42"/>
  <c r="AL308" i="42"/>
  <c r="AB320" i="42"/>
  <c r="AL367" i="42"/>
  <c r="V318" i="42"/>
  <c r="AI310" i="42"/>
  <c r="AF187" i="42"/>
  <c r="T153" i="42"/>
  <c r="K26" i="44"/>
  <c r="AO357" i="42"/>
  <c r="AO32" i="42"/>
  <c r="AM208" i="42"/>
  <c r="K33" i="44"/>
  <c r="Z149" i="42"/>
  <c r="Z305" i="42"/>
  <c r="W78" i="42"/>
  <c r="AH51" i="42"/>
  <c r="AM320" i="42"/>
  <c r="AH209" i="42"/>
  <c r="AH130" i="42"/>
  <c r="AO49" i="42"/>
  <c r="AO203" i="42"/>
  <c r="U70" i="42"/>
  <c r="AO256" i="42"/>
  <c r="AN217" i="42"/>
  <c r="AA195" i="42"/>
  <c r="V215" i="42"/>
  <c r="T261" i="42"/>
  <c r="AC106" i="42"/>
  <c r="AW13" i="42"/>
  <c r="AN26" i="42"/>
  <c r="AN62" i="42"/>
  <c r="AF156" i="42"/>
  <c r="AL112" i="42"/>
  <c r="T141" i="42"/>
  <c r="AA316" i="42"/>
  <c r="AI278" i="42"/>
  <c r="AN307" i="42"/>
  <c r="T263" i="42"/>
  <c r="AW17" i="42"/>
  <c r="AA289" i="42"/>
  <c r="AB158" i="42"/>
  <c r="AI249" i="42"/>
  <c r="AB298" i="42"/>
  <c r="AM193" i="42"/>
  <c r="Z259" i="42"/>
  <c r="AG199" i="42"/>
  <c r="AF140" i="42"/>
  <c r="AO352" i="42"/>
  <c r="AI58" i="42"/>
  <c r="AO237" i="42"/>
  <c r="AH44" i="42"/>
  <c r="T36" i="42"/>
  <c r="AM161" i="42"/>
  <c r="AO323" i="42"/>
  <c r="AI42" i="42"/>
  <c r="AO74" i="42"/>
  <c r="AG263" i="42"/>
  <c r="K285" i="44"/>
  <c r="AL32" i="42"/>
  <c r="U84" i="42"/>
  <c r="W94" i="42"/>
  <c r="V324" i="42"/>
  <c r="AM194" i="42"/>
  <c r="K304" i="44"/>
  <c r="T302" i="42"/>
  <c r="W115" i="42"/>
  <c r="AL16" i="42"/>
  <c r="AC312" i="42"/>
  <c r="U185" i="42"/>
  <c r="AG42" i="42"/>
  <c r="AA337" i="42"/>
  <c r="U85" i="42"/>
  <c r="AB215" i="42"/>
  <c r="AN73" i="42"/>
  <c r="V158" i="42"/>
  <c r="AM126" i="42"/>
  <c r="U150" i="42"/>
  <c r="W46" i="42"/>
  <c r="AM157" i="42"/>
  <c r="AO131" i="42"/>
  <c r="AN20" i="42"/>
  <c r="AC229" i="42"/>
  <c r="AL350" i="42"/>
  <c r="AG165" i="42"/>
  <c r="W217" i="42"/>
  <c r="AO250" i="42"/>
  <c r="AM41" i="42"/>
  <c r="AC275" i="42"/>
  <c r="AG192" i="42"/>
  <c r="Z87" i="42"/>
  <c r="W184" i="42"/>
  <c r="AG260" i="42"/>
  <c r="T308" i="42"/>
  <c r="AI108" i="42"/>
  <c r="AM90" i="42"/>
  <c r="T249" i="42"/>
  <c r="AO17" i="42"/>
  <c r="Z106" i="42"/>
  <c r="V86" i="42"/>
  <c r="AF105" i="42"/>
  <c r="W239" i="42"/>
  <c r="T12" i="42"/>
  <c r="AI136" i="42"/>
  <c r="AC352" i="42"/>
  <c r="AG31" i="42"/>
  <c r="V157" i="42"/>
  <c r="W260" i="42"/>
  <c r="AB271" i="42"/>
  <c r="T353" i="42"/>
  <c r="T191" i="42"/>
  <c r="AC349" i="42"/>
  <c r="AM360" i="42"/>
  <c r="V257" i="42"/>
  <c r="Z125" i="42"/>
  <c r="Z333" i="42"/>
  <c r="AB84" i="42"/>
  <c r="AF47" i="42"/>
  <c r="AN167" i="42"/>
  <c r="AO66" i="42"/>
  <c r="AB356" i="42"/>
  <c r="AN18" i="42"/>
  <c r="T69" i="42"/>
  <c r="Z197" i="42"/>
  <c r="AL162" i="42"/>
  <c r="AO308" i="42"/>
  <c r="U304" i="42"/>
  <c r="Z156" i="42"/>
  <c r="AB113" i="42"/>
  <c r="AF287" i="42"/>
  <c r="AL238" i="42"/>
  <c r="AH200" i="42"/>
  <c r="AM26" i="42"/>
  <c r="V210" i="42"/>
  <c r="AO73" i="42"/>
  <c r="AL212" i="42"/>
  <c r="U62" i="42"/>
  <c r="AA368" i="42"/>
  <c r="K181" i="44"/>
  <c r="V31" i="42"/>
  <c r="AB373" i="42"/>
  <c r="AB367" i="42"/>
  <c r="T107" i="42"/>
  <c r="AL72" i="42"/>
  <c r="AF206" i="42"/>
  <c r="AM95" i="42"/>
  <c r="T259" i="42"/>
  <c r="K148" i="44"/>
  <c r="AH99" i="42"/>
  <c r="U90" i="42"/>
  <c r="V71" i="42"/>
  <c r="AI196" i="42"/>
  <c r="AH117" i="42"/>
  <c r="AN268" i="42"/>
  <c r="U345" i="42"/>
  <c r="AN16" i="42"/>
  <c r="U186" i="42"/>
  <c r="AA297" i="42"/>
  <c r="AA150" i="42"/>
  <c r="AL90" i="42"/>
  <c r="AC113" i="42"/>
  <c r="AN77" i="42"/>
  <c r="AM97" i="42"/>
  <c r="AF327" i="42"/>
  <c r="Z371" i="42"/>
  <c r="AN94" i="42"/>
  <c r="AA373" i="42"/>
  <c r="V18" i="42"/>
  <c r="W315" i="42"/>
  <c r="AA119" i="42"/>
  <c r="AB177" i="42"/>
  <c r="AL369" i="42"/>
  <c r="AB201" i="42"/>
  <c r="AB61" i="42"/>
  <c r="AH33" i="42"/>
  <c r="AM17" i="42"/>
  <c r="AF203" i="42"/>
  <c r="AI246" i="42"/>
  <c r="AH55" i="42"/>
  <c r="W74" i="42"/>
  <c r="AM374" i="42"/>
  <c r="Z141" i="42"/>
  <c r="W29" i="42"/>
  <c r="K166" i="44"/>
  <c r="V356" i="42"/>
  <c r="U233" i="42"/>
  <c r="K64" i="44"/>
  <c r="AI208" i="42"/>
  <c r="AG57" i="42"/>
  <c r="K57" i="44"/>
  <c r="AI187" i="42"/>
  <c r="AI41" i="42"/>
  <c r="Z67" i="42"/>
  <c r="AL267" i="42"/>
  <c r="W355" i="42"/>
  <c r="AB30" i="42"/>
  <c r="AN30" i="42"/>
  <c r="Z341" i="42"/>
  <c r="K205" i="44"/>
  <c r="K136" i="44"/>
  <c r="AB178" i="42"/>
  <c r="W357" i="42"/>
  <c r="AF219" i="42"/>
  <c r="K168" i="44"/>
  <c r="AN343" i="42"/>
  <c r="AI226" i="42"/>
  <c r="V58" i="42"/>
  <c r="W63" i="42"/>
  <c r="AM80" i="42"/>
  <c r="AN100" i="42"/>
  <c r="V327" i="42"/>
  <c r="AF373" i="42"/>
  <c r="V248" i="42"/>
  <c r="AL143" i="42"/>
  <c r="AL232" i="42"/>
  <c r="Z239" i="42"/>
  <c r="W285" i="42"/>
  <c r="K349" i="44"/>
  <c r="Z209" i="42"/>
  <c r="AF361" i="42"/>
  <c r="AM364" i="42"/>
  <c r="U147" i="42"/>
  <c r="AA64" i="42"/>
  <c r="U129" i="42"/>
  <c r="AC97" i="42"/>
  <c r="AM300" i="42"/>
  <c r="AF282" i="42"/>
  <c r="Z55" i="42"/>
  <c r="AC272" i="42"/>
  <c r="Z248" i="42"/>
  <c r="AO287" i="42"/>
  <c r="AO21" i="42"/>
  <c r="AC142" i="42"/>
  <c r="AH193" i="42"/>
  <c r="AN215" i="42"/>
  <c r="AH295" i="42"/>
  <c r="AA117" i="42"/>
  <c r="AH309" i="42"/>
  <c r="AC246" i="42"/>
  <c r="AH131" i="42"/>
  <c r="W207" i="42"/>
  <c r="U79" i="42"/>
  <c r="AM199" i="42"/>
  <c r="AO198" i="42"/>
  <c r="AN173" i="42"/>
  <c r="U330" i="42"/>
  <c r="AI145" i="42"/>
  <c r="AG356" i="42"/>
  <c r="U173" i="42"/>
  <c r="AM206" i="42"/>
  <c r="K62" i="44"/>
  <c r="AC57" i="42"/>
  <c r="AG223" i="42"/>
  <c r="AH198" i="42"/>
  <c r="AC321" i="42"/>
  <c r="AX32" i="42"/>
  <c r="AG18" i="42"/>
  <c r="AA43" i="42"/>
  <c r="AC319" i="42"/>
  <c r="AL289" i="42"/>
  <c r="K161" i="44"/>
  <c r="U295" i="42"/>
  <c r="U35" i="42"/>
  <c r="W375" i="42"/>
  <c r="V79" i="42"/>
  <c r="AM332" i="42"/>
  <c r="V195" i="42"/>
  <c r="AM203" i="42"/>
  <c r="AF339" i="42"/>
  <c r="T296" i="42"/>
  <c r="U347" i="42"/>
  <c r="AG330" i="42"/>
  <c r="W365" i="42"/>
  <c r="AG89" i="42"/>
  <c r="V198" i="42"/>
  <c r="T373" i="42"/>
  <c r="Z80" i="42"/>
  <c r="AB87" i="42"/>
  <c r="T39" i="42"/>
  <c r="W337" i="42"/>
  <c r="AA131" i="42"/>
  <c r="AG87" i="42"/>
  <c r="AM212" i="42"/>
  <c r="AF145" i="42"/>
  <c r="AL310" i="42"/>
  <c r="AG288" i="42"/>
  <c r="W16" i="42"/>
  <c r="AN40" i="42"/>
  <c r="U93" i="42"/>
  <c r="AG273" i="42"/>
  <c r="T114" i="42"/>
  <c r="K175" i="44"/>
  <c r="W308" i="42"/>
  <c r="T127" i="42"/>
  <c r="W278" i="42"/>
  <c r="K339" i="44"/>
  <c r="AH276" i="42"/>
  <c r="AL294" i="42"/>
  <c r="Z28" i="42"/>
  <c r="K272" i="44"/>
  <c r="AM270" i="42"/>
  <c r="AG48" i="42"/>
  <c r="AM288" i="42"/>
  <c r="T77" i="42"/>
  <c r="AN321" i="42"/>
  <c r="AA167" i="42"/>
  <c r="Z252" i="42"/>
  <c r="AB221" i="42"/>
  <c r="T356" i="42"/>
  <c r="AG300" i="42"/>
  <c r="U349" i="42"/>
  <c r="AA130" i="42"/>
  <c r="Z318" i="42"/>
  <c r="W84" i="42"/>
  <c r="AM49" i="42"/>
  <c r="AN260" i="42"/>
  <c r="K98" i="44"/>
  <c r="AB82" i="42"/>
  <c r="W160" i="42"/>
  <c r="AN121" i="42"/>
  <c r="AO204" i="42"/>
  <c r="AA194" i="42"/>
  <c r="T52" i="42"/>
  <c r="AN59" i="42"/>
  <c r="AI86" i="42"/>
  <c r="T200" i="42"/>
  <c r="U287" i="42"/>
  <c r="AI151" i="42"/>
  <c r="AA91" i="42"/>
  <c r="AF344" i="42"/>
  <c r="K217" i="44"/>
  <c r="AN338" i="42"/>
  <c r="AA19" i="42"/>
  <c r="AH334" i="42"/>
  <c r="AC37" i="42"/>
  <c r="AB299" i="42"/>
  <c r="AM343" i="42"/>
  <c r="T174" i="42"/>
  <c r="AN31" i="42"/>
  <c r="AC157" i="42"/>
  <c r="Z61" i="42"/>
  <c r="K308" i="44"/>
  <c r="K255" i="44"/>
  <c r="V175" i="42"/>
  <c r="AI52" i="42"/>
  <c r="AH265" i="42"/>
  <c r="V350" i="42"/>
  <c r="T178" i="42"/>
  <c r="K273" i="44"/>
  <c r="Z113" i="42"/>
  <c r="AI295" i="42"/>
  <c r="V206" i="42"/>
  <c r="AO320" i="42"/>
  <c r="K127" i="44"/>
  <c r="AH157" i="42"/>
  <c r="AL116" i="42"/>
  <c r="AL331" i="42"/>
  <c r="V346" i="42"/>
  <c r="V190" i="42"/>
  <c r="AH201" i="42"/>
  <c r="AI30" i="42"/>
  <c r="AL84" i="42"/>
  <c r="AI21" i="42"/>
  <c r="AO101" i="42"/>
  <c r="V38" i="42"/>
  <c r="Z146" i="42"/>
  <c r="W324" i="42"/>
  <c r="AC175" i="42"/>
  <c r="AM347" i="42"/>
  <c r="U162" i="42"/>
  <c r="AG12" i="42"/>
  <c r="AC238" i="42"/>
  <c r="AN241" i="42"/>
  <c r="AI179" i="42"/>
  <c r="Z32" i="42"/>
  <c r="AO245" i="42"/>
  <c r="V102" i="42"/>
  <c r="AB58" i="42"/>
  <c r="AC260" i="42"/>
  <c r="K276" i="44"/>
  <c r="V121" i="42"/>
  <c r="AB151" i="42"/>
  <c r="AA365" i="42"/>
  <c r="AF123" i="42"/>
  <c r="U212" i="42"/>
  <c r="U229" i="42"/>
  <c r="U239" i="42"/>
  <c r="AA61" i="42"/>
  <c r="AW14" i="42"/>
  <c r="T179" i="42"/>
  <c r="AH322" i="42"/>
  <c r="AF208" i="42"/>
  <c r="AF348" i="42"/>
  <c r="AA193" i="42"/>
  <c r="W335" i="42"/>
  <c r="AC206" i="42"/>
  <c r="AG107" i="42"/>
  <c r="AL120" i="42"/>
  <c r="AL274" i="42"/>
  <c r="AI141" i="42"/>
  <c r="AM57" i="42"/>
  <c r="AN28" i="42"/>
  <c r="AC143" i="42"/>
  <c r="AL26" i="42"/>
  <c r="U21" i="42"/>
  <c r="AB33" i="42"/>
  <c r="AH118" i="42"/>
  <c r="AG197" i="42"/>
  <c r="AH317" i="42"/>
  <c r="W208" i="42"/>
  <c r="AC254" i="42"/>
  <c r="AI250" i="42"/>
  <c r="AO16" i="42"/>
  <c r="V122" i="42"/>
  <c r="AL145" i="42"/>
  <c r="AM123" i="42"/>
  <c r="W151" i="42"/>
  <c r="Z11" i="42"/>
  <c r="W275" i="42"/>
  <c r="AM225" i="42"/>
  <c r="AI189" i="42"/>
  <c r="AF158" i="42"/>
  <c r="AL92" i="42"/>
  <c r="K74" i="44"/>
  <c r="AM361" i="42"/>
  <c r="AM213" i="42"/>
  <c r="AN284" i="42"/>
  <c r="Z289" i="42"/>
  <c r="V89" i="42"/>
  <c r="AF178" i="42"/>
  <c r="AB227" i="42"/>
  <c r="K92" i="44"/>
  <c r="AA324" i="42"/>
  <c r="AA17" i="42"/>
  <c r="AG212" i="42"/>
  <c r="AN171" i="42"/>
  <c r="T147" i="42"/>
  <c r="AB90" i="42"/>
  <c r="AI121" i="42"/>
  <c r="AI334" i="42"/>
  <c r="U251" i="42"/>
  <c r="U218" i="42"/>
  <c r="AA227" i="42"/>
  <c r="AO103" i="42"/>
  <c r="AN69" i="42"/>
  <c r="AC152" i="42"/>
  <c r="AC187" i="42"/>
  <c r="AI322" i="42"/>
  <c r="AC332" i="42"/>
  <c r="AO81" i="42"/>
  <c r="W327" i="42"/>
  <c r="AF120" i="42"/>
  <c r="AI343" i="42"/>
  <c r="AC199" i="42"/>
  <c r="U340" i="42"/>
  <c r="AI63" i="42"/>
  <c r="V177" i="42"/>
  <c r="T344" i="42"/>
  <c r="AF283" i="42"/>
  <c r="AI307" i="42"/>
  <c r="AL228" i="42"/>
  <c r="AL374" i="42"/>
  <c r="AM191" i="42"/>
  <c r="AA86" i="42"/>
  <c r="AA76" i="42"/>
  <c r="T49" i="42"/>
  <c r="AG63" i="42"/>
  <c r="W180" i="42"/>
  <c r="AI320" i="42"/>
  <c r="K190" i="44"/>
  <c r="AI148" i="42"/>
  <c r="AO209" i="42"/>
  <c r="AM280" i="42"/>
  <c r="K357" i="44"/>
  <c r="AB366" i="42"/>
  <c r="T160" i="42"/>
  <c r="AF52" i="42"/>
  <c r="AA122" i="42"/>
  <c r="AF86" i="42"/>
  <c r="AO283" i="42"/>
  <c r="AI223" i="42"/>
  <c r="T210" i="42"/>
  <c r="AN180" i="42"/>
  <c r="Z177" i="42"/>
  <c r="W323" i="42"/>
  <c r="AG174" i="42"/>
  <c r="AL106" i="42"/>
  <c r="AO332" i="42"/>
  <c r="AH43" i="42"/>
  <c r="T161" i="42"/>
  <c r="AF32" i="42"/>
  <c r="K219" i="44"/>
  <c r="AB36" i="42"/>
  <c r="AI317" i="42"/>
  <c r="AB50" i="42"/>
  <c r="AC251" i="42"/>
  <c r="AN195" i="42"/>
  <c r="Z171" i="42"/>
  <c r="AG186" i="42"/>
  <c r="AO261" i="42"/>
  <c r="T181" i="42"/>
  <c r="AH327" i="42"/>
  <c r="AB329" i="42"/>
  <c r="AG256" i="42"/>
  <c r="W363" i="42"/>
  <c r="W128" i="42"/>
  <c r="K312" i="44"/>
  <c r="W265" i="42"/>
  <c r="AF266" i="42"/>
  <c r="Z251" i="42"/>
  <c r="AL242" i="42"/>
  <c r="AF11" i="42"/>
  <c r="AX15" i="42"/>
  <c r="AL15" i="42"/>
  <c r="AB208" i="42"/>
  <c r="AB83" i="42"/>
  <c r="AB332" i="42"/>
  <c r="T123" i="42"/>
  <c r="AB258" i="42"/>
  <c r="AH120" i="42"/>
  <c r="K196" i="44"/>
  <c r="AA157" i="42"/>
  <c r="AF81" i="42"/>
  <c r="AW29" i="42"/>
  <c r="Z253" i="42"/>
  <c r="AH330" i="42"/>
  <c r="T101" i="42"/>
  <c r="Z103" i="42"/>
  <c r="AM231" i="42"/>
  <c r="AI342" i="42"/>
  <c r="AH352" i="42"/>
  <c r="U293" i="42"/>
  <c r="K264" i="44"/>
  <c r="AO150" i="42"/>
  <c r="AH235" i="42"/>
  <c r="AF196" i="42"/>
  <c r="AG118" i="42"/>
  <c r="AO246" i="42"/>
  <c r="AL372" i="42"/>
  <c r="AA250" i="42"/>
  <c r="T334" i="42"/>
  <c r="Z299" i="42"/>
  <c r="AG370" i="42"/>
  <c r="W200" i="42"/>
  <c r="V312" i="42"/>
  <c r="AF15" i="42"/>
  <c r="K218" i="44"/>
  <c r="AF343" i="42"/>
  <c r="AA163" i="42"/>
  <c r="AO75" i="42"/>
  <c r="AO123" i="42"/>
  <c r="AA315" i="42"/>
  <c r="Z213" i="42"/>
  <c r="K211" i="44"/>
  <c r="AO56" i="42"/>
  <c r="AA353" i="42"/>
  <c r="V65" i="42"/>
  <c r="AG245" i="42"/>
  <c r="Z72" i="42"/>
  <c r="AM282" i="42"/>
  <c r="Z360" i="42"/>
  <c r="AB182" i="42"/>
  <c r="Z222" i="42"/>
  <c r="W349" i="42"/>
  <c r="AO93" i="42"/>
  <c r="T359" i="42"/>
  <c r="K39" i="44"/>
  <c r="AG352" i="42"/>
  <c r="AH346" i="42"/>
  <c r="W169" i="42"/>
  <c r="Z220" i="42"/>
  <c r="AC374" i="42"/>
  <c r="U100" i="42"/>
  <c r="AN263" i="42"/>
  <c r="AG151" i="42"/>
  <c r="AF209" i="42"/>
  <c r="AC58" i="42"/>
  <c r="T163" i="42"/>
  <c r="AA220" i="42"/>
  <c r="T247" i="42"/>
  <c r="AL279" i="42"/>
  <c r="AO284" i="42"/>
  <c r="U261" i="42"/>
  <c r="AN243" i="42"/>
  <c r="W87" i="42"/>
  <c r="W183" i="42"/>
  <c r="AF271" i="42"/>
  <c r="AO271" i="42"/>
  <c r="Z343" i="42"/>
  <c r="AI308" i="42"/>
  <c r="U33" i="42"/>
  <c r="AB139" i="42"/>
  <c r="AF76" i="42"/>
  <c r="AO44" i="42"/>
  <c r="AG267" i="42"/>
  <c r="AC207" i="42"/>
  <c r="AL360" i="42"/>
  <c r="AI45" i="42"/>
  <c r="AO154" i="42"/>
  <c r="T105" i="42"/>
  <c r="AH256" i="42"/>
  <c r="W212" i="42"/>
  <c r="AI348" i="42"/>
  <c r="U136" i="42"/>
  <c r="AM94" i="42"/>
  <c r="AF334" i="42"/>
  <c r="AO360" i="42"/>
  <c r="AG251" i="42"/>
  <c r="AB66" i="42"/>
  <c r="AI128" i="42"/>
  <c r="AG290" i="42"/>
  <c r="T22" i="42"/>
  <c r="AG264" i="42"/>
  <c r="K19" i="44"/>
  <c r="AI95" i="42"/>
  <c r="AA190" i="42"/>
  <c r="V314" i="42"/>
  <c r="W255" i="42"/>
  <c r="AF12" i="42"/>
  <c r="T294" i="42"/>
  <c r="AA362" i="42"/>
  <c r="AI359" i="42"/>
  <c r="AB155" i="42"/>
  <c r="AB308" i="42"/>
  <c r="AN300" i="42"/>
  <c r="AO200" i="42"/>
  <c r="V49" i="42"/>
  <c r="U43" i="42"/>
  <c r="Z323" i="42"/>
  <c r="AH229" i="42"/>
  <c r="U372" i="42"/>
  <c r="AH57" i="42"/>
  <c r="AI302" i="42"/>
  <c r="AL364" i="42"/>
  <c r="AA16" i="42"/>
  <c r="V115" i="42"/>
  <c r="AC293" i="42"/>
  <c r="AH88" i="42"/>
  <c r="AN183" i="42"/>
  <c r="AF275" i="42"/>
  <c r="AN152" i="42"/>
  <c r="AF75" i="42"/>
  <c r="AA36" i="42"/>
  <c r="AN89" i="42"/>
  <c r="AC350" i="42"/>
  <c r="AI131" i="42"/>
  <c r="W299" i="42"/>
  <c r="AA11" i="42"/>
  <c r="AI154" i="42"/>
  <c r="AG13" i="42"/>
  <c r="AH246" i="42"/>
  <c r="AG72" i="42"/>
  <c r="AA53" i="42"/>
  <c r="AF186" i="42"/>
  <c r="T317" i="42"/>
  <c r="Z294" i="42"/>
  <c r="K277" i="44"/>
  <c r="AA111" i="42"/>
  <c r="W99" i="42"/>
  <c r="V194" i="42"/>
  <c r="AL262" i="42"/>
  <c r="Z352" i="42"/>
  <c r="AI36" i="42"/>
  <c r="T184" i="42"/>
  <c r="W163" i="42"/>
  <c r="AI115" i="42"/>
  <c r="V12" i="42"/>
  <c r="AN207" i="42"/>
  <c r="Z199" i="42"/>
  <c r="K320" i="44"/>
  <c r="AG16" i="42"/>
  <c r="W51" i="42"/>
  <c r="AI330" i="42"/>
  <c r="W304" i="42"/>
  <c r="AM116" i="42"/>
  <c r="AF254" i="42"/>
  <c r="Z19" i="42"/>
  <c r="AO312" i="42"/>
  <c r="T159" i="42"/>
  <c r="AF42" i="42"/>
  <c r="AI85" i="42"/>
  <c r="U118" i="42"/>
  <c r="T320" i="42"/>
  <c r="AN251" i="42"/>
  <c r="AL17" i="42"/>
  <c r="T162" i="42"/>
  <c r="AH39" i="42"/>
  <c r="V165" i="42"/>
  <c r="T197" i="42"/>
  <c r="AM190" i="42"/>
  <c r="AM338" i="42"/>
  <c r="K227" i="44"/>
  <c r="K162" i="44"/>
  <c r="AN246" i="42"/>
  <c r="W111" i="42"/>
  <c r="AM19" i="42"/>
  <c r="K42" i="44"/>
  <c r="AH100" i="42"/>
  <c r="AG339" i="42"/>
  <c r="AH223" i="42"/>
  <c r="V13" i="42"/>
  <c r="K315" i="44"/>
  <c r="AH26" i="42"/>
  <c r="AF29" i="42"/>
  <c r="V219" i="42"/>
  <c r="AH271" i="42"/>
  <c r="AF83" i="42"/>
  <c r="K244" i="44"/>
  <c r="AN344" i="42"/>
  <c r="V19" i="42"/>
  <c r="AC281" i="42"/>
  <c r="AC351" i="42"/>
  <c r="V139" i="42"/>
  <c r="K85" i="44"/>
  <c r="AA178" i="42"/>
  <c r="AB128" i="42"/>
  <c r="AL282" i="42"/>
  <c r="K352" i="44"/>
  <c r="K301" i="44"/>
  <c r="AM373" i="42"/>
  <c r="AG171" i="42"/>
  <c r="AL67" i="42"/>
  <c r="W253" i="42"/>
  <c r="AL338" i="42"/>
  <c r="U289" i="42"/>
  <c r="K249" i="44"/>
  <c r="V30" i="42"/>
  <c r="Z313" i="42"/>
  <c r="Z240" i="42"/>
  <c r="AB270" i="42"/>
  <c r="AC176" i="42"/>
  <c r="U184" i="42"/>
  <c r="AV26" i="42"/>
  <c r="AL351" i="42"/>
  <c r="AH307" i="42"/>
  <c r="AA341" i="42"/>
  <c r="AO294" i="42"/>
  <c r="AG282" i="42"/>
  <c r="K199" i="44"/>
  <c r="T365" i="42"/>
  <c r="U114" i="42"/>
  <c r="AL315" i="42"/>
  <c r="AI257" i="42"/>
  <c r="AA308" i="42"/>
  <c r="U235" i="42"/>
  <c r="W252" i="42"/>
  <c r="V304" i="42"/>
  <c r="AI109" i="42"/>
  <c r="W264" i="42"/>
  <c r="AO310" i="42"/>
  <c r="V17" i="42"/>
  <c r="AF256" i="42"/>
  <c r="AF281" i="42"/>
  <c r="K65" i="44"/>
  <c r="AM262" i="42"/>
  <c r="AF188" i="42"/>
  <c r="AO82" i="42"/>
  <c r="AN120" i="42"/>
  <c r="K121" i="44"/>
  <c r="AB303" i="42"/>
  <c r="Z254" i="42"/>
  <c r="K37" i="44"/>
  <c r="K207" i="44"/>
  <c r="T288" i="42"/>
  <c r="AC165" i="42"/>
  <c r="AI171" i="42"/>
  <c r="AB34" i="42"/>
  <c r="AB358" i="42"/>
  <c r="AG67" i="42"/>
  <c r="AM134" i="42"/>
  <c r="AG254" i="42"/>
  <c r="AI357" i="42"/>
  <c r="AI101" i="42"/>
  <c r="AN33" i="42"/>
  <c r="AH283" i="42"/>
  <c r="AH206" i="42"/>
  <c r="AC79" i="42"/>
  <c r="AF67" i="42"/>
  <c r="K342" i="44"/>
  <c r="K374" i="44"/>
  <c r="AO263" i="42"/>
  <c r="AO45" i="42"/>
  <c r="AC39" i="42"/>
  <c r="Z202" i="42"/>
  <c r="AB370" i="42"/>
  <c r="AA187" i="42"/>
  <c r="AC40" i="42"/>
  <c r="AI15" i="42"/>
  <c r="T130" i="42"/>
  <c r="AH172" i="42"/>
  <c r="AC181" i="42"/>
  <c r="AC172" i="42"/>
  <c r="AB42" i="42"/>
  <c r="AL273" i="42"/>
  <c r="AL183" i="42"/>
  <c r="AA68" i="42"/>
  <c r="K256" i="44"/>
  <c r="AG169" i="42"/>
  <c r="AH267" i="42"/>
  <c r="AG108" i="42"/>
  <c r="AA189" i="42"/>
  <c r="V334" i="42"/>
  <c r="K347" i="44"/>
  <c r="AM61" i="42"/>
  <c r="AN333" i="42"/>
  <c r="T315" i="42"/>
  <c r="K363" i="44"/>
  <c r="V244" i="42"/>
  <c r="AM257" i="42"/>
  <c r="AL236" i="42"/>
  <c r="AL21" i="42"/>
  <c r="U370" i="42"/>
  <c r="T335" i="42"/>
  <c r="W65" i="42"/>
  <c r="AF65" i="42"/>
  <c r="AI273" i="42"/>
  <c r="AA78" i="42"/>
  <c r="AV23" i="42"/>
  <c r="AL249" i="42"/>
  <c r="AN324" i="42"/>
  <c r="AI258" i="42"/>
  <c r="Z200" i="42"/>
  <c r="AO342" i="42"/>
  <c r="V90" i="42"/>
  <c r="AH242" i="42"/>
  <c r="AM344" i="42"/>
  <c r="AG217" i="42"/>
  <c r="AW21" i="42"/>
  <c r="T157" i="42"/>
  <c r="AO216" i="42"/>
  <c r="Z49" i="42"/>
  <c r="AA56" i="42"/>
  <c r="W139" i="42"/>
  <c r="AM77" i="42"/>
  <c r="AC285" i="42"/>
  <c r="AB360" i="42"/>
  <c r="U78" i="42"/>
  <c r="AG181" i="42"/>
  <c r="K30" i="44"/>
  <c r="AM228" i="42"/>
  <c r="AH191" i="42"/>
  <c r="Z84" i="42"/>
  <c r="K243" i="44"/>
  <c r="W259" i="42"/>
  <c r="AC17" i="42"/>
  <c r="T129" i="42"/>
  <c r="U302" i="42"/>
  <c r="AI14" i="42"/>
  <c r="AG68" i="42"/>
  <c r="U49" i="42"/>
  <c r="Z267" i="42"/>
  <c r="U18" i="42"/>
  <c r="Z308" i="42"/>
  <c r="W27" i="42"/>
  <c r="AI231" i="42"/>
  <c r="AG190" i="42"/>
  <c r="AF239" i="42"/>
  <c r="U175" i="42"/>
  <c r="W121" i="42"/>
  <c r="AH268" i="42"/>
  <c r="AN93" i="42"/>
  <c r="W30" i="42"/>
  <c r="AL311" i="42"/>
  <c r="AC66" i="42"/>
  <c r="AB105" i="42"/>
  <c r="AO235" i="42"/>
  <c r="AF228" i="42"/>
  <c r="AH36" i="42"/>
  <c r="AB357" i="42"/>
  <c r="W136" i="42"/>
  <c r="AN305" i="42"/>
  <c r="AI352" i="42"/>
  <c r="AH38" i="42"/>
  <c r="W289" i="42"/>
  <c r="AI51" i="42"/>
  <c r="AF220" i="42"/>
  <c r="AM269" i="42"/>
  <c r="V32" i="42"/>
  <c r="V351" i="42"/>
  <c r="AI71" i="42"/>
  <c r="W202" i="42"/>
  <c r="AO72" i="42"/>
  <c r="V353" i="42"/>
  <c r="AI149" i="42"/>
  <c r="AI347" i="42"/>
  <c r="AG338" i="42"/>
  <c r="AG334" i="42"/>
  <c r="AB32" i="42"/>
  <c r="AF300" i="42"/>
  <c r="AM222" i="42"/>
  <c r="AI138" i="42"/>
  <c r="K38" i="44"/>
  <c r="AI202" i="42"/>
  <c r="AF224" i="42"/>
  <c r="AL111" i="42"/>
  <c r="W332" i="42"/>
  <c r="AH347" i="42"/>
  <c r="K159" i="44"/>
  <c r="AH304" i="42"/>
  <c r="V70" i="42"/>
  <c r="V124" i="42"/>
  <c r="AL61" i="42"/>
  <c r="AC155" i="42"/>
  <c r="AC232" i="42"/>
  <c r="V229" i="42"/>
  <c r="AB100" i="42"/>
  <c r="U325" i="42"/>
  <c r="AF240" i="42"/>
  <c r="AO247" i="42"/>
  <c r="AB235" i="42"/>
  <c r="AM147" i="42"/>
  <c r="AC133" i="42"/>
  <c r="T87" i="42"/>
  <c r="Z244" i="42"/>
  <c r="T120" i="42"/>
  <c r="AN273" i="42"/>
  <c r="Z145" i="42"/>
  <c r="AI285" i="42"/>
  <c r="AO269" i="42"/>
  <c r="V104" i="42"/>
  <c r="AO144" i="42"/>
  <c r="AL113" i="42"/>
  <c r="AC132" i="42"/>
  <c r="AI362" i="42"/>
  <c r="AI325" i="42"/>
  <c r="AB28" i="42"/>
  <c r="V28" i="42"/>
  <c r="AF278" i="42"/>
  <c r="AB20" i="42"/>
  <c r="AA277" i="42"/>
  <c r="AC112" i="42"/>
  <c r="AO48" i="42"/>
  <c r="AH234" i="42"/>
  <c r="AL43" i="42"/>
  <c r="AF25" i="42"/>
  <c r="AI114" i="42"/>
  <c r="K141" i="44"/>
  <c r="Z365" i="42"/>
  <c r="K267" i="44"/>
  <c r="Z236" i="42"/>
  <c r="AO303" i="42"/>
  <c r="Z354" i="42"/>
  <c r="AL283" i="42"/>
  <c r="AO128" i="42"/>
  <c r="AL203" i="42"/>
  <c r="AF261" i="42"/>
  <c r="AN368" i="42"/>
  <c r="K21" i="44"/>
  <c r="AG250" i="42"/>
  <c r="AI206" i="42"/>
  <c r="AB359" i="42"/>
  <c r="U133" i="42"/>
  <c r="AB68" i="42"/>
  <c r="AF60" i="42"/>
  <c r="AB350" i="42"/>
  <c r="AA81" i="42"/>
  <c r="AA77" i="42"/>
  <c r="V152" i="42"/>
  <c r="AW28" i="42"/>
  <c r="AO315" i="42"/>
  <c r="W72" i="42"/>
  <c r="AG298" i="42"/>
  <c r="AG86" i="42"/>
  <c r="AG144" i="42"/>
  <c r="W258" i="42"/>
  <c r="Z182" i="42"/>
  <c r="AC102" i="42"/>
  <c r="AA109" i="42"/>
  <c r="AG286" i="42"/>
  <c r="T202" i="42"/>
  <c r="T89" i="42"/>
  <c r="AF236" i="42"/>
  <c r="T188" i="42"/>
  <c r="AX30" i="42"/>
  <c r="AG79" i="42"/>
  <c r="V328" i="42"/>
  <c r="T220" i="42"/>
  <c r="W67" i="42"/>
  <c r="T171" i="42"/>
  <c r="AC164" i="42"/>
  <c r="AC62" i="42"/>
  <c r="AM198" i="42"/>
  <c r="Z135" i="42"/>
  <c r="AM316" i="42"/>
  <c r="AB345" i="42"/>
  <c r="T66" i="42"/>
  <c r="AX23" i="42"/>
  <c r="AM240" i="42"/>
  <c r="AW16" i="42"/>
  <c r="AI12" i="42"/>
  <c r="AG62" i="42"/>
  <c r="AG332" i="42"/>
  <c r="AC222" i="42"/>
  <c r="AB148" i="42"/>
  <c r="U134" i="42"/>
  <c r="V135" i="42"/>
  <c r="W300" i="42"/>
  <c r="K369" i="44"/>
  <c r="U209" i="42"/>
  <c r="AO242" i="42"/>
  <c r="W17" i="42"/>
  <c r="Z184" i="42"/>
  <c r="AL165" i="42"/>
  <c r="AG358" i="42"/>
  <c r="V172" i="42"/>
  <c r="AH301" i="42"/>
  <c r="AO272" i="42"/>
  <c r="AA319" i="42"/>
  <c r="V362" i="42"/>
  <c r="AA134" i="42"/>
  <c r="AF355" i="42"/>
  <c r="AC315" i="42"/>
  <c r="AC245" i="42"/>
  <c r="U331" i="42"/>
  <c r="AH171" i="42"/>
  <c r="T21" i="42"/>
  <c r="AF272" i="42"/>
  <c r="AC38" i="42"/>
  <c r="AA369" i="42"/>
  <c r="AG348" i="42"/>
  <c r="K156" i="44"/>
  <c r="V199" i="42"/>
  <c r="AN135" i="42"/>
  <c r="AB92" i="42"/>
  <c r="W369" i="42"/>
  <c r="AG277" i="42"/>
  <c r="AN99" i="42"/>
  <c r="V77" i="42"/>
  <c r="AN219" i="42"/>
  <c r="AO277" i="42"/>
  <c r="AF211" i="42"/>
  <c r="U266" i="42"/>
  <c r="T102" i="42"/>
  <c r="T212" i="42"/>
  <c r="AN347" i="42"/>
  <c r="K94" i="44"/>
  <c r="AO244" i="42"/>
  <c r="W158" i="42"/>
  <c r="AC369" i="42"/>
  <c r="K28" i="44"/>
  <c r="AH122" i="42"/>
  <c r="AN115" i="42"/>
  <c r="AF214" i="42"/>
  <c r="AA121" i="42"/>
  <c r="T92" i="42"/>
  <c r="AL241" i="42"/>
  <c r="AI162" i="42"/>
  <c r="AG372" i="42"/>
  <c r="AA92" i="42"/>
  <c r="V359" i="42"/>
  <c r="AF107" i="42"/>
  <c r="AB191" i="42"/>
  <c r="AM297" i="42"/>
  <c r="T293" i="42"/>
  <c r="AH143" i="42"/>
  <c r="AN132" i="42"/>
  <c r="AM141" i="42"/>
  <c r="U366" i="42"/>
  <c r="AM327" i="42"/>
  <c r="AF68" i="42"/>
  <c r="AN145" i="42"/>
  <c r="AA23" i="42"/>
  <c r="K364" i="44"/>
  <c r="AG33" i="42"/>
  <c r="AC67" i="42"/>
  <c r="K107" i="44"/>
  <c r="AN359" i="42"/>
  <c r="AM166" i="42"/>
  <c r="U14" i="42"/>
  <c r="K165" i="44"/>
  <c r="U294" i="42"/>
  <c r="W166" i="42"/>
  <c r="AC141" i="42"/>
  <c r="AF142" i="42"/>
  <c r="AF218" i="42"/>
  <c r="T297" i="42"/>
  <c r="AW15" i="42"/>
  <c r="AA288" i="42"/>
  <c r="V16" i="42"/>
  <c r="AB333" i="42"/>
  <c r="AM14" i="42"/>
  <c r="AL211" i="42"/>
  <c r="U125" i="42"/>
  <c r="AL363" i="42"/>
  <c r="Z278" i="42"/>
  <c r="AA349" i="42"/>
  <c r="U317" i="42"/>
  <c r="AO92" i="42"/>
  <c r="K323" i="44"/>
  <c r="AC144" i="42"/>
  <c r="AG246" i="42"/>
  <c r="AA25" i="42"/>
  <c r="AC266" i="42"/>
  <c r="AG237" i="42"/>
  <c r="AM286" i="42"/>
  <c r="AA85" i="42"/>
  <c r="V95" i="42"/>
  <c r="AB249" i="42"/>
  <c r="AI329" i="42"/>
  <c r="AF64" i="42"/>
  <c r="AG185" i="42"/>
  <c r="AN253" i="42"/>
  <c r="AO53" i="42"/>
  <c r="AN148" i="42"/>
  <c r="Z198" i="42"/>
  <c r="AC325" i="42"/>
  <c r="AM217" i="42"/>
  <c r="AN266" i="42"/>
  <c r="V63" i="42"/>
  <c r="AO239" i="42"/>
  <c r="AL250" i="42"/>
  <c r="W372" i="42"/>
  <c r="AI190" i="42"/>
  <c r="AL131" i="42"/>
  <c r="AC196" i="42"/>
  <c r="Z270" i="42"/>
  <c r="AO314" i="42"/>
  <c r="AG268" i="42"/>
  <c r="AL168" i="42"/>
  <c r="AN310" i="42"/>
  <c r="AM48" i="42"/>
  <c r="T264" i="42"/>
  <c r="AM129" i="42"/>
  <c r="AF48" i="42"/>
  <c r="U191" i="42"/>
  <c r="Z37" i="42"/>
  <c r="AG156" i="42"/>
  <c r="AN126" i="42"/>
  <c r="AN373" i="42"/>
  <c r="T20" i="42"/>
  <c r="AI161" i="42"/>
  <c r="V146" i="42"/>
  <c r="W162" i="42"/>
  <c r="V338" i="42"/>
  <c r="U115" i="42"/>
  <c r="AB46" i="42"/>
  <c r="U361" i="42"/>
  <c r="Z78" i="42"/>
  <c r="AM210" i="42"/>
  <c r="V91" i="42"/>
  <c r="AF280" i="42"/>
  <c r="V129" i="42"/>
  <c r="AL292" i="42"/>
  <c r="U343" i="42"/>
  <c r="V357" i="42"/>
  <c r="AH29" i="42"/>
  <c r="W157" i="42"/>
  <c r="AF296" i="42"/>
  <c r="AC81" i="42"/>
  <c r="AI106" i="42"/>
  <c r="AL265" i="42"/>
  <c r="AG103" i="42"/>
  <c r="AM218" i="42"/>
  <c r="AF85" i="42"/>
  <c r="AG27" i="42"/>
  <c r="AG343" i="42"/>
  <c r="AM215" i="42"/>
  <c r="W329" i="42"/>
  <c r="U213" i="42"/>
  <c r="K106" i="44"/>
  <c r="T366" i="42"/>
  <c r="V110" i="42"/>
  <c r="AG76" i="42"/>
  <c r="K55" i="44"/>
  <c r="AO199" i="42"/>
  <c r="AH275" i="42"/>
  <c r="AH349" i="42"/>
  <c r="AM98" i="42"/>
  <c r="AG243" i="42"/>
  <c r="U76" i="42"/>
  <c r="AH116" i="42"/>
  <c r="AC169" i="42"/>
  <c r="AN79" i="42"/>
  <c r="Z17" i="42"/>
  <c r="AF326" i="42"/>
  <c r="W279" i="42"/>
  <c r="K195" i="44"/>
  <c r="AA273" i="42"/>
  <c r="AB276" i="42"/>
  <c r="AG34" i="42"/>
  <c r="AN140" i="42"/>
  <c r="K232" i="44"/>
  <c r="AH186" i="42"/>
  <c r="AA170" i="42"/>
  <c r="W364" i="42"/>
  <c r="U177" i="42"/>
  <c r="AF260" i="42"/>
  <c r="AG309" i="42"/>
  <c r="AG39" i="42"/>
  <c r="Z159" i="42"/>
  <c r="U206" i="42"/>
  <c r="AN290" i="42"/>
  <c r="AC105" i="42"/>
  <c r="AL105" i="42"/>
  <c r="AN160" i="42"/>
  <c r="T321" i="42"/>
  <c r="W243" i="42"/>
  <c r="AB15" i="42"/>
  <c r="Z119" i="42"/>
  <c r="Z346" i="42"/>
  <c r="AI54" i="42"/>
  <c r="U324" i="42"/>
  <c r="U26" i="42"/>
  <c r="Z337" i="42"/>
  <c r="U368" i="42"/>
  <c r="AC341" i="42"/>
  <c r="V182" i="42"/>
  <c r="AG17" i="42"/>
  <c r="AB234" i="42"/>
  <c r="Z245" i="42"/>
  <c r="AM132" i="42"/>
  <c r="T63" i="42"/>
  <c r="AC41" i="42"/>
  <c r="AM305" i="42"/>
  <c r="AM150" i="42"/>
  <c r="AC108" i="42"/>
  <c r="U32" i="42"/>
  <c r="AG322" i="42"/>
  <c r="AO368" i="42"/>
  <c r="AM367" i="42"/>
  <c r="AH31" i="42"/>
  <c r="AA375" i="42"/>
  <c r="AO110" i="42"/>
  <c r="AL179" i="42"/>
  <c r="K328" i="44"/>
  <c r="AL85" i="42"/>
  <c r="AL258" i="42"/>
  <c r="AA294" i="42"/>
  <c r="AB199" i="42"/>
  <c r="AN58" i="42"/>
  <c r="Z300" i="42"/>
  <c r="AC313" i="42"/>
  <c r="AM182" i="42"/>
  <c r="T71" i="42"/>
  <c r="AH207" i="42"/>
  <c r="AB112" i="42"/>
  <c r="T53" i="42"/>
  <c r="AG40" i="42"/>
  <c r="Z345" i="42"/>
  <c r="W80" i="42"/>
  <c r="T345" i="42"/>
  <c r="AG154" i="42"/>
  <c r="Z205" i="42"/>
  <c r="AM66" i="42"/>
  <c r="U172" i="42"/>
  <c r="AM31" i="42"/>
  <c r="AA33" i="42"/>
  <c r="AB164" i="42"/>
  <c r="AG224" i="42"/>
  <c r="K327" i="44"/>
  <c r="AL57" i="42"/>
  <c r="U168" i="42"/>
  <c r="Z203" i="42"/>
  <c r="AB65" i="42"/>
  <c r="T274" i="42"/>
  <c r="AA263" i="42"/>
  <c r="V141" i="42"/>
  <c r="AF316" i="42"/>
  <c r="K117" i="44"/>
  <c r="AA254" i="42"/>
  <c r="AM284" i="42"/>
  <c r="W306" i="42"/>
  <c r="AN166" i="42"/>
  <c r="AI118" i="42"/>
  <c r="Z60" i="42"/>
  <c r="W38" i="42"/>
  <c r="AN49" i="42"/>
  <c r="AC339" i="42"/>
  <c r="V280" i="42"/>
  <c r="AM355" i="42"/>
  <c r="AL130" i="42"/>
  <c r="AG51" i="42"/>
  <c r="Z132" i="42"/>
  <c r="AF302" i="42"/>
  <c r="U308" i="42"/>
  <c r="K79" i="44"/>
  <c r="AO265" i="42"/>
  <c r="T82" i="42"/>
  <c r="W316" i="42"/>
  <c r="AC231" i="42"/>
  <c r="W322" i="42"/>
  <c r="AH32" i="42"/>
  <c r="AH202" i="42"/>
  <c r="AA132" i="42"/>
  <c r="AM32" i="42"/>
  <c r="AC282" i="42"/>
  <c r="W230" i="42"/>
  <c r="Z91" i="42"/>
  <c r="AC85" i="42"/>
  <c r="AL187" i="42"/>
  <c r="AA262" i="42"/>
  <c r="AB353" i="42"/>
  <c r="AA95" i="42"/>
  <c r="AH56" i="42"/>
  <c r="U83" i="42"/>
  <c r="AF364" i="42"/>
  <c r="AN139" i="42"/>
  <c r="AC135" i="42"/>
  <c r="AF92" i="42"/>
  <c r="U137" i="42"/>
  <c r="V284" i="42"/>
  <c r="W309" i="42"/>
  <c r="AI333" i="42"/>
  <c r="W109" i="42"/>
  <c r="K144" i="44"/>
  <c r="AH180" i="42"/>
  <c r="AG360" i="42"/>
  <c r="AI238" i="42"/>
  <c r="T348" i="42"/>
  <c r="T126" i="42"/>
  <c r="Z257" i="42"/>
  <c r="AL210" i="42"/>
  <c r="V295" i="42"/>
  <c r="AI140" i="42"/>
  <c r="AM302" i="42"/>
  <c r="Z52" i="42"/>
  <c r="AF324" i="42"/>
  <c r="AF222" i="42"/>
  <c r="AN101" i="42"/>
  <c r="AG222" i="42"/>
  <c r="AG357" i="42"/>
  <c r="AH219" i="42"/>
  <c r="Z86" i="42"/>
  <c r="U297" i="42"/>
  <c r="AI224" i="42"/>
  <c r="K73" i="44"/>
  <c r="T128" i="42"/>
  <c r="T265" i="42"/>
  <c r="AF128" i="42"/>
  <c r="AF165" i="42"/>
  <c r="V162" i="42"/>
  <c r="AL53" i="42"/>
  <c r="T64" i="42"/>
  <c r="AG347" i="42"/>
  <c r="T289" i="42"/>
  <c r="AV27" i="42"/>
  <c r="AH222" i="42"/>
  <c r="AN330" i="42"/>
  <c r="AG106" i="42"/>
  <c r="V232" i="42"/>
  <c r="AN200" i="42"/>
  <c r="AL207" i="42"/>
  <c r="U155" i="42"/>
  <c r="AA151" i="42"/>
  <c r="Z89" i="42"/>
  <c r="AH153" i="42"/>
  <c r="AC216" i="42"/>
  <c r="AF89" i="42"/>
  <c r="AH28" i="42"/>
  <c r="AA24" i="42"/>
  <c r="AI55" i="42"/>
  <c r="K290" i="44"/>
  <c r="T61" i="42"/>
  <c r="AG45" i="42"/>
  <c r="AF264" i="42"/>
  <c r="AO345" i="42"/>
  <c r="AN285" i="42"/>
  <c r="AG38" i="42"/>
  <c r="AF150" i="42"/>
  <c r="V358" i="42"/>
  <c r="W81" i="42"/>
  <c r="AM195" i="42"/>
  <c r="AM336" i="42"/>
  <c r="AN339" i="42"/>
  <c r="AO176" i="42"/>
  <c r="AA51" i="42"/>
  <c r="Z227" i="42"/>
  <c r="AN134" i="42"/>
  <c r="AH284" i="42"/>
  <c r="AH162" i="42"/>
  <c r="T100" i="42"/>
  <c r="AG269" i="42"/>
  <c r="AF62" i="42"/>
  <c r="AB257" i="42"/>
  <c r="K108" i="44"/>
  <c r="AA90" i="42"/>
  <c r="V131" i="42"/>
  <c r="AM330" i="42"/>
  <c r="AG373" i="42"/>
  <c r="AN108" i="42"/>
  <c r="AH104" i="42"/>
  <c r="AB184" i="42"/>
  <c r="AB347" i="42"/>
  <c r="AN19" i="42"/>
  <c r="AC171" i="42"/>
  <c r="AG329" i="42"/>
  <c r="AM25" i="42"/>
  <c r="AM107" i="42"/>
  <c r="AO365" i="42"/>
  <c r="AM37" i="42"/>
  <c r="Z34" i="42"/>
  <c r="AL198" i="42"/>
  <c r="V96" i="42"/>
  <c r="AC318" i="42"/>
  <c r="AL152" i="42"/>
  <c r="AF238" i="42"/>
  <c r="AB94" i="42"/>
  <c r="V258" i="42"/>
  <c r="Z191" i="42"/>
  <c r="U202" i="42"/>
  <c r="AO339" i="42"/>
  <c r="AM315" i="42"/>
  <c r="AO193" i="42"/>
  <c r="K263" i="44"/>
  <c r="AC138" i="42"/>
  <c r="AH252" i="42"/>
  <c r="AC114" i="42"/>
  <c r="Z355" i="42"/>
  <c r="AO69" i="42"/>
  <c r="AF13" i="42"/>
  <c r="AO90" i="42"/>
  <c r="AB363" i="42"/>
  <c r="AF117" i="42"/>
  <c r="AO31" i="42"/>
  <c r="K275" i="44"/>
  <c r="AB173" i="42"/>
  <c r="Z95" i="42"/>
  <c r="K314" i="44"/>
  <c r="AN63" i="42"/>
  <c r="AF297" i="42"/>
  <c r="AC241" i="42"/>
  <c r="AF317" i="42"/>
  <c r="AL126" i="42"/>
  <c r="AB316" i="42"/>
  <c r="U143" i="42"/>
  <c r="W197" i="42"/>
  <c r="U241" i="42"/>
  <c r="V333" i="42"/>
  <c r="Z90" i="42"/>
  <c r="AI234" i="42"/>
  <c r="U373" i="42"/>
  <c r="AL114" i="42"/>
  <c r="AG54" i="42"/>
  <c r="AB203" i="42"/>
  <c r="U272" i="42"/>
  <c r="AG178" i="42"/>
  <c r="AL261" i="42"/>
  <c r="W185" i="42"/>
  <c r="AO95" i="42"/>
  <c r="AL305" i="42"/>
  <c r="K137" i="44"/>
  <c r="AC343" i="42"/>
  <c r="AB185" i="42"/>
  <c r="AG28" i="42"/>
  <c r="V72" i="42"/>
  <c r="AF346" i="42"/>
  <c r="AH262" i="42"/>
  <c r="Z109" i="42"/>
  <c r="AF119" i="42"/>
  <c r="AM251" i="42"/>
  <c r="V24" i="42"/>
  <c r="AO311" i="42"/>
  <c r="AG285" i="42"/>
  <c r="K310" i="44"/>
  <c r="AN210" i="42"/>
  <c r="Z179" i="42"/>
  <c r="T336" i="42"/>
  <c r="AF199" i="42"/>
  <c r="AI251" i="42"/>
  <c r="AC123" i="42"/>
  <c r="K294" i="44"/>
  <c r="W173" i="42"/>
  <c r="AO301" i="42"/>
  <c r="AG146" i="42"/>
  <c r="Z258" i="42"/>
  <c r="AB250" i="42"/>
  <c r="K13" i="44"/>
  <c r="AO292" i="42"/>
  <c r="AG203" i="42"/>
  <c r="AL201" i="42"/>
  <c r="K224" i="44"/>
  <c r="Z322" i="42"/>
  <c r="W352" i="42"/>
  <c r="AG52" i="42"/>
  <c r="T299" i="42"/>
  <c r="AH356" i="42"/>
  <c r="AA233" i="42"/>
  <c r="AL245" i="42"/>
  <c r="AF71" i="42"/>
  <c r="U39" i="42"/>
  <c r="AM12" i="42"/>
  <c r="AB37" i="42"/>
  <c r="AI104" i="42"/>
  <c r="Z50" i="42"/>
  <c r="AO268" i="42"/>
  <c r="V67" i="42"/>
  <c r="W221" i="42"/>
  <c r="AH127" i="42"/>
  <c r="AL89" i="42"/>
  <c r="AI219" i="42"/>
  <c r="V313" i="42"/>
  <c r="AI183" i="42"/>
  <c r="AI235" i="42"/>
  <c r="K68" i="44"/>
  <c r="AC249" i="42"/>
  <c r="Z56" i="42"/>
  <c r="AA286" i="42"/>
  <c r="AL122" i="42"/>
  <c r="U303" i="42"/>
  <c r="AL136" i="42"/>
  <c r="U207" i="42"/>
  <c r="T194" i="42"/>
  <c r="AG182" i="42"/>
  <c r="AG85" i="42"/>
  <c r="V14" i="42"/>
  <c r="K86" i="44"/>
  <c r="AC333" i="42"/>
  <c r="AH160" i="42"/>
  <c r="AM375" i="42"/>
  <c r="AO77" i="42"/>
  <c r="AH224" i="42"/>
  <c r="AN65" i="42"/>
  <c r="AO367" i="42"/>
  <c r="AB251" i="42"/>
  <c r="AF138" i="42"/>
  <c r="AF93" i="42"/>
  <c r="AO160" i="42"/>
  <c r="AV34" i="42"/>
  <c r="AX18" i="42"/>
  <c r="K282" i="44"/>
  <c r="AC296" i="42"/>
  <c r="AG58" i="42"/>
  <c r="AN24" i="42"/>
  <c r="T221" i="42"/>
  <c r="AG43" i="42"/>
  <c r="U109" i="42"/>
  <c r="W286" i="42"/>
  <c r="AO285" i="42"/>
  <c r="K284" i="44"/>
  <c r="AM171" i="42"/>
  <c r="AO288" i="42"/>
  <c r="AF337" i="42"/>
  <c r="AA205" i="42"/>
  <c r="AC59" i="42"/>
  <c r="V231" i="42"/>
  <c r="V144" i="42"/>
  <c r="AF26" i="42"/>
  <c r="AN66" i="42"/>
  <c r="W360" i="42"/>
  <c r="AI24" i="42"/>
  <c r="AO127" i="42"/>
  <c r="T211" i="42"/>
  <c r="AH355" i="42"/>
  <c r="U108" i="42"/>
  <c r="AC160" i="42"/>
  <c r="AB153" i="42"/>
  <c r="AM202" i="42"/>
  <c r="V264" i="42"/>
  <c r="W271" i="42"/>
  <c r="K325" i="44"/>
  <c r="AA103" i="42"/>
  <c r="AN247" i="42"/>
  <c r="AB213" i="42"/>
  <c r="T337" i="42"/>
  <c r="AV19" i="42"/>
  <c r="AI247" i="42"/>
  <c r="AA208" i="42"/>
  <c r="W312" i="42"/>
  <c r="K337" i="44"/>
  <c r="AO309" i="42"/>
  <c r="AC365" i="42"/>
  <c r="T86" i="42"/>
  <c r="AC70" i="42"/>
  <c r="AO60" i="42"/>
  <c r="Z312" i="42"/>
  <c r="AB275" i="42"/>
  <c r="AH91" i="42"/>
  <c r="AN184" i="42"/>
  <c r="AA275" i="42"/>
  <c r="AF100" i="42"/>
  <c r="AB339" i="42"/>
  <c r="K77" i="44"/>
  <c r="Z283" i="42"/>
  <c r="U51" i="42"/>
  <c r="U374" i="42"/>
  <c r="AH73" i="42"/>
  <c r="T354" i="42"/>
  <c r="U197" i="42"/>
  <c r="W256" i="42"/>
  <c r="AB86" i="42"/>
  <c r="Z120" i="42"/>
  <c r="Z58" i="42"/>
  <c r="AB41" i="42"/>
  <c r="AL284" i="42"/>
  <c r="Z361" i="42"/>
  <c r="AO24" i="42"/>
  <c r="W90" i="42"/>
  <c r="Z172" i="42"/>
  <c r="AO212" i="42"/>
  <c r="Z349" i="42"/>
  <c r="T148" i="42"/>
  <c r="AF131" i="42"/>
  <c r="K90" i="44"/>
  <c r="AN235" i="42"/>
  <c r="Z123" i="42"/>
  <c r="AH103" i="42"/>
  <c r="AG121" i="42"/>
  <c r="AB54" i="42"/>
  <c r="AI193" i="42"/>
  <c r="AC205" i="42"/>
  <c r="Z317" i="42"/>
  <c r="AM55" i="42"/>
  <c r="Z26" i="42"/>
  <c r="AG104" i="42"/>
  <c r="T137" i="42"/>
  <c r="AO102" i="42"/>
  <c r="U270" i="42"/>
  <c r="AB12" i="42"/>
  <c r="U174" i="42"/>
  <c r="T30" i="42"/>
  <c r="T70" i="42"/>
  <c r="AI292" i="42"/>
  <c r="AO91" i="42"/>
  <c r="AB136" i="42"/>
  <c r="AF365" i="42"/>
  <c r="AV36" i="42"/>
  <c r="AW27" i="42"/>
  <c r="Z332" i="42"/>
  <c r="W93" i="42"/>
  <c r="AN234" i="42"/>
  <c r="AI194" i="42"/>
  <c r="AI214" i="42"/>
  <c r="AL189" i="42"/>
  <c r="AG259" i="42"/>
  <c r="AO97" i="42"/>
  <c r="AN340" i="42"/>
  <c r="W242" i="42"/>
  <c r="T295" i="42"/>
  <c r="U358" i="42"/>
  <c r="K372" i="44"/>
  <c r="AB205" i="42"/>
  <c r="U194" i="42"/>
  <c r="AB292" i="42"/>
  <c r="AC98" i="42"/>
  <c r="AH101" i="42"/>
  <c r="V316" i="42"/>
  <c r="AH123" i="42"/>
  <c r="T240" i="42"/>
  <c r="AX13" i="42"/>
  <c r="AW25" i="42"/>
  <c r="K15" i="44"/>
  <c r="K96" i="44"/>
  <c r="AM93" i="42"/>
  <c r="T175" i="42"/>
  <c r="T145" i="42"/>
  <c r="V51" i="42"/>
  <c r="AF231" i="42"/>
  <c r="AA354" i="42"/>
  <c r="AN191" i="42"/>
  <c r="AC317" i="42"/>
  <c r="T319" i="42"/>
  <c r="AF340" i="42"/>
  <c r="AA13" i="42"/>
  <c r="AX22" i="42"/>
  <c r="AL312" i="42"/>
  <c r="AH78" i="42"/>
  <c r="W196" i="42"/>
  <c r="AF34" i="42"/>
  <c r="AL167" i="42"/>
  <c r="AL144" i="42"/>
  <c r="W98" i="42"/>
  <c r="Z155" i="42"/>
  <c r="AC237" i="42"/>
  <c r="AO140" i="42"/>
  <c r="AL362" i="42"/>
  <c r="V214" i="42"/>
  <c r="AH239" i="42"/>
  <c r="K221" i="44"/>
  <c r="AL102" i="42"/>
  <c r="AI245" i="42"/>
  <c r="AO231" i="42"/>
  <c r="AI57" i="42"/>
  <c r="AO234" i="42"/>
  <c r="AC146" i="42"/>
  <c r="AN60" i="42"/>
  <c r="AO286" i="42"/>
  <c r="K192" i="44"/>
  <c r="AL107" i="42"/>
  <c r="AG219" i="42"/>
  <c r="AA154" i="42"/>
  <c r="T168" i="42"/>
  <c r="AM243" i="42"/>
  <c r="AB346" i="42"/>
  <c r="AB189" i="42"/>
  <c r="AA106" i="42"/>
  <c r="T305" i="42"/>
  <c r="AN103" i="42"/>
  <c r="AB17" i="42"/>
  <c r="AA136" i="42"/>
  <c r="AH173" i="42"/>
  <c r="AM79" i="42"/>
  <c r="AG297" i="42"/>
  <c r="T342" i="42"/>
  <c r="AG138" i="42"/>
  <c r="AG114" i="42"/>
  <c r="AM350" i="42"/>
  <c r="AF73" i="42"/>
  <c r="AM45" i="42"/>
  <c r="AH74" i="42"/>
  <c r="AO36" i="42"/>
  <c r="Z336" i="42"/>
  <c r="AH329" i="42"/>
  <c r="AI170" i="42"/>
  <c r="W317" i="42"/>
  <c r="AN274" i="42"/>
  <c r="AF53" i="42"/>
  <c r="V294" i="42"/>
  <c r="AH290" i="42"/>
  <c r="K324" i="44"/>
  <c r="W45" i="42"/>
  <c r="AF112" i="42"/>
  <c r="AO115" i="42"/>
  <c r="W339" i="42"/>
  <c r="AI367" i="42"/>
  <c r="AB25" i="42"/>
  <c r="K50" i="44"/>
  <c r="AF148" i="42"/>
  <c r="Z39" i="42"/>
  <c r="K355" i="44"/>
  <c r="AG225" i="42"/>
  <c r="AI169" i="42"/>
  <c r="AL230" i="42"/>
  <c r="Z256" i="42"/>
  <c r="AA174" i="42"/>
  <c r="T204" i="42"/>
  <c r="AN327" i="42"/>
  <c r="AB269" i="42"/>
  <c r="AN78" i="42"/>
  <c r="V133" i="42"/>
  <c r="U130" i="42"/>
  <c r="AN264" i="42"/>
  <c r="V285" i="42"/>
  <c r="AA201" i="42"/>
  <c r="AH176" i="42"/>
  <c r="AN225" i="42"/>
  <c r="Z348" i="42"/>
  <c r="AB162" i="42"/>
  <c r="K110" i="44"/>
  <c r="K12" i="44"/>
  <c r="AO104" i="42"/>
  <c r="AG191" i="42"/>
  <c r="U61" i="42"/>
  <c r="AI265" i="42"/>
  <c r="AB300" i="42"/>
  <c r="AI168" i="42"/>
  <c r="U86" i="42"/>
  <c r="AN185" i="42"/>
  <c r="AL337" i="42"/>
  <c r="AB280" i="42"/>
  <c r="V341" i="42"/>
  <c r="AB284" i="42"/>
  <c r="AF14" i="42"/>
  <c r="AH62" i="42"/>
  <c r="AI81" i="42"/>
  <c r="AI370" i="42"/>
  <c r="AF151" i="42"/>
  <c r="T98" i="42"/>
  <c r="AV15" i="42"/>
  <c r="AG184" i="42"/>
  <c r="T245" i="42"/>
  <c r="AM323" i="42"/>
  <c r="AM101" i="42"/>
  <c r="K298" i="44"/>
  <c r="AN309" i="42"/>
  <c r="AM216" i="42"/>
  <c r="W189" i="42"/>
  <c r="AF50" i="42"/>
  <c r="T355" i="42"/>
  <c r="AA303" i="42"/>
  <c r="AL88" i="42"/>
  <c r="AG21" i="42"/>
  <c r="AG363" i="42"/>
  <c r="T280" i="42"/>
  <c r="AH208" i="42"/>
  <c r="T167" i="42"/>
  <c r="AN82" i="42"/>
  <c r="AN163" i="42"/>
  <c r="AH273" i="42"/>
  <c r="AA251" i="42"/>
  <c r="AF243" i="42"/>
  <c r="AO112" i="42"/>
  <c r="U99" i="42"/>
  <c r="AN346" i="42"/>
  <c r="AI56" i="42"/>
  <c r="W199" i="42"/>
  <c r="AM136" i="42"/>
  <c r="AH362" i="42"/>
  <c r="AB75" i="42"/>
  <c r="AB352" i="42"/>
  <c r="AW23" i="42"/>
  <c r="AO180" i="42"/>
  <c r="AM145" i="42"/>
  <c r="AI213" i="42"/>
  <c r="U164" i="42"/>
  <c r="AO191" i="42"/>
  <c r="AC139" i="42"/>
  <c r="AL138" i="42"/>
  <c r="W50" i="42"/>
  <c r="AG323" i="42"/>
  <c r="AC324" i="42"/>
  <c r="AN13" i="42"/>
  <c r="AM52" i="42"/>
  <c r="AF232" i="42"/>
  <c r="AB246" i="42"/>
  <c r="AN17" i="42"/>
  <c r="V301" i="42"/>
  <c r="AM96" i="42"/>
  <c r="AI209" i="42"/>
  <c r="AG206" i="42"/>
  <c r="W307" i="42"/>
  <c r="AB26" i="42"/>
  <c r="V299" i="42"/>
  <c r="AC213" i="42"/>
  <c r="W58" i="42"/>
  <c r="AF230" i="42"/>
  <c r="AO165" i="42"/>
  <c r="AO347" i="42"/>
  <c r="AC126" i="42"/>
  <c r="AL142" i="42"/>
  <c r="AB171" i="42"/>
  <c r="AL313" i="42"/>
  <c r="V66" i="42"/>
  <c r="T19" i="42"/>
  <c r="Z46" i="42"/>
  <c r="AI256" i="42"/>
  <c r="W143" i="42"/>
  <c r="AO322" i="42"/>
  <c r="AB217" i="42"/>
  <c r="Z158" i="42"/>
  <c r="W161" i="42"/>
  <c r="K212" i="44"/>
  <c r="AF221" i="42"/>
  <c r="T196" i="42"/>
  <c r="AL174" i="42"/>
  <c r="AB219" i="42"/>
  <c r="AI274" i="42"/>
  <c r="AF318" i="42"/>
  <c r="T218" i="42"/>
  <c r="AM64" i="42"/>
  <c r="U210" i="42"/>
  <c r="AL235" i="42"/>
  <c r="AA239" i="42"/>
  <c r="AO186" i="42"/>
  <c r="AG249" i="42"/>
  <c r="AI287" i="42"/>
  <c r="AA156" i="42"/>
  <c r="AL49" i="42"/>
  <c r="K47" i="44"/>
  <c r="AC271" i="42"/>
  <c r="W106" i="42"/>
  <c r="AH306" i="42"/>
  <c r="AI97" i="42"/>
  <c r="AB150" i="42"/>
  <c r="AI181" i="42"/>
  <c r="AB236" i="42"/>
  <c r="Z82" i="42"/>
  <c r="AO248" i="42"/>
  <c r="W228" i="42"/>
  <c r="AC337" i="42"/>
  <c r="AL309" i="42"/>
  <c r="AG92" i="42"/>
  <c r="T35" i="42"/>
  <c r="Z181" i="42"/>
  <c r="AB338" i="42"/>
  <c r="U208" i="42"/>
  <c r="Z150" i="42"/>
  <c r="W187" i="42"/>
  <c r="K100" i="44"/>
  <c r="AL22" i="42"/>
  <c r="V227" i="42"/>
  <c r="AH366" i="42"/>
  <c r="U189" i="42"/>
  <c r="AC301" i="42"/>
  <c r="AO61" i="42"/>
  <c r="AG355" i="42"/>
  <c r="AI198" i="42"/>
  <c r="AH289" i="42"/>
  <c r="AM274" i="42"/>
  <c r="AO343" i="42"/>
  <c r="AH25" i="42"/>
  <c r="AV35" i="42"/>
  <c r="AC21" i="42"/>
  <c r="AN41" i="42"/>
  <c r="AH94" i="42"/>
  <c r="AI261" i="42"/>
  <c r="AL243" i="42"/>
  <c r="AA147" i="42"/>
  <c r="K34" i="44"/>
  <c r="AB16" i="42"/>
  <c r="AA74" i="42"/>
  <c r="AM34" i="42"/>
  <c r="AG364" i="42"/>
  <c r="W182" i="42"/>
  <c r="T332" i="42"/>
  <c r="W216" i="42"/>
  <c r="AG129" i="42"/>
  <c r="U192" i="42"/>
  <c r="K191" i="44"/>
  <c r="AO71" i="42"/>
  <c r="U187" i="42"/>
  <c r="T349" i="42"/>
  <c r="U71" i="42"/>
  <c r="AI80" i="42"/>
  <c r="AH195" i="42"/>
  <c r="AN169" i="42"/>
  <c r="K123" i="44"/>
  <c r="AB132" i="42"/>
  <c r="AB200" i="42"/>
  <c r="T278" i="42"/>
  <c r="AO327" i="42"/>
  <c r="AA148" i="42"/>
  <c r="AI297" i="42"/>
  <c r="V212" i="42"/>
  <c r="Z96" i="42"/>
  <c r="AM164" i="42"/>
  <c r="AH212" i="42"/>
  <c r="V34" i="42"/>
  <c r="U360" i="42"/>
  <c r="AH300" i="42"/>
  <c r="AA228" i="42"/>
  <c r="AA270" i="42"/>
  <c r="AO233" i="42"/>
  <c r="T292" i="42"/>
  <c r="V27" i="42"/>
  <c r="Z133" i="42"/>
  <c r="AG208" i="42"/>
  <c r="AM310" i="42"/>
  <c r="AA343" i="42"/>
  <c r="U74" i="42"/>
  <c r="V113" i="42"/>
  <c r="AA225" i="42"/>
  <c r="Z118" i="42"/>
  <c r="AA346" i="42"/>
  <c r="AF226" i="42"/>
  <c r="AM22" i="42"/>
  <c r="AH119" i="42"/>
  <c r="AB226" i="42"/>
  <c r="AH328" i="42"/>
  <c r="U128" i="42"/>
  <c r="AH47" i="42"/>
  <c r="AN212" i="42"/>
  <c r="Z297" i="42"/>
  <c r="V347" i="42"/>
  <c r="Z111" i="42"/>
  <c r="AF164" i="42"/>
  <c r="W126" i="42"/>
  <c r="AC163" i="42"/>
  <c r="AO318" i="42"/>
  <c r="AL216" i="42"/>
  <c r="AL128" i="42"/>
  <c r="AH354" i="42"/>
  <c r="Z163" i="42"/>
  <c r="AA144" i="42"/>
  <c r="AN252" i="42"/>
  <c r="AA245" i="42"/>
  <c r="K361" i="44"/>
  <c r="AA296" i="42"/>
  <c r="Z262" i="42"/>
  <c r="Z148" i="42"/>
  <c r="AO13" i="42"/>
  <c r="K170" i="44"/>
  <c r="U217" i="42"/>
  <c r="K250" i="44"/>
  <c r="T287" i="42"/>
  <c r="AN61" i="42"/>
  <c r="AN233" i="42"/>
  <c r="AH21" i="42"/>
  <c r="AO337" i="42"/>
  <c r="U334" i="42"/>
  <c r="AI368" i="42"/>
  <c r="U65" i="42"/>
  <c r="W178" i="42"/>
  <c r="AG266" i="42"/>
  <c r="Z185" i="42"/>
  <c r="AC130" i="42"/>
  <c r="AM245" i="42"/>
  <c r="AM154" i="42"/>
  <c r="V26" i="42"/>
  <c r="AC276" i="42"/>
  <c r="V254" i="42"/>
  <c r="Z320" i="42"/>
  <c r="AL217" i="42"/>
  <c r="U107" i="42"/>
  <c r="AB188" i="42"/>
  <c r="W176" i="42"/>
  <c r="AO29" i="42"/>
  <c r="AA320" i="42"/>
  <c r="AI113" i="42"/>
  <c r="AI331" i="42"/>
  <c r="AF372" i="42"/>
  <c r="AO270" i="42"/>
  <c r="AA96" i="42"/>
  <c r="AN157" i="42"/>
  <c r="AI120" i="42"/>
  <c r="AM91" i="42"/>
  <c r="AH60" i="42"/>
  <c r="AN301" i="42"/>
  <c r="AN236" i="42"/>
  <c r="W66" i="42"/>
  <c r="AG93" i="42"/>
  <c r="AL346" i="42"/>
  <c r="U359" i="42"/>
  <c r="V108" i="42"/>
  <c r="AM234" i="42"/>
  <c r="AB23" i="42"/>
  <c r="AM352" i="42"/>
  <c r="AG123" i="42"/>
  <c r="AH364" i="42"/>
  <c r="AC334" i="42"/>
  <c r="AG274" i="42"/>
  <c r="K239" i="44"/>
  <c r="AA209" i="42"/>
  <c r="AC203" i="42"/>
  <c r="Z301" i="42"/>
  <c r="AA335" i="42"/>
  <c r="K193" i="44"/>
  <c r="AN238" i="42"/>
  <c r="AC156" i="42"/>
  <c r="AI22" i="42"/>
  <c r="AB361" i="42"/>
  <c r="AB254" i="42"/>
  <c r="AH281" i="42"/>
  <c r="U23" i="42"/>
  <c r="Z260" i="42"/>
  <c r="W223" i="42"/>
  <c r="AA58" i="42"/>
  <c r="V74" i="42"/>
  <c r="AN34" i="42"/>
  <c r="K122" i="44"/>
  <c r="AM256" i="42"/>
  <c r="AM143" i="42"/>
  <c r="AB186" i="42"/>
  <c r="U182" i="42"/>
  <c r="AC122" i="42"/>
  <c r="AL76" i="42"/>
  <c r="AA183" i="42"/>
  <c r="W247" i="42"/>
  <c r="T146" i="42"/>
  <c r="K367" i="44"/>
  <c r="AB45" i="42"/>
  <c r="AN355" i="42"/>
  <c r="U277" i="42"/>
  <c r="K183" i="44"/>
  <c r="W59" i="42"/>
  <c r="V109" i="42"/>
  <c r="W293" i="42"/>
  <c r="AH188" i="42"/>
  <c r="AL159" i="42"/>
  <c r="AB265" i="42"/>
  <c r="AF259" i="42"/>
  <c r="AN239" i="42"/>
  <c r="AI299" i="42"/>
  <c r="K18" i="44"/>
  <c r="W340" i="42"/>
  <c r="K138" i="44"/>
  <c r="AA34" i="42"/>
  <c r="K317" i="44"/>
  <c r="AA285" i="42"/>
  <c r="AG307" i="42"/>
  <c r="AA355" i="42"/>
  <c r="AW30" i="42"/>
  <c r="V250" i="42"/>
  <c r="AC277" i="42"/>
  <c r="AI271" i="42"/>
  <c r="W134" i="42"/>
  <c r="U242" i="42"/>
  <c r="AN55" i="42"/>
  <c r="AH174" i="42"/>
  <c r="AB79" i="42"/>
  <c r="AA176" i="42"/>
  <c r="AB175" i="42"/>
  <c r="AC233" i="42"/>
  <c r="AA102" i="42"/>
  <c r="AO111" i="42"/>
  <c r="AN189" i="42"/>
  <c r="AB35" i="42"/>
  <c r="V59" i="42"/>
  <c r="AO107" i="42"/>
  <c r="AL343" i="42"/>
  <c r="AG238" i="42"/>
  <c r="AG180" i="42"/>
  <c r="AN197" i="42"/>
  <c r="AA242" i="42"/>
  <c r="AA116" i="42"/>
  <c r="AG47" i="42"/>
  <c r="AA283" i="42"/>
  <c r="AL86" i="42"/>
  <c r="AF78" i="42"/>
  <c r="AX19" i="42"/>
  <c r="AI64" i="42"/>
  <c r="AO34" i="42"/>
  <c r="W203" i="42"/>
  <c r="AI16" i="42"/>
  <c r="AA371" i="42"/>
  <c r="Z170" i="42"/>
  <c r="AM103" i="42"/>
  <c r="AA82" i="42"/>
  <c r="AC43" i="42"/>
  <c r="AN141" i="42"/>
  <c r="AO76" i="42"/>
  <c r="AA38" i="42"/>
  <c r="AL295" i="42"/>
  <c r="W186" i="42"/>
  <c r="AI175" i="42"/>
  <c r="W40" i="42"/>
  <c r="AC274" i="42"/>
  <c r="AN278" i="42"/>
  <c r="AB140" i="42"/>
  <c r="V246" i="42"/>
  <c r="K313" i="44"/>
  <c r="Z112" i="42"/>
  <c r="AA217" i="42"/>
  <c r="V319" i="42"/>
  <c r="T185" i="42"/>
  <c r="W313" i="42"/>
  <c r="Z104" i="42"/>
  <c r="AI304" i="42"/>
  <c r="AH368" i="42"/>
  <c r="T121" i="42"/>
  <c r="AA325" i="42"/>
  <c r="AI91" i="42"/>
  <c r="AB163" i="42"/>
  <c r="AG41" i="42"/>
  <c r="W254" i="42"/>
  <c r="AM204" i="42"/>
  <c r="AO253" i="42"/>
  <c r="AF38" i="42"/>
  <c r="W170" i="42"/>
  <c r="AO300" i="42"/>
  <c r="W31" i="42"/>
  <c r="V332" i="42"/>
  <c r="AA80" i="42"/>
  <c r="AI174" i="42"/>
  <c r="AL98" i="42"/>
  <c r="AB261" i="42"/>
  <c r="T90" i="42"/>
  <c r="AA212" i="42"/>
  <c r="AA149" i="42"/>
  <c r="AX28" i="42"/>
  <c r="AC110" i="42"/>
  <c r="AC290" i="42"/>
  <c r="AC366" i="42"/>
  <c r="U355" i="42"/>
  <c r="W276" i="42"/>
  <c r="AN371" i="42"/>
  <c r="AB56" i="42"/>
  <c r="K17" i="44"/>
  <c r="AN125" i="42"/>
  <c r="AM67" i="42"/>
  <c r="AL325" i="42"/>
  <c r="AB328" i="42"/>
  <c r="U276" i="42"/>
  <c r="AA334" i="42"/>
  <c r="AF359" i="42"/>
  <c r="AI335" i="42"/>
  <c r="AH316" i="42"/>
  <c r="AC183" i="42"/>
  <c r="AN84" i="42"/>
  <c r="AG173" i="42"/>
  <c r="AB230" i="42"/>
  <c r="AL66" i="42"/>
  <c r="T224" i="42"/>
  <c r="AF229" i="42"/>
  <c r="K36" i="44"/>
  <c r="T96" i="42"/>
  <c r="AH125" i="42"/>
  <c r="AC304" i="42"/>
  <c r="AI195" i="42"/>
  <c r="K97" i="44"/>
  <c r="AI153" i="42"/>
  <c r="AA326" i="42"/>
  <c r="AI110" i="42"/>
  <c r="K326" i="44"/>
  <c r="K307" i="44"/>
  <c r="W233" i="42"/>
  <c r="W43" i="42"/>
  <c r="T331" i="42"/>
  <c r="AA196" i="42"/>
  <c r="AI222" i="42"/>
  <c r="AH54" i="42"/>
  <c r="AG365" i="42"/>
  <c r="AM115" i="42"/>
  <c r="Z173" i="42"/>
  <c r="AL253" i="42"/>
  <c r="K188" i="44"/>
  <c r="K66" i="44"/>
  <c r="AO369" i="42"/>
  <c r="AF354" i="42"/>
  <c r="AI227" i="42"/>
  <c r="V203" i="42"/>
  <c r="AL354" i="42"/>
  <c r="Z327" i="42"/>
  <c r="AF251" i="42"/>
  <c r="AM324" i="42"/>
  <c r="AA363" i="42"/>
  <c r="AA338" i="42"/>
  <c r="AB294" i="42"/>
  <c r="AB317" i="42"/>
  <c r="AN328" i="42"/>
  <c r="AG136" i="42"/>
  <c r="AC151" i="42"/>
  <c r="AA110" i="42"/>
  <c r="T215" i="42"/>
  <c r="AC225" i="42"/>
  <c r="AC101" i="42"/>
  <c r="T228" i="42"/>
  <c r="AA26" i="42"/>
  <c r="AC323" i="42"/>
  <c r="AC269" i="42"/>
  <c r="V369" i="42"/>
  <c r="K14" i="44"/>
  <c r="AA45" i="42"/>
  <c r="AF175" i="42"/>
  <c r="AB115" i="42"/>
  <c r="U226" i="42"/>
  <c r="AM334" i="42"/>
  <c r="AO187" i="42"/>
  <c r="K142" i="44"/>
  <c r="AA124" i="42"/>
  <c r="AI48" i="42"/>
  <c r="U94" i="42"/>
  <c r="AL373" i="42"/>
  <c r="K319" i="44"/>
  <c r="W213" i="42"/>
  <c r="AH18" i="42"/>
  <c r="AH69" i="42"/>
  <c r="AG97" i="42"/>
  <c r="AO105" i="42"/>
  <c r="AO183" i="42"/>
  <c r="AH227" i="42"/>
  <c r="AO169" i="42"/>
  <c r="AO33" i="42"/>
  <c r="W191" i="42"/>
  <c r="AG284" i="42"/>
  <c r="AN92" i="42"/>
  <c r="K365" i="44"/>
  <c r="Z65" i="42"/>
  <c r="AB301" i="42"/>
  <c r="AB73" i="42"/>
  <c r="AH244" i="42"/>
  <c r="V151" i="42"/>
  <c r="AO366" i="42"/>
  <c r="U298" i="42"/>
  <c r="AB233" i="42"/>
  <c r="AC64" i="42"/>
  <c r="T246" i="42"/>
  <c r="K27" i="44"/>
  <c r="V179" i="42"/>
  <c r="AF207" i="42"/>
  <c r="AC188" i="42"/>
  <c r="W64" i="42"/>
  <c r="AI73" i="42"/>
  <c r="AB262" i="42"/>
  <c r="AB11" i="42"/>
  <c r="U50" i="42"/>
  <c r="AM268" i="42"/>
  <c r="Z225" i="42"/>
  <c r="AF347" i="42"/>
  <c r="AW35" i="42"/>
  <c r="AB143" i="42"/>
  <c r="Z59" i="42"/>
  <c r="AA41" i="42"/>
  <c r="AH136" i="42"/>
  <c r="V112" i="42"/>
  <c r="AB134" i="42"/>
  <c r="U341" i="42"/>
  <c r="AX29" i="42"/>
  <c r="AA97" i="42"/>
  <c r="AC311" i="42"/>
  <c r="AA258" i="42"/>
  <c r="AL357" i="42"/>
  <c r="V82" i="42"/>
  <c r="K297" i="44"/>
  <c r="AN144" i="42"/>
  <c r="AO274" i="42"/>
  <c r="AV28" i="42"/>
  <c r="U232" i="42"/>
  <c r="AF101" i="42"/>
  <c r="AH50" i="42"/>
  <c r="T214" i="42"/>
  <c r="W209" i="42"/>
  <c r="AL156" i="42"/>
  <c r="T260" i="42"/>
  <c r="AI301" i="42"/>
  <c r="AA22" i="42"/>
  <c r="V348" i="42"/>
  <c r="W114" i="42"/>
  <c r="Z168" i="42"/>
  <c r="AN227" i="42"/>
  <c r="AO275" i="42"/>
  <c r="V374" i="42"/>
  <c r="T358" i="42"/>
  <c r="AC202" i="42"/>
  <c r="AC364" i="42"/>
  <c r="AI32" i="42"/>
  <c r="U30" i="42"/>
  <c r="V163" i="42"/>
  <c r="AG96" i="42"/>
  <c r="AH49" i="42"/>
  <c r="AN205" i="42"/>
  <c r="Z311" i="42"/>
  <c r="AC256" i="42"/>
  <c r="AH335" i="42"/>
  <c r="W56" i="42"/>
  <c r="U156" i="42"/>
  <c r="AG324" i="42"/>
  <c r="AX26" i="42"/>
  <c r="T176" i="42"/>
  <c r="V354" i="42"/>
  <c r="U120" i="42"/>
  <c r="U42" i="42"/>
  <c r="Z231" i="42"/>
  <c r="U339" i="42"/>
  <c r="AV22" i="42"/>
  <c r="AA305" i="42"/>
  <c r="T97" i="42"/>
  <c r="AB288" i="42"/>
  <c r="AB323" i="42"/>
  <c r="AH121" i="42"/>
  <c r="W153" i="42"/>
  <c r="AG64" i="42"/>
  <c r="AM322" i="42"/>
  <c r="T235" i="42"/>
  <c r="K203" i="44"/>
  <c r="AI326" i="42"/>
  <c r="AL221" i="42"/>
  <c r="K305" i="44"/>
  <c r="AN88" i="42"/>
  <c r="V37" i="42"/>
  <c r="AN267" i="42"/>
  <c r="Z114" i="42"/>
  <c r="AN374" i="42"/>
  <c r="W92" i="42"/>
  <c r="AH243" i="42"/>
  <c r="U73" i="42"/>
  <c r="T306" i="42"/>
  <c r="AB135" i="42"/>
  <c r="U72" i="42"/>
  <c r="Z121" i="42"/>
  <c r="W251" i="42"/>
  <c r="AA372" i="42"/>
  <c r="K225" i="44"/>
  <c r="AB64" i="42"/>
  <c r="AH151" i="42"/>
  <c r="T213" i="42"/>
  <c r="AI366" i="42"/>
  <c r="AA60" i="42"/>
  <c r="W54" i="42"/>
  <c r="AH215" i="42"/>
  <c r="AG95" i="42"/>
  <c r="U104" i="42"/>
  <c r="W268" i="42"/>
  <c r="AB130" i="42"/>
  <c r="W328" i="42"/>
  <c r="U273" i="42"/>
  <c r="AN353" i="42"/>
  <c r="AG304" i="42"/>
  <c r="K29" i="44"/>
  <c r="AG231" i="42"/>
  <c r="AI316" i="42"/>
  <c r="AA186" i="42"/>
  <c r="AC93" i="42"/>
  <c r="AA302" i="42"/>
  <c r="U40" i="42"/>
  <c r="AH102" i="42"/>
  <c r="AG117" i="42"/>
  <c r="AF160" i="42"/>
  <c r="W83" i="42"/>
  <c r="AB287" i="42"/>
  <c r="W373" i="42"/>
  <c r="AC300" i="42"/>
  <c r="W272" i="42"/>
  <c r="AC280" i="42"/>
  <c r="AA42" i="42"/>
  <c r="AI94" i="42"/>
  <c r="AO329" i="42"/>
  <c r="K67" i="44"/>
  <c r="AL297" i="42"/>
  <c r="AA161" i="42"/>
  <c r="AA293" i="42"/>
  <c r="K104" i="44"/>
  <c r="AC253" i="42"/>
  <c r="K155" i="44"/>
  <c r="AO348" i="42"/>
  <c r="AX31" i="42"/>
  <c r="AH351" i="42"/>
  <c r="AF166" i="42"/>
  <c r="AI197" i="42"/>
  <c r="T367" i="42"/>
  <c r="AH146" i="42"/>
  <c r="AN96" i="42"/>
  <c r="AO119" i="42"/>
  <c r="K158" i="44"/>
  <c r="AI157" i="42"/>
  <c r="AF18" i="42"/>
  <c r="AC127" i="42"/>
  <c r="AN72" i="42"/>
  <c r="U34" i="42"/>
  <c r="AF21" i="42"/>
  <c r="AI252" i="42"/>
  <c r="Z23" i="42"/>
  <c r="K370" i="44"/>
  <c r="T94" i="42"/>
  <c r="AN292" i="42"/>
  <c r="T136" i="42"/>
  <c r="AF108" i="42"/>
  <c r="AF27" i="42"/>
  <c r="W321" i="42"/>
  <c r="AC158" i="42"/>
  <c r="AI99" i="42"/>
  <c r="AO356" i="42"/>
  <c r="AA47" i="42"/>
  <c r="AA129" i="42"/>
  <c r="W319" i="42"/>
  <c r="AN15" i="42"/>
  <c r="AF301" i="42"/>
  <c r="AB374" i="42"/>
  <c r="AC264" i="42"/>
  <c r="AN259" i="42"/>
  <c r="AF161" i="42"/>
  <c r="AF129" i="42"/>
  <c r="AH68" i="42"/>
  <c r="Z178" i="42"/>
  <c r="U176" i="42"/>
  <c r="W12" i="42"/>
  <c r="AL24" i="42"/>
  <c r="AF157" i="42"/>
  <c r="Z339" i="42"/>
  <c r="Z45" i="42"/>
  <c r="AG299" i="42"/>
  <c r="AO70" i="42"/>
  <c r="W39" i="42"/>
  <c r="U58" i="42"/>
  <c r="AB168" i="42"/>
  <c r="AL324" i="42"/>
  <c r="V307" i="42"/>
  <c r="AB293" i="42"/>
  <c r="AL62" i="42"/>
  <c r="T29" i="42"/>
  <c r="AI315" i="42"/>
  <c r="AH72" i="42"/>
  <c r="K373" i="44"/>
  <c r="AF133" i="42"/>
  <c r="AH61" i="42"/>
  <c r="AA12" i="42"/>
  <c r="AO85" i="42"/>
  <c r="U117" i="42"/>
  <c r="AN335" i="42"/>
  <c r="AN308" i="42"/>
  <c r="T23" i="42"/>
  <c r="Z281" i="42"/>
  <c r="AN11" i="42"/>
  <c r="AO279" i="42"/>
  <c r="AO141" i="42"/>
  <c r="AO219" i="42"/>
  <c r="AL263" i="42"/>
  <c r="AG14" i="42"/>
  <c r="W359" i="42"/>
  <c r="AC24" i="42"/>
  <c r="AO137" i="42"/>
  <c r="AI221" i="42"/>
  <c r="V181" i="42"/>
  <c r="V48" i="42"/>
  <c r="AN319" i="42"/>
  <c r="Z212" i="42"/>
  <c r="AF244" i="42"/>
  <c r="K84" i="44"/>
  <c r="K184" i="44"/>
  <c r="AF57" i="42"/>
  <c r="V164" i="42"/>
  <c r="Z279" i="42"/>
  <c r="AL109" i="42"/>
  <c r="AN83" i="42"/>
  <c r="AM207" i="42"/>
  <c r="AO80" i="42"/>
  <c r="W71" i="42"/>
  <c r="U362" i="42"/>
  <c r="AL293" i="42"/>
  <c r="AI105" i="42"/>
  <c r="AM100" i="42"/>
  <c r="V237" i="42"/>
  <c r="AI270" i="42"/>
  <c r="AA300" i="42"/>
  <c r="AH342" i="42"/>
  <c r="Z201" i="42"/>
  <c r="Z340" i="42"/>
  <c r="AN206" i="42"/>
  <c r="W129" i="42"/>
  <c r="AF202" i="42"/>
  <c r="W262" i="42"/>
  <c r="AL164" i="42"/>
  <c r="AM106" i="42"/>
  <c r="AH333" i="42"/>
  <c r="AH14" i="42"/>
  <c r="AM249" i="42"/>
  <c r="K246" i="44"/>
  <c r="AN76" i="42"/>
  <c r="W13" i="42"/>
  <c r="K292" i="44"/>
  <c r="AL149" i="42"/>
  <c r="U75" i="42"/>
  <c r="AO166" i="42"/>
  <c r="AO164" i="42"/>
  <c r="AF245" i="42"/>
  <c r="AC52" i="42"/>
  <c r="AG232" i="42"/>
  <c r="V252" i="42"/>
  <c r="AM349" i="42"/>
  <c r="AL78" i="42"/>
  <c r="AO364" i="42"/>
  <c r="AH220" i="42"/>
  <c r="U98" i="42"/>
  <c r="AI215" i="42"/>
  <c r="AI230" i="42"/>
  <c r="AA63" i="42"/>
  <c r="T59" i="42"/>
  <c r="AG313" i="42"/>
  <c r="K356" i="44"/>
  <c r="K204" i="44"/>
  <c r="AI207" i="42"/>
  <c r="AA162" i="42"/>
  <c r="AM170" i="42"/>
  <c r="U203" i="42"/>
  <c r="W19" i="42"/>
  <c r="AH114" i="42"/>
  <c r="AL334" i="42"/>
  <c r="AI351" i="42"/>
  <c r="Z129" i="42"/>
  <c r="AW34" i="42"/>
  <c r="AO321" i="42"/>
  <c r="U41" i="42"/>
  <c r="AL252" i="42"/>
  <c r="K20" i="44"/>
  <c r="Z166" i="42"/>
  <c r="AF55" i="42"/>
  <c r="AA18" i="42"/>
  <c r="AI76" i="42"/>
  <c r="AM306" i="42"/>
  <c r="AM365" i="42"/>
  <c r="U103" i="42"/>
  <c r="AM160" i="42"/>
  <c r="AG150" i="42"/>
  <c r="AA291" i="42"/>
  <c r="Z373" i="42"/>
  <c r="AO67" i="42"/>
  <c r="AC239" i="42"/>
  <c r="AL319" i="42"/>
  <c r="AL205" i="42"/>
  <c r="AN354" i="42"/>
  <c r="AF235" i="42"/>
  <c r="AA332" i="42"/>
  <c r="W295" i="42"/>
  <c r="AA142" i="42"/>
  <c r="AB142" i="42"/>
  <c r="V117" i="42"/>
  <c r="AA359" i="42"/>
  <c r="U29" i="42"/>
  <c r="W35" i="42"/>
  <c r="AG375" i="42"/>
  <c r="V213" i="42"/>
  <c r="AC320" i="42"/>
  <c r="AF125" i="42"/>
  <c r="W26" i="42"/>
  <c r="U344" i="42"/>
  <c r="AG145" i="42"/>
  <c r="K149" i="44"/>
  <c r="K233" i="44"/>
  <c r="AH226" i="42"/>
  <c r="AO328" i="42"/>
  <c r="AL247" i="42"/>
  <c r="W206" i="42"/>
  <c r="AW31" i="42"/>
  <c r="AL63" i="42"/>
  <c r="AB181" i="42"/>
  <c r="K91" i="44"/>
  <c r="AN130" i="42"/>
  <c r="AC16" i="42"/>
  <c r="AO147" i="42"/>
  <c r="AA256" i="42"/>
  <c r="AI321" i="42"/>
  <c r="AA279" i="42"/>
  <c r="AN356" i="42"/>
  <c r="W214" i="42"/>
  <c r="Z221" i="42"/>
  <c r="W270" i="42"/>
  <c r="AF54" i="42"/>
  <c r="V191" i="42"/>
  <c r="AC150" i="42"/>
  <c r="AO87" i="42"/>
  <c r="AF358" i="42"/>
  <c r="AL60" i="42"/>
  <c r="V40" i="42"/>
  <c r="W338" i="42"/>
  <c r="V275" i="42"/>
  <c r="V169" i="42"/>
  <c r="Z102" i="42"/>
  <c r="AA87" i="42"/>
  <c r="W96" i="42"/>
  <c r="AM230" i="42"/>
  <c r="AO304" i="42"/>
  <c r="AL226" i="42"/>
  <c r="V340" i="42"/>
  <c r="U166" i="42"/>
  <c r="AB47" i="42"/>
  <c r="AH164" i="42"/>
  <c r="V41" i="42"/>
  <c r="AB69" i="42"/>
  <c r="AO259" i="42"/>
  <c r="Z255" i="42"/>
  <c r="AM76" i="42"/>
  <c r="T269" i="42"/>
  <c r="U153" i="42"/>
  <c r="W15" i="42"/>
  <c r="AA152" i="42"/>
  <c r="Z98" i="42"/>
  <c r="AA14" i="42"/>
  <c r="AL129" i="42"/>
  <c r="U250" i="42"/>
  <c r="AG328" i="42"/>
  <c r="AN265" i="42"/>
  <c r="U215" i="42"/>
  <c r="Z285" i="42"/>
  <c r="AC242" i="42"/>
  <c r="AC131" i="42"/>
  <c r="U230" i="42"/>
  <c r="AL344" i="42"/>
  <c r="AA345" i="42"/>
  <c r="AA206" i="42"/>
  <c r="AN293" i="42"/>
  <c r="AH126" i="42"/>
  <c r="W60" i="42"/>
  <c r="AG337" i="42"/>
  <c r="AM146" i="42"/>
  <c r="AB109" i="42"/>
  <c r="AH141" i="42"/>
  <c r="K125" i="44"/>
  <c r="AA29" i="42"/>
  <c r="AM264" i="42"/>
  <c r="AL327" i="42"/>
  <c r="W108" i="42"/>
  <c r="V361" i="42"/>
  <c r="U292" i="42"/>
  <c r="Z321" i="42"/>
  <c r="AO122" i="42"/>
  <c r="AC258" i="42"/>
  <c r="V94" i="42"/>
  <c r="AN113" i="42"/>
  <c r="AG341" i="42"/>
  <c r="Z97" i="42"/>
  <c r="AC154" i="42"/>
  <c r="W277" i="42"/>
  <c r="K371" i="44"/>
  <c r="AB24" i="42"/>
  <c r="Z167" i="42"/>
  <c r="AO317" i="42"/>
  <c r="AB67" i="42"/>
  <c r="AN37" i="42"/>
  <c r="AO47" i="42"/>
  <c r="K270" i="44"/>
  <c r="AI164" i="42"/>
  <c r="T56" i="42"/>
  <c r="AL52" i="42"/>
  <c r="V36" i="42"/>
  <c r="V103" i="42"/>
  <c r="AI13" i="42"/>
  <c r="AN254" i="42"/>
  <c r="AB39" i="42"/>
  <c r="K318" i="44"/>
  <c r="Z36" i="42"/>
  <c r="V120" i="42"/>
  <c r="U141" i="42"/>
  <c r="AH367" i="42"/>
  <c r="AL264" i="42"/>
  <c r="T323" i="42"/>
  <c r="V207" i="42"/>
  <c r="AL257" i="42"/>
  <c r="AB307" i="42"/>
  <c r="AV24" i="42"/>
  <c r="AI191" i="42"/>
  <c r="T267" i="42"/>
  <c r="AL30" i="42"/>
  <c r="AN283" i="42"/>
  <c r="AI23" i="42"/>
  <c r="AM254" i="42"/>
  <c r="AO152" i="42"/>
  <c r="AG116" i="42"/>
  <c r="AG23" i="42"/>
  <c r="U249" i="42"/>
  <c r="AL288" i="42"/>
  <c r="V249" i="42"/>
  <c r="AB368" i="42"/>
  <c r="U119" i="42"/>
  <c r="AH161" i="42"/>
  <c r="U161" i="42"/>
  <c r="AG148" i="42"/>
  <c r="AB13" i="42"/>
  <c r="AG130" i="42"/>
  <c r="AO252" i="42"/>
  <c r="K311" i="44"/>
  <c r="AB81" i="42"/>
  <c r="AM20" i="42"/>
  <c r="AN320" i="42"/>
  <c r="AA202" i="42"/>
  <c r="AI88" i="42"/>
  <c r="AO19" i="42"/>
  <c r="V39" i="42"/>
  <c r="K128" i="44"/>
  <c r="U193" i="42"/>
  <c r="T31" i="42"/>
  <c r="AI123" i="42"/>
  <c r="AB218" i="42"/>
  <c r="AI177" i="42"/>
  <c r="T113" i="42"/>
  <c r="V216" i="42"/>
  <c r="U263" i="42"/>
  <c r="AX20" i="42"/>
  <c r="V57" i="42"/>
  <c r="AB279" i="42"/>
  <c r="Z314" i="42"/>
  <c r="AV31" i="42"/>
  <c r="U275" i="42"/>
  <c r="AB260" i="42"/>
  <c r="AL209" i="42"/>
  <c r="K322" i="44"/>
  <c r="W70" i="42"/>
  <c r="AM211" i="42"/>
  <c r="AG32" i="42"/>
  <c r="U57" i="42"/>
  <c r="AN45" i="42"/>
  <c r="T351" i="42"/>
  <c r="AG128" i="42"/>
  <c r="AB172" i="42"/>
  <c r="U240" i="42"/>
  <c r="AB96" i="42"/>
  <c r="U101" i="42"/>
  <c r="AG15" i="42"/>
  <c r="AM11" i="42"/>
  <c r="Z233" i="42"/>
  <c r="AF152" i="42"/>
  <c r="U255" i="42"/>
  <c r="V261" i="42"/>
  <c r="AC11" i="42"/>
  <c r="AG276" i="42"/>
  <c r="W68" i="42"/>
  <c r="AF43" i="42"/>
  <c r="AH287" i="42"/>
  <c r="AC373" i="42"/>
  <c r="AL219" i="42"/>
  <c r="AA224" i="42"/>
  <c r="AC49" i="42"/>
  <c r="AH203" i="42"/>
  <c r="AL104" i="42"/>
  <c r="AB72" i="42"/>
  <c r="AM277" i="42"/>
  <c r="Z94" i="42"/>
  <c r="AH194" i="42"/>
  <c r="AN270" i="42"/>
  <c r="AH216" i="42"/>
  <c r="AM138" i="42"/>
  <c r="K287" i="44"/>
  <c r="AF217" i="42"/>
  <c r="U322" i="42"/>
  <c r="V311" i="42"/>
  <c r="Z250" i="42"/>
  <c r="AA321" i="42"/>
  <c r="AO161" i="42"/>
  <c r="AM301" i="42"/>
  <c r="V325" i="42"/>
  <c r="AL355" i="42"/>
  <c r="V286" i="42"/>
  <c r="V320" i="42"/>
  <c r="AB176" i="42"/>
  <c r="AO359" i="42"/>
  <c r="AO126" i="42"/>
  <c r="AF357" i="42"/>
  <c r="T286" i="42"/>
  <c r="AH132" i="42"/>
  <c r="AV25" i="42"/>
  <c r="AM346" i="42"/>
  <c r="AF72" i="42"/>
  <c r="AB277" i="42"/>
  <c r="AG126" i="42"/>
  <c r="AA200" i="42"/>
  <c r="AL270" i="42"/>
  <c r="AB318" i="42"/>
  <c r="V114" i="42"/>
  <c r="AA94" i="42"/>
  <c r="AM113" i="42"/>
  <c r="AC90" i="42"/>
  <c r="Z206" i="42"/>
  <c r="T203" i="42"/>
  <c r="AM89" i="42"/>
  <c r="K229" i="44"/>
  <c r="AH76" i="42"/>
  <c r="Z139" i="42"/>
  <c r="AG65" i="42"/>
  <c r="T301" i="42"/>
  <c r="K120" i="44"/>
  <c r="T183" i="42"/>
  <c r="AH228" i="42"/>
  <c r="V178" i="42"/>
  <c r="AH278" i="42"/>
  <c r="V289" i="42"/>
  <c r="AW36" i="42"/>
  <c r="W188" i="42"/>
  <c r="AH150" i="42"/>
  <c r="K258" i="44"/>
  <c r="AL285" i="42"/>
  <c r="AM259" i="42"/>
  <c r="AA287" i="42"/>
  <c r="AL155" i="42"/>
  <c r="AF369" i="42"/>
  <c r="AA46" i="42"/>
  <c r="AC371" i="42"/>
  <c r="AI248" i="42"/>
  <c r="Z169" i="42"/>
  <c r="AF190" i="42"/>
  <c r="AL160" i="42"/>
  <c r="V143" i="42"/>
  <c r="AG327" i="42"/>
  <c r="AA123" i="42"/>
  <c r="U53" i="42"/>
  <c r="K299" i="44"/>
  <c r="AF285" i="42"/>
  <c r="T14" i="42"/>
  <c r="AI232" i="42"/>
  <c r="AL332" i="42"/>
  <c r="AO326" i="42"/>
  <c r="AC340" i="42"/>
  <c r="AL255" i="42"/>
  <c r="AH357" i="42"/>
  <c r="AC294" i="42"/>
  <c r="AB29" i="42"/>
  <c r="W125" i="42"/>
  <c r="AM131" i="42"/>
  <c r="AH75" i="42"/>
  <c r="T343" i="42"/>
  <c r="AG74" i="42"/>
  <c r="AF210" i="42"/>
  <c r="V47" i="42"/>
  <c r="K22" i="44"/>
  <c r="T182" i="42"/>
  <c r="AH248" i="42"/>
  <c r="AC117" i="42"/>
  <c r="AN71" i="42"/>
  <c r="V11" i="42"/>
  <c r="Z298" i="42"/>
  <c r="AH231" i="42"/>
  <c r="AH124" i="42"/>
  <c r="K160" i="44"/>
  <c r="W55" i="42"/>
  <c r="AI264" i="42"/>
  <c r="Z187" i="42"/>
  <c r="AM236" i="42"/>
  <c r="U328" i="42"/>
  <c r="AN370" i="42"/>
  <c r="V293" i="42"/>
  <c r="W288" i="42"/>
  <c r="K135" i="44"/>
  <c r="AM86" i="42"/>
  <c r="AN154" i="42"/>
  <c r="AB247" i="42"/>
  <c r="AN316" i="42"/>
  <c r="AA252" i="42"/>
  <c r="T180" i="42"/>
  <c r="AF320" i="42"/>
  <c r="AA340" i="42"/>
  <c r="AC316" i="42"/>
  <c r="AO54" i="42"/>
  <c r="AF87" i="42"/>
  <c r="AO129" i="42"/>
  <c r="AM224" i="42"/>
  <c r="AC65" i="42"/>
  <c r="V344" i="42"/>
  <c r="AL70" i="42"/>
  <c r="AF84" i="42"/>
  <c r="AA290" i="42"/>
  <c r="U91" i="42"/>
  <c r="AC357" i="42"/>
  <c r="U149" i="42"/>
  <c r="AA246" i="42"/>
  <c r="T298" i="42"/>
  <c r="AB364" i="42"/>
  <c r="AA366" i="42"/>
  <c r="AC326" i="42"/>
  <c r="AC44" i="42"/>
  <c r="U135" i="42"/>
  <c r="V352" i="42"/>
  <c r="AH233" i="42"/>
  <c r="AM368" i="42"/>
  <c r="AF144" i="42"/>
  <c r="U196" i="42"/>
  <c r="Z143" i="42"/>
  <c r="Z246" i="42"/>
  <c r="AL318" i="42"/>
  <c r="U113" i="42"/>
  <c r="K80" i="44"/>
  <c r="Z33" i="42"/>
  <c r="AO14" i="42"/>
  <c r="AL188" i="42"/>
  <c r="AM139" i="42"/>
  <c r="V211" i="42"/>
  <c r="AG234" i="42"/>
  <c r="AI276" i="42"/>
  <c r="AA73" i="42"/>
  <c r="K87" i="44"/>
  <c r="T165" i="42"/>
  <c r="AM47" i="42"/>
  <c r="V180" i="42"/>
  <c r="AO18" i="42"/>
  <c r="AI311" i="42"/>
  <c r="AG325" i="42"/>
  <c r="V345" i="42"/>
  <c r="AM340" i="42"/>
  <c r="K89" i="44"/>
  <c r="AG25" i="42"/>
  <c r="AN48" i="42"/>
  <c r="AL353" i="42"/>
  <c r="U67" i="42"/>
  <c r="AM328" i="42"/>
  <c r="AB106" i="42"/>
  <c r="Z74" i="42"/>
  <c r="T93" i="42"/>
  <c r="AN161" i="42"/>
  <c r="AO125" i="42"/>
  <c r="W354" i="42"/>
  <c r="AI150" i="42"/>
  <c r="AB313" i="42"/>
  <c r="AB77" i="42"/>
  <c r="AI228" i="42"/>
  <c r="AC140" i="42"/>
  <c r="T357" i="42"/>
  <c r="AM111" i="42"/>
  <c r="K76" i="44"/>
  <c r="Z174" i="42"/>
  <c r="AF80" i="42"/>
  <c r="U27" i="42"/>
  <c r="AH298" i="42"/>
  <c r="T258" i="42"/>
  <c r="AN322" i="42"/>
  <c r="AF289" i="42"/>
  <c r="K230" i="44"/>
  <c r="AI324" i="42"/>
  <c r="AM308" i="42"/>
  <c r="W131" i="42"/>
  <c r="AG248" i="42"/>
  <c r="AH263" i="42"/>
  <c r="AM162" i="42"/>
  <c r="Z329" i="42"/>
  <c r="K201" i="44"/>
  <c r="AF253" i="42"/>
  <c r="AO319" i="42"/>
  <c r="T24" i="42"/>
  <c r="AI137" i="42"/>
  <c r="AB104" i="42"/>
  <c r="Z42" i="42"/>
  <c r="AB138" i="42"/>
  <c r="AF17" i="42"/>
  <c r="U15" i="42"/>
  <c r="Z369" i="42"/>
  <c r="T42" i="42"/>
  <c r="W198" i="42"/>
  <c r="AO185" i="42"/>
  <c r="AA357" i="42"/>
  <c r="AG308" i="42"/>
  <c r="AL46" i="42"/>
  <c r="AH375" i="42"/>
  <c r="AN294" i="42"/>
  <c r="Z335" i="42"/>
  <c r="AH251" i="42"/>
  <c r="AV20" i="42"/>
  <c r="AI346" i="42"/>
  <c r="AO316" i="42"/>
  <c r="U188" i="42"/>
  <c r="V100" i="42"/>
  <c r="U198" i="42"/>
  <c r="AI192" i="42"/>
  <c r="AI87" i="42"/>
  <c r="AX27" i="42"/>
  <c r="AL276" i="42"/>
  <c r="Z271" i="42"/>
  <c r="AO194" i="42"/>
  <c r="U199" i="42"/>
  <c r="AO208" i="42"/>
  <c r="AA350" i="42"/>
  <c r="AF127" i="42"/>
  <c r="AI323" i="42"/>
  <c r="K178" i="44"/>
  <c r="AI135" i="42"/>
  <c r="AF149" i="42"/>
  <c r="AC308" i="42"/>
  <c r="U323" i="42"/>
  <c r="V127" i="42"/>
  <c r="AI107" i="42"/>
  <c r="K280" i="44"/>
  <c r="AB38" i="42"/>
  <c r="V306" i="42"/>
  <c r="K71" i="44"/>
  <c r="AC299" i="42"/>
  <c r="AF312" i="42"/>
  <c r="Z353" i="42"/>
  <c r="AA126" i="42"/>
  <c r="V282" i="42"/>
  <c r="U271" i="42"/>
  <c r="K51" i="44"/>
  <c r="AC214" i="42"/>
  <c r="AM298" i="42"/>
  <c r="U280" i="42"/>
  <c r="AC358" i="42"/>
  <c r="AX33" i="42"/>
  <c r="W326" i="42"/>
  <c r="AH254" i="42"/>
  <c r="AN271" i="42"/>
  <c r="AC33" i="42"/>
  <c r="Z70" i="42"/>
  <c r="AM15" i="42"/>
  <c r="V371" i="42"/>
  <c r="AF333" i="42"/>
  <c r="AN281" i="42"/>
  <c r="AB193" i="42"/>
  <c r="AI240" i="42"/>
  <c r="AV16" i="42"/>
  <c r="AC243" i="42"/>
  <c r="K132" i="44"/>
  <c r="AI40" i="42"/>
  <c r="AL45" i="42"/>
  <c r="AC12" i="42"/>
  <c r="AG344" i="42"/>
  <c r="AM220" i="42"/>
  <c r="AB349" i="42"/>
  <c r="AN313" i="42"/>
  <c r="AC82" i="42"/>
  <c r="AH145" i="42"/>
  <c r="AL100" i="42"/>
  <c r="AO240" i="42"/>
  <c r="AC223" i="42"/>
  <c r="AG88" i="42"/>
  <c r="AF82" i="42"/>
  <c r="T375" i="42"/>
  <c r="AI146" i="42"/>
  <c r="AC88" i="42"/>
  <c r="AC89" i="42"/>
  <c r="U195" i="42"/>
  <c r="AF91" i="42"/>
  <c r="AN258" i="42"/>
  <c r="AB114" i="42"/>
  <c r="K185" i="44"/>
  <c r="V262" i="42"/>
  <c r="K102" i="44"/>
  <c r="Z238" i="42"/>
  <c r="AI160" i="42"/>
  <c r="AC305" i="42"/>
  <c r="W347" i="42"/>
  <c r="AB306" i="42"/>
  <c r="T11" i="42"/>
  <c r="AM42" i="42"/>
  <c r="AM172" i="42"/>
  <c r="AX36" i="42"/>
  <c r="K101" i="44"/>
  <c r="Z273" i="42"/>
  <c r="AM58" i="42"/>
  <c r="Z117" i="42"/>
  <c r="AM272" i="42"/>
  <c r="AF51" i="42"/>
  <c r="AL302" i="42"/>
  <c r="AH58" i="42"/>
  <c r="W297" i="42"/>
  <c r="V276" i="42"/>
  <c r="AC347" i="42"/>
  <c r="AB19" i="42"/>
  <c r="Z347" i="42"/>
  <c r="AL322" i="42"/>
  <c r="AM53" i="42"/>
  <c r="K279" i="44"/>
  <c r="AN272" i="42"/>
  <c r="Z100" i="42"/>
  <c r="AB31" i="42"/>
  <c r="W284" i="42"/>
  <c r="AN231" i="42"/>
  <c r="AL73" i="42"/>
  <c r="U105" i="42"/>
  <c r="AI173" i="42"/>
  <c r="T60" i="42"/>
  <c r="V290" i="42"/>
  <c r="K338" i="44"/>
  <c r="AM180" i="42"/>
  <c r="W330" i="42"/>
  <c r="AA158" i="42"/>
  <c r="K247" i="44"/>
  <c r="AI341" i="42"/>
  <c r="AC73" i="42"/>
  <c r="AH154" i="42"/>
  <c r="AB237" i="42"/>
  <c r="AB241" i="42"/>
  <c r="W292" i="42"/>
  <c r="AB291" i="42"/>
  <c r="AG342" i="42"/>
  <c r="AG302" i="42"/>
  <c r="AO40" i="42"/>
  <c r="AA101" i="42"/>
  <c r="AN269" i="42"/>
  <c r="Z64" i="42"/>
  <c r="V136" i="42"/>
  <c r="AM291" i="42"/>
  <c r="Z186" i="42"/>
  <c r="AC72" i="42"/>
  <c r="AL190" i="42"/>
  <c r="W86" i="42"/>
  <c r="AH288" i="42"/>
  <c r="AH148" i="42"/>
  <c r="AF304" i="42"/>
  <c r="AA115" i="42"/>
  <c r="AN363" i="42"/>
  <c r="V50" i="42"/>
  <c r="V176" i="42"/>
  <c r="Z338" i="42"/>
  <c r="AI77" i="42"/>
  <c r="AG291" i="42"/>
  <c r="AF44" i="42"/>
  <c r="V208" i="42"/>
  <c r="Z215" i="42"/>
  <c r="AN311" i="42"/>
  <c r="K268" i="44"/>
  <c r="AG142" i="42"/>
  <c r="AF180" i="42"/>
  <c r="AA312" i="42"/>
  <c r="K278" i="44"/>
  <c r="U299" i="42"/>
  <c r="AF61" i="42"/>
  <c r="AO142" i="42"/>
  <c r="AA264" i="42"/>
  <c r="AO99" i="42"/>
  <c r="AN175" i="42"/>
  <c r="AG207" i="42"/>
  <c r="AO158" i="42"/>
  <c r="AM357" i="42"/>
  <c r="AM120" i="42"/>
  <c r="AF28" i="42"/>
  <c r="AC255" i="42"/>
  <c r="AI375" i="42"/>
  <c r="AO227" i="42"/>
  <c r="AF350" i="42"/>
  <c r="AG168" i="42"/>
  <c r="Z107" i="42"/>
  <c r="AL271" i="42"/>
  <c r="AH269" i="42"/>
  <c r="AC375" i="42"/>
  <c r="Z68" i="42"/>
  <c r="AB302" i="42"/>
  <c r="AA210" i="42"/>
  <c r="AI156" i="42"/>
  <c r="AN193" i="42"/>
  <c r="AL301" i="42"/>
  <c r="AI281" i="42"/>
  <c r="AG366" i="42"/>
  <c r="AO371" i="42"/>
  <c r="AC56" i="42"/>
  <c r="AI92" i="42"/>
  <c r="AB331" i="42"/>
  <c r="W147" i="42"/>
  <c r="U291" i="42"/>
  <c r="U245" i="42"/>
  <c r="K75" i="44"/>
  <c r="U260" i="42"/>
  <c r="AO215" i="42"/>
  <c r="V272" i="42"/>
  <c r="AF233" i="42"/>
  <c r="AA31" i="42"/>
  <c r="V153" i="42"/>
  <c r="U262" i="42"/>
  <c r="V326" i="42"/>
  <c r="AF345" i="42"/>
  <c r="AM13" i="42"/>
  <c r="AL347" i="42"/>
  <c r="AH156" i="42"/>
  <c r="AF159" i="42"/>
  <c r="AG163" i="42"/>
  <c r="AF135" i="42"/>
  <c r="AN181" i="42"/>
  <c r="W219" i="42"/>
  <c r="T44" i="42"/>
  <c r="Z359" i="42"/>
  <c r="K345" i="44"/>
  <c r="Z30" i="42"/>
  <c r="K45" i="44"/>
  <c r="K139" i="44"/>
  <c r="V192" i="42"/>
  <c r="AN295" i="42"/>
  <c r="Z136" i="42"/>
  <c r="W341" i="42"/>
  <c r="AW33" i="42"/>
  <c r="AN116" i="42"/>
  <c r="V44" i="42"/>
  <c r="V15" i="42"/>
  <c r="AH344" i="42"/>
  <c r="U46" i="42"/>
  <c r="AI312" i="42"/>
  <c r="AL375" i="42"/>
  <c r="AN299" i="42"/>
  <c r="K348" i="44"/>
  <c r="AL287" i="42"/>
  <c r="AG353" i="42"/>
  <c r="AI144" i="42"/>
  <c r="T16" i="42"/>
  <c r="AB343" i="42"/>
  <c r="AH70" i="42"/>
  <c r="AG289" i="42"/>
  <c r="K240" i="44"/>
  <c r="AM189" i="42"/>
  <c r="AL36" i="42"/>
  <c r="W229" i="42"/>
  <c r="AI243" i="42"/>
  <c r="V370" i="42"/>
  <c r="K72" i="44"/>
  <c r="AB232" i="42"/>
  <c r="AN350" i="42"/>
  <c r="AL79" i="42"/>
  <c r="AL51" i="42"/>
  <c r="U151" i="42"/>
  <c r="AG369" i="42"/>
  <c r="AC100" i="42"/>
  <c r="T166" i="42"/>
  <c r="AM342" i="42"/>
  <c r="AA295" i="42"/>
  <c r="AF279" i="42"/>
  <c r="W20" i="42"/>
  <c r="W154" i="42"/>
  <c r="V76" i="42"/>
  <c r="AB248" i="42"/>
  <c r="W334" i="42"/>
  <c r="AX21" i="42"/>
  <c r="V56" i="42"/>
  <c r="AN286" i="42"/>
  <c r="K182" i="44"/>
  <c r="AO289" i="42"/>
  <c r="U82" i="42"/>
  <c r="AL335" i="42"/>
  <c r="AM60" i="42"/>
  <c r="AI354" i="42"/>
  <c r="T75" i="42"/>
  <c r="AC107" i="42"/>
  <c r="T73" i="42"/>
  <c r="AI373" i="42"/>
  <c r="T28" i="42"/>
  <c r="AA360" i="42"/>
  <c r="AC359" i="42"/>
  <c r="AB110" i="42"/>
  <c r="AN201" i="42"/>
  <c r="AN248" i="42"/>
  <c r="AL127" i="42"/>
  <c r="AH163" i="42"/>
  <c r="U167" i="42"/>
  <c r="AM75" i="42"/>
  <c r="Z288" i="42"/>
  <c r="U159" i="42"/>
  <c r="AF336" i="42"/>
  <c r="AI178" i="42"/>
  <c r="AC292" i="42"/>
  <c r="Z342" i="42"/>
  <c r="AA84" i="42"/>
  <c r="Z44" i="42"/>
  <c r="AO132" i="42"/>
  <c r="AI319" i="42"/>
  <c r="W82" i="42"/>
  <c r="AB325" i="42"/>
  <c r="U170" i="42"/>
  <c r="AN136" i="42"/>
  <c r="T108" i="42"/>
  <c r="K69" i="44"/>
  <c r="AN156" i="42"/>
  <c r="AO159" i="42"/>
  <c r="AC92" i="42"/>
  <c r="AB304" i="42"/>
  <c r="AO334" i="42"/>
  <c r="Z24" i="42"/>
  <c r="AG244" i="42"/>
  <c r="T78" i="42"/>
  <c r="AN85" i="42"/>
  <c r="Z79" i="42"/>
  <c r="AA191" i="42"/>
  <c r="AM351" i="42"/>
  <c r="AO225" i="42"/>
  <c r="AV32" i="42"/>
  <c r="AB282" i="42"/>
  <c r="AA83" i="42"/>
  <c r="AC302" i="42"/>
  <c r="W231" i="42"/>
  <c r="K113" i="44"/>
  <c r="AN57" i="42"/>
  <c r="V220" i="42"/>
  <c r="U342" i="42"/>
  <c r="AI199" i="42"/>
  <c r="AO162" i="42"/>
  <c r="AF223" i="42"/>
  <c r="K241" i="44"/>
  <c r="Z330" i="42"/>
  <c r="AG90" i="42"/>
  <c r="AG318" i="42"/>
  <c r="V221" i="42"/>
  <c r="AB48" i="42"/>
  <c r="AO50" i="42"/>
  <c r="AF267" i="42"/>
  <c r="V226" i="42"/>
  <c r="Z214" i="42"/>
  <c r="V315" i="42"/>
  <c r="AB121" i="42"/>
  <c r="AC244" i="42"/>
  <c r="AO86" i="42"/>
  <c r="AM333" i="42"/>
  <c r="AO298" i="42"/>
  <c r="AG29" i="42"/>
  <c r="U313" i="42"/>
  <c r="W201" i="42"/>
  <c r="AF94" i="42"/>
  <c r="AO372" i="42"/>
  <c r="W18" i="42"/>
  <c r="T243" i="42"/>
  <c r="AA257" i="42"/>
  <c r="Z326" i="42"/>
  <c r="U116" i="42"/>
  <c r="AM140" i="42"/>
  <c r="AI332" i="42"/>
  <c r="AC94" i="42"/>
  <c r="T198" i="42"/>
  <c r="K198" i="44"/>
  <c r="AG105" i="42"/>
  <c r="AG98" i="42"/>
  <c r="AG176" i="42"/>
  <c r="T45" i="42"/>
  <c r="AB119" i="42"/>
  <c r="AH158" i="42"/>
  <c r="AI28" i="42"/>
  <c r="W168" i="42"/>
  <c r="AF225" i="42"/>
  <c r="K306" i="44"/>
  <c r="AN211" i="42"/>
  <c r="AG161" i="42"/>
  <c r="U364" i="42"/>
  <c r="T158" i="42"/>
  <c r="AF284" i="42"/>
  <c r="U327" i="42"/>
  <c r="Z219" i="42"/>
  <c r="AB101" i="42"/>
  <c r="T281" i="42"/>
  <c r="AG172" i="42"/>
  <c r="AL55" i="42"/>
  <c r="AN137" i="42"/>
  <c r="W41" i="42"/>
  <c r="V161" i="42"/>
  <c r="AN39" i="42"/>
  <c r="U66" i="42"/>
  <c r="T231" i="42"/>
  <c r="K226" i="44"/>
  <c r="K131" i="44"/>
  <c r="AH67" i="42"/>
  <c r="AG162" i="42"/>
  <c r="AM242" i="42"/>
  <c r="AG73" i="42"/>
  <c r="AG75" i="42"/>
  <c r="AN199" i="42"/>
  <c r="AM135" i="42"/>
  <c r="AC78" i="42"/>
  <c r="AO55" i="42"/>
  <c r="Z224" i="42"/>
  <c r="Z362" i="42"/>
  <c r="AL93" i="42"/>
  <c r="K59" i="44"/>
  <c r="W245" i="42"/>
  <c r="AO88" i="42"/>
  <c r="AH205" i="42"/>
  <c r="AN87" i="42"/>
  <c r="AG283" i="42"/>
  <c r="U310" i="42"/>
  <c r="K216" i="44"/>
  <c r="V93" i="42"/>
  <c r="AN174" i="42"/>
  <c r="AN250" i="42"/>
  <c r="W119" i="42"/>
  <c r="W85" i="42"/>
  <c r="AI344" i="42"/>
  <c r="AI286" i="42"/>
  <c r="AL96" i="42"/>
  <c r="AL204" i="42"/>
  <c r="AG115" i="42"/>
  <c r="AL133" i="42"/>
  <c r="AC50" i="42"/>
  <c r="AO190" i="42"/>
  <c r="U165" i="42"/>
  <c r="T340" i="42"/>
  <c r="AL94" i="42"/>
  <c r="AX34" i="42"/>
  <c r="T316" i="42"/>
  <c r="AO324" i="42"/>
  <c r="U95" i="42"/>
  <c r="K143" i="44"/>
  <c r="AO228" i="42"/>
  <c r="AI159" i="42"/>
  <c r="AI262" i="42"/>
  <c r="AG340" i="42"/>
  <c r="AF110" i="42"/>
  <c r="AH95" i="42"/>
  <c r="AH261" i="42"/>
  <c r="AH192" i="42"/>
  <c r="U227" i="42"/>
  <c r="AO59" i="42"/>
  <c r="K31" i="44"/>
  <c r="W156" i="42"/>
  <c r="AB256" i="42"/>
  <c r="U268" i="42"/>
  <c r="T134" i="42"/>
  <c r="V35" i="42"/>
  <c r="AF134" i="42"/>
  <c r="V236" i="42"/>
  <c r="AG350" i="42"/>
  <c r="AG275" i="42"/>
  <c r="AA137" i="42"/>
  <c r="AA222" i="42"/>
  <c r="AF368" i="42"/>
  <c r="AG326" i="42"/>
  <c r="AH197" i="42"/>
  <c r="Z41" i="42"/>
  <c r="AF154" i="42"/>
  <c r="AL39" i="42"/>
  <c r="AG214" i="42"/>
  <c r="AC234" i="42"/>
  <c r="K353" i="44"/>
  <c r="AI25" i="42"/>
  <c r="AB55" i="42"/>
  <c r="AL231" i="42"/>
  <c r="AB129" i="42"/>
  <c r="AM345" i="42"/>
  <c r="V355" i="42"/>
  <c r="AF351" i="42"/>
  <c r="V337" i="42"/>
  <c r="AC45" i="42"/>
  <c r="AN186" i="42"/>
  <c r="T150" i="42"/>
  <c r="AA104" i="42"/>
  <c r="AF248" i="42"/>
  <c r="U352" i="42"/>
  <c r="AA105" i="42"/>
  <c r="AM71" i="42"/>
  <c r="Z130" i="42"/>
  <c r="K260" i="44"/>
  <c r="W215" i="42"/>
  <c r="AN277" i="42"/>
  <c r="U22" i="42"/>
  <c r="AC86" i="42"/>
  <c r="W367" i="42"/>
  <c r="AN143" i="42"/>
  <c r="AB197" i="42"/>
  <c r="AA361" i="42"/>
  <c r="T124" i="42"/>
  <c r="AN98" i="42"/>
  <c r="U248" i="42"/>
  <c r="AI83" i="42"/>
  <c r="AG132" i="42"/>
  <c r="V62" i="42"/>
  <c r="T95" i="42"/>
  <c r="AH274" i="42"/>
  <c r="AO120" i="42"/>
  <c r="AA65" i="42"/>
  <c r="AG81" i="42"/>
  <c r="AM278" i="42"/>
  <c r="K61" i="44"/>
  <c r="AN91" i="42"/>
  <c r="AM341" i="42"/>
  <c r="K335" i="44"/>
  <c r="K153" i="44"/>
  <c r="AC87" i="42"/>
  <c r="W370" i="42"/>
  <c r="U311" i="42"/>
  <c r="T253" i="42"/>
  <c r="T133" i="42"/>
  <c r="W118" i="42"/>
  <c r="AA143" i="42"/>
  <c r="AH266" i="42"/>
  <c r="Z16" i="42"/>
  <c r="T271" i="42"/>
  <c r="Z280" i="42"/>
  <c r="AN228" i="42"/>
  <c r="AG155" i="42"/>
  <c r="AC192" i="42"/>
  <c r="AI290" i="42"/>
  <c r="AI33" i="42"/>
  <c r="U211" i="42"/>
  <c r="AA374" i="42"/>
  <c r="U282" i="42"/>
  <c r="W273" i="42"/>
  <c r="W290" i="42"/>
  <c r="AL233" i="42"/>
  <c r="AF200" i="42"/>
  <c r="AL48" i="42"/>
  <c r="AF237" i="42"/>
  <c r="K124" i="44"/>
  <c r="U371" i="42"/>
  <c r="AF36" i="42"/>
  <c r="AC149" i="42"/>
  <c r="T144" i="42"/>
  <c r="AH92" i="42"/>
  <c r="V330" i="42"/>
  <c r="U38" i="42"/>
  <c r="K46" i="44"/>
  <c r="AG296" i="42"/>
  <c r="K48" i="44"/>
  <c r="AC309" i="42"/>
  <c r="AI263" i="42"/>
  <c r="AM241" i="42"/>
  <c r="T361" i="42"/>
  <c r="Z105" i="42"/>
  <c r="AM181" i="42"/>
  <c r="AB354" i="42"/>
  <c r="AO267" i="42"/>
  <c r="AH27" i="42"/>
  <c r="AI220" i="42"/>
  <c r="AB169" i="42"/>
  <c r="V187" i="42"/>
  <c r="AG293" i="42"/>
  <c r="AA221" i="42"/>
  <c r="Z319" i="42"/>
  <c r="U336" i="42"/>
  <c r="V106" i="42"/>
  <c r="AI280" i="42"/>
  <c r="K134" i="44"/>
  <c r="AI259" i="42"/>
  <c r="AN190" i="42"/>
  <c r="AO236" i="42"/>
  <c r="V368" i="42"/>
  <c r="U131" i="42"/>
  <c r="AH181" i="42"/>
  <c r="AF136" i="42"/>
  <c r="Z63" i="42"/>
  <c r="T290" i="42"/>
  <c r="AO173" i="42"/>
  <c r="W333" i="42"/>
  <c r="AB314" i="42"/>
  <c r="AO290" i="42"/>
  <c r="V204" i="42"/>
  <c r="AO143" i="42"/>
  <c r="AG170" i="42"/>
  <c r="AL139" i="42"/>
  <c r="V296" i="42"/>
  <c r="K321" i="44"/>
  <c r="Z241" i="42"/>
  <c r="AL101" i="42"/>
  <c r="AM105" i="42"/>
  <c r="U68" i="42"/>
  <c r="V274" i="42"/>
  <c r="T257" i="42"/>
  <c r="AM23" i="42"/>
  <c r="AG102" i="42"/>
  <c r="Z286" i="42"/>
  <c r="AG30" i="42"/>
  <c r="AC42" i="42"/>
  <c r="U12" i="42"/>
  <c r="AG367" i="42"/>
  <c r="AG241" i="42"/>
  <c r="Z374" i="42"/>
  <c r="W227" i="42"/>
  <c r="AG216" i="42"/>
  <c r="AB224" i="42"/>
  <c r="AM39" i="42"/>
  <c r="V251" i="42"/>
  <c r="AA62" i="42"/>
  <c r="AL77" i="42"/>
  <c r="AC27" i="42"/>
  <c r="U55" i="42"/>
  <c r="W113" i="42"/>
  <c r="AL306" i="42"/>
  <c r="AM188" i="42"/>
  <c r="AF205" i="42"/>
  <c r="AA49" i="42"/>
  <c r="AL163" i="42"/>
  <c r="V97" i="42"/>
  <c r="AM24" i="42"/>
  <c r="AI65" i="42"/>
  <c r="K333" i="44"/>
  <c r="AO26" i="42"/>
  <c r="AF247" i="42"/>
  <c r="U351" i="42"/>
  <c r="AI90" i="42"/>
  <c r="AI119" i="42"/>
  <c r="T187" i="42"/>
  <c r="AG83" i="42"/>
  <c r="AI253" i="42"/>
  <c r="AG167" i="42"/>
  <c r="W61" i="42"/>
  <c r="AB322" i="42"/>
  <c r="AL222" i="42"/>
  <c r="AO226" i="42"/>
  <c r="U316" i="42"/>
  <c r="T18" i="42"/>
  <c r="AH324" i="42"/>
  <c r="V148" i="42"/>
  <c r="AN244" i="42"/>
  <c r="AH303" i="42"/>
  <c r="AC83" i="42"/>
  <c r="K172" i="44"/>
  <c r="AC53" i="42"/>
  <c r="AA247" i="42"/>
  <c r="AO100" i="42"/>
  <c r="U375" i="42"/>
  <c r="T229" i="42"/>
  <c r="AM84" i="42"/>
  <c r="AM119" i="42"/>
  <c r="AA32" i="42"/>
  <c r="W222" i="42"/>
  <c r="AF307" i="42"/>
  <c r="E40" i="8" l="1"/>
  <c r="C40" i="8"/>
  <c r="C41" i="8" s="1"/>
  <c r="E22" i="51" s="1"/>
  <c r="F20" i="51"/>
  <c r="Y381" i="42"/>
  <c r="E21" i="51"/>
  <c r="J41" i="8"/>
  <c r="I22" i="51" s="1"/>
  <c r="I21" i="51"/>
  <c r="H21" i="51"/>
  <c r="G41" i="8"/>
  <c r="H22" i="51" s="1"/>
  <c r="G21" i="51"/>
  <c r="E41" i="8"/>
  <c r="G22" i="51" s="1"/>
  <c r="AN384" i="42"/>
  <c r="AN379" i="42"/>
  <c r="AN382" i="42"/>
  <c r="AN383" i="42"/>
  <c r="AN387" i="42"/>
  <c r="AN386" i="42"/>
  <c r="AN388" i="42"/>
  <c r="AN389" i="42" s="1"/>
  <c r="AN385" i="42"/>
  <c r="AN380" i="42"/>
  <c r="AB385" i="42"/>
  <c r="AB382" i="42"/>
  <c r="AB387" i="42"/>
  <c r="AB383" i="42"/>
  <c r="AB380" i="42"/>
  <c r="AB386" i="42"/>
  <c r="AB379" i="42"/>
  <c r="AB384" i="42"/>
  <c r="AB388" i="42"/>
  <c r="AB389" i="42" s="1"/>
  <c r="AA379" i="42"/>
  <c r="AA382" i="42"/>
  <c r="AA385" i="42"/>
  <c r="AA383" i="42"/>
  <c r="AA387" i="42"/>
  <c r="AA388" i="42"/>
  <c r="AA389" i="42" s="1"/>
  <c r="AA380" i="42"/>
  <c r="AA386" i="42"/>
  <c r="AA384" i="42"/>
  <c r="U382" i="42"/>
  <c r="U385" i="42"/>
  <c r="U388" i="42"/>
  <c r="U389" i="42" s="1"/>
  <c r="U380" i="42"/>
  <c r="U384" i="42"/>
  <c r="U386" i="42"/>
  <c r="U379" i="42"/>
  <c r="U387" i="42"/>
  <c r="U383" i="42"/>
  <c r="AI383" i="42"/>
  <c r="AI386" i="42"/>
  <c r="AI380" i="42"/>
  <c r="AI379" i="42"/>
  <c r="AI384" i="42"/>
  <c r="AI387" i="42"/>
  <c r="AI385" i="42"/>
  <c r="AI382" i="42"/>
  <c r="AI388" i="42"/>
  <c r="AI389" i="42" s="1"/>
  <c r="AL386" i="42"/>
  <c r="AL385" i="42"/>
  <c r="AL384" i="42"/>
  <c r="AL388" i="42"/>
  <c r="AL389" i="42" s="1"/>
  <c r="AL379" i="42"/>
  <c r="AL380" i="42"/>
  <c r="AL387" i="42"/>
  <c r="AL382" i="42"/>
  <c r="AL383" i="42"/>
  <c r="AG385" i="42"/>
  <c r="AG383" i="42"/>
  <c r="AG386" i="42"/>
  <c r="AG387" i="42"/>
  <c r="AG382" i="42"/>
  <c r="AG384" i="42"/>
  <c r="AG388" i="42"/>
  <c r="AG389" i="42" s="1"/>
  <c r="AG379" i="42"/>
  <c r="AG380" i="42"/>
  <c r="T379" i="42"/>
  <c r="T384" i="42"/>
  <c r="T380" i="42"/>
  <c r="T387" i="42"/>
  <c r="T385" i="42"/>
  <c r="T388" i="42"/>
  <c r="T389" i="42" s="1"/>
  <c r="T386" i="42"/>
  <c r="T382" i="42"/>
  <c r="T383" i="42"/>
  <c r="AO380" i="42"/>
  <c r="AO383" i="42"/>
  <c r="AO386" i="42"/>
  <c r="AO388" i="42"/>
  <c r="AO389" i="42" s="1"/>
  <c r="AO387" i="42"/>
  <c r="AO379" i="42"/>
  <c r="AO385" i="42"/>
  <c r="AO382" i="42"/>
  <c r="AO384" i="42"/>
  <c r="AC382" i="42"/>
  <c r="AC379" i="42"/>
  <c r="AC380" i="42"/>
  <c r="AC386" i="42"/>
  <c r="AC385" i="42"/>
  <c r="AC384" i="42"/>
  <c r="AC383" i="42"/>
  <c r="AC387" i="42"/>
  <c r="AC388" i="42"/>
  <c r="AC389" i="42" s="1"/>
  <c r="W387" i="42"/>
  <c r="W379" i="42"/>
  <c r="W388" i="42"/>
  <c r="W389" i="42" s="1"/>
  <c r="W385" i="42"/>
  <c r="W382" i="42"/>
  <c r="W380" i="42"/>
  <c r="W384" i="42"/>
  <c r="W386" i="42"/>
  <c r="W383" i="42"/>
  <c r="Z379" i="42"/>
  <c r="Z383" i="42"/>
  <c r="Z384" i="42"/>
  <c r="Z388" i="42"/>
  <c r="Z389" i="42" s="1"/>
  <c r="Z385" i="42"/>
  <c r="Z380" i="42"/>
  <c r="Z382" i="42"/>
  <c r="Z387" i="42"/>
  <c r="Z386" i="42"/>
  <c r="AM387" i="42"/>
  <c r="AM382" i="42"/>
  <c r="AM386" i="42"/>
  <c r="AM379" i="42"/>
  <c r="AM380" i="42"/>
  <c r="AM388" i="42"/>
  <c r="AM389" i="42" s="1"/>
  <c r="AM385" i="42"/>
  <c r="AM384" i="42"/>
  <c r="AM383" i="42"/>
  <c r="AF388" i="42"/>
  <c r="AF389" i="42" s="1"/>
  <c r="AF386" i="42"/>
  <c r="AF383" i="42"/>
  <c r="AF387" i="42"/>
  <c r="AF379" i="42"/>
  <c r="AF382" i="42"/>
  <c r="AF385" i="42"/>
  <c r="AF380" i="42"/>
  <c r="AF384" i="42"/>
  <c r="V379" i="42"/>
  <c r="V382" i="42"/>
  <c r="V386" i="42"/>
  <c r="V388" i="42"/>
  <c r="V389" i="42" s="1"/>
  <c r="V385" i="42"/>
  <c r="V380" i="42"/>
  <c r="V387" i="42"/>
  <c r="V383" i="42"/>
  <c r="V384" i="42"/>
  <c r="AH384" i="42"/>
  <c r="AH380" i="42"/>
  <c r="AH386" i="42"/>
  <c r="AH383" i="42"/>
  <c r="AH385" i="42"/>
  <c r="AH382" i="42"/>
  <c r="AH388" i="42"/>
  <c r="AH389" i="42" s="1"/>
  <c r="AH387" i="42"/>
  <c r="AH379" i="42"/>
  <c r="AW37" i="38"/>
  <c r="AX37" i="38"/>
  <c r="AV37" i="38"/>
  <c r="AU39" i="38"/>
  <c r="AT38" i="38"/>
  <c r="AW37" i="42"/>
  <c r="AV37" i="42"/>
  <c r="AX37" i="42"/>
  <c r="AO381" i="42" l="1"/>
  <c r="AH381" i="42"/>
  <c r="AI381" i="42"/>
  <c r="AG381" i="42"/>
  <c r="AB381" i="42"/>
  <c r="AF381" i="42"/>
  <c r="T381" i="42"/>
  <c r="AL381" i="42"/>
  <c r="U381" i="42"/>
  <c r="AA381" i="42"/>
  <c r="AN381" i="42"/>
  <c r="AM381" i="42"/>
  <c r="AC381" i="42"/>
  <c r="W381" i="42"/>
  <c r="Z381" i="42"/>
  <c r="V381" i="42"/>
  <c r="AW38" i="38"/>
  <c r="AX38" i="38"/>
  <c r="AV38" i="38"/>
  <c r="AU40" i="38"/>
  <c r="AT39" i="38"/>
  <c r="AV38" i="42"/>
  <c r="AW38" i="42"/>
  <c r="AX38" i="42"/>
  <c r="AX39" i="38" l="1"/>
  <c r="AW39" i="38"/>
  <c r="AV39" i="38"/>
  <c r="AU41" i="38"/>
  <c r="AT40" i="38"/>
  <c r="AW39" i="42"/>
  <c r="AX39" i="42"/>
  <c r="AV39" i="42"/>
  <c r="AW40" i="38" l="1"/>
  <c r="AX40" i="38"/>
  <c r="AV40" i="38"/>
  <c r="AU42" i="38"/>
  <c r="AT41" i="38"/>
  <c r="AW40" i="42"/>
  <c r="AX40" i="42"/>
  <c r="AV40" i="42"/>
  <c r="AW41" i="38" l="1"/>
  <c r="AV41" i="38"/>
  <c r="AX41" i="38"/>
  <c r="AU43" i="38"/>
  <c r="AT42" i="38"/>
  <c r="AV41" i="42"/>
  <c r="AW41" i="42"/>
  <c r="AX41" i="42"/>
  <c r="AX42" i="38" l="1"/>
  <c r="AV42" i="38"/>
  <c r="AW42" i="38"/>
  <c r="AU44" i="38"/>
  <c r="AT43" i="38"/>
  <c r="AX42" i="42"/>
  <c r="AW42" i="42"/>
  <c r="AV42" i="42"/>
  <c r="AW43" i="38" l="1"/>
  <c r="AX43" i="38"/>
  <c r="AV43" i="38"/>
  <c r="AU45" i="38"/>
  <c r="AT44" i="38"/>
  <c r="AV43" i="42"/>
  <c r="AW43" i="42"/>
  <c r="AX43" i="42"/>
  <c r="AW44" i="38" l="1"/>
  <c r="AV44" i="38"/>
  <c r="AX44" i="38"/>
  <c r="AU46" i="38"/>
  <c r="AT45" i="38"/>
  <c r="AV44" i="42"/>
  <c r="AW44" i="42"/>
  <c r="AX44" i="42"/>
  <c r="AX45" i="38" l="1"/>
  <c r="AV45" i="38"/>
  <c r="AW45" i="38"/>
  <c r="AU47" i="38"/>
  <c r="AT46" i="38"/>
  <c r="AX45" i="42"/>
  <c r="AW45" i="42"/>
  <c r="AV45" i="42"/>
  <c r="AW46" i="38" l="1"/>
  <c r="AX46" i="38"/>
  <c r="AV46" i="38"/>
  <c r="AU48" i="38"/>
  <c r="AT47" i="38"/>
  <c r="AW46" i="42"/>
  <c r="AV46" i="42"/>
  <c r="AX46" i="42"/>
  <c r="AW47" i="38" l="1"/>
  <c r="AV47" i="38"/>
  <c r="AX47" i="38"/>
  <c r="AU49" i="38"/>
  <c r="AT48" i="38"/>
  <c r="AV47" i="42"/>
  <c r="AX47" i="42"/>
  <c r="AW47" i="42"/>
  <c r="AX48" i="38" l="1"/>
  <c r="AW48" i="38"/>
  <c r="AV48" i="38"/>
  <c r="AU50" i="38"/>
  <c r="AT49" i="38"/>
  <c r="AX48" i="42"/>
  <c r="AW48" i="42"/>
  <c r="AV48" i="42"/>
  <c r="AW49" i="38" l="1"/>
  <c r="AX49" i="38"/>
  <c r="AV49" i="38"/>
  <c r="AU51" i="38"/>
  <c r="AT50" i="38"/>
  <c r="AW49" i="42"/>
  <c r="AV49" i="42"/>
  <c r="AX49" i="42"/>
  <c r="AW50" i="38" l="1"/>
  <c r="AV50" i="38"/>
  <c r="AX50" i="38"/>
  <c r="AU52" i="38"/>
  <c r="AT51" i="38"/>
  <c r="AV50" i="42"/>
  <c r="AX50" i="42"/>
  <c r="AW50" i="42"/>
  <c r="AX51" i="38" l="1"/>
  <c r="AV51" i="38"/>
  <c r="AW51" i="38"/>
  <c r="AU53" i="38"/>
  <c r="AT52" i="38"/>
  <c r="AW51" i="42"/>
  <c r="AV51" i="42"/>
  <c r="AX51" i="42"/>
  <c r="AW52" i="38" l="1"/>
  <c r="AX52" i="38"/>
  <c r="AV52" i="38"/>
  <c r="AU54" i="38"/>
  <c r="AT53" i="38"/>
  <c r="AV52" i="42"/>
  <c r="AW52" i="42"/>
  <c r="AX52" i="42"/>
  <c r="AW53" i="38" l="1"/>
  <c r="AV53" i="38"/>
  <c r="AX53" i="38"/>
  <c r="AU55" i="38"/>
  <c r="AT54" i="38"/>
  <c r="AW53" i="42"/>
  <c r="AV53" i="42"/>
  <c r="AX53" i="42"/>
  <c r="AX54" i="38" l="1"/>
  <c r="AW54" i="38"/>
  <c r="AV54" i="38"/>
  <c r="AU56" i="38"/>
  <c r="AT55" i="38"/>
  <c r="AX54" i="42"/>
  <c r="AV54" i="42"/>
  <c r="AW54" i="42"/>
  <c r="AW55" i="38" l="1"/>
  <c r="AX55" i="38"/>
  <c r="AV55" i="38"/>
  <c r="AU57" i="38"/>
  <c r="AT56" i="38"/>
  <c r="AV55" i="42"/>
  <c r="AX55" i="42"/>
  <c r="AW55" i="42"/>
  <c r="AW56" i="38" l="1"/>
  <c r="AX56" i="38"/>
  <c r="AV56" i="38"/>
  <c r="AU58" i="38"/>
  <c r="AT57" i="38"/>
  <c r="AW56" i="42"/>
  <c r="AX56" i="42"/>
  <c r="AV56" i="42"/>
  <c r="AX57" i="38" l="1"/>
  <c r="AW57" i="38"/>
  <c r="AV57" i="38"/>
  <c r="AU59" i="38"/>
  <c r="AT58" i="38"/>
  <c r="AV57" i="42"/>
  <c r="AX57" i="42"/>
  <c r="AW57" i="42"/>
  <c r="AW58" i="38" l="1"/>
  <c r="AX58" i="38"/>
  <c r="AV58" i="38"/>
  <c r="AU60" i="38"/>
  <c r="AT59" i="38"/>
  <c r="AW58" i="42"/>
  <c r="AX58" i="42"/>
  <c r="AV58" i="42"/>
  <c r="AW59" i="38" l="1"/>
  <c r="AV59" i="38"/>
  <c r="AX59" i="38"/>
  <c r="AU61" i="38"/>
  <c r="AT60" i="38"/>
  <c r="AV59" i="42"/>
  <c r="AW59" i="42"/>
  <c r="AX59" i="42"/>
  <c r="AX60" i="38" l="1"/>
  <c r="AW60" i="38"/>
  <c r="AV60" i="38"/>
  <c r="AU62" i="38"/>
  <c r="AT61" i="38"/>
  <c r="AX60" i="42"/>
  <c r="AW60" i="42"/>
  <c r="AV60" i="42"/>
  <c r="AW61" i="38" l="1"/>
  <c r="AX61" i="38"/>
  <c r="AV61" i="38"/>
  <c r="AU63" i="38"/>
  <c r="AT62" i="38"/>
  <c r="AV61" i="42"/>
  <c r="AX61" i="42"/>
  <c r="AW61" i="42"/>
  <c r="AW62" i="38" l="1"/>
  <c r="AV62" i="38"/>
  <c r="AX62" i="38"/>
  <c r="AU64" i="38"/>
  <c r="AT63" i="38"/>
  <c r="AV62" i="42"/>
  <c r="AW62" i="42"/>
  <c r="AX62" i="42"/>
  <c r="AX63" i="38" l="1"/>
  <c r="AV63" i="38"/>
  <c r="AW63" i="38"/>
  <c r="AU65" i="38"/>
  <c r="AT64" i="38"/>
  <c r="AW63" i="42"/>
  <c r="AX63" i="42"/>
  <c r="AV63" i="42"/>
  <c r="AW64" i="38" l="1"/>
  <c r="AX64" i="38"/>
  <c r="AV64" i="38"/>
  <c r="AU66" i="38"/>
  <c r="AT65" i="38"/>
  <c r="AV64" i="42"/>
  <c r="AX64" i="42"/>
  <c r="AW64" i="42"/>
  <c r="AW65" i="38" l="1"/>
  <c r="AV65" i="38"/>
  <c r="AX65" i="38"/>
  <c r="AU67" i="38"/>
  <c r="AT66" i="38"/>
  <c r="AW65" i="42"/>
  <c r="AX65" i="42"/>
  <c r="AV65" i="42"/>
  <c r="AX66" i="38" l="1"/>
  <c r="AW66" i="38"/>
  <c r="AV66" i="38"/>
  <c r="AU68" i="38"/>
  <c r="AT67" i="38"/>
  <c r="AW66" i="42"/>
  <c r="AV66" i="42"/>
  <c r="AX66" i="42"/>
  <c r="AW67" i="38" l="1"/>
  <c r="AX67" i="38"/>
  <c r="AV67" i="38"/>
  <c r="AU69" i="38"/>
  <c r="AT68" i="38"/>
  <c r="AV67" i="42"/>
  <c r="AW67" i="42"/>
  <c r="AX67" i="42"/>
  <c r="AW68" i="38" l="1"/>
  <c r="AX68" i="38"/>
  <c r="AV68" i="38"/>
  <c r="AT69" i="38"/>
  <c r="AU70" i="38"/>
  <c r="AW68" i="42"/>
  <c r="AX68" i="42"/>
  <c r="AV68" i="42"/>
  <c r="AX69" i="38" l="1"/>
  <c r="AW69" i="38"/>
  <c r="AV69" i="38"/>
  <c r="AU71" i="38"/>
  <c r="AT70" i="38"/>
  <c r="AW69" i="42"/>
  <c r="AX69" i="42"/>
  <c r="AV69" i="42"/>
  <c r="AW70" i="38" l="1"/>
  <c r="AX70" i="38"/>
  <c r="AV70" i="38"/>
  <c r="AU72" i="38"/>
  <c r="AT71" i="38"/>
  <c r="AV70" i="42"/>
  <c r="AX70" i="42"/>
  <c r="AW70" i="42"/>
  <c r="AW71" i="38" l="1"/>
  <c r="AV71" i="38"/>
  <c r="AX71" i="38"/>
  <c r="AU73" i="38"/>
  <c r="AT72" i="38"/>
  <c r="AX71" i="42"/>
  <c r="AW71" i="42"/>
  <c r="AV71" i="42"/>
  <c r="AX72" i="38" l="1"/>
  <c r="AV72" i="38"/>
  <c r="AW72" i="38"/>
  <c r="AU74" i="38"/>
  <c r="AT73" i="38"/>
  <c r="AX72" i="42"/>
  <c r="AW72" i="42"/>
  <c r="AV72" i="42"/>
  <c r="AW73" i="38" l="1"/>
  <c r="AX73" i="38"/>
  <c r="AV73" i="38"/>
  <c r="AU75" i="38"/>
  <c r="AT74" i="38"/>
  <c r="AX73" i="42"/>
  <c r="AV73" i="42"/>
  <c r="AW73" i="42"/>
  <c r="AW74" i="38" l="1"/>
  <c r="AX74" i="38"/>
  <c r="AV74" i="38"/>
  <c r="AU76" i="38"/>
  <c r="AT75" i="38"/>
  <c r="AX74" i="42"/>
  <c r="AV74" i="42"/>
  <c r="AW74" i="42"/>
  <c r="AX75" i="38" l="1"/>
  <c r="AW75" i="38"/>
  <c r="AV75" i="38"/>
  <c r="AU77" i="38"/>
  <c r="AT76" i="38"/>
  <c r="AW75" i="42"/>
  <c r="AV75" i="42"/>
  <c r="AX75" i="42"/>
  <c r="AW76" i="38" l="1"/>
  <c r="AX76" i="38"/>
  <c r="AV76" i="38"/>
  <c r="AU78" i="38"/>
  <c r="AT77" i="38"/>
  <c r="AV76" i="42"/>
  <c r="AW76" i="42"/>
  <c r="AX76" i="42"/>
  <c r="AW77" i="38" l="1"/>
  <c r="AV77" i="38"/>
  <c r="AX77" i="38"/>
  <c r="AU79" i="38"/>
  <c r="AT78" i="38"/>
  <c r="AV77" i="42"/>
  <c r="AX77" i="42"/>
  <c r="AW77" i="42"/>
  <c r="AX78" i="38" l="1"/>
  <c r="AV78" i="38"/>
  <c r="AW78" i="38"/>
  <c r="AU80" i="38"/>
  <c r="AT79" i="38"/>
  <c r="AX78" i="42"/>
  <c r="AW78" i="42"/>
  <c r="AV78" i="42"/>
  <c r="AW79" i="38" l="1"/>
  <c r="AX79" i="38"/>
  <c r="AV79" i="38"/>
  <c r="AU81" i="38"/>
  <c r="AT80" i="38"/>
  <c r="AW79" i="42"/>
  <c r="AX79" i="42"/>
  <c r="AV79" i="42"/>
  <c r="AW80" i="38" l="1"/>
  <c r="AV80" i="38"/>
  <c r="AX80" i="38"/>
  <c r="AU82" i="38"/>
  <c r="AT81" i="38"/>
  <c r="AW80" i="42"/>
  <c r="AV80" i="42"/>
  <c r="AX80" i="42"/>
  <c r="AX81" i="38" l="1"/>
  <c r="AV81" i="38"/>
  <c r="AW81" i="38"/>
  <c r="AU83" i="38"/>
  <c r="AT82" i="38"/>
  <c r="AW81" i="42"/>
  <c r="AV81" i="42"/>
  <c r="AX81" i="42"/>
  <c r="AW82" i="38" l="1"/>
  <c r="AX82" i="38"/>
  <c r="AV82" i="38"/>
  <c r="AU84" i="38"/>
  <c r="AT83" i="38"/>
  <c r="AX82" i="42"/>
  <c r="AW82" i="42"/>
  <c r="AV82" i="42"/>
  <c r="AW83" i="38" l="1"/>
  <c r="AV83" i="38"/>
  <c r="AX83" i="38"/>
  <c r="AU85" i="38"/>
  <c r="AT84" i="38"/>
  <c r="AW83" i="42"/>
  <c r="AV83" i="42"/>
  <c r="AX83" i="42"/>
  <c r="AX84" i="38" l="1"/>
  <c r="AW84" i="38"/>
  <c r="AV84" i="38"/>
  <c r="AU86" i="38"/>
  <c r="AT85" i="38"/>
  <c r="AV84" i="42"/>
  <c r="AX84" i="42"/>
  <c r="AW84" i="42"/>
  <c r="AW85" i="38" l="1"/>
  <c r="AX85" i="38"/>
  <c r="AV85" i="38"/>
  <c r="AU87" i="38"/>
  <c r="AT86" i="38"/>
  <c r="AW85" i="42"/>
  <c r="AV85" i="42"/>
  <c r="AX85" i="42"/>
  <c r="AW86" i="38" l="1"/>
  <c r="AV86" i="38"/>
  <c r="AX86" i="38"/>
  <c r="AU88" i="38"/>
  <c r="AT87" i="38"/>
  <c r="AX86" i="42"/>
  <c r="AW86" i="42"/>
  <c r="AV86" i="42"/>
  <c r="AX87" i="38" l="1"/>
  <c r="AV87" i="38"/>
  <c r="AW87" i="38"/>
  <c r="AU89" i="38"/>
  <c r="AT88" i="38"/>
  <c r="AX87" i="42"/>
  <c r="AW87" i="42"/>
  <c r="AV87" i="42"/>
  <c r="AW88" i="38" l="1"/>
  <c r="AX88" i="38"/>
  <c r="AV88" i="38"/>
  <c r="AU90" i="38"/>
  <c r="AT89" i="38"/>
  <c r="AV88" i="42"/>
  <c r="AX88" i="42"/>
  <c r="AW88" i="42"/>
  <c r="AW89" i="38" l="1"/>
  <c r="AV89" i="38"/>
  <c r="AX89" i="38"/>
  <c r="AU91" i="38"/>
  <c r="AT90" i="38"/>
  <c r="AX89" i="42"/>
  <c r="AV89" i="42"/>
  <c r="AW89" i="42"/>
  <c r="AX90" i="38" l="1"/>
  <c r="AW90" i="38"/>
  <c r="AV90" i="38"/>
  <c r="AU92" i="38"/>
  <c r="AT91" i="38"/>
  <c r="AW90" i="42"/>
  <c r="AX90" i="42"/>
  <c r="AV90" i="42"/>
  <c r="AW91" i="38" l="1"/>
  <c r="AX91" i="38"/>
  <c r="AV91" i="38"/>
  <c r="AU93" i="38"/>
  <c r="AT92" i="38"/>
  <c r="AW91" i="42"/>
  <c r="AV91" i="42"/>
  <c r="AX91" i="42"/>
  <c r="AW92" i="38" l="1"/>
  <c r="AX92" i="38"/>
  <c r="AV92" i="38"/>
  <c r="AU94" i="38"/>
  <c r="AT93" i="38"/>
  <c r="AV92" i="42"/>
  <c r="AW92" i="42"/>
  <c r="AX92" i="42"/>
  <c r="AX93" i="38" l="1"/>
  <c r="AW93" i="38"/>
  <c r="AV93" i="38"/>
  <c r="AU95" i="38"/>
  <c r="AT94" i="38"/>
  <c r="AW93" i="42"/>
  <c r="AV93" i="42"/>
  <c r="AX93" i="42"/>
  <c r="AW94" i="38" l="1"/>
  <c r="AX94" i="38"/>
  <c r="AV94" i="38"/>
  <c r="AU96" i="38"/>
  <c r="AT95" i="38"/>
  <c r="AX94" i="42"/>
  <c r="AV94" i="42"/>
  <c r="AW94" i="42"/>
  <c r="AW95" i="38" l="1"/>
  <c r="AV95" i="38"/>
  <c r="AX95" i="38"/>
  <c r="AU97" i="38"/>
  <c r="AT96" i="38"/>
  <c r="AW95" i="42"/>
  <c r="AV95" i="42"/>
  <c r="AX95" i="42"/>
  <c r="AX96" i="38" l="1"/>
  <c r="AW96" i="38"/>
  <c r="AV96" i="38"/>
  <c r="AU98" i="38"/>
  <c r="AT97" i="38"/>
  <c r="AW96" i="42"/>
  <c r="AV96" i="42"/>
  <c r="AX96" i="42"/>
  <c r="AW97" i="38" l="1"/>
  <c r="AX97" i="38"/>
  <c r="AV97" i="38"/>
  <c r="AU99" i="38"/>
  <c r="AT98" i="38"/>
  <c r="AV97" i="42"/>
  <c r="AW97" i="42"/>
  <c r="AX97" i="42"/>
  <c r="AW98" i="38" l="1"/>
  <c r="AV98" i="38"/>
  <c r="AX98" i="38"/>
  <c r="AU100" i="38"/>
  <c r="AT99" i="38"/>
  <c r="AW98" i="42"/>
  <c r="AX98" i="42"/>
  <c r="AV98" i="42"/>
  <c r="AX99" i="38" l="1"/>
  <c r="AV99" i="38"/>
  <c r="AW99" i="38"/>
  <c r="AU101" i="38"/>
  <c r="AT100" i="38"/>
  <c r="AV99" i="42"/>
  <c r="AX99" i="42"/>
  <c r="AW99" i="42"/>
  <c r="AW100" i="38" l="1"/>
  <c r="AX100" i="38"/>
  <c r="AV100" i="38"/>
  <c r="AU102" i="38"/>
  <c r="AT101" i="38"/>
  <c r="AW100" i="42"/>
  <c r="AX100" i="42"/>
  <c r="AV100" i="42"/>
  <c r="AW101" i="38" l="1"/>
  <c r="AV101" i="38"/>
  <c r="AX101" i="38"/>
  <c r="AU103" i="38"/>
  <c r="AT102" i="38"/>
  <c r="AX101" i="42"/>
  <c r="AW101" i="42"/>
  <c r="AV101" i="42"/>
  <c r="AX102" i="38" l="1"/>
  <c r="AW102" i="38"/>
  <c r="AV102" i="38"/>
  <c r="AU104" i="38"/>
  <c r="AT103" i="38"/>
  <c r="AV102" i="42"/>
  <c r="AX102" i="42"/>
  <c r="AW102" i="42"/>
  <c r="AW103" i="38" l="1"/>
  <c r="AX103" i="38"/>
  <c r="AV103" i="38"/>
  <c r="AU105" i="38"/>
  <c r="AT104" i="38"/>
  <c r="AV103" i="42"/>
  <c r="AX103" i="42"/>
  <c r="AW103" i="42"/>
  <c r="AW104" i="38" l="1"/>
  <c r="AX104" i="38"/>
  <c r="AV104" i="38"/>
  <c r="AU106" i="38"/>
  <c r="AT105" i="38"/>
  <c r="AV104" i="42"/>
  <c r="AW104" i="42"/>
  <c r="AX104" i="42"/>
  <c r="AX105" i="38" l="1"/>
  <c r="AW105" i="38"/>
  <c r="AV105" i="38"/>
  <c r="AU107" i="38"/>
  <c r="AT106" i="38"/>
  <c r="AW105" i="42"/>
  <c r="AX105" i="42"/>
  <c r="AV105" i="42"/>
  <c r="AW106" i="38" l="1"/>
  <c r="AX106" i="38"/>
  <c r="AV106" i="38"/>
  <c r="AU108" i="38"/>
  <c r="AT107" i="38"/>
  <c r="AX106" i="42"/>
  <c r="AV106" i="42"/>
  <c r="AW106" i="42"/>
  <c r="AW107" i="38" l="1"/>
  <c r="AV107" i="38"/>
  <c r="AX107" i="38"/>
  <c r="AU109" i="38"/>
  <c r="AT108" i="38"/>
  <c r="AX107" i="42"/>
  <c r="AV107" i="42"/>
  <c r="AW107" i="42"/>
  <c r="AX108" i="38" l="1"/>
  <c r="AV108" i="38"/>
  <c r="AW108" i="38"/>
  <c r="AU110" i="38"/>
  <c r="AT109" i="38"/>
  <c r="AV108" i="42"/>
  <c r="AW108" i="42"/>
  <c r="AX108" i="42"/>
  <c r="AW109" i="38" l="1"/>
  <c r="AX109" i="38"/>
  <c r="AV109" i="38"/>
  <c r="AU111" i="38"/>
  <c r="AT111" i="38" s="1"/>
  <c r="AT110" i="38"/>
  <c r="AV109" i="42"/>
  <c r="AX109" i="42"/>
  <c r="AW109" i="42"/>
  <c r="AW110" i="38" l="1"/>
  <c r="AX110" i="38"/>
  <c r="AV110" i="38"/>
  <c r="AX111" i="38"/>
  <c r="AW111" i="38"/>
  <c r="AV111" i="38"/>
  <c r="AX111" i="42"/>
  <c r="AV110" i="42"/>
  <c r="AV111" i="42"/>
  <c r="AX110" i="42"/>
  <c r="AW110" i="42"/>
  <c r="AW111" i="42"/>
  <c r="AX383" i="42" l="1"/>
  <c r="AX379" i="42"/>
  <c r="AX382" i="42"/>
  <c r="AX380" i="42"/>
  <c r="AX384" i="42"/>
  <c r="AX386" i="42"/>
  <c r="AX388" i="42"/>
  <c r="AX389" i="42" s="1"/>
  <c r="AX385" i="42"/>
  <c r="AX387" i="42"/>
  <c r="AV388" i="42"/>
  <c r="AV389" i="42" s="1"/>
  <c r="AV383" i="42"/>
  <c r="AV380" i="42"/>
  <c r="AV385" i="42"/>
  <c r="AV384" i="42"/>
  <c r="AV386" i="42"/>
  <c r="AV382" i="42"/>
  <c r="AV387" i="42"/>
  <c r="AV379" i="42"/>
  <c r="AW379" i="42"/>
  <c r="AW383" i="42"/>
  <c r="AW387" i="42"/>
  <c r="AW380" i="42"/>
  <c r="AW385" i="42"/>
  <c r="AW386" i="42"/>
  <c r="AW384" i="42"/>
  <c r="AW388" i="42"/>
  <c r="AW389" i="42" s="1"/>
  <c r="AW382" i="42"/>
  <c r="A11" i="4"/>
  <c r="E81" i="42"/>
  <c r="E54" i="42"/>
  <c r="E285" i="42"/>
  <c r="E243" i="42"/>
  <c r="E294" i="42"/>
  <c r="O13" i="39"/>
  <c r="E186" i="42"/>
  <c r="E209" i="42"/>
  <c r="E105" i="42"/>
  <c r="E196" i="42"/>
  <c r="E44" i="42"/>
  <c r="E171" i="42"/>
  <c r="E280" i="42"/>
  <c r="E340" i="42"/>
  <c r="E147" i="42"/>
  <c r="L13" i="42"/>
  <c r="E36" i="42"/>
  <c r="E364" i="42"/>
  <c r="E187" i="42"/>
  <c r="E62" i="42"/>
  <c r="E189" i="42"/>
  <c r="E210" i="42"/>
  <c r="E332" i="42"/>
  <c r="E300" i="42"/>
  <c r="E145" i="42"/>
  <c r="E16" i="42"/>
  <c r="E257" i="42"/>
  <c r="N12" i="39"/>
  <c r="E90" i="42"/>
  <c r="E345" i="42"/>
  <c r="E65" i="42"/>
  <c r="E205" i="42"/>
  <c r="E178" i="42"/>
  <c r="E303" i="42"/>
  <c r="E109" i="42"/>
  <c r="E204" i="42"/>
  <c r="E15" i="42"/>
  <c r="E43" i="42"/>
  <c r="N30" i="39"/>
  <c r="E334" i="42"/>
  <c r="D12" i="39"/>
  <c r="E40" i="42"/>
  <c r="E326" i="42"/>
  <c r="E151" i="42"/>
  <c r="E369" i="42"/>
  <c r="E69" i="42"/>
  <c r="E107" i="42"/>
  <c r="E249" i="42"/>
  <c r="E366" i="42"/>
  <c r="E263" i="42"/>
  <c r="E316" i="42"/>
  <c r="E33" i="42"/>
  <c r="E202" i="42"/>
  <c r="E13" i="42"/>
  <c r="E35" i="42"/>
  <c r="E117" i="42"/>
  <c r="G12" i="39"/>
  <c r="E270" i="42"/>
  <c r="D30" i="39"/>
  <c r="E276" i="42"/>
  <c r="E365" i="42"/>
  <c r="E57" i="42"/>
  <c r="E103" i="42"/>
  <c r="E327" i="42"/>
  <c r="E172" i="42"/>
  <c r="E371" i="42"/>
  <c r="E67" i="42"/>
  <c r="E119" i="42"/>
  <c r="E220" i="42"/>
  <c r="E191" i="42"/>
  <c r="E241" i="42"/>
  <c r="E313" i="42"/>
  <c r="E226" i="42"/>
  <c r="E143" i="42"/>
  <c r="E182" i="42"/>
  <c r="E287" i="42"/>
  <c r="E297" i="42"/>
  <c r="G30" i="39"/>
  <c r="E247" i="42"/>
  <c r="E245" i="42"/>
  <c r="E83" i="42"/>
  <c r="E137" i="42"/>
  <c r="E118" i="42"/>
  <c r="E126" i="42"/>
  <c r="E132" i="42"/>
  <c r="E322" i="42"/>
  <c r="E123" i="42"/>
  <c r="E283" i="42"/>
  <c r="E200" i="42"/>
  <c r="E237" i="42"/>
  <c r="E176" i="42"/>
  <c r="E315" i="42"/>
  <c r="E361" i="42"/>
  <c r="E146" i="42"/>
  <c r="E21" i="42"/>
  <c r="E157" i="42"/>
  <c r="E101" i="42"/>
  <c r="E368" i="42"/>
  <c r="E125" i="42"/>
  <c r="E79" i="42"/>
  <c r="E278" i="42"/>
  <c r="E167" i="42"/>
  <c r="E321" i="42"/>
  <c r="L16" i="42"/>
  <c r="E277" i="42"/>
  <c r="E302" i="42"/>
  <c r="I12" i="39"/>
  <c r="E144" i="42"/>
  <c r="E288" i="42"/>
  <c r="E98" i="42"/>
  <c r="E166" i="42"/>
  <c r="I30" i="39"/>
  <c r="E148" i="42"/>
  <c r="E39" i="42"/>
  <c r="E358" i="42"/>
  <c r="E252" i="42"/>
  <c r="E272" i="42"/>
  <c r="N13" i="39"/>
  <c r="E136" i="42"/>
  <c r="E23" i="42"/>
  <c r="E164" i="42"/>
  <c r="E165" i="42"/>
  <c r="E60" i="42"/>
  <c r="E45" i="42"/>
  <c r="E232" i="42"/>
  <c r="L17" i="42"/>
  <c r="E114" i="42"/>
  <c r="E116" i="42"/>
  <c r="E374" i="42"/>
  <c r="E175" i="42"/>
  <c r="E267" i="42"/>
  <c r="E68" i="42"/>
  <c r="E24" i="42"/>
  <c r="E218" i="42"/>
  <c r="E268" i="42"/>
  <c r="E219" i="42"/>
  <c r="E233" i="42"/>
  <c r="E336" i="42"/>
  <c r="E353" i="42"/>
  <c r="E113" i="42"/>
  <c r="M30" i="39"/>
  <c r="E12" i="39"/>
  <c r="E198" i="42"/>
  <c r="E337" i="42"/>
  <c r="E52" i="42"/>
  <c r="E238" i="42"/>
  <c r="E216" i="42"/>
  <c r="C30" i="39"/>
  <c r="E173" i="42"/>
  <c r="E348" i="42"/>
  <c r="E27" i="42"/>
  <c r="E139" i="42"/>
  <c r="E128" i="42"/>
  <c r="B12" i="39"/>
  <c r="E363" i="42"/>
  <c r="E42" i="42"/>
  <c r="E311" i="42"/>
  <c r="E223" i="42"/>
  <c r="H30" i="39"/>
  <c r="L30" i="39"/>
  <c r="E82" i="42"/>
  <c r="E131" i="42"/>
  <c r="E341" i="42"/>
  <c r="E34" i="42"/>
  <c r="E343" i="42"/>
  <c r="E154" i="42"/>
  <c r="F12" i="39"/>
  <c r="E290" i="42"/>
  <c r="E70" i="42"/>
  <c r="E259" i="42"/>
  <c r="E284" i="42"/>
  <c r="E31" i="42"/>
  <c r="H13" i="39"/>
  <c r="E330" i="42"/>
  <c r="E88" i="42"/>
  <c r="M13" i="39"/>
  <c r="E104" i="42"/>
  <c r="E355" i="42"/>
  <c r="E318" i="42"/>
  <c r="E240" i="42"/>
  <c r="E180" i="42"/>
  <c r="E177" i="42"/>
  <c r="E236" i="42"/>
  <c r="E251" i="42"/>
  <c r="E367" i="42"/>
  <c r="E25" i="42"/>
  <c r="E314" i="42"/>
  <c r="E64" i="42"/>
  <c r="E289" i="42"/>
  <c r="E122" i="42"/>
  <c r="E193" i="42"/>
  <c r="M12" i="39"/>
  <c r="E352" i="42"/>
  <c r="E329" i="42"/>
  <c r="E370" i="42"/>
  <c r="O30" i="39"/>
  <c r="E211" i="42"/>
  <c r="E85" i="42"/>
  <c r="E214" i="42"/>
  <c r="E324" i="42"/>
  <c r="E207" i="42"/>
  <c r="E22" i="42"/>
  <c r="E194" i="42"/>
  <c r="E312" i="42"/>
  <c r="E156" i="42"/>
  <c r="E354" i="42"/>
  <c r="E190" i="42"/>
  <c r="E212" i="42"/>
  <c r="E66" i="42"/>
  <c r="E140" i="42"/>
  <c r="E12" i="42"/>
  <c r="E80" i="42"/>
  <c r="E185" i="42"/>
  <c r="E201" i="42"/>
  <c r="E59" i="42"/>
  <c r="E142" i="42"/>
  <c r="E152" i="42"/>
  <c r="E310" i="42"/>
  <c r="E346" i="42"/>
  <c r="B30" i="39"/>
  <c r="E254" i="42"/>
  <c r="E230" i="42"/>
  <c r="E335" i="42"/>
  <c r="E96" i="42"/>
  <c r="E134" i="42"/>
  <c r="E242" i="42"/>
  <c r="E112" i="42"/>
  <c r="L15" i="42"/>
  <c r="E225" i="42"/>
  <c r="E273" i="42"/>
  <c r="E217" i="42"/>
  <c r="I13" i="39"/>
  <c r="E350" i="42"/>
  <c r="E261" i="42"/>
  <c r="E133" i="42"/>
  <c r="E299" i="42"/>
  <c r="E246" i="42"/>
  <c r="E215" i="42"/>
  <c r="E102" i="42"/>
  <c r="E347" i="42"/>
  <c r="E255" i="42"/>
  <c r="E46" i="42"/>
  <c r="E28" i="42"/>
  <c r="E92" i="42"/>
  <c r="E349" i="42"/>
  <c r="E234" i="42"/>
  <c r="E195" i="42"/>
  <c r="E286" i="42"/>
  <c r="E106" i="42"/>
  <c r="E248" i="42"/>
  <c r="E47" i="42"/>
  <c r="E158" i="42"/>
  <c r="E342" i="42"/>
  <c r="E75" i="42"/>
  <c r="E56" i="42"/>
  <c r="E53" i="42"/>
  <c r="E121" i="42"/>
  <c r="C12" i="39"/>
  <c r="E138" i="42"/>
  <c r="E269" i="42"/>
  <c r="E110" i="42"/>
  <c r="E48" i="42"/>
  <c r="E328" i="42"/>
  <c r="E183" i="42"/>
  <c r="E95" i="42"/>
  <c r="E91" i="42"/>
  <c r="E256" i="42"/>
  <c r="E344" i="42"/>
  <c r="E306" i="42"/>
  <c r="E30" i="39"/>
  <c r="E184" i="42"/>
  <c r="E293" i="42"/>
  <c r="E291" i="42"/>
  <c r="E170" i="42"/>
  <c r="E37" i="42"/>
  <c r="E108" i="42"/>
  <c r="E63" i="42"/>
  <c r="E129" i="42"/>
  <c r="E317" i="42"/>
  <c r="E168" i="42"/>
  <c r="E179" i="42"/>
  <c r="E188" i="42"/>
  <c r="E29" i="42"/>
  <c r="E304" i="42"/>
  <c r="L12" i="39"/>
  <c r="E197" i="42"/>
  <c r="K30" i="39"/>
  <c r="E325" i="42"/>
  <c r="L14" i="42"/>
  <c r="L13" i="39"/>
  <c r="E305" i="42"/>
  <c r="E181" i="42"/>
  <c r="K12" i="39"/>
  <c r="E295" i="42"/>
  <c r="E135" i="42"/>
  <c r="E351" i="42"/>
  <c r="E130" i="42"/>
  <c r="E72" i="42"/>
  <c r="E298" i="42"/>
  <c r="E281" i="42"/>
  <c r="E266" i="42"/>
  <c r="E30" i="42"/>
  <c r="E120" i="42"/>
  <c r="E203" i="42"/>
  <c r="K13" i="39"/>
  <c r="E357" i="42"/>
  <c r="E292" i="42"/>
  <c r="E258" i="42"/>
  <c r="E20" i="42"/>
  <c r="E153" i="42"/>
  <c r="E333" i="42"/>
  <c r="E100" i="42"/>
  <c r="E206" i="42"/>
  <c r="E11" i="42"/>
  <c r="E260" i="42"/>
  <c r="H12" i="39"/>
  <c r="F30" i="39"/>
  <c r="E76" i="42"/>
  <c r="E111" i="42"/>
  <c r="E235" i="42"/>
  <c r="E86" i="42"/>
  <c r="E239" i="42"/>
  <c r="E208" i="42"/>
  <c r="E97" i="42"/>
  <c r="E319" i="42"/>
  <c r="E71" i="42"/>
  <c r="E115" i="42"/>
  <c r="E174" i="42"/>
  <c r="E231" i="42"/>
  <c r="E26" i="42"/>
  <c r="E93" i="42"/>
  <c r="E301" i="42"/>
  <c r="E360" i="42"/>
  <c r="E323" i="42"/>
  <c r="E38" i="42"/>
  <c r="E141" i="42"/>
  <c r="E89" i="42"/>
  <c r="E262" i="42"/>
  <c r="E49" i="42"/>
  <c r="E271" i="42"/>
  <c r="E51" i="42"/>
  <c r="E339" i="42"/>
  <c r="E127" i="42"/>
  <c r="E77" i="42"/>
  <c r="E14" i="42"/>
  <c r="E163" i="42"/>
  <c r="E362" i="42"/>
  <c r="E250" i="42"/>
  <c r="E373" i="42"/>
  <c r="E150" i="42"/>
  <c r="E84" i="42"/>
  <c r="E228" i="42"/>
  <c r="L12" i="42"/>
  <c r="O12" i="39"/>
  <c r="E61" i="42"/>
  <c r="E74" i="42"/>
  <c r="E227" i="42"/>
  <c r="E274" i="42"/>
  <c r="E372" i="42"/>
  <c r="E320" i="42"/>
  <c r="E58" i="42"/>
  <c r="E308" i="42"/>
  <c r="E87" i="42"/>
  <c r="E162" i="42"/>
  <c r="E192" i="42"/>
  <c r="E224" i="42"/>
  <c r="E124" i="42"/>
  <c r="E55" i="42"/>
  <c r="E155" i="42"/>
  <c r="E282" i="42"/>
  <c r="E296" i="42"/>
  <c r="E307" i="42"/>
  <c r="E78" i="42"/>
  <c r="E160" i="42"/>
  <c r="E338" i="42"/>
  <c r="E279" i="42"/>
  <c r="E221" i="42"/>
  <c r="E244" i="42"/>
  <c r="E17" i="42"/>
  <c r="E229" i="42"/>
  <c r="E275" i="42"/>
  <c r="E309" i="42"/>
  <c r="E19" i="42"/>
  <c r="E265" i="42"/>
  <c r="E18" i="42"/>
  <c r="E94" i="42"/>
  <c r="E222" i="42"/>
  <c r="E356" i="42"/>
  <c r="E99" i="42"/>
  <c r="E264" i="42"/>
  <c r="E199" i="42"/>
  <c r="E32" i="42"/>
  <c r="E253" i="42"/>
  <c r="E149" i="42"/>
  <c r="E41" i="42"/>
  <c r="E169" i="42"/>
  <c r="E159" i="42"/>
  <c r="E161" i="42"/>
  <c r="E331" i="42"/>
  <c r="E213" i="42"/>
  <c r="E359" i="42"/>
  <c r="E50" i="42"/>
  <c r="E73" i="42"/>
  <c r="AV381" i="42" l="1"/>
  <c r="AW381" i="42"/>
  <c r="AX381" i="42"/>
  <c r="A11" i="38"/>
  <c r="A11" i="42"/>
  <c r="C11" i="42" s="1"/>
  <c r="A12" i="4"/>
  <c r="A12" i="42" s="1"/>
  <c r="C12" i="42" s="1"/>
  <c r="A11" i="40" l="1"/>
  <c r="A11" i="50"/>
  <c r="A11" i="49"/>
  <c r="A11" i="39"/>
  <c r="A11" i="47"/>
  <c r="A11" i="46"/>
  <c r="A11" i="43"/>
  <c r="A11" i="44"/>
  <c r="A13" i="4"/>
  <c r="A13" i="42" s="1"/>
  <c r="C13" i="42" s="1"/>
  <c r="A12" i="38"/>
  <c r="Q11" i="43"/>
  <c r="G11" i="49"/>
  <c r="Y11" i="43"/>
  <c r="J11" i="49"/>
  <c r="X11" i="43"/>
  <c r="K11" i="49"/>
  <c r="T11" i="43"/>
  <c r="I11" i="49"/>
  <c r="S11" i="43"/>
  <c r="U11" i="43"/>
  <c r="U376" i="43" l="1"/>
  <c r="U375" i="43" s="1"/>
  <c r="S376" i="43"/>
  <c r="S375" i="43" s="1"/>
  <c r="J376" i="49"/>
  <c r="J375" i="49" s="1"/>
  <c r="G376" i="49"/>
  <c r="G375" i="49" s="1"/>
  <c r="T376" i="43"/>
  <c r="T375" i="43" s="1"/>
  <c r="Q376" i="43"/>
  <c r="Q375" i="43" s="1"/>
  <c r="K376" i="49"/>
  <c r="K375" i="49" s="1"/>
  <c r="X376" i="43"/>
  <c r="X375" i="43" s="1"/>
  <c r="Y376" i="43"/>
  <c r="Y375" i="43" s="1"/>
  <c r="I376" i="49"/>
  <c r="I375" i="49" s="1"/>
  <c r="A12" i="50"/>
  <c r="A12" i="49"/>
  <c r="O10" i="39"/>
  <c r="A12" i="47"/>
  <c r="A12" i="46"/>
  <c r="A12" i="44"/>
  <c r="A12" i="43"/>
  <c r="A12" i="40"/>
  <c r="C12" i="38"/>
  <c r="A12" i="39"/>
  <c r="A14" i="4"/>
  <c r="A14" i="42" s="1"/>
  <c r="C14" i="42" s="1"/>
  <c r="A13" i="38"/>
  <c r="R11" i="43"/>
  <c r="H11" i="49"/>
  <c r="H376" i="49" l="1"/>
  <c r="H375" i="49" s="1"/>
  <c r="R376" i="43"/>
  <c r="R375" i="43" s="1"/>
  <c r="A13" i="47"/>
  <c r="A13" i="46"/>
  <c r="A13" i="44"/>
  <c r="A13" i="43"/>
  <c r="A13" i="40"/>
  <c r="C13" i="38"/>
  <c r="A13" i="39"/>
  <c r="A15" i="4"/>
  <c r="A15" i="42" s="1"/>
  <c r="C15" i="42" s="1"/>
  <c r="A14" i="38"/>
  <c r="C11" i="38"/>
  <c r="A14" i="50" l="1"/>
  <c r="A14" i="49"/>
  <c r="A13" i="50"/>
  <c r="A13" i="49"/>
  <c r="A14" i="47"/>
  <c r="A14" i="46"/>
  <c r="A14" i="44"/>
  <c r="A14" i="43"/>
  <c r="A16" i="4"/>
  <c r="A16" i="42" s="1"/>
  <c r="C16" i="42" s="1"/>
  <c r="A15" i="38"/>
  <c r="A14" i="40"/>
  <c r="C14" i="38"/>
  <c r="A14" i="39"/>
  <c r="D10" i="39"/>
  <c r="C10" i="39"/>
  <c r="F10" i="39"/>
  <c r="B10" i="39"/>
  <c r="G10" i="39"/>
  <c r="K9" i="38"/>
  <c r="J9" i="38"/>
  <c r="A15" i="50" l="1"/>
  <c r="A15" i="49"/>
  <c r="A15" i="47"/>
  <c r="A15" i="46"/>
  <c r="A15" i="44"/>
  <c r="A15" i="43"/>
  <c r="A15" i="39"/>
  <c r="A15" i="40"/>
  <c r="C15" i="38"/>
  <c r="A16" i="38"/>
  <c r="A17" i="4"/>
  <c r="A17" i="42" s="1"/>
  <c r="C17" i="42" s="1"/>
  <c r="H10" i="39"/>
  <c r="I10" i="39"/>
  <c r="A16" i="50" l="1"/>
  <c r="A16" i="49"/>
  <c r="A16" i="47"/>
  <c r="A16" i="46"/>
  <c r="A16" i="44"/>
  <c r="A16" i="43"/>
  <c r="A16" i="40"/>
  <c r="A16" i="39"/>
  <c r="C16" i="38"/>
  <c r="A18" i="4"/>
  <c r="A18" i="42" s="1"/>
  <c r="C18" i="42" s="1"/>
  <c r="A17" i="38"/>
  <c r="E376" i="47"/>
  <c r="A17" i="50" l="1"/>
  <c r="A17" i="49"/>
  <c r="A17" i="47"/>
  <c r="A17" i="46"/>
  <c r="A17" i="44"/>
  <c r="A17" i="43"/>
  <c r="A19" i="4"/>
  <c r="A19" i="42" s="1"/>
  <c r="C19" i="42" s="1"/>
  <c r="A18" i="38"/>
  <c r="A17" i="40"/>
  <c r="A17" i="39"/>
  <c r="C17" i="38"/>
  <c r="A18" i="50" l="1"/>
  <c r="A18" i="49"/>
  <c r="A18" i="47"/>
  <c r="A18" i="46"/>
  <c r="A18" i="44"/>
  <c r="A18" i="43"/>
  <c r="A18" i="39"/>
  <c r="A18" i="40"/>
  <c r="C18" i="38"/>
  <c r="A19" i="38"/>
  <c r="A20" i="4"/>
  <c r="A20" i="42" s="1"/>
  <c r="C20" i="42" s="1"/>
  <c r="C15" i="41"/>
  <c r="C43" i="41" l="1"/>
  <c r="C5" i="51"/>
  <c r="A19" i="50"/>
  <c r="A19" i="49"/>
  <c r="A19" i="47"/>
  <c r="A19" i="46"/>
  <c r="A19" i="44"/>
  <c r="A19" i="43"/>
  <c r="C21" i="41"/>
  <c r="C20" i="41"/>
  <c r="A19" i="40"/>
  <c r="C19" i="38"/>
  <c r="A19" i="39"/>
  <c r="A21" i="4"/>
  <c r="A21" i="42" s="1"/>
  <c r="C21" i="42" s="1"/>
  <c r="A20" i="38"/>
  <c r="A20" i="50" l="1"/>
  <c r="A20" i="49"/>
  <c r="E43" i="41"/>
  <c r="C44" i="41"/>
  <c r="E44" i="41" s="1"/>
  <c r="A20" i="47"/>
  <c r="A20" i="46"/>
  <c r="A20" i="44"/>
  <c r="A20" i="43"/>
  <c r="A20" i="39"/>
  <c r="A20" i="40"/>
  <c r="C20" i="38"/>
  <c r="A22" i="4"/>
  <c r="A22" i="42" s="1"/>
  <c r="C22" i="42" s="1"/>
  <c r="A21" i="38"/>
  <c r="J36" i="37"/>
  <c r="J35" i="37"/>
  <c r="J34" i="37"/>
  <c r="D17" i="37"/>
  <c r="A21" i="50" l="1"/>
  <c r="A21" i="49"/>
  <c r="C45" i="41"/>
  <c r="E45" i="41" s="1"/>
  <c r="A21" i="47"/>
  <c r="A21" i="46"/>
  <c r="A21" i="44"/>
  <c r="A21" i="43"/>
  <c r="A21" i="39"/>
  <c r="A21" i="40"/>
  <c r="C21" i="38"/>
  <c r="A23" i="4"/>
  <c r="A23" i="42" s="1"/>
  <c r="C23" i="42" s="1"/>
  <c r="A22" i="38"/>
  <c r="A22" i="50" l="1"/>
  <c r="A22" i="49"/>
  <c r="A22" i="47"/>
  <c r="A22" i="46"/>
  <c r="A22" i="44"/>
  <c r="A22" i="43"/>
  <c r="A24" i="4"/>
  <c r="A24" i="42" s="1"/>
  <c r="C24" i="42" s="1"/>
  <c r="A23" i="38"/>
  <c r="A22" i="40"/>
  <c r="C22" i="38"/>
  <c r="A22" i="39"/>
  <c r="A23" i="50" l="1"/>
  <c r="A23" i="49"/>
  <c r="A23" i="47"/>
  <c r="A23" i="46"/>
  <c r="A23" i="43"/>
  <c r="A23" i="44"/>
  <c r="A23" i="40"/>
  <c r="C23" i="38"/>
  <c r="A23" i="39"/>
  <c r="A25" i="4"/>
  <c r="A25" i="42" s="1"/>
  <c r="C25" i="42" s="1"/>
  <c r="A24" i="38"/>
  <c r="A16" i="24"/>
  <c r="A24" i="50" l="1"/>
  <c r="A24" i="49"/>
  <c r="A24" i="47"/>
  <c r="A24" i="46"/>
  <c r="A24" i="44"/>
  <c r="A24" i="43"/>
  <c r="A26" i="4"/>
  <c r="A26" i="42" s="1"/>
  <c r="C26" i="42" s="1"/>
  <c r="A25" i="38"/>
  <c r="A24" i="40"/>
  <c r="C24" i="38"/>
  <c r="A24" i="39"/>
  <c r="G16" i="24"/>
  <c r="G15" i="24"/>
  <c r="F16" i="24"/>
  <c r="F15" i="24"/>
  <c r="A25" i="50" l="1"/>
  <c r="A25" i="49"/>
  <c r="A25" i="47"/>
  <c r="A25" i="46"/>
  <c r="A25" i="44"/>
  <c r="A25" i="43"/>
  <c r="A25" i="40"/>
  <c r="A25" i="39"/>
  <c r="C25" i="38"/>
  <c r="A26" i="38"/>
  <c r="A27" i="4"/>
  <c r="A27" i="42" s="1"/>
  <c r="C27" i="42" s="1"/>
  <c r="A26" i="50" l="1"/>
  <c r="A26" i="49"/>
  <c r="A26" i="47"/>
  <c r="A26" i="46"/>
  <c r="A26" i="44"/>
  <c r="A26" i="43"/>
  <c r="A26" i="40"/>
  <c r="C26" i="38"/>
  <c r="A26" i="39"/>
  <c r="A27" i="38"/>
  <c r="A28" i="4"/>
  <c r="A28" i="42" s="1"/>
  <c r="C28" i="42" s="1"/>
  <c r="A27" i="50" l="1"/>
  <c r="A27" i="49"/>
  <c r="A27" i="47"/>
  <c r="A27" i="46"/>
  <c r="A27" i="44"/>
  <c r="A27" i="43"/>
  <c r="A29" i="4"/>
  <c r="A29" i="42" s="1"/>
  <c r="C29" i="42" s="1"/>
  <c r="A28" i="38"/>
  <c r="A27" i="40"/>
  <c r="C27" i="38"/>
  <c r="A27" i="39"/>
  <c r="A28" i="50" l="1"/>
  <c r="A28" i="49"/>
  <c r="A28" i="47"/>
  <c r="A28" i="46"/>
  <c r="A28" i="43"/>
  <c r="A28" i="44"/>
  <c r="A28" i="40"/>
  <c r="C28" i="38"/>
  <c r="A28" i="39"/>
  <c r="A30" i="4"/>
  <c r="A30" i="42" s="1"/>
  <c r="C30" i="42" s="1"/>
  <c r="A29" i="38"/>
  <c r="A29" i="50" l="1"/>
  <c r="A29" i="49"/>
  <c r="A29" i="47"/>
  <c r="A29" i="46"/>
  <c r="A29" i="43"/>
  <c r="A29" i="44"/>
  <c r="A29" i="40"/>
  <c r="C29" i="38"/>
  <c r="A29" i="39"/>
  <c r="A31" i="4"/>
  <c r="A31" i="42" s="1"/>
  <c r="C31" i="42" s="1"/>
  <c r="A30" i="38"/>
  <c r="E380" i="42" l="1"/>
  <c r="E386" i="42"/>
  <c r="D69" i="41" s="1"/>
  <c r="E384" i="42"/>
  <c r="E383" i="42"/>
  <c r="E385" i="42"/>
  <c r="D68" i="41" s="1"/>
  <c r="E379" i="42"/>
  <c r="E387" i="42"/>
  <c r="D70" i="41" s="1"/>
  <c r="E388" i="42"/>
  <c r="E389" i="42" s="1"/>
  <c r="A30" i="50"/>
  <c r="A30" i="49"/>
  <c r="A30" i="47"/>
  <c r="A30" i="46"/>
  <c r="A30" i="44"/>
  <c r="A30" i="43"/>
  <c r="A30" i="40"/>
  <c r="A30" i="39"/>
  <c r="C30" i="38"/>
  <c r="A32" i="4"/>
  <c r="A32" i="42" s="1"/>
  <c r="C32" i="42" s="1"/>
  <c r="A31" i="38"/>
  <c r="A31" i="50" l="1"/>
  <c r="A31" i="49"/>
  <c r="A31" i="47"/>
  <c r="A31" i="46"/>
  <c r="A31" i="44"/>
  <c r="A31" i="43"/>
  <c r="A33" i="4"/>
  <c r="A33" i="42" s="1"/>
  <c r="C33" i="42" s="1"/>
  <c r="A32" i="38"/>
  <c r="A31" i="40"/>
  <c r="C31" i="38"/>
  <c r="A31" i="39"/>
  <c r="G58" i="24"/>
  <c r="F58" i="24"/>
  <c r="A58" i="24"/>
  <c r="G57" i="24"/>
  <c r="F57" i="24"/>
  <c r="A57" i="24"/>
  <c r="M56" i="24"/>
  <c r="L56" i="24"/>
  <c r="K56" i="24"/>
  <c r="J56" i="24"/>
  <c r="I56" i="24"/>
  <c r="H56" i="24"/>
  <c r="G56" i="24"/>
  <c r="F56" i="24"/>
  <c r="A56" i="24"/>
  <c r="J55" i="24"/>
  <c r="I55" i="24"/>
  <c r="H55" i="24"/>
  <c r="G55" i="24"/>
  <c r="F55" i="24"/>
  <c r="A55" i="24"/>
  <c r="J54" i="24"/>
  <c r="I54" i="24"/>
  <c r="H54" i="24"/>
  <c r="G54" i="24"/>
  <c r="F54" i="24"/>
  <c r="A54" i="24"/>
  <c r="M53" i="24"/>
  <c r="L53" i="24"/>
  <c r="K53" i="24"/>
  <c r="J53" i="24"/>
  <c r="I53" i="24"/>
  <c r="H53" i="24"/>
  <c r="G53" i="24"/>
  <c r="F53" i="24"/>
  <c r="A53" i="24"/>
  <c r="A52" i="24"/>
  <c r="G50" i="24"/>
  <c r="F50" i="24"/>
  <c r="A50" i="24"/>
  <c r="G49" i="24"/>
  <c r="F49" i="24"/>
  <c r="A49" i="24"/>
  <c r="G48" i="24"/>
  <c r="F48" i="24"/>
  <c r="A48" i="24"/>
  <c r="G47" i="24"/>
  <c r="F47" i="24"/>
  <c r="A47" i="24"/>
  <c r="A46" i="24"/>
  <c r="G44" i="24"/>
  <c r="F44" i="24"/>
  <c r="A44" i="24"/>
  <c r="G43" i="24"/>
  <c r="F43" i="24"/>
  <c r="A43" i="24"/>
  <c r="G42" i="24"/>
  <c r="F42" i="24"/>
  <c r="A42" i="24"/>
  <c r="G41" i="24"/>
  <c r="F41" i="24"/>
  <c r="A41" i="24"/>
  <c r="G40" i="24"/>
  <c r="F40" i="24"/>
  <c r="A40" i="24"/>
  <c r="G39" i="24"/>
  <c r="F39" i="24"/>
  <c r="A39" i="24"/>
  <c r="A38" i="24"/>
  <c r="G36" i="24"/>
  <c r="F36" i="24"/>
  <c r="A36" i="24"/>
  <c r="G35" i="24"/>
  <c r="F35" i="24"/>
  <c r="A35" i="24"/>
  <c r="G34" i="24"/>
  <c r="F34" i="24"/>
  <c r="A34" i="24"/>
  <c r="G33" i="24"/>
  <c r="F33" i="24"/>
  <c r="A33" i="24"/>
  <c r="G32" i="24"/>
  <c r="F32" i="24"/>
  <c r="A32" i="24"/>
  <c r="K31" i="24"/>
  <c r="J31" i="24"/>
  <c r="I31" i="24"/>
  <c r="H31" i="24"/>
  <c r="G31" i="24"/>
  <c r="F31" i="24"/>
  <c r="A31" i="24"/>
  <c r="A30" i="24"/>
  <c r="I27" i="24"/>
  <c r="H27" i="24"/>
  <c r="G27" i="24"/>
  <c r="F27" i="24"/>
  <c r="A27" i="24"/>
  <c r="A26" i="24"/>
  <c r="G24" i="24"/>
  <c r="F24" i="24"/>
  <c r="A24" i="24"/>
  <c r="G23" i="24"/>
  <c r="F23" i="24"/>
  <c r="A23" i="24"/>
  <c r="G22" i="24"/>
  <c r="F22" i="24"/>
  <c r="A22" i="24"/>
  <c r="G21" i="24"/>
  <c r="F21" i="24"/>
  <c r="A21" i="24"/>
  <c r="G20" i="24"/>
  <c r="F20" i="24"/>
  <c r="A20" i="24"/>
  <c r="G19" i="24"/>
  <c r="F19" i="24"/>
  <c r="A19" i="24"/>
  <c r="G18" i="24"/>
  <c r="F18" i="24"/>
  <c r="A18" i="24"/>
  <c r="A17" i="24"/>
  <c r="A15" i="24"/>
  <c r="I14" i="24"/>
  <c r="H14" i="24"/>
  <c r="G14" i="24"/>
  <c r="F14" i="24"/>
  <c r="A14" i="24"/>
  <c r="G13" i="24"/>
  <c r="F13" i="24"/>
  <c r="A13" i="24"/>
  <c r="A12" i="24"/>
  <c r="J10" i="24"/>
  <c r="I10" i="24"/>
  <c r="H10" i="24"/>
  <c r="G10" i="24"/>
  <c r="F10" i="24"/>
  <c r="A10" i="24"/>
  <c r="A9" i="24"/>
  <c r="A8" i="24"/>
  <c r="A6" i="24"/>
  <c r="H5" i="24"/>
  <c r="G5" i="24"/>
  <c r="F5" i="24"/>
  <c r="A5" i="24"/>
  <c r="A4" i="24"/>
  <c r="C3" i="24"/>
  <c r="B3" i="24"/>
  <c r="G10" i="40"/>
  <c r="F10" i="40"/>
  <c r="E10" i="40"/>
  <c r="D10" i="40"/>
  <c r="C10" i="40"/>
  <c r="B10" i="40"/>
  <c r="A32" i="50" l="1"/>
  <c r="A32" i="49"/>
  <c r="A32" i="47"/>
  <c r="A32" i="46"/>
  <c r="A32" i="44"/>
  <c r="A32" i="43"/>
  <c r="A32" i="40"/>
  <c r="C32" i="38"/>
  <c r="A32" i="39"/>
  <c r="A34" i="4"/>
  <c r="A34" i="42" s="1"/>
  <c r="C34" i="42" s="1"/>
  <c r="A33" i="38"/>
  <c r="A33" i="50" l="1"/>
  <c r="A33" i="49"/>
  <c r="A33" i="47"/>
  <c r="A33" i="46"/>
  <c r="A33" i="44"/>
  <c r="A33" i="43"/>
  <c r="A33" i="39"/>
  <c r="A33" i="40"/>
  <c r="C33" i="38"/>
  <c r="A35" i="4"/>
  <c r="A35" i="42" s="1"/>
  <c r="C35" i="42" s="1"/>
  <c r="A34" i="38"/>
  <c r="A34" i="50" l="1"/>
  <c r="A34" i="49"/>
  <c r="A34" i="47"/>
  <c r="A34" i="46"/>
  <c r="A34" i="44"/>
  <c r="A34" i="43"/>
  <c r="A34" i="40"/>
  <c r="A34" i="39"/>
  <c r="C34" i="38"/>
  <c r="A36" i="4"/>
  <c r="A36" i="42" s="1"/>
  <c r="C36" i="42" s="1"/>
  <c r="A35" i="38"/>
  <c r="I202" i="42"/>
  <c r="BA333" i="42"/>
  <c r="J168" i="42"/>
  <c r="H246" i="42"/>
  <c r="D173" i="42"/>
  <c r="F265" i="47"/>
  <c r="D215" i="42"/>
  <c r="Q90" i="42"/>
  <c r="K52" i="42"/>
  <c r="H307" i="42"/>
  <c r="D220" i="47"/>
  <c r="D33" i="42"/>
  <c r="BA173" i="42"/>
  <c r="Q40" i="42"/>
  <c r="G367" i="42"/>
  <c r="P373" i="42"/>
  <c r="H324" i="42"/>
  <c r="BA329" i="42"/>
  <c r="N267" i="42"/>
  <c r="AY251" i="42"/>
  <c r="D272" i="42"/>
  <c r="BC54" i="42"/>
  <c r="M343" i="42"/>
  <c r="K262" i="42"/>
  <c r="BA77" i="42"/>
  <c r="P11" i="42"/>
  <c r="AY46" i="42"/>
  <c r="L55" i="42"/>
  <c r="BB312" i="42"/>
  <c r="H287" i="42"/>
  <c r="O244" i="42"/>
  <c r="H260" i="42"/>
  <c r="Q169" i="42"/>
  <c r="BC360" i="42"/>
  <c r="I22" i="42"/>
  <c r="BA52" i="42"/>
  <c r="J230" i="42"/>
  <c r="AY98" i="42"/>
  <c r="M177" i="42"/>
  <c r="M49" i="42"/>
  <c r="BB158" i="42"/>
  <c r="P25" i="42"/>
  <c r="AY167" i="42"/>
  <c r="D188" i="42"/>
  <c r="AY321" i="42"/>
  <c r="Q134" i="42"/>
  <c r="Q196" i="42"/>
  <c r="BB125" i="42"/>
  <c r="D298" i="42"/>
  <c r="G253" i="42"/>
  <c r="Q120" i="42"/>
  <c r="BC371" i="42"/>
  <c r="H316" i="42"/>
  <c r="D168" i="42"/>
  <c r="H225" i="42"/>
  <c r="N296" i="42"/>
  <c r="L218" i="42"/>
  <c r="Q282" i="42"/>
  <c r="BB122" i="42"/>
  <c r="F66" i="42"/>
  <c r="AZ152" i="42"/>
  <c r="Q147" i="42"/>
  <c r="Q119" i="42"/>
  <c r="Q164" i="42"/>
  <c r="AY350" i="42"/>
  <c r="O95" i="42"/>
  <c r="H192" i="42"/>
  <c r="BB160" i="42"/>
  <c r="J370" i="42"/>
  <c r="I335" i="42"/>
  <c r="P350" i="42"/>
  <c r="BB228" i="42"/>
  <c r="I11" i="42"/>
  <c r="P208" i="42"/>
  <c r="K194" i="42"/>
  <c r="N354" i="42"/>
  <c r="I89" i="42"/>
  <c r="G329" i="42"/>
  <c r="BB120" i="42"/>
  <c r="J131" i="42"/>
  <c r="AZ317" i="42"/>
  <c r="D48" i="42"/>
  <c r="D271" i="42"/>
  <c r="BB34" i="42"/>
  <c r="Q124" i="42"/>
  <c r="AY195" i="42"/>
  <c r="O159" i="42"/>
  <c r="BC156" i="42"/>
  <c r="F183" i="42"/>
  <c r="M112" i="42"/>
  <c r="F272" i="42"/>
  <c r="I104" i="42"/>
  <c r="BB45" i="42"/>
  <c r="D59" i="42"/>
  <c r="C19" i="47"/>
  <c r="M196" i="42"/>
  <c r="AY19" i="42"/>
  <c r="J337" i="42"/>
  <c r="G58" i="42"/>
  <c r="BA54" i="42"/>
  <c r="Q199" i="42"/>
  <c r="AY224" i="42"/>
  <c r="O345" i="42"/>
  <c r="I336" i="42"/>
  <c r="F13" i="42"/>
  <c r="D169" i="42"/>
  <c r="BB216" i="42"/>
  <c r="N12" i="42"/>
  <c r="B209" i="47"/>
  <c r="J356" i="42"/>
  <c r="L119" i="42"/>
  <c r="F77" i="42"/>
  <c r="Q68" i="42"/>
  <c r="I270" i="42"/>
  <c r="Q189" i="42"/>
  <c r="BB105" i="42"/>
  <c r="D75" i="42"/>
  <c r="E342" i="47"/>
  <c r="P229" i="42"/>
  <c r="AY57" i="42"/>
  <c r="O278" i="42"/>
  <c r="D38" i="42"/>
  <c r="F344" i="47"/>
  <c r="H178" i="42"/>
  <c r="C359" i="47"/>
  <c r="D278" i="42"/>
  <c r="K46" i="42"/>
  <c r="M233" i="42"/>
  <c r="M364" i="42"/>
  <c r="BC215" i="42"/>
  <c r="K58" i="42"/>
  <c r="AZ114" i="42"/>
  <c r="M36" i="42"/>
  <c r="G51" i="42"/>
  <c r="G375" i="42"/>
  <c r="Q192" i="42"/>
  <c r="L335" i="42"/>
  <c r="P190" i="42"/>
  <c r="G357" i="42"/>
  <c r="M361" i="42"/>
  <c r="BC180" i="42"/>
  <c r="K238" i="42"/>
  <c r="AZ363" i="42"/>
  <c r="N84" i="42"/>
  <c r="M216" i="42"/>
  <c r="F217" i="42"/>
  <c r="G231" i="42"/>
  <c r="D208" i="47"/>
  <c r="AZ55" i="42"/>
  <c r="G144" i="42"/>
  <c r="J85" i="42"/>
  <c r="D309" i="42"/>
  <c r="BC256" i="42"/>
  <c r="M360" i="42"/>
  <c r="Q171" i="42"/>
  <c r="K83" i="42"/>
  <c r="J178" i="42"/>
  <c r="G265" i="42"/>
  <c r="I24" i="42"/>
  <c r="BA326" i="42"/>
  <c r="Q346" i="42"/>
  <c r="P364" i="42"/>
  <c r="BC327" i="42"/>
  <c r="M136" i="42"/>
  <c r="G337" i="42"/>
  <c r="E35" i="47"/>
  <c r="AY133" i="42"/>
  <c r="F213" i="42"/>
  <c r="B110" i="47"/>
  <c r="B316" i="47"/>
  <c r="E288" i="47"/>
  <c r="B49" i="47"/>
  <c r="N11" i="42"/>
  <c r="D267" i="42"/>
  <c r="AY243" i="42"/>
  <c r="Q117" i="42"/>
  <c r="O331" i="42"/>
  <c r="N13" i="42"/>
  <c r="H96" i="42"/>
  <c r="C312" i="47"/>
  <c r="E83" i="47"/>
  <c r="C232" i="47"/>
  <c r="E315" i="47"/>
  <c r="J364" i="42"/>
  <c r="AZ111" i="42"/>
  <c r="M250" i="42"/>
  <c r="BC165" i="42"/>
  <c r="G56" i="42"/>
  <c r="N37" i="42"/>
  <c r="E57" i="47"/>
  <c r="AY367" i="42"/>
  <c r="BA79" i="42"/>
  <c r="G243" i="42"/>
  <c r="AZ301" i="42"/>
  <c r="O24" i="42"/>
  <c r="C21" i="47"/>
  <c r="O37" i="42"/>
  <c r="AZ64" i="42"/>
  <c r="P351" i="42"/>
  <c r="N24" i="42"/>
  <c r="AZ310" i="42"/>
  <c r="N38" i="42"/>
  <c r="K113" i="42"/>
  <c r="P372" i="42"/>
  <c r="BC337" i="42"/>
  <c r="G163" i="42"/>
  <c r="O35" i="42"/>
  <c r="F230" i="42"/>
  <c r="I180" i="42"/>
  <c r="BB317" i="42"/>
  <c r="J216" i="42"/>
  <c r="L71" i="42"/>
  <c r="J357" i="42"/>
  <c r="BB93" i="42"/>
  <c r="AZ232" i="42"/>
  <c r="BC197" i="42"/>
  <c r="H274" i="42"/>
  <c r="BA215" i="42"/>
  <c r="C295" i="47"/>
  <c r="L210" i="42"/>
  <c r="L238" i="42"/>
  <c r="P238" i="42"/>
  <c r="D339" i="42"/>
  <c r="M56" i="42"/>
  <c r="N61" i="42"/>
  <c r="F189" i="47"/>
  <c r="B213" i="47"/>
  <c r="BA290" i="42"/>
  <c r="C330" i="47"/>
  <c r="B108" i="47"/>
  <c r="O116" i="42"/>
  <c r="AY78" i="42"/>
  <c r="BA193" i="42"/>
  <c r="BC154" i="42"/>
  <c r="AZ208" i="42"/>
  <c r="I59" i="42"/>
  <c r="D44" i="47"/>
  <c r="C246" i="47"/>
  <c r="D251" i="47"/>
  <c r="N249" i="42"/>
  <c r="M47" i="42"/>
  <c r="BA170" i="42"/>
  <c r="J343" i="42"/>
  <c r="H222" i="42"/>
  <c r="J340" i="42"/>
  <c r="Q217" i="42"/>
  <c r="F311" i="47"/>
  <c r="P27" i="42"/>
  <c r="AY194" i="42"/>
  <c r="D281" i="42"/>
  <c r="P283" i="42"/>
  <c r="BC172" i="42"/>
  <c r="I19" i="42"/>
  <c r="AZ124" i="42"/>
  <c r="M330" i="42"/>
  <c r="I284" i="42"/>
  <c r="N189" i="42"/>
  <c r="L208" i="42"/>
  <c r="D70" i="42"/>
  <c r="BB18" i="42"/>
  <c r="O218" i="42"/>
  <c r="AY290" i="42"/>
  <c r="P295" i="42"/>
  <c r="N47" i="42"/>
  <c r="AZ54" i="42"/>
  <c r="M42" i="42"/>
  <c r="L50" i="42"/>
  <c r="Q308" i="42"/>
  <c r="I50" i="42"/>
  <c r="L76" i="42"/>
  <c r="O354" i="42"/>
  <c r="H149" i="42"/>
  <c r="K188" i="42"/>
  <c r="K329" i="42"/>
  <c r="J43" i="42"/>
  <c r="BC210" i="42"/>
  <c r="D36" i="42"/>
  <c r="AZ250" i="42"/>
  <c r="K199" i="42"/>
  <c r="Q216" i="42"/>
  <c r="L106" i="42"/>
  <c r="O290" i="42"/>
  <c r="BC38" i="42"/>
  <c r="J69" i="42"/>
  <c r="AY249" i="42"/>
  <c r="D176" i="42"/>
  <c r="I188" i="42"/>
  <c r="D265" i="47"/>
  <c r="H254" i="42"/>
  <c r="AZ260" i="42"/>
  <c r="J87" i="42"/>
  <c r="I83" i="42"/>
  <c r="D232" i="42"/>
  <c r="D107" i="42"/>
  <c r="I361" i="42"/>
  <c r="Q127" i="42"/>
  <c r="F262" i="42"/>
  <c r="O106" i="42"/>
  <c r="BC39" i="42"/>
  <c r="Q284" i="42"/>
  <c r="G182" i="42"/>
  <c r="K253" i="42"/>
  <c r="J30" i="42"/>
  <c r="G192" i="42"/>
  <c r="Q24" i="42"/>
  <c r="BB17" i="42"/>
  <c r="O357" i="42"/>
  <c r="B247" i="47"/>
  <c r="Q207" i="42"/>
  <c r="P40" i="42"/>
  <c r="BC163" i="42"/>
  <c r="F134" i="42"/>
  <c r="AZ265" i="42"/>
  <c r="M198" i="42"/>
  <c r="F144" i="42"/>
  <c r="P74" i="42"/>
  <c r="K75" i="42"/>
  <c r="P86" i="42"/>
  <c r="N375" i="42"/>
  <c r="O284" i="42"/>
  <c r="BC318" i="42"/>
  <c r="G362" i="42"/>
  <c r="D37" i="42"/>
  <c r="K290" i="42"/>
  <c r="H109" i="42"/>
  <c r="BB48" i="42"/>
  <c r="O188" i="42"/>
  <c r="B87" i="47"/>
  <c r="D179" i="42"/>
  <c r="O66" i="42"/>
  <c r="BC149" i="42"/>
  <c r="F84" i="42"/>
  <c r="AZ92" i="42"/>
  <c r="O225" i="42"/>
  <c r="G269" i="42"/>
  <c r="Q197" i="42"/>
  <c r="H270" i="42"/>
  <c r="G107" i="42"/>
  <c r="K87" i="42"/>
  <c r="L155" i="42"/>
  <c r="P195" i="42"/>
  <c r="BC204" i="42"/>
  <c r="O333" i="42"/>
  <c r="C129" i="47"/>
  <c r="N236" i="42"/>
  <c r="H80" i="42"/>
  <c r="BA34" i="42"/>
  <c r="M299" i="42"/>
  <c r="AY301" i="42"/>
  <c r="Q351" i="42"/>
  <c r="BC53" i="42"/>
  <c r="J56" i="42"/>
  <c r="F255" i="47"/>
  <c r="G110" i="42"/>
  <c r="O375" i="42"/>
  <c r="H356" i="42"/>
  <c r="P178" i="42"/>
  <c r="BC253" i="42"/>
  <c r="L69" i="42"/>
  <c r="AZ100" i="42"/>
  <c r="N299" i="42"/>
  <c r="M237" i="42"/>
  <c r="I97" i="42"/>
  <c r="J320" i="42"/>
  <c r="BC274" i="42"/>
  <c r="F218" i="42"/>
  <c r="AZ245" i="42"/>
  <c r="O104" i="42"/>
  <c r="P166" i="42"/>
  <c r="BB366" i="42"/>
  <c r="J192" i="42"/>
  <c r="AY328" i="42"/>
  <c r="P132" i="42"/>
  <c r="G16" i="42"/>
  <c r="O258" i="42"/>
  <c r="BC312" i="42"/>
  <c r="H341" i="42"/>
  <c r="M166" i="42"/>
  <c r="I69" i="42"/>
  <c r="D255" i="42"/>
  <c r="F294" i="42"/>
  <c r="G75" i="42"/>
  <c r="D339" i="47"/>
  <c r="N96" i="42"/>
  <c r="Q53" i="42"/>
  <c r="H323" i="42"/>
  <c r="M373" i="42"/>
  <c r="H322" i="42"/>
  <c r="K12" i="42"/>
  <c r="AZ160" i="42"/>
  <c r="D94" i="42"/>
  <c r="P354" i="42"/>
  <c r="BB274" i="42"/>
  <c r="G179" i="42"/>
  <c r="BA248" i="42"/>
  <c r="N238" i="42"/>
  <c r="H137" i="42"/>
  <c r="J206" i="42"/>
  <c r="K247" i="42"/>
  <c r="N136" i="42"/>
  <c r="Q78" i="42"/>
  <c r="C97" i="47"/>
  <c r="N57" i="42"/>
  <c r="G202" i="42"/>
  <c r="D263" i="42"/>
  <c r="BB99" i="42"/>
  <c r="BB262" i="42"/>
  <c r="G219" i="42"/>
  <c r="O179" i="42"/>
  <c r="G156" i="42"/>
  <c r="L154" i="42"/>
  <c r="BA20" i="42"/>
  <c r="D160" i="42"/>
  <c r="BA154" i="42"/>
  <c r="Q340" i="42"/>
  <c r="F254" i="42"/>
  <c r="P186" i="42"/>
  <c r="N30" i="42"/>
  <c r="I43" i="42"/>
  <c r="N364" i="42"/>
  <c r="F187" i="47"/>
  <c r="L100" i="42"/>
  <c r="BB113" i="42"/>
  <c r="F112" i="42"/>
  <c r="AY312" i="42"/>
  <c r="E30" i="47"/>
  <c r="E125" i="47"/>
  <c r="F289" i="47"/>
  <c r="D156" i="42"/>
  <c r="P159" i="42"/>
  <c r="BB220" i="42"/>
  <c r="O301" i="42"/>
  <c r="G370" i="42"/>
  <c r="D102" i="42"/>
  <c r="B306" i="47"/>
  <c r="BB200" i="42"/>
  <c r="F224" i="47"/>
  <c r="D148" i="47"/>
  <c r="BC164" i="42"/>
  <c r="AY134" i="42"/>
  <c r="G361" i="42"/>
  <c r="Q75" i="42"/>
  <c r="F88" i="42"/>
  <c r="AZ117" i="42"/>
  <c r="Q327" i="42"/>
  <c r="E317" i="47"/>
  <c r="C265" i="47"/>
  <c r="F358" i="47"/>
  <c r="F168" i="42"/>
  <c r="L22" i="42"/>
  <c r="G109" i="42"/>
  <c r="O235" i="42"/>
  <c r="O245" i="42"/>
  <c r="M295" i="42"/>
  <c r="H184" i="42"/>
  <c r="D127" i="42"/>
  <c r="H335" i="42"/>
  <c r="H205" i="42"/>
  <c r="BA327" i="42"/>
  <c r="P226" i="42"/>
  <c r="C105" i="47"/>
  <c r="M249" i="42"/>
  <c r="M110" i="42"/>
  <c r="BB24" i="42"/>
  <c r="O237" i="42"/>
  <c r="B354" i="47"/>
  <c r="P153" i="42"/>
  <c r="P276" i="42"/>
  <c r="M278" i="42"/>
  <c r="G20" i="42"/>
  <c r="BB134" i="42"/>
  <c r="AY54" i="42"/>
  <c r="E213" i="47"/>
  <c r="H313" i="42"/>
  <c r="D259" i="47"/>
  <c r="H163" i="42"/>
  <c r="K150" i="42"/>
  <c r="M153" i="42"/>
  <c r="I131" i="42"/>
  <c r="M14" i="42"/>
  <c r="K122" i="42"/>
  <c r="AY122" i="42"/>
  <c r="BB172" i="42"/>
  <c r="G217" i="42"/>
  <c r="E167" i="47"/>
  <c r="E275" i="47"/>
  <c r="D112" i="42"/>
  <c r="M19" i="42"/>
  <c r="M176" i="42"/>
  <c r="L319" i="42"/>
  <c r="BC119" i="42"/>
  <c r="AZ253" i="42"/>
  <c r="C214" i="47"/>
  <c r="C270" i="47"/>
  <c r="D315" i="47"/>
  <c r="H69" i="42"/>
  <c r="G178" i="42"/>
  <c r="I301" i="42"/>
  <c r="BB363" i="42"/>
  <c r="P213" i="42"/>
  <c r="BC250" i="42"/>
  <c r="P139" i="42"/>
  <c r="K302" i="42"/>
  <c r="O212" i="42"/>
  <c r="L344" i="42"/>
  <c r="M227" i="42"/>
  <c r="D93" i="42"/>
  <c r="AZ73" i="42"/>
  <c r="O233" i="42"/>
  <c r="F99" i="42"/>
  <c r="G70" i="42"/>
  <c r="BA159" i="42"/>
  <c r="K375" i="42"/>
  <c r="AZ60" i="42"/>
  <c r="O153" i="42"/>
  <c r="F265" i="42"/>
  <c r="M38" i="42"/>
  <c r="O296" i="42"/>
  <c r="I358" i="42"/>
  <c r="J15" i="42"/>
  <c r="H367" i="42"/>
  <c r="I170" i="42"/>
  <c r="BB327" i="42"/>
  <c r="K254" i="42"/>
  <c r="C225" i="47"/>
  <c r="M331" i="42"/>
  <c r="M374" i="42"/>
  <c r="BC333" i="42"/>
  <c r="L113" i="42"/>
  <c r="BA67" i="42"/>
  <c r="P342" i="42"/>
  <c r="G54" i="42"/>
  <c r="P99" i="42"/>
  <c r="D286" i="42"/>
  <c r="L281" i="42"/>
  <c r="F86" i="42"/>
  <c r="D127" i="47"/>
  <c r="N264" i="42"/>
  <c r="F73" i="42"/>
  <c r="D206" i="42"/>
  <c r="BC301" i="42"/>
  <c r="F245" i="42"/>
  <c r="Q179" i="42"/>
  <c r="F176" i="42"/>
  <c r="J226" i="42"/>
  <c r="F354" i="42"/>
  <c r="G52" i="42"/>
  <c r="BA162" i="42"/>
  <c r="P219" i="42"/>
  <c r="D118" i="42"/>
  <c r="K17" i="42"/>
  <c r="L299" i="42"/>
  <c r="E109" i="47"/>
  <c r="J294" i="42"/>
  <c r="C60" i="47"/>
  <c r="H282" i="42"/>
  <c r="N163" i="42"/>
  <c r="L160" i="42"/>
  <c r="G117" i="42"/>
  <c r="BB175" i="42"/>
  <c r="O158" i="42"/>
  <c r="F106" i="42"/>
  <c r="M80" i="42"/>
  <c r="BC90" i="42"/>
  <c r="K361" i="42"/>
  <c r="Q14" i="42"/>
  <c r="AZ58" i="42"/>
  <c r="M128" i="42"/>
  <c r="F269" i="42"/>
  <c r="H202" i="42"/>
  <c r="BB22" i="42"/>
  <c r="K264" i="42"/>
  <c r="O234" i="42"/>
  <c r="F191" i="42"/>
  <c r="J287" i="42"/>
  <c r="P73" i="42"/>
  <c r="O307" i="42"/>
  <c r="H116" i="42"/>
  <c r="I20" i="42"/>
  <c r="BA361" i="42"/>
  <c r="L294" i="42"/>
  <c r="H239" i="42"/>
  <c r="O184" i="42"/>
  <c r="BC260" i="42"/>
  <c r="G92" i="42"/>
  <c r="D155" i="42"/>
  <c r="AY253" i="42"/>
  <c r="O306" i="42"/>
  <c r="I249" i="42"/>
  <c r="L54" i="42"/>
  <c r="D350" i="47"/>
  <c r="K95" i="42"/>
  <c r="O279" i="42"/>
  <c r="H63" i="42"/>
  <c r="I136" i="42"/>
  <c r="BB334" i="42"/>
  <c r="L330" i="42"/>
  <c r="K39" i="42"/>
  <c r="J257" i="42"/>
  <c r="K234" i="42"/>
  <c r="I197" i="42"/>
  <c r="O281" i="42"/>
  <c r="K370" i="42"/>
  <c r="N367" i="42"/>
  <c r="BB154" i="42"/>
  <c r="O342" i="42"/>
  <c r="AY359" i="42"/>
  <c r="Q71" i="42"/>
  <c r="Q43" i="42"/>
  <c r="I153" i="42"/>
  <c r="K300" i="42"/>
  <c r="D264" i="47"/>
  <c r="N99" i="42"/>
  <c r="AZ313" i="42"/>
  <c r="J345" i="42"/>
  <c r="H231" i="42"/>
  <c r="J167" i="42"/>
  <c r="I135" i="42"/>
  <c r="BB358" i="42"/>
  <c r="Q237" i="42"/>
  <c r="AZ329" i="42"/>
  <c r="O127" i="42"/>
  <c r="L129" i="42"/>
  <c r="H238" i="42"/>
  <c r="D76" i="42"/>
  <c r="F220" i="42"/>
  <c r="J166" i="42"/>
  <c r="F277" i="47"/>
  <c r="K204" i="42"/>
  <c r="BB191" i="42"/>
  <c r="K25" i="42"/>
  <c r="M277" i="42"/>
  <c r="H328" i="42"/>
  <c r="J25" i="42"/>
  <c r="E351" i="47"/>
  <c r="Q266" i="42"/>
  <c r="AZ170" i="42"/>
  <c r="O51" i="42"/>
  <c r="N284" i="42"/>
  <c r="I318" i="42"/>
  <c r="P249" i="42"/>
  <c r="BB342" i="42"/>
  <c r="J88" i="42"/>
  <c r="AZ333" i="42"/>
  <c r="Q42" i="42"/>
  <c r="K346" i="42"/>
  <c r="Q364" i="42"/>
  <c r="D53" i="42"/>
  <c r="H280" i="42"/>
  <c r="N25" i="42"/>
  <c r="K340" i="42"/>
  <c r="D224" i="42"/>
  <c r="BB176" i="42"/>
  <c r="G176" i="42"/>
  <c r="N203" i="42"/>
  <c r="K271" i="42"/>
  <c r="P114" i="42"/>
  <c r="BC324" i="42"/>
  <c r="G153" i="42"/>
  <c r="BA68" i="42"/>
  <c r="BC264" i="42"/>
  <c r="P121" i="42"/>
  <c r="BB346" i="42"/>
  <c r="O23" i="42"/>
  <c r="G28" i="42"/>
  <c r="BA355" i="42"/>
  <c r="J280" i="42"/>
  <c r="L173" i="42"/>
  <c r="P304" i="42"/>
  <c r="I224" i="42"/>
  <c r="K62" i="42"/>
  <c r="M287" i="42"/>
  <c r="F31" i="42"/>
  <c r="D26" i="42"/>
  <c r="BB286" i="42"/>
  <c r="K79" i="42"/>
  <c r="AY267" i="42"/>
  <c r="Q330" i="42"/>
  <c r="F36" i="47"/>
  <c r="AZ18" i="42"/>
  <c r="F100" i="47"/>
  <c r="AY72" i="42"/>
  <c r="E138" i="47"/>
  <c r="B156" i="47"/>
  <c r="BC339" i="42"/>
  <c r="K21" i="42"/>
  <c r="Q218" i="42"/>
  <c r="N262" i="42"/>
  <c r="Q58" i="42"/>
  <c r="L46" i="42"/>
  <c r="BC335" i="42"/>
  <c r="AY257" i="42"/>
  <c r="BB372" i="42"/>
  <c r="D40" i="47"/>
  <c r="F109" i="47"/>
  <c r="N239" i="42"/>
  <c r="AZ216" i="42"/>
  <c r="BC357" i="42"/>
  <c r="G135" i="42"/>
  <c r="D113" i="47"/>
  <c r="F76" i="42"/>
  <c r="E352" i="47"/>
  <c r="D278" i="47"/>
  <c r="F337" i="47"/>
  <c r="H136" i="42"/>
  <c r="P300" i="42"/>
  <c r="BB53" i="42"/>
  <c r="O359" i="42"/>
  <c r="BC293" i="42"/>
  <c r="J107" i="42"/>
  <c r="BC365" i="42"/>
  <c r="L201" i="42"/>
  <c r="AZ95" i="42"/>
  <c r="Q240" i="42"/>
  <c r="H339" i="42"/>
  <c r="N349" i="42"/>
  <c r="L56" i="42"/>
  <c r="I148" i="42"/>
  <c r="Q187" i="42"/>
  <c r="F132" i="42"/>
  <c r="M240" i="42"/>
  <c r="BB119" i="42"/>
  <c r="H240" i="42"/>
  <c r="K78" i="42"/>
  <c r="Q295" i="42"/>
  <c r="N321" i="42"/>
  <c r="BC358" i="42"/>
  <c r="D307" i="47"/>
  <c r="AY190" i="42"/>
  <c r="BB234" i="42"/>
  <c r="B294" i="47"/>
  <c r="K371" i="42"/>
  <c r="C372" i="47"/>
  <c r="D253" i="42"/>
  <c r="F351" i="47"/>
  <c r="K34" i="42"/>
  <c r="Q194" i="42"/>
  <c r="E238" i="47"/>
  <c r="B282" i="47"/>
  <c r="E110" i="47"/>
  <c r="B322" i="47"/>
  <c r="B286" i="47"/>
  <c r="BA354" i="42"/>
  <c r="M134" i="42"/>
  <c r="BA277" i="42"/>
  <c r="P21" i="42"/>
  <c r="G152" i="42"/>
  <c r="H195" i="42"/>
  <c r="BA108" i="42"/>
  <c r="O28" i="42"/>
  <c r="N341" i="42"/>
  <c r="BC181" i="42"/>
  <c r="F341" i="42"/>
  <c r="AZ277" i="42"/>
  <c r="Q129" i="42"/>
  <c r="I246" i="42"/>
  <c r="J171" i="42"/>
  <c r="I302" i="42"/>
  <c r="N204" i="42"/>
  <c r="Q37" i="42"/>
  <c r="B281" i="47"/>
  <c r="Q311" i="42"/>
  <c r="F290" i="42"/>
  <c r="O367" i="42"/>
  <c r="BB13" i="42"/>
  <c r="I184" i="42"/>
  <c r="O208" i="42"/>
  <c r="AZ264" i="42"/>
  <c r="N309" i="42"/>
  <c r="I299" i="42"/>
  <c r="I245" i="42"/>
  <c r="BB14" i="42"/>
  <c r="P228" i="42"/>
  <c r="P194" i="42"/>
  <c r="H94" i="42"/>
  <c r="F19" i="42"/>
  <c r="BA194" i="42"/>
  <c r="Q160" i="42"/>
  <c r="AZ314" i="42"/>
  <c r="O113" i="42"/>
  <c r="I74" i="42"/>
  <c r="O241" i="42"/>
  <c r="L178" i="42"/>
  <c r="BA212" i="42"/>
  <c r="J232" i="42"/>
  <c r="F190" i="42"/>
  <c r="D49" i="42"/>
  <c r="BC40" i="42"/>
  <c r="N227" i="42"/>
  <c r="G353" i="42"/>
  <c r="BA232" i="42"/>
  <c r="O227" i="42"/>
  <c r="K295" i="42"/>
  <c r="H153" i="42"/>
  <c r="E232" i="47"/>
  <c r="I252" i="42"/>
  <c r="P367" i="42"/>
  <c r="F197" i="42"/>
  <c r="P144" i="42"/>
  <c r="BC123" i="42"/>
  <c r="F348" i="42"/>
  <c r="BA252" i="42"/>
  <c r="J290" i="42"/>
  <c r="H298" i="42"/>
  <c r="N168" i="42"/>
  <c r="M259" i="42"/>
  <c r="E17" i="47"/>
  <c r="O203" i="42"/>
  <c r="M333" i="42"/>
  <c r="D45" i="42"/>
  <c r="AZ138" i="42"/>
  <c r="P47" i="42"/>
  <c r="F100" i="42"/>
  <c r="M208" i="42"/>
  <c r="BA198" i="42"/>
  <c r="N137" i="42"/>
  <c r="P299" i="42"/>
  <c r="H325" i="42"/>
  <c r="P294" i="42"/>
  <c r="BB161" i="42"/>
  <c r="M140" i="42"/>
  <c r="AZ296" i="42"/>
  <c r="N369" i="42"/>
  <c r="H19" i="42"/>
  <c r="N324" i="42"/>
  <c r="H277" i="42"/>
  <c r="BA234" i="42"/>
  <c r="P56" i="42"/>
  <c r="B348" i="47"/>
  <c r="K64" i="42"/>
  <c r="BB277" i="42"/>
  <c r="F227" i="42"/>
  <c r="Q310" i="42"/>
  <c r="K372" i="42"/>
  <c r="K333" i="42"/>
  <c r="BA109" i="42"/>
  <c r="D207" i="42"/>
  <c r="M125" i="42"/>
  <c r="M26" i="42"/>
  <c r="BC107" i="42"/>
  <c r="Q291" i="42"/>
  <c r="N112" i="42"/>
  <c r="AZ316" i="42"/>
  <c r="Q214" i="42"/>
  <c r="L296" i="42"/>
  <c r="N142" i="42"/>
  <c r="BC44" i="42"/>
  <c r="H55" i="42"/>
  <c r="D196" i="42"/>
  <c r="L222" i="42"/>
  <c r="P167" i="42"/>
  <c r="G173" i="42"/>
  <c r="O337" i="42"/>
  <c r="BC130" i="42"/>
  <c r="K42" i="42"/>
  <c r="K73" i="42"/>
  <c r="K284" i="42"/>
  <c r="L166" i="42"/>
  <c r="BA62" i="42"/>
  <c r="Q279" i="42"/>
  <c r="AY95" i="42"/>
  <c r="L196" i="42"/>
  <c r="F18" i="42"/>
  <c r="K49" i="42"/>
  <c r="K355" i="42"/>
  <c r="BA30" i="42"/>
  <c r="P257" i="42"/>
  <c r="AY232" i="42"/>
  <c r="P293" i="42"/>
  <c r="H33" i="42"/>
  <c r="I151" i="42"/>
  <c r="I88" i="42"/>
  <c r="BB292" i="42"/>
  <c r="D23" i="42"/>
  <c r="AY125" i="42"/>
  <c r="D104" i="42"/>
  <c r="BC220" i="42"/>
  <c r="G96" i="42"/>
  <c r="Q334" i="42"/>
  <c r="F174" i="42"/>
  <c r="Q116" i="42"/>
  <c r="BB174" i="42"/>
  <c r="H301" i="42"/>
  <c r="BB368" i="42"/>
  <c r="Q154" i="42"/>
  <c r="AY48" i="42"/>
  <c r="P180" i="42"/>
  <c r="J144" i="42"/>
  <c r="BB365" i="42"/>
  <c r="K166" i="42"/>
  <c r="AY62" i="42"/>
  <c r="D254" i="42"/>
  <c r="F237" i="42"/>
  <c r="I373" i="42"/>
  <c r="G292" i="42"/>
  <c r="P267" i="42"/>
  <c r="M63" i="42"/>
  <c r="Q144" i="42"/>
  <c r="I12" i="42"/>
  <c r="N49" i="42"/>
  <c r="E336" i="47"/>
  <c r="H332" i="42"/>
  <c r="AZ133" i="42"/>
  <c r="N166" i="42"/>
  <c r="N339" i="42"/>
  <c r="BC37" i="42"/>
  <c r="M289" i="42"/>
  <c r="B251" i="47"/>
  <c r="P202" i="42"/>
  <c r="F56" i="42"/>
  <c r="Q372" i="42"/>
  <c r="K242" i="42"/>
  <c r="F309" i="47"/>
  <c r="AZ137" i="42"/>
  <c r="F136" i="47"/>
  <c r="K198" i="42"/>
  <c r="C326" i="47"/>
  <c r="K200" i="42"/>
  <c r="M252" i="42"/>
  <c r="F248" i="42"/>
  <c r="G137" i="42"/>
  <c r="M362" i="42"/>
  <c r="L112" i="42"/>
  <c r="AZ52" i="42"/>
  <c r="BC341" i="42"/>
  <c r="B52" i="47"/>
  <c r="C152" i="47"/>
  <c r="B25" i="47"/>
  <c r="I282" i="42"/>
  <c r="H72" i="42"/>
  <c r="B62" i="47"/>
  <c r="I32" i="42"/>
  <c r="I367" i="42"/>
  <c r="BA254" i="42"/>
  <c r="C351" i="47"/>
  <c r="D187" i="47"/>
  <c r="E104" i="47"/>
  <c r="D39" i="42"/>
  <c r="G197" i="42"/>
  <c r="I350" i="42"/>
  <c r="F139" i="42"/>
  <c r="O97" i="42"/>
  <c r="P193" i="42"/>
  <c r="B308" i="47"/>
  <c r="J97" i="42"/>
  <c r="H358" i="42"/>
  <c r="F222" i="42"/>
  <c r="BA260" i="42"/>
  <c r="G130" i="42"/>
  <c r="D164" i="42"/>
  <c r="K360" i="42"/>
  <c r="F126" i="42"/>
  <c r="BB38" i="42"/>
  <c r="J339" i="42"/>
  <c r="O273" i="42"/>
  <c r="BC175" i="42"/>
  <c r="O318" i="42"/>
  <c r="G53" i="42"/>
  <c r="O140" i="42"/>
  <c r="I311" i="42"/>
  <c r="E87" i="47"/>
  <c r="C272" i="47"/>
  <c r="F148" i="47"/>
  <c r="BC93" i="42"/>
  <c r="H77" i="42"/>
  <c r="K366" i="42"/>
  <c r="N322" i="42"/>
  <c r="F309" i="42"/>
  <c r="AZ234" i="42"/>
  <c r="O327" i="42"/>
  <c r="F226" i="47"/>
  <c r="C164" i="47"/>
  <c r="B117" i="47"/>
  <c r="D320" i="47"/>
  <c r="B172" i="47"/>
  <c r="J202" i="42"/>
  <c r="D123" i="42"/>
  <c r="Q152" i="42"/>
  <c r="O19" i="42"/>
  <c r="AY112" i="42"/>
  <c r="I365" i="42"/>
  <c r="AZ267" i="42"/>
  <c r="F64" i="42"/>
  <c r="F349" i="47"/>
  <c r="Q322" i="42"/>
  <c r="H107" i="42"/>
  <c r="P237" i="42"/>
  <c r="F292" i="42"/>
  <c r="D244" i="42"/>
  <c r="Q203" i="42"/>
  <c r="J23" i="42"/>
  <c r="B338" i="47"/>
  <c r="D234" i="42"/>
  <c r="H354" i="42"/>
  <c r="BA17" i="42"/>
  <c r="M256" i="42"/>
  <c r="B242" i="47"/>
  <c r="N86" i="42"/>
  <c r="F321" i="42"/>
  <c r="H179" i="42"/>
  <c r="M159" i="42"/>
  <c r="D258" i="47"/>
  <c r="N18" i="42"/>
  <c r="F250" i="42"/>
  <c r="J123" i="42"/>
  <c r="P170" i="42"/>
  <c r="AY203" i="42"/>
  <c r="N95" i="42"/>
  <c r="H142" i="42"/>
  <c r="F135" i="42"/>
  <c r="D27" i="47"/>
  <c r="G206" i="42"/>
  <c r="D313" i="42"/>
  <c r="K88" i="42"/>
  <c r="O173" i="42"/>
  <c r="BB43" i="42"/>
  <c r="L163" i="42"/>
  <c r="BB133" i="42"/>
  <c r="N154" i="42"/>
  <c r="AY73" i="42"/>
  <c r="N29" i="42"/>
  <c r="N171" i="42"/>
  <c r="BC248" i="42"/>
  <c r="G71" i="42"/>
  <c r="BA360" i="42"/>
  <c r="P105" i="42"/>
  <c r="AY294" i="42"/>
  <c r="O115" i="42"/>
  <c r="J99" i="42"/>
  <c r="AZ38" i="42"/>
  <c r="N358" i="42"/>
  <c r="F123" i="42"/>
  <c r="P246" i="42"/>
  <c r="BC334" i="42"/>
  <c r="H121" i="42"/>
  <c r="O168" i="42"/>
  <c r="K266" i="42"/>
  <c r="J270" i="42"/>
  <c r="F91" i="42"/>
  <c r="D270" i="42"/>
  <c r="BB55" i="42"/>
  <c r="P258" i="42"/>
  <c r="AY324" i="42"/>
  <c r="G250" i="42"/>
  <c r="P353" i="42"/>
  <c r="H147" i="42"/>
  <c r="M188" i="42"/>
  <c r="E242" i="47"/>
  <c r="D184" i="42"/>
  <c r="K292" i="42"/>
  <c r="Q238" i="42"/>
  <c r="F22" i="42"/>
  <c r="BA158" i="42"/>
  <c r="O251" i="42"/>
  <c r="AY70" i="42"/>
  <c r="D229" i="42"/>
  <c r="G328" i="42"/>
  <c r="I75" i="42"/>
  <c r="D247" i="42"/>
  <c r="F275" i="42"/>
  <c r="O71" i="42"/>
  <c r="H276" i="42"/>
  <c r="N331" i="42"/>
  <c r="G343" i="42"/>
  <c r="Q277" i="42"/>
  <c r="G105" i="42"/>
  <c r="L21" i="42"/>
  <c r="E274" i="47"/>
  <c r="J331" i="42"/>
  <c r="H48" i="42"/>
  <c r="D320" i="42"/>
  <c r="J313" i="42"/>
  <c r="C166" i="47"/>
  <c r="J368" i="42"/>
  <c r="AY33" i="42"/>
  <c r="J334" i="42"/>
  <c r="L152" i="42"/>
  <c r="F124" i="42"/>
  <c r="D175" i="42"/>
  <c r="I80" i="42"/>
  <c r="P345" i="42"/>
  <c r="L308" i="42"/>
  <c r="M219" i="42"/>
  <c r="BB338" i="42"/>
  <c r="Q54" i="42"/>
  <c r="AY40" i="42"/>
  <c r="P23" i="42"/>
  <c r="L79" i="42"/>
  <c r="BA64" i="42"/>
  <c r="Q211" i="42"/>
  <c r="L229" i="42"/>
  <c r="G209" i="42"/>
  <c r="BB92" i="42"/>
  <c r="I115" i="42"/>
  <c r="P13" i="42"/>
  <c r="L153" i="42"/>
  <c r="J157" i="42"/>
  <c r="BC142" i="42"/>
  <c r="K313" i="42"/>
  <c r="BA134" i="42"/>
  <c r="Q84" i="42"/>
  <c r="AY330" i="42"/>
  <c r="P341" i="42"/>
  <c r="Q131" i="42"/>
  <c r="BB315" i="42"/>
  <c r="O79" i="42"/>
  <c r="BB304" i="42"/>
  <c r="N306" i="42"/>
  <c r="AY228" i="42"/>
  <c r="J198" i="42"/>
  <c r="L303" i="42"/>
  <c r="D363" i="47"/>
  <c r="N191" i="42"/>
  <c r="G26" i="42"/>
  <c r="P151" i="42"/>
  <c r="BB23" i="42"/>
  <c r="K169" i="42"/>
  <c r="N315" i="42"/>
  <c r="H197" i="42"/>
  <c r="O207" i="42"/>
  <c r="F155" i="42"/>
  <c r="O177" i="42"/>
  <c r="BC118" i="42"/>
  <c r="F282" i="42"/>
  <c r="AZ121" i="42"/>
  <c r="J308" i="42"/>
  <c r="N93" i="42"/>
  <c r="L301" i="42"/>
  <c r="Q48" i="42"/>
  <c r="BC359" i="42"/>
  <c r="G104" i="42"/>
  <c r="AZ141" i="42"/>
  <c r="P62" i="42"/>
  <c r="M175" i="42"/>
  <c r="BA201" i="42"/>
  <c r="M232" i="42"/>
  <c r="AY109" i="42"/>
  <c r="Q83" i="42"/>
  <c r="I339" i="42"/>
  <c r="P63" i="42"/>
  <c r="BC59" i="42"/>
  <c r="L272" i="42"/>
  <c r="L351" i="42"/>
  <c r="G203" i="42"/>
  <c r="J83" i="42"/>
  <c r="K309" i="42"/>
  <c r="I231" i="42"/>
  <c r="D19" i="47"/>
  <c r="H49" i="42"/>
  <c r="AZ127" i="42"/>
  <c r="M168" i="42"/>
  <c r="BC43" i="42"/>
  <c r="I273" i="42"/>
  <c r="AZ86" i="42"/>
  <c r="P97" i="42"/>
  <c r="G13" i="42"/>
  <c r="J55" i="42"/>
  <c r="F45" i="42"/>
  <c r="N46" i="42"/>
  <c r="P31" i="42"/>
  <c r="F52" i="42"/>
  <c r="J281" i="42"/>
  <c r="BC17" i="42"/>
  <c r="N139" i="42"/>
  <c r="H361" i="42"/>
  <c r="P311" i="42"/>
  <c r="O67" i="42"/>
  <c r="K274" i="42"/>
  <c r="F237" i="47"/>
  <c r="B289" i="47"/>
  <c r="BB235" i="42"/>
  <c r="E255" i="47"/>
  <c r="D121" i="42"/>
  <c r="BB329" i="42"/>
  <c r="D321" i="42"/>
  <c r="K37" i="42"/>
  <c r="H23" i="42"/>
  <c r="Q167" i="42"/>
  <c r="F47" i="47"/>
  <c r="AY104" i="42"/>
  <c r="BB138" i="42"/>
  <c r="B263" i="47"/>
  <c r="E134" i="47"/>
  <c r="F198" i="42"/>
  <c r="P231" i="42"/>
  <c r="BB313" i="42"/>
  <c r="D318" i="42"/>
  <c r="K19" i="42"/>
  <c r="BB173" i="42"/>
  <c r="F152" i="42"/>
  <c r="AZ240" i="42"/>
  <c r="AY84" i="42"/>
  <c r="L209" i="42"/>
  <c r="P60" i="42"/>
  <c r="D369" i="47"/>
  <c r="L320" i="42"/>
  <c r="BB145" i="42"/>
  <c r="M359" i="42"/>
  <c r="BB85" i="42"/>
  <c r="J330" i="42"/>
  <c r="AZ221" i="42"/>
  <c r="N116" i="42"/>
  <c r="I357" i="42"/>
  <c r="Q44" i="42"/>
  <c r="M25" i="42"/>
  <c r="BA284" i="42"/>
  <c r="J19" i="42"/>
  <c r="I343" i="42"/>
  <c r="G31" i="42"/>
  <c r="P83" i="42"/>
  <c r="C233" i="47"/>
  <c r="N213" i="42"/>
  <c r="J108" i="42"/>
  <c r="I345" i="42"/>
  <c r="BA29" i="42"/>
  <c r="E102" i="47"/>
  <c r="D175" i="47"/>
  <c r="B368" i="47"/>
  <c r="E96" i="47"/>
  <c r="AY274" i="42"/>
  <c r="AZ368" i="42"/>
  <c r="BC375" i="42"/>
  <c r="K251" i="42"/>
  <c r="BA63" i="42"/>
  <c r="K143" i="42"/>
  <c r="E258" i="47"/>
  <c r="D222" i="47"/>
  <c r="B290" i="47"/>
  <c r="B303" i="47"/>
  <c r="D156" i="47"/>
  <c r="D124" i="42"/>
  <c r="N302" i="42"/>
  <c r="D154" i="42"/>
  <c r="H156" i="42"/>
  <c r="J142" i="42"/>
  <c r="K321" i="42"/>
  <c r="C69" i="47"/>
  <c r="AZ16" i="42"/>
  <c r="C189" i="47"/>
  <c r="G348" i="42"/>
  <c r="G50" i="42"/>
  <c r="D88" i="42"/>
  <c r="AY368" i="42"/>
  <c r="O365" i="42"/>
  <c r="L311" i="42"/>
  <c r="D251" i="42"/>
  <c r="BB222" i="42"/>
  <c r="F60" i="42"/>
  <c r="Q67" i="42"/>
  <c r="I277" i="42"/>
  <c r="J324" i="42"/>
  <c r="BC85" i="42"/>
  <c r="G59" i="42"/>
  <c r="AZ177" i="42"/>
  <c r="Q223" i="42"/>
  <c r="N198" i="42"/>
  <c r="F130" i="42"/>
  <c r="I193" i="42"/>
  <c r="J127" i="42"/>
  <c r="F188" i="42"/>
  <c r="O211" i="42"/>
  <c r="BC30" i="42"/>
  <c r="J335" i="42"/>
  <c r="BA50" i="42"/>
  <c r="M230" i="42"/>
  <c r="K178" i="42"/>
  <c r="P285" i="42"/>
  <c r="Q49" i="42"/>
  <c r="BB308" i="42"/>
  <c r="D167" i="42"/>
  <c r="AY107" i="42"/>
  <c r="J359" i="42"/>
  <c r="L53" i="42"/>
  <c r="J68" i="42"/>
  <c r="BC68" i="42"/>
  <c r="H32" i="42"/>
  <c r="M253" i="42"/>
  <c r="C322" i="47"/>
  <c r="P125" i="42"/>
  <c r="G134" i="42"/>
  <c r="O275" i="42"/>
  <c r="L223" i="42"/>
  <c r="K120" i="42"/>
  <c r="D269" i="42"/>
  <c r="BC97" i="42"/>
  <c r="F233" i="42"/>
  <c r="BA369" i="42"/>
  <c r="L78" i="42"/>
  <c r="C115" i="47"/>
  <c r="L217" i="42"/>
  <c r="M44" i="42"/>
  <c r="BB247" i="42"/>
  <c r="H187" i="42"/>
  <c r="BA364" i="42"/>
  <c r="P310" i="42"/>
  <c r="G312" i="42"/>
  <c r="O94" i="42"/>
  <c r="J259" i="42"/>
  <c r="BC67" i="42"/>
  <c r="K29" i="42"/>
  <c r="AZ351" i="42"/>
  <c r="J336" i="42"/>
  <c r="I314" i="42"/>
  <c r="Q332" i="42"/>
  <c r="D200" i="42"/>
  <c r="G302" i="42"/>
  <c r="P243" i="42"/>
  <c r="H99" i="42"/>
  <c r="J293" i="42"/>
  <c r="BC240" i="42"/>
  <c r="H223" i="42"/>
  <c r="AZ215" i="42"/>
  <c r="Q343" i="42"/>
  <c r="J348" i="42"/>
  <c r="F329" i="42"/>
  <c r="I84" i="42"/>
  <c r="BA25" i="42"/>
  <c r="J37" i="42"/>
  <c r="BC284" i="42"/>
  <c r="K94" i="42"/>
  <c r="AZ311" i="42"/>
  <c r="J76" i="42"/>
  <c r="L11" i="42"/>
  <c r="F186" i="42"/>
  <c r="Q146" i="42"/>
  <c r="I187" i="42"/>
  <c r="D341" i="42"/>
  <c r="F248" i="47"/>
  <c r="J160" i="42"/>
  <c r="BC195" i="42"/>
  <c r="K56" i="42"/>
  <c r="C297" i="47"/>
  <c r="P329" i="42"/>
  <c r="D89" i="42"/>
  <c r="L314" i="42"/>
  <c r="M121" i="42"/>
  <c r="D326" i="47"/>
  <c r="J132" i="42"/>
  <c r="H148" i="42"/>
  <c r="P109" i="42"/>
  <c r="BC158" i="42"/>
  <c r="L91" i="42"/>
  <c r="J133" i="42"/>
  <c r="G124" i="42"/>
  <c r="L80" i="42"/>
  <c r="D205" i="47"/>
  <c r="O249" i="42"/>
  <c r="B166" i="47"/>
  <c r="Q137" i="42"/>
  <c r="P255" i="42"/>
  <c r="BB248" i="42"/>
  <c r="G123" i="42"/>
  <c r="AY141" i="42"/>
  <c r="O38" i="42"/>
  <c r="K100" i="42"/>
  <c r="P82" i="42"/>
  <c r="F74" i="47"/>
  <c r="K90" i="42"/>
  <c r="J187" i="42"/>
  <c r="G270" i="42"/>
  <c r="N281" i="42"/>
  <c r="K144" i="42"/>
  <c r="J256" i="42"/>
  <c r="BC106" i="42"/>
  <c r="F353" i="42"/>
  <c r="M91" i="42"/>
  <c r="F256" i="42"/>
  <c r="N214" i="42"/>
  <c r="BB141" i="42"/>
  <c r="M197" i="42"/>
  <c r="AY345" i="42"/>
  <c r="D138" i="42"/>
  <c r="D29" i="42"/>
  <c r="BC128" i="42"/>
  <c r="L44" i="42"/>
  <c r="AZ99" i="42"/>
  <c r="J135" i="42"/>
  <c r="B76" i="47"/>
  <c r="J323" i="42"/>
  <c r="L169" i="42"/>
  <c r="D71" i="42"/>
  <c r="F110" i="42"/>
  <c r="BA60" i="42"/>
  <c r="P32" i="42"/>
  <c r="F338" i="42"/>
  <c r="M158" i="42"/>
  <c r="G342" i="42"/>
  <c r="L93" i="42"/>
  <c r="D329" i="42"/>
  <c r="G184" i="42"/>
  <c r="N330" i="42"/>
  <c r="BC370" i="42"/>
  <c r="F204" i="42"/>
  <c r="BA315" i="42"/>
  <c r="M167" i="42"/>
  <c r="M113" i="42"/>
  <c r="F23" i="42"/>
  <c r="K65" i="42"/>
  <c r="E90" i="47"/>
  <c r="O132" i="42"/>
  <c r="AZ197" i="42"/>
  <c r="P26" i="42"/>
  <c r="O164" i="42"/>
  <c r="AZ338" i="42"/>
  <c r="P107" i="42"/>
  <c r="O304" i="42"/>
  <c r="AZ29" i="42"/>
  <c r="N131" i="42"/>
  <c r="L374" i="42"/>
  <c r="I250" i="42"/>
  <c r="BA101" i="42"/>
  <c r="G246" i="42"/>
  <c r="J304" i="42"/>
  <c r="H291" i="42"/>
  <c r="O294" i="42"/>
  <c r="BB96" i="42"/>
  <c r="D330" i="42"/>
  <c r="H259" i="42"/>
  <c r="I178" i="42"/>
  <c r="H34" i="42"/>
  <c r="K285" i="42"/>
  <c r="D284" i="42"/>
  <c r="B103" i="47"/>
  <c r="F35" i="47"/>
  <c r="D348" i="47"/>
  <c r="B61" i="47"/>
  <c r="B217" i="47"/>
  <c r="J129" i="42"/>
  <c r="I374" i="42"/>
  <c r="F366" i="42"/>
  <c r="L105" i="42"/>
  <c r="D344" i="47"/>
  <c r="O199" i="42"/>
  <c r="B372" i="47"/>
  <c r="E42" i="47"/>
  <c r="AY266" i="42"/>
  <c r="B340" i="47"/>
  <c r="F81" i="47"/>
  <c r="BC363" i="42"/>
  <c r="H190" i="42"/>
  <c r="Q89" i="42"/>
  <c r="D197" i="42"/>
  <c r="AY76" i="42"/>
  <c r="K260" i="42"/>
  <c r="BA209" i="42"/>
  <c r="H86" i="42"/>
  <c r="B36" i="47"/>
  <c r="M325" i="42"/>
  <c r="F150" i="42"/>
  <c r="P103" i="42"/>
  <c r="D195" i="42"/>
  <c r="P222" i="42"/>
  <c r="D54" i="42"/>
  <c r="AY264" i="42"/>
  <c r="Q73" i="42"/>
  <c r="I112" i="42"/>
  <c r="F327" i="42"/>
  <c r="E306" i="47"/>
  <c r="L327" i="42"/>
  <c r="J163" i="42"/>
  <c r="H98" i="42"/>
  <c r="Q251" i="42"/>
  <c r="BB249" i="42"/>
  <c r="O276" i="42"/>
  <c r="P346" i="42"/>
  <c r="G283" i="42"/>
  <c r="L224" i="42"/>
  <c r="D115" i="42"/>
  <c r="O341" i="42"/>
  <c r="F81" i="42"/>
  <c r="AZ375" i="42"/>
  <c r="D351" i="47"/>
  <c r="B204" i="47"/>
  <c r="E169" i="47"/>
  <c r="N370" i="42"/>
  <c r="L264" i="42"/>
  <c r="B262" i="47"/>
  <c r="B355" i="47"/>
  <c r="I167" i="42"/>
  <c r="D197" i="47"/>
  <c r="AZ187" i="42"/>
  <c r="D337" i="47"/>
  <c r="C148" i="47"/>
  <c r="C146" i="47"/>
  <c r="I77" i="42"/>
  <c r="M298" i="42"/>
  <c r="C327" i="47"/>
  <c r="M126" i="42"/>
  <c r="P29" i="42"/>
  <c r="O248" i="42"/>
  <c r="C50" i="47"/>
  <c r="D362" i="47"/>
  <c r="F58" i="47"/>
  <c r="C119" i="47"/>
  <c r="D50" i="42"/>
  <c r="AZ159" i="42"/>
  <c r="M184" i="42"/>
  <c r="L72" i="42"/>
  <c r="BB335" i="42"/>
  <c r="B237" i="47"/>
  <c r="P12" i="42"/>
  <c r="O330" i="42"/>
  <c r="H315" i="42"/>
  <c r="L193" i="42"/>
  <c r="AZ113" i="42"/>
  <c r="Q356" i="42"/>
  <c r="AZ357" i="42"/>
  <c r="P305" i="42"/>
  <c r="M365" i="42"/>
  <c r="O59" i="42"/>
  <c r="H90" i="42"/>
  <c r="AZ213" i="42"/>
  <c r="Q142" i="42"/>
  <c r="Q114" i="42"/>
  <c r="F214" i="47"/>
  <c r="D302" i="42"/>
  <c r="AY304" i="42"/>
  <c r="D223" i="42"/>
  <c r="K121" i="42"/>
  <c r="H217" i="42"/>
  <c r="E310" i="47"/>
  <c r="I236" i="42"/>
  <c r="J307" i="42"/>
  <c r="L203" i="42"/>
  <c r="Q140" i="42"/>
  <c r="BC247" i="42"/>
  <c r="H85" i="42"/>
  <c r="D356" i="47"/>
  <c r="Q69" i="42"/>
  <c r="Q313" i="42"/>
  <c r="I67" i="42"/>
  <c r="O36" i="42"/>
  <c r="I334" i="42"/>
  <c r="L228" i="42"/>
  <c r="BA335" i="42"/>
  <c r="N74" i="42"/>
  <c r="K124" i="42"/>
  <c r="BC24" i="42"/>
  <c r="G368" i="42"/>
  <c r="AZ259" i="42"/>
  <c r="P143" i="42"/>
  <c r="G371" i="42"/>
  <c r="K352" i="42"/>
  <c r="L205" i="42"/>
  <c r="K289" i="42"/>
  <c r="P65" i="42"/>
  <c r="G114" i="42"/>
  <c r="O265" i="42"/>
  <c r="H182" i="42"/>
  <c r="I142" i="42"/>
  <c r="BB319" i="42"/>
  <c r="K368" i="42"/>
  <c r="N297" i="42"/>
  <c r="AZ89" i="42"/>
  <c r="Q145" i="42"/>
  <c r="K236" i="42"/>
  <c r="F114" i="42"/>
  <c r="BB245" i="42"/>
  <c r="P370" i="42"/>
  <c r="Q151" i="42"/>
  <c r="BC36" i="42"/>
  <c r="F311" i="42"/>
  <c r="C332" i="47"/>
  <c r="Q46" i="42"/>
  <c r="AZ96" i="42"/>
  <c r="P245" i="42"/>
  <c r="M328" i="42"/>
  <c r="P161" i="42"/>
  <c r="G294" i="42"/>
  <c r="BA189" i="42"/>
  <c r="N119" i="42"/>
  <c r="L268" i="42"/>
  <c r="M123" i="42"/>
  <c r="AY24" i="42"/>
  <c r="D101" i="42"/>
  <c r="F333" i="42"/>
  <c r="I222" i="42"/>
  <c r="BA12" i="42"/>
  <c r="P209" i="42"/>
  <c r="P274" i="42"/>
  <c r="BC266" i="42"/>
  <c r="I348" i="42"/>
  <c r="AZ153" i="42"/>
  <c r="Q347" i="42"/>
  <c r="AY306" i="42"/>
  <c r="O161" i="42"/>
  <c r="I259" i="42"/>
  <c r="O287" i="42"/>
  <c r="O17" i="42"/>
  <c r="AZ323" i="42"/>
  <c r="N180" i="42"/>
  <c r="F216" i="42"/>
  <c r="H170" i="42"/>
  <c r="BB20" i="42"/>
  <c r="M350" i="42"/>
  <c r="M37" i="42"/>
  <c r="G84" i="42"/>
  <c r="G93" i="42"/>
  <c r="D192" i="47"/>
  <c r="M367" i="42"/>
  <c r="F38" i="42"/>
  <c r="N328" i="42"/>
  <c r="D41" i="42"/>
  <c r="H59" i="42"/>
  <c r="Q177" i="42"/>
  <c r="F345" i="42"/>
  <c r="M30" i="42"/>
  <c r="H267" i="42"/>
  <c r="H352" i="42"/>
  <c r="BA188" i="42"/>
  <c r="L162" i="42"/>
  <c r="L32" i="42"/>
  <c r="M268" i="42"/>
  <c r="F236" i="42"/>
  <c r="BA283" i="42"/>
  <c r="F318" i="42"/>
  <c r="BB81" i="42"/>
  <c r="G339" i="42"/>
  <c r="D362" i="42"/>
  <c r="G76" i="42"/>
  <c r="M64" i="42"/>
  <c r="AZ155" i="42"/>
  <c r="P89" i="42"/>
  <c r="H25" i="42"/>
  <c r="L184" i="42"/>
  <c r="BC303" i="42"/>
  <c r="Q245" i="42"/>
  <c r="M185" i="42"/>
  <c r="AY204" i="42"/>
  <c r="D162" i="42"/>
  <c r="I145" i="42"/>
  <c r="J59" i="42"/>
  <c r="BB180" i="42"/>
  <c r="I156" i="42"/>
  <c r="D87" i="42"/>
  <c r="G187" i="42"/>
  <c r="Q348" i="42"/>
  <c r="G282" i="42"/>
  <c r="O90" i="42"/>
  <c r="BB266" i="42"/>
  <c r="L316" i="42"/>
  <c r="N132" i="42"/>
  <c r="F47" i="42"/>
  <c r="H269" i="42"/>
  <c r="BA197" i="42"/>
  <c r="D252" i="42"/>
  <c r="G245" i="42"/>
  <c r="N216" i="42"/>
  <c r="I161" i="42"/>
  <c r="N205" i="42"/>
  <c r="Q121" i="42"/>
  <c r="AZ181" i="42"/>
  <c r="Q185" i="42"/>
  <c r="AY93" i="42"/>
  <c r="M264" i="42"/>
  <c r="F331" i="47"/>
  <c r="L284" i="42"/>
  <c r="L161" i="42"/>
  <c r="D235" i="42"/>
  <c r="G95" i="42"/>
  <c r="M165" i="42"/>
  <c r="BC238" i="42"/>
  <c r="L206" i="42"/>
  <c r="BA359" i="42"/>
  <c r="O209" i="42"/>
  <c r="I34" i="42"/>
  <c r="P251" i="42"/>
  <c r="I306" i="42"/>
  <c r="BB126" i="42"/>
  <c r="D219" i="42"/>
  <c r="AY211" i="42"/>
  <c r="Q186" i="42"/>
  <c r="Q128" i="42"/>
  <c r="BB177" i="42"/>
  <c r="L324" i="42"/>
  <c r="D151" i="42"/>
  <c r="H336" i="42"/>
  <c r="BA266" i="42"/>
  <c r="F364" i="47"/>
  <c r="E64" i="47"/>
  <c r="C199" i="47"/>
  <c r="F121" i="47"/>
  <c r="F32" i="47"/>
  <c r="BA92" i="42"/>
  <c r="K172" i="42"/>
  <c r="H284" i="42"/>
  <c r="E263" i="47"/>
  <c r="G354" i="42"/>
  <c r="B235" i="47"/>
  <c r="F298" i="47"/>
  <c r="C255" i="47"/>
  <c r="D366" i="47"/>
  <c r="E353" i="47"/>
  <c r="K343" i="42"/>
  <c r="N161" i="42"/>
  <c r="D27" i="42"/>
  <c r="H131" i="42"/>
  <c r="P313" i="42"/>
  <c r="L36" i="42"/>
  <c r="D80" i="47"/>
  <c r="AZ339" i="42"/>
  <c r="B129" i="47"/>
  <c r="M100" i="42"/>
  <c r="L347" i="42"/>
  <c r="N347" i="42"/>
  <c r="BB257" i="42"/>
  <c r="J264" i="42"/>
  <c r="Q173" i="42"/>
  <c r="F183" i="47"/>
  <c r="H250" i="42"/>
  <c r="C370" i="47"/>
  <c r="D57" i="42"/>
  <c r="M340" i="42"/>
  <c r="G298" i="42"/>
  <c r="H258" i="42"/>
  <c r="BA97" i="42"/>
  <c r="P176" i="42"/>
  <c r="H146" i="42"/>
  <c r="M69" i="42"/>
  <c r="N110" i="42"/>
  <c r="P227" i="42"/>
  <c r="K16" i="42"/>
  <c r="P42" i="42"/>
  <c r="N361" i="42"/>
  <c r="BA87" i="42"/>
  <c r="I264" i="42"/>
  <c r="AZ217" i="42"/>
  <c r="B34" i="47"/>
  <c r="F346" i="47"/>
  <c r="AZ87" i="42"/>
  <c r="N62" i="42"/>
  <c r="BB157" i="42"/>
  <c r="L283" i="42"/>
  <c r="G293" i="42"/>
  <c r="BB88" i="42"/>
  <c r="I95" i="42"/>
  <c r="AZ145" i="42"/>
  <c r="C259" i="47"/>
  <c r="F235" i="47"/>
  <c r="AZ42" i="42"/>
  <c r="Q263" i="42"/>
  <c r="H299" i="42"/>
  <c r="H281" i="42"/>
  <c r="N232" i="42"/>
  <c r="H61" i="42"/>
  <c r="BB171" i="42"/>
  <c r="D51" i="47"/>
  <c r="C335" i="47"/>
  <c r="N113" i="42"/>
  <c r="P85" i="42"/>
  <c r="BC153" i="42"/>
  <c r="Q82" i="42"/>
  <c r="BC45" i="42"/>
  <c r="N304" i="42"/>
  <c r="B23" i="47"/>
  <c r="O308" i="42"/>
  <c r="D312" i="42"/>
  <c r="AZ300" i="42"/>
  <c r="D92" i="42"/>
  <c r="M145" i="42"/>
  <c r="P76" i="42"/>
  <c r="BC230" i="42"/>
  <c r="K294" i="42"/>
  <c r="O313" i="42"/>
  <c r="F102" i="42"/>
  <c r="P368" i="42"/>
  <c r="F171" i="42"/>
  <c r="P205" i="42"/>
  <c r="N118" i="42"/>
  <c r="AY302" i="42"/>
  <c r="Q139" i="42"/>
  <c r="BC225" i="42"/>
  <c r="K99" i="42"/>
  <c r="AZ132" i="42"/>
  <c r="D119" i="42"/>
  <c r="P347" i="42"/>
  <c r="K328" i="42"/>
  <c r="F342" i="42"/>
  <c r="D374" i="47"/>
  <c r="O110" i="42"/>
  <c r="AY135" i="42"/>
  <c r="P172" i="42"/>
  <c r="F240" i="42"/>
  <c r="P91" i="42"/>
  <c r="N41" i="42"/>
  <c r="AZ315" i="42"/>
  <c r="M242" i="42"/>
  <c r="C340" i="47"/>
  <c r="J236" i="42"/>
  <c r="H215" i="42"/>
  <c r="J219" i="42"/>
  <c r="P352" i="42"/>
  <c r="K145" i="42"/>
  <c r="N287" i="42"/>
  <c r="F121" i="42"/>
  <c r="K212" i="42"/>
  <c r="D215" i="47"/>
  <c r="H289" i="42"/>
  <c r="J39" i="42"/>
  <c r="L142" i="42"/>
  <c r="O16" i="42"/>
  <c r="BB131" i="42"/>
  <c r="H251" i="42"/>
  <c r="D76" i="47"/>
  <c r="N197" i="42"/>
  <c r="H108" i="42"/>
  <c r="D135" i="42"/>
  <c r="J252" i="42"/>
  <c r="F54" i="47"/>
  <c r="I45" i="42"/>
  <c r="BA314" i="42"/>
  <c r="P59" i="42"/>
  <c r="H319" i="42"/>
  <c r="P212" i="42"/>
  <c r="N19" i="42"/>
  <c r="AZ342" i="42"/>
  <c r="N298" i="42"/>
  <c r="K272" i="42"/>
  <c r="Q126" i="42"/>
  <c r="BC62" i="42"/>
  <c r="L181" i="42"/>
  <c r="O120" i="42"/>
  <c r="G325" i="42"/>
  <c r="K126" i="42"/>
  <c r="L139" i="42"/>
  <c r="I227" i="42"/>
  <c r="BB258" i="42"/>
  <c r="N188" i="42"/>
  <c r="F252" i="47"/>
  <c r="Q72" i="42"/>
  <c r="D308" i="47"/>
  <c r="P120" i="42"/>
  <c r="M283" i="42"/>
  <c r="O230" i="42"/>
  <c r="J34" i="42"/>
  <c r="G191" i="42"/>
  <c r="N16" i="42"/>
  <c r="F14" i="42"/>
  <c r="O44" i="42"/>
  <c r="BB213" i="42"/>
  <c r="G151" i="42"/>
  <c r="O253" i="42"/>
  <c r="L227" i="42"/>
  <c r="N138" i="42"/>
  <c r="BC308" i="42"/>
  <c r="F304" i="42"/>
  <c r="D283" i="47"/>
  <c r="P337" i="42"/>
  <c r="B224" i="47"/>
  <c r="N183" i="42"/>
  <c r="Q133" i="42"/>
  <c r="AZ263" i="42"/>
  <c r="M195" i="42"/>
  <c r="H60" i="42"/>
  <c r="H227" i="42"/>
  <c r="BA336" i="42"/>
  <c r="D46" i="42"/>
  <c r="P254" i="42"/>
  <c r="BC91" i="42"/>
  <c r="P179" i="42"/>
  <c r="BB238" i="42"/>
  <c r="J31" i="42"/>
  <c r="AZ13" i="42"/>
  <c r="J114" i="42"/>
  <c r="K203" i="42"/>
  <c r="J311" i="42"/>
  <c r="F347" i="42"/>
  <c r="BA45" i="42"/>
  <c r="O321" i="42"/>
  <c r="F148" i="42"/>
  <c r="Q30" i="42"/>
  <c r="L70" i="42"/>
  <c r="P20" i="42"/>
  <c r="H138" i="42"/>
  <c r="BA157" i="42"/>
  <c r="D72" i="42"/>
  <c r="H15" i="42"/>
  <c r="K206" i="42"/>
  <c r="BA26" i="42"/>
  <c r="N310" i="42"/>
  <c r="P259" i="42"/>
  <c r="F55" i="42"/>
  <c r="J245" i="42"/>
  <c r="F169" i="47"/>
  <c r="Q29" i="42"/>
  <c r="BA351" i="42"/>
  <c r="D161" i="42"/>
  <c r="AY196" i="42"/>
  <c r="Q28" i="42"/>
  <c r="G226" i="42"/>
  <c r="BA353" i="42"/>
  <c r="F97" i="42"/>
  <c r="BB78" i="42"/>
  <c r="N311" i="42"/>
  <c r="AY214" i="42"/>
  <c r="J17" i="42"/>
  <c r="Q219" i="42"/>
  <c r="AZ337" i="42"/>
  <c r="M130" i="42"/>
  <c r="K250" i="42"/>
  <c r="G122" i="42"/>
  <c r="BB49" i="42"/>
  <c r="G207" i="42"/>
  <c r="D246" i="42"/>
  <c r="H132" i="42"/>
  <c r="P16" i="42"/>
  <c r="BC193" i="42"/>
  <c r="P362" i="42"/>
  <c r="BB84" i="42"/>
  <c r="M320" i="42"/>
  <c r="AY221" i="42"/>
  <c r="J253" i="42"/>
  <c r="I68" i="42"/>
  <c r="D47" i="42"/>
  <c r="F231" i="42"/>
  <c r="J49" i="42"/>
  <c r="AY59" i="42"/>
  <c r="P80" i="42"/>
  <c r="L232" i="42"/>
  <c r="K230" i="42"/>
  <c r="BB360" i="42"/>
  <c r="G256" i="42"/>
  <c r="J249" i="42"/>
  <c r="K258" i="42"/>
  <c r="Q97" i="42"/>
  <c r="F174" i="47"/>
  <c r="P275" i="42"/>
  <c r="Q95" i="42"/>
  <c r="L304" i="42"/>
  <c r="G308" i="42"/>
  <c r="O122" i="42"/>
  <c r="N289" i="42"/>
  <c r="K20" i="42"/>
  <c r="D112" i="47"/>
  <c r="E103" i="47"/>
  <c r="D129" i="47"/>
  <c r="C127" i="47"/>
  <c r="I120" i="42"/>
  <c r="M59" i="42"/>
  <c r="C168" i="47"/>
  <c r="AY45" i="42"/>
  <c r="G267" i="42"/>
  <c r="E239" i="47"/>
  <c r="BA133" i="42"/>
  <c r="E356" i="47"/>
  <c r="D207" i="47"/>
  <c r="C96" i="47"/>
  <c r="C190" i="47"/>
  <c r="AZ179" i="42"/>
  <c r="BA185" i="42"/>
  <c r="M199" i="42"/>
  <c r="N225" i="42"/>
  <c r="F120" i="42"/>
  <c r="AZ331" i="42"/>
  <c r="E324" i="47"/>
  <c r="C130" i="47"/>
  <c r="D226" i="47"/>
  <c r="J169" i="42"/>
  <c r="BA259" i="42"/>
  <c r="AY185" i="42"/>
  <c r="L322" i="42"/>
  <c r="AY254" i="42"/>
  <c r="O178" i="42"/>
  <c r="AY310" i="42"/>
  <c r="N257" i="42"/>
  <c r="G150" i="42"/>
  <c r="Q143" i="42"/>
  <c r="D261" i="42"/>
  <c r="C90" i="47"/>
  <c r="O34" i="42"/>
  <c r="I355" i="42"/>
  <c r="K225" i="42"/>
  <c r="BB215" i="42"/>
  <c r="J197" i="42"/>
  <c r="F167" i="42"/>
  <c r="L253" i="42"/>
  <c r="AZ165" i="42"/>
  <c r="I192" i="42"/>
  <c r="J105" i="42"/>
  <c r="E280" i="47"/>
  <c r="D306" i="47"/>
  <c r="K282" i="42"/>
  <c r="B278" i="47"/>
  <c r="F158" i="47"/>
  <c r="BC329" i="42"/>
  <c r="M120" i="42"/>
  <c r="P98" i="42"/>
  <c r="O186" i="42"/>
  <c r="AY143" i="42"/>
  <c r="H166" i="42"/>
  <c r="BA261" i="42"/>
  <c r="L279" i="42"/>
  <c r="L288" i="42"/>
  <c r="O78" i="42"/>
  <c r="G27" i="42"/>
  <c r="J319" i="42"/>
  <c r="BB243" i="42"/>
  <c r="O368" i="42"/>
  <c r="AY12" i="42"/>
  <c r="M213" i="42"/>
  <c r="G356" i="42"/>
  <c r="Q21" i="42"/>
  <c r="L144" i="42"/>
  <c r="BA246" i="42"/>
  <c r="O215" i="42"/>
  <c r="H292" i="42"/>
  <c r="M31" i="42"/>
  <c r="BB364" i="42"/>
  <c r="K35" i="42"/>
  <c r="O134" i="42"/>
  <c r="L323" i="42"/>
  <c r="J246" i="42"/>
  <c r="BC176" i="42"/>
  <c r="J196" i="42"/>
  <c r="BC278" i="42"/>
  <c r="F104" i="42"/>
  <c r="J358" i="42"/>
  <c r="G94" i="42"/>
  <c r="M53" i="42"/>
  <c r="BB193" i="42"/>
  <c r="Q11" i="42"/>
  <c r="C296" i="47"/>
  <c r="K85" i="42"/>
  <c r="M148" i="42"/>
  <c r="Q149" i="42"/>
  <c r="F359" i="42"/>
  <c r="D201" i="47"/>
  <c r="J221" i="42"/>
  <c r="B343" i="47"/>
  <c r="N202" i="42"/>
  <c r="G12" i="42"/>
  <c r="D335" i="42"/>
  <c r="J346" i="42"/>
  <c r="I177" i="42"/>
  <c r="D174" i="42"/>
  <c r="AY206" i="42"/>
  <c r="O292" i="42"/>
  <c r="K350" i="42"/>
  <c r="M346" i="42"/>
  <c r="M81" i="42"/>
  <c r="L158" i="42"/>
  <c r="D18" i="42"/>
  <c r="BC251" i="42"/>
  <c r="J20" i="42"/>
  <c r="BA179" i="42"/>
  <c r="M348" i="42"/>
  <c r="AY220" i="42"/>
  <c r="N357" i="42"/>
  <c r="J194" i="42"/>
  <c r="BB103" i="42"/>
  <c r="H171" i="42"/>
  <c r="AZ248" i="42"/>
  <c r="M88" i="42"/>
  <c r="I128" i="42"/>
  <c r="P323" i="42"/>
  <c r="AY18" i="42"/>
  <c r="P95" i="42"/>
  <c r="H30" i="42"/>
  <c r="I179" i="42"/>
  <c r="M231" i="42"/>
  <c r="L26" i="42"/>
  <c r="Q102" i="42"/>
  <c r="BB252" i="42"/>
  <c r="Q174" i="42"/>
  <c r="AZ291" i="42"/>
  <c r="L164" i="42"/>
  <c r="AY353" i="42"/>
  <c r="N54" i="42"/>
  <c r="K59" i="42"/>
  <c r="E147" i="47"/>
  <c r="I173" i="42"/>
  <c r="AZ358" i="42"/>
  <c r="O221" i="42"/>
  <c r="F312" i="42"/>
  <c r="O183" i="42"/>
  <c r="N104" i="42"/>
  <c r="H181" i="42"/>
  <c r="P349" i="42"/>
  <c r="BC115" i="42"/>
  <c r="G264" i="42"/>
  <c r="BA53" i="42"/>
  <c r="Q55" i="42"/>
  <c r="K232" i="42"/>
  <c r="Q369" i="42"/>
  <c r="Q374" i="42"/>
  <c r="AZ34" i="42"/>
  <c r="N373" i="42"/>
  <c r="AY38" i="42"/>
  <c r="D32" i="42"/>
  <c r="BC245" i="42"/>
  <c r="I313" i="42"/>
  <c r="M92" i="42"/>
  <c r="K195" i="42"/>
  <c r="P201" i="42"/>
  <c r="H84" i="42"/>
  <c r="N179" i="42"/>
  <c r="BB183" i="42"/>
  <c r="P110" i="42"/>
  <c r="P343" i="42"/>
  <c r="M143" i="42"/>
  <c r="D355" i="42"/>
  <c r="K128" i="42"/>
  <c r="G235" i="42"/>
  <c r="D77" i="47"/>
  <c r="P369" i="42"/>
  <c r="L197" i="42"/>
  <c r="D157" i="42"/>
  <c r="O216" i="42"/>
  <c r="BB167" i="42"/>
  <c r="P252" i="42"/>
  <c r="AY256" i="42"/>
  <c r="O349" i="42"/>
  <c r="H118" i="42"/>
  <c r="Q86" i="42"/>
  <c r="BC294" i="42"/>
  <c r="F324" i="42"/>
  <c r="J342" i="42"/>
  <c r="H248" i="42"/>
  <c r="N121" i="42"/>
  <c r="F141" i="42"/>
  <c r="J205" i="42"/>
  <c r="BC342" i="42"/>
  <c r="H115" i="42"/>
  <c r="O197" i="42"/>
  <c r="BC277" i="42"/>
  <c r="I54" i="42"/>
  <c r="E302" i="47"/>
  <c r="M225" i="42"/>
  <c r="AY21" i="42"/>
  <c r="D327" i="42"/>
  <c r="Q244" i="42"/>
  <c r="BC114" i="42"/>
  <c r="F117" i="42"/>
  <c r="C276" i="47"/>
  <c r="M317" i="42"/>
  <c r="L315" i="42"/>
  <c r="N39" i="42"/>
  <c r="K108" i="42"/>
  <c r="H119" i="42"/>
  <c r="L255" i="42"/>
  <c r="G322" i="42"/>
  <c r="O73" i="42"/>
  <c r="D212" i="42"/>
  <c r="BC290" i="42"/>
  <c r="F229" i="42"/>
  <c r="AZ168" i="42"/>
  <c r="D324" i="42"/>
  <c r="O147" i="42"/>
  <c r="I241" i="42"/>
  <c r="F365" i="42"/>
  <c r="BA143" i="42"/>
  <c r="O256" i="42"/>
  <c r="K214" i="42"/>
  <c r="O371" i="42"/>
  <c r="J48" i="42"/>
  <c r="P134" i="42"/>
  <c r="I114" i="42"/>
  <c r="K186" i="42"/>
  <c r="P262" i="42"/>
  <c r="E118" i="47"/>
  <c r="L141" i="42"/>
  <c r="AZ115" i="42"/>
  <c r="C364" i="47"/>
  <c r="B185" i="47"/>
  <c r="BC288" i="42"/>
  <c r="J361" i="42"/>
  <c r="K306" i="42"/>
  <c r="M57" i="42"/>
  <c r="H104" i="42"/>
  <c r="BC373" i="42"/>
  <c r="F26" i="42"/>
  <c r="AZ225" i="42"/>
  <c r="D64" i="47"/>
  <c r="D199" i="47"/>
  <c r="AY287" i="42"/>
  <c r="J227" i="42"/>
  <c r="F32" i="42"/>
  <c r="J170" i="42"/>
  <c r="D98" i="42"/>
  <c r="Q249" i="42"/>
  <c r="BC99" i="42"/>
  <c r="F205" i="47"/>
  <c r="D120" i="47"/>
  <c r="D201" i="42"/>
  <c r="G61" i="42"/>
  <c r="H210" i="42"/>
  <c r="D189" i="42"/>
  <c r="BA208" i="42"/>
  <c r="N305" i="42"/>
  <c r="M108" i="42"/>
  <c r="BB136" i="42"/>
  <c r="L137" i="42"/>
  <c r="Q373" i="42"/>
  <c r="K287" i="42"/>
  <c r="Q106" i="42"/>
  <c r="BC111" i="42"/>
  <c r="H127" i="42"/>
  <c r="BA106" i="42"/>
  <c r="J139" i="42"/>
  <c r="L226" i="42"/>
  <c r="D350" i="42"/>
  <c r="BB320" i="42"/>
  <c r="D108" i="42"/>
  <c r="AY52" i="42"/>
  <c r="BC112" i="42"/>
  <c r="L180" i="42"/>
  <c r="F40" i="47"/>
  <c r="D270" i="47"/>
  <c r="AZ108" i="42"/>
  <c r="B127" i="47"/>
  <c r="D173" i="47"/>
  <c r="H353" i="42"/>
  <c r="Q141" i="42"/>
  <c r="D322" i="42"/>
  <c r="G345" i="42"/>
  <c r="J363" i="42"/>
  <c r="M101" i="42"/>
  <c r="D261" i="47"/>
  <c r="AZ31" i="42"/>
  <c r="BC323" i="42"/>
  <c r="E123" i="47"/>
  <c r="J154" i="42"/>
  <c r="M12" i="42"/>
  <c r="H310" i="42"/>
  <c r="D213" i="42"/>
  <c r="G260" i="42"/>
  <c r="J248" i="42"/>
  <c r="BB90" i="42"/>
  <c r="G49" i="42"/>
  <c r="BA190" i="42"/>
  <c r="K171" i="42"/>
  <c r="O14" i="42"/>
  <c r="H224" i="42"/>
  <c r="G336" i="42"/>
  <c r="K222" i="42"/>
  <c r="AY130" i="42"/>
  <c r="M211" i="42"/>
  <c r="BB71" i="42"/>
  <c r="M78" i="42"/>
  <c r="B261" i="47"/>
  <c r="P126" i="42"/>
  <c r="L220" i="42"/>
  <c r="J156" i="42"/>
  <c r="BC343" i="42"/>
  <c r="F128" i="42"/>
  <c r="O160" i="42"/>
  <c r="H369" i="42"/>
  <c r="N260" i="42"/>
  <c r="M303" i="42"/>
  <c r="E303" i="47"/>
  <c r="O192" i="42"/>
  <c r="AY263" i="42"/>
  <c r="N178" i="42"/>
  <c r="BC258" i="42"/>
  <c r="G311" i="42"/>
  <c r="Q325" i="42"/>
  <c r="F80" i="42"/>
  <c r="P197" i="42"/>
  <c r="G341" i="42"/>
  <c r="M149" i="42"/>
  <c r="E298" i="47"/>
  <c r="N80" i="42"/>
  <c r="AY237" i="42"/>
  <c r="M85" i="42"/>
  <c r="M79" i="42"/>
  <c r="F181" i="47"/>
  <c r="G227" i="42"/>
  <c r="AZ116" i="42"/>
  <c r="H46" i="42"/>
  <c r="C176" i="47"/>
  <c r="Q242" i="42"/>
  <c r="D69" i="42"/>
  <c r="BB51" i="42"/>
  <c r="J279" i="42"/>
  <c r="AY247" i="42"/>
  <c r="Q259" i="42"/>
  <c r="BC300" i="42"/>
  <c r="L65" i="42"/>
  <c r="BA172" i="42"/>
  <c r="F334" i="42"/>
  <c r="N316" i="42"/>
  <c r="H294" i="42"/>
  <c r="D199" i="42"/>
  <c r="F210" i="47"/>
  <c r="F78" i="42"/>
  <c r="BA148" i="42"/>
  <c r="D80" i="42"/>
  <c r="D368" i="42"/>
  <c r="BC219" i="42"/>
  <c r="P164" i="42"/>
  <c r="H350" i="42"/>
  <c r="F90" i="42"/>
  <c r="AZ327" i="42"/>
  <c r="N218" i="42"/>
  <c r="J138" i="42"/>
  <c r="BB303" i="42"/>
  <c r="O131" i="42"/>
  <c r="AY22" i="42"/>
  <c r="Q13" i="42"/>
  <c r="K30" i="42"/>
  <c r="N234" i="42"/>
  <c r="BC309" i="42"/>
  <c r="G112" i="42"/>
  <c r="P152" i="42"/>
  <c r="K318" i="42"/>
  <c r="P155" i="42"/>
  <c r="F270" i="42"/>
  <c r="F162" i="42"/>
  <c r="BA305" i="42"/>
  <c r="O117" i="42"/>
  <c r="BC224" i="42"/>
  <c r="H345" i="42"/>
  <c r="AZ15" i="42"/>
  <c r="N215" i="42"/>
  <c r="L118" i="42"/>
  <c r="E307" i="47"/>
  <c r="N294" i="42"/>
  <c r="AY108" i="42"/>
  <c r="P14" i="42"/>
  <c r="BC96" i="42"/>
  <c r="K348" i="42"/>
  <c r="F350" i="47"/>
  <c r="K338" i="42"/>
  <c r="M345" i="42"/>
  <c r="F154" i="42"/>
  <c r="O89" i="42"/>
  <c r="H14" i="42"/>
  <c r="K190" i="42"/>
  <c r="BA90" i="42"/>
  <c r="J261" i="42"/>
  <c r="N276" i="42"/>
  <c r="F127" i="47"/>
  <c r="L367" i="42"/>
  <c r="C20" i="47"/>
  <c r="D266" i="42"/>
  <c r="I79" i="42"/>
  <c r="I344" i="42"/>
  <c r="D34" i="42"/>
  <c r="G330" i="42"/>
  <c r="P127" i="42"/>
  <c r="BC125" i="42"/>
  <c r="J79" i="42"/>
  <c r="BC208" i="42"/>
  <c r="D158" i="42"/>
  <c r="AY41" i="42"/>
  <c r="Q294" i="42"/>
  <c r="J44" i="42"/>
  <c r="BC283" i="42"/>
  <c r="G158" i="42"/>
  <c r="AZ369" i="42"/>
  <c r="D205" i="42"/>
  <c r="I253" i="42"/>
  <c r="O344" i="42"/>
  <c r="O54" i="42"/>
  <c r="F153" i="47"/>
  <c r="H75" i="42"/>
  <c r="AZ285" i="42"/>
  <c r="L23" i="42"/>
  <c r="H338" i="42"/>
  <c r="L179" i="42"/>
  <c r="Q262" i="42"/>
  <c r="K116" i="42"/>
  <c r="Q135" i="42"/>
  <c r="M349" i="42"/>
  <c r="O240" i="42"/>
  <c r="F332" i="47"/>
  <c r="I100" i="42"/>
  <c r="AZ373" i="42"/>
  <c r="O43" i="42"/>
  <c r="M272" i="42"/>
  <c r="H273" i="42"/>
  <c r="K71" i="42"/>
  <c r="BA81" i="42"/>
  <c r="K81" i="42"/>
  <c r="BA165" i="42"/>
  <c r="D67" i="42"/>
  <c r="Q229" i="42"/>
  <c r="K299" i="42"/>
  <c r="H302" i="42"/>
  <c r="C147" i="47"/>
  <c r="Q125" i="42"/>
  <c r="I320" i="42"/>
  <c r="N103" i="42"/>
  <c r="F154" i="47"/>
  <c r="P136" i="42"/>
  <c r="N78" i="42"/>
  <c r="H357" i="42"/>
  <c r="Q225" i="42"/>
  <c r="L18" i="42"/>
  <c r="I132" i="42"/>
  <c r="E101" i="47"/>
  <c r="L350" i="42"/>
  <c r="Q221" i="42"/>
  <c r="H263" i="42"/>
  <c r="E333" i="47"/>
  <c r="J180" i="42"/>
  <c r="F292" i="47"/>
  <c r="P356" i="42"/>
  <c r="C174" i="47"/>
  <c r="M220" i="42"/>
  <c r="K74" i="42"/>
  <c r="Q56" i="42"/>
  <c r="J201" i="42"/>
  <c r="AZ44" i="42"/>
  <c r="P33" i="42"/>
  <c r="F224" i="42"/>
  <c r="M174" i="42"/>
  <c r="BB75" i="42"/>
  <c r="N55" i="42"/>
  <c r="G127" i="42"/>
  <c r="D56" i="42"/>
  <c r="D263" i="47"/>
  <c r="Q193" i="42"/>
  <c r="O293" i="42"/>
  <c r="F164" i="47"/>
  <c r="BA72" i="42"/>
  <c r="G165" i="42"/>
  <c r="C172" i="47"/>
  <c r="E38" i="47"/>
  <c r="H62" i="42"/>
  <c r="O157" i="42"/>
  <c r="P28" i="42"/>
  <c r="I255" i="42"/>
  <c r="AZ281" i="42"/>
  <c r="H45" i="42"/>
  <c r="BA41" i="42"/>
  <c r="H253" i="42"/>
  <c r="AZ365" i="42"/>
  <c r="C222" i="47"/>
  <c r="I41" i="42"/>
  <c r="D208" i="42"/>
  <c r="BA325" i="42"/>
  <c r="O26" i="42"/>
  <c r="O266" i="42"/>
  <c r="N145" i="42"/>
  <c r="B85" i="47"/>
  <c r="E363" i="47"/>
  <c r="D176" i="47"/>
  <c r="D331" i="47"/>
  <c r="N20" i="42"/>
  <c r="D308" i="42"/>
  <c r="J149" i="42"/>
  <c r="J322" i="42"/>
  <c r="L230" i="42"/>
  <c r="J173" i="42"/>
  <c r="AY246" i="42"/>
  <c r="D20" i="42"/>
  <c r="L177" i="42"/>
  <c r="BA131" i="42"/>
  <c r="M327" i="42"/>
  <c r="AZ292" i="42"/>
  <c r="D105" i="42"/>
  <c r="I262" i="42"/>
  <c r="D42" i="42"/>
  <c r="D358" i="42"/>
  <c r="I323" i="42"/>
  <c r="I353" i="42"/>
  <c r="F241" i="42"/>
  <c r="AZ182" i="42"/>
  <c r="G39" i="42"/>
  <c r="M218" i="42"/>
  <c r="B268" i="47"/>
  <c r="E267" i="47"/>
  <c r="B283" i="47"/>
  <c r="B75" i="47"/>
  <c r="E227" i="47"/>
  <c r="G239" i="42"/>
  <c r="E222" i="47"/>
  <c r="L249" i="42"/>
  <c r="Q360" i="42"/>
  <c r="K293" i="42"/>
  <c r="AZ268" i="42"/>
  <c r="E107" i="47"/>
  <c r="C54" i="47"/>
  <c r="C121" i="47"/>
  <c r="C261" i="47"/>
  <c r="I363" i="42"/>
  <c r="Q349" i="42"/>
  <c r="C11" i="39"/>
  <c r="BB79" i="42"/>
  <c r="O238" i="42"/>
  <c r="N149" i="42"/>
  <c r="AY333" i="42"/>
  <c r="BB212" i="42"/>
  <c r="G234" i="42"/>
  <c r="F219" i="42"/>
  <c r="F243" i="47"/>
  <c r="D140" i="42"/>
  <c r="J75" i="42"/>
  <c r="BA160" i="42"/>
  <c r="J78" i="42"/>
  <c r="O121" i="42"/>
  <c r="M74" i="42"/>
  <c r="K125" i="42"/>
  <c r="F67" i="42"/>
  <c r="H295" i="42"/>
  <c r="D313" i="47"/>
  <c r="H347" i="42"/>
  <c r="D202" i="42"/>
  <c r="H133" i="42"/>
  <c r="I210" i="42"/>
  <c r="D195" i="47"/>
  <c r="F58" i="42"/>
  <c r="P361" i="42"/>
  <c r="H47" i="42"/>
  <c r="M107" i="42"/>
  <c r="BC205" i="42"/>
  <c r="D14" i="42"/>
  <c r="AY282" i="42"/>
  <c r="Q331" i="42"/>
  <c r="F343" i="42"/>
  <c r="BB331" i="42"/>
  <c r="F163" i="42"/>
  <c r="AZ142" i="42"/>
  <c r="D96" i="42"/>
  <c r="G287" i="42"/>
  <c r="J297" i="42"/>
  <c r="D361" i="42"/>
  <c r="J274" i="42"/>
  <c r="Q306" i="42"/>
  <c r="H243" i="42"/>
  <c r="N360" i="42"/>
  <c r="G18" i="42"/>
  <c r="P244" i="42"/>
  <c r="H216" i="42"/>
  <c r="P68" i="42"/>
  <c r="J21" i="42"/>
  <c r="G85" i="42"/>
  <c r="D292" i="42"/>
  <c r="F150" i="47"/>
  <c r="Q354" i="42"/>
  <c r="AZ251" i="42"/>
  <c r="J40" i="42"/>
  <c r="O229" i="42"/>
  <c r="H265" i="42"/>
  <c r="I275" i="42"/>
  <c r="D243" i="47"/>
  <c r="P41" i="42"/>
  <c r="G143" i="42"/>
  <c r="Q132" i="42"/>
  <c r="G43" i="42"/>
  <c r="Q283" i="42"/>
  <c r="N184" i="42"/>
  <c r="AZ192" i="42"/>
  <c r="K92" i="42"/>
  <c r="AZ56" i="42"/>
  <c r="J296" i="42"/>
  <c r="K182" i="42"/>
  <c r="J325" i="42"/>
  <c r="P263" i="42"/>
  <c r="L200" i="42"/>
  <c r="N317" i="42"/>
  <c r="BC98" i="42"/>
  <c r="K149" i="42"/>
  <c r="C221" i="47"/>
  <c r="H150" i="42"/>
  <c r="Q358" i="42"/>
  <c r="H161" i="42"/>
  <c r="K152" i="42"/>
  <c r="E271" i="47"/>
  <c r="O277" i="42"/>
  <c r="BA213" i="42"/>
  <c r="N348" i="42"/>
  <c r="K158" i="42"/>
  <c r="N329" i="42"/>
  <c r="AY145" i="42"/>
  <c r="J164" i="42"/>
  <c r="F280" i="42"/>
  <c r="D221" i="42"/>
  <c r="M11" i="42"/>
  <c r="F278" i="42"/>
  <c r="J350" i="42"/>
  <c r="BC133" i="42"/>
  <c r="L165" i="42"/>
  <c r="C104" i="47"/>
  <c r="N319" i="42"/>
  <c r="D63" i="42"/>
  <c r="L39" i="42"/>
  <c r="F28" i="42"/>
  <c r="BA49" i="42"/>
  <c r="N153" i="42"/>
  <c r="AZ312" i="42"/>
  <c r="D203" i="42"/>
  <c r="L290" i="42"/>
  <c r="J228" i="42"/>
  <c r="M173" i="42"/>
  <c r="L102" i="42"/>
  <c r="D144" i="42"/>
  <c r="L40" i="42"/>
  <c r="F246" i="42"/>
  <c r="BA120" i="42"/>
  <c r="Q353" i="42"/>
  <c r="P332" i="42"/>
  <c r="BB298" i="42"/>
  <c r="O335" i="42"/>
  <c r="AY271" i="42"/>
  <c r="Q375" i="42"/>
  <c r="L280" i="42"/>
  <c r="P324" i="42"/>
  <c r="G304" i="42"/>
  <c r="L92" i="42"/>
  <c r="L96" i="42"/>
  <c r="C49" i="47"/>
  <c r="J57" i="42"/>
  <c r="I214" i="42"/>
  <c r="L188" i="42"/>
  <c r="BA48" i="42"/>
  <c r="M29" i="42"/>
  <c r="Q318" i="42"/>
  <c r="C362" i="47"/>
  <c r="O166" i="42"/>
  <c r="F287" i="42"/>
  <c r="I268" i="42"/>
  <c r="AZ303" i="42"/>
  <c r="J276" i="42"/>
  <c r="P240" i="42"/>
  <c r="BC213" i="42"/>
  <c r="L271" i="42"/>
  <c r="BB21" i="42"/>
  <c r="N374" i="42"/>
  <c r="AZ75" i="42"/>
  <c r="D74" i="42"/>
  <c r="H27" i="42"/>
  <c r="M366" i="42"/>
  <c r="D287" i="42"/>
  <c r="AZ98" i="42"/>
  <c r="O252" i="42"/>
  <c r="M32" i="42"/>
  <c r="Q184" i="42"/>
  <c r="F336" i="42"/>
  <c r="Q63" i="42"/>
  <c r="M90" i="42"/>
  <c r="AZ214" i="42"/>
  <c r="Q45" i="42"/>
  <c r="L235" i="42"/>
  <c r="F205" i="42"/>
  <c r="D361" i="47"/>
  <c r="D21" i="42"/>
  <c r="Q252" i="42"/>
  <c r="M265" i="42"/>
  <c r="J16" i="42"/>
  <c r="BB259" i="42"/>
  <c r="P326" i="42"/>
  <c r="AZ227" i="42"/>
  <c r="Q65" i="42"/>
  <c r="AY280" i="42"/>
  <c r="P269" i="42"/>
  <c r="K327" i="42"/>
  <c r="D338" i="47"/>
  <c r="N123" i="42"/>
  <c r="G242" i="42"/>
  <c r="G373" i="42"/>
  <c r="O343" i="42"/>
  <c r="BC35" i="42"/>
  <c r="K237" i="42"/>
  <c r="P325" i="42"/>
  <c r="H42" i="42"/>
  <c r="Q118" i="42"/>
  <c r="G146" i="42"/>
  <c r="L312" i="42"/>
  <c r="E360" i="47"/>
  <c r="N128" i="42"/>
  <c r="AY233" i="42"/>
  <c r="J371" i="42"/>
  <c r="G145" i="42"/>
  <c r="N14" i="42"/>
  <c r="AZ305" i="42"/>
  <c r="BC179" i="42"/>
  <c r="I55" i="42"/>
  <c r="B238" i="47"/>
  <c r="E343" i="47"/>
  <c r="D45" i="47"/>
  <c r="F55" i="47"/>
  <c r="E254" i="47"/>
  <c r="J305" i="42"/>
  <c r="J312" i="42"/>
  <c r="D357" i="42"/>
  <c r="M368" i="42"/>
  <c r="BB373" i="42"/>
  <c r="C194" i="47"/>
  <c r="E29" i="47"/>
  <c r="D172" i="47"/>
  <c r="G90" i="42"/>
  <c r="F310" i="47"/>
  <c r="D145" i="42"/>
  <c r="G161" i="42"/>
  <c r="L38" i="42"/>
  <c r="D64" i="42"/>
  <c r="H218" i="42"/>
  <c r="Q246" i="42"/>
  <c r="BC249" i="42"/>
  <c r="B78" i="47"/>
  <c r="BA80" i="42"/>
  <c r="I239" i="42"/>
  <c r="G229" i="42"/>
  <c r="D338" i="42"/>
  <c r="BC285" i="42"/>
  <c r="P58" i="42"/>
  <c r="K193" i="42"/>
  <c r="J328" i="42"/>
  <c r="BC271" i="42"/>
  <c r="H330" i="42"/>
  <c r="D332" i="42"/>
  <c r="F286" i="42"/>
  <c r="D62" i="42"/>
  <c r="M292" i="42"/>
  <c r="F72" i="42"/>
  <c r="D365" i="47"/>
  <c r="P77" i="42"/>
  <c r="Q233" i="42"/>
  <c r="BB33" i="42"/>
  <c r="F115" i="47"/>
  <c r="L64" i="42"/>
  <c r="BA365" i="42"/>
  <c r="B363" i="47"/>
  <c r="L126" i="42"/>
  <c r="BB261" i="42"/>
  <c r="E46" i="47"/>
  <c r="D194" i="47"/>
  <c r="C178" i="47"/>
  <c r="K60" i="42"/>
  <c r="P318" i="42"/>
  <c r="I226" i="42"/>
  <c r="Q112" i="42"/>
  <c r="K322" i="42"/>
  <c r="N279" i="42"/>
  <c r="BC367" i="42"/>
  <c r="F191" i="47"/>
  <c r="D266" i="47"/>
  <c r="F107" i="47"/>
  <c r="BA65" i="42"/>
  <c r="D364" i="42"/>
  <c r="K298" i="42"/>
  <c r="I70" i="42"/>
  <c r="BB86" i="42"/>
  <c r="K351" i="42"/>
  <c r="H296" i="42"/>
  <c r="C70" i="47"/>
  <c r="AY223" i="42"/>
  <c r="D93" i="47"/>
  <c r="F39" i="47"/>
  <c r="B177" i="47"/>
  <c r="H285" i="42"/>
  <c r="I276" i="42"/>
  <c r="N185" i="42"/>
  <c r="H193" i="42"/>
  <c r="M245" i="42"/>
  <c r="E66" i="47"/>
  <c r="Q52" i="42"/>
  <c r="AZ39" i="42"/>
  <c r="M146" i="42"/>
  <c r="L190" i="42"/>
  <c r="P279" i="42"/>
  <c r="H288" i="42"/>
  <c r="BA323" i="42"/>
  <c r="D149" i="42"/>
  <c r="G148" i="42"/>
  <c r="N248" i="42"/>
  <c r="I103" i="42"/>
  <c r="K28" i="42"/>
  <c r="BA350" i="42"/>
  <c r="J258" i="42"/>
  <c r="AY162" i="42"/>
  <c r="Q361" i="42"/>
  <c r="BC21" i="42"/>
  <c r="H198" i="42"/>
  <c r="P67" i="42"/>
  <c r="G167" i="42"/>
  <c r="J53" i="42"/>
  <c r="K180" i="42"/>
  <c r="I251" i="42"/>
  <c r="BA331" i="42"/>
  <c r="D243" i="42"/>
  <c r="N318" i="42"/>
  <c r="H180" i="42"/>
  <c r="O27" i="42"/>
  <c r="BB168" i="42"/>
  <c r="J212" i="42"/>
  <c r="AZ207" i="42"/>
  <c r="M248" i="42"/>
  <c r="P319" i="42"/>
  <c r="I117" i="42"/>
  <c r="D116" i="42"/>
  <c r="BB112" i="42"/>
  <c r="M98" i="42"/>
  <c r="K273" i="42"/>
  <c r="O92" i="42"/>
  <c r="F54" i="42"/>
  <c r="G57" i="42"/>
  <c r="D296" i="42"/>
  <c r="AZ162" i="42"/>
  <c r="P123" i="42"/>
  <c r="K47" i="42"/>
  <c r="L157" i="42"/>
  <c r="BB237" i="42"/>
  <c r="F137" i="42"/>
  <c r="O74" i="42"/>
  <c r="I147" i="42"/>
  <c r="N26" i="42"/>
  <c r="BC77" i="42"/>
  <c r="N31" i="42"/>
  <c r="BC89" i="42"/>
  <c r="H208" i="42"/>
  <c r="D103" i="42"/>
  <c r="H141" i="42"/>
  <c r="K279" i="42"/>
  <c r="E19" i="47"/>
  <c r="D130" i="42"/>
  <c r="AZ282" i="42"/>
  <c r="N212" i="42"/>
  <c r="I319" i="42"/>
  <c r="P150" i="42"/>
  <c r="H244" i="42"/>
  <c r="D75" i="47"/>
  <c r="D225" i="42"/>
  <c r="L172" i="42"/>
  <c r="N223" i="42"/>
  <c r="F20" i="42"/>
  <c r="H363" i="42"/>
  <c r="D15" i="42"/>
  <c r="J244" i="42"/>
  <c r="F38" i="47"/>
  <c r="F208" i="42"/>
  <c r="J72" i="42"/>
  <c r="H65" i="42"/>
  <c r="H237" i="42"/>
  <c r="BA356" i="42"/>
  <c r="D249" i="42"/>
  <c r="M226" i="42"/>
  <c r="L313" i="42"/>
  <c r="F142" i="42"/>
  <c r="Q100" i="42"/>
  <c r="O128" i="42"/>
  <c r="AZ23" i="42"/>
  <c r="J338" i="42"/>
  <c r="I93" i="42"/>
  <c r="J122" i="42"/>
  <c r="BC15" i="42"/>
  <c r="K339" i="42"/>
  <c r="D370" i="42"/>
  <c r="K316" i="42"/>
  <c r="N65" i="42"/>
  <c r="BB203" i="42"/>
  <c r="P66" i="42"/>
  <c r="AZ71" i="42"/>
  <c r="M97" i="42"/>
  <c r="G212" i="42"/>
  <c r="F234" i="42"/>
  <c r="J299" i="42"/>
  <c r="I360" i="42"/>
  <c r="N291" i="42"/>
  <c r="BC355" i="42"/>
  <c r="G119" i="42"/>
  <c r="E70" i="47"/>
  <c r="H362" i="42"/>
  <c r="N282" i="42"/>
  <c r="F103" i="42"/>
  <c r="K102" i="42"/>
  <c r="F263" i="47"/>
  <c r="I46" i="42"/>
  <c r="BA83" i="42"/>
  <c r="Q362" i="42"/>
  <c r="J292" i="42"/>
  <c r="L133" i="42"/>
  <c r="Q256" i="42"/>
  <c r="F143" i="47"/>
  <c r="K146" i="42"/>
  <c r="BA78" i="42"/>
  <c r="D128" i="42"/>
  <c r="H207" i="42"/>
  <c r="D236" i="42"/>
  <c r="D351" i="42"/>
  <c r="B41" i="47"/>
  <c r="N193" i="42"/>
  <c r="H31" i="42"/>
  <c r="J344" i="42"/>
  <c r="BC207" i="42"/>
  <c r="F340" i="42"/>
  <c r="J84" i="42"/>
  <c r="F369" i="42"/>
  <c r="Q288" i="42"/>
  <c r="F184" i="42"/>
  <c r="K320" i="42"/>
  <c r="BB251" i="42"/>
  <c r="K107" i="42"/>
  <c r="O223" i="42"/>
  <c r="G131" i="42"/>
  <c r="J137" i="42"/>
  <c r="BC127" i="42"/>
  <c r="P43" i="42"/>
  <c r="AZ347" i="42"/>
  <c r="M133" i="42"/>
  <c r="K156" i="42"/>
  <c r="Q235" i="42"/>
  <c r="M122" i="42"/>
  <c r="BB208" i="42"/>
  <c r="O346" i="42"/>
  <c r="B326" i="47"/>
  <c r="O135" i="42"/>
  <c r="BC304" i="42"/>
  <c r="P48" i="42"/>
  <c r="BB294" i="42"/>
  <c r="K118" i="42"/>
  <c r="D227" i="42"/>
  <c r="L66" i="42"/>
  <c r="F273" i="42"/>
  <c r="L63" i="42"/>
  <c r="D83" i="42"/>
  <c r="N332" i="42"/>
  <c r="B366" i="47"/>
  <c r="D55" i="42"/>
  <c r="O195" i="42"/>
  <c r="BB232" i="42"/>
  <c r="L215" i="42"/>
  <c r="AZ37" i="42"/>
  <c r="N143" i="42"/>
  <c r="M48" i="42"/>
  <c r="J326" i="42"/>
  <c r="Q281" i="42"/>
  <c r="K24" i="42"/>
  <c r="AZ19" i="42"/>
  <c r="P18" i="42"/>
  <c r="D267" i="47"/>
  <c r="H366" i="42"/>
  <c r="Q165" i="42"/>
  <c r="B258" i="47"/>
  <c r="F274" i="47"/>
  <c r="C318" i="47"/>
  <c r="F101" i="47"/>
  <c r="B113" i="47"/>
  <c r="BC241" i="42"/>
  <c r="BC167" i="42"/>
  <c r="L277" i="42"/>
  <c r="Q260" i="42"/>
  <c r="I216" i="42"/>
  <c r="BA303" i="42"/>
  <c r="B92" i="47"/>
  <c r="D303" i="47"/>
  <c r="C154" i="47"/>
  <c r="D244" i="47"/>
  <c r="BC185" i="42"/>
  <c r="D264" i="42"/>
  <c r="J153" i="42"/>
  <c r="BC252" i="42"/>
  <c r="D274" i="42"/>
  <c r="F98" i="42"/>
  <c r="AY369" i="42"/>
  <c r="BB95" i="42"/>
  <c r="L43" i="42"/>
  <c r="O269" i="42"/>
  <c r="L115" i="42"/>
  <c r="J158" i="42"/>
  <c r="M191" i="42"/>
  <c r="L37" i="42"/>
  <c r="AZ325" i="42"/>
  <c r="Q341" i="42"/>
  <c r="P119" i="42"/>
  <c r="I235" i="42"/>
  <c r="H200" i="42"/>
  <c r="BA95" i="42"/>
  <c r="P206" i="42"/>
  <c r="AZ270" i="42"/>
  <c r="O289" i="42"/>
  <c r="H83" i="42"/>
  <c r="O141" i="42"/>
  <c r="N250" i="42"/>
  <c r="I220" i="42"/>
  <c r="N32" i="42"/>
  <c r="BA164" i="42"/>
  <c r="BC330" i="42"/>
  <c r="BA295" i="42"/>
  <c r="I287" i="42"/>
  <c r="AY191" i="42"/>
  <c r="BB285" i="42"/>
  <c r="D50" i="47"/>
  <c r="B56" i="47"/>
  <c r="P104" i="42"/>
  <c r="O314" i="42"/>
  <c r="D297" i="47"/>
  <c r="O262" i="42"/>
  <c r="J306" i="42"/>
  <c r="O169" i="42"/>
  <c r="AY60" i="42"/>
  <c r="E339" i="47"/>
  <c r="D169" i="47"/>
  <c r="C258" i="47"/>
  <c r="BB332" i="42"/>
  <c r="BB322" i="42"/>
  <c r="BC314" i="42"/>
  <c r="Q215" i="42"/>
  <c r="BC236" i="42"/>
  <c r="H199" i="42"/>
  <c r="M147" i="42"/>
  <c r="D13" i="47"/>
  <c r="B297" i="47"/>
  <c r="D360" i="47"/>
  <c r="J243" i="42"/>
  <c r="BB166" i="42"/>
  <c r="L28" i="42"/>
  <c r="O119" i="42"/>
  <c r="H124" i="42"/>
  <c r="O142" i="42"/>
  <c r="D256" i="42"/>
  <c r="AY85" i="42"/>
  <c r="P24" i="42"/>
  <c r="BC49" i="42"/>
  <c r="K317" i="42"/>
  <c r="Q109" i="42"/>
  <c r="F257" i="42"/>
  <c r="J90" i="42"/>
  <c r="K308" i="42"/>
  <c r="Q292" i="42"/>
  <c r="BB187" i="42"/>
  <c r="B32" i="47"/>
  <c r="I108" i="42"/>
  <c r="Q162" i="42"/>
  <c r="O323" i="42"/>
  <c r="N79" i="42"/>
  <c r="L82" i="42"/>
  <c r="F346" i="42"/>
  <c r="O243" i="42"/>
  <c r="F255" i="42"/>
  <c r="J298" i="42"/>
  <c r="P339" i="42"/>
  <c r="BA204" i="42"/>
  <c r="L352" i="42"/>
  <c r="AY99" i="42"/>
  <c r="B284" i="47"/>
  <c r="B139" i="47"/>
  <c r="BC275" i="42"/>
  <c r="D347" i="42"/>
  <c r="BA100" i="42"/>
  <c r="J373" i="42"/>
  <c r="I337" i="42"/>
  <c r="BB279" i="42"/>
  <c r="F249" i="42"/>
  <c r="AY94" i="42"/>
  <c r="BC267" i="42"/>
  <c r="F221" i="47"/>
  <c r="E31" i="47"/>
  <c r="Q38" i="42"/>
  <c r="BB194" i="42"/>
  <c r="H300" i="42"/>
  <c r="Q352" i="42"/>
  <c r="G24" i="42"/>
  <c r="E253" i="47"/>
  <c r="C288" i="47"/>
  <c r="F140" i="47"/>
  <c r="I47" i="42"/>
  <c r="P312" i="42"/>
  <c r="BB214" i="42"/>
  <c r="O373" i="42"/>
  <c r="BA347" i="42"/>
  <c r="O295" i="42"/>
  <c r="G17" i="42"/>
  <c r="BB369" i="42"/>
  <c r="N209" i="42"/>
  <c r="P129" i="42"/>
  <c r="I138" i="42"/>
  <c r="P232" i="42"/>
  <c r="BB278" i="42"/>
  <c r="N43" i="42"/>
  <c r="AZ50" i="42"/>
  <c r="D99" i="42"/>
  <c r="G171" i="42"/>
  <c r="D73" i="42"/>
  <c r="AY202" i="42"/>
  <c r="D192" i="42"/>
  <c r="M294" i="42"/>
  <c r="BA146" i="42"/>
  <c r="M371" i="42"/>
  <c r="D89" i="47"/>
  <c r="F300" i="47"/>
  <c r="AY50" i="42"/>
  <c r="D186" i="47"/>
  <c r="B39" i="47"/>
  <c r="L25" i="42"/>
  <c r="P162" i="42"/>
  <c r="L325" i="42"/>
  <c r="G103" i="42"/>
  <c r="N300" i="42"/>
  <c r="L204" i="42"/>
  <c r="B351" i="47"/>
  <c r="AY43" i="42"/>
  <c r="BC223" i="42"/>
  <c r="B233" i="47"/>
  <c r="D178" i="42"/>
  <c r="N366" i="42"/>
  <c r="Q264" i="42"/>
  <c r="L285" i="42"/>
  <c r="L368" i="42"/>
  <c r="N182" i="42"/>
  <c r="D288" i="42"/>
  <c r="BB370" i="42"/>
  <c r="F149" i="47"/>
  <c r="P260" i="42"/>
  <c r="O222" i="42"/>
  <c r="BC137" i="42"/>
  <c r="F352" i="42"/>
  <c r="AZ79" i="42"/>
  <c r="Q138" i="42"/>
  <c r="I233" i="42"/>
  <c r="P133" i="42"/>
  <c r="G87" i="42"/>
  <c r="K365" i="42"/>
  <c r="D367" i="42"/>
  <c r="K315" i="42"/>
  <c r="Q204" i="42"/>
  <c r="I159" i="42"/>
  <c r="D295" i="42"/>
  <c r="H326" i="42"/>
  <c r="BC174" i="42"/>
  <c r="K170" i="42"/>
  <c r="AZ102" i="42"/>
  <c r="D167" i="47"/>
  <c r="B33" i="47"/>
  <c r="Q261" i="42"/>
  <c r="N164" i="42"/>
  <c r="K335" i="42"/>
  <c r="K97" i="42"/>
  <c r="Q93" i="42"/>
  <c r="Q158" i="42"/>
  <c r="G193" i="42"/>
  <c r="BA203" i="42"/>
  <c r="E199" i="47"/>
  <c r="C375" i="47"/>
  <c r="AZ68" i="42"/>
  <c r="K23" i="42"/>
  <c r="H262" i="42"/>
  <c r="I35" i="42"/>
  <c r="AZ45" i="42"/>
  <c r="H12" i="42"/>
  <c r="Q239" i="42"/>
  <c r="F207" i="47"/>
  <c r="BA237" i="42"/>
  <c r="K68" i="42"/>
  <c r="BB94" i="42"/>
  <c r="I65" i="42"/>
  <c r="BA210" i="42"/>
  <c r="D134" i="42"/>
  <c r="I206" i="42"/>
  <c r="N114" i="42"/>
  <c r="BC350" i="42"/>
  <c r="P265" i="42"/>
  <c r="M329" i="42"/>
  <c r="AY102" i="42"/>
  <c r="D191" i="42"/>
  <c r="F175" i="42"/>
  <c r="K244" i="42"/>
  <c r="J193" i="42"/>
  <c r="BA217" i="42"/>
  <c r="D328" i="42"/>
  <c r="N222" i="42"/>
  <c r="O170" i="42"/>
  <c r="B64" i="47"/>
  <c r="BB66" i="42"/>
  <c r="E264" i="47"/>
  <c r="C301" i="47"/>
  <c r="E355" i="47"/>
  <c r="O196" i="42"/>
  <c r="Q156" i="42"/>
  <c r="K278" i="42"/>
  <c r="BA57" i="42"/>
  <c r="AY276" i="42"/>
  <c r="L62" i="42"/>
  <c r="BB265" i="42"/>
  <c r="E278" i="47"/>
  <c r="C177" i="47"/>
  <c r="B373" i="47"/>
  <c r="D181" i="47"/>
  <c r="L146" i="42"/>
  <c r="F70" i="42"/>
  <c r="O190" i="42"/>
  <c r="Q105" i="42"/>
  <c r="N160" i="42"/>
  <c r="BB296" i="42"/>
  <c r="C257" i="47"/>
  <c r="G249" i="42"/>
  <c r="N50" i="42"/>
  <c r="D106" i="42"/>
  <c r="N210" i="42"/>
  <c r="I169" i="42"/>
  <c r="I198" i="42"/>
  <c r="J265" i="42"/>
  <c r="H191" i="42"/>
  <c r="D153" i="42"/>
  <c r="L247" i="42"/>
  <c r="F161" i="42"/>
  <c r="BB272" i="42"/>
  <c r="G258" i="42"/>
  <c r="Q50" i="42"/>
  <c r="BC46" i="42"/>
  <c r="K362" i="42"/>
  <c r="AZ344" i="42"/>
  <c r="BC61" i="42"/>
  <c r="C220" i="47"/>
  <c r="I324" i="42"/>
  <c r="C280" i="47"/>
  <c r="B12" i="47"/>
  <c r="F194" i="47"/>
  <c r="B211" i="47"/>
  <c r="I359" i="42"/>
  <c r="J52" i="42"/>
  <c r="AZ147" i="42"/>
  <c r="Q312" i="42"/>
  <c r="O41" i="42"/>
  <c r="M135" i="42"/>
  <c r="K141" i="42"/>
  <c r="C143" i="47"/>
  <c r="F354" i="47"/>
  <c r="D296" i="47"/>
  <c r="BC131" i="42"/>
  <c r="O45" i="42"/>
  <c r="E309" i="47"/>
  <c r="O189" i="42"/>
  <c r="I346" i="42"/>
  <c r="H220" i="42"/>
  <c r="Q25" i="42"/>
  <c r="F105" i="47"/>
  <c r="AY277" i="42"/>
  <c r="E115" i="47"/>
  <c r="L192" i="42"/>
  <c r="D221" i="47"/>
  <c r="O299" i="42"/>
  <c r="O305" i="42"/>
  <c r="G340" i="42"/>
  <c r="K209" i="42"/>
  <c r="O213" i="42"/>
  <c r="B302" i="47"/>
  <c r="J89" i="42"/>
  <c r="BB354" i="42"/>
  <c r="F280" i="47"/>
  <c r="I356" i="42"/>
  <c r="Q319" i="42"/>
  <c r="M169" i="42"/>
  <c r="BC75" i="42"/>
  <c r="B231" i="47"/>
  <c r="BB253" i="42"/>
  <c r="D54" i="47"/>
  <c r="C275" i="47"/>
  <c r="AY338" i="42"/>
  <c r="H67" i="42"/>
  <c r="L371" i="42"/>
  <c r="G286" i="42"/>
  <c r="BC108" i="42"/>
  <c r="L262" i="42"/>
  <c r="E175" i="47"/>
  <c r="C18" i="47"/>
  <c r="E15" i="47"/>
  <c r="BC64" i="42"/>
  <c r="E322" i="47"/>
  <c r="AZ93" i="42"/>
  <c r="BB349" i="42"/>
  <c r="E79" i="47"/>
  <c r="AZ104" i="42"/>
  <c r="E214" i="47"/>
  <c r="D321" i="47"/>
  <c r="AY100" i="42"/>
  <c r="O316" i="42"/>
  <c r="D328" i="47"/>
  <c r="O259" i="42"/>
  <c r="J46" i="42"/>
  <c r="Q254" i="42"/>
  <c r="G238" i="42"/>
  <c r="F348" i="47"/>
  <c r="I133" i="42"/>
  <c r="E51" i="47"/>
  <c r="I291" i="42"/>
  <c r="F200" i="47"/>
  <c r="E204" i="47"/>
  <c r="BA183" i="42"/>
  <c r="I121" i="42"/>
  <c r="K167" i="42"/>
  <c r="E367" i="47"/>
  <c r="N275" i="42"/>
  <c r="H125" i="42"/>
  <c r="O129" i="42"/>
  <c r="K174" i="42"/>
  <c r="G128" i="42"/>
  <c r="N280" i="42"/>
  <c r="D218" i="47"/>
  <c r="AZ90" i="42"/>
  <c r="BC12" i="42"/>
  <c r="F89" i="47"/>
  <c r="F60" i="47"/>
  <c r="D230" i="42"/>
  <c r="K270" i="42"/>
  <c r="P111" i="42"/>
  <c r="O298" i="42"/>
  <c r="AY297" i="42"/>
  <c r="I139" i="42"/>
  <c r="AZ136" i="42"/>
  <c r="K297" i="42"/>
  <c r="AY36" i="42"/>
  <c r="B77" i="47"/>
  <c r="P365" i="42"/>
  <c r="F105" i="42"/>
  <c r="B95" i="47"/>
  <c r="I207" i="42"/>
  <c r="M194" i="42"/>
  <c r="J353" i="42"/>
  <c r="K161" i="42"/>
  <c r="BA66" i="42"/>
  <c r="F284" i="47"/>
  <c r="BC328" i="42"/>
  <c r="H113" i="42"/>
  <c r="Q103" i="42"/>
  <c r="BC71" i="42"/>
  <c r="M34" i="42"/>
  <c r="O326" i="42"/>
  <c r="N217" i="42"/>
  <c r="F111" i="42"/>
  <c r="J231" i="42"/>
  <c r="J275" i="42"/>
  <c r="AZ276" i="42"/>
  <c r="J190" i="42"/>
  <c r="AY97" i="42"/>
  <c r="J217" i="42"/>
  <c r="BC31" i="42"/>
  <c r="L98" i="42"/>
  <c r="D360" i="42"/>
  <c r="G60" i="42"/>
  <c r="BC141" i="42"/>
  <c r="G19" i="42"/>
  <c r="H360" i="42"/>
  <c r="BC50" i="42"/>
  <c r="G349" i="42"/>
  <c r="D145" i="47"/>
  <c r="B334" i="47"/>
  <c r="E65" i="47"/>
  <c r="E196" i="47"/>
  <c r="O311" i="42"/>
  <c r="AY222" i="42"/>
  <c r="H103" i="42"/>
  <c r="L20" i="42"/>
  <c r="P146" i="42"/>
  <c r="O257" i="42"/>
  <c r="AY352" i="42"/>
  <c r="C363" i="47"/>
  <c r="E318" i="47"/>
  <c r="AY354" i="42"/>
  <c r="E292" i="47"/>
  <c r="H111" i="42"/>
  <c r="L42" i="42"/>
  <c r="Q333" i="42"/>
  <c r="D216" i="47"/>
  <c r="M261" i="42"/>
  <c r="D306" i="42"/>
  <c r="I293" i="42"/>
  <c r="P314" i="42"/>
  <c r="L356" i="42"/>
  <c r="M117" i="42"/>
  <c r="D52" i="42"/>
  <c r="H93" i="42"/>
  <c r="J367" i="42"/>
  <c r="F146" i="42"/>
  <c r="L259" i="42"/>
  <c r="BB40" i="42"/>
  <c r="G198" i="42"/>
  <c r="J218" i="42"/>
  <c r="L318" i="42"/>
  <c r="F235" i="42"/>
  <c r="D96" i="47"/>
  <c r="J112" i="42"/>
  <c r="J70" i="42"/>
  <c r="F12" i="42"/>
  <c r="AZ367" i="42"/>
  <c r="F223" i="42"/>
  <c r="BA241" i="42"/>
  <c r="M17" i="42"/>
  <c r="AZ148" i="42"/>
  <c r="B319" i="47"/>
  <c r="M179" i="42"/>
  <c r="Q15" i="42"/>
  <c r="N169" i="42"/>
  <c r="F289" i="42"/>
  <c r="F357" i="42"/>
  <c r="K54" i="42"/>
  <c r="BB337" i="42"/>
  <c r="G285" i="42"/>
  <c r="AZ275" i="42"/>
  <c r="C183" i="47"/>
  <c r="B118" i="47"/>
  <c r="D51" i="42"/>
  <c r="N201" i="42"/>
  <c r="G183" i="42"/>
  <c r="BA103" i="42"/>
  <c r="AY361" i="42"/>
  <c r="H114" i="42"/>
  <c r="E137" i="47"/>
  <c r="J130" i="42"/>
  <c r="BB42" i="42"/>
  <c r="J116" i="42"/>
  <c r="P207" i="42"/>
  <c r="K325" i="42"/>
  <c r="L130" i="42"/>
  <c r="BB344" i="42"/>
  <c r="I232" i="42"/>
  <c r="P264" i="42"/>
  <c r="G45" i="42"/>
  <c r="N313" i="42"/>
  <c r="BC299" i="42"/>
  <c r="Q47" i="42"/>
  <c r="BA322" i="42"/>
  <c r="O68" i="42"/>
  <c r="L305" i="42"/>
  <c r="M157" i="42"/>
  <c r="O138" i="42"/>
  <c r="G347" i="42"/>
  <c r="N207" i="42"/>
  <c r="BC374" i="42"/>
  <c r="B312" i="47"/>
  <c r="BB223" i="42"/>
  <c r="C319" i="47"/>
  <c r="F117" i="47"/>
  <c r="Q209" i="42"/>
  <c r="O32" i="42"/>
  <c r="BA84" i="42"/>
  <c r="BC191" i="42"/>
  <c r="BA116" i="42"/>
  <c r="F211" i="42"/>
  <c r="B93" i="47"/>
  <c r="BB159" i="42"/>
  <c r="D305" i="47"/>
  <c r="D87" i="47"/>
  <c r="I327" i="42"/>
  <c r="M357" i="42"/>
  <c r="BA169" i="42"/>
  <c r="N64" i="42"/>
  <c r="M144" i="42"/>
  <c r="N125" i="42"/>
  <c r="H342" i="42"/>
  <c r="C321" i="47"/>
  <c r="J27" i="42"/>
  <c r="I15" i="42"/>
  <c r="I221" i="42"/>
  <c r="F119" i="42"/>
  <c r="Q191" i="42"/>
  <c r="K22" i="42"/>
  <c r="H143" i="42"/>
  <c r="BB211" i="42"/>
  <c r="I157" i="42"/>
  <c r="D56" i="47"/>
  <c r="P327" i="42"/>
  <c r="I215" i="42"/>
  <c r="O353" i="42"/>
  <c r="N126" i="42"/>
  <c r="AZ178" i="42"/>
  <c r="N200" i="42"/>
  <c r="L52" i="42"/>
  <c r="G168" i="42"/>
  <c r="BB155" i="42"/>
  <c r="AZ223" i="42"/>
  <c r="AZ11" i="42"/>
  <c r="B190" i="47"/>
  <c r="F94" i="47"/>
  <c r="C126" i="47"/>
  <c r="O18" i="42"/>
  <c r="Q345" i="42"/>
  <c r="H333" i="42"/>
  <c r="P241" i="42"/>
  <c r="H304" i="42"/>
  <c r="Q302" i="42"/>
  <c r="C324" i="47"/>
  <c r="B358" i="47"/>
  <c r="C138" i="47"/>
  <c r="E223" i="47"/>
  <c r="G155" i="42"/>
  <c r="BC178" i="42"/>
  <c r="L151" i="42"/>
  <c r="H37" i="42"/>
  <c r="L136" i="42"/>
  <c r="AZ173" i="42"/>
  <c r="O30" i="42"/>
  <c r="B14" i="47"/>
  <c r="D333" i="47"/>
  <c r="AY229" i="42"/>
  <c r="O46" i="42"/>
  <c r="G91" i="42"/>
  <c r="K89" i="42"/>
  <c r="P108" i="42"/>
  <c r="BA206" i="42"/>
  <c r="BC352" i="42"/>
  <c r="BC102" i="42"/>
  <c r="BA31" i="42"/>
  <c r="K249" i="42"/>
  <c r="C64" i="47"/>
  <c r="F19" i="47"/>
  <c r="G272" i="42"/>
  <c r="O75" i="42"/>
  <c r="H139" i="42"/>
  <c r="C328" i="47"/>
  <c r="BC42" i="42"/>
  <c r="G66" i="42"/>
  <c r="D295" i="47"/>
  <c r="E354" i="47"/>
  <c r="Q205" i="42"/>
  <c r="J161" i="42"/>
  <c r="BB204" i="42"/>
  <c r="C348" i="47"/>
  <c r="L306" i="42"/>
  <c r="BC101" i="42"/>
  <c r="E113" i="47"/>
  <c r="C159" i="47"/>
  <c r="E266" i="47"/>
  <c r="G338" i="42"/>
  <c r="D11" i="47"/>
  <c r="C57" i="47"/>
  <c r="E300" i="47"/>
  <c r="D359" i="47"/>
  <c r="C27" i="47"/>
  <c r="G225" i="42"/>
  <c r="K153" i="42"/>
  <c r="H201" i="42"/>
  <c r="E295" i="47"/>
  <c r="H317" i="42"/>
  <c r="B346" i="47"/>
  <c r="O118" i="42"/>
  <c r="H228" i="42"/>
  <c r="J82" i="42"/>
  <c r="AY219" i="42"/>
  <c r="B140" i="47"/>
  <c r="C336" i="47"/>
  <c r="BA244" i="42"/>
  <c r="BC18" i="42"/>
  <c r="J273" i="42"/>
  <c r="AY320" i="42"/>
  <c r="K55" i="42"/>
  <c r="F268" i="42"/>
  <c r="L97" i="42"/>
  <c r="D258" i="42"/>
  <c r="BA112" i="42"/>
  <c r="N176" i="42"/>
  <c r="AY110" i="42"/>
  <c r="BB82" i="42"/>
  <c r="J124" i="42"/>
  <c r="E268" i="47"/>
  <c r="B50" i="47"/>
  <c r="AZ249" i="42"/>
  <c r="C95" i="47"/>
  <c r="F145" i="47"/>
  <c r="P334" i="42"/>
  <c r="Q328" i="42"/>
  <c r="D299" i="42"/>
  <c r="I321" i="42"/>
  <c r="N325" i="42"/>
  <c r="L48" i="42"/>
  <c r="C278" i="47"/>
  <c r="AZ247" i="42"/>
  <c r="F144" i="47"/>
  <c r="F296" i="47"/>
  <c r="P30" i="42"/>
  <c r="J172" i="42"/>
  <c r="P215" i="42"/>
  <c r="D84" i="42"/>
  <c r="I137" i="42"/>
  <c r="P39" i="42"/>
  <c r="E260" i="47"/>
  <c r="H130" i="42"/>
  <c r="AZ203" i="42"/>
  <c r="F367" i="42"/>
  <c r="M93" i="42"/>
  <c r="G318" i="42"/>
  <c r="F320" i="42"/>
  <c r="L87" i="42"/>
  <c r="L353" i="42"/>
  <c r="I36" i="42"/>
  <c r="D239" i="42"/>
  <c r="F172" i="42"/>
  <c r="D277" i="42"/>
  <c r="H264" i="42"/>
  <c r="D333" i="42"/>
  <c r="BC22" i="42"/>
  <c r="G195" i="42"/>
  <c r="AZ48" i="42"/>
  <c r="P223" i="42"/>
  <c r="F372" i="42"/>
  <c r="BA27" i="42"/>
  <c r="Q150" i="42"/>
  <c r="BB178" i="42"/>
  <c r="AZ109" i="42"/>
  <c r="G301" i="42"/>
  <c r="BB353" i="42"/>
  <c r="BA370" i="42"/>
  <c r="C36" i="47"/>
  <c r="F217" i="47"/>
  <c r="F29" i="47"/>
  <c r="G65" i="42"/>
  <c r="N44" i="42"/>
  <c r="F369" i="47"/>
  <c r="H256" i="42"/>
  <c r="M356" i="42"/>
  <c r="K104" i="42"/>
  <c r="BB50" i="42"/>
  <c r="C65" i="47"/>
  <c r="F338" i="47"/>
  <c r="D180" i="47"/>
  <c r="AY66" i="42"/>
  <c r="M77" i="42"/>
  <c r="BC310" i="42"/>
  <c r="J195" i="42"/>
  <c r="C195" i="47"/>
  <c r="F201" i="47"/>
  <c r="L245" i="42"/>
  <c r="F46" i="42"/>
  <c r="C216" i="47"/>
  <c r="O217" i="42"/>
  <c r="K213" i="42"/>
  <c r="Q224" i="42"/>
  <c r="BB36" i="42"/>
  <c r="Q297" i="42"/>
  <c r="AZ362" i="42"/>
  <c r="N122" i="42"/>
  <c r="B161" i="47"/>
  <c r="J366" i="42"/>
  <c r="G277" i="42"/>
  <c r="D160" i="47"/>
  <c r="J118" i="42"/>
  <c r="F147" i="42"/>
  <c r="L246" i="42"/>
  <c r="O329" i="42"/>
  <c r="Q74" i="42"/>
  <c r="BC146" i="42"/>
  <c r="AZ202" i="42"/>
  <c r="F239" i="47"/>
  <c r="D233" i="47"/>
  <c r="K13" i="42"/>
  <c r="D143" i="47"/>
  <c r="AZ150" i="42"/>
  <c r="H365" i="42"/>
  <c r="M114" i="42"/>
  <c r="BA288" i="42"/>
  <c r="M318" i="42"/>
  <c r="D65" i="42"/>
  <c r="F167" i="47"/>
  <c r="BA174" i="42"/>
  <c r="I116" i="42"/>
  <c r="F119" i="47"/>
  <c r="D287" i="47"/>
  <c r="M302" i="42"/>
  <c r="N344" i="42"/>
  <c r="D252" i="47"/>
  <c r="F166" i="47"/>
  <c r="BA242" i="42"/>
  <c r="I300" i="42"/>
  <c r="B240" i="47"/>
  <c r="H50" i="42"/>
  <c r="H279" i="42"/>
  <c r="K70" i="42"/>
  <c r="K179" i="42"/>
  <c r="BA274" i="42"/>
  <c r="O280" i="42"/>
  <c r="I237" i="42"/>
  <c r="Q190" i="42"/>
  <c r="M96" i="42"/>
  <c r="E359" i="47"/>
  <c r="P69" i="42"/>
  <c r="AY255" i="42"/>
  <c r="O370" i="42"/>
  <c r="G297" i="42"/>
  <c r="H233" i="42"/>
  <c r="Q370" i="42"/>
  <c r="J96" i="42"/>
  <c r="F305" i="42"/>
  <c r="M221" i="42"/>
  <c r="G332" i="42"/>
  <c r="B239" i="47"/>
  <c r="F24" i="47"/>
  <c r="H337" i="42"/>
  <c r="C238" i="47"/>
  <c r="F114" i="47"/>
  <c r="AZ261" i="42"/>
  <c r="Q271" i="42"/>
  <c r="L77" i="42"/>
  <c r="N314" i="42"/>
  <c r="BB60" i="42"/>
  <c r="AY261" i="42"/>
  <c r="BC348" i="42"/>
  <c r="H43" i="42"/>
  <c r="BA166" i="42"/>
  <c r="F22" i="47"/>
  <c r="P239" i="42"/>
  <c r="H261" i="42"/>
  <c r="I263" i="42"/>
  <c r="P22" i="42"/>
  <c r="F283" i="42"/>
  <c r="P78" i="42"/>
  <c r="AZ308" i="42"/>
  <c r="C206" i="47"/>
  <c r="H355" i="42"/>
  <c r="M61" i="42"/>
  <c r="L370" i="42"/>
  <c r="O363" i="42"/>
  <c r="K224" i="42"/>
  <c r="BA224" i="42"/>
  <c r="M276" i="42"/>
  <c r="AY365" i="42"/>
  <c r="O198" i="42"/>
  <c r="K44" i="42"/>
  <c r="O151" i="42"/>
  <c r="P118" i="42"/>
  <c r="L45" i="42"/>
  <c r="N220" i="42"/>
  <c r="BC82" i="42"/>
  <c r="M353" i="42"/>
  <c r="C86" i="47"/>
  <c r="N40" i="42"/>
  <c r="F331" i="42"/>
  <c r="BA310" i="42"/>
  <c r="H177" i="42"/>
  <c r="AY51" i="42"/>
  <c r="BB306" i="42"/>
  <c r="E287" i="47"/>
  <c r="BB287" i="42"/>
  <c r="N17" i="42"/>
  <c r="D97" i="42"/>
  <c r="J289" i="42"/>
  <c r="Q301" i="42"/>
  <c r="O165" i="42"/>
  <c r="I333" i="42"/>
  <c r="AY44" i="42"/>
  <c r="BB242" i="42"/>
  <c r="E52" i="47"/>
  <c r="C252" i="47"/>
  <c r="L298" i="42"/>
  <c r="BA24" i="42"/>
  <c r="G190" i="42"/>
  <c r="H266" i="42"/>
  <c r="BB164" i="42"/>
  <c r="L358" i="42"/>
  <c r="F31" i="47"/>
  <c r="E43" i="47"/>
  <c r="B271" i="47"/>
  <c r="AZ370" i="42"/>
  <c r="O31" i="42"/>
  <c r="I57" i="42"/>
  <c r="M305" i="42"/>
  <c r="N211" i="42"/>
  <c r="N165" i="42"/>
  <c r="C136" i="47"/>
  <c r="E350" i="47"/>
  <c r="AZ318" i="42"/>
  <c r="BA372" i="42"/>
  <c r="D187" i="42"/>
  <c r="M75" i="42"/>
  <c r="I56" i="42"/>
  <c r="Q236" i="42"/>
  <c r="F306" i="47"/>
  <c r="AY341" i="42"/>
  <c r="BB323" i="42"/>
  <c r="F269" i="47"/>
  <c r="C256" i="47"/>
  <c r="I326" i="42"/>
  <c r="K38" i="42"/>
  <c r="L369" i="42"/>
  <c r="J211" i="42"/>
  <c r="C122" i="47"/>
  <c r="I229" i="42"/>
  <c r="I218" i="42"/>
  <c r="BA291" i="42"/>
  <c r="E348" i="47"/>
  <c r="BA362" i="42"/>
  <c r="D334" i="47"/>
  <c r="E205" i="47"/>
  <c r="F116" i="47"/>
  <c r="B350" i="47"/>
  <c r="BA152" i="42"/>
  <c r="E182" i="47"/>
  <c r="J102" i="42"/>
  <c r="B119" i="47"/>
  <c r="I71" i="42"/>
  <c r="BA127" i="42"/>
  <c r="O282" i="42"/>
  <c r="BC291" i="42"/>
  <c r="N219" i="42"/>
  <c r="J240" i="42"/>
  <c r="F244" i="42"/>
  <c r="AY285" i="42"/>
  <c r="P71" i="42"/>
  <c r="D116" i="47"/>
  <c r="K72" i="42"/>
  <c r="J239" i="42"/>
  <c r="C281" i="47"/>
  <c r="G172" i="42"/>
  <c r="BA32" i="42"/>
  <c r="Q269" i="42"/>
  <c r="K239" i="42"/>
  <c r="G72" i="42"/>
  <c r="K98" i="42"/>
  <c r="I292" i="42"/>
  <c r="BC28" i="42"/>
  <c r="H268" i="42"/>
  <c r="E58" i="47"/>
  <c r="D147" i="47"/>
  <c r="F374" i="47"/>
  <c r="B115" i="47"/>
  <c r="E165" i="47"/>
  <c r="BC273" i="42"/>
  <c r="AZ218" i="42"/>
  <c r="L34" i="42"/>
  <c r="P19" i="42"/>
  <c r="P303" i="42"/>
  <c r="AZ164" i="42"/>
  <c r="D355" i="47"/>
  <c r="F146" i="47"/>
  <c r="AY91" i="42"/>
  <c r="F213" i="47"/>
  <c r="F62" i="42"/>
  <c r="H234" i="42"/>
  <c r="J175" i="42"/>
  <c r="BB314" i="42"/>
  <c r="D303" i="42"/>
  <c r="M324" i="42"/>
  <c r="AY227" i="42"/>
  <c r="BA263" i="42"/>
  <c r="I28" i="42"/>
  <c r="L243" i="42"/>
  <c r="BA21" i="42"/>
  <c r="Q268" i="42"/>
  <c r="N147" i="42"/>
  <c r="L341" i="42"/>
  <c r="I102" i="42"/>
  <c r="P46" i="42"/>
  <c r="Q163" i="42"/>
  <c r="BC199" i="42"/>
  <c r="L121" i="42"/>
  <c r="AZ41" i="42"/>
  <c r="Q94" i="42"/>
  <c r="H283" i="42"/>
  <c r="O133" i="42"/>
  <c r="H123" i="42"/>
  <c r="O176" i="42"/>
  <c r="N69" i="42"/>
  <c r="H286" i="42"/>
  <c r="G372" i="42"/>
  <c r="F291" i="42"/>
  <c r="O50" i="42"/>
  <c r="AZ62" i="42"/>
  <c r="L334" i="42"/>
  <c r="H82" i="42"/>
  <c r="BA180" i="42"/>
  <c r="F373" i="47"/>
  <c r="F197" i="47"/>
  <c r="G263" i="42"/>
  <c r="I96" i="42"/>
  <c r="AY192" i="42"/>
  <c r="K217" i="42"/>
  <c r="D19" i="42"/>
  <c r="P271" i="42"/>
  <c r="K277" i="42"/>
  <c r="BA176" i="42"/>
  <c r="F96" i="47"/>
  <c r="E193" i="47"/>
  <c r="D275" i="47"/>
  <c r="AZ53" i="42"/>
  <c r="C314" i="47"/>
  <c r="P371" i="42"/>
  <c r="D110" i="47"/>
  <c r="K303" i="42"/>
  <c r="J155" i="42"/>
  <c r="F258" i="42"/>
  <c r="J77" i="42"/>
  <c r="K77" i="42"/>
  <c r="BB11" i="42"/>
  <c r="L266" i="42"/>
  <c r="C182" i="47"/>
  <c r="P92" i="42"/>
  <c r="BC58" i="42"/>
  <c r="J291" i="42"/>
  <c r="N269" i="42"/>
  <c r="F215" i="42"/>
  <c r="O105" i="42"/>
  <c r="H176" i="42"/>
  <c r="F199" i="42"/>
  <c r="BA363" i="42"/>
  <c r="F13" i="47"/>
  <c r="P328" i="42"/>
  <c r="J351" i="42"/>
  <c r="O302" i="42"/>
  <c r="BA265" i="42"/>
  <c r="B353" i="47"/>
  <c r="D289" i="47"/>
  <c r="AZ51" i="42"/>
  <c r="B88" i="47"/>
  <c r="D90" i="42"/>
  <c r="BC311" i="42"/>
  <c r="P36" i="42"/>
  <c r="AZ309" i="42"/>
  <c r="BC189" i="42"/>
  <c r="L302" i="42"/>
  <c r="B321" i="47"/>
  <c r="E98" i="47"/>
  <c r="BA196" i="42"/>
  <c r="C153" i="47"/>
  <c r="B97" i="47"/>
  <c r="BB156" i="42"/>
  <c r="N97" i="42"/>
  <c r="H236" i="42"/>
  <c r="Q366" i="42"/>
  <c r="BB295" i="42"/>
  <c r="AY348" i="42"/>
  <c r="F56" i="47"/>
  <c r="G188" i="42"/>
  <c r="K133" i="42"/>
  <c r="B360" i="47"/>
  <c r="M105" i="42"/>
  <c r="I33" i="42"/>
  <c r="N52" i="42"/>
  <c r="D35" i="42"/>
  <c r="G262" i="42"/>
  <c r="P84" i="42"/>
  <c r="I331" i="42"/>
  <c r="O21" i="42"/>
  <c r="BC124" i="42"/>
  <c r="G316" i="42"/>
  <c r="AZ194" i="42"/>
  <c r="D111" i="42"/>
  <c r="BA184" i="42"/>
  <c r="M228" i="42"/>
  <c r="BC20" i="42"/>
  <c r="L175" i="42"/>
  <c r="D346" i="42"/>
  <c r="E230" i="47"/>
  <c r="AY295" i="42"/>
  <c r="BB219" i="42"/>
  <c r="E139" i="47"/>
  <c r="F366" i="47"/>
  <c r="G346" i="42"/>
  <c r="N261" i="42"/>
  <c r="J283" i="42"/>
  <c r="M70" i="42"/>
  <c r="G11" i="42"/>
  <c r="BB276" i="42"/>
  <c r="AY148" i="42"/>
  <c r="BB263" i="42"/>
  <c r="L135" i="42"/>
  <c r="F45" i="47"/>
  <c r="I328" i="42"/>
  <c r="O143" i="42"/>
  <c r="O148" i="42"/>
  <c r="J251" i="42"/>
  <c r="D66" i="42"/>
  <c r="I368" i="42"/>
  <c r="G310" i="42"/>
  <c r="AZ257" i="42"/>
  <c r="AY201" i="42"/>
  <c r="J181" i="42"/>
  <c r="G222" i="42"/>
  <c r="L336" i="42"/>
  <c r="D241" i="42"/>
  <c r="G32" i="42"/>
  <c r="J318" i="42"/>
  <c r="BB101" i="42"/>
  <c r="G101" i="42"/>
  <c r="AZ340" i="42"/>
  <c r="M99" i="42"/>
  <c r="M352" i="42"/>
  <c r="BC331" i="42"/>
  <c r="P37" i="42"/>
  <c r="AY158" i="42"/>
  <c r="Q181" i="42"/>
  <c r="J354" i="42"/>
  <c r="P355" i="42"/>
  <c r="H305" i="42"/>
  <c r="BC19" i="42"/>
  <c r="AZ348" i="42"/>
  <c r="BC148" i="42"/>
  <c r="AY252" i="42"/>
  <c r="B136" i="47"/>
  <c r="L207" i="42"/>
  <c r="K110" i="42"/>
  <c r="M262" i="42"/>
  <c r="H157" i="42"/>
  <c r="P168" i="42"/>
  <c r="H91" i="42"/>
  <c r="AZ290" i="42"/>
  <c r="BC351" i="42"/>
  <c r="AY193" i="42"/>
  <c r="E340" i="47"/>
  <c r="B162" i="47"/>
  <c r="L95" i="42"/>
  <c r="D344" i="42"/>
  <c r="AZ374" i="42"/>
  <c r="AY270" i="42"/>
  <c r="L340" i="42"/>
  <c r="D217" i="47"/>
  <c r="BA349" i="42"/>
  <c r="E234" i="47"/>
  <c r="B183" i="47"/>
  <c r="N277" i="42"/>
  <c r="P96" i="42"/>
  <c r="AZ366" i="42"/>
  <c r="K148" i="42"/>
  <c r="Q176" i="42"/>
  <c r="BC87" i="42"/>
  <c r="F65" i="42"/>
  <c r="I199" i="42"/>
  <c r="C47" i="47"/>
  <c r="F270" i="47"/>
  <c r="I312" i="42"/>
  <c r="M290" i="42"/>
  <c r="AZ273" i="42"/>
  <c r="M269" i="42"/>
  <c r="F51" i="47"/>
  <c r="D157" i="47"/>
  <c r="AY244" i="42"/>
  <c r="B124" i="47"/>
  <c r="E32" i="47"/>
  <c r="BA236" i="42"/>
  <c r="J302" i="42"/>
  <c r="Q201" i="42"/>
  <c r="G257" i="42"/>
  <c r="BA56" i="42"/>
  <c r="AY26" i="42"/>
  <c r="BB199" i="42"/>
  <c r="L85" i="42"/>
  <c r="I176" i="42"/>
  <c r="K280" i="42"/>
  <c r="AY187" i="42"/>
  <c r="D146" i="47"/>
  <c r="E332" i="47"/>
  <c r="BA71" i="42"/>
  <c r="B182" i="47"/>
  <c r="F297" i="42"/>
  <c r="G208" i="42"/>
  <c r="F175" i="47"/>
  <c r="I27" i="42"/>
  <c r="BA36" i="42"/>
  <c r="F212" i="42"/>
  <c r="K216" i="42"/>
  <c r="F11" i="47"/>
  <c r="I110" i="42"/>
  <c r="K245" i="42"/>
  <c r="AZ229" i="42"/>
  <c r="AY283" i="42"/>
  <c r="O52" i="42"/>
  <c r="AZ353" i="42"/>
  <c r="G126" i="42"/>
  <c r="G335" i="42"/>
  <c r="Q70" i="42"/>
  <c r="P289" i="42"/>
  <c r="BB341" i="42"/>
  <c r="J104" i="42"/>
  <c r="BC306" i="42"/>
  <c r="AZ74" i="42"/>
  <c r="F370" i="42"/>
  <c r="BC228" i="42"/>
  <c r="BB109" i="42"/>
  <c r="D117" i="47"/>
  <c r="B329" i="47"/>
  <c r="E37" i="47"/>
  <c r="K137" i="42"/>
  <c r="M369" i="42"/>
  <c r="L59" i="42"/>
  <c r="Q101" i="42"/>
  <c r="N51" i="42"/>
  <c r="I271" i="42"/>
  <c r="BB39" i="42"/>
  <c r="E290" i="47"/>
  <c r="C149" i="47"/>
  <c r="E183" i="47"/>
  <c r="C31" i="47"/>
  <c r="M239" i="42"/>
  <c r="F113" i="42"/>
  <c r="N372" i="42"/>
  <c r="D290" i="47"/>
  <c r="I146" i="42"/>
  <c r="F325" i="42"/>
  <c r="B24" i="47"/>
  <c r="F247" i="47"/>
  <c r="D85" i="47"/>
  <c r="F27" i="42"/>
  <c r="F83" i="42"/>
  <c r="H73" i="42"/>
  <c r="AY23" i="42"/>
  <c r="D375" i="42"/>
  <c r="G14" i="42"/>
  <c r="O310" i="42"/>
  <c r="J165" i="42"/>
  <c r="AY329" i="42"/>
  <c r="N115" i="42"/>
  <c r="G149" i="42"/>
  <c r="O317" i="42"/>
  <c r="BB89" i="42"/>
  <c r="L221" i="42"/>
  <c r="O33" i="42"/>
  <c r="H64" i="42"/>
  <c r="I98" i="42"/>
  <c r="BA317" i="42"/>
  <c r="D61" i="42"/>
  <c r="D323" i="42"/>
  <c r="H232" i="42"/>
  <c r="D245" i="47"/>
  <c r="AY375" i="42"/>
  <c r="BB102" i="42"/>
  <c r="I82" i="42"/>
  <c r="AZ279" i="42"/>
  <c r="F133" i="47"/>
  <c r="H57" i="42"/>
  <c r="P290" i="42"/>
  <c r="N371" i="42"/>
  <c r="D122" i="42"/>
  <c r="G186" i="42"/>
  <c r="N340" i="42"/>
  <c r="BB310" i="42"/>
  <c r="F361" i="42"/>
  <c r="BA40" i="42"/>
  <c r="D33" i="47"/>
  <c r="D178" i="47"/>
  <c r="K367" i="42"/>
  <c r="K96" i="42"/>
  <c r="L287" i="42"/>
  <c r="E221" i="47"/>
  <c r="AY13" i="42"/>
  <c r="O108" i="42"/>
  <c r="D48" i="47"/>
  <c r="D117" i="42"/>
  <c r="M247" i="42"/>
  <c r="M274" i="42"/>
  <c r="K106" i="42"/>
  <c r="F218" i="47"/>
  <c r="P70" i="42"/>
  <c r="C187" i="47"/>
  <c r="Q317" i="42"/>
  <c r="J223" i="42"/>
  <c r="BC226" i="42"/>
  <c r="I205" i="42"/>
  <c r="AZ94" i="42"/>
  <c r="Q270" i="42"/>
  <c r="O194" i="42"/>
  <c r="AY286" i="42"/>
  <c r="N117" i="42"/>
  <c r="J63" i="42"/>
  <c r="Q289" i="42"/>
  <c r="L234" i="42"/>
  <c r="C285" i="47"/>
  <c r="F46" i="47"/>
  <c r="C339" i="47"/>
  <c r="F30" i="47"/>
  <c r="BB67" i="42"/>
  <c r="AZ47" i="42"/>
  <c r="N271" i="42"/>
  <c r="D151" i="47"/>
  <c r="L170" i="42"/>
  <c r="M214" i="42"/>
  <c r="B252" i="47"/>
  <c r="F355" i="47"/>
  <c r="C354" i="47"/>
  <c r="B367" i="47"/>
  <c r="D188" i="47"/>
  <c r="G305" i="42"/>
  <c r="P253" i="42"/>
  <c r="D137" i="42"/>
  <c r="Q188" i="42"/>
  <c r="K187" i="42"/>
  <c r="E150" i="47"/>
  <c r="B249" i="47"/>
  <c r="J110" i="42"/>
  <c r="BA368" i="42"/>
  <c r="M18" i="42"/>
  <c r="H162" i="42"/>
  <c r="BA73" i="42"/>
  <c r="J128" i="42"/>
  <c r="P234" i="42"/>
  <c r="F363" i="47"/>
  <c r="K136" i="42"/>
  <c r="D225" i="47"/>
  <c r="N352" i="42"/>
  <c r="AY272" i="42"/>
  <c r="D260" i="42"/>
  <c r="L99" i="42"/>
  <c r="I297" i="42"/>
  <c r="I211" i="42"/>
  <c r="D233" i="42"/>
  <c r="K184" i="42"/>
  <c r="C162" i="47"/>
  <c r="O274" i="42"/>
  <c r="F97" i="47"/>
  <c r="D81" i="47"/>
  <c r="AY140" i="42"/>
  <c r="E152" i="47"/>
  <c r="D104" i="47"/>
  <c r="M201" i="42"/>
  <c r="G83" i="42"/>
  <c r="F181" i="42"/>
  <c r="D343" i="42"/>
  <c r="D198" i="42"/>
  <c r="BC201" i="42"/>
  <c r="D41" i="47"/>
  <c r="B323" i="47"/>
  <c r="BB217" i="42"/>
  <c r="D24" i="47"/>
  <c r="O272" i="42"/>
  <c r="H140" i="42"/>
  <c r="P282" i="42"/>
  <c r="F49" i="42"/>
  <c r="P358" i="42"/>
  <c r="J182" i="42"/>
  <c r="BA124" i="42"/>
  <c r="L33" i="42"/>
  <c r="Q265" i="42"/>
  <c r="BC287" i="42"/>
  <c r="N301" i="42"/>
  <c r="F344" i="42"/>
  <c r="G120" i="42"/>
  <c r="BA19" i="42"/>
  <c r="D372" i="42"/>
  <c r="K221" i="42"/>
  <c r="N235" i="42"/>
  <c r="K219" i="42"/>
  <c r="J255" i="42"/>
  <c r="Q12" i="42"/>
  <c r="C303" i="47"/>
  <c r="M238" i="42"/>
  <c r="BC100" i="42"/>
  <c r="N21" i="42"/>
  <c r="H206" i="42"/>
  <c r="H22" i="42"/>
  <c r="N170" i="42"/>
  <c r="F360" i="42"/>
  <c r="B324" i="47"/>
  <c r="C264" i="47"/>
  <c r="BC302" i="42"/>
  <c r="D65" i="47"/>
  <c r="P297" i="42"/>
  <c r="BC32" i="42"/>
  <c r="Q248" i="42"/>
  <c r="K43" i="42"/>
  <c r="H371" i="42"/>
  <c r="P112" i="42"/>
  <c r="B327" i="47"/>
  <c r="C155" i="47"/>
  <c r="F172" i="47"/>
  <c r="E219" i="47"/>
  <c r="E269" i="47"/>
  <c r="BA269" i="42"/>
  <c r="O47" i="42"/>
  <c r="G327" i="42"/>
  <c r="M129" i="42"/>
  <c r="G369" i="42"/>
  <c r="BC286" i="42"/>
  <c r="I73" i="42"/>
  <c r="AZ61" i="42"/>
  <c r="AZ335" i="42"/>
  <c r="E243" i="47"/>
  <c r="P220" i="42"/>
  <c r="H41" i="42"/>
  <c r="Q96" i="42"/>
  <c r="B206" i="47"/>
  <c r="H188" i="42"/>
  <c r="O60" i="42"/>
  <c r="J213" i="42"/>
  <c r="BB330" i="42"/>
  <c r="N293" i="42"/>
  <c r="BA358" i="42"/>
  <c r="F375" i="42"/>
  <c r="BB244" i="42"/>
  <c r="I303" i="42"/>
  <c r="F23" i="47"/>
  <c r="E56" i="47"/>
  <c r="C309" i="47"/>
  <c r="D247" i="47"/>
  <c r="E312" i="47"/>
  <c r="F63" i="42"/>
  <c r="I182" i="42"/>
  <c r="J309" i="42"/>
  <c r="Q336" i="42"/>
  <c r="BC138" i="42"/>
  <c r="BA91" i="42"/>
  <c r="AY292" i="42"/>
  <c r="E345" i="47"/>
  <c r="B349" i="47"/>
  <c r="J12" i="42"/>
  <c r="BA118" i="42"/>
  <c r="B149" i="47"/>
  <c r="C101" i="47"/>
  <c r="G326" i="42"/>
  <c r="D100" i="47"/>
  <c r="Q307" i="42"/>
  <c r="D110" i="42"/>
  <c r="F327" i="47"/>
  <c r="L199" i="42"/>
  <c r="E33" i="47"/>
  <c r="O84" i="42"/>
  <c r="M363" i="42"/>
  <c r="E209" i="47"/>
  <c r="O57" i="42"/>
  <c r="M51" i="42"/>
  <c r="J126" i="42"/>
  <c r="G309" i="42"/>
  <c r="K48" i="42"/>
  <c r="AZ119" i="42"/>
  <c r="BC282" i="42"/>
  <c r="C347" i="47"/>
  <c r="F264" i="42"/>
  <c r="M347" i="42"/>
  <c r="BA292" i="42"/>
  <c r="B158" i="47"/>
  <c r="E321" i="47"/>
  <c r="N134" i="42"/>
  <c r="O81" i="42"/>
  <c r="AZ205" i="42"/>
  <c r="O25" i="42"/>
  <c r="J269" i="42"/>
  <c r="P203" i="42"/>
  <c r="AY11" i="42"/>
  <c r="BA304" i="42"/>
  <c r="C369" i="47"/>
  <c r="F70" i="47"/>
  <c r="BB185" i="42"/>
  <c r="H230" i="42"/>
  <c r="BA167" i="42"/>
  <c r="P273" i="42"/>
  <c r="E273" i="47"/>
  <c r="F274" i="42"/>
  <c r="D180" i="42"/>
  <c r="C367" i="47"/>
  <c r="B186" i="47"/>
  <c r="C66" i="47"/>
  <c r="I288" i="42"/>
  <c r="BA256" i="42"/>
  <c r="I240" i="42"/>
  <c r="D159" i="42"/>
  <c r="BC27" i="42"/>
  <c r="M301" i="42"/>
  <c r="M13" i="42"/>
  <c r="D301" i="42"/>
  <c r="F356" i="47"/>
  <c r="N263" i="42"/>
  <c r="BA214" i="42"/>
  <c r="M296" i="42"/>
  <c r="B18" i="47"/>
  <c r="N34" i="42"/>
  <c r="I78" i="42"/>
  <c r="BA117" i="42"/>
  <c r="O232" i="42"/>
  <c r="L61" i="42"/>
  <c r="F322" i="42"/>
  <c r="O366" i="42"/>
  <c r="O214" i="42"/>
  <c r="F48" i="47"/>
  <c r="D358" i="47"/>
  <c r="AY39" i="42"/>
  <c r="BA270" i="42"/>
  <c r="G331" i="42"/>
  <c r="C350" i="47"/>
  <c r="AY360" i="42"/>
  <c r="L60" i="42"/>
  <c r="L90" i="42"/>
  <c r="BB15" i="42"/>
  <c r="O340" i="42"/>
  <c r="Q182" i="42"/>
  <c r="B276" i="47"/>
  <c r="BB371" i="42"/>
  <c r="F116" i="42"/>
  <c r="E185" i="47"/>
  <c r="B197" i="47"/>
  <c r="I99" i="42"/>
  <c r="N90" i="42"/>
  <c r="BB198" i="42"/>
  <c r="G22" i="42"/>
  <c r="BA343" i="42"/>
  <c r="I194" i="42"/>
  <c r="P140" i="42"/>
  <c r="I213" i="42"/>
  <c r="F310" i="42"/>
  <c r="BA163" i="42"/>
  <c r="Q241" i="42"/>
  <c r="G344" i="42"/>
  <c r="M95" i="42"/>
  <c r="L270" i="42"/>
  <c r="P182" i="42"/>
  <c r="N28" i="42"/>
  <c r="C93" i="47"/>
  <c r="Q59" i="42"/>
  <c r="K123" i="42"/>
  <c r="I60" i="42"/>
  <c r="J288" i="42"/>
  <c r="BC79" i="42"/>
  <c r="J349" i="42"/>
  <c r="L211" i="42"/>
  <c r="L291" i="42"/>
  <c r="AY366" i="42"/>
  <c r="BC366" i="42"/>
  <c r="F98" i="47"/>
  <c r="D200" i="47"/>
  <c r="F177" i="47"/>
  <c r="K105" i="42"/>
  <c r="G160" i="42"/>
  <c r="I21" i="42"/>
  <c r="BB231" i="42"/>
  <c r="AY183" i="42"/>
  <c r="I164" i="42"/>
  <c r="B82" i="47"/>
  <c r="F84" i="47"/>
  <c r="E365" i="47"/>
  <c r="D310" i="47"/>
  <c r="E91" i="47"/>
  <c r="L195" i="42"/>
  <c r="I286" i="42"/>
  <c r="P185" i="42"/>
  <c r="M54" i="42"/>
  <c r="O181" i="42"/>
  <c r="BC202" i="42"/>
  <c r="D106" i="47"/>
  <c r="F325" i="47"/>
  <c r="P308" i="42"/>
  <c r="I49" i="42"/>
  <c r="D311" i="42"/>
  <c r="I48" i="42"/>
  <c r="J125" i="42"/>
  <c r="J360" i="42"/>
  <c r="AZ212" i="42"/>
  <c r="J98" i="42"/>
  <c r="I371" i="42"/>
  <c r="D310" i="42"/>
  <c r="F360" i="47"/>
  <c r="K14" i="42"/>
  <c r="Q335" i="42"/>
  <c r="L250" i="42"/>
  <c r="AZ169" i="42"/>
  <c r="F283" i="47"/>
  <c r="L269" i="42"/>
  <c r="D268" i="47"/>
  <c r="F295" i="42"/>
  <c r="F44" i="47"/>
  <c r="D20" i="47"/>
  <c r="B21" i="47"/>
  <c r="D242" i="47"/>
  <c r="N288" i="42"/>
  <c r="J143" i="42"/>
  <c r="BC269" i="42"/>
  <c r="D365" i="42"/>
  <c r="G215" i="42"/>
  <c r="N326" i="42"/>
  <c r="H169" i="42"/>
  <c r="E160" i="47"/>
  <c r="C333" i="47"/>
  <c r="F142" i="47"/>
  <c r="F18" i="47"/>
  <c r="J347" i="42"/>
  <c r="F374" i="42"/>
  <c r="P196" i="42"/>
  <c r="M288" i="42"/>
  <c r="I90" i="42"/>
  <c r="D336" i="42"/>
  <c r="C165" i="47"/>
  <c r="I298" i="42"/>
  <c r="K263" i="42"/>
  <c r="G111" i="42"/>
  <c r="P218" i="42"/>
  <c r="AZ163" i="42"/>
  <c r="M313" i="42"/>
  <c r="H275" i="42"/>
  <c r="F326" i="42"/>
  <c r="BB293" i="42"/>
  <c r="I329" i="42"/>
  <c r="J14" i="42"/>
  <c r="I16" i="42"/>
  <c r="P221" i="42"/>
  <c r="BC86" i="42"/>
  <c r="J260" i="42"/>
  <c r="C227" i="47"/>
  <c r="F355" i="42"/>
  <c r="P154" i="42"/>
  <c r="P348" i="42"/>
  <c r="M304" i="42"/>
  <c r="B344" i="47"/>
  <c r="C71" i="47"/>
  <c r="F290" i="47"/>
  <c r="AY123" i="42"/>
  <c r="C269" i="47"/>
  <c r="K255" i="42"/>
  <c r="AY342" i="42"/>
  <c r="L103" i="42"/>
  <c r="G223" i="42"/>
  <c r="BA235" i="42"/>
  <c r="M243" i="42"/>
  <c r="D31" i="47"/>
  <c r="F368" i="47"/>
  <c r="B184" i="47"/>
  <c r="E74" i="47"/>
  <c r="D210" i="47"/>
  <c r="AY208" i="42"/>
  <c r="D91" i="42"/>
  <c r="Q363" i="42"/>
  <c r="Q267" i="42"/>
  <c r="AZ59" i="42"/>
  <c r="G319" i="42"/>
  <c r="BA306" i="42"/>
  <c r="M189" i="42"/>
  <c r="B227" i="47"/>
  <c r="M72" i="42"/>
  <c r="N230" i="42"/>
  <c r="P72" i="42"/>
  <c r="BA367" i="42"/>
  <c r="O267" i="42"/>
  <c r="AZ78" i="42"/>
  <c r="B11" i="47"/>
  <c r="BB46" i="42"/>
  <c r="B215" i="47"/>
  <c r="L361" i="42"/>
  <c r="D363" i="42"/>
  <c r="B342" i="47"/>
  <c r="K314" i="42"/>
  <c r="BA278" i="42"/>
  <c r="D28" i="47"/>
  <c r="E338" i="47"/>
  <c r="D107" i="47"/>
  <c r="D97" i="47"/>
  <c r="C15" i="47"/>
  <c r="M190" i="42"/>
  <c r="H97" i="42"/>
  <c r="O63" i="42"/>
  <c r="O126" i="42"/>
  <c r="O202" i="42"/>
  <c r="E189" i="47"/>
  <c r="B174" i="47"/>
  <c r="F139" i="47"/>
  <c r="C317" i="47"/>
  <c r="I107" i="42"/>
  <c r="AY209" i="42"/>
  <c r="BA113" i="42"/>
  <c r="AY210" i="42"/>
  <c r="K256" i="42"/>
  <c r="AY47" i="42"/>
  <c r="H368" i="42"/>
  <c r="BB116" i="42"/>
  <c r="E357" i="47"/>
  <c r="BC11" i="42"/>
  <c r="L216" i="42"/>
  <c r="I62" i="42"/>
  <c r="AZ123" i="42"/>
  <c r="AY343" i="42"/>
  <c r="I257" i="42"/>
  <c r="M132" i="42"/>
  <c r="F229" i="47"/>
  <c r="J51" i="42"/>
  <c r="I332" i="42"/>
  <c r="M275" i="42"/>
  <c r="AY118" i="42"/>
  <c r="G275" i="42"/>
  <c r="BA149" i="42"/>
  <c r="L251" i="42"/>
  <c r="AY116" i="42"/>
  <c r="E73" i="47"/>
  <c r="O247" i="42"/>
  <c r="J162" i="42"/>
  <c r="BC13" i="42"/>
  <c r="M50" i="42"/>
  <c r="K101" i="42"/>
  <c r="Q273" i="42"/>
  <c r="AY311" i="42"/>
  <c r="B70" i="47"/>
  <c r="F73" i="47"/>
  <c r="M326" i="42"/>
  <c r="AY175" i="42"/>
  <c r="D341" i="47"/>
  <c r="AY161" i="42"/>
  <c r="G364" i="42"/>
  <c r="D343" i="47"/>
  <c r="B191" i="47"/>
  <c r="J204" i="42"/>
  <c r="BB115" i="42"/>
  <c r="L346" i="42"/>
  <c r="BC196" i="42"/>
  <c r="F125" i="42"/>
  <c r="BA14" i="42"/>
  <c r="N68" i="42"/>
  <c r="I119" i="42"/>
  <c r="P171" i="42"/>
  <c r="BB362" i="42"/>
  <c r="B288" i="47"/>
  <c r="BB65" i="42"/>
  <c r="G169" i="42"/>
  <c r="BA38" i="42"/>
  <c r="D204" i="47"/>
  <c r="Q20" i="42"/>
  <c r="D314" i="42"/>
  <c r="L317" i="42"/>
  <c r="J210" i="42"/>
  <c r="H128" i="42"/>
  <c r="M271" i="42"/>
  <c r="BB351" i="42"/>
  <c r="F166" i="42"/>
  <c r="BA345" i="42"/>
  <c r="F240" i="47"/>
  <c r="D123" i="47"/>
  <c r="L194" i="42"/>
  <c r="F43" i="42"/>
  <c r="AZ140" i="42"/>
  <c r="BB121" i="42"/>
  <c r="AZ80" i="42"/>
  <c r="I92" i="42"/>
  <c r="C76" i="47"/>
  <c r="B106" i="47"/>
  <c r="C41" i="47"/>
  <c r="I165" i="42"/>
  <c r="O136" i="42"/>
  <c r="AY234" i="42"/>
  <c r="J295" i="42"/>
  <c r="N186" i="42"/>
  <c r="J74" i="42"/>
  <c r="E93" i="47"/>
  <c r="M312" i="42"/>
  <c r="AY29" i="42"/>
  <c r="Q64" i="42"/>
  <c r="I38" i="42"/>
  <c r="N156" i="42"/>
  <c r="BC104" i="42"/>
  <c r="I163" i="42"/>
  <c r="P50" i="42"/>
  <c r="L120" i="42"/>
  <c r="I17" i="42"/>
  <c r="E174" i="47"/>
  <c r="I53" i="42"/>
  <c r="D275" i="42"/>
  <c r="Q80" i="42"/>
  <c r="J300" i="42"/>
  <c r="E297" i="47"/>
  <c r="B160" i="47"/>
  <c r="E148" i="47"/>
  <c r="BA211" i="42"/>
  <c r="E142" i="47"/>
  <c r="G15" i="42"/>
  <c r="I86" i="42"/>
  <c r="Q77" i="42"/>
  <c r="BA151" i="42"/>
  <c r="F133" i="42"/>
  <c r="I248" i="42"/>
  <c r="B181" i="47"/>
  <c r="F103" i="47"/>
  <c r="BA86" i="42"/>
  <c r="F161" i="47"/>
  <c r="E88" i="47"/>
  <c r="BC183" i="42"/>
  <c r="H212" i="42"/>
  <c r="G97" i="42"/>
  <c r="N129" i="42"/>
  <c r="BC203" i="42"/>
  <c r="G78" i="42"/>
  <c r="F232" i="42"/>
  <c r="P284" i="42"/>
  <c r="D113" i="42"/>
  <c r="H245" i="42"/>
  <c r="P156" i="42"/>
  <c r="BB37" i="42"/>
  <c r="G290" i="42"/>
  <c r="P374" i="42"/>
  <c r="I247" i="42"/>
  <c r="J92" i="42"/>
  <c r="BC73" i="42"/>
  <c r="H278" i="42"/>
  <c r="BA139" i="42"/>
  <c r="O369" i="42"/>
  <c r="K84" i="42"/>
  <c r="L186" i="42"/>
  <c r="P173" i="42"/>
  <c r="N67" i="42"/>
  <c r="Q27" i="42"/>
  <c r="BC276" i="42"/>
  <c r="B122" i="47"/>
  <c r="BB352" i="42"/>
  <c r="D206" i="47"/>
  <c r="D317" i="47"/>
  <c r="Q232" i="42"/>
  <c r="P320" i="42"/>
  <c r="BB229" i="42"/>
  <c r="H167" i="42"/>
  <c r="BB74" i="42"/>
  <c r="G68" i="42"/>
  <c r="AY245" i="42"/>
  <c r="BB162" i="42"/>
  <c r="E289" i="47"/>
  <c r="C374" i="47"/>
  <c r="H102" i="42"/>
  <c r="P198" i="42"/>
  <c r="BC345" i="42"/>
  <c r="J237" i="42"/>
  <c r="N245" i="42"/>
  <c r="Q293" i="42"/>
  <c r="L286" i="42"/>
  <c r="E329" i="47"/>
  <c r="O65" i="42"/>
  <c r="H89" i="42"/>
  <c r="D240" i="47"/>
  <c r="I212" i="42"/>
  <c r="Q298" i="42"/>
  <c r="H36" i="42"/>
  <c r="D165" i="42"/>
  <c r="BC326" i="42"/>
  <c r="D166" i="42"/>
  <c r="BB224" i="42"/>
  <c r="P330" i="42"/>
  <c r="AY117" i="42"/>
  <c r="O154" i="42"/>
  <c r="F170" i="42"/>
  <c r="BA37" i="42"/>
  <c r="Q212" i="42"/>
  <c r="AY296" i="42"/>
  <c r="AY374" i="42"/>
  <c r="I129" i="42"/>
  <c r="D101" i="47"/>
  <c r="AZ85" i="42"/>
  <c r="D131" i="47"/>
  <c r="C243" i="47"/>
  <c r="F215" i="47"/>
  <c r="I217" i="42"/>
  <c r="K344" i="42"/>
  <c r="AZ294" i="42"/>
  <c r="Q296" i="42"/>
  <c r="L362" i="42"/>
  <c r="I195" i="42"/>
  <c r="D185" i="47"/>
  <c r="E277" i="47"/>
  <c r="D59" i="47"/>
  <c r="B298" i="47"/>
  <c r="F11" i="42"/>
  <c r="J374" i="42"/>
  <c r="AZ288" i="42"/>
  <c r="D131" i="42"/>
  <c r="AY163" i="42"/>
  <c r="BB54" i="42"/>
  <c r="P160" i="42"/>
  <c r="E216" i="47"/>
  <c r="K319" i="42"/>
  <c r="O112" i="42"/>
  <c r="N133" i="42"/>
  <c r="O286" i="42"/>
  <c r="BC113" i="42"/>
  <c r="G259" i="42"/>
  <c r="BA94" i="42"/>
  <c r="M73" i="42"/>
  <c r="AY349" i="42"/>
  <c r="D204" i="42"/>
  <c r="D58" i="42"/>
  <c r="BB12" i="42"/>
  <c r="J33" i="42"/>
  <c r="AY231" i="42"/>
  <c r="D359" i="42"/>
  <c r="P302" i="42"/>
  <c r="BC243" i="42"/>
  <c r="G41" i="42"/>
  <c r="M161" i="42"/>
  <c r="L114" i="42"/>
  <c r="E194" i="47"/>
  <c r="C167" i="47"/>
  <c r="F85" i="47"/>
  <c r="D332" i="47"/>
  <c r="B269" i="47"/>
  <c r="AY215" i="42"/>
  <c r="F287" i="47"/>
  <c r="I63" i="42"/>
  <c r="H87" i="42"/>
  <c r="F42" i="47"/>
  <c r="M109" i="42"/>
  <c r="D212" i="47"/>
  <c r="C73" i="47"/>
  <c r="E144" i="47"/>
  <c r="C260" i="47"/>
  <c r="E81" i="47"/>
  <c r="M65" i="42"/>
  <c r="O324" i="42"/>
  <c r="D248" i="42"/>
  <c r="L342" i="42"/>
  <c r="O182" i="42"/>
  <c r="AZ65" i="42"/>
  <c r="E285" i="47"/>
  <c r="BA202" i="42"/>
  <c r="F236" i="47"/>
  <c r="F59" i="42"/>
  <c r="I13" i="42"/>
  <c r="J234" i="42"/>
  <c r="Q113" i="42"/>
  <c r="O150" i="42"/>
  <c r="AZ101" i="42"/>
  <c r="F303" i="42"/>
  <c r="B293" i="47"/>
  <c r="AZ244" i="42"/>
  <c r="M152" i="42"/>
  <c r="P35" i="42"/>
  <c r="N162" i="42"/>
  <c r="M251" i="42"/>
  <c r="BC81" i="42"/>
  <c r="M235" i="42"/>
  <c r="AZ211" i="42"/>
  <c r="D25" i="47"/>
  <c r="D367" i="47"/>
  <c r="I352" i="42"/>
  <c r="O231" i="42"/>
  <c r="BA147" i="42"/>
  <c r="J352" i="42"/>
  <c r="D11" i="42"/>
  <c r="Q168" i="42"/>
  <c r="I347" i="42"/>
  <c r="C99" i="47"/>
  <c r="B74" i="47"/>
  <c r="F299" i="47"/>
  <c r="AZ130" i="42"/>
  <c r="B80" i="47"/>
  <c r="E82" i="47"/>
  <c r="F27" i="47"/>
  <c r="E18" i="47"/>
  <c r="F37" i="47"/>
  <c r="D325" i="47"/>
  <c r="O109" i="42"/>
  <c r="B121" i="47"/>
  <c r="M46" i="42"/>
  <c r="I158" i="42"/>
  <c r="BB150" i="42"/>
  <c r="Q183" i="42"/>
  <c r="C28" i="47"/>
  <c r="L183" i="42"/>
  <c r="Q309" i="42"/>
  <c r="AY114" i="42"/>
  <c r="E246" i="47"/>
  <c r="AY230" i="42"/>
  <c r="J101" i="42"/>
  <c r="J247" i="42"/>
  <c r="I304" i="42"/>
  <c r="B17" i="47"/>
  <c r="M281" i="42"/>
  <c r="H211" i="42"/>
  <c r="O82" i="42"/>
  <c r="P298" i="42"/>
  <c r="D40" i="42"/>
  <c r="F356" i="42"/>
  <c r="BA161" i="42"/>
  <c r="AY56" i="42"/>
  <c r="E341" i="47"/>
  <c r="K114" i="42"/>
  <c r="C175" i="47"/>
  <c r="H51" i="42"/>
  <c r="N368" i="42"/>
  <c r="O145" i="42"/>
  <c r="BC57" i="42"/>
  <c r="O100" i="42"/>
  <c r="H372" i="42"/>
  <c r="B201" i="47"/>
  <c r="BB130" i="42"/>
  <c r="L143" i="42"/>
  <c r="D346" i="47"/>
  <c r="C114" i="47"/>
  <c r="D171" i="42"/>
  <c r="L248" i="42"/>
  <c r="K155" i="42"/>
  <c r="H152" i="42"/>
  <c r="BB107" i="42"/>
  <c r="AY235" i="42"/>
  <c r="AY119" i="42"/>
  <c r="BC157" i="42"/>
  <c r="F333" i="47"/>
  <c r="P49" i="42"/>
  <c r="J355" i="42"/>
  <c r="G248" i="42"/>
  <c r="L348" i="42"/>
  <c r="F138" i="42"/>
  <c r="P248" i="42"/>
  <c r="K233" i="42"/>
  <c r="J301" i="42"/>
  <c r="BC25" i="42"/>
  <c r="I254" i="42"/>
  <c r="AZ334" i="42"/>
  <c r="J327" i="42"/>
  <c r="D273" i="42"/>
  <c r="K112" i="42"/>
  <c r="F203" i="42"/>
  <c r="BA122" i="42"/>
  <c r="E375" i="42"/>
  <c r="M332" i="42"/>
  <c r="D38" i="47"/>
  <c r="N194" i="42"/>
  <c r="O291" i="42"/>
  <c r="L366" i="42"/>
  <c r="F194" i="42"/>
  <c r="C349" i="47"/>
  <c r="B154" i="47"/>
  <c r="D230" i="47"/>
  <c r="AY53" i="42"/>
  <c r="AZ280" i="42"/>
  <c r="BA297" i="42"/>
  <c r="J136" i="42"/>
  <c r="E296" i="47"/>
  <c r="K301" i="42"/>
  <c r="L30" i="42"/>
  <c r="C291" i="47"/>
  <c r="B45" i="47"/>
  <c r="D196" i="47"/>
  <c r="B189" i="47"/>
  <c r="E50" i="47"/>
  <c r="N135" i="42"/>
  <c r="P158" i="42"/>
  <c r="G46" i="42"/>
  <c r="O107" i="42"/>
  <c r="F200" i="42"/>
  <c r="O20" i="42"/>
  <c r="O300" i="42"/>
  <c r="Q299" i="42"/>
  <c r="G37" i="42"/>
  <c r="BB321" i="42"/>
  <c r="O70" i="42"/>
  <c r="B137" i="47"/>
  <c r="Q66" i="42"/>
  <c r="O96" i="42"/>
  <c r="BB236" i="42"/>
  <c r="Q178" i="42"/>
  <c r="AY308" i="42"/>
  <c r="M103" i="42"/>
  <c r="I23" i="42"/>
  <c r="L187" i="42"/>
  <c r="D148" i="42"/>
  <c r="F75" i="42"/>
  <c r="K208" i="42"/>
  <c r="Q275" i="42"/>
  <c r="G89" i="42"/>
  <c r="C87" i="47"/>
  <c r="F285" i="47"/>
  <c r="AY182" i="42"/>
  <c r="F59" i="47"/>
  <c r="E140" i="47"/>
  <c r="H144" i="42"/>
  <c r="L84" i="42"/>
  <c r="G289" i="42"/>
  <c r="N181" i="42"/>
  <c r="F361" i="47"/>
  <c r="AZ30" i="42"/>
  <c r="BC51" i="42"/>
  <c r="AY332" i="42"/>
  <c r="BB326" i="42"/>
  <c r="E241" i="47"/>
  <c r="M155" i="42"/>
  <c r="F307" i="42"/>
  <c r="AZ46" i="42"/>
  <c r="P61" i="42"/>
  <c r="H221" i="42"/>
  <c r="L110" i="42"/>
  <c r="D309" i="47"/>
  <c r="E225" i="47"/>
  <c r="K337" i="42"/>
  <c r="H92" i="42"/>
  <c r="BA320" i="42"/>
  <c r="P177" i="42"/>
  <c r="P54" i="42"/>
  <c r="BB192" i="42"/>
  <c r="M244" i="42"/>
  <c r="AY205" i="42"/>
  <c r="O139" i="42"/>
  <c r="F40" i="42"/>
  <c r="O361" i="42"/>
  <c r="BC63" i="42"/>
  <c r="G180" i="42"/>
  <c r="N27" i="42"/>
  <c r="I219" i="42"/>
  <c r="P270" i="42"/>
  <c r="BC70" i="42"/>
  <c r="N146" i="42"/>
  <c r="H13" i="42"/>
  <c r="BB297" i="42"/>
  <c r="F277" i="42"/>
  <c r="C111" i="47"/>
  <c r="C289" i="47"/>
  <c r="B214" i="47"/>
  <c r="BC155" i="42"/>
  <c r="N265" i="42"/>
  <c r="BC94" i="42"/>
  <c r="G175" i="42"/>
  <c r="Q365" i="42"/>
  <c r="O239" i="42"/>
  <c r="H314" i="42"/>
  <c r="AZ220" i="42"/>
  <c r="C290" i="47"/>
  <c r="B187" i="47"/>
  <c r="AY176" i="42"/>
  <c r="D182" i="47"/>
  <c r="I64" i="42"/>
  <c r="K330" i="42"/>
  <c r="K173" i="42"/>
  <c r="BC169" i="42"/>
  <c r="I185" i="42"/>
  <c r="E179" i="47"/>
  <c r="D118" i="47"/>
  <c r="L359" i="42"/>
  <c r="BA225" i="42"/>
  <c r="F279" i="42"/>
  <c r="AZ139" i="42"/>
  <c r="Q34" i="42"/>
  <c r="H172" i="42"/>
  <c r="N338" i="42"/>
  <c r="BC132" i="42"/>
  <c r="L260" i="42"/>
  <c r="N108" i="42"/>
  <c r="H297" i="42"/>
  <c r="D222" i="42"/>
  <c r="F330" i="47"/>
  <c r="P296" i="42"/>
  <c r="I279" i="42"/>
  <c r="AY142" i="42"/>
  <c r="H348" i="42"/>
  <c r="D250" i="42"/>
  <c r="P242" i="42"/>
  <c r="I189" i="42"/>
  <c r="BA168" i="42"/>
  <c r="F302" i="47"/>
  <c r="E63" i="47"/>
  <c r="C231" i="47"/>
  <c r="P204" i="42"/>
  <c r="O76" i="42"/>
  <c r="BA138" i="42"/>
  <c r="AZ231" i="42"/>
  <c r="K353" i="42"/>
  <c r="BB316" i="42"/>
  <c r="BA332" i="42"/>
  <c r="B165" i="47"/>
  <c r="E314" i="47"/>
  <c r="B295" i="47"/>
  <c r="B256" i="47"/>
  <c r="BC229" i="42"/>
  <c r="BC235" i="42"/>
  <c r="M138" i="42"/>
  <c r="P106" i="42"/>
  <c r="I134" i="42"/>
  <c r="BA130" i="42"/>
  <c r="F104" i="47"/>
  <c r="D311" i="47"/>
  <c r="F180" i="47"/>
  <c r="J220" i="42"/>
  <c r="BB151" i="42"/>
  <c r="O328" i="42"/>
  <c r="O322" i="42"/>
  <c r="F278" i="47"/>
  <c r="BB181" i="42"/>
  <c r="E166" i="47"/>
  <c r="M62" i="42"/>
  <c r="F362" i="47"/>
  <c r="L345" i="42"/>
  <c r="L254" i="42"/>
  <c r="P147" i="42"/>
  <c r="AZ83" i="42"/>
  <c r="G44" i="42"/>
  <c r="BA88" i="42"/>
  <c r="H160" i="42"/>
  <c r="AZ175" i="42"/>
  <c r="D256" i="47"/>
  <c r="M254" i="42"/>
  <c r="I238" i="42"/>
  <c r="L107" i="42"/>
  <c r="O56" i="42"/>
  <c r="G80" i="42"/>
  <c r="L29" i="42"/>
  <c r="AZ307" i="42"/>
  <c r="C302" i="47"/>
  <c r="B29" i="47"/>
  <c r="N365" i="42"/>
  <c r="BB241" i="42"/>
  <c r="AZ193" i="42"/>
  <c r="BB305" i="42"/>
  <c r="AY31" i="42"/>
  <c r="N246" i="42"/>
  <c r="B245" i="47"/>
  <c r="M27" i="42"/>
  <c r="BA207" i="42"/>
  <c r="D335" i="47"/>
  <c r="G63" i="42"/>
  <c r="F335" i="47"/>
  <c r="J285" i="42"/>
  <c r="BC48" i="42"/>
  <c r="B91" i="47"/>
  <c r="F306" i="42"/>
  <c r="I42" i="42"/>
  <c r="AY213" i="42"/>
  <c r="I317" i="42"/>
  <c r="P75" i="42"/>
  <c r="H194" i="42"/>
  <c r="O193" i="42"/>
  <c r="BB153" i="42"/>
  <c r="L185" i="42"/>
  <c r="N254" i="42"/>
  <c r="BB188" i="42"/>
  <c r="F92" i="42"/>
  <c r="Q36" i="42"/>
  <c r="M267" i="42"/>
  <c r="P53" i="42"/>
  <c r="BC56" i="42"/>
  <c r="C294" i="47"/>
  <c r="AY147" i="42"/>
  <c r="BA257" i="42"/>
  <c r="C218" i="47"/>
  <c r="M337" i="42"/>
  <c r="I154" i="42"/>
  <c r="G189" i="42"/>
  <c r="E61" i="47"/>
  <c r="L68" i="42"/>
  <c r="P115" i="42"/>
  <c r="D154" i="47"/>
  <c r="AY363" i="42"/>
  <c r="E276" i="47"/>
  <c r="D138" i="47"/>
  <c r="B317" i="47"/>
  <c r="AY68" i="42"/>
  <c r="O80" i="42"/>
  <c r="AY32" i="42"/>
  <c r="P235" i="42"/>
  <c r="F276" i="47"/>
  <c r="BA352" i="42"/>
  <c r="H159" i="42"/>
  <c r="AY173" i="42"/>
  <c r="I234" i="42"/>
  <c r="L125" i="42"/>
  <c r="F261" i="42"/>
  <c r="BA240" i="42"/>
  <c r="J189" i="42"/>
  <c r="BA195" i="42"/>
  <c r="I340" i="42"/>
  <c r="E11" i="47"/>
  <c r="D304" i="42"/>
  <c r="AY355" i="42"/>
  <c r="N320" i="42"/>
  <c r="G359" i="42"/>
  <c r="Q148" i="42"/>
  <c r="O358" i="42"/>
  <c r="AZ134" i="42"/>
  <c r="J109" i="42"/>
  <c r="H344" i="42"/>
  <c r="G323" i="42"/>
  <c r="L233" i="42"/>
  <c r="G278" i="42"/>
  <c r="J241" i="42"/>
  <c r="I203" i="42"/>
  <c r="Q213" i="42"/>
  <c r="AZ201" i="42"/>
  <c r="C151" i="47"/>
  <c r="C266" i="47"/>
  <c r="E136" i="47"/>
  <c r="C230" i="47"/>
  <c r="N75" i="42"/>
  <c r="I186" i="42"/>
  <c r="AZ336" i="42"/>
  <c r="BB76" i="42"/>
  <c r="AZ106" i="42"/>
  <c r="F53" i="42"/>
  <c r="C137" i="47"/>
  <c r="B230" i="47"/>
  <c r="F272" i="47"/>
  <c r="D223" i="47"/>
  <c r="D17" i="47"/>
  <c r="O297" i="42"/>
  <c r="H185" i="42"/>
  <c r="H252" i="42"/>
  <c r="D231" i="42"/>
  <c r="N102" i="42"/>
  <c r="BB300" i="42"/>
  <c r="N333" i="42"/>
  <c r="BC151" i="42"/>
  <c r="O364" i="42"/>
  <c r="G141" i="42"/>
  <c r="M291" i="42"/>
  <c r="F77" i="47"/>
  <c r="F51" i="42"/>
  <c r="D186" i="42"/>
  <c r="G314" i="42"/>
  <c r="O236" i="42"/>
  <c r="G247" i="42"/>
  <c r="L109" i="42"/>
  <c r="AZ272" i="42"/>
  <c r="J303" i="42"/>
  <c r="BB375" i="42"/>
  <c r="M170" i="42"/>
  <c r="G38" i="42"/>
  <c r="F339" i="42"/>
  <c r="M76" i="42"/>
  <c r="F295" i="47"/>
  <c r="AY199" i="42"/>
  <c r="BB307" i="42"/>
  <c r="E156" i="47"/>
  <c r="D95" i="47"/>
  <c r="M341" i="42"/>
  <c r="J176" i="42"/>
  <c r="G273" i="42"/>
  <c r="L252" i="42"/>
  <c r="G216" i="42"/>
  <c r="BC289" i="42"/>
  <c r="AY165" i="42"/>
  <c r="BC346" i="42"/>
  <c r="L101" i="42"/>
  <c r="F88" i="47"/>
  <c r="BB124" i="42"/>
  <c r="Q110" i="42"/>
  <c r="BC246" i="42"/>
  <c r="F74" i="42"/>
  <c r="M209" i="42"/>
  <c r="K175" i="42"/>
  <c r="L27" i="42"/>
  <c r="C308" i="47"/>
  <c r="AZ230" i="42"/>
  <c r="O171" i="42"/>
  <c r="F158" i="42"/>
  <c r="K32" i="42"/>
  <c r="J329" i="42"/>
  <c r="G115" i="42"/>
  <c r="J103" i="42"/>
  <c r="BC244" i="42"/>
  <c r="I52" i="42"/>
  <c r="BA59" i="42"/>
  <c r="O347" i="42"/>
  <c r="M21" i="42"/>
  <c r="H40" i="42"/>
  <c r="G321" i="42"/>
  <c r="AZ21" i="42"/>
  <c r="L328" i="42"/>
  <c r="N270" i="42"/>
  <c r="O155" i="42"/>
  <c r="C186" i="47"/>
  <c r="I127" i="42"/>
  <c r="BA280" i="42"/>
  <c r="H374" i="42"/>
  <c r="AY17" i="42"/>
  <c r="D312" i="47"/>
  <c r="Q278" i="42"/>
  <c r="P45" i="42"/>
  <c r="J100" i="42"/>
  <c r="F335" i="42"/>
  <c r="O180" i="42"/>
  <c r="N23" i="42"/>
  <c r="BA121" i="42"/>
  <c r="K218" i="42"/>
  <c r="AZ236" i="42"/>
  <c r="B54" i="47"/>
  <c r="D102" i="47"/>
  <c r="Q357" i="42"/>
  <c r="D44" i="42"/>
  <c r="BC162" i="42"/>
  <c r="AZ302" i="42"/>
  <c r="K127" i="42"/>
  <c r="BC336" i="42"/>
  <c r="BB169" i="42"/>
  <c r="P184" i="42"/>
  <c r="E161" i="47"/>
  <c r="P52" i="42"/>
  <c r="Q210" i="42"/>
  <c r="K324" i="42"/>
  <c r="M215" i="42"/>
  <c r="D57" i="47"/>
  <c r="D150" i="42"/>
  <c r="M255" i="42"/>
  <c r="F298" i="42"/>
  <c r="H321" i="42"/>
  <c r="BB27" i="42"/>
  <c r="P188" i="42"/>
  <c r="C249" i="47"/>
  <c r="O320" i="42"/>
  <c r="M207" i="42"/>
  <c r="D325" i="42"/>
  <c r="O185" i="42"/>
  <c r="I242" i="42"/>
  <c r="N82" i="42"/>
  <c r="E282" i="47"/>
  <c r="I209" i="42"/>
  <c r="BA114" i="42"/>
  <c r="E149" i="47"/>
  <c r="D227" i="47"/>
  <c r="L94" i="42"/>
  <c r="L122" i="42"/>
  <c r="F328" i="42"/>
  <c r="M43" i="42"/>
  <c r="AY188" i="42"/>
  <c r="K31" i="42"/>
  <c r="L300" i="42"/>
  <c r="BA186" i="42"/>
  <c r="E251" i="47"/>
  <c r="C91" i="47"/>
  <c r="AY16" i="42"/>
  <c r="M203" i="42"/>
  <c r="AY96" i="42"/>
  <c r="D228" i="42"/>
  <c r="O39" i="42"/>
  <c r="L276" i="42"/>
  <c r="BC105" i="42"/>
  <c r="B315" i="47"/>
  <c r="E236" i="47"/>
  <c r="J177" i="42"/>
  <c r="F296" i="42"/>
  <c r="AY189" i="42"/>
  <c r="J115" i="42"/>
  <c r="F143" i="42"/>
  <c r="D100" i="42"/>
  <c r="B31" i="47"/>
  <c r="Q130" i="42"/>
  <c r="Q285" i="42"/>
  <c r="BA342" i="42"/>
  <c r="K165" i="42"/>
  <c r="AZ206" i="42"/>
  <c r="K347" i="42"/>
  <c r="M15" i="42"/>
  <c r="O200" i="42"/>
  <c r="D326" i="42"/>
  <c r="D209" i="42"/>
  <c r="N335" i="42"/>
  <c r="Q159" i="42"/>
  <c r="P187" i="42"/>
  <c r="BB226" i="42"/>
  <c r="O58" i="42"/>
  <c r="D125" i="42"/>
  <c r="D345" i="42"/>
  <c r="F281" i="42"/>
  <c r="D83" i="47"/>
  <c r="B365" i="47"/>
  <c r="E151" i="47"/>
  <c r="D211" i="47"/>
  <c r="I122" i="42"/>
  <c r="F261" i="47"/>
  <c r="K205" i="42"/>
  <c r="BC23" i="42"/>
  <c r="AY356" i="42"/>
  <c r="O163" i="42"/>
  <c r="D198" i="47"/>
  <c r="B159" i="47"/>
  <c r="F238" i="47"/>
  <c r="B309" i="47"/>
  <c r="E108" i="47"/>
  <c r="P191" i="42"/>
  <c r="Q371" i="42"/>
  <c r="H155" i="42"/>
  <c r="J152" i="42"/>
  <c r="I372" i="42"/>
  <c r="BC292" i="42"/>
  <c r="AZ125" i="42"/>
  <c r="BC222" i="42"/>
  <c r="C72" i="47"/>
  <c r="Q155" i="42"/>
  <c r="Q276" i="42"/>
  <c r="D366" i="42"/>
  <c r="E122" i="47"/>
  <c r="Q367" i="42"/>
  <c r="D163" i="42"/>
  <c r="I101" i="42"/>
  <c r="Q323" i="42"/>
  <c r="BC349" i="42"/>
  <c r="G201" i="42"/>
  <c r="O191" i="42"/>
  <c r="H74" i="42"/>
  <c r="N35" i="42"/>
  <c r="BC255" i="42"/>
  <c r="F15" i="42"/>
  <c r="BA238" i="42"/>
  <c r="M178" i="42"/>
  <c r="O312" i="42"/>
  <c r="O85" i="42"/>
  <c r="P145" i="42"/>
  <c r="Q202" i="42"/>
  <c r="P149" i="42"/>
  <c r="F149" i="42"/>
  <c r="AY20" i="42"/>
  <c r="BC217" i="42"/>
  <c r="F203" i="47"/>
  <c r="B207" i="47"/>
  <c r="D78" i="42"/>
  <c r="P44" i="42"/>
  <c r="G74" i="42"/>
  <c r="F17" i="42"/>
  <c r="E186" i="47"/>
  <c r="AY305" i="42"/>
  <c r="AY315" i="42"/>
  <c r="B210" i="47"/>
  <c r="F199" i="47"/>
  <c r="F168" i="47"/>
  <c r="O374" i="42"/>
  <c r="I256" i="42"/>
  <c r="M260" i="42"/>
  <c r="N258" i="42"/>
  <c r="L131" i="42"/>
  <c r="M282" i="42"/>
  <c r="N278" i="42"/>
  <c r="F210" i="42"/>
  <c r="M23" i="42"/>
  <c r="K215" i="42"/>
  <c r="BA104" i="42"/>
  <c r="N226" i="42"/>
  <c r="O174" i="42"/>
  <c r="H126" i="42"/>
  <c r="H52" i="42"/>
  <c r="BB100" i="42"/>
  <c r="N345" i="42"/>
  <c r="AZ289" i="42"/>
  <c r="J215" i="42"/>
  <c r="I196" i="42"/>
  <c r="G36" i="42"/>
  <c r="H359" i="42"/>
  <c r="G125" i="42"/>
  <c r="I258" i="42"/>
  <c r="D273" i="47"/>
  <c r="D146" i="42"/>
  <c r="B205" i="47"/>
  <c r="E111" i="47"/>
  <c r="AY258" i="42"/>
  <c r="F244" i="47"/>
  <c r="F258" i="47"/>
  <c r="O62" i="42"/>
  <c r="M84" i="42"/>
  <c r="I296" i="42"/>
  <c r="N120" i="42"/>
  <c r="J119" i="42"/>
  <c r="G159" i="42"/>
  <c r="E334" i="47"/>
  <c r="AY168" i="42"/>
  <c r="BB324" i="42"/>
  <c r="D191" i="47"/>
  <c r="I181" i="42"/>
  <c r="J54" i="42"/>
  <c r="O250" i="42"/>
  <c r="K41" i="42"/>
  <c r="J121" i="42"/>
  <c r="P301" i="42"/>
  <c r="BA55" i="42"/>
  <c r="F293" i="42"/>
  <c r="J225" i="42"/>
  <c r="F211" i="47"/>
  <c r="N196" i="42"/>
  <c r="F271" i="42"/>
  <c r="H79" i="42"/>
  <c r="E375" i="47"/>
  <c r="D293" i="42"/>
  <c r="AZ190" i="42"/>
  <c r="M279" i="42"/>
  <c r="H39" i="42"/>
  <c r="N337" i="42"/>
  <c r="D60" i="42"/>
  <c r="AZ176" i="42"/>
  <c r="M308" i="42"/>
  <c r="I30" i="42"/>
  <c r="M151" i="42"/>
  <c r="O187" i="42"/>
  <c r="G42" i="42"/>
  <c r="N356" i="42"/>
  <c r="AY137" i="42"/>
  <c r="D72" i="47"/>
  <c r="AZ228" i="42"/>
  <c r="I295" i="42"/>
  <c r="B51" i="47"/>
  <c r="AZ118" i="42"/>
  <c r="K349" i="42"/>
  <c r="F323" i="42"/>
  <c r="AZ246" i="42"/>
  <c r="G86" i="42"/>
  <c r="D289" i="42"/>
  <c r="E331" i="47"/>
  <c r="BA181" i="42"/>
  <c r="G118" i="42"/>
  <c r="D371" i="47"/>
  <c r="C240" i="47"/>
  <c r="K139" i="42"/>
  <c r="G350" i="42"/>
  <c r="AY217" i="42"/>
  <c r="F102" i="47"/>
  <c r="AZ269" i="42"/>
  <c r="F260" i="42"/>
  <c r="F251" i="42"/>
  <c r="G355" i="42"/>
  <c r="L176" i="42"/>
  <c r="AY357" i="42"/>
  <c r="O49" i="42"/>
  <c r="AZ271" i="42"/>
  <c r="N124" i="42"/>
  <c r="G113" i="42"/>
  <c r="Q115" i="42"/>
  <c r="H168" i="42"/>
  <c r="BA144" i="42"/>
  <c r="P286" i="42"/>
  <c r="M131" i="42"/>
  <c r="O338" i="42"/>
  <c r="BC143" i="42"/>
  <c r="K257" i="42"/>
  <c r="P135" i="42"/>
  <c r="D265" i="42"/>
  <c r="BB77" i="42"/>
  <c r="M322" i="42"/>
  <c r="D28" i="42"/>
  <c r="AY340" i="42"/>
  <c r="BB221" i="42"/>
  <c r="K80" i="42"/>
  <c r="B223" i="47"/>
  <c r="C139" i="47"/>
  <c r="AZ320" i="42"/>
  <c r="P181" i="42"/>
  <c r="M58" i="42"/>
  <c r="G40" i="42"/>
  <c r="BA282" i="42"/>
  <c r="H18" i="42"/>
  <c r="BB16" i="42"/>
  <c r="L237" i="42"/>
  <c r="AZ143" i="42"/>
  <c r="C106" i="47"/>
  <c r="P93" i="42"/>
  <c r="K283" i="42"/>
  <c r="BB209" i="42"/>
  <c r="M24" i="42"/>
  <c r="F362" i="42"/>
  <c r="Q175" i="42"/>
  <c r="AY101" i="42"/>
  <c r="BB58" i="42"/>
  <c r="F365" i="47"/>
  <c r="I243" i="42"/>
  <c r="D268" i="42"/>
  <c r="BC280" i="42"/>
  <c r="F79" i="42"/>
  <c r="Q320" i="42"/>
  <c r="AZ242" i="42"/>
  <c r="B241" i="47"/>
  <c r="AZ328" i="42"/>
  <c r="F373" i="42"/>
  <c r="BA344" i="42"/>
  <c r="Q342" i="42"/>
  <c r="D17" i="42"/>
  <c r="P210" i="42"/>
  <c r="G154" i="42"/>
  <c r="BA231" i="42"/>
  <c r="F334" i="47"/>
  <c r="D373" i="47"/>
  <c r="AZ63" i="42"/>
  <c r="B84" i="47"/>
  <c r="Q76" i="42"/>
  <c r="I91" i="42"/>
  <c r="O201" i="42"/>
  <c r="K220" i="42"/>
  <c r="D185" i="42"/>
  <c r="P169" i="42"/>
  <c r="AZ352" i="42"/>
  <c r="K243" i="42"/>
  <c r="B157" i="47"/>
  <c r="F129" i="42"/>
  <c r="H257" i="42"/>
  <c r="BC161" i="42"/>
  <c r="F25" i="42"/>
  <c r="BC332" i="42"/>
  <c r="B100" i="47"/>
  <c r="G334" i="42"/>
  <c r="B359" i="47"/>
  <c r="BA61" i="42"/>
  <c r="F122" i="42"/>
  <c r="BA200" i="42"/>
  <c r="O224" i="42"/>
  <c r="B307" i="47"/>
  <c r="F85" i="42"/>
  <c r="E72" i="47"/>
  <c r="C237" i="47"/>
  <c r="BC69" i="42"/>
  <c r="AZ70" i="42"/>
  <c r="N167" i="42"/>
  <c r="K357" i="42"/>
  <c r="BA93" i="42"/>
  <c r="M370" i="42"/>
  <c r="G23" i="42"/>
  <c r="BA142" i="42"/>
  <c r="K231" i="42"/>
  <c r="F108" i="42"/>
  <c r="I341" i="42"/>
  <c r="N144" i="42"/>
  <c r="L295" i="42"/>
  <c r="M40" i="42"/>
  <c r="AZ226" i="42"/>
  <c r="D299" i="47"/>
  <c r="C100" i="47"/>
  <c r="F141" i="47"/>
  <c r="F33" i="47"/>
  <c r="BC41" i="42"/>
  <c r="AY82" i="42"/>
  <c r="BA271" i="42"/>
  <c r="BC147" i="42"/>
  <c r="BA44" i="42"/>
  <c r="G218" i="42"/>
  <c r="D246" i="47"/>
  <c r="C98" i="47"/>
  <c r="B280" i="47"/>
  <c r="B153" i="47"/>
  <c r="C299" i="47"/>
  <c r="P102" i="42"/>
  <c r="N148" i="42"/>
  <c r="I289" i="42"/>
  <c r="I369" i="42"/>
  <c r="P117" i="42"/>
  <c r="H66" i="42"/>
  <c r="F371" i="47"/>
  <c r="AY225" i="42"/>
  <c r="D250" i="47"/>
  <c r="BB44" i="42"/>
  <c r="BB289" i="42"/>
  <c r="P175" i="42"/>
  <c r="BB129" i="42"/>
  <c r="J73" i="42"/>
  <c r="Q272" i="42"/>
  <c r="BB201" i="42"/>
  <c r="M193" i="42"/>
  <c r="AY131" i="42"/>
  <c r="P163" i="42"/>
  <c r="O285" i="42"/>
  <c r="BC362" i="42"/>
  <c r="L364" i="42"/>
  <c r="C277" i="47"/>
  <c r="O53" i="42"/>
  <c r="F284" i="42"/>
  <c r="H309" i="42"/>
  <c r="L189" i="42"/>
  <c r="L86" i="42"/>
  <c r="F195" i="42"/>
  <c r="O220" i="42"/>
  <c r="K51" i="42"/>
  <c r="AZ266" i="42"/>
  <c r="BC353" i="42"/>
  <c r="AY322" i="42"/>
  <c r="C29" i="47"/>
  <c r="C110" i="47"/>
  <c r="AZ33" i="42"/>
  <c r="J321" i="42"/>
  <c r="AY184" i="42"/>
  <c r="J66" i="42"/>
  <c r="F247" i="42"/>
  <c r="BA115" i="42"/>
  <c r="L349" i="42"/>
  <c r="B273" i="47"/>
  <c r="BB230" i="42"/>
  <c r="B328" i="47"/>
  <c r="BC80" i="42"/>
  <c r="P322" i="42"/>
  <c r="BA35" i="42"/>
  <c r="M344" i="42"/>
  <c r="N130" i="42"/>
  <c r="I150" i="42"/>
  <c r="AZ43" i="42"/>
  <c r="I44" i="42"/>
  <c r="P79" i="42"/>
  <c r="J203" i="42"/>
  <c r="G106" i="42"/>
  <c r="D79" i="42"/>
  <c r="D262" i="42"/>
  <c r="AZ371" i="42"/>
  <c r="N141" i="42"/>
  <c r="B267" i="47"/>
  <c r="J24" i="42"/>
  <c r="F250" i="47"/>
  <c r="H349" i="42"/>
  <c r="P94" i="42"/>
  <c r="H70" i="42"/>
  <c r="BB144" i="42"/>
  <c r="L332" i="42"/>
  <c r="M89" i="42"/>
  <c r="BB350" i="42"/>
  <c r="L261" i="42"/>
  <c r="C94" i="47"/>
  <c r="F25" i="47"/>
  <c r="D272" i="47"/>
  <c r="B229" i="47"/>
  <c r="P224" i="42"/>
  <c r="K223" i="42"/>
  <c r="I125" i="42"/>
  <c r="L265" i="42"/>
  <c r="F30" i="42"/>
  <c r="M246" i="42"/>
  <c r="B335" i="47"/>
  <c r="F220" i="47"/>
  <c r="D22" i="47"/>
  <c r="AY278" i="42"/>
  <c r="BC279" i="42"/>
  <c r="Q315" i="42"/>
  <c r="K91" i="42"/>
  <c r="H145" i="42"/>
  <c r="AZ184" i="42"/>
  <c r="L225" i="42"/>
  <c r="O64" i="42"/>
  <c r="D286" i="47"/>
  <c r="F165" i="42"/>
  <c r="G291" i="42"/>
  <c r="D68" i="42"/>
  <c r="F187" i="42"/>
  <c r="BA307" i="42"/>
  <c r="M342" i="42"/>
  <c r="F202" i="42"/>
  <c r="Q57" i="42"/>
  <c r="BC319" i="42"/>
  <c r="I85" i="42"/>
  <c r="N241" i="42"/>
  <c r="F316" i="42"/>
  <c r="P268" i="42"/>
  <c r="F36" i="42"/>
  <c r="N106" i="42"/>
  <c r="D82" i="47"/>
  <c r="BB347" i="42"/>
  <c r="P316" i="42"/>
  <c r="P90" i="42"/>
  <c r="M82" i="42"/>
  <c r="D68" i="47"/>
  <c r="F245" i="47"/>
  <c r="C158" i="47"/>
  <c r="AZ306" i="42"/>
  <c r="D260" i="47"/>
  <c r="L241" i="42"/>
  <c r="E59" i="47"/>
  <c r="P261" i="42"/>
  <c r="AY307" i="42"/>
  <c r="F53" i="47"/>
  <c r="K27" i="42"/>
  <c r="F318" i="47"/>
  <c r="C202" i="47"/>
  <c r="AZ191" i="42"/>
  <c r="E326" i="47"/>
  <c r="F315" i="47"/>
  <c r="H226" i="42"/>
  <c r="D283" i="42"/>
  <c r="J95" i="42"/>
  <c r="N283" i="42"/>
  <c r="BA99" i="42"/>
  <c r="AY74" i="42"/>
  <c r="BB348" i="42"/>
  <c r="D334" i="42"/>
  <c r="F214" i="42"/>
  <c r="D82" i="42"/>
  <c r="M124" i="42"/>
  <c r="BC254" i="42"/>
  <c r="G360" i="42"/>
  <c r="Q226" i="42"/>
  <c r="L35" i="42"/>
  <c r="Q35" i="42"/>
  <c r="I105" i="42"/>
  <c r="M127" i="42"/>
  <c r="BB149" i="42"/>
  <c r="J26" i="42"/>
  <c r="AY170" i="42"/>
  <c r="D237" i="42"/>
  <c r="H151" i="42"/>
  <c r="F302" i="42"/>
  <c r="BA107" i="42"/>
  <c r="G288" i="42"/>
  <c r="L182" i="42"/>
  <c r="C298" i="47"/>
  <c r="F17" i="47"/>
  <c r="BA230" i="42"/>
  <c r="D153" i="47"/>
  <c r="D282" i="47"/>
  <c r="P64" i="42"/>
  <c r="G133" i="42"/>
  <c r="D152" i="42"/>
  <c r="M307" i="42"/>
  <c r="F353" i="47"/>
  <c r="BA11" i="42"/>
  <c r="F193" i="47"/>
  <c r="BA218" i="42"/>
  <c r="K69" i="42"/>
  <c r="F69" i="47"/>
  <c r="H247" i="42"/>
  <c r="G252" i="42"/>
  <c r="N100" i="42"/>
  <c r="D349" i="42"/>
  <c r="Q316" i="42"/>
  <c r="M60" i="42"/>
  <c r="BC160" i="42"/>
  <c r="B202" i="47"/>
  <c r="E192" i="47"/>
  <c r="H76" i="42"/>
  <c r="F266" i="42"/>
  <c r="N303" i="42"/>
  <c r="K202" i="42"/>
  <c r="D139" i="42"/>
  <c r="D170" i="42"/>
  <c r="F162" i="47"/>
  <c r="BB233" i="42"/>
  <c r="L333" i="42"/>
  <c r="F257" i="47"/>
  <c r="N240" i="42"/>
  <c r="Q180" i="42"/>
  <c r="M180" i="42"/>
  <c r="M16" i="42"/>
  <c r="BC184" i="42"/>
  <c r="B232" i="47"/>
  <c r="E177" i="47"/>
  <c r="B134" i="47"/>
  <c r="K286" i="42"/>
  <c r="Q16" i="42"/>
  <c r="H331" i="42"/>
  <c r="O137" i="42"/>
  <c r="H242" i="42"/>
  <c r="I322" i="42"/>
  <c r="M336" i="42"/>
  <c r="C103" i="47"/>
  <c r="AZ239" i="42"/>
  <c r="BC322" i="42"/>
  <c r="BB311" i="42"/>
  <c r="AY128" i="42"/>
  <c r="I309" i="42"/>
  <c r="AY79" i="42"/>
  <c r="F281" i="47"/>
  <c r="BA129" i="42"/>
  <c r="P336" i="42"/>
  <c r="D21" i="47"/>
  <c r="K183" i="42"/>
  <c r="BC206" i="42"/>
  <c r="C360" i="47"/>
  <c r="O83" i="42"/>
  <c r="P51" i="42"/>
  <c r="AY317" i="42"/>
  <c r="O93" i="42"/>
  <c r="BC296" i="42"/>
  <c r="N229" i="42"/>
  <c r="P357" i="42"/>
  <c r="P233" i="42"/>
  <c r="BB68" i="42"/>
  <c r="Q81" i="42"/>
  <c r="L236" i="42"/>
  <c r="G136" i="42"/>
  <c r="K18" i="42"/>
  <c r="AZ57" i="42"/>
  <c r="C160" i="47"/>
  <c r="B65" i="47"/>
  <c r="B47" i="47"/>
  <c r="K197" i="42"/>
  <c r="D369" i="42"/>
  <c r="I171" i="42"/>
  <c r="F263" i="42"/>
  <c r="BC262" i="42"/>
  <c r="AZ299" i="42"/>
  <c r="AZ326" i="42"/>
  <c r="C188" i="47"/>
  <c r="B71" i="47"/>
  <c r="F291" i="47"/>
  <c r="H346" i="42"/>
  <c r="BA293" i="42"/>
  <c r="F196" i="42"/>
  <c r="K61" i="42"/>
  <c r="J159" i="42"/>
  <c r="D217" i="42"/>
  <c r="AY65" i="42"/>
  <c r="C135" i="47"/>
  <c r="E371" i="47"/>
  <c r="E217" i="47"/>
  <c r="G99" i="42"/>
  <c r="AY80" i="42"/>
  <c r="H334" i="42"/>
  <c r="K140" i="42"/>
  <c r="AY90" i="42"/>
  <c r="M192" i="42"/>
  <c r="L231" i="42"/>
  <c r="N98" i="42"/>
  <c r="BC361" i="42"/>
  <c r="H329" i="42"/>
  <c r="Q172" i="42"/>
  <c r="I354" i="42"/>
  <c r="O149" i="42"/>
  <c r="I183" i="42"/>
  <c r="K15" i="42"/>
  <c r="BA89" i="42"/>
  <c r="J147" i="42"/>
  <c r="G199" i="42"/>
  <c r="O372" i="42"/>
  <c r="G251" i="42"/>
  <c r="K163" i="42"/>
  <c r="Q60" i="42"/>
  <c r="B155" i="47"/>
  <c r="C132" i="47"/>
  <c r="F279" i="47"/>
  <c r="B171" i="47"/>
  <c r="D122" i="47"/>
  <c r="F107" i="42"/>
  <c r="N312" i="42"/>
  <c r="P216" i="42"/>
  <c r="O48" i="42"/>
  <c r="I175" i="42"/>
  <c r="BC33" i="42"/>
  <c r="AZ174" i="42"/>
  <c r="BC66" i="42"/>
  <c r="AY28" i="42"/>
  <c r="D170" i="47"/>
  <c r="BB283" i="42"/>
  <c r="P306" i="42"/>
  <c r="G35" i="42"/>
  <c r="I330" i="42"/>
  <c r="Q222" i="42"/>
  <c r="P331" i="42"/>
  <c r="K281" i="42"/>
  <c r="N308" i="42"/>
  <c r="BC103" i="42"/>
  <c r="F71" i="42"/>
  <c r="P57" i="42"/>
  <c r="G174" i="42"/>
  <c r="Q355" i="42"/>
  <c r="F78" i="47"/>
  <c r="J277" i="42"/>
  <c r="BB19" i="42"/>
  <c r="Q250" i="42"/>
  <c r="AY132" i="42"/>
  <c r="P287" i="42"/>
  <c r="I230" i="42"/>
  <c r="BA262" i="42"/>
  <c r="D126" i="42"/>
  <c r="C26" i="47"/>
  <c r="B16" i="47"/>
  <c r="L365" i="42"/>
  <c r="BB207" i="42"/>
  <c r="D88" i="47"/>
  <c r="F86" i="47"/>
  <c r="D141" i="47"/>
  <c r="E245" i="47"/>
  <c r="K334" i="42"/>
  <c r="N42" i="42"/>
  <c r="BA76" i="42"/>
  <c r="G254" i="42"/>
  <c r="M224" i="42"/>
  <c r="K354" i="42"/>
  <c r="BA16" i="42"/>
  <c r="F251" i="47"/>
  <c r="E159" i="47"/>
  <c r="C128" i="47"/>
  <c r="AY180" i="42"/>
  <c r="M116" i="42"/>
  <c r="E41" i="47"/>
  <c r="J238" i="42"/>
  <c r="AY248" i="42"/>
  <c r="BB186" i="42"/>
  <c r="F153" i="42"/>
  <c r="F147" i="47"/>
  <c r="G221" i="42"/>
  <c r="L89" i="42"/>
  <c r="G170" i="42"/>
  <c r="O29" i="42"/>
  <c r="H44" i="42"/>
  <c r="N101" i="42"/>
  <c r="BB143" i="42"/>
  <c r="M258" i="42"/>
  <c r="AY159" i="42"/>
  <c r="D319" i="42"/>
  <c r="D13" i="42"/>
  <c r="BC135" i="42"/>
  <c r="I166" i="42"/>
  <c r="AZ224" i="42"/>
  <c r="D172" i="42"/>
  <c r="F96" i="42"/>
  <c r="G232" i="42"/>
  <c r="M202" i="42"/>
  <c r="J332" i="42"/>
  <c r="N363" i="42"/>
  <c r="F231" i="47"/>
  <c r="F159" i="47"/>
  <c r="D18" i="47"/>
  <c r="F21" i="47"/>
  <c r="B333" i="47"/>
  <c r="AY105" i="42"/>
  <c r="M351" i="42"/>
  <c r="F69" i="42"/>
  <c r="AZ321" i="42"/>
  <c r="F259" i="42"/>
  <c r="N94" i="42"/>
  <c r="F293" i="47"/>
  <c r="E252" i="47"/>
  <c r="B260" i="47"/>
  <c r="E198" i="47"/>
  <c r="B28" i="47"/>
  <c r="P307" i="42"/>
  <c r="F29" i="42"/>
  <c r="J254" i="42"/>
  <c r="M106" i="42"/>
  <c r="H173" i="42"/>
  <c r="BA220" i="42"/>
  <c r="B221" i="47"/>
  <c r="P250" i="42"/>
  <c r="D136" i="47"/>
  <c r="D331" i="42"/>
  <c r="I349" i="42"/>
  <c r="C133" i="47"/>
  <c r="N272" i="42"/>
  <c r="P277" i="42"/>
  <c r="BB343" i="42"/>
  <c r="L150" i="42"/>
  <c r="AZ354" i="42"/>
  <c r="J71" i="42"/>
  <c r="K63" i="42"/>
  <c r="D182" i="42"/>
  <c r="J61" i="42"/>
  <c r="H16" i="42"/>
  <c r="BB111" i="42"/>
  <c r="P157" i="42"/>
  <c r="BB163" i="42"/>
  <c r="L124" i="42"/>
  <c r="N59" i="42"/>
  <c r="C323" i="47"/>
  <c r="B292" i="47"/>
  <c r="E128" i="47"/>
  <c r="D236" i="47"/>
  <c r="B176" i="47"/>
  <c r="I126" i="42"/>
  <c r="I123" i="42"/>
  <c r="M68" i="42"/>
  <c r="P174" i="42"/>
  <c r="J224" i="42"/>
  <c r="BB152" i="42"/>
  <c r="B212" i="47"/>
  <c r="E71" i="47"/>
  <c r="BA285" i="42"/>
  <c r="C118" i="47"/>
  <c r="BB179" i="42"/>
  <c r="D356" i="42"/>
  <c r="H290" i="42"/>
  <c r="G213" i="42"/>
  <c r="L123" i="42"/>
  <c r="I81" i="42"/>
  <c r="AZ69" i="42"/>
  <c r="F90" i="47"/>
  <c r="L116" i="42"/>
  <c r="F113" i="47"/>
  <c r="K86" i="42"/>
  <c r="N89" i="42"/>
  <c r="N45" i="42"/>
  <c r="BB280" i="42"/>
  <c r="D139" i="47"/>
  <c r="D224" i="47"/>
  <c r="B63" i="47"/>
  <c r="BA299" i="42"/>
  <c r="BB135" i="42"/>
  <c r="P100" i="42"/>
  <c r="I338" i="42"/>
  <c r="I144" i="42"/>
  <c r="Q253" i="42"/>
  <c r="AY166" i="42"/>
  <c r="BB26" i="42"/>
  <c r="E337" i="47"/>
  <c r="C241" i="47"/>
  <c r="AZ146" i="42"/>
  <c r="N355" i="42"/>
  <c r="AZ188" i="42"/>
  <c r="J268" i="42"/>
  <c r="G351" i="42"/>
  <c r="BB328" i="42"/>
  <c r="J235" i="42"/>
  <c r="D241" i="47"/>
  <c r="B228" i="47"/>
  <c r="AY240" i="42"/>
  <c r="F42" i="42"/>
  <c r="AZ35" i="42"/>
  <c r="AY265" i="42"/>
  <c r="D43" i="47"/>
  <c r="F112" i="47"/>
  <c r="F126" i="47"/>
  <c r="AY281" i="42"/>
  <c r="C74" i="47"/>
  <c r="H29" i="42"/>
  <c r="M162" i="42"/>
  <c r="C211" i="47"/>
  <c r="D147" i="42"/>
  <c r="F89" i="42"/>
  <c r="BB110" i="42"/>
  <c r="P225" i="42"/>
  <c r="F39" i="42"/>
  <c r="BB336" i="42"/>
  <c r="F120" i="47"/>
  <c r="G365" i="42"/>
  <c r="BC218" i="42"/>
  <c r="M204" i="42"/>
  <c r="H219" i="42"/>
  <c r="AY149" i="42"/>
  <c r="BB333" i="42"/>
  <c r="F364" i="42"/>
  <c r="D32" i="47"/>
  <c r="D55" i="47"/>
  <c r="O175" i="42"/>
  <c r="Q344" i="42"/>
  <c r="BA141" i="42"/>
  <c r="B188" i="47"/>
  <c r="H351" i="42"/>
  <c r="BB302" i="42"/>
  <c r="BA145" i="42"/>
  <c r="F336" i="47"/>
  <c r="D292" i="47"/>
  <c r="N208" i="42"/>
  <c r="B304" i="47"/>
  <c r="D336" i="47"/>
  <c r="E27" i="47"/>
  <c r="C287" i="47"/>
  <c r="BA70" i="42"/>
  <c r="AZ222" i="42"/>
  <c r="C356" i="47"/>
  <c r="AY326" i="42"/>
  <c r="BC140" i="42"/>
  <c r="BC116" i="42"/>
  <c r="L156" i="42"/>
  <c r="K369" i="42"/>
  <c r="BC95" i="42"/>
  <c r="K76" i="42"/>
  <c r="B220" i="47"/>
  <c r="C346" i="47"/>
  <c r="BC297" i="42"/>
  <c r="BC29" i="42"/>
  <c r="G162" i="42"/>
  <c r="F317" i="42"/>
  <c r="D238" i="42"/>
  <c r="L41" i="42"/>
  <c r="AY239" i="42"/>
  <c r="D277" i="47"/>
  <c r="D114" i="42"/>
  <c r="AY200" i="42"/>
  <c r="BA132" i="42"/>
  <c r="BA96" i="42"/>
  <c r="F285" i="42"/>
  <c r="AZ20" i="42"/>
  <c r="AZ200" i="42"/>
  <c r="AZ88" i="42"/>
  <c r="M316" i="42"/>
  <c r="D340" i="47"/>
  <c r="B26" i="47"/>
  <c r="J271" i="42"/>
  <c r="C329" i="47"/>
  <c r="AY139" i="42"/>
  <c r="BA177" i="42"/>
  <c r="C229" i="47"/>
  <c r="B66" i="47"/>
  <c r="AZ183" i="42"/>
  <c r="P183" i="42"/>
  <c r="Q198" i="42"/>
  <c r="O114" i="42"/>
  <c r="C113" i="47"/>
  <c r="D15" i="47"/>
  <c r="F130" i="47"/>
  <c r="AY111" i="42"/>
  <c r="F125" i="47"/>
  <c r="G244" i="42"/>
  <c r="D81" i="42"/>
  <c r="N273" i="42"/>
  <c r="K304" i="42"/>
  <c r="D193" i="42"/>
  <c r="L289" i="42"/>
  <c r="AY169" i="42"/>
  <c r="F246" i="47"/>
  <c r="BB205" i="42"/>
  <c r="F294" i="47"/>
  <c r="B142" i="47"/>
  <c r="D24" i="42"/>
  <c r="D214" i="42"/>
  <c r="J316" i="42"/>
  <c r="M94" i="42"/>
  <c r="K265" i="42"/>
  <c r="B107" i="47"/>
  <c r="BA182" i="42"/>
  <c r="E313" i="47"/>
  <c r="L108" i="42"/>
  <c r="BA199" i="42"/>
  <c r="F127" i="42"/>
  <c r="G47" i="42"/>
  <c r="B67" i="47"/>
  <c r="E301" i="47"/>
  <c r="BA366" i="42"/>
  <c r="F342" i="47"/>
  <c r="C234" i="47"/>
  <c r="BC263" i="42"/>
  <c r="M71" i="42"/>
  <c r="BB41" i="42"/>
  <c r="M206" i="42"/>
  <c r="L355" i="42"/>
  <c r="BB271" i="42"/>
  <c r="F207" i="42"/>
  <c r="AZ91" i="42"/>
  <c r="BB309" i="42"/>
  <c r="G295" i="42"/>
  <c r="C140" i="47"/>
  <c r="D94" i="47"/>
  <c r="B219" i="47"/>
  <c r="B123" i="47"/>
  <c r="M210" i="42"/>
  <c r="K235" i="42"/>
  <c r="BB239" i="42"/>
  <c r="BB284" i="42"/>
  <c r="K268" i="42"/>
  <c r="J179" i="42"/>
  <c r="E206" i="47"/>
  <c r="K296" i="42"/>
  <c r="N285" i="42"/>
  <c r="AY127" i="42"/>
  <c r="I152" i="42"/>
  <c r="D141" i="42"/>
  <c r="Q79" i="42"/>
  <c r="P81" i="42"/>
  <c r="F160" i="42"/>
  <c r="AZ199" i="42"/>
  <c r="D322" i="47"/>
  <c r="C253" i="47"/>
  <c r="D274" i="47"/>
  <c r="D63" i="47"/>
  <c r="BB114" i="42"/>
  <c r="O226" i="42"/>
  <c r="BB196" i="42"/>
  <c r="K196" i="42"/>
  <c r="Q208" i="42"/>
  <c r="D126" i="47"/>
  <c r="B371" i="47"/>
  <c r="E100" i="47"/>
  <c r="BA253" i="42"/>
  <c r="D375" i="47"/>
  <c r="D103" i="47"/>
  <c r="E89" i="47"/>
  <c r="F26" i="47"/>
  <c r="G230" i="42"/>
  <c r="K341" i="42"/>
  <c r="C52" i="47"/>
  <c r="J145" i="42"/>
  <c r="N157" i="42"/>
  <c r="M280" i="42"/>
  <c r="F43" i="47"/>
  <c r="G300" i="42"/>
  <c r="H78" i="42"/>
  <c r="C353" i="47"/>
  <c r="AY172" i="42"/>
  <c r="E141" i="47"/>
  <c r="L273" i="42"/>
  <c r="C120" i="47"/>
  <c r="M139" i="42"/>
  <c r="N343" i="42"/>
  <c r="F271" i="47"/>
  <c r="D253" i="47"/>
  <c r="B164" i="47"/>
  <c r="D111" i="47"/>
  <c r="C34" i="47"/>
  <c r="M205" i="42"/>
  <c r="Q61" i="42"/>
  <c r="L74" i="42"/>
  <c r="M156" i="42"/>
  <c r="I278" i="42"/>
  <c r="BC372" i="42"/>
  <c r="AZ103" i="42"/>
  <c r="BC257" i="42"/>
  <c r="AY152" i="42"/>
  <c r="O325" i="42"/>
  <c r="B193" i="47"/>
  <c r="B147" i="47"/>
  <c r="C365" i="47"/>
  <c r="BB69" i="42"/>
  <c r="BA243" i="42"/>
  <c r="E132" i="47"/>
  <c r="L75" i="42"/>
  <c r="B73" i="47"/>
  <c r="K162" i="42"/>
  <c r="BA279" i="42"/>
  <c r="H318" i="42"/>
  <c r="P317" i="42"/>
  <c r="I280" i="42"/>
  <c r="K57" i="42"/>
  <c r="F157" i="42"/>
  <c r="F249" i="47"/>
  <c r="L373" i="42"/>
  <c r="N195" i="42"/>
  <c r="AY198" i="42"/>
  <c r="I124" i="42"/>
  <c r="BB240" i="42"/>
  <c r="BA75" i="42"/>
  <c r="F305" i="47"/>
  <c r="E95" i="47"/>
  <c r="B60" i="47"/>
  <c r="B57" i="47"/>
  <c r="G121" i="42"/>
  <c r="L258" i="42"/>
  <c r="O255" i="42"/>
  <c r="D120" i="42"/>
  <c r="N150" i="42"/>
  <c r="BC234" i="42"/>
  <c r="D164" i="47"/>
  <c r="AY67" i="42"/>
  <c r="C179" i="47"/>
  <c r="AZ72" i="42"/>
  <c r="F260" i="47"/>
  <c r="D301" i="47"/>
  <c r="I130" i="42"/>
  <c r="F95" i="47"/>
  <c r="B133" i="47"/>
  <c r="E69" i="47"/>
  <c r="AZ283" i="42"/>
  <c r="L134" i="42"/>
  <c r="D152" i="47"/>
  <c r="F228" i="42"/>
  <c r="F44" i="42"/>
  <c r="G98" i="42"/>
  <c r="E153" i="47"/>
  <c r="B332" i="47"/>
  <c r="C373" i="47"/>
  <c r="L257" i="42"/>
  <c r="M297" i="42"/>
  <c r="K36" i="42"/>
  <c r="AY113" i="42"/>
  <c r="AY106" i="42"/>
  <c r="B120" i="47"/>
  <c r="E21" i="47"/>
  <c r="I244" i="42"/>
  <c r="AY144" i="42"/>
  <c r="F179" i="42"/>
  <c r="M339" i="42"/>
  <c r="M111" i="42"/>
  <c r="C150" i="47"/>
  <c r="E143" i="47"/>
  <c r="C213" i="47"/>
  <c r="Q359" i="42"/>
  <c r="BA46" i="42"/>
  <c r="BC170" i="42"/>
  <c r="C368" i="47"/>
  <c r="O228" i="42"/>
  <c r="K93" i="42"/>
  <c r="Q157" i="42"/>
  <c r="F157" i="47"/>
  <c r="AZ166" i="42"/>
  <c r="C338" i="47"/>
  <c r="D281" i="47"/>
  <c r="BC259" i="42"/>
  <c r="BC55" i="42"/>
  <c r="E158" i="47"/>
  <c r="C215" i="47"/>
  <c r="J233" i="42"/>
  <c r="C341" i="47"/>
  <c r="O246" i="42"/>
  <c r="Q136" i="42"/>
  <c r="L338" i="42"/>
  <c r="G142" i="42"/>
  <c r="BB132" i="42"/>
  <c r="D219" i="47"/>
  <c r="B352" i="47"/>
  <c r="E97" i="47"/>
  <c r="L321" i="42"/>
  <c r="G214" i="42"/>
  <c r="BA289" i="42"/>
  <c r="M119" i="42"/>
  <c r="I26" i="42"/>
  <c r="K288" i="42"/>
  <c r="N336" i="42"/>
  <c r="E94" i="47"/>
  <c r="AY373" i="42"/>
  <c r="B144" i="47"/>
  <c r="BA135" i="42"/>
  <c r="H120" i="42"/>
  <c r="AY124" i="42"/>
  <c r="M319" i="42"/>
  <c r="N174" i="42"/>
  <c r="Q23" i="42"/>
  <c r="N66" i="42"/>
  <c r="C89" i="47"/>
  <c r="BC313" i="42"/>
  <c r="D271" i="47"/>
  <c r="L138" i="42"/>
  <c r="BA28" i="42"/>
  <c r="I223" i="42"/>
  <c r="O350" i="42"/>
  <c r="C16" i="47"/>
  <c r="B311" i="47"/>
  <c r="D179" i="47"/>
  <c r="C325" i="47"/>
  <c r="D349" i="47"/>
  <c r="N48" i="42"/>
  <c r="K185" i="42"/>
  <c r="Q274" i="42"/>
  <c r="P189" i="42"/>
  <c r="AY150" i="42"/>
  <c r="G210" i="42"/>
  <c r="BA348" i="42"/>
  <c r="G166" i="42"/>
  <c r="BB190" i="42"/>
  <c r="K310" i="42"/>
  <c r="E191" i="47"/>
  <c r="BB195" i="42"/>
  <c r="F195" i="47"/>
  <c r="BA334" i="42"/>
  <c r="I29" i="42"/>
  <c r="Q170" i="42"/>
  <c r="AZ298" i="42"/>
  <c r="BA346" i="42"/>
  <c r="F95" i="42"/>
  <c r="P291" i="42"/>
  <c r="M182" i="42"/>
  <c r="C131" i="47"/>
  <c r="BB146" i="42"/>
  <c r="B19" i="47"/>
  <c r="AZ25" i="42"/>
  <c r="M200" i="42"/>
  <c r="Q91" i="42"/>
  <c r="N53" i="42"/>
  <c r="BA150" i="42"/>
  <c r="F349" i="42"/>
  <c r="AZ171" i="42"/>
  <c r="C112" i="47"/>
  <c r="F357" i="47"/>
  <c r="P131" i="42"/>
  <c r="F68" i="42"/>
  <c r="BA227" i="42"/>
  <c r="BC298" i="42"/>
  <c r="AZ28" i="42"/>
  <c r="G366" i="42"/>
  <c r="D73" i="47"/>
  <c r="C244" i="47"/>
  <c r="E119" i="47"/>
  <c r="N359" i="42"/>
  <c r="F319" i="47"/>
  <c r="C248" i="47"/>
  <c r="AY334" i="42"/>
  <c r="G102" i="42"/>
  <c r="E364" i="47"/>
  <c r="P122" i="42"/>
  <c r="C75" i="47"/>
  <c r="L58" i="42"/>
  <c r="B362" i="47"/>
  <c r="M270" i="42"/>
  <c r="BC60" i="42"/>
  <c r="E299" i="47"/>
  <c r="N152" i="42"/>
  <c r="H11" i="42"/>
  <c r="F328" i="47"/>
  <c r="F232" i="47"/>
  <c r="Q62" i="42"/>
  <c r="BA18" i="42"/>
  <c r="AY178" i="42"/>
  <c r="BC347" i="42"/>
  <c r="BB123" i="42"/>
  <c r="E45" i="47"/>
  <c r="C307" i="47"/>
  <c r="B128" i="47"/>
  <c r="B250" i="47"/>
  <c r="F151" i="42"/>
  <c r="J117" i="42"/>
  <c r="G147" i="42"/>
  <c r="I18" i="42"/>
  <c r="J267" i="42"/>
  <c r="H271" i="42"/>
  <c r="F111" i="47"/>
  <c r="AY154" i="42"/>
  <c r="B265" i="47"/>
  <c r="BA33" i="42"/>
  <c r="AY316" i="42"/>
  <c r="D342" i="47"/>
  <c r="B320" i="47"/>
  <c r="B145" i="47"/>
  <c r="N33" i="42"/>
  <c r="B222" i="47"/>
  <c r="F222" i="47"/>
  <c r="F52" i="47"/>
  <c r="AZ110" i="42"/>
  <c r="AY164" i="42"/>
  <c r="G88" i="42"/>
  <c r="L132" i="42"/>
  <c r="D184" i="47"/>
  <c r="M150" i="42"/>
  <c r="BC14" i="42"/>
  <c r="AZ82" i="42"/>
  <c r="N307" i="42"/>
  <c r="P366" i="42"/>
  <c r="N107" i="42"/>
  <c r="AY346" i="42"/>
  <c r="BC109" i="42"/>
  <c r="K248" i="42"/>
  <c r="BA316" i="42"/>
  <c r="E131" i="47"/>
  <c r="C59" i="47"/>
  <c r="J263" i="42"/>
  <c r="O162" i="42"/>
  <c r="BB35" i="42"/>
  <c r="J67" i="42"/>
  <c r="P17" i="42"/>
  <c r="L307" i="42"/>
  <c r="F314" i="42"/>
  <c r="D171" i="47"/>
  <c r="B313" i="47"/>
  <c r="E127" i="47"/>
  <c r="F184" i="47"/>
  <c r="E224" i="47"/>
  <c r="E281" i="47"/>
  <c r="AZ258" i="42"/>
  <c r="F177" i="42"/>
  <c r="F307" i="47"/>
  <c r="B300" i="47"/>
  <c r="E105" i="47"/>
  <c r="M306" i="42"/>
  <c r="E262" i="47"/>
  <c r="P128" i="42"/>
  <c r="AY30" i="42"/>
  <c r="D327" i="47"/>
  <c r="C33" i="47"/>
  <c r="BA371" i="42"/>
  <c r="P281" i="42"/>
  <c r="I351" i="42"/>
  <c r="N187" i="42"/>
  <c r="F201" i="42"/>
  <c r="N231" i="42"/>
  <c r="BC221" i="42"/>
  <c r="C209" i="47"/>
  <c r="C124" i="47"/>
  <c r="E176" i="47"/>
  <c r="N83" i="42"/>
  <c r="BB359" i="42"/>
  <c r="D352" i="42"/>
  <c r="P335" i="42"/>
  <c r="M20" i="42"/>
  <c r="B310" i="47"/>
  <c r="F190" i="47"/>
  <c r="H81" i="42"/>
  <c r="E316" i="47"/>
  <c r="AY216" i="42"/>
  <c r="F93" i="42"/>
  <c r="C144" i="47"/>
  <c r="G116" i="42"/>
  <c r="C254" i="47"/>
  <c r="H174" i="42"/>
  <c r="BC182" i="42"/>
  <c r="P288" i="42"/>
  <c r="BB98" i="42"/>
  <c r="K109" i="42"/>
  <c r="BC187" i="42"/>
  <c r="AZ156" i="42"/>
  <c r="F208" i="47"/>
  <c r="D190" i="47"/>
  <c r="O130" i="42"/>
  <c r="AZ196" i="42"/>
  <c r="K207" i="42"/>
  <c r="G261" i="42"/>
  <c r="J86" i="42"/>
  <c r="O352" i="42"/>
  <c r="G220" i="42"/>
  <c r="BA205" i="42"/>
  <c r="C180" i="47"/>
  <c r="E26" i="47"/>
  <c r="B46" i="47"/>
  <c r="BB273" i="42"/>
  <c r="G140" i="42"/>
  <c r="K358" i="42"/>
  <c r="H28" i="42"/>
  <c r="AZ36" i="42"/>
  <c r="J106" i="42"/>
  <c r="F118" i="47"/>
  <c r="E121" i="47"/>
  <c r="C45" i="47"/>
  <c r="F316" i="47"/>
  <c r="BB339" i="42"/>
  <c r="F282" i="47"/>
  <c r="D95" i="42"/>
  <c r="E25" i="47"/>
  <c r="F332" i="42"/>
  <c r="D211" i="42"/>
  <c r="D374" i="42"/>
  <c r="E80" i="47"/>
  <c r="D12" i="42"/>
  <c r="K138" i="42"/>
  <c r="BB268" i="42"/>
  <c r="AZ185" i="42"/>
  <c r="L212" i="42"/>
  <c r="C62" i="47"/>
  <c r="C92" i="47"/>
  <c r="E369" i="47"/>
  <c r="C219" i="47"/>
  <c r="D16" i="47"/>
  <c r="Q304" i="42"/>
  <c r="M284" i="42"/>
  <c r="J58" i="42"/>
  <c r="L372" i="42"/>
  <c r="N155" i="42"/>
  <c r="F35" i="42"/>
  <c r="C53" i="47"/>
  <c r="AZ330" i="42"/>
  <c r="B331" i="47"/>
  <c r="O270" i="42"/>
  <c r="C44" i="47"/>
  <c r="F65" i="47"/>
  <c r="BA318" i="42"/>
  <c r="C196" i="47"/>
  <c r="P333" i="42"/>
  <c r="BC192" i="42"/>
  <c r="B109" i="47"/>
  <c r="BB87" i="42"/>
  <c r="BA264" i="42"/>
  <c r="K130" i="42"/>
  <c r="G64" i="42"/>
  <c r="F49" i="47"/>
  <c r="BB56" i="42"/>
  <c r="C224" i="47"/>
  <c r="O99" i="42"/>
  <c r="AZ372" i="42"/>
  <c r="L111" i="42"/>
  <c r="D371" i="42"/>
  <c r="F173" i="47"/>
  <c r="BA156" i="42"/>
  <c r="H112" i="42"/>
  <c r="E311" i="47"/>
  <c r="C43" i="47"/>
  <c r="Q111" i="42"/>
  <c r="L219" i="42"/>
  <c r="I267" i="42"/>
  <c r="G79" i="42"/>
  <c r="BC233" i="42"/>
  <c r="C32" i="47"/>
  <c r="C210" i="47"/>
  <c r="B53" i="47"/>
  <c r="F264" i="47"/>
  <c r="L81" i="42"/>
  <c r="E178" i="47"/>
  <c r="E126" i="47"/>
  <c r="B35" i="47"/>
  <c r="F230" i="47"/>
  <c r="F204" i="47"/>
  <c r="O42" i="42"/>
  <c r="B236" i="47"/>
  <c r="AZ237" i="42"/>
  <c r="D71" i="47"/>
  <c r="G233" i="42"/>
  <c r="M186" i="42"/>
  <c r="D232" i="47"/>
  <c r="O125" i="42"/>
  <c r="O98" i="42"/>
  <c r="D257" i="47"/>
  <c r="D297" i="42"/>
  <c r="F300" i="42"/>
  <c r="BC150" i="42"/>
  <c r="D304" i="47"/>
  <c r="L88" i="42"/>
  <c r="AY319" i="42"/>
  <c r="E92" i="47"/>
  <c r="C77" i="47"/>
  <c r="D133" i="47"/>
  <c r="N91" i="42"/>
  <c r="BC171" i="42"/>
  <c r="H58" i="42"/>
  <c r="H38" i="42"/>
  <c r="P247" i="42"/>
  <c r="O206" i="42"/>
  <c r="AY86" i="42"/>
  <c r="B195" i="47"/>
  <c r="E55" i="47"/>
  <c r="C48" i="47"/>
  <c r="BA250" i="42"/>
  <c r="D316" i="47"/>
  <c r="F79" i="47"/>
  <c r="E291" i="47"/>
  <c r="H24" i="42"/>
  <c r="I160" i="42"/>
  <c r="B301" i="47"/>
  <c r="N177" i="42"/>
  <c r="O88" i="42"/>
  <c r="G279" i="42"/>
  <c r="B272" i="47"/>
  <c r="G48" i="42"/>
  <c r="AZ24" i="42"/>
  <c r="M314" i="42"/>
  <c r="AZ295" i="42"/>
  <c r="C337" i="47"/>
  <c r="C361" i="47"/>
  <c r="BB318" i="42"/>
  <c r="AY146" i="42"/>
  <c r="F225" i="42"/>
  <c r="D329" i="47"/>
  <c r="I72" i="42"/>
  <c r="BB184" i="42"/>
  <c r="K192" i="42"/>
  <c r="C181" i="47"/>
  <c r="C315" i="47"/>
  <c r="AY126" i="42"/>
  <c r="I362" i="42"/>
  <c r="AY268" i="42"/>
  <c r="O101" i="42"/>
  <c r="I204" i="42"/>
  <c r="D43" i="42"/>
  <c r="AZ345" i="42"/>
  <c r="D119" i="47"/>
  <c r="C267" i="47"/>
  <c r="D300" i="42"/>
  <c r="L331" i="42"/>
  <c r="BC65" i="42"/>
  <c r="K261" i="42"/>
  <c r="F106" i="47"/>
  <c r="F163" i="47"/>
  <c r="BA47" i="42"/>
  <c r="B42" i="47"/>
  <c r="M217" i="42"/>
  <c r="AY371" i="42"/>
  <c r="D257" i="42"/>
  <c r="G194" i="42"/>
  <c r="E116" i="47"/>
  <c r="E330" i="47"/>
  <c r="F145" i="42"/>
  <c r="G129" i="42"/>
  <c r="K291" i="42"/>
  <c r="D121" i="47"/>
  <c r="Q339" i="42"/>
  <c r="Q17" i="42"/>
  <c r="D189" i="47"/>
  <c r="D318" i="47"/>
  <c r="B274" i="47"/>
  <c r="B13" i="47"/>
  <c r="H311" i="42"/>
  <c r="H106" i="42"/>
  <c r="J81" i="42"/>
  <c r="M33" i="42"/>
  <c r="F209" i="42"/>
  <c r="C17" i="47"/>
  <c r="BA69" i="42"/>
  <c r="D372" i="47"/>
  <c r="E195" i="47"/>
  <c r="AZ135" i="42"/>
  <c r="G358" i="42"/>
  <c r="E319" i="47"/>
  <c r="B132" i="47"/>
  <c r="BC34" i="42"/>
  <c r="O336" i="42"/>
  <c r="BA247" i="42"/>
  <c r="J141" i="42"/>
  <c r="L148" i="42"/>
  <c r="F275" i="47"/>
  <c r="L191" i="42"/>
  <c r="N190" i="42"/>
  <c r="K336" i="42"/>
  <c r="AY151" i="42"/>
  <c r="H54" i="42"/>
  <c r="AZ14" i="42"/>
  <c r="BB170" i="42"/>
  <c r="M338" i="42"/>
  <c r="F315" i="42"/>
  <c r="J146" i="42"/>
  <c r="BB97" i="42"/>
  <c r="H17" i="42"/>
  <c r="BA313" i="42"/>
  <c r="E259" i="47"/>
  <c r="F321" i="47"/>
  <c r="J42" i="42"/>
  <c r="BA239" i="42"/>
  <c r="F350" i="42"/>
  <c r="I272" i="42"/>
  <c r="BB165" i="42"/>
  <c r="L128" i="42"/>
  <c r="F178" i="47"/>
  <c r="E67" i="47"/>
  <c r="B163" i="47"/>
  <c r="BA330" i="42"/>
  <c r="K53" i="42"/>
  <c r="C236" i="47"/>
  <c r="H312" i="42"/>
  <c r="O204" i="42"/>
  <c r="F63" i="47"/>
  <c r="BC198" i="42"/>
  <c r="O356" i="42"/>
  <c r="K363" i="42"/>
  <c r="AZ112" i="42"/>
  <c r="O319" i="42"/>
  <c r="K142" i="42"/>
  <c r="BB260" i="42"/>
  <c r="AY89" i="42"/>
  <c r="AY362" i="42"/>
  <c r="BC317" i="42"/>
  <c r="F212" i="47"/>
  <c r="E250" i="47"/>
  <c r="D140" i="47"/>
  <c r="BB108" i="42"/>
  <c r="D35" i="47"/>
  <c r="M310" i="42"/>
  <c r="Q286" i="42"/>
  <c r="H196" i="42"/>
  <c r="AZ255" i="42"/>
  <c r="E78" i="47"/>
  <c r="B305" i="47"/>
  <c r="E202" i="47"/>
  <c r="BA308" i="42"/>
  <c r="D248" i="47"/>
  <c r="C82" i="47"/>
  <c r="D300" i="47"/>
  <c r="BB361" i="42"/>
  <c r="F256" i="47"/>
  <c r="I40" i="42"/>
  <c r="N175" i="42"/>
  <c r="BC237" i="42"/>
  <c r="P130" i="42"/>
  <c r="B11" i="39"/>
  <c r="O167" i="42"/>
  <c r="B218" i="47"/>
  <c r="AZ167" i="42"/>
  <c r="D285" i="47"/>
  <c r="J183" i="42"/>
  <c r="C22" i="47"/>
  <c r="BC16" i="42"/>
  <c r="H135" i="42"/>
  <c r="B58" i="47"/>
  <c r="D149" i="47"/>
  <c r="AZ332" i="42"/>
  <c r="C184" i="47"/>
  <c r="E308" i="47"/>
  <c r="AY344" i="42"/>
  <c r="O210" i="42"/>
  <c r="AZ158" i="42"/>
  <c r="Q33" i="42"/>
  <c r="K275" i="42"/>
  <c r="D238" i="47"/>
  <c r="H53" i="42"/>
  <c r="AY27" i="42"/>
  <c r="E366" i="47"/>
  <c r="AZ154" i="42"/>
  <c r="B357" i="47"/>
  <c r="D353" i="47"/>
  <c r="BB140" i="42"/>
  <c r="B254" i="47"/>
  <c r="E170" i="47"/>
  <c r="BC136" i="42"/>
  <c r="F192" i="47"/>
  <c r="Q107" i="42"/>
  <c r="F12" i="47"/>
  <c r="K228" i="42"/>
  <c r="C109" i="47"/>
  <c r="E154" i="47"/>
  <c r="BC166" i="42"/>
  <c r="K201" i="42"/>
  <c r="F61" i="47"/>
  <c r="G30" i="42"/>
  <c r="BB210" i="42"/>
  <c r="N233" i="42"/>
  <c r="BB91" i="42"/>
  <c r="AY226" i="42"/>
  <c r="F286" i="47"/>
  <c r="K134" i="42"/>
  <c r="BA300" i="42"/>
  <c r="F345" i="47"/>
  <c r="F288" i="42"/>
  <c r="P230" i="42"/>
  <c r="E228" i="47"/>
  <c r="F50" i="42"/>
  <c r="N295" i="42"/>
  <c r="H214" i="42"/>
  <c r="BA43" i="42"/>
  <c r="B44" i="47"/>
  <c r="F28" i="47"/>
  <c r="E240" i="47"/>
  <c r="E361" i="47"/>
  <c r="AZ252" i="42"/>
  <c r="F160" i="47"/>
  <c r="BC200" i="42"/>
  <c r="E362" i="47"/>
  <c r="N36" i="42"/>
  <c r="BA111" i="42"/>
  <c r="H21" i="42"/>
  <c r="O205" i="42"/>
  <c r="C39" i="47"/>
  <c r="BA216" i="42"/>
  <c r="BA126" i="42"/>
  <c r="N76" i="42"/>
  <c r="AZ186" i="42"/>
  <c r="P141" i="42"/>
  <c r="I375" i="42"/>
  <c r="BA375" i="42"/>
  <c r="E23" i="47"/>
  <c r="BB197" i="42"/>
  <c r="M375" i="42"/>
  <c r="BC120" i="42"/>
  <c r="AZ262" i="42"/>
  <c r="F322" i="47"/>
  <c r="BA267" i="42"/>
  <c r="H249" i="42"/>
  <c r="F62" i="47"/>
  <c r="BA23" i="42"/>
  <c r="O111" i="42"/>
  <c r="BC88" i="42"/>
  <c r="I305" i="42"/>
  <c r="Q280" i="42"/>
  <c r="L244" i="42"/>
  <c r="K151" i="42"/>
  <c r="AZ32" i="42"/>
  <c r="C345" i="47"/>
  <c r="AZ349" i="42"/>
  <c r="F37" i="42"/>
  <c r="G82" i="42"/>
  <c r="BC325" i="42"/>
  <c r="D142" i="47"/>
  <c r="Q122" i="42"/>
  <c r="I94" i="42"/>
  <c r="F320" i="47"/>
  <c r="BA15" i="42"/>
  <c r="AY83" i="42"/>
  <c r="E293" i="47"/>
  <c r="M311" i="42"/>
  <c r="L104" i="42"/>
  <c r="E208" i="47"/>
  <c r="D62" i="47"/>
  <c r="F313" i="47"/>
  <c r="G196" i="42"/>
  <c r="F21" i="42"/>
  <c r="J375" i="42"/>
  <c r="M315" i="42"/>
  <c r="D109" i="42"/>
  <c r="D31" i="42"/>
  <c r="C56" i="47"/>
  <c r="G324" i="42"/>
  <c r="E226" i="47"/>
  <c r="BA296" i="42"/>
  <c r="BB269" i="42"/>
  <c r="AY212" i="42"/>
  <c r="AY138" i="42"/>
  <c r="AZ77" i="42"/>
  <c r="BB104" i="42"/>
  <c r="AZ144" i="42"/>
  <c r="E99" i="47"/>
  <c r="F358" i="42"/>
  <c r="H186" i="42"/>
  <c r="G132" i="42"/>
  <c r="BA276" i="42"/>
  <c r="BC272" i="42"/>
  <c r="H327" i="42"/>
  <c r="BA119" i="42"/>
  <c r="AZ22" i="42"/>
  <c r="E320" i="47"/>
  <c r="P142" i="42"/>
  <c r="BB29" i="42"/>
  <c r="O144" i="42"/>
  <c r="J365" i="42"/>
  <c r="B150" i="47"/>
  <c r="BB182" i="42"/>
  <c r="H241" i="42"/>
  <c r="E270" i="47"/>
  <c r="E133" i="47"/>
  <c r="M137" i="42"/>
  <c r="D307" i="42"/>
  <c r="AY364" i="42"/>
  <c r="AY35" i="42"/>
  <c r="G177" i="42"/>
  <c r="BA137" i="42"/>
  <c r="D228" i="47"/>
  <c r="AZ286" i="42"/>
  <c r="BC354" i="42"/>
  <c r="H35" i="42"/>
  <c r="F61" i="42"/>
  <c r="C171" i="47"/>
  <c r="K227" i="42"/>
  <c r="AZ219" i="42"/>
  <c r="C123" i="47"/>
  <c r="K131" i="42"/>
  <c r="H20" i="42"/>
  <c r="B196" i="47"/>
  <c r="N71" i="42"/>
  <c r="N92" i="42"/>
  <c r="J286" i="42"/>
  <c r="BC144" i="42"/>
  <c r="BA178" i="42"/>
  <c r="BC92" i="42"/>
  <c r="B194" i="47"/>
  <c r="BB301" i="42"/>
  <c r="F326" i="47"/>
  <c r="F109" i="42"/>
  <c r="Q247" i="42"/>
  <c r="G236" i="42"/>
  <c r="Q108" i="42"/>
  <c r="M141" i="42"/>
  <c r="L239" i="42"/>
  <c r="BB128" i="42"/>
  <c r="E368" i="47"/>
  <c r="C355" i="47"/>
  <c r="F241" i="47"/>
  <c r="F206" i="47"/>
  <c r="AZ149" i="42"/>
  <c r="BC261" i="42"/>
  <c r="D49" i="47"/>
  <c r="BC231" i="42"/>
  <c r="AZ40" i="42"/>
  <c r="I201" i="42"/>
  <c r="C80" i="47"/>
  <c r="I308" i="42"/>
  <c r="H272" i="42"/>
  <c r="N158" i="42"/>
  <c r="O86" i="42"/>
  <c r="C84" i="47"/>
  <c r="BA58" i="42"/>
  <c r="F259" i="47"/>
  <c r="G55" i="42"/>
  <c r="D364" i="47"/>
  <c r="K181" i="42"/>
  <c r="L140" i="42"/>
  <c r="D347" i="47"/>
  <c r="F68" i="47"/>
  <c r="C157" i="47"/>
  <c r="C201" i="47"/>
  <c r="F80" i="47"/>
  <c r="M45" i="42"/>
  <c r="Q257" i="42"/>
  <c r="P375" i="42"/>
  <c r="D136" i="42"/>
  <c r="AY250" i="42"/>
  <c r="M86" i="42"/>
  <c r="C173" i="47"/>
  <c r="BC186" i="42"/>
  <c r="D135" i="47"/>
  <c r="Q88" i="42"/>
  <c r="D158" i="47"/>
  <c r="F135" i="47"/>
  <c r="BC212" i="42"/>
  <c r="AZ210" i="42"/>
  <c r="I168" i="42"/>
  <c r="N353" i="42"/>
  <c r="BA233" i="42"/>
  <c r="D14" i="47"/>
  <c r="AZ66" i="42"/>
  <c r="E162" i="47"/>
  <c r="J120" i="42"/>
  <c r="AY347" i="42"/>
  <c r="K331" i="42"/>
  <c r="L117" i="42"/>
  <c r="BB250" i="42"/>
  <c r="M154" i="42"/>
  <c r="F82" i="42"/>
  <c r="M66" i="42"/>
  <c r="G374" i="42"/>
  <c r="BB52" i="42"/>
  <c r="AY179" i="42"/>
  <c r="BB118" i="42"/>
  <c r="K33" i="42"/>
  <c r="F352" i="47"/>
  <c r="P200" i="42"/>
  <c r="I200" i="42"/>
  <c r="I14" i="42"/>
  <c r="G284" i="42"/>
  <c r="J32" i="42"/>
  <c r="P38" i="42"/>
  <c r="L363" i="42"/>
  <c r="D165" i="47"/>
  <c r="E249" i="47"/>
  <c r="BA341" i="42"/>
  <c r="E157" i="47"/>
  <c r="E187" i="47"/>
  <c r="F233" i="47"/>
  <c r="E233" i="47"/>
  <c r="Q228" i="42"/>
  <c r="K374" i="42"/>
  <c r="G100" i="42"/>
  <c r="AZ81" i="42"/>
  <c r="N192" i="42"/>
  <c r="E47" i="47"/>
  <c r="E265" i="47"/>
  <c r="D242" i="42"/>
  <c r="I140" i="42"/>
  <c r="B318" i="47"/>
  <c r="I87" i="42"/>
  <c r="I66" i="42"/>
  <c r="E200" i="47"/>
  <c r="L337" i="42"/>
  <c r="I190" i="42"/>
  <c r="P278" i="42"/>
  <c r="D354" i="42"/>
  <c r="BB270" i="42"/>
  <c r="B199" i="47"/>
  <c r="E257" i="47"/>
  <c r="D86" i="47"/>
  <c r="E229" i="47"/>
  <c r="J282" i="42"/>
  <c r="H56" i="42"/>
  <c r="P138" i="42"/>
  <c r="G139" i="42"/>
  <c r="O13" i="42"/>
  <c r="N22" i="42"/>
  <c r="F185" i="42"/>
  <c r="BA249" i="42"/>
  <c r="BC216" i="42"/>
  <c r="BC356" i="42"/>
  <c r="BA223" i="42"/>
  <c r="L73" i="42"/>
  <c r="BA275" i="42"/>
  <c r="AZ120" i="42"/>
  <c r="J222" i="42"/>
  <c r="Q104" i="42"/>
  <c r="E272" i="47"/>
  <c r="AZ189" i="42"/>
  <c r="AZ256" i="42"/>
  <c r="AZ287" i="42"/>
  <c r="BC316" i="42"/>
  <c r="K11" i="42"/>
  <c r="Q18" i="42"/>
  <c r="O77" i="42"/>
  <c r="O87" i="42"/>
  <c r="F169" i="42"/>
  <c r="BA328" i="42"/>
  <c r="C304" i="47"/>
  <c r="E346" i="47"/>
  <c r="F101" i="42"/>
  <c r="F297" i="47"/>
  <c r="F179" i="47"/>
  <c r="BC110" i="42"/>
  <c r="F304" i="47"/>
  <c r="D276" i="42"/>
  <c r="C200" i="47"/>
  <c r="K159" i="42"/>
  <c r="B83" i="47"/>
  <c r="K267" i="42"/>
  <c r="N237" i="42"/>
  <c r="M223" i="42"/>
  <c r="O332" i="42"/>
  <c r="D61" i="47"/>
  <c r="F180" i="42"/>
  <c r="AZ105" i="42"/>
  <c r="N224" i="42"/>
  <c r="BB59" i="42"/>
  <c r="K132" i="42"/>
  <c r="G67" i="42"/>
  <c r="C271" i="47"/>
  <c r="AY25" i="42"/>
  <c r="BA128" i="42"/>
  <c r="D262" i="47"/>
  <c r="B192" i="47"/>
  <c r="AY34" i="42"/>
  <c r="P315" i="42"/>
  <c r="BC47" i="42"/>
  <c r="Q161" i="42"/>
  <c r="H101" i="42"/>
  <c r="BC76" i="42"/>
  <c r="H117" i="42"/>
  <c r="I109" i="42"/>
  <c r="E328" i="47"/>
  <c r="E248" i="47"/>
  <c r="B146" i="47"/>
  <c r="E284" i="47"/>
  <c r="D240" i="42"/>
  <c r="P360" i="42"/>
  <c r="C25" i="47"/>
  <c r="M171" i="42"/>
  <c r="M183" i="42"/>
  <c r="D30" i="47"/>
  <c r="Q220" i="42"/>
  <c r="BC122" i="42"/>
  <c r="O264" i="42"/>
  <c r="L326" i="42"/>
  <c r="F288" i="47"/>
  <c r="AZ324" i="42"/>
  <c r="BC139" i="42"/>
  <c r="B370" i="47"/>
  <c r="D254" i="47"/>
  <c r="O55" i="42"/>
  <c r="J36" i="42"/>
  <c r="BA373" i="42"/>
  <c r="M41" i="42"/>
  <c r="D245" i="42"/>
  <c r="P148" i="42"/>
  <c r="B314" i="47"/>
  <c r="BB357" i="42"/>
  <c r="D298" i="47"/>
  <c r="L213" i="42"/>
  <c r="F301" i="47"/>
  <c r="E164" i="47"/>
  <c r="F343" i="47"/>
  <c r="AY372" i="42"/>
  <c r="N274" i="42"/>
  <c r="C268" i="47"/>
  <c r="C40" i="47"/>
  <c r="C142" i="47"/>
  <c r="F193" i="42"/>
  <c r="B277" i="47"/>
  <c r="AZ278" i="42"/>
  <c r="P214" i="42"/>
  <c r="L274" i="42"/>
  <c r="C205" i="47"/>
  <c r="L240" i="42"/>
  <c r="H158" i="42"/>
  <c r="BA245" i="42"/>
  <c r="AY136" i="42"/>
  <c r="F206" i="42"/>
  <c r="BC211" i="42"/>
  <c r="F308" i="47"/>
  <c r="D214" i="47"/>
  <c r="C169" i="47"/>
  <c r="F273" i="47"/>
  <c r="P199" i="42"/>
  <c r="J94" i="42"/>
  <c r="H370" i="42"/>
  <c r="G320" i="42"/>
  <c r="P272" i="42"/>
  <c r="K305" i="42"/>
  <c r="B72" i="47"/>
  <c r="AZ254" i="42"/>
  <c r="F152" i="47"/>
  <c r="K259" i="42"/>
  <c r="BB325" i="42"/>
  <c r="F164" i="42"/>
  <c r="F329" i="47"/>
  <c r="AY327" i="42"/>
  <c r="G317" i="42"/>
  <c r="F221" i="42"/>
  <c r="E347" i="47"/>
  <c r="Q321" i="42"/>
  <c r="BA337" i="42"/>
  <c r="P165" i="42"/>
  <c r="N334" i="42"/>
  <c r="BB206" i="42"/>
  <c r="BA219" i="42"/>
  <c r="J310" i="42"/>
  <c r="BC270" i="42"/>
  <c r="N127" i="42"/>
  <c r="M372" i="42"/>
  <c r="D183" i="42"/>
  <c r="N85" i="42"/>
  <c r="BC239" i="42"/>
  <c r="D115" i="47"/>
  <c r="AY314" i="42"/>
  <c r="E335" i="47"/>
  <c r="B96" i="47"/>
  <c r="J28" i="42"/>
  <c r="N15" i="42"/>
  <c r="Q350" i="42"/>
  <c r="I316" i="42"/>
  <c r="K269" i="42"/>
  <c r="N255" i="42"/>
  <c r="BB374" i="42"/>
  <c r="F136" i="42"/>
  <c r="C305" i="47"/>
  <c r="D353" i="42"/>
  <c r="F170" i="47"/>
  <c r="D168" i="47"/>
  <c r="F303" i="47"/>
  <c r="C192" i="47"/>
  <c r="P113" i="42"/>
  <c r="G73" i="42"/>
  <c r="B291" i="47"/>
  <c r="E49" i="47"/>
  <c r="P236" i="42"/>
  <c r="D177" i="47"/>
  <c r="AY42" i="42"/>
  <c r="J250" i="42"/>
  <c r="J186" i="42"/>
  <c r="F64" i="47"/>
  <c r="G62" i="42"/>
  <c r="D132" i="42"/>
  <c r="C306" i="47"/>
  <c r="N327" i="42"/>
  <c r="D315" i="42"/>
  <c r="M52" i="42"/>
  <c r="M35" i="42"/>
  <c r="I191" i="42"/>
  <c r="B48" i="47"/>
  <c r="F225" i="47"/>
  <c r="C344" i="47"/>
  <c r="AY77" i="42"/>
  <c r="B167" i="47"/>
  <c r="F156" i="42"/>
  <c r="P217" i="42"/>
  <c r="AY351" i="42"/>
  <c r="F192" i="42"/>
  <c r="Q51" i="42"/>
  <c r="D249" i="47"/>
  <c r="C352" i="47"/>
  <c r="I285" i="42"/>
  <c r="BC305" i="42"/>
  <c r="BB345" i="42"/>
  <c r="C311" i="47"/>
  <c r="E210" i="47"/>
  <c r="C342" i="47"/>
  <c r="E16" i="47"/>
  <c r="AZ361" i="42"/>
  <c r="L310" i="42"/>
  <c r="AZ341" i="42"/>
  <c r="C343" i="47"/>
  <c r="D345" i="47"/>
  <c r="C63" i="47"/>
  <c r="G228" i="42"/>
  <c r="K82" i="42"/>
  <c r="C85" i="47"/>
  <c r="F227" i="47"/>
  <c r="C320" i="47"/>
  <c r="B69" i="47"/>
  <c r="AY260" i="42"/>
  <c r="F34" i="47"/>
  <c r="O219" i="42"/>
  <c r="B180" i="47"/>
  <c r="P321" i="42"/>
  <c r="BA273" i="42"/>
  <c r="I149" i="42"/>
  <c r="K364" i="42"/>
  <c r="L275" i="42"/>
  <c r="N173" i="42"/>
  <c r="AZ233" i="42"/>
  <c r="AZ97" i="42"/>
  <c r="F196" i="47"/>
  <c r="C198" i="47"/>
  <c r="I37" i="42"/>
  <c r="K111" i="42"/>
  <c r="N256" i="42"/>
  <c r="F33" i="42"/>
  <c r="I51" i="42"/>
  <c r="E237" i="47"/>
  <c r="E235" i="47"/>
  <c r="Q31" i="42"/>
  <c r="G204" i="42"/>
  <c r="G81" i="42"/>
  <c r="B198" i="47"/>
  <c r="H343" i="42"/>
  <c r="AZ293" i="42"/>
  <c r="AZ161" i="42"/>
  <c r="BB340" i="42"/>
  <c r="C51" i="47"/>
  <c r="I265" i="42"/>
  <c r="BC168" i="42"/>
  <c r="I307" i="42"/>
  <c r="N81" i="42"/>
  <c r="AY325" i="42"/>
  <c r="N244" i="42"/>
  <c r="D144" i="47"/>
  <c r="D324" i="47"/>
  <c r="D288" i="47"/>
  <c r="AZ238" i="42"/>
  <c r="BB70" i="42"/>
  <c r="I342" i="42"/>
  <c r="N350" i="42"/>
  <c r="D183" i="47"/>
  <c r="B22" i="47"/>
  <c r="E370" i="47"/>
  <c r="B114" i="47"/>
  <c r="E86" i="47"/>
  <c r="J315" i="42"/>
  <c r="H229" i="42"/>
  <c r="Q227" i="42"/>
  <c r="J214" i="42"/>
  <c r="AZ364" i="42"/>
  <c r="G25" i="42"/>
  <c r="D161" i="47"/>
  <c r="BA140" i="42"/>
  <c r="E12" i="47"/>
  <c r="C274" i="47"/>
  <c r="F138" i="47"/>
  <c r="D231" i="47"/>
  <c r="D354" i="47"/>
  <c r="O339" i="42"/>
  <c r="BA287" i="42"/>
  <c r="I118" i="42"/>
  <c r="D337" i="42"/>
  <c r="F87" i="42"/>
  <c r="N206" i="42"/>
  <c r="N266" i="42"/>
  <c r="K160" i="42"/>
  <c r="J262" i="42"/>
  <c r="L202" i="42"/>
  <c r="F50" i="47"/>
  <c r="B337" i="47"/>
  <c r="BB367" i="42"/>
  <c r="D213" i="47"/>
  <c r="B173" i="47"/>
  <c r="O172" i="42"/>
  <c r="J242" i="42"/>
  <c r="J29" i="42"/>
  <c r="K356" i="42"/>
  <c r="O22" i="42"/>
  <c r="BC159" i="42"/>
  <c r="K191" i="42"/>
  <c r="BA22" i="42"/>
  <c r="Q338" i="42"/>
  <c r="D29" i="47"/>
  <c r="D209" i="47"/>
  <c r="E344" i="47"/>
  <c r="D130" i="47"/>
  <c r="BC364" i="42"/>
  <c r="C226" i="47"/>
  <c r="M300" i="42"/>
  <c r="BA311" i="42"/>
  <c r="BA319" i="42"/>
  <c r="M87" i="42"/>
  <c r="AY177" i="42"/>
  <c r="J341" i="42"/>
  <c r="N362" i="42"/>
  <c r="BC83" i="42"/>
  <c r="C61" i="47"/>
  <c r="M222" i="42"/>
  <c r="F253" i="42"/>
  <c r="BA102" i="42"/>
  <c r="L145" i="42"/>
  <c r="AY336" i="42"/>
  <c r="BB218" i="42"/>
  <c r="E218" i="47"/>
  <c r="C117" i="47"/>
  <c r="D302" i="47"/>
  <c r="B169" i="47"/>
  <c r="AZ235" i="42"/>
  <c r="N268" i="42"/>
  <c r="J140" i="42"/>
  <c r="D190" i="42"/>
  <c r="AY63" i="42"/>
  <c r="C300" i="47"/>
  <c r="F123" i="47"/>
  <c r="E112" i="47"/>
  <c r="F173" i="42"/>
  <c r="E75" i="47"/>
  <c r="D60" i="47"/>
  <c r="BB117" i="42"/>
  <c r="D330" i="47"/>
  <c r="F188" i="47"/>
  <c r="M321" i="42"/>
  <c r="B43" i="47"/>
  <c r="I370" i="42"/>
  <c r="B296" i="47"/>
  <c r="O152" i="42"/>
  <c r="D220" i="42"/>
  <c r="E286" i="47"/>
  <c r="E130" i="47"/>
  <c r="Q329" i="42"/>
  <c r="D193" i="47"/>
  <c r="M118" i="42"/>
  <c r="L214" i="42"/>
  <c r="P55" i="42"/>
  <c r="N292" i="42"/>
  <c r="G108" i="42"/>
  <c r="D125" i="47"/>
  <c r="C23" i="47"/>
  <c r="F347" i="47"/>
  <c r="AZ350" i="42"/>
  <c r="F266" i="47"/>
  <c r="K154" i="42"/>
  <c r="D22" i="42"/>
  <c r="BA286" i="42"/>
  <c r="M212" i="42"/>
  <c r="D305" i="42"/>
  <c r="F14" i="47"/>
  <c r="BA192" i="42"/>
  <c r="H110" i="42"/>
  <c r="O261" i="42"/>
  <c r="D128" i="47"/>
  <c r="D58" i="47"/>
  <c r="E39" i="47"/>
  <c r="C313" i="47"/>
  <c r="I39" i="42"/>
  <c r="J207" i="42"/>
  <c r="C125" i="47"/>
  <c r="AY71" i="42"/>
  <c r="O102" i="42"/>
  <c r="AY298" i="42"/>
  <c r="C242" i="47"/>
  <c r="K45" i="42"/>
  <c r="J199" i="42"/>
  <c r="D293" i="47"/>
  <c r="AZ126" i="42"/>
  <c r="AY75" i="42"/>
  <c r="B374" i="47"/>
  <c r="Q258" i="42"/>
  <c r="M263" i="42"/>
  <c r="G211" i="42"/>
  <c r="Q166" i="42"/>
  <c r="C286" i="47"/>
  <c r="B234" i="47"/>
  <c r="F234" i="47"/>
  <c r="E203" i="47"/>
  <c r="BA301" i="42"/>
  <c r="M354" i="42"/>
  <c r="BA294" i="42"/>
  <c r="D279" i="42"/>
  <c r="AY299" i="42"/>
  <c r="BB282" i="42"/>
  <c r="F238" i="42"/>
  <c r="E129" i="47"/>
  <c r="C371" i="47"/>
  <c r="C273" i="47"/>
  <c r="Q337" i="42"/>
  <c r="BA136" i="42"/>
  <c r="AZ76" i="42"/>
  <c r="J184" i="42"/>
  <c r="N251" i="42"/>
  <c r="D314" i="47"/>
  <c r="G363" i="42"/>
  <c r="AZ67" i="42"/>
  <c r="F340" i="47"/>
  <c r="M164" i="42"/>
  <c r="AY335" i="42"/>
  <c r="B299" i="47"/>
  <c r="O268" i="42"/>
  <c r="I172" i="42"/>
  <c r="I315" i="42"/>
  <c r="I31" i="42"/>
  <c r="B279" i="47"/>
  <c r="B244" i="47"/>
  <c r="B112" i="47"/>
  <c r="J266" i="42"/>
  <c r="AZ198" i="42"/>
  <c r="K246" i="42"/>
  <c r="BA255" i="42"/>
  <c r="BC152" i="42"/>
  <c r="F228" i="47"/>
  <c r="F216" i="47"/>
  <c r="E146" i="47"/>
  <c r="F371" i="42"/>
  <c r="D105" i="47"/>
  <c r="B266" i="47"/>
  <c r="L47" i="42"/>
  <c r="E172" i="47"/>
  <c r="BC307" i="42"/>
  <c r="H306" i="42"/>
  <c r="K103" i="42"/>
  <c r="D34" i="47"/>
  <c r="BB291" i="42"/>
  <c r="H293" i="42"/>
  <c r="H68" i="42"/>
  <c r="D285" i="42"/>
  <c r="M309" i="42"/>
  <c r="J209" i="42"/>
  <c r="F75" i="47"/>
  <c r="N72" i="42"/>
  <c r="B287" i="47"/>
  <c r="BC145" i="42"/>
  <c r="AZ151" i="42"/>
  <c r="L357" i="42"/>
  <c r="D46" i="47"/>
  <c r="C145" i="47"/>
  <c r="B341" i="47"/>
  <c r="C251" i="47"/>
  <c r="E372" i="47"/>
  <c r="F242" i="42"/>
  <c r="N88" i="42"/>
  <c r="J150" i="42"/>
  <c r="F276" i="42"/>
  <c r="Q19" i="42"/>
  <c r="AY242" i="42"/>
  <c r="E114" i="47"/>
  <c r="C366" i="47"/>
  <c r="M266" i="42"/>
  <c r="E40" i="47"/>
  <c r="C245" i="47"/>
  <c r="F132" i="47"/>
  <c r="Q32" i="42"/>
  <c r="G138" i="42"/>
  <c r="BC72" i="42"/>
  <c r="C67" i="47"/>
  <c r="Q231" i="42"/>
  <c r="F131" i="47"/>
  <c r="K26" i="42"/>
  <c r="P256" i="42"/>
  <c r="P359" i="42"/>
  <c r="O263" i="42"/>
  <c r="AY269" i="42"/>
  <c r="B170" i="47"/>
  <c r="E305" i="47"/>
  <c r="AY275" i="42"/>
  <c r="F367" i="47"/>
  <c r="AZ360" i="42"/>
  <c r="Q290" i="42"/>
  <c r="D25" i="42"/>
  <c r="BC295" i="42"/>
  <c r="M187" i="42"/>
  <c r="G241" i="42"/>
  <c r="AY313" i="42"/>
  <c r="BB288" i="42"/>
  <c r="I208" i="42"/>
  <c r="J151" i="42"/>
  <c r="C223" i="47"/>
  <c r="C30" i="47"/>
  <c r="D229" i="47"/>
  <c r="BB106" i="42"/>
  <c r="G29" i="42"/>
  <c r="AY331" i="42"/>
  <c r="B90" i="47"/>
  <c r="AZ129" i="42"/>
  <c r="L375" i="42"/>
  <c r="BC194" i="42"/>
  <c r="D108" i="47"/>
  <c r="E14" i="47"/>
  <c r="J38" i="42"/>
  <c r="F82" i="47"/>
  <c r="D143" i="42"/>
  <c r="D290" i="42"/>
  <c r="N105" i="42"/>
  <c r="BC190" i="42"/>
  <c r="AZ128" i="42"/>
  <c r="BC84" i="42"/>
  <c r="AY207" i="42"/>
  <c r="BA171" i="42"/>
  <c r="E325" i="47"/>
  <c r="F140" i="42"/>
  <c r="D216" i="42"/>
  <c r="BC126" i="42"/>
  <c r="M286" i="42"/>
  <c r="D316" i="42"/>
  <c r="K129" i="42"/>
  <c r="BB148" i="42"/>
  <c r="D132" i="47"/>
  <c r="B135" i="47"/>
  <c r="D255" i="47"/>
  <c r="D90" i="47"/>
  <c r="H303" i="42"/>
  <c r="B285" i="47"/>
  <c r="AZ274" i="42"/>
  <c r="C13" i="47"/>
  <c r="F375" i="47"/>
  <c r="H105" i="42"/>
  <c r="E44" i="47"/>
  <c r="BB57" i="42"/>
  <c r="B168" i="47"/>
  <c r="AY81" i="42"/>
  <c r="O303" i="42"/>
  <c r="C193" i="47"/>
  <c r="AZ243" i="42"/>
  <c r="BB264" i="42"/>
  <c r="D163" i="47"/>
  <c r="J284" i="42"/>
  <c r="O355" i="42"/>
  <c r="K332" i="42"/>
  <c r="J13" i="42"/>
  <c r="AZ12" i="42"/>
  <c r="D91" i="47"/>
  <c r="C68" i="47"/>
  <c r="B225" i="47"/>
  <c r="BB64" i="42"/>
  <c r="Q85" i="42"/>
  <c r="H71" i="42"/>
  <c r="J229" i="42"/>
  <c r="BA321" i="42"/>
  <c r="L329" i="42"/>
  <c r="G164" i="42"/>
  <c r="B125" i="47"/>
  <c r="E155" i="47"/>
  <c r="D99" i="47"/>
  <c r="G237" i="42"/>
  <c r="D203" i="47"/>
  <c r="C156" i="47"/>
  <c r="D78" i="47"/>
  <c r="B116" i="47"/>
  <c r="O260" i="42"/>
  <c r="D373" i="42"/>
  <c r="H375" i="42"/>
  <c r="G315" i="42"/>
  <c r="N56" i="42"/>
  <c r="K117" i="42"/>
  <c r="AY318" i="42"/>
  <c r="N111" i="42"/>
  <c r="BB254" i="42"/>
  <c r="Q255" i="42"/>
  <c r="B179" i="47"/>
  <c r="N323" i="42"/>
  <c r="BC315" i="42"/>
  <c r="L242" i="42"/>
  <c r="L278" i="42"/>
  <c r="D259" i="42"/>
  <c r="M115" i="42"/>
  <c r="H204" i="42"/>
  <c r="AY370" i="42"/>
  <c r="BB63" i="42"/>
  <c r="E373" i="47"/>
  <c r="D159" i="47"/>
  <c r="BB32" i="42"/>
  <c r="K176" i="42"/>
  <c r="F239" i="42"/>
  <c r="L174" i="42"/>
  <c r="F317" i="47"/>
  <c r="D84" i="47"/>
  <c r="BA324" i="42"/>
  <c r="B152" i="47"/>
  <c r="D70" i="47"/>
  <c r="O15" i="42"/>
  <c r="J91" i="42"/>
  <c r="N73" i="42"/>
  <c r="K241" i="42"/>
  <c r="BC117" i="42"/>
  <c r="H235" i="42"/>
  <c r="C334" i="47"/>
  <c r="BA191" i="42"/>
  <c r="D323" i="47"/>
  <c r="D26" i="47"/>
  <c r="F41" i="47"/>
  <c r="F209" i="47"/>
  <c r="AZ297" i="42"/>
  <c r="O124" i="42"/>
  <c r="G34" i="42"/>
  <c r="BB189" i="42"/>
  <c r="L149" i="42"/>
  <c r="B253" i="47"/>
  <c r="BB72" i="42"/>
  <c r="BA85" i="42"/>
  <c r="E145" i="47"/>
  <c r="C212" i="47"/>
  <c r="E188" i="47"/>
  <c r="B81" i="47"/>
  <c r="F87" i="47"/>
  <c r="F301" i="42"/>
  <c r="Q314" i="42"/>
  <c r="H340" i="42"/>
  <c r="E184" i="47"/>
  <c r="F314" i="47"/>
  <c r="AZ241" i="42"/>
  <c r="Q234" i="42"/>
  <c r="AY129" i="42"/>
  <c r="AZ49" i="42"/>
  <c r="H165" i="42"/>
  <c r="AY197" i="42"/>
  <c r="AY323" i="42"/>
  <c r="L57" i="42"/>
  <c r="K50" i="42"/>
  <c r="BC209" i="42"/>
  <c r="AZ359" i="42"/>
  <c r="C262" i="47"/>
  <c r="C191" i="47"/>
  <c r="C203" i="47"/>
  <c r="E358" i="47"/>
  <c r="F137" i="47"/>
  <c r="I143" i="42"/>
  <c r="BB73" i="42"/>
  <c r="N242" i="42"/>
  <c r="N228" i="42"/>
  <c r="K164" i="42"/>
  <c r="BA258" i="42"/>
  <c r="F128" i="47"/>
  <c r="E197" i="47"/>
  <c r="BA221" i="42"/>
  <c r="B275" i="47"/>
  <c r="P363" i="42"/>
  <c r="D234" i="47"/>
  <c r="L83" i="42"/>
  <c r="AY69" i="42"/>
  <c r="E323" i="47"/>
  <c r="D134" i="47"/>
  <c r="L267" i="42"/>
  <c r="B255" i="47"/>
  <c r="F57" i="42"/>
  <c r="L49" i="42"/>
  <c r="N253" i="42"/>
  <c r="I155" i="42"/>
  <c r="BA338" i="42"/>
  <c r="C88" i="47"/>
  <c r="F57" i="47"/>
  <c r="C263" i="47"/>
  <c r="I281" i="42"/>
  <c r="N70" i="42"/>
  <c r="AZ304" i="42"/>
  <c r="I141" i="42"/>
  <c r="F15" i="47"/>
  <c r="G307" i="42"/>
  <c r="Q303" i="42"/>
  <c r="D47" i="47"/>
  <c r="AY120" i="42"/>
  <c r="BB47" i="42"/>
  <c r="Q326" i="42"/>
  <c r="AY358" i="42"/>
  <c r="B336" i="47"/>
  <c r="AY155" i="42"/>
  <c r="K40" i="42"/>
  <c r="C197" i="47"/>
  <c r="F337" i="42"/>
  <c r="J333" i="42"/>
  <c r="B375" i="47"/>
  <c r="G157" i="42"/>
  <c r="J47" i="42"/>
  <c r="C46" i="47"/>
  <c r="Q324" i="42"/>
  <c r="G255" i="42"/>
  <c r="F182" i="47"/>
  <c r="O351" i="42"/>
  <c r="BB83" i="42"/>
  <c r="O362" i="42"/>
  <c r="K135" i="42"/>
  <c r="E220" i="47"/>
  <c r="AY87" i="42"/>
  <c r="F124" i="47"/>
  <c r="F319" i="42"/>
  <c r="F339" i="47"/>
  <c r="N247" i="42"/>
  <c r="D181" i="42"/>
  <c r="AY259" i="42"/>
  <c r="M172" i="42"/>
  <c r="O242" i="42"/>
  <c r="N351" i="42"/>
  <c r="I274" i="42"/>
  <c r="BA82" i="42"/>
  <c r="B151" i="47"/>
  <c r="BB356" i="42"/>
  <c r="C235" i="47"/>
  <c r="C79" i="47"/>
  <c r="D166" i="47"/>
  <c r="F267" i="47"/>
  <c r="M334" i="42"/>
  <c r="J50" i="42"/>
  <c r="D85" i="42"/>
  <c r="O146" i="42"/>
  <c r="AZ346" i="42"/>
  <c r="N243" i="42"/>
  <c r="Q92" i="42"/>
  <c r="F313" i="42"/>
  <c r="F165" i="47"/>
  <c r="BB299" i="42"/>
  <c r="D294" i="42"/>
  <c r="L354" i="42"/>
  <c r="AZ355" i="42"/>
  <c r="D348" i="42"/>
  <c r="Q39" i="42"/>
  <c r="G296" i="42"/>
  <c r="G77" i="42"/>
  <c r="AZ131" i="42"/>
  <c r="C279" i="47"/>
  <c r="B200" i="47"/>
  <c r="C102" i="47"/>
  <c r="G224" i="42"/>
  <c r="BA229" i="42"/>
  <c r="P124" i="42"/>
  <c r="BA309" i="42"/>
  <c r="G185" i="42"/>
  <c r="M181" i="42"/>
  <c r="C141" i="47"/>
  <c r="F99" i="47"/>
  <c r="D124" i="47"/>
  <c r="BC74" i="42"/>
  <c r="B105" i="47"/>
  <c r="C81" i="47"/>
  <c r="C78" i="47"/>
  <c r="AZ343" i="42"/>
  <c r="M285" i="42"/>
  <c r="J134" i="42"/>
  <c r="N290" i="42"/>
  <c r="E374" i="47"/>
  <c r="BA110" i="42"/>
  <c r="F324" i="47"/>
  <c r="K312" i="42"/>
  <c r="I364" i="42"/>
  <c r="F242" i="47"/>
  <c r="AZ322" i="42"/>
  <c r="C247" i="47"/>
  <c r="D357" i="47"/>
  <c r="M67" i="42"/>
  <c r="G281" i="42"/>
  <c r="D142" i="42"/>
  <c r="K157" i="42"/>
  <c r="BA42" i="42"/>
  <c r="BB355" i="42"/>
  <c r="E304" i="47"/>
  <c r="D109" i="47"/>
  <c r="B259" i="47"/>
  <c r="B89" i="47"/>
  <c r="M241" i="42"/>
  <c r="L168" i="42"/>
  <c r="H129" i="42"/>
  <c r="G21" i="42"/>
  <c r="C204" i="47"/>
  <c r="B101" i="47"/>
  <c r="AY273" i="42"/>
  <c r="M229" i="42"/>
  <c r="F76" i="47"/>
  <c r="E120" i="47"/>
  <c r="E48" i="47"/>
  <c r="D74" i="47"/>
  <c r="AY121" i="42"/>
  <c r="L171" i="42"/>
  <c r="BB31" i="42"/>
  <c r="Q206" i="42"/>
  <c r="AY157" i="42"/>
  <c r="C35" i="47"/>
  <c r="Q230" i="42"/>
  <c r="F41" i="42"/>
  <c r="AZ17" i="42"/>
  <c r="P87" i="42"/>
  <c r="D129" i="42"/>
  <c r="C293" i="47"/>
  <c r="J111" i="42"/>
  <c r="J45" i="42"/>
  <c r="N286" i="42"/>
  <c r="G274" i="42"/>
  <c r="D150" i="47"/>
  <c r="M55" i="42"/>
  <c r="AY174" i="42"/>
  <c r="BB61" i="42"/>
  <c r="F198" i="47"/>
  <c r="M293" i="42"/>
  <c r="I228" i="42"/>
  <c r="AY303" i="42"/>
  <c r="D226" i="42"/>
  <c r="Q41" i="42"/>
  <c r="Q200" i="42"/>
  <c r="BC265" i="42"/>
  <c r="F151" i="47"/>
  <c r="E211" i="47"/>
  <c r="H364" i="42"/>
  <c r="E24" i="47"/>
  <c r="BA302" i="42"/>
  <c r="D340" i="42"/>
  <c r="P340" i="42"/>
  <c r="L31" i="42"/>
  <c r="B126" i="47"/>
  <c r="BA281" i="42"/>
  <c r="D133" i="42"/>
  <c r="AY181" i="42"/>
  <c r="H255" i="42"/>
  <c r="J148" i="42"/>
  <c r="J185" i="42"/>
  <c r="P88" i="42"/>
  <c r="I25" i="42"/>
  <c r="BA222" i="42"/>
  <c r="F134" i="47"/>
  <c r="D67" i="47"/>
  <c r="B38" i="47"/>
  <c r="G266" i="42"/>
  <c r="L147" i="42"/>
  <c r="Q87" i="42"/>
  <c r="BC26" i="42"/>
  <c r="AY103" i="42"/>
  <c r="N342" i="42"/>
  <c r="E135" i="47"/>
  <c r="C24" i="47"/>
  <c r="F223" i="47"/>
  <c r="F351" i="42"/>
  <c r="AZ209" i="42"/>
  <c r="F312" i="47"/>
  <c r="AZ27" i="42"/>
  <c r="L67" i="42"/>
  <c r="K373" i="42"/>
  <c r="D39" i="47"/>
  <c r="BB80" i="42"/>
  <c r="D155" i="47"/>
  <c r="M163" i="42"/>
  <c r="I76" i="42"/>
  <c r="H175" i="42"/>
  <c r="AY55" i="42"/>
  <c r="O40" i="42"/>
  <c r="H320" i="42"/>
  <c r="J314" i="42"/>
  <c r="N159" i="42"/>
  <c r="D16" i="42"/>
  <c r="N259" i="42"/>
  <c r="F16" i="42"/>
  <c r="E168" i="47"/>
  <c r="AY14" i="42"/>
  <c r="E261" i="47"/>
  <c r="D174" i="47"/>
  <c r="P338" i="42"/>
  <c r="N63" i="42"/>
  <c r="L167" i="42"/>
  <c r="J369" i="42"/>
  <c r="H100" i="42"/>
  <c r="O254" i="42"/>
  <c r="BB139" i="42"/>
  <c r="K66" i="42"/>
  <c r="BA251" i="42"/>
  <c r="K147" i="42"/>
  <c r="C217" i="47"/>
  <c r="B98" i="47"/>
  <c r="C282" i="47"/>
  <c r="F219" i="47"/>
  <c r="J80" i="42"/>
  <c r="J41" i="42"/>
  <c r="O61" i="42"/>
  <c r="O283" i="42"/>
  <c r="BB137" i="42"/>
  <c r="P344" i="42"/>
  <c r="Q368" i="42"/>
  <c r="N109" i="42"/>
  <c r="BC188" i="42"/>
  <c r="F155" i="47"/>
  <c r="H373" i="42"/>
  <c r="B203" i="47"/>
  <c r="AY186" i="42"/>
  <c r="M102" i="42"/>
  <c r="O360" i="42"/>
  <c r="K119" i="42"/>
  <c r="BA228" i="42"/>
  <c r="I290" i="42"/>
  <c r="AY337" i="42"/>
  <c r="D280" i="47"/>
  <c r="D276" i="47"/>
  <c r="M83" i="42"/>
  <c r="I58" i="42"/>
  <c r="AY289" i="42"/>
  <c r="E28" i="47"/>
  <c r="AY300" i="42"/>
  <c r="L360" i="42"/>
  <c r="B141" i="47"/>
  <c r="C239" i="47"/>
  <c r="D79" i="47"/>
  <c r="P211" i="42"/>
  <c r="B325" i="47"/>
  <c r="B86" i="47"/>
  <c r="B37" i="47"/>
  <c r="BA268" i="42"/>
  <c r="F108" i="47"/>
  <c r="F262" i="47"/>
  <c r="P101" i="42"/>
  <c r="B246" i="47"/>
  <c r="F115" i="42"/>
  <c r="K240" i="42"/>
  <c r="B15" i="47"/>
  <c r="I225" i="42"/>
  <c r="F131" i="42"/>
  <c r="I106" i="42"/>
  <c r="E327" i="47"/>
  <c r="D137" i="47"/>
  <c r="E60" i="47"/>
  <c r="D210" i="42"/>
  <c r="K210" i="42"/>
  <c r="G69" i="42"/>
  <c r="P292" i="42"/>
  <c r="B138" i="47"/>
  <c r="C163" i="47"/>
  <c r="BC340" i="42"/>
  <c r="E117" i="47"/>
  <c r="C185" i="47"/>
  <c r="M257" i="42"/>
  <c r="J317" i="42"/>
  <c r="AZ204" i="42"/>
  <c r="BC368" i="42"/>
  <c r="D284" i="47"/>
  <c r="K342" i="42"/>
  <c r="AY58" i="42"/>
  <c r="BA374" i="42"/>
  <c r="F72" i="47"/>
  <c r="G352" i="42"/>
  <c r="B356" i="47"/>
  <c r="B55" i="47"/>
  <c r="E77" i="47"/>
  <c r="B369" i="47"/>
  <c r="J22" i="42"/>
  <c r="C170" i="47"/>
  <c r="D282" i="42"/>
  <c r="G303" i="42"/>
  <c r="E106" i="47"/>
  <c r="E173" i="47"/>
  <c r="N346" i="42"/>
  <c r="D69" i="47"/>
  <c r="K345" i="42"/>
  <c r="D368" i="47"/>
  <c r="K359" i="42"/>
  <c r="J174" i="42"/>
  <c r="AY309" i="42"/>
  <c r="D342" i="42"/>
  <c r="BC281" i="42"/>
  <c r="M39" i="42"/>
  <c r="E76" i="47"/>
  <c r="BA51" i="42"/>
  <c r="C37" i="47"/>
  <c r="B130" i="47"/>
  <c r="O69" i="42"/>
  <c r="M142" i="42"/>
  <c r="L343" i="42"/>
  <c r="AZ26" i="42"/>
  <c r="E294" i="47"/>
  <c r="AY92" i="42"/>
  <c r="F185" i="47"/>
  <c r="D52" i="47"/>
  <c r="F92" i="47"/>
  <c r="B175" i="47"/>
  <c r="B347" i="47"/>
  <c r="P192" i="42"/>
  <c r="BB227" i="42"/>
  <c r="BA153" i="42"/>
  <c r="C12" i="47"/>
  <c r="N172" i="42"/>
  <c r="I61" i="42"/>
  <c r="D23" i="47"/>
  <c r="J18" i="42"/>
  <c r="K311" i="42"/>
  <c r="C207" i="47"/>
  <c r="J272" i="42"/>
  <c r="H95" i="42"/>
  <c r="E201" i="47"/>
  <c r="K226" i="42"/>
  <c r="F118" i="42"/>
  <c r="O72" i="42"/>
  <c r="B111" i="47"/>
  <c r="I269" i="42"/>
  <c r="AZ195" i="42"/>
  <c r="BC134" i="42"/>
  <c r="AY49" i="42"/>
  <c r="B330" i="47"/>
  <c r="J208" i="42"/>
  <c r="J362" i="42"/>
  <c r="BB62" i="42"/>
  <c r="M28" i="42"/>
  <c r="F299" i="42"/>
  <c r="N252" i="42"/>
  <c r="B131" i="47"/>
  <c r="BB246" i="42"/>
  <c r="E247" i="47"/>
  <c r="L309" i="42"/>
  <c r="C134" i="47"/>
  <c r="L292" i="42"/>
  <c r="F252" i="42"/>
  <c r="N60" i="42"/>
  <c r="M335" i="42"/>
  <c r="O12" i="42"/>
  <c r="BC214" i="42"/>
  <c r="F178" i="42"/>
  <c r="AY160" i="42"/>
  <c r="BA74" i="42"/>
  <c r="M104" i="42"/>
  <c r="L198" i="42"/>
  <c r="N77" i="42"/>
  <c r="BB281" i="42"/>
  <c r="I113" i="42"/>
  <c r="C284" i="47"/>
  <c r="D294" i="47"/>
  <c r="C107" i="47"/>
  <c r="J191" i="42"/>
  <c r="AY291" i="42"/>
  <c r="BB127" i="42"/>
  <c r="BC268" i="42"/>
  <c r="BA125" i="42"/>
  <c r="H88" i="42"/>
  <c r="E256" i="47"/>
  <c r="D291" i="47"/>
  <c r="B104" i="47"/>
  <c r="O91" i="42"/>
  <c r="B270" i="47"/>
  <c r="C11" i="47"/>
  <c r="BB275" i="42"/>
  <c r="B364" i="47"/>
  <c r="BC369" i="42"/>
  <c r="BA298" i="42"/>
  <c r="B94" i="47"/>
  <c r="D42" i="47"/>
  <c r="P280" i="42"/>
  <c r="AZ172" i="42"/>
  <c r="AY279" i="42"/>
  <c r="E212" i="47"/>
  <c r="K276" i="42"/>
  <c r="E283" i="47"/>
  <c r="N140" i="42"/>
  <c r="M160" i="42"/>
  <c r="K168" i="42"/>
  <c r="O103" i="42"/>
  <c r="F182" i="42"/>
  <c r="F16" i="47"/>
  <c r="D162" i="47"/>
  <c r="AY171" i="42"/>
  <c r="BA339" i="42"/>
  <c r="AZ122" i="42"/>
  <c r="D280" i="42"/>
  <c r="D177" i="42"/>
  <c r="E180" i="47"/>
  <c r="D30" i="42"/>
  <c r="O348" i="42"/>
  <c r="B59" i="47"/>
  <c r="E84" i="47"/>
  <c r="L159" i="42"/>
  <c r="H183" i="42"/>
  <c r="B143" i="47"/>
  <c r="F176" i="47"/>
  <c r="C116" i="47"/>
  <c r="AY115" i="42"/>
  <c r="M22" i="42"/>
  <c r="G306" i="42"/>
  <c r="G333" i="42"/>
  <c r="AY15" i="42"/>
  <c r="AZ180" i="42"/>
  <c r="Q22" i="42"/>
  <c r="G268" i="42"/>
  <c r="P116" i="42"/>
  <c r="J113" i="42"/>
  <c r="B79" i="47"/>
  <c r="AY284" i="42"/>
  <c r="E124" i="47"/>
  <c r="D218" i="42"/>
  <c r="AY61" i="42"/>
  <c r="G280" i="42"/>
  <c r="D86" i="42"/>
  <c r="D92" i="47"/>
  <c r="AZ284" i="42"/>
  <c r="F48" i="42"/>
  <c r="C283" i="47"/>
  <c r="C358" i="47"/>
  <c r="H26" i="42"/>
  <c r="N151" i="42"/>
  <c r="BC321" i="42"/>
  <c r="L24" i="42"/>
  <c r="E62" i="47"/>
  <c r="AY88" i="42"/>
  <c r="B20" i="47"/>
  <c r="BB225" i="42"/>
  <c r="D98" i="47"/>
  <c r="O271" i="42"/>
  <c r="D202" i="47"/>
  <c r="C250" i="47"/>
  <c r="E22" i="47"/>
  <c r="B178" i="47"/>
  <c r="G276" i="42"/>
  <c r="J62" i="42"/>
  <c r="I325" i="42"/>
  <c r="F359" i="47"/>
  <c r="BC320" i="42"/>
  <c r="M355" i="42"/>
  <c r="M358" i="42"/>
  <c r="I260" i="42"/>
  <c r="BA39" i="42"/>
  <c r="E171" i="47"/>
  <c r="D370" i="47"/>
  <c r="B264" i="47"/>
  <c r="E279" i="47"/>
  <c r="P15" i="42"/>
  <c r="H213" i="42"/>
  <c r="BA175" i="42"/>
  <c r="O334" i="42"/>
  <c r="C161" i="47"/>
  <c r="F91" i="47"/>
  <c r="AY156" i="42"/>
  <c r="F110" i="47"/>
  <c r="B339" i="47"/>
  <c r="L293" i="42"/>
  <c r="J278" i="42"/>
  <c r="K229" i="42"/>
  <c r="J60" i="42"/>
  <c r="E215" i="47"/>
  <c r="AY241" i="42"/>
  <c r="BB256" i="42"/>
  <c r="I162" i="42"/>
  <c r="AZ84" i="42"/>
  <c r="I261" i="42"/>
  <c r="D37" i="47"/>
  <c r="I266" i="42"/>
  <c r="D269" i="47"/>
  <c r="F94" i="42"/>
  <c r="Q99" i="42"/>
  <c r="F171" i="47"/>
  <c r="G200" i="42"/>
  <c r="K307" i="42"/>
  <c r="B243" i="47"/>
  <c r="O309" i="42"/>
  <c r="F243" i="42"/>
  <c r="C331" i="47"/>
  <c r="BB142" i="42"/>
  <c r="E34" i="47"/>
  <c r="E36" i="47"/>
  <c r="Q243" i="42"/>
  <c r="D291" i="42"/>
  <c r="I366" i="42"/>
  <c r="N87" i="42"/>
  <c r="F83" i="47"/>
  <c r="H154" i="42"/>
  <c r="BC177" i="42"/>
  <c r="AY339" i="42"/>
  <c r="G205" i="42"/>
  <c r="C310" i="47"/>
  <c r="F66" i="47"/>
  <c r="C42" i="47"/>
  <c r="D317" i="42"/>
  <c r="BA123" i="42"/>
  <c r="F67" i="47"/>
  <c r="BB28" i="42"/>
  <c r="H203" i="42"/>
  <c r="AY236" i="42"/>
  <c r="B30" i="47"/>
  <c r="L282" i="42"/>
  <c r="Q123" i="42"/>
  <c r="C208" i="47"/>
  <c r="BC242" i="42"/>
  <c r="O123" i="42"/>
  <c r="I111" i="42"/>
  <c r="AY238" i="42"/>
  <c r="F330" i="42"/>
  <c r="L339" i="42"/>
  <c r="J64" i="42"/>
  <c r="H122" i="42"/>
  <c r="B216" i="47"/>
  <c r="AZ157" i="42"/>
  <c r="BC121" i="42"/>
  <c r="F20" i="47"/>
  <c r="I174" i="42"/>
  <c r="K67" i="42"/>
  <c r="L127" i="42"/>
  <c r="J93" i="42"/>
  <c r="L256" i="42"/>
  <c r="Q26" i="42"/>
  <c r="BC227" i="42"/>
  <c r="AY293" i="42"/>
  <c r="F363" i="42"/>
  <c r="C357" i="47"/>
  <c r="H308" i="42"/>
  <c r="H209" i="42"/>
  <c r="M273" i="42"/>
  <c r="I283" i="42"/>
  <c r="BC338" i="42"/>
  <c r="Q287" i="42"/>
  <c r="E68" i="47"/>
  <c r="F189" i="42"/>
  <c r="D239" i="47"/>
  <c r="Q305" i="42"/>
  <c r="BA155" i="42"/>
  <c r="O315" i="42"/>
  <c r="Q300" i="42"/>
  <c r="AY37" i="42"/>
  <c r="BA272" i="42"/>
  <c r="L263" i="42"/>
  <c r="D66" i="47"/>
  <c r="D235" i="47"/>
  <c r="N199" i="42"/>
  <c r="K115" i="42"/>
  <c r="I310" i="42"/>
  <c r="L297" i="42"/>
  <c r="BC78" i="42"/>
  <c r="D279" i="47"/>
  <c r="AZ107" i="42"/>
  <c r="C292" i="47"/>
  <c r="B99" i="47"/>
  <c r="D77" i="42"/>
  <c r="B40" i="47"/>
  <c r="C38" i="47"/>
  <c r="E190" i="47"/>
  <c r="D352" i="47"/>
  <c r="F308" i="42"/>
  <c r="M323" i="42"/>
  <c r="E85" i="47"/>
  <c r="B208" i="47"/>
  <c r="BB267" i="42"/>
  <c r="G181" i="42"/>
  <c r="C55" i="47"/>
  <c r="D36" i="47"/>
  <c r="BA187" i="42"/>
  <c r="B257" i="47"/>
  <c r="N58" i="42"/>
  <c r="P137" i="42"/>
  <c r="J372" i="42"/>
  <c r="H134" i="42"/>
  <c r="BA226" i="42"/>
  <c r="F71" i="47"/>
  <c r="D237" i="47"/>
  <c r="B68" i="47"/>
  <c r="BC52" i="42"/>
  <c r="J35" i="42"/>
  <c r="F159" i="42"/>
  <c r="K211" i="42"/>
  <c r="E13" i="47"/>
  <c r="F267" i="42"/>
  <c r="I294" i="42"/>
  <c r="C83" i="47"/>
  <c r="F253" i="47"/>
  <c r="BA98" i="42"/>
  <c r="J200" i="42"/>
  <c r="E349" i="47"/>
  <c r="F186" i="47"/>
  <c r="F254" i="47"/>
  <c r="BA357" i="42"/>
  <c r="J11" i="42"/>
  <c r="BB202" i="42"/>
  <c r="E54" i="47"/>
  <c r="F368" i="42"/>
  <c r="B345" i="47"/>
  <c r="BC344" i="42"/>
  <c r="O156" i="42"/>
  <c r="H164" i="42"/>
  <c r="K326" i="42"/>
  <c r="B248" i="47"/>
  <c r="F129" i="47"/>
  <c r="E244" i="47"/>
  <c r="Q98" i="42"/>
  <c r="AY64" i="42"/>
  <c r="BB30" i="42"/>
  <c r="H189" i="42"/>
  <c r="F323" i="47"/>
  <c r="C58" i="47"/>
  <c r="AZ356" i="42"/>
  <c r="E231" i="47"/>
  <c r="E20" i="47"/>
  <c r="K323" i="42"/>
  <c r="M236" i="42"/>
  <c r="B148" i="47"/>
  <c r="J65" i="42"/>
  <c r="BC232" i="42"/>
  <c r="BA312" i="42"/>
  <c r="BC129" i="42"/>
  <c r="AY153" i="42"/>
  <c r="BA13" i="42"/>
  <c r="G240" i="42"/>
  <c r="F226" i="42"/>
  <c r="AY288" i="42"/>
  <c r="E181" i="47"/>
  <c r="G33" i="42"/>
  <c r="P309" i="42"/>
  <c r="G271" i="42"/>
  <c r="G313" i="42"/>
  <c r="F370" i="47"/>
  <c r="O288" i="42"/>
  <c r="F202" i="47"/>
  <c r="Q153" i="42"/>
  <c r="BB255" i="42"/>
  <c r="Q195" i="42"/>
  <c r="C228" i="47"/>
  <c r="L19" i="42"/>
  <c r="F122" i="47"/>
  <c r="D114" i="47"/>
  <c r="BB147" i="42"/>
  <c r="M234" i="42"/>
  <c r="BB25" i="42"/>
  <c r="K177" i="42"/>
  <c r="D53" i="47"/>
  <c r="F268" i="47"/>
  <c r="D319" i="47"/>
  <c r="B102" i="47"/>
  <c r="C316" i="47"/>
  <c r="P266" i="42"/>
  <c r="P34" i="42"/>
  <c r="J188" i="42"/>
  <c r="O11" i="42"/>
  <c r="K252" i="42"/>
  <c r="BB290" i="42"/>
  <c r="B361" i="47"/>
  <c r="E53" i="47"/>
  <c r="F372" i="47"/>
  <c r="N221" i="42"/>
  <c r="AY262" i="42"/>
  <c r="F156" i="47"/>
  <c r="F34" i="42"/>
  <c r="E207" i="47"/>
  <c r="F24" i="42"/>
  <c r="C108" i="47"/>
  <c r="D194" i="42"/>
  <c r="C14" i="47"/>
  <c r="B27" i="47"/>
  <c r="B226" i="47"/>
  <c r="E163" i="47"/>
  <c r="D12" i="47"/>
  <c r="G299" i="42"/>
  <c r="K189" i="42"/>
  <c r="BA105" i="42"/>
  <c r="AY218" i="42"/>
  <c r="BC173" i="42"/>
  <c r="BA340" i="42"/>
  <c r="AZ319" i="42"/>
  <c r="L51" i="42"/>
  <c r="F341" i="47"/>
  <c r="F93" i="47"/>
  <c r="G226" i="47" l="1"/>
  <c r="G27" i="47"/>
  <c r="G361" i="47"/>
  <c r="O386" i="42"/>
  <c r="O382" i="42"/>
  <c r="O388" i="42"/>
  <c r="O389" i="42" s="1"/>
  <c r="O379" i="42"/>
  <c r="O387" i="42"/>
  <c r="O380" i="42"/>
  <c r="O384" i="42"/>
  <c r="O385" i="42"/>
  <c r="O383" i="42"/>
  <c r="G102" i="47"/>
  <c r="G148" i="47"/>
  <c r="G248" i="47"/>
  <c r="G345" i="47"/>
  <c r="J379" i="42"/>
  <c r="J380" i="42"/>
  <c r="J382" i="42"/>
  <c r="J381" i="42" s="1"/>
  <c r="J387" i="42"/>
  <c r="J385" i="42"/>
  <c r="J384" i="42"/>
  <c r="J383" i="42"/>
  <c r="J388" i="42"/>
  <c r="J389" i="42" s="1"/>
  <c r="J386" i="42"/>
  <c r="G68" i="47"/>
  <c r="G257" i="47"/>
  <c r="G208" i="47"/>
  <c r="G40" i="47"/>
  <c r="G99" i="47"/>
  <c r="G216" i="47"/>
  <c r="G30" i="47"/>
  <c r="G243" i="47"/>
  <c r="G339" i="47"/>
  <c r="G264" i="47"/>
  <c r="G178" i="47"/>
  <c r="G20" i="47"/>
  <c r="G79" i="47"/>
  <c r="G143" i="47"/>
  <c r="G59" i="47"/>
  <c r="G94" i="47"/>
  <c r="G364" i="47"/>
  <c r="G270" i="47"/>
  <c r="G104" i="47"/>
  <c r="G131" i="47"/>
  <c r="G330" i="47"/>
  <c r="G111" i="47"/>
  <c r="G347" i="47"/>
  <c r="G175" i="47"/>
  <c r="G130" i="47"/>
  <c r="G369" i="47"/>
  <c r="G55" i="47"/>
  <c r="G356" i="47"/>
  <c r="G138" i="47"/>
  <c r="G15" i="47"/>
  <c r="G246" i="47"/>
  <c r="G37" i="47"/>
  <c r="G86" i="47"/>
  <c r="G325" i="47"/>
  <c r="G141" i="47"/>
  <c r="G203" i="47"/>
  <c r="G98" i="47"/>
  <c r="G38" i="47"/>
  <c r="G126" i="47"/>
  <c r="G101" i="47"/>
  <c r="G89" i="47"/>
  <c r="G259" i="47"/>
  <c r="G105" i="47"/>
  <c r="G200" i="47"/>
  <c r="G151" i="47"/>
  <c r="G375" i="47"/>
  <c r="G336" i="47"/>
  <c r="G255" i="47"/>
  <c r="G275" i="47"/>
  <c r="G81" i="47"/>
  <c r="G253" i="47"/>
  <c r="G152" i="47"/>
  <c r="G179" i="47"/>
  <c r="G116" i="47"/>
  <c r="G125" i="47"/>
  <c r="G225" i="47"/>
  <c r="G168" i="47"/>
  <c r="G285" i="47"/>
  <c r="G135" i="47"/>
  <c r="G90" i="47"/>
  <c r="G170" i="47"/>
  <c r="G341" i="47"/>
  <c r="G287" i="47"/>
  <c r="G266" i="47"/>
  <c r="G112" i="47"/>
  <c r="G244" i="47"/>
  <c r="G279" i="47"/>
  <c r="G299" i="47"/>
  <c r="G234" i="47"/>
  <c r="G374" i="47"/>
  <c r="G296" i="47"/>
  <c r="G43" i="47"/>
  <c r="G169" i="47"/>
  <c r="G173" i="47"/>
  <c r="G337" i="47"/>
  <c r="G114" i="47"/>
  <c r="G22" i="47"/>
  <c r="G198" i="47"/>
  <c r="G180" i="47"/>
  <c r="G69" i="47"/>
  <c r="G167" i="47"/>
  <c r="G48" i="47"/>
  <c r="G291" i="47"/>
  <c r="G96" i="47"/>
  <c r="G72" i="47"/>
  <c r="G277" i="47"/>
  <c r="G314" i="47"/>
  <c r="G370" i="47"/>
  <c r="G146" i="47"/>
  <c r="G192" i="47"/>
  <c r="G83" i="47"/>
  <c r="K384" i="42"/>
  <c r="K385" i="42"/>
  <c r="K383" i="42"/>
  <c r="K382" i="42"/>
  <c r="K380" i="42"/>
  <c r="K379" i="42"/>
  <c r="K387" i="42"/>
  <c r="K386" i="42"/>
  <c r="K388" i="42"/>
  <c r="K389" i="42" s="1"/>
  <c r="G199" i="47"/>
  <c r="G318" i="47"/>
  <c r="G194" i="47"/>
  <c r="G196" i="47"/>
  <c r="G150" i="47"/>
  <c r="G44" i="47"/>
  <c r="G254" i="47"/>
  <c r="G357" i="47"/>
  <c r="G58" i="47"/>
  <c r="G218" i="47"/>
  <c r="G305" i="47"/>
  <c r="G163" i="47"/>
  <c r="G132" i="47"/>
  <c r="G13" i="47"/>
  <c r="G274" i="47"/>
  <c r="G42" i="47"/>
  <c r="G272" i="47"/>
  <c r="G301" i="47"/>
  <c r="G195" i="47"/>
  <c r="G236" i="47"/>
  <c r="G35" i="47"/>
  <c r="G53" i="47"/>
  <c r="G109" i="47"/>
  <c r="G331" i="47"/>
  <c r="G46" i="47"/>
  <c r="G310" i="47"/>
  <c r="G300" i="47"/>
  <c r="G313" i="47"/>
  <c r="G222" i="47"/>
  <c r="G145" i="47"/>
  <c r="G320" i="47"/>
  <c r="G265" i="47"/>
  <c r="G250" i="47"/>
  <c r="G128" i="47"/>
  <c r="H380" i="42"/>
  <c r="H382" i="42"/>
  <c r="H385" i="42"/>
  <c r="H386" i="42"/>
  <c r="H384" i="42"/>
  <c r="H383" i="42"/>
  <c r="H388" i="42"/>
  <c r="H389" i="42" s="1"/>
  <c r="H387" i="42"/>
  <c r="H379" i="42"/>
  <c r="G362" i="47"/>
  <c r="G19" i="47"/>
  <c r="G311" i="47"/>
  <c r="G144" i="47"/>
  <c r="G352" i="47"/>
  <c r="G120" i="47"/>
  <c r="G332" i="47"/>
  <c r="G133" i="47"/>
  <c r="G57" i="47"/>
  <c r="G60" i="47"/>
  <c r="G73" i="47"/>
  <c r="G147" i="47"/>
  <c r="G193" i="47"/>
  <c r="G164" i="47"/>
  <c r="G371" i="47"/>
  <c r="G123" i="47"/>
  <c r="G219" i="47"/>
  <c r="G67" i="47"/>
  <c r="G107" i="47"/>
  <c r="G142" i="47"/>
  <c r="G66" i="47"/>
  <c r="G26" i="47"/>
  <c r="G220" i="47"/>
  <c r="G304" i="47"/>
  <c r="G188" i="47"/>
  <c r="G228" i="47"/>
  <c r="G63" i="47"/>
  <c r="G212" i="47"/>
  <c r="G176" i="47"/>
  <c r="G292" i="47"/>
  <c r="G221" i="47"/>
  <c r="G28" i="47"/>
  <c r="G260" i="47"/>
  <c r="G333" i="47"/>
  <c r="G16" i="47"/>
  <c r="G171" i="47"/>
  <c r="G155" i="47"/>
  <c r="G71" i="47"/>
  <c r="G47" i="47"/>
  <c r="G65" i="47"/>
  <c r="G134" i="47"/>
  <c r="G232" i="47"/>
  <c r="G202" i="47"/>
  <c r="BA388" i="42"/>
  <c r="BA389" i="42" s="1"/>
  <c r="BA386" i="42"/>
  <c r="F76" i="41" s="1"/>
  <c r="BA385" i="42"/>
  <c r="F75" i="41" s="1"/>
  <c r="BA379" i="42"/>
  <c r="BA383" i="42"/>
  <c r="BA382" i="42"/>
  <c r="BA384" i="42"/>
  <c r="BA387" i="42"/>
  <c r="F77" i="41" s="1"/>
  <c r="BA380" i="42"/>
  <c r="G335" i="47"/>
  <c r="G229" i="47"/>
  <c r="G267" i="47"/>
  <c r="G328" i="47"/>
  <c r="G273" i="47"/>
  <c r="G153" i="47"/>
  <c r="G280" i="47"/>
  <c r="G307" i="47"/>
  <c r="G359" i="47"/>
  <c r="G100" i="47"/>
  <c r="G157" i="47"/>
  <c r="G84" i="47"/>
  <c r="G241" i="47"/>
  <c r="G223" i="47"/>
  <c r="G51" i="47"/>
  <c r="G205" i="47"/>
  <c r="G210" i="47"/>
  <c r="G207" i="47"/>
  <c r="G309" i="47"/>
  <c r="G159" i="47"/>
  <c r="G365" i="47"/>
  <c r="G31" i="47"/>
  <c r="G315" i="47"/>
  <c r="G54" i="47"/>
  <c r="G230" i="47"/>
  <c r="G317" i="47"/>
  <c r="G91" i="47"/>
  <c r="G245" i="47"/>
  <c r="G29" i="47"/>
  <c r="G256" i="47"/>
  <c r="G295" i="47"/>
  <c r="G165" i="47"/>
  <c r="G187" i="47"/>
  <c r="G214" i="47"/>
  <c r="G137" i="47"/>
  <c r="G189" i="47"/>
  <c r="G45" i="47"/>
  <c r="G154" i="47"/>
  <c r="E382" i="42"/>
  <c r="E381" i="42" s="1"/>
  <c r="C5" i="41" s="1"/>
  <c r="C4" i="41" s="1"/>
  <c r="G201" i="47"/>
  <c r="G17" i="47"/>
  <c r="G121" i="47"/>
  <c r="G80" i="47"/>
  <c r="G74" i="47"/>
  <c r="D385" i="42"/>
  <c r="C68" i="41" s="1"/>
  <c r="D384" i="42"/>
  <c r="D382" i="42"/>
  <c r="D387" i="42"/>
  <c r="C70" i="41" s="1"/>
  <c r="D379" i="42"/>
  <c r="D380" i="42"/>
  <c r="D383" i="42"/>
  <c r="D388" i="42"/>
  <c r="D389" i="42" s="1"/>
  <c r="D386" i="42"/>
  <c r="C69" i="41" s="1"/>
  <c r="G293" i="47"/>
  <c r="G269" i="47"/>
  <c r="F387" i="42"/>
  <c r="E70" i="41" s="1"/>
  <c r="F384" i="42"/>
  <c r="F380" i="42"/>
  <c r="F388" i="42"/>
  <c r="F389" i="42" s="1"/>
  <c r="F379" i="42"/>
  <c r="F383" i="42"/>
  <c r="F381" i="42" s="1"/>
  <c r="E67" i="41" s="1"/>
  <c r="F386" i="42"/>
  <c r="E69" i="41" s="1"/>
  <c r="F382" i="42"/>
  <c r="F385" i="42"/>
  <c r="E68" i="41" s="1"/>
  <c r="G298" i="47"/>
  <c r="G122" i="47"/>
  <c r="G181" i="47"/>
  <c r="G160" i="47"/>
  <c r="G106" i="47"/>
  <c r="G288" i="47"/>
  <c r="G191" i="47"/>
  <c r="G70" i="47"/>
  <c r="BC385" i="42"/>
  <c r="G75" i="41" s="1"/>
  <c r="BC384" i="42"/>
  <c r="BC382" i="42"/>
  <c r="BC381" i="42" s="1"/>
  <c r="G74" i="41" s="1"/>
  <c r="BC386" i="42"/>
  <c r="G76" i="41" s="1"/>
  <c r="BC388" i="42"/>
  <c r="BC389" i="42" s="1"/>
  <c r="BC387" i="42"/>
  <c r="G77" i="41" s="1"/>
  <c r="BC383" i="42"/>
  <c r="BC379" i="42"/>
  <c r="BC380" i="42"/>
  <c r="G174" i="47"/>
  <c r="G342" i="47"/>
  <c r="G215" i="47"/>
  <c r="G11" i="47"/>
  <c r="G227" i="47"/>
  <c r="G184" i="47"/>
  <c r="G344" i="47"/>
  <c r="G21" i="47"/>
  <c r="G82" i="47"/>
  <c r="G197" i="47"/>
  <c r="G276" i="47"/>
  <c r="G18" i="47"/>
  <c r="G186" i="47"/>
  <c r="AY388" i="42"/>
  <c r="AY389" i="42" s="1"/>
  <c r="AY379" i="42"/>
  <c r="AY380" i="42"/>
  <c r="AY386" i="42"/>
  <c r="C76" i="41" s="1"/>
  <c r="AY387" i="42"/>
  <c r="C77" i="41" s="1"/>
  <c r="AY383" i="42"/>
  <c r="AY382" i="42"/>
  <c r="AY381" i="42" s="1"/>
  <c r="C53" i="41" s="1"/>
  <c r="C59" i="41" s="1"/>
  <c r="G5" i="51" s="1"/>
  <c r="H5" i="51" s="1"/>
  <c r="AY385" i="42"/>
  <c r="C75" i="41" s="1"/>
  <c r="AY384" i="42"/>
  <c r="G158" i="47"/>
  <c r="G149" i="47"/>
  <c r="G349" i="47"/>
  <c r="G206" i="47"/>
  <c r="G327" i="47"/>
  <c r="G324" i="47"/>
  <c r="G323" i="47"/>
  <c r="G249" i="47"/>
  <c r="G367" i="47"/>
  <c r="G252" i="47"/>
  <c r="G24" i="47"/>
  <c r="G329" i="47"/>
  <c r="G182" i="47"/>
  <c r="G124" i="47"/>
  <c r="G183" i="47"/>
  <c r="G162" i="47"/>
  <c r="G136" i="47"/>
  <c r="G380" i="42"/>
  <c r="G387" i="42"/>
  <c r="G70" i="41" s="1"/>
  <c r="G386" i="42"/>
  <c r="G69" i="41" s="1"/>
  <c r="G383" i="42"/>
  <c r="G385" i="42"/>
  <c r="G68" i="41" s="1"/>
  <c r="G382" i="42"/>
  <c r="G381" i="42" s="1"/>
  <c r="G67" i="41" s="1"/>
  <c r="G384" i="42"/>
  <c r="G388" i="42"/>
  <c r="G389" i="42" s="1"/>
  <c r="G379" i="42"/>
  <c r="G360" i="47"/>
  <c r="G97" i="47"/>
  <c r="G321" i="47"/>
  <c r="G88" i="47"/>
  <c r="G353" i="47"/>
  <c r="BB384" i="42"/>
  <c r="BB386" i="42"/>
  <c r="D76" i="41" s="1"/>
  <c r="BB385" i="42"/>
  <c r="D75" i="41" s="1"/>
  <c r="BB387" i="42"/>
  <c r="D77" i="41" s="1"/>
  <c r="BB383" i="42"/>
  <c r="BB388" i="42"/>
  <c r="BB389" i="42" s="1"/>
  <c r="BB382" i="42"/>
  <c r="BB379" i="42"/>
  <c r="BB380" i="42"/>
  <c r="G115" i="47"/>
  <c r="G119" i="47"/>
  <c r="G350" i="47"/>
  <c r="G271" i="47"/>
  <c r="G239" i="47"/>
  <c r="G240" i="47"/>
  <c r="G161" i="47"/>
  <c r="G50" i="47"/>
  <c r="G140" i="47"/>
  <c r="G346" i="47"/>
  <c r="G14" i="47"/>
  <c r="G358" i="47"/>
  <c r="G190" i="47"/>
  <c r="AZ379" i="42"/>
  <c r="AZ384" i="42"/>
  <c r="AZ385" i="42"/>
  <c r="E75" i="41" s="1"/>
  <c r="AZ380" i="42"/>
  <c r="AZ386" i="42"/>
  <c r="E76" i="41" s="1"/>
  <c r="AZ387" i="42"/>
  <c r="E77" i="41" s="1"/>
  <c r="AZ382" i="42"/>
  <c r="AZ381" i="42" s="1"/>
  <c r="E74" i="41" s="1"/>
  <c r="AZ383" i="42"/>
  <c r="AZ388" i="42"/>
  <c r="AZ389" i="42" s="1"/>
  <c r="G93" i="47"/>
  <c r="G312" i="47"/>
  <c r="G118" i="47"/>
  <c r="G319" i="47"/>
  <c r="G334" i="47"/>
  <c r="G95" i="47"/>
  <c r="G77" i="47"/>
  <c r="G231" i="47"/>
  <c r="G302" i="47"/>
  <c r="G211" i="47"/>
  <c r="G12" i="47"/>
  <c r="G373" i="47"/>
  <c r="G64" i="47"/>
  <c r="G33" i="47"/>
  <c r="G233" i="47"/>
  <c r="G351" i="47"/>
  <c r="G39" i="47"/>
  <c r="G139" i="47"/>
  <c r="G284" i="47"/>
  <c r="G32" i="47"/>
  <c r="G297" i="47"/>
  <c r="G56" i="47"/>
  <c r="G92" i="47"/>
  <c r="G113" i="47"/>
  <c r="G258" i="47"/>
  <c r="G366" i="47"/>
  <c r="G326" i="47"/>
  <c r="G41" i="47"/>
  <c r="G177" i="47"/>
  <c r="G363" i="47"/>
  <c r="G78" i="47"/>
  <c r="G238" i="47"/>
  <c r="M379" i="42"/>
  <c r="M384" i="42"/>
  <c r="M382" i="42"/>
  <c r="M380" i="42"/>
  <c r="M385" i="42"/>
  <c r="M383" i="42"/>
  <c r="M381" i="42" s="1"/>
  <c r="M387" i="42"/>
  <c r="M388" i="42"/>
  <c r="M389" i="42" s="1"/>
  <c r="M386" i="42"/>
  <c r="G75" i="47"/>
  <c r="G283" i="47"/>
  <c r="G268" i="47"/>
  <c r="G85" i="47"/>
  <c r="G261" i="47"/>
  <c r="G127" i="47"/>
  <c r="G185" i="47"/>
  <c r="G343" i="47"/>
  <c r="Q383" i="42"/>
  <c r="Q386" i="42"/>
  <c r="Q388" i="42"/>
  <c r="Q389" i="42" s="1"/>
  <c r="Q379" i="42"/>
  <c r="Q384" i="42"/>
  <c r="Q380" i="42"/>
  <c r="Q382" i="42"/>
  <c r="Q381" i="42" s="1"/>
  <c r="Q385" i="42"/>
  <c r="Q387" i="42"/>
  <c r="G278" i="47"/>
  <c r="G224" i="47"/>
  <c r="G23" i="47"/>
  <c r="G34" i="47"/>
  <c r="G129" i="47"/>
  <c r="G235" i="47"/>
  <c r="G237" i="47"/>
  <c r="G355" i="47"/>
  <c r="G262" i="47"/>
  <c r="G204" i="47"/>
  <c r="G36" i="47"/>
  <c r="G340" i="47"/>
  <c r="G372" i="47"/>
  <c r="G217" i="47"/>
  <c r="G61" i="47"/>
  <c r="G103" i="47"/>
  <c r="G76" i="47"/>
  <c r="G166" i="47"/>
  <c r="L379" i="42"/>
  <c r="L382" i="42"/>
  <c r="L381" i="42" s="1"/>
  <c r="L383" i="42"/>
  <c r="L384" i="42"/>
  <c r="L386" i="42"/>
  <c r="L387" i="42"/>
  <c r="L385" i="42"/>
  <c r="L380" i="42"/>
  <c r="L388" i="42"/>
  <c r="L389" i="42" s="1"/>
  <c r="G303" i="47"/>
  <c r="G290" i="47"/>
  <c r="G368" i="47"/>
  <c r="G263" i="47"/>
  <c r="G289" i="47"/>
  <c r="G242" i="47"/>
  <c r="G338" i="47"/>
  <c r="G172" i="47"/>
  <c r="G117" i="47"/>
  <c r="G308" i="47"/>
  <c r="G62" i="47"/>
  <c r="G25" i="47"/>
  <c r="G52" i="47"/>
  <c r="G251" i="47"/>
  <c r="G348" i="47"/>
  <c r="G281" i="47"/>
  <c r="G286" i="47"/>
  <c r="G322" i="47"/>
  <c r="G282" i="47"/>
  <c r="G294" i="47"/>
  <c r="G156" i="47"/>
  <c r="G354" i="47"/>
  <c r="G306" i="47"/>
  <c r="G87" i="47"/>
  <c r="G247" i="47"/>
  <c r="G108" i="47"/>
  <c r="G213" i="47"/>
  <c r="N384" i="42"/>
  <c r="N386" i="42"/>
  <c r="N387" i="42"/>
  <c r="N385" i="42"/>
  <c r="N382" i="42"/>
  <c r="N381" i="42" s="1"/>
  <c r="N380" i="42"/>
  <c r="N388" i="42"/>
  <c r="N389" i="42" s="1"/>
  <c r="N379" i="42"/>
  <c r="N383" i="42"/>
  <c r="G49" i="47"/>
  <c r="G316" i="47"/>
  <c r="G110" i="47"/>
  <c r="G209" i="47"/>
  <c r="I380" i="42"/>
  <c r="I386" i="42"/>
  <c r="H69" i="41" s="1"/>
  <c r="I388" i="42"/>
  <c r="I389" i="42" s="1"/>
  <c r="I385" i="42"/>
  <c r="H68" i="41" s="1"/>
  <c r="I383" i="42"/>
  <c r="I387" i="42"/>
  <c r="H70" i="41" s="1"/>
  <c r="I382" i="42"/>
  <c r="I381" i="42" s="1"/>
  <c r="H67" i="41" s="1"/>
  <c r="I384" i="42"/>
  <c r="I379" i="42"/>
  <c r="P383" i="42"/>
  <c r="P387" i="42"/>
  <c r="P384" i="42"/>
  <c r="P388" i="42"/>
  <c r="P389" i="42" s="1"/>
  <c r="P382" i="42"/>
  <c r="P381" i="42" s="1"/>
  <c r="P379" i="42"/>
  <c r="P386" i="42"/>
  <c r="P380" i="42"/>
  <c r="P385" i="42"/>
  <c r="D67" i="41"/>
  <c r="K381" i="42"/>
  <c r="O381" i="42"/>
  <c r="BA381" i="42"/>
  <c r="F74" i="41" s="1"/>
  <c r="H381" i="42"/>
  <c r="BB381" i="42"/>
  <c r="D74" i="41" s="1"/>
  <c r="C62" i="41"/>
  <c r="A35" i="50"/>
  <c r="A35" i="49"/>
  <c r="A35" i="47"/>
  <c r="A35" i="46"/>
  <c r="A35" i="44"/>
  <c r="A35" i="43"/>
  <c r="A37" i="4"/>
  <c r="A37" i="42" s="1"/>
  <c r="C37" i="42" s="1"/>
  <c r="A36" i="38"/>
  <c r="A35" i="39"/>
  <c r="A35" i="40"/>
  <c r="C35" i="38"/>
  <c r="D8" i="37"/>
  <c r="D7" i="37"/>
  <c r="D4" i="37"/>
  <c r="D5" i="37"/>
  <c r="D9" i="37"/>
  <c r="D6" i="37"/>
  <c r="D381" i="42" l="1"/>
  <c r="C67" i="41" s="1"/>
  <c r="C6" i="41"/>
  <c r="C22" i="41" s="1"/>
  <c r="C55" i="41"/>
  <c r="C57" i="41" s="1"/>
  <c r="C74" i="41"/>
  <c r="C111" i="41" s="1"/>
  <c r="K26" i="51" s="1"/>
  <c r="A36" i="50"/>
  <c r="A36" i="49"/>
  <c r="A36" i="47"/>
  <c r="A36" i="46"/>
  <c r="A36" i="44"/>
  <c r="A36" i="43"/>
  <c r="A36" i="39"/>
  <c r="A36" i="40"/>
  <c r="C36" i="38"/>
  <c r="A38" i="4"/>
  <c r="A38" i="42" s="1"/>
  <c r="C38" i="42" s="1"/>
  <c r="A37" i="38"/>
  <c r="C73" i="14"/>
  <c r="E55" i="41" l="1"/>
  <c r="J90" i="41"/>
  <c r="E26" i="51" s="1"/>
  <c r="E60" i="41"/>
  <c r="E57" i="41"/>
  <c r="C58" i="41"/>
  <c r="L19" i="51" s="1"/>
  <c r="A37" i="50"/>
  <c r="A37" i="49"/>
  <c r="A37" i="47"/>
  <c r="A37" i="46"/>
  <c r="A37" i="44"/>
  <c r="A37" i="43"/>
  <c r="A39" i="4"/>
  <c r="A39" i="42" s="1"/>
  <c r="C39" i="42" s="1"/>
  <c r="A38" i="38"/>
  <c r="A37" i="40"/>
  <c r="C37" i="38"/>
  <c r="A37" i="39"/>
  <c r="C11" i="4"/>
  <c r="A38" i="50" l="1"/>
  <c r="A38" i="49"/>
  <c r="A38" i="47"/>
  <c r="A38" i="46"/>
  <c r="A38" i="44"/>
  <c r="A38" i="43"/>
  <c r="A38" i="40"/>
  <c r="C38" i="38"/>
  <c r="A38" i="39"/>
  <c r="A40" i="4"/>
  <c r="A40" i="42" s="1"/>
  <c r="C40" i="42" s="1"/>
  <c r="A39" i="38"/>
  <c r="B11" i="4"/>
  <c r="A39" i="50" l="1"/>
  <c r="A39" i="49"/>
  <c r="A39" i="47"/>
  <c r="A39" i="46"/>
  <c r="A39" i="44"/>
  <c r="A39" i="43"/>
  <c r="A39" i="40"/>
  <c r="C39" i="38"/>
  <c r="A39" i="39"/>
  <c r="A41" i="4"/>
  <c r="A41" i="42" s="1"/>
  <c r="C41" i="42" s="1"/>
  <c r="A40" i="38"/>
  <c r="C12" i="4"/>
  <c r="B12" i="4"/>
  <c r="A40" i="50" l="1"/>
  <c r="A40" i="49"/>
  <c r="A40" i="47"/>
  <c r="A40" i="46"/>
  <c r="A40" i="44"/>
  <c r="A40" i="43"/>
  <c r="A40" i="40"/>
  <c r="C40" i="38"/>
  <c r="A40" i="39"/>
  <c r="A42" i="4"/>
  <c r="A42" i="42" s="1"/>
  <c r="C42" i="42" s="1"/>
  <c r="A41" i="38"/>
  <c r="C13" i="4"/>
  <c r="B13" i="4"/>
  <c r="A41" i="50" l="1"/>
  <c r="A41" i="49"/>
  <c r="A41" i="47"/>
  <c r="A41" i="46"/>
  <c r="A41" i="43"/>
  <c r="A41" i="44"/>
  <c r="A41" i="39"/>
  <c r="A41" i="40"/>
  <c r="C41" i="38"/>
  <c r="A43" i="4"/>
  <c r="A43" i="42" s="1"/>
  <c r="C43" i="42" s="1"/>
  <c r="A42" i="38"/>
  <c r="C14" i="4"/>
  <c r="B14" i="4"/>
  <c r="A42" i="50" l="1"/>
  <c r="A42" i="49"/>
  <c r="A42" i="47"/>
  <c r="A42" i="46"/>
  <c r="A42" i="44"/>
  <c r="A42" i="43"/>
  <c r="A42" i="39"/>
  <c r="A42" i="40"/>
  <c r="C42" i="38"/>
  <c r="A44" i="4"/>
  <c r="A44" i="42" s="1"/>
  <c r="C44" i="42" s="1"/>
  <c r="A43" i="38"/>
  <c r="B15" i="4"/>
  <c r="C15" i="4"/>
  <c r="A43" i="50" l="1"/>
  <c r="A43" i="49"/>
  <c r="A43" i="47"/>
  <c r="A43" i="46"/>
  <c r="A43" i="44"/>
  <c r="A43" i="43"/>
  <c r="A45" i="4"/>
  <c r="A45" i="42" s="1"/>
  <c r="C45" i="42" s="1"/>
  <c r="A44" i="38"/>
  <c r="A43" i="40"/>
  <c r="C43" i="38"/>
  <c r="A43" i="39"/>
  <c r="B16" i="4"/>
  <c r="C16" i="4"/>
  <c r="A44" i="50" l="1"/>
  <c r="A44" i="49"/>
  <c r="A44" i="47"/>
  <c r="A44" i="46"/>
  <c r="A44" i="44"/>
  <c r="A44" i="43"/>
  <c r="A44" i="40"/>
  <c r="C44" i="38"/>
  <c r="A44" i="39"/>
  <c r="A46" i="4"/>
  <c r="A46" i="42" s="1"/>
  <c r="C46" i="42" s="1"/>
  <c r="A45" i="38"/>
  <c r="B17" i="4"/>
  <c r="C17" i="4"/>
  <c r="A45" i="50" l="1"/>
  <c r="A45" i="49"/>
  <c r="A45" i="47"/>
  <c r="A45" i="46"/>
  <c r="A45" i="44"/>
  <c r="A45" i="43"/>
  <c r="A45" i="40"/>
  <c r="C45" i="38"/>
  <c r="A45" i="39"/>
  <c r="A47" i="4"/>
  <c r="A47" i="42" s="1"/>
  <c r="C47" i="42" s="1"/>
  <c r="A46" i="38"/>
  <c r="B18" i="4"/>
  <c r="C18" i="4"/>
  <c r="A46" i="50" l="1"/>
  <c r="A46" i="49"/>
  <c r="A46" i="47"/>
  <c r="A46" i="46"/>
  <c r="A46" i="43"/>
  <c r="A46" i="44"/>
  <c r="A46" i="40"/>
  <c r="C46" i="38"/>
  <c r="A46" i="39"/>
  <c r="A48" i="4"/>
  <c r="A48" i="42" s="1"/>
  <c r="C48" i="42" s="1"/>
  <c r="A47" i="38"/>
  <c r="BD11" i="38"/>
  <c r="E10" i="24"/>
  <c r="E16" i="24"/>
  <c r="B16" i="24" s="1"/>
  <c r="E15" i="24"/>
  <c r="B15" i="24" s="1"/>
  <c r="B19" i="4"/>
  <c r="C19" i="4"/>
  <c r="C11" i="46"/>
  <c r="BE11" i="42"/>
  <c r="B11" i="46"/>
  <c r="BD11" i="42"/>
  <c r="A47" i="50" l="1"/>
  <c r="A47" i="49"/>
  <c r="A47" i="47"/>
  <c r="A47" i="46"/>
  <c r="A47" i="43"/>
  <c r="A47" i="44"/>
  <c r="A47" i="40"/>
  <c r="A47" i="39"/>
  <c r="C47" i="38"/>
  <c r="A49" i="4"/>
  <c r="A49" i="42" s="1"/>
  <c r="C49" i="42" s="1"/>
  <c r="A48" i="38"/>
  <c r="BD12" i="38"/>
  <c r="B20" i="4"/>
  <c r="C20" i="4"/>
  <c r="BE12" i="42"/>
  <c r="C12" i="46"/>
  <c r="B12" i="46"/>
  <c r="BD12" i="42"/>
  <c r="A48" i="50" l="1"/>
  <c r="A48" i="49"/>
  <c r="A48" i="47"/>
  <c r="A48" i="46"/>
  <c r="A48" i="44"/>
  <c r="A48" i="43"/>
  <c r="A48" i="40"/>
  <c r="A48" i="39"/>
  <c r="C48" i="38"/>
  <c r="A50" i="4"/>
  <c r="A50" i="42" s="1"/>
  <c r="C50" i="42" s="1"/>
  <c r="A49" i="38"/>
  <c r="BD13" i="38"/>
  <c r="L29" i="14"/>
  <c r="K29" i="14"/>
  <c r="B21" i="4"/>
  <c r="C21" i="4"/>
  <c r="B13" i="46"/>
  <c r="BD13" i="42"/>
  <c r="C13" i="46"/>
  <c r="BE13" i="42"/>
  <c r="A49" i="50" l="1"/>
  <c r="A49" i="49"/>
  <c r="A49" i="47"/>
  <c r="A49" i="46"/>
  <c r="A49" i="44"/>
  <c r="A49" i="43"/>
  <c r="A51" i="4"/>
  <c r="A51" i="42" s="1"/>
  <c r="C51" i="42" s="1"/>
  <c r="A50" i="38"/>
  <c r="A49" i="40"/>
  <c r="A49" i="39"/>
  <c r="C49" i="38"/>
  <c r="BD14" i="38"/>
  <c r="B22" i="4"/>
  <c r="C22" i="4"/>
  <c r="BD14" i="42"/>
  <c r="B14" i="46"/>
  <c r="C14" i="46"/>
  <c r="BE14" i="42"/>
  <c r="A50" i="50" l="1"/>
  <c r="A50" i="49"/>
  <c r="A50" i="47"/>
  <c r="A50" i="46"/>
  <c r="A50" i="44"/>
  <c r="A50" i="43"/>
  <c r="A50" i="40"/>
  <c r="C50" i="38"/>
  <c r="A50" i="39"/>
  <c r="A52" i="4"/>
  <c r="A52" i="42" s="1"/>
  <c r="C52" i="42" s="1"/>
  <c r="A51" i="38"/>
  <c r="BD15" i="38"/>
  <c r="B23" i="4"/>
  <c r="C23" i="4"/>
  <c r="C15" i="46"/>
  <c r="BE15" i="42"/>
  <c r="B15" i="46"/>
  <c r="BD15" i="42"/>
  <c r="A51" i="50" l="1"/>
  <c r="A51" i="49"/>
  <c r="A51" i="47"/>
  <c r="A51" i="46"/>
  <c r="A51" i="44"/>
  <c r="A51" i="43"/>
  <c r="A51" i="40"/>
  <c r="C51" i="38"/>
  <c r="A51" i="39"/>
  <c r="A53" i="4"/>
  <c r="A53" i="42" s="1"/>
  <c r="C53" i="42" s="1"/>
  <c r="A52" i="38"/>
  <c r="BD16" i="38"/>
  <c r="C24" i="4"/>
  <c r="B24" i="4"/>
  <c r="BE16" i="42"/>
  <c r="B16" i="46"/>
  <c r="C16" i="46"/>
  <c r="BD16" i="42"/>
  <c r="A52" i="50" l="1"/>
  <c r="A52" i="49"/>
  <c r="A52" i="47"/>
  <c r="A52" i="46"/>
  <c r="A52" i="44"/>
  <c r="A52" i="43"/>
  <c r="A52" i="40"/>
  <c r="C52" i="38"/>
  <c r="A52" i="39"/>
  <c r="A54" i="4"/>
  <c r="A54" i="42" s="1"/>
  <c r="C54" i="42" s="1"/>
  <c r="A53" i="38"/>
  <c r="BD17" i="38"/>
  <c r="C25" i="4"/>
  <c r="B25" i="4"/>
  <c r="C17" i="46"/>
  <c r="BE17" i="42"/>
  <c r="BD17" i="42"/>
  <c r="B17" i="46"/>
  <c r="A53" i="50" l="1"/>
  <c r="A53" i="49"/>
  <c r="A53" i="47"/>
  <c r="A53" i="46"/>
  <c r="A53" i="44"/>
  <c r="A53" i="43"/>
  <c r="A53" i="40"/>
  <c r="C53" i="38"/>
  <c r="A53" i="39"/>
  <c r="A55" i="4"/>
  <c r="A55" i="42" s="1"/>
  <c r="C55" i="42" s="1"/>
  <c r="A54" i="38"/>
  <c r="BD18" i="38"/>
  <c r="C26" i="4"/>
  <c r="B26" i="4"/>
  <c r="J65" i="14"/>
  <c r="C18" i="46"/>
  <c r="B18" i="46"/>
  <c r="BD18" i="42"/>
  <c r="BE18" i="42"/>
  <c r="A54" i="50" l="1"/>
  <c r="A54" i="49"/>
  <c r="A54" i="47"/>
  <c r="A54" i="46"/>
  <c r="A54" i="44"/>
  <c r="A54" i="43"/>
  <c r="A56" i="4"/>
  <c r="A56" i="42" s="1"/>
  <c r="C56" i="42" s="1"/>
  <c r="A55" i="38"/>
  <c r="A54" i="40"/>
  <c r="A54" i="39"/>
  <c r="C54" i="38"/>
  <c r="BD19" i="38"/>
  <c r="C27" i="4"/>
  <c r="B27" i="4"/>
  <c r="C19" i="46"/>
  <c r="BE19" i="42"/>
  <c r="BD19" i="42"/>
  <c r="B19" i="46"/>
  <c r="A55" i="50" l="1"/>
  <c r="A55" i="49"/>
  <c r="A55" i="47"/>
  <c r="A55" i="46"/>
  <c r="A55" i="44"/>
  <c r="A55" i="43"/>
  <c r="A55" i="40"/>
  <c r="C55" i="38"/>
  <c r="A55" i="39"/>
  <c r="A57" i="4"/>
  <c r="A57" i="42" s="1"/>
  <c r="C57" i="42" s="1"/>
  <c r="A56" i="38"/>
  <c r="BD20" i="38"/>
  <c r="C28" i="4"/>
  <c r="B28" i="4"/>
  <c r="C20" i="46"/>
  <c r="BE20" i="42"/>
  <c r="B20" i="46"/>
  <c r="BD20" i="42"/>
  <c r="A56" i="50" l="1"/>
  <c r="A56" i="49"/>
  <c r="A56" i="47"/>
  <c r="A56" i="46"/>
  <c r="A56" i="44"/>
  <c r="A56" i="43"/>
  <c r="A56" i="40"/>
  <c r="C56" i="38"/>
  <c r="A56" i="39"/>
  <c r="A58" i="4"/>
  <c r="A58" i="42" s="1"/>
  <c r="C58" i="42" s="1"/>
  <c r="A57" i="38"/>
  <c r="BD21" i="38"/>
  <c r="C29" i="4"/>
  <c r="B29" i="4"/>
  <c r="BE21" i="42"/>
  <c r="BD21" i="42"/>
  <c r="C21" i="46"/>
  <c r="B21" i="46"/>
  <c r="A57" i="50" l="1"/>
  <c r="A57" i="49"/>
  <c r="A57" i="47"/>
  <c r="A57" i="46"/>
  <c r="A57" i="44"/>
  <c r="A57" i="43"/>
  <c r="A59" i="4"/>
  <c r="A59" i="42" s="1"/>
  <c r="C59" i="42" s="1"/>
  <c r="A58" i="38"/>
  <c r="A57" i="39"/>
  <c r="A57" i="40"/>
  <c r="C57" i="38"/>
  <c r="BD22" i="38"/>
  <c r="C30" i="4"/>
  <c r="B30" i="4"/>
  <c r="B22" i="46"/>
  <c r="C22" i="46"/>
  <c r="BD22" i="42"/>
  <c r="BE22" i="42"/>
  <c r="A58" i="50" l="1"/>
  <c r="A58" i="49"/>
  <c r="A58" i="47"/>
  <c r="A58" i="46"/>
  <c r="A58" i="44"/>
  <c r="A58" i="43"/>
  <c r="A58" i="40"/>
  <c r="C58" i="38"/>
  <c r="A58" i="39"/>
  <c r="A60" i="4"/>
  <c r="A60" i="42" s="1"/>
  <c r="C60" i="42" s="1"/>
  <c r="A59" i="38"/>
  <c r="BD23" i="38"/>
  <c r="C31" i="4"/>
  <c r="B31" i="4"/>
  <c r="BE23" i="42"/>
  <c r="B23" i="46"/>
  <c r="BD23" i="42"/>
  <c r="C23" i="46"/>
  <c r="A59" i="50" l="1"/>
  <c r="A59" i="49"/>
  <c r="A59" i="47"/>
  <c r="A59" i="46"/>
  <c r="A59" i="43"/>
  <c r="A59" i="44"/>
  <c r="A61" i="4"/>
  <c r="A61" i="42" s="1"/>
  <c r="C61" i="42" s="1"/>
  <c r="A60" i="38"/>
  <c r="A59" i="40"/>
  <c r="C59" i="38"/>
  <c r="A59" i="39"/>
  <c r="BD24" i="38"/>
  <c r="C32" i="4"/>
  <c r="B32" i="4"/>
  <c r="BE24" i="42"/>
  <c r="BD24" i="42"/>
  <c r="B24" i="46"/>
  <c r="C24" i="46"/>
  <c r="A60" i="50" l="1"/>
  <c r="A60" i="49"/>
  <c r="A60" i="47"/>
  <c r="A60" i="46"/>
  <c r="A60" i="44"/>
  <c r="A60" i="43"/>
  <c r="A60" i="40"/>
  <c r="C60" i="38"/>
  <c r="A60" i="39"/>
  <c r="A62" i="4"/>
  <c r="A62" i="42" s="1"/>
  <c r="C62" i="42" s="1"/>
  <c r="A61" i="38"/>
  <c r="BD25" i="38"/>
  <c r="C33" i="4"/>
  <c r="B33" i="4"/>
  <c r="B25" i="46"/>
  <c r="C25" i="46"/>
  <c r="BD25" i="42"/>
  <c r="BE25" i="42"/>
  <c r="A61" i="50" l="1"/>
  <c r="A61" i="49"/>
  <c r="A61" i="47"/>
  <c r="A61" i="46"/>
  <c r="A61" i="44"/>
  <c r="A61" i="43"/>
  <c r="A61" i="40"/>
  <c r="C61" i="38"/>
  <c r="A61" i="39"/>
  <c r="A63" i="4"/>
  <c r="A63" i="42" s="1"/>
  <c r="C63" i="42" s="1"/>
  <c r="A62" i="38"/>
  <c r="BD26" i="38"/>
  <c r="C34" i="4"/>
  <c r="B34" i="4"/>
  <c r="BD26" i="42"/>
  <c r="B26" i="46"/>
  <c r="C26" i="46"/>
  <c r="BE26" i="42"/>
  <c r="A62" i="50" l="1"/>
  <c r="A62" i="49"/>
  <c r="A62" i="47"/>
  <c r="A62" i="46"/>
  <c r="A62" i="44"/>
  <c r="A62" i="43"/>
  <c r="A62" i="39"/>
  <c r="A62" i="40"/>
  <c r="C62" i="38"/>
  <c r="A64" i="4"/>
  <c r="A64" i="42" s="1"/>
  <c r="C64" i="42" s="1"/>
  <c r="A63" i="38"/>
  <c r="BD27" i="38"/>
  <c r="C35" i="4"/>
  <c r="B35" i="4"/>
  <c r="C27" i="46"/>
  <c r="B27" i="46"/>
  <c r="BE27" i="42"/>
  <c r="BD27" i="42"/>
  <c r="A63" i="50" l="1"/>
  <c r="A63" i="49"/>
  <c r="A63" i="47"/>
  <c r="A63" i="46"/>
  <c r="A63" i="44"/>
  <c r="A63" i="43"/>
  <c r="A63" i="40"/>
  <c r="C63" i="38"/>
  <c r="A63" i="39"/>
  <c r="A65" i="4"/>
  <c r="A65" i="42" s="1"/>
  <c r="C65" i="42" s="1"/>
  <c r="A64" i="38"/>
  <c r="BD28" i="38"/>
  <c r="C36" i="4"/>
  <c r="B36" i="4"/>
  <c r="C28" i="46"/>
  <c r="BE28" i="42"/>
  <c r="B28" i="46"/>
  <c r="BD28" i="42"/>
  <c r="A64" i="50" l="1"/>
  <c r="A64" i="49"/>
  <c r="A64" i="47"/>
  <c r="A64" i="46"/>
  <c r="A64" i="43"/>
  <c r="A64" i="44"/>
  <c r="A66" i="4"/>
  <c r="A66" i="42" s="1"/>
  <c r="C66" i="42" s="1"/>
  <c r="A65" i="38"/>
  <c r="A64" i="40"/>
  <c r="C64" i="38"/>
  <c r="A64" i="39"/>
  <c r="BD29" i="38"/>
  <c r="C37" i="4"/>
  <c r="B37" i="4"/>
  <c r="B29" i="46"/>
  <c r="C29" i="46"/>
  <c r="BE29" i="42"/>
  <c r="BD29" i="42"/>
  <c r="A65" i="50" l="1"/>
  <c r="A65" i="49"/>
  <c r="A65" i="47"/>
  <c r="A65" i="46"/>
  <c r="A65" i="43"/>
  <c r="A65" i="44"/>
  <c r="A65" i="40"/>
  <c r="C65" i="38"/>
  <c r="A65" i="39"/>
  <c r="BD30" i="38"/>
  <c r="A67" i="4"/>
  <c r="A67" i="42" s="1"/>
  <c r="C67" i="42" s="1"/>
  <c r="A66" i="38"/>
  <c r="C38" i="4"/>
  <c r="B38" i="4"/>
  <c r="B30" i="46"/>
  <c r="BE30" i="42"/>
  <c r="C30" i="46"/>
  <c r="BD30" i="42"/>
  <c r="A66" i="50" l="1"/>
  <c r="A66" i="49"/>
  <c r="A66" i="47"/>
  <c r="A66" i="46"/>
  <c r="A66" i="44"/>
  <c r="A66" i="43"/>
  <c r="BD31" i="38"/>
  <c r="A66" i="39"/>
  <c r="A66" i="40"/>
  <c r="C66" i="38"/>
  <c r="A68" i="4"/>
  <c r="A68" i="42" s="1"/>
  <c r="C68" i="42" s="1"/>
  <c r="A67" i="38"/>
  <c r="C39" i="4"/>
  <c r="B39" i="4"/>
  <c r="B31" i="46"/>
  <c r="BD31" i="42"/>
  <c r="C31" i="46"/>
  <c r="BE31" i="42"/>
  <c r="A67" i="50" l="1"/>
  <c r="A67" i="49"/>
  <c r="A67" i="47"/>
  <c r="A67" i="46"/>
  <c r="A67" i="44"/>
  <c r="A67" i="43"/>
  <c r="A67" i="40"/>
  <c r="C67" i="38"/>
  <c r="A67" i="39"/>
  <c r="A69" i="4"/>
  <c r="A69" i="42" s="1"/>
  <c r="C69" i="42" s="1"/>
  <c r="A68" i="38"/>
  <c r="BD32" i="38"/>
  <c r="C40" i="4"/>
  <c r="B40" i="4"/>
  <c r="B32" i="46"/>
  <c r="BE32" i="42"/>
  <c r="C32" i="46"/>
  <c r="BD32" i="42"/>
  <c r="A68" i="50" l="1"/>
  <c r="A68" i="49"/>
  <c r="A68" i="47"/>
  <c r="A68" i="46"/>
  <c r="A68" i="44"/>
  <c r="A68" i="43"/>
  <c r="A68" i="40"/>
  <c r="C68" i="38"/>
  <c r="A68" i="39"/>
  <c r="A70" i="4"/>
  <c r="A70" i="42" s="1"/>
  <c r="C70" i="42" s="1"/>
  <c r="A69" i="38"/>
  <c r="BD33" i="38"/>
  <c r="C41" i="4"/>
  <c r="B41" i="4"/>
  <c r="B33" i="46"/>
  <c r="BD33" i="42"/>
  <c r="C33" i="46"/>
  <c r="BE33" i="42"/>
  <c r="A69" i="50" l="1"/>
  <c r="A69" i="49"/>
  <c r="A69" i="47"/>
  <c r="A69" i="46"/>
  <c r="A69" i="44"/>
  <c r="A69" i="43"/>
  <c r="BD34" i="38"/>
  <c r="A71" i="4"/>
  <c r="A71" i="42" s="1"/>
  <c r="C71" i="42" s="1"/>
  <c r="A70" i="38"/>
  <c r="A69" i="39"/>
  <c r="A69" i="40"/>
  <c r="C69" i="38"/>
  <c r="C42" i="4"/>
  <c r="B42" i="4"/>
  <c r="C34" i="46"/>
  <c r="BD34" i="42"/>
  <c r="B34" i="46"/>
  <c r="BE34" i="42"/>
  <c r="A70" i="50" l="1"/>
  <c r="A70" i="49"/>
  <c r="A70" i="47"/>
  <c r="A70" i="46"/>
  <c r="A70" i="44"/>
  <c r="A70" i="43"/>
  <c r="A70" i="40"/>
  <c r="C70" i="38"/>
  <c r="A70" i="39"/>
  <c r="A72" i="4"/>
  <c r="A72" i="42" s="1"/>
  <c r="C72" i="42" s="1"/>
  <c r="A71" i="38"/>
  <c r="BD35" i="38"/>
  <c r="C43" i="4"/>
  <c r="B43" i="4"/>
  <c r="B35" i="46"/>
  <c r="BD35" i="42"/>
  <c r="BE35" i="42"/>
  <c r="C35" i="46"/>
  <c r="A71" i="50" l="1"/>
  <c r="A71" i="49"/>
  <c r="A71" i="47"/>
  <c r="A71" i="46"/>
  <c r="A71" i="44"/>
  <c r="A71" i="43"/>
  <c r="A71" i="39"/>
  <c r="A71" i="40"/>
  <c r="C71" i="38"/>
  <c r="BD36" i="38"/>
  <c r="A73" i="4"/>
  <c r="A73" i="42" s="1"/>
  <c r="C73" i="42" s="1"/>
  <c r="A72" i="38"/>
  <c r="B44" i="4"/>
  <c r="C44" i="4"/>
  <c r="E44" i="24"/>
  <c r="E56" i="24"/>
  <c r="E55" i="24"/>
  <c r="E49" i="24"/>
  <c r="E43" i="24"/>
  <c r="E39" i="24"/>
  <c r="E33" i="24"/>
  <c r="E24" i="24"/>
  <c r="E20" i="24"/>
  <c r="E14" i="24"/>
  <c r="B14" i="24" s="1"/>
  <c r="E6" i="24"/>
  <c r="E58" i="24"/>
  <c r="E54" i="24"/>
  <c r="E48" i="24"/>
  <c r="E42" i="24"/>
  <c r="E36" i="24"/>
  <c r="E32" i="24"/>
  <c r="E23" i="24"/>
  <c r="E19" i="24"/>
  <c r="E13" i="24"/>
  <c r="E5" i="24"/>
  <c r="E57" i="24"/>
  <c r="E53" i="24"/>
  <c r="E47" i="24"/>
  <c r="E41" i="24"/>
  <c r="E35" i="24"/>
  <c r="E31" i="24"/>
  <c r="E22" i="24"/>
  <c r="E18" i="24"/>
  <c r="N10" i="24"/>
  <c r="E50" i="24"/>
  <c r="E40" i="24"/>
  <c r="E34" i="24"/>
  <c r="E27" i="24"/>
  <c r="E21" i="24"/>
  <c r="E9" i="24"/>
  <c r="BE36" i="42"/>
  <c r="C36" i="46"/>
  <c r="BD36" i="42"/>
  <c r="B36" i="46"/>
  <c r="A72" i="50" l="1"/>
  <c r="A72" i="49"/>
  <c r="A72" i="47"/>
  <c r="A72" i="46"/>
  <c r="A72" i="44"/>
  <c r="A72" i="43"/>
  <c r="BD37" i="38"/>
  <c r="A72" i="40"/>
  <c r="C72" i="38"/>
  <c r="A72" i="39"/>
  <c r="A74" i="4"/>
  <c r="A74" i="42" s="1"/>
  <c r="C74" i="42" s="1"/>
  <c r="A73" i="38"/>
  <c r="C45" i="4"/>
  <c r="B45" i="4"/>
  <c r="BE37" i="42"/>
  <c r="B37" i="46"/>
  <c r="BD37" i="42"/>
  <c r="C37" i="46"/>
  <c r="A73" i="50" l="1"/>
  <c r="A73" i="49"/>
  <c r="A73" i="47"/>
  <c r="A73" i="46"/>
  <c r="A73" i="44"/>
  <c r="A73" i="43"/>
  <c r="A73" i="40"/>
  <c r="A73" i="39"/>
  <c r="C73" i="38"/>
  <c r="A75" i="4"/>
  <c r="A75" i="42" s="1"/>
  <c r="C75" i="42" s="1"/>
  <c r="A74" i="38"/>
  <c r="BD38" i="38"/>
  <c r="C46" i="4"/>
  <c r="B46" i="4"/>
  <c r="I42" i="14"/>
  <c r="J42" i="14"/>
  <c r="B38" i="46"/>
  <c r="BE38" i="42"/>
  <c r="BD38" i="42"/>
  <c r="C38" i="46"/>
  <c r="A74" i="50" l="1"/>
  <c r="A74" i="49"/>
  <c r="A74" i="47"/>
  <c r="A74" i="46"/>
  <c r="A74" i="44"/>
  <c r="A74" i="43"/>
  <c r="A74" i="40"/>
  <c r="C74" i="38"/>
  <c r="A74" i="39"/>
  <c r="A76" i="4"/>
  <c r="A76" i="42" s="1"/>
  <c r="C76" i="42" s="1"/>
  <c r="A75" i="38"/>
  <c r="BD39" i="38"/>
  <c r="C47" i="4"/>
  <c r="B47" i="4"/>
  <c r="B9" i="24"/>
  <c r="N13" i="24"/>
  <c r="B6" i="24"/>
  <c r="BE39" i="42"/>
  <c r="BD39" i="42"/>
  <c r="B39" i="46"/>
  <c r="C39" i="46"/>
  <c r="A1" i="49" l="1"/>
  <c r="B9" i="49" s="1"/>
  <c r="A1" i="38"/>
  <c r="A1" i="14"/>
  <c r="A1" i="43"/>
  <c r="A1" i="41"/>
  <c r="A1" i="40"/>
  <c r="A1" i="24"/>
  <c r="A1" i="46"/>
  <c r="A1" i="50"/>
  <c r="B9" i="50" s="1"/>
  <c r="A1" i="37"/>
  <c r="A1" i="44"/>
  <c r="A1" i="47"/>
  <c r="B9" i="47" s="1"/>
  <c r="A1" i="23"/>
  <c r="A1" i="39"/>
  <c r="A1" i="42"/>
  <c r="A1" i="4"/>
  <c r="A75" i="50"/>
  <c r="A75" i="49"/>
  <c r="A75" i="47"/>
  <c r="A75" i="46"/>
  <c r="A75" i="44"/>
  <c r="A75" i="43"/>
  <c r="BD40" i="38"/>
  <c r="A75" i="39"/>
  <c r="A75" i="40"/>
  <c r="C75" i="38"/>
  <c r="A77" i="4"/>
  <c r="A77" i="42" s="1"/>
  <c r="C77" i="42" s="1"/>
  <c r="A76" i="38"/>
  <c r="B48" i="4"/>
  <c r="C48" i="4"/>
  <c r="B40" i="46"/>
  <c r="C40" i="46"/>
  <c r="BE40" i="42"/>
  <c r="BD40" i="42"/>
  <c r="G9" i="44" l="1"/>
  <c r="B9" i="44"/>
  <c r="H9" i="40"/>
  <c r="B9" i="40"/>
  <c r="H9" i="43"/>
  <c r="B9" i="43"/>
  <c r="H9" i="39"/>
  <c r="B9" i="39"/>
  <c r="E10" i="46"/>
  <c r="D10" i="46"/>
  <c r="C10" i="46"/>
  <c r="B10" i="46"/>
  <c r="A76" i="50"/>
  <c r="A76" i="49"/>
  <c r="A76" i="47"/>
  <c r="A76" i="46"/>
  <c r="A76" i="44"/>
  <c r="A76" i="43"/>
  <c r="A76" i="40"/>
  <c r="C76" i="38"/>
  <c r="A76" i="39"/>
  <c r="A78" i="4"/>
  <c r="A78" i="42" s="1"/>
  <c r="C78" i="42" s="1"/>
  <c r="A77" i="38"/>
  <c r="BD41" i="38"/>
  <c r="C49" i="4"/>
  <c r="B49" i="4"/>
  <c r="E4" i="24"/>
  <c r="B4" i="24" s="1"/>
  <c r="B41" i="46"/>
  <c r="C41" i="46"/>
  <c r="BD41" i="42"/>
  <c r="BE41" i="42"/>
  <c r="A77" i="50" l="1"/>
  <c r="A77" i="49"/>
  <c r="A77" i="47"/>
  <c r="A77" i="46"/>
  <c r="A77" i="43"/>
  <c r="A77" i="44"/>
  <c r="A79" i="4"/>
  <c r="A79" i="42" s="1"/>
  <c r="C79" i="42" s="1"/>
  <c r="A78" i="38"/>
  <c r="BD42" i="38"/>
  <c r="A77" i="40"/>
  <c r="C77" i="38"/>
  <c r="A77" i="39"/>
  <c r="C50" i="4"/>
  <c r="B50" i="4"/>
  <c r="BD42" i="42"/>
  <c r="B42" i="46"/>
  <c r="C42" i="46"/>
  <c r="BE42" i="42"/>
  <c r="A78" i="50" l="1"/>
  <c r="A78" i="49"/>
  <c r="C26" i="41"/>
  <c r="L5" i="51" s="1"/>
  <c r="C25" i="41"/>
  <c r="C27" i="41"/>
  <c r="A78" i="47"/>
  <c r="A78" i="46"/>
  <c r="A78" i="44"/>
  <c r="A78" i="43"/>
  <c r="A78" i="39"/>
  <c r="A78" i="40"/>
  <c r="C78" i="38"/>
  <c r="BD43" i="38"/>
  <c r="A80" i="4"/>
  <c r="A80" i="42" s="1"/>
  <c r="C80" i="42" s="1"/>
  <c r="A79" i="38"/>
  <c r="C51" i="4"/>
  <c r="B51" i="4"/>
  <c r="B43" i="46"/>
  <c r="C43" i="46"/>
  <c r="BE43" i="42"/>
  <c r="BD43" i="42"/>
  <c r="A79" i="50" l="1"/>
  <c r="A79" i="49"/>
  <c r="A79" i="47"/>
  <c r="A79" i="46"/>
  <c r="A79" i="44"/>
  <c r="A79" i="43"/>
  <c r="BD44" i="38"/>
  <c r="A79" i="40"/>
  <c r="C79" i="38"/>
  <c r="A79" i="39"/>
  <c r="A81" i="4"/>
  <c r="A81" i="42" s="1"/>
  <c r="C81" i="42" s="1"/>
  <c r="A80" i="38"/>
  <c r="B52" i="4"/>
  <c r="C52" i="4"/>
  <c r="B44" i="46"/>
  <c r="BD44" i="42"/>
  <c r="C44" i="46"/>
  <c r="BE44" i="42"/>
  <c r="A80" i="50" l="1"/>
  <c r="A80" i="49"/>
  <c r="A80" i="47"/>
  <c r="A80" i="46"/>
  <c r="A80" i="44"/>
  <c r="A80" i="43"/>
  <c r="A80" i="39"/>
  <c r="A80" i="40"/>
  <c r="C80" i="38"/>
  <c r="A82" i="4"/>
  <c r="A82" i="42" s="1"/>
  <c r="C82" i="42" s="1"/>
  <c r="A81" i="38"/>
  <c r="BD45" i="38"/>
  <c r="B53" i="4"/>
  <c r="C53" i="4"/>
  <c r="C45" i="46"/>
  <c r="BD45" i="42"/>
  <c r="BE45" i="42"/>
  <c r="B45" i="46"/>
  <c r="A81" i="50" l="1"/>
  <c r="A81" i="49"/>
  <c r="A81" i="47"/>
  <c r="A81" i="46"/>
  <c r="A81" i="44"/>
  <c r="A81" i="43"/>
  <c r="A83" i="4"/>
  <c r="A83" i="42" s="1"/>
  <c r="C83" i="42" s="1"/>
  <c r="A82" i="38"/>
  <c r="A81" i="40"/>
  <c r="C81" i="38"/>
  <c r="A81" i="39"/>
  <c r="BD46" i="38"/>
  <c r="C54" i="4"/>
  <c r="B54" i="4"/>
  <c r="C46" i="46"/>
  <c r="BE46" i="42"/>
  <c r="B46" i="46"/>
  <c r="BD46" i="42"/>
  <c r="A82" i="50" l="1"/>
  <c r="A82" i="49"/>
  <c r="A82" i="47"/>
  <c r="A82" i="46"/>
  <c r="A82" i="43"/>
  <c r="A82" i="44"/>
  <c r="BD47" i="38"/>
  <c r="A82" i="40"/>
  <c r="C82" i="38"/>
  <c r="A82" i="39"/>
  <c r="A84" i="4"/>
  <c r="A84" i="42" s="1"/>
  <c r="C84" i="42" s="1"/>
  <c r="A83" i="38"/>
  <c r="B55" i="4"/>
  <c r="C55" i="4"/>
  <c r="B47" i="46"/>
  <c r="C47" i="46"/>
  <c r="BE47" i="42"/>
  <c r="BD47" i="42"/>
  <c r="A83" i="50" l="1"/>
  <c r="A83" i="49"/>
  <c r="A83" i="47"/>
  <c r="A83" i="46"/>
  <c r="A83" i="43"/>
  <c r="A83" i="44"/>
  <c r="A83" i="39"/>
  <c r="A83" i="40"/>
  <c r="C83" i="38"/>
  <c r="A85" i="4"/>
  <c r="A85" i="42" s="1"/>
  <c r="C85" i="42" s="1"/>
  <c r="A84" i="38"/>
  <c r="BD48" i="38"/>
  <c r="C56" i="4"/>
  <c r="B56" i="4"/>
  <c r="BD48" i="42"/>
  <c r="B48" i="46"/>
  <c r="BE48" i="42"/>
  <c r="C48" i="46"/>
  <c r="A84" i="50" l="1"/>
  <c r="A84" i="49"/>
  <c r="A84" i="47"/>
  <c r="A84" i="46"/>
  <c r="A84" i="44"/>
  <c r="A84" i="43"/>
  <c r="BD49" i="38"/>
  <c r="A84" i="39"/>
  <c r="A84" i="40"/>
  <c r="C84" i="38"/>
  <c r="A86" i="4"/>
  <c r="A86" i="42" s="1"/>
  <c r="C86" i="42" s="1"/>
  <c r="A85" i="38"/>
  <c r="C57" i="4"/>
  <c r="B57" i="4"/>
  <c r="BD49" i="42"/>
  <c r="B49" i="46"/>
  <c r="C49" i="46"/>
  <c r="BE49" i="42"/>
  <c r="A85" i="50" l="1"/>
  <c r="A85" i="49"/>
  <c r="A85" i="47"/>
  <c r="A85" i="46"/>
  <c r="A85" i="44"/>
  <c r="A85" i="43"/>
  <c r="A85" i="40"/>
  <c r="C85" i="38"/>
  <c r="A85" i="39"/>
  <c r="A87" i="4"/>
  <c r="A87" i="42" s="1"/>
  <c r="C87" i="42" s="1"/>
  <c r="A86" i="38"/>
  <c r="BD50" i="38"/>
  <c r="C58" i="4"/>
  <c r="B58" i="4"/>
  <c r="BE50" i="42"/>
  <c r="BD50" i="42"/>
  <c r="B50" i="46"/>
  <c r="C50" i="46"/>
  <c r="A86" i="50" l="1"/>
  <c r="A86" i="49"/>
  <c r="A86" i="47"/>
  <c r="A86" i="46"/>
  <c r="A86" i="44"/>
  <c r="A86" i="43"/>
  <c r="A86" i="40"/>
  <c r="C86" i="38"/>
  <c r="A86" i="39"/>
  <c r="A88" i="4"/>
  <c r="A88" i="42" s="1"/>
  <c r="C88" i="42" s="1"/>
  <c r="A87" i="38"/>
  <c r="BD51" i="38"/>
  <c r="B59" i="4"/>
  <c r="C59" i="4"/>
  <c r="BD51" i="42"/>
  <c r="C51" i="46"/>
  <c r="BE51" i="42"/>
  <c r="B51" i="46"/>
  <c r="A87" i="50" l="1"/>
  <c r="A87" i="49"/>
  <c r="A87" i="47"/>
  <c r="A87" i="46"/>
  <c r="A87" i="44"/>
  <c r="A87" i="43"/>
  <c r="A89" i="4"/>
  <c r="A89" i="42" s="1"/>
  <c r="C89" i="42" s="1"/>
  <c r="A88" i="38"/>
  <c r="A87" i="39"/>
  <c r="A87" i="40"/>
  <c r="C87" i="38"/>
  <c r="BD52" i="38"/>
  <c r="C60" i="4"/>
  <c r="B60" i="4"/>
  <c r="B52" i="46"/>
  <c r="BD52" i="42"/>
  <c r="BE52" i="42"/>
  <c r="C52" i="46"/>
  <c r="A88" i="50" l="1"/>
  <c r="A88" i="49"/>
  <c r="A88" i="47"/>
  <c r="A88" i="46"/>
  <c r="A88" i="44"/>
  <c r="A88" i="43"/>
  <c r="A88" i="40"/>
  <c r="A88" i="39"/>
  <c r="C88" i="38"/>
  <c r="BD53" i="38"/>
  <c r="A90" i="4"/>
  <c r="A90" i="42" s="1"/>
  <c r="C90" i="42" s="1"/>
  <c r="A89" i="38"/>
  <c r="C61" i="4"/>
  <c r="B61" i="4"/>
  <c r="BE53" i="42"/>
  <c r="B53" i="46"/>
  <c r="BD53" i="42"/>
  <c r="C53" i="46"/>
  <c r="A89" i="50" l="1"/>
  <c r="A89" i="49"/>
  <c r="A89" i="47"/>
  <c r="A89" i="46"/>
  <c r="A89" i="44"/>
  <c r="A89" i="43"/>
  <c r="BD54" i="38"/>
  <c r="A89" i="39"/>
  <c r="A89" i="40"/>
  <c r="C89" i="38"/>
  <c r="A91" i="4"/>
  <c r="A91" i="42" s="1"/>
  <c r="C91" i="42" s="1"/>
  <c r="A90" i="38"/>
  <c r="C62" i="4"/>
  <c r="B62" i="4"/>
  <c r="B54" i="46"/>
  <c r="BD54" i="42"/>
  <c r="C54" i="46"/>
  <c r="BE54" i="42"/>
  <c r="A90" i="50" l="1"/>
  <c r="A90" i="49"/>
  <c r="A90" i="47"/>
  <c r="A90" i="46"/>
  <c r="A90" i="44"/>
  <c r="A90" i="43"/>
  <c r="A90" i="40"/>
  <c r="C90" i="38"/>
  <c r="A90" i="39"/>
  <c r="A92" i="4"/>
  <c r="A92" i="42" s="1"/>
  <c r="C92" i="42" s="1"/>
  <c r="A91" i="38"/>
  <c r="BD55" i="38"/>
  <c r="B63" i="4"/>
  <c r="C63" i="4"/>
  <c r="BE55" i="42"/>
  <c r="BD55" i="42"/>
  <c r="B55" i="46"/>
  <c r="C55" i="46"/>
  <c r="A91" i="50" l="1"/>
  <c r="A91" i="49"/>
  <c r="A91" i="47"/>
  <c r="A91" i="46"/>
  <c r="A91" i="44"/>
  <c r="A91" i="43"/>
  <c r="BD56" i="38"/>
  <c r="A93" i="4"/>
  <c r="A93" i="42" s="1"/>
  <c r="C93" i="42" s="1"/>
  <c r="A92" i="38"/>
  <c r="A91" i="40"/>
  <c r="C91" i="38"/>
  <c r="A91" i="39"/>
  <c r="C64" i="4"/>
  <c r="B64" i="4"/>
  <c r="B56" i="46"/>
  <c r="BE56" i="42"/>
  <c r="C56" i="46"/>
  <c r="BD56" i="42"/>
  <c r="A92" i="50" l="1"/>
  <c r="A92" i="49"/>
  <c r="A92" i="47"/>
  <c r="A92" i="46"/>
  <c r="A92" i="44"/>
  <c r="A92" i="43"/>
  <c r="A92" i="40"/>
  <c r="C92" i="38"/>
  <c r="A92" i="39"/>
  <c r="A94" i="4"/>
  <c r="A94" i="42" s="1"/>
  <c r="C94" i="42" s="1"/>
  <c r="A93" i="38"/>
  <c r="BD57" i="38"/>
  <c r="C65" i="4"/>
  <c r="B65" i="4"/>
  <c r="BE57" i="42"/>
  <c r="C57" i="46"/>
  <c r="BD57" i="42"/>
  <c r="B57" i="46"/>
  <c r="A93" i="50" l="1"/>
  <c r="A93" i="49"/>
  <c r="A93" i="47"/>
  <c r="A93" i="46"/>
  <c r="A93" i="44"/>
  <c r="A93" i="43"/>
  <c r="A93" i="39"/>
  <c r="A93" i="40"/>
  <c r="C93" i="38"/>
  <c r="A95" i="4"/>
  <c r="A95" i="42" s="1"/>
  <c r="C95" i="42" s="1"/>
  <c r="A94" i="38"/>
  <c r="BD58" i="38"/>
  <c r="C66" i="4"/>
  <c r="B66" i="4"/>
  <c r="BE58" i="42"/>
  <c r="BD58" i="42"/>
  <c r="C58" i="46"/>
  <c r="B58" i="46"/>
  <c r="A94" i="50" l="1"/>
  <c r="A94" i="49"/>
  <c r="A94" i="47"/>
  <c r="A94" i="46"/>
  <c r="A94" i="44"/>
  <c r="A94" i="43"/>
  <c r="A96" i="4"/>
  <c r="A96" i="42" s="1"/>
  <c r="C96" i="42" s="1"/>
  <c r="A95" i="38"/>
  <c r="BD59" i="38"/>
  <c r="A94" i="40"/>
  <c r="A94" i="39"/>
  <c r="C94" i="38"/>
  <c r="B67" i="4"/>
  <c r="C67" i="4"/>
  <c r="BD59" i="42"/>
  <c r="B59" i="46"/>
  <c r="C59" i="46"/>
  <c r="BE59" i="42"/>
  <c r="A95" i="50" l="1"/>
  <c r="A95" i="49"/>
  <c r="A95" i="47"/>
  <c r="A95" i="46"/>
  <c r="A95" i="43"/>
  <c r="A95" i="44"/>
  <c r="BD60" i="38"/>
  <c r="A95" i="40"/>
  <c r="C95" i="38"/>
  <c r="A95" i="39"/>
  <c r="A97" i="4"/>
  <c r="A97" i="42" s="1"/>
  <c r="C97" i="42" s="1"/>
  <c r="A96" i="38"/>
  <c r="B68" i="4"/>
  <c r="C68" i="4"/>
  <c r="BE60" i="42"/>
  <c r="C60" i="46"/>
  <c r="BD60" i="42"/>
  <c r="B60" i="46"/>
  <c r="A96" i="50" l="1"/>
  <c r="A96" i="49"/>
  <c r="A96" i="47"/>
  <c r="A96" i="46"/>
  <c r="A96" i="44"/>
  <c r="A96" i="43"/>
  <c r="A98" i="4"/>
  <c r="A98" i="42" s="1"/>
  <c r="C98" i="42" s="1"/>
  <c r="A97" i="38"/>
  <c r="A96" i="40"/>
  <c r="C96" i="38"/>
  <c r="A96" i="39"/>
  <c r="BD61" i="38"/>
  <c r="B69" i="4"/>
  <c r="C69" i="4"/>
  <c r="BE61" i="42"/>
  <c r="C61" i="46"/>
  <c r="BD61" i="42"/>
  <c r="B61" i="46"/>
  <c r="A97" i="50" l="1"/>
  <c r="A97" i="49"/>
  <c r="A97" i="47"/>
  <c r="A97" i="46"/>
  <c r="A97" i="44"/>
  <c r="A97" i="43"/>
  <c r="A97" i="40"/>
  <c r="C97" i="38"/>
  <c r="A97" i="39"/>
  <c r="BD62" i="38"/>
  <c r="A99" i="4"/>
  <c r="A99" i="42" s="1"/>
  <c r="C99" i="42" s="1"/>
  <c r="A98" i="38"/>
  <c r="C70" i="4"/>
  <c r="B70" i="4"/>
  <c r="C62" i="46"/>
  <c r="BD62" i="42"/>
  <c r="BE62" i="42"/>
  <c r="B62" i="46"/>
  <c r="A98" i="50" l="1"/>
  <c r="A98" i="49"/>
  <c r="A98" i="47"/>
  <c r="A98" i="46"/>
  <c r="A98" i="44"/>
  <c r="A98" i="43"/>
  <c r="A98" i="39"/>
  <c r="A98" i="40"/>
  <c r="C98" i="38"/>
  <c r="A100" i="4"/>
  <c r="A100" i="42" s="1"/>
  <c r="C100" i="42" s="1"/>
  <c r="A99" i="38"/>
  <c r="BD63" i="38"/>
  <c r="B71" i="4"/>
  <c r="C71" i="4"/>
  <c r="BE63" i="42"/>
  <c r="BD63" i="42"/>
  <c r="B63" i="46"/>
  <c r="C63" i="46"/>
  <c r="A99" i="50" l="1"/>
  <c r="A99" i="49"/>
  <c r="A99" i="47"/>
  <c r="A99" i="46"/>
  <c r="A99" i="44"/>
  <c r="A99" i="43"/>
  <c r="A99" i="39"/>
  <c r="A99" i="40"/>
  <c r="C99" i="38"/>
  <c r="A101" i="4"/>
  <c r="A101" i="42" s="1"/>
  <c r="C101" i="42" s="1"/>
  <c r="A100" i="38"/>
  <c r="BD64" i="38"/>
  <c r="C72" i="4"/>
  <c r="B72" i="4"/>
  <c r="BD64" i="42"/>
  <c r="C64" i="46"/>
  <c r="BE64" i="42"/>
  <c r="B64" i="46"/>
  <c r="A100" i="50" l="1"/>
  <c r="A100" i="49"/>
  <c r="A100" i="47"/>
  <c r="A100" i="46"/>
  <c r="A100" i="43"/>
  <c r="A100" i="44"/>
  <c r="A100" i="39"/>
  <c r="A100" i="40"/>
  <c r="C100" i="38"/>
  <c r="A102" i="4"/>
  <c r="A102" i="42" s="1"/>
  <c r="C102" i="42" s="1"/>
  <c r="A101" i="38"/>
  <c r="BD65" i="38"/>
  <c r="C73" i="4"/>
  <c r="B73" i="4"/>
  <c r="BD65" i="42"/>
  <c r="C65" i="46"/>
  <c r="B65" i="46"/>
  <c r="BE65" i="42"/>
  <c r="A101" i="50" l="1"/>
  <c r="A101" i="49"/>
  <c r="A101" i="47"/>
  <c r="A101" i="46"/>
  <c r="A101" i="43"/>
  <c r="A101" i="44"/>
  <c r="A101" i="39"/>
  <c r="A101" i="40"/>
  <c r="C101" i="38"/>
  <c r="A103" i="4"/>
  <c r="A103" i="42" s="1"/>
  <c r="C103" i="42" s="1"/>
  <c r="A102" i="38"/>
  <c r="BD66" i="38"/>
  <c r="C74" i="4"/>
  <c r="B74" i="4"/>
  <c r="B66" i="46"/>
  <c r="C66" i="46"/>
  <c r="BE66" i="42"/>
  <c r="BD66" i="42"/>
  <c r="A102" i="50" l="1"/>
  <c r="A102" i="49"/>
  <c r="A102" i="47"/>
  <c r="A102" i="46"/>
  <c r="A102" i="44"/>
  <c r="A102" i="43"/>
  <c r="A102" i="39"/>
  <c r="A102" i="40"/>
  <c r="C102" i="38"/>
  <c r="A104" i="4"/>
  <c r="A104" i="42" s="1"/>
  <c r="C104" i="42" s="1"/>
  <c r="A103" i="38"/>
  <c r="BD67" i="38"/>
  <c r="B75" i="4"/>
  <c r="C75" i="4"/>
  <c r="B67" i="46"/>
  <c r="BE67" i="42"/>
  <c r="BD67" i="42"/>
  <c r="C67" i="46"/>
  <c r="A103" i="50" l="1"/>
  <c r="A103" i="49"/>
  <c r="A103" i="47"/>
  <c r="A103" i="46"/>
  <c r="A103" i="44"/>
  <c r="A103" i="43"/>
  <c r="BD68" i="38"/>
  <c r="A105" i="4"/>
  <c r="A105" i="42" s="1"/>
  <c r="C105" i="42" s="1"/>
  <c r="A104" i="38"/>
  <c r="A103" i="39"/>
  <c r="A103" i="40"/>
  <c r="C103" i="38"/>
  <c r="C76" i="4"/>
  <c r="B76" i="4"/>
  <c r="B68" i="46"/>
  <c r="C68" i="46"/>
  <c r="BE68" i="42"/>
  <c r="BD68" i="42"/>
  <c r="A104" i="50" l="1"/>
  <c r="A104" i="49"/>
  <c r="A104" i="47"/>
  <c r="A104" i="46"/>
  <c r="A104" i="44"/>
  <c r="A104" i="43"/>
  <c r="A106" i="4"/>
  <c r="A106" i="42" s="1"/>
  <c r="C106" i="42" s="1"/>
  <c r="A105" i="38"/>
  <c r="A104" i="39"/>
  <c r="A104" i="40"/>
  <c r="C104" i="38"/>
  <c r="BD69" i="38"/>
  <c r="C77" i="4"/>
  <c r="B77" i="4"/>
  <c r="BE69" i="42"/>
  <c r="C69" i="46"/>
  <c r="BD69" i="42"/>
  <c r="B69" i="46"/>
  <c r="A105" i="50" l="1"/>
  <c r="A105" i="49"/>
  <c r="A105" i="47"/>
  <c r="A105" i="46"/>
  <c r="A105" i="44"/>
  <c r="A105" i="43"/>
  <c r="BD70" i="38"/>
  <c r="A105" i="40"/>
  <c r="A105" i="39"/>
  <c r="C105" i="38"/>
  <c r="A107" i="4"/>
  <c r="A107" i="42" s="1"/>
  <c r="C107" i="42" s="1"/>
  <c r="A106" i="38"/>
  <c r="C78" i="4"/>
  <c r="B78" i="4"/>
  <c r="B70" i="46"/>
  <c r="BD70" i="42"/>
  <c r="BE70" i="42"/>
  <c r="C70" i="46"/>
  <c r="A106" i="50" l="1"/>
  <c r="A106" i="49"/>
  <c r="A106" i="47"/>
  <c r="A106" i="46"/>
  <c r="A106" i="44"/>
  <c r="A106" i="43"/>
  <c r="A106" i="40"/>
  <c r="C106" i="38"/>
  <c r="A106" i="39"/>
  <c r="A108" i="4"/>
  <c r="A108" i="42" s="1"/>
  <c r="C108" i="42" s="1"/>
  <c r="A107" i="38"/>
  <c r="BD71" i="38"/>
  <c r="B79" i="4"/>
  <c r="C79" i="4"/>
  <c r="BD71" i="42"/>
  <c r="C71" i="46"/>
  <c r="BE71" i="42"/>
  <c r="B71" i="46"/>
  <c r="A107" i="50" l="1"/>
  <c r="A107" i="49"/>
  <c r="A107" i="47"/>
  <c r="A107" i="46"/>
  <c r="A107" i="44"/>
  <c r="A107" i="43"/>
  <c r="A107" i="39"/>
  <c r="A107" i="40"/>
  <c r="C107" i="38"/>
  <c r="BD72" i="38"/>
  <c r="A109" i="4"/>
  <c r="A109" i="42" s="1"/>
  <c r="C109" i="42" s="1"/>
  <c r="A108" i="38"/>
  <c r="C80" i="4"/>
  <c r="B80" i="4"/>
  <c r="C72" i="46"/>
  <c r="BE72" i="42"/>
  <c r="BD72" i="42"/>
  <c r="B72" i="46"/>
  <c r="A108" i="50" l="1"/>
  <c r="A108" i="49"/>
  <c r="A108" i="47"/>
  <c r="A108" i="46"/>
  <c r="A108" i="44"/>
  <c r="A108" i="43"/>
  <c r="BD73" i="38"/>
  <c r="A108" i="40"/>
  <c r="C108" i="38"/>
  <c r="A108" i="39"/>
  <c r="A110" i="4"/>
  <c r="A110" i="42" s="1"/>
  <c r="C110" i="42" s="1"/>
  <c r="A109" i="38"/>
  <c r="C81" i="4"/>
  <c r="B81" i="4"/>
  <c r="C73" i="46"/>
  <c r="B73" i="46"/>
  <c r="BE73" i="42"/>
  <c r="BD73" i="42"/>
  <c r="A109" i="50" l="1"/>
  <c r="A109" i="49"/>
  <c r="A109" i="47"/>
  <c r="A109" i="46"/>
  <c r="A109" i="44"/>
  <c r="A109" i="43"/>
  <c r="A109" i="40"/>
  <c r="A109" i="39"/>
  <c r="C109" i="38"/>
  <c r="A111" i="4"/>
  <c r="A111" i="42" s="1"/>
  <c r="C111" i="42" s="1"/>
  <c r="A110" i="38"/>
  <c r="BD74" i="38"/>
  <c r="C82" i="4"/>
  <c r="B82" i="4"/>
  <c r="C74" i="46"/>
  <c r="B74" i="46"/>
  <c r="BD74" i="42"/>
  <c r="BE74" i="42"/>
  <c r="A110" i="50" l="1"/>
  <c r="A110" i="49"/>
  <c r="A110" i="47"/>
  <c r="A110" i="46"/>
  <c r="A110" i="44"/>
  <c r="A110" i="43"/>
  <c r="A112" i="4"/>
  <c r="A112" i="42" s="1"/>
  <c r="C112" i="42" s="1"/>
  <c r="A111" i="38"/>
  <c r="BD75" i="38"/>
  <c r="A110" i="40"/>
  <c r="C110" i="38"/>
  <c r="A110" i="39"/>
  <c r="B83" i="4"/>
  <c r="C83" i="4"/>
  <c r="BE75" i="42"/>
  <c r="BD75" i="42"/>
  <c r="C75" i="46"/>
  <c r="B75" i="46"/>
  <c r="A111" i="50" l="1"/>
  <c r="A111" i="49"/>
  <c r="A111" i="47"/>
  <c r="A111" i="46"/>
  <c r="A111" i="44"/>
  <c r="A111" i="43"/>
  <c r="A111" i="40"/>
  <c r="C111" i="38"/>
  <c r="A111" i="39"/>
  <c r="BD76" i="38"/>
  <c r="A113" i="4"/>
  <c r="A113" i="42" s="1"/>
  <c r="C113" i="42" s="1"/>
  <c r="A112" i="38"/>
  <c r="B84" i="4"/>
  <c r="C84" i="4"/>
  <c r="BD76" i="42"/>
  <c r="BE76" i="42"/>
  <c r="B76" i="46"/>
  <c r="C76" i="46"/>
  <c r="A112" i="50" l="1"/>
  <c r="A112" i="49"/>
  <c r="A112" i="47"/>
  <c r="A112" i="46"/>
  <c r="A112" i="44"/>
  <c r="A112" i="43"/>
  <c r="BD77" i="38"/>
  <c r="A112" i="40"/>
  <c r="A112" i="39"/>
  <c r="C112" i="38"/>
  <c r="A114" i="4"/>
  <c r="A114" i="42" s="1"/>
  <c r="C114" i="42" s="1"/>
  <c r="A113" i="38"/>
  <c r="B85" i="4"/>
  <c r="C85" i="4"/>
  <c r="BE77" i="42"/>
  <c r="B77" i="46"/>
  <c r="BD77" i="42"/>
  <c r="C77" i="46"/>
  <c r="A113" i="50" l="1"/>
  <c r="A113" i="49"/>
  <c r="A113" i="47"/>
  <c r="A113" i="46"/>
  <c r="A113" i="43"/>
  <c r="A113" i="44"/>
  <c r="A113" i="40"/>
  <c r="C113" i="38"/>
  <c r="A113" i="39"/>
  <c r="A115" i="4"/>
  <c r="A115" i="42" s="1"/>
  <c r="C115" i="42" s="1"/>
  <c r="A114" i="38"/>
  <c r="BD78" i="38"/>
  <c r="C86" i="4"/>
  <c r="B86" i="4"/>
  <c r="C78" i="46"/>
  <c r="BE78" i="42"/>
  <c r="BD78" i="42"/>
  <c r="B78" i="46"/>
  <c r="A114" i="50" l="1"/>
  <c r="A114" i="49"/>
  <c r="A114" i="47"/>
  <c r="A114" i="46"/>
  <c r="A114" i="44"/>
  <c r="A114" i="43"/>
  <c r="BD79" i="38"/>
  <c r="A114" i="40"/>
  <c r="C114" i="38"/>
  <c r="A114" i="39"/>
  <c r="A116" i="4"/>
  <c r="A116" i="42" s="1"/>
  <c r="C116" i="42" s="1"/>
  <c r="A115" i="38"/>
  <c r="O91" i="8"/>
  <c r="B87" i="4"/>
  <c r="C87" i="4"/>
  <c r="BE79" i="42"/>
  <c r="BD79" i="42"/>
  <c r="B79" i="46"/>
  <c r="C79" i="46"/>
  <c r="A115" i="50" l="1"/>
  <c r="A115" i="49"/>
  <c r="A115" i="47"/>
  <c r="A115" i="46"/>
  <c r="A115" i="44"/>
  <c r="A115" i="43"/>
  <c r="A115" i="39"/>
  <c r="A115" i="40"/>
  <c r="C115" i="38"/>
  <c r="A117" i="4"/>
  <c r="A117" i="42" s="1"/>
  <c r="C117" i="42" s="1"/>
  <c r="A116" i="38"/>
  <c r="BD80" i="38"/>
  <c r="C88" i="4"/>
  <c r="B88" i="4"/>
  <c r="C80" i="46"/>
  <c r="BE80" i="42"/>
  <c r="B80" i="46"/>
  <c r="BD80" i="42"/>
  <c r="A116" i="50" l="1"/>
  <c r="A116" i="49"/>
  <c r="A116" i="47"/>
  <c r="A116" i="46"/>
  <c r="A116" i="44"/>
  <c r="A116" i="43"/>
  <c r="A116" i="39"/>
  <c r="A116" i="40"/>
  <c r="C116" i="38"/>
  <c r="A118" i="4"/>
  <c r="A118" i="42" s="1"/>
  <c r="C118" i="42" s="1"/>
  <c r="A117" i="38"/>
  <c r="BD81" i="38"/>
  <c r="C89" i="4"/>
  <c r="B89" i="4"/>
  <c r="BE81" i="42"/>
  <c r="BD81" i="42"/>
  <c r="C81" i="46"/>
  <c r="B81" i="46"/>
  <c r="A117" i="50" l="1"/>
  <c r="A117" i="49"/>
  <c r="A117" i="47"/>
  <c r="A117" i="46"/>
  <c r="A117" i="44"/>
  <c r="A117" i="43"/>
  <c r="BD82" i="38"/>
  <c r="A119" i="4"/>
  <c r="A119" i="42" s="1"/>
  <c r="C119" i="42" s="1"/>
  <c r="A118" i="38"/>
  <c r="A117" i="39"/>
  <c r="A117" i="40"/>
  <c r="C117" i="38"/>
  <c r="C90" i="4"/>
  <c r="B90" i="4"/>
  <c r="C82" i="46"/>
  <c r="BD82" i="42"/>
  <c r="BE82" i="42"/>
  <c r="B82" i="46"/>
  <c r="A118" i="50" l="1"/>
  <c r="A118" i="49"/>
  <c r="A118" i="47"/>
  <c r="A118" i="46"/>
  <c r="A118" i="43"/>
  <c r="A118" i="44"/>
  <c r="A118" i="39"/>
  <c r="A118" i="40"/>
  <c r="C118" i="38"/>
  <c r="A120" i="4"/>
  <c r="A120" i="42" s="1"/>
  <c r="C120" i="42" s="1"/>
  <c r="A119" i="38"/>
  <c r="BD83" i="38"/>
  <c r="B91" i="4"/>
  <c r="C91" i="4"/>
  <c r="B83" i="46"/>
  <c r="C83" i="46"/>
  <c r="BD83" i="42"/>
  <c r="BE83" i="42"/>
  <c r="A119" i="50" l="1"/>
  <c r="A119" i="49"/>
  <c r="A119" i="47"/>
  <c r="A119" i="46"/>
  <c r="A119" i="43"/>
  <c r="A119" i="44"/>
  <c r="A121" i="4"/>
  <c r="A121" i="42" s="1"/>
  <c r="C121" i="42" s="1"/>
  <c r="A120" i="38"/>
  <c r="A119" i="39"/>
  <c r="A119" i="40"/>
  <c r="C119" i="38"/>
  <c r="BD84" i="38"/>
  <c r="C92" i="4"/>
  <c r="B92" i="4"/>
  <c r="B84" i="46"/>
  <c r="BE84" i="42"/>
  <c r="C84" i="46"/>
  <c r="BD84" i="42"/>
  <c r="A120" i="50" l="1"/>
  <c r="A120" i="49"/>
  <c r="A120" i="47"/>
  <c r="A120" i="46"/>
  <c r="A120" i="44"/>
  <c r="A120" i="43"/>
  <c r="A120" i="39"/>
  <c r="A120" i="40"/>
  <c r="C120" i="38"/>
  <c r="BD85" i="38"/>
  <c r="A122" i="4"/>
  <c r="A122" i="42" s="1"/>
  <c r="C122" i="42" s="1"/>
  <c r="A121" i="38"/>
  <c r="C93" i="4"/>
  <c r="B93" i="4"/>
  <c r="B85" i="46"/>
  <c r="C85" i="46"/>
  <c r="BE85" i="42"/>
  <c r="BD85" i="42"/>
  <c r="A121" i="50" l="1"/>
  <c r="A121" i="49"/>
  <c r="A121" i="47"/>
  <c r="A121" i="46"/>
  <c r="A121" i="44"/>
  <c r="A121" i="43"/>
  <c r="BD86" i="38"/>
  <c r="A121" i="39"/>
  <c r="A121" i="40"/>
  <c r="C121" i="38"/>
  <c r="A123" i="4"/>
  <c r="A123" i="42" s="1"/>
  <c r="C123" i="42" s="1"/>
  <c r="A122" i="38"/>
  <c r="C94" i="4"/>
  <c r="B94" i="4"/>
  <c r="BD86" i="42"/>
  <c r="BE86" i="42"/>
  <c r="B86" i="46"/>
  <c r="C86" i="46"/>
  <c r="A122" i="50" l="1"/>
  <c r="A122" i="49"/>
  <c r="A122" i="47"/>
  <c r="A122" i="46"/>
  <c r="A122" i="44"/>
  <c r="A122" i="43"/>
  <c r="A122" i="39"/>
  <c r="A122" i="40"/>
  <c r="C122" i="38"/>
  <c r="A124" i="4"/>
  <c r="A124" i="42" s="1"/>
  <c r="C124" i="42" s="1"/>
  <c r="A123" i="38"/>
  <c r="BD87" i="38"/>
  <c r="B95" i="4"/>
  <c r="C95" i="4"/>
  <c r="BD87" i="42"/>
  <c r="C87" i="46"/>
  <c r="B87" i="46"/>
  <c r="BE87" i="42"/>
  <c r="A123" i="50" l="1"/>
  <c r="A123" i="49"/>
  <c r="A123" i="47"/>
  <c r="A123" i="46"/>
  <c r="A123" i="44"/>
  <c r="A123" i="43"/>
  <c r="A123" i="39"/>
  <c r="A123" i="40"/>
  <c r="C123" i="38"/>
  <c r="A125" i="4"/>
  <c r="A125" i="42" s="1"/>
  <c r="C125" i="42" s="1"/>
  <c r="A124" i="38"/>
  <c r="BD88" i="38"/>
  <c r="C96" i="4"/>
  <c r="B96" i="4"/>
  <c r="BE88" i="42"/>
  <c r="B88" i="46"/>
  <c r="C88" i="46"/>
  <c r="BD88" i="42"/>
  <c r="A124" i="50" l="1"/>
  <c r="A124" i="49"/>
  <c r="A124" i="47"/>
  <c r="A124" i="46"/>
  <c r="A124" i="44"/>
  <c r="A124" i="43"/>
  <c r="A126" i="4"/>
  <c r="A126" i="42" s="1"/>
  <c r="C126" i="42" s="1"/>
  <c r="A125" i="38"/>
  <c r="A124" i="39"/>
  <c r="A124" i="40"/>
  <c r="C124" i="38"/>
  <c r="BD89" i="38"/>
  <c r="C97" i="4"/>
  <c r="B97" i="4"/>
  <c r="BE89" i="42"/>
  <c r="C89" i="46"/>
  <c r="B89" i="46"/>
  <c r="BD89" i="42"/>
  <c r="A125" i="50" l="1"/>
  <c r="A125" i="49"/>
  <c r="A125" i="47"/>
  <c r="A125" i="46"/>
  <c r="A125" i="44"/>
  <c r="A125" i="43"/>
  <c r="BD90" i="38"/>
  <c r="A125" i="39"/>
  <c r="A125" i="40"/>
  <c r="C125" i="38"/>
  <c r="A127" i="4"/>
  <c r="A127" i="42" s="1"/>
  <c r="C127" i="42" s="1"/>
  <c r="A126" i="38"/>
  <c r="C98" i="4"/>
  <c r="B98" i="4"/>
  <c r="BD90" i="42"/>
  <c r="BE90" i="42"/>
  <c r="B90" i="46"/>
  <c r="C90" i="46"/>
  <c r="A126" i="50" l="1"/>
  <c r="A126" i="49"/>
  <c r="A126" i="47"/>
  <c r="A126" i="46"/>
  <c r="A126" i="44"/>
  <c r="A126" i="43"/>
  <c r="A126" i="39"/>
  <c r="A126" i="40"/>
  <c r="C126" i="38"/>
  <c r="A128" i="4"/>
  <c r="A128" i="42" s="1"/>
  <c r="C128" i="42" s="1"/>
  <c r="A127" i="38"/>
  <c r="BD91" i="38"/>
  <c r="B99" i="4"/>
  <c r="C99" i="4"/>
  <c r="BD91" i="42"/>
  <c r="BE91" i="42"/>
  <c r="B91" i="46"/>
  <c r="C91" i="46"/>
  <c r="A127" i="50" l="1"/>
  <c r="A127" i="49"/>
  <c r="A127" i="47"/>
  <c r="A127" i="46"/>
  <c r="A127" i="44"/>
  <c r="A127" i="43"/>
  <c r="BD92" i="38"/>
  <c r="A129" i="4"/>
  <c r="A129" i="42" s="1"/>
  <c r="C129" i="42" s="1"/>
  <c r="A128" i="38"/>
  <c r="A127" i="39"/>
  <c r="A127" i="40"/>
  <c r="C127" i="38"/>
  <c r="B100" i="4"/>
  <c r="C100" i="4"/>
  <c r="BE92" i="42"/>
  <c r="C92" i="46"/>
  <c r="B92" i="46"/>
  <c r="BD92" i="42"/>
  <c r="A128" i="50" l="1"/>
  <c r="A128" i="49"/>
  <c r="A128" i="47"/>
  <c r="A128" i="46"/>
  <c r="A128" i="44"/>
  <c r="A128" i="43"/>
  <c r="A128" i="39"/>
  <c r="A128" i="40"/>
  <c r="C128" i="38"/>
  <c r="A130" i="4"/>
  <c r="A130" i="42" s="1"/>
  <c r="C130" i="42" s="1"/>
  <c r="A129" i="38"/>
  <c r="BD93" i="38"/>
  <c r="B101" i="4"/>
  <c r="C101" i="4"/>
  <c r="C93" i="46"/>
  <c r="B93" i="46"/>
  <c r="BE93" i="42"/>
  <c r="BD93" i="42"/>
  <c r="A129" i="50" l="1"/>
  <c r="A129" i="49"/>
  <c r="A129" i="47"/>
  <c r="A129" i="46"/>
  <c r="A129" i="44"/>
  <c r="A129" i="43"/>
  <c r="BD94" i="38"/>
  <c r="A129" i="39"/>
  <c r="A129" i="40"/>
  <c r="C129" i="38"/>
  <c r="A131" i="4"/>
  <c r="A131" i="42" s="1"/>
  <c r="C131" i="42" s="1"/>
  <c r="A130" i="38"/>
  <c r="C102" i="4"/>
  <c r="B102" i="4"/>
  <c r="C94" i="46"/>
  <c r="BE94" i="42"/>
  <c r="BD94" i="42"/>
  <c r="B94" i="46"/>
  <c r="A130" i="50" l="1"/>
  <c r="A130" i="49"/>
  <c r="A130" i="47"/>
  <c r="A130" i="46"/>
  <c r="A130" i="44"/>
  <c r="A130" i="43"/>
  <c r="A130" i="39"/>
  <c r="A130" i="40"/>
  <c r="C130" i="38"/>
  <c r="A132" i="4"/>
  <c r="A132" i="42" s="1"/>
  <c r="C132" i="42" s="1"/>
  <c r="A131" i="38"/>
  <c r="BD95" i="38"/>
  <c r="C103" i="4"/>
  <c r="B103" i="4"/>
  <c r="B95" i="46"/>
  <c r="BD95" i="42"/>
  <c r="BE95" i="42"/>
  <c r="C95" i="46"/>
  <c r="A131" i="50" l="1"/>
  <c r="A131" i="49"/>
  <c r="A131" i="47"/>
  <c r="A131" i="46"/>
  <c r="A131" i="43"/>
  <c r="A131" i="44"/>
  <c r="BD96" i="38"/>
  <c r="A131" i="39"/>
  <c r="A131" i="40"/>
  <c r="C131" i="38"/>
  <c r="A133" i="4"/>
  <c r="A133" i="42" s="1"/>
  <c r="C133" i="42" s="1"/>
  <c r="A132" i="38"/>
  <c r="B104" i="4"/>
  <c r="C104" i="4"/>
  <c r="BD96" i="42"/>
  <c r="B96" i="46"/>
  <c r="C96" i="46"/>
  <c r="BE96" i="42"/>
  <c r="A132" i="50" l="1"/>
  <c r="A132" i="49"/>
  <c r="A132" i="47"/>
  <c r="A132" i="46"/>
  <c r="A132" i="44"/>
  <c r="A132" i="43"/>
  <c r="A132" i="39"/>
  <c r="A132" i="40"/>
  <c r="C132" i="38"/>
  <c r="A134" i="4"/>
  <c r="A134" i="42" s="1"/>
  <c r="C134" i="42" s="1"/>
  <c r="A133" i="38"/>
  <c r="BD97" i="38"/>
  <c r="B105" i="4"/>
  <c r="C105" i="4"/>
  <c r="B97" i="46"/>
  <c r="BD97" i="42"/>
  <c r="BE97" i="42"/>
  <c r="C97" i="46"/>
  <c r="A133" i="50" l="1"/>
  <c r="A133" i="49"/>
  <c r="A133" i="47"/>
  <c r="A133" i="46"/>
  <c r="A133" i="44"/>
  <c r="A133" i="43"/>
  <c r="BD98" i="38"/>
  <c r="A133" i="39"/>
  <c r="A133" i="40"/>
  <c r="C133" i="38"/>
  <c r="A135" i="4"/>
  <c r="A135" i="42" s="1"/>
  <c r="C135" i="42" s="1"/>
  <c r="A134" i="38"/>
  <c r="C106" i="4"/>
  <c r="B106" i="4"/>
  <c r="BD98" i="42"/>
  <c r="BE98" i="42"/>
  <c r="C98" i="46"/>
  <c r="B98" i="46"/>
  <c r="A134" i="50" l="1"/>
  <c r="A134" i="49"/>
  <c r="A134" i="47"/>
  <c r="A134" i="46"/>
  <c r="A134" i="44"/>
  <c r="A134" i="43"/>
  <c r="A134" i="39"/>
  <c r="A134" i="40"/>
  <c r="C134" i="38"/>
  <c r="A136" i="4"/>
  <c r="A136" i="42" s="1"/>
  <c r="C136" i="42" s="1"/>
  <c r="A135" i="38"/>
  <c r="BD99" i="38"/>
  <c r="C107" i="4"/>
  <c r="B107" i="4"/>
  <c r="BE99" i="42"/>
  <c r="BD99" i="42"/>
  <c r="B99" i="46"/>
  <c r="C99" i="46"/>
  <c r="A135" i="50" l="1"/>
  <c r="A135" i="49"/>
  <c r="A135" i="47"/>
  <c r="A135" i="46"/>
  <c r="A135" i="44"/>
  <c r="A135" i="43"/>
  <c r="BD100" i="38"/>
  <c r="A137" i="4"/>
  <c r="A137" i="42" s="1"/>
  <c r="C137" i="42" s="1"/>
  <c r="A136" i="38"/>
  <c r="A135" i="39"/>
  <c r="A135" i="40"/>
  <c r="C135" i="38"/>
  <c r="C108" i="4"/>
  <c r="B108" i="4"/>
  <c r="BD100" i="42"/>
  <c r="BE100" i="42"/>
  <c r="C100" i="46"/>
  <c r="B100" i="46"/>
  <c r="A136" i="50" l="1"/>
  <c r="A136" i="49"/>
  <c r="A136" i="47"/>
  <c r="A136" i="46"/>
  <c r="A136" i="43"/>
  <c r="A136" i="44"/>
  <c r="A136" i="39"/>
  <c r="A136" i="40"/>
  <c r="C136" i="38"/>
  <c r="A138" i="4"/>
  <c r="A138" i="42" s="1"/>
  <c r="C138" i="42" s="1"/>
  <c r="A137" i="38"/>
  <c r="BD101" i="38"/>
  <c r="C109" i="4"/>
  <c r="B109" i="4"/>
  <c r="BE101" i="42"/>
  <c r="C101" i="46"/>
  <c r="BD101" i="42"/>
  <c r="B101" i="46"/>
  <c r="A137" i="50" l="1"/>
  <c r="A137" i="49"/>
  <c r="A137" i="47"/>
  <c r="A137" i="46"/>
  <c r="A137" i="43"/>
  <c r="A137" i="44"/>
  <c r="BD102" i="38"/>
  <c r="A139" i="4"/>
  <c r="A139" i="42" s="1"/>
  <c r="C139" i="42" s="1"/>
  <c r="A138" i="38"/>
  <c r="A137" i="39"/>
  <c r="A137" i="40"/>
  <c r="C137" i="38"/>
  <c r="B110" i="4"/>
  <c r="C110" i="4"/>
  <c r="B102" i="46"/>
  <c r="C102" i="46"/>
  <c r="BE102" i="42"/>
  <c r="BD102" i="42"/>
  <c r="A138" i="50" l="1"/>
  <c r="A138" i="49"/>
  <c r="A138" i="47"/>
  <c r="A138" i="46"/>
  <c r="A138" i="44"/>
  <c r="A138" i="43"/>
  <c r="A138" i="39"/>
  <c r="A138" i="40"/>
  <c r="C138" i="38"/>
  <c r="A140" i="4"/>
  <c r="A140" i="42" s="1"/>
  <c r="C140" i="42" s="1"/>
  <c r="A139" i="38"/>
  <c r="BD103" i="38"/>
  <c r="C111" i="4"/>
  <c r="B111" i="4"/>
  <c r="BD103" i="42"/>
  <c r="B103" i="46"/>
  <c r="BE103" i="42"/>
  <c r="C103" i="46"/>
  <c r="A139" i="50" l="1"/>
  <c r="A139" i="49"/>
  <c r="A139" i="47"/>
  <c r="A139" i="46"/>
  <c r="A139" i="44"/>
  <c r="A139" i="43"/>
  <c r="A139" i="39"/>
  <c r="A139" i="40"/>
  <c r="C139" i="38"/>
  <c r="A141" i="4"/>
  <c r="A141" i="42" s="1"/>
  <c r="C141" i="42" s="1"/>
  <c r="A140" i="38"/>
  <c r="BD104" i="38"/>
  <c r="C112" i="4"/>
  <c r="B112" i="4"/>
  <c r="C104" i="46"/>
  <c r="BE104" i="42"/>
  <c r="B104" i="46"/>
  <c r="BD104" i="42"/>
  <c r="A140" i="50" l="1"/>
  <c r="A140" i="49"/>
  <c r="A140" i="47"/>
  <c r="A140" i="46"/>
  <c r="A140" i="44"/>
  <c r="A140" i="43"/>
  <c r="BD105" i="38"/>
  <c r="A140" i="39"/>
  <c r="A140" i="40"/>
  <c r="C140" i="38"/>
  <c r="A142" i="4"/>
  <c r="A142" i="42" s="1"/>
  <c r="C142" i="42" s="1"/>
  <c r="A141" i="38"/>
  <c r="C113" i="4"/>
  <c r="B113" i="4"/>
  <c r="BE105" i="42"/>
  <c r="C105" i="46"/>
  <c r="B105" i="46"/>
  <c r="BD105" i="42"/>
  <c r="A141" i="50" l="1"/>
  <c r="A141" i="49"/>
  <c r="A141" i="47"/>
  <c r="A141" i="46"/>
  <c r="A141" i="44"/>
  <c r="A141" i="43"/>
  <c r="A141" i="39"/>
  <c r="A141" i="40"/>
  <c r="C141" i="38"/>
  <c r="A143" i="4"/>
  <c r="A143" i="42" s="1"/>
  <c r="C143" i="42" s="1"/>
  <c r="A142" i="38"/>
  <c r="BD106" i="38"/>
  <c r="B114" i="4"/>
  <c r="C114" i="4"/>
  <c r="BD106" i="42"/>
  <c r="B106" i="46"/>
  <c r="C106" i="46"/>
  <c r="BE106" i="42"/>
  <c r="A142" i="50" l="1"/>
  <c r="A142" i="49"/>
  <c r="A142" i="47"/>
  <c r="A142" i="46"/>
  <c r="A142" i="44"/>
  <c r="A142" i="43"/>
  <c r="BD107" i="38"/>
  <c r="A144" i="4"/>
  <c r="A144" i="42" s="1"/>
  <c r="C144" i="42" s="1"/>
  <c r="A143" i="38"/>
  <c r="A142" i="39"/>
  <c r="A142" i="40"/>
  <c r="C142" i="38"/>
  <c r="C115" i="4"/>
  <c r="B115" i="4"/>
  <c r="BE107" i="42"/>
  <c r="BD107" i="42"/>
  <c r="C107" i="46"/>
  <c r="B107" i="46"/>
  <c r="A143" i="50" l="1"/>
  <c r="A143" i="49"/>
  <c r="A143" i="47"/>
  <c r="A143" i="46"/>
  <c r="A143" i="44"/>
  <c r="A143" i="43"/>
  <c r="A143" i="39"/>
  <c r="A143" i="40"/>
  <c r="C143" i="38"/>
  <c r="A145" i="4"/>
  <c r="A145" i="42" s="1"/>
  <c r="C145" i="42" s="1"/>
  <c r="A144" i="38"/>
  <c r="BD108" i="38"/>
  <c r="C116" i="4"/>
  <c r="B116" i="4"/>
  <c r="BD108" i="42"/>
  <c r="C108" i="46"/>
  <c r="BE108" i="42"/>
  <c r="B108" i="46"/>
  <c r="A144" i="50" l="1"/>
  <c r="A144" i="49"/>
  <c r="A144" i="47"/>
  <c r="A144" i="46"/>
  <c r="A144" i="44"/>
  <c r="A144" i="43"/>
  <c r="BD109" i="38"/>
  <c r="A146" i="4"/>
  <c r="A146" i="42" s="1"/>
  <c r="C146" i="42" s="1"/>
  <c r="A145" i="38"/>
  <c r="A144" i="39"/>
  <c r="A144" i="40"/>
  <c r="C144" i="38"/>
  <c r="C117" i="4"/>
  <c r="B117" i="4"/>
  <c r="BD109" i="42"/>
  <c r="B109" i="46"/>
  <c r="BE109" i="42"/>
  <c r="C109" i="46"/>
  <c r="A145" i="50" l="1"/>
  <c r="A145" i="49"/>
  <c r="A145" i="47"/>
  <c r="A145" i="46"/>
  <c r="A145" i="44"/>
  <c r="A145" i="43"/>
  <c r="A145" i="39"/>
  <c r="A145" i="40"/>
  <c r="C145" i="38"/>
  <c r="A147" i="4"/>
  <c r="A147" i="42" s="1"/>
  <c r="C147" i="42" s="1"/>
  <c r="A146" i="38"/>
  <c r="BD110" i="38"/>
  <c r="B118" i="4"/>
  <c r="C118" i="4"/>
  <c r="C110" i="46"/>
  <c r="BD110" i="42"/>
  <c r="B110" i="46"/>
  <c r="BE110" i="42"/>
  <c r="A146" i="50" l="1"/>
  <c r="A146" i="49"/>
  <c r="A146" i="47"/>
  <c r="A146" i="46"/>
  <c r="A146" i="44"/>
  <c r="A146" i="43"/>
  <c r="A148" i="4"/>
  <c r="A148" i="42" s="1"/>
  <c r="C148" i="42" s="1"/>
  <c r="A147" i="38"/>
  <c r="BD111" i="38"/>
  <c r="A146" i="39"/>
  <c r="A146" i="40"/>
  <c r="C146" i="38"/>
  <c r="C119" i="4"/>
  <c r="B119" i="4"/>
  <c r="BD111" i="42"/>
  <c r="BE111" i="42"/>
  <c r="B111" i="46"/>
  <c r="C111" i="46"/>
  <c r="A147" i="50" l="1"/>
  <c r="A147" i="49"/>
  <c r="A147" i="47"/>
  <c r="A147" i="46"/>
  <c r="A147" i="44"/>
  <c r="A147" i="43"/>
  <c r="BD112" i="38"/>
  <c r="A147" i="39"/>
  <c r="A147" i="40"/>
  <c r="C147" i="38"/>
  <c r="A149" i="4"/>
  <c r="A149" i="42" s="1"/>
  <c r="C149" i="42" s="1"/>
  <c r="A148" i="38"/>
  <c r="C120" i="4"/>
  <c r="B120" i="4"/>
  <c r="BE112" i="42"/>
  <c r="C112" i="46"/>
  <c r="BD112" i="42"/>
  <c r="B112" i="46"/>
  <c r="A148" i="50" l="1"/>
  <c r="A148" i="49"/>
  <c r="A148" i="47"/>
  <c r="A148" i="46"/>
  <c r="A148" i="44"/>
  <c r="A148" i="43"/>
  <c r="A148" i="39"/>
  <c r="A148" i="40"/>
  <c r="C148" i="38"/>
  <c r="A150" i="4"/>
  <c r="A150" i="42" s="1"/>
  <c r="C150" i="42" s="1"/>
  <c r="A149" i="38"/>
  <c r="BD113" i="38"/>
  <c r="C121" i="4"/>
  <c r="B121" i="4"/>
  <c r="B113" i="46"/>
  <c r="BE113" i="42"/>
  <c r="BD113" i="42"/>
  <c r="C113" i="46"/>
  <c r="A149" i="50" l="1"/>
  <c r="A149" i="49"/>
  <c r="A149" i="47"/>
  <c r="A149" i="46"/>
  <c r="A149" i="43"/>
  <c r="A149" i="44"/>
  <c r="BD114" i="38"/>
  <c r="A149" i="39"/>
  <c r="A149" i="40"/>
  <c r="C149" i="38"/>
  <c r="A151" i="4"/>
  <c r="A151" i="42" s="1"/>
  <c r="C151" i="42" s="1"/>
  <c r="A150" i="38"/>
  <c r="B122" i="4"/>
  <c r="C122" i="4"/>
  <c r="BD114" i="42"/>
  <c r="B114" i="46"/>
  <c r="C114" i="46"/>
  <c r="BE114" i="42"/>
  <c r="A150" i="50" l="1"/>
  <c r="A150" i="49"/>
  <c r="A150" i="47"/>
  <c r="A150" i="46"/>
  <c r="A150" i="44"/>
  <c r="A150" i="43"/>
  <c r="A150" i="39"/>
  <c r="A150" i="40"/>
  <c r="C150" i="38"/>
  <c r="A152" i="4"/>
  <c r="A152" i="42" s="1"/>
  <c r="C152" i="42" s="1"/>
  <c r="A151" i="38"/>
  <c r="BD115" i="38"/>
  <c r="B23" i="24"/>
  <c r="B56" i="24"/>
  <c r="B18" i="24"/>
  <c r="B10" i="24"/>
  <c r="B20" i="24"/>
  <c r="B5" i="24"/>
  <c r="B22" i="24"/>
  <c r="B39" i="24"/>
  <c r="B47" i="24"/>
  <c r="B58" i="24"/>
  <c r="B44" i="24"/>
  <c r="B35" i="24"/>
  <c r="B24" i="24"/>
  <c r="B48" i="24"/>
  <c r="B49" i="24"/>
  <c r="B34" i="24"/>
  <c r="B33" i="24"/>
  <c r="B32" i="24"/>
  <c r="B40" i="24"/>
  <c r="B43" i="24"/>
  <c r="B27" i="24"/>
  <c r="B31" i="24"/>
  <c r="B50" i="24"/>
  <c r="B54" i="24"/>
  <c r="B53" i="24"/>
  <c r="B42" i="24"/>
  <c r="B57" i="24"/>
  <c r="B36" i="24"/>
  <c r="B19" i="24"/>
  <c r="B21" i="24"/>
  <c r="B55" i="24"/>
  <c r="B41" i="24"/>
  <c r="B13" i="24"/>
  <c r="C123" i="4"/>
  <c r="B123" i="4"/>
  <c r="BE115" i="42"/>
  <c r="C115" i="46"/>
  <c r="B115" i="46"/>
  <c r="BD115" i="42"/>
  <c r="A151" i="50" l="1"/>
  <c r="A151" i="49"/>
  <c r="A151" i="47"/>
  <c r="A151" i="46"/>
  <c r="A151" i="44"/>
  <c r="A151" i="43"/>
  <c r="BD116" i="38"/>
  <c r="A153" i="4"/>
  <c r="A153" i="42" s="1"/>
  <c r="C153" i="42" s="1"/>
  <c r="A152" i="38"/>
  <c r="A151" i="39"/>
  <c r="A151" i="40"/>
  <c r="C151" i="38"/>
  <c r="C124" i="4"/>
  <c r="B124" i="4"/>
  <c r="BE116" i="42"/>
  <c r="BD116" i="42"/>
  <c r="C116" i="46"/>
  <c r="B116" i="46"/>
  <c r="A152" i="50" l="1"/>
  <c r="A152" i="49"/>
  <c r="A152" i="47"/>
  <c r="A152" i="46"/>
  <c r="A152" i="44"/>
  <c r="A152" i="43"/>
  <c r="A152" i="39"/>
  <c r="A152" i="40"/>
  <c r="C152" i="38"/>
  <c r="A154" i="4"/>
  <c r="A154" i="42" s="1"/>
  <c r="C154" i="42" s="1"/>
  <c r="A153" i="38"/>
  <c r="BD117" i="38"/>
  <c r="C125" i="4"/>
  <c r="B125" i="4"/>
  <c r="BE117" i="42"/>
  <c r="B117" i="46"/>
  <c r="BD117" i="42"/>
  <c r="C117" i="46"/>
  <c r="A153" i="50" l="1"/>
  <c r="A153" i="49"/>
  <c r="A153" i="47"/>
  <c r="A153" i="46"/>
  <c r="A153" i="44"/>
  <c r="A153" i="43"/>
  <c r="A155" i="4"/>
  <c r="A155" i="42" s="1"/>
  <c r="C155" i="42" s="1"/>
  <c r="A154" i="38"/>
  <c r="A153" i="39"/>
  <c r="A153" i="40"/>
  <c r="C153" i="38"/>
  <c r="BD118" i="38"/>
  <c r="B126" i="4"/>
  <c r="C126" i="4"/>
  <c r="B118" i="46"/>
  <c r="C118" i="46"/>
  <c r="BD118" i="42"/>
  <c r="BE118" i="42"/>
  <c r="A154" i="50" l="1"/>
  <c r="A154" i="49"/>
  <c r="A154" i="47"/>
  <c r="A154" i="46"/>
  <c r="A154" i="43"/>
  <c r="A154" i="44"/>
  <c r="A154" i="40"/>
  <c r="A154" i="39"/>
  <c r="C154" i="38"/>
  <c r="BD119" i="38"/>
  <c r="A156" i="4"/>
  <c r="A156" i="42" s="1"/>
  <c r="C156" i="42" s="1"/>
  <c r="A155" i="38"/>
  <c r="C127" i="4"/>
  <c r="B127" i="4"/>
  <c r="C119" i="46"/>
  <c r="BE119" i="42"/>
  <c r="B119" i="46"/>
  <c r="BD119" i="42"/>
  <c r="A155" i="50" l="1"/>
  <c r="A155" i="49"/>
  <c r="A155" i="47"/>
  <c r="A155" i="46"/>
  <c r="A155" i="43"/>
  <c r="A155" i="44"/>
  <c r="BD120" i="38"/>
  <c r="A155" i="39"/>
  <c r="A155" i="40"/>
  <c r="C155" i="38"/>
  <c r="A157" i="4"/>
  <c r="A157" i="42" s="1"/>
  <c r="C157" i="42" s="1"/>
  <c r="A156" i="38"/>
  <c r="C128" i="4"/>
  <c r="B128" i="4"/>
  <c r="B120" i="46"/>
  <c r="BD120" i="42"/>
  <c r="C120" i="46"/>
  <c r="BE120" i="42"/>
  <c r="A156" i="50" l="1"/>
  <c r="A156" i="49"/>
  <c r="A156" i="47"/>
  <c r="A156" i="46"/>
  <c r="A156" i="44"/>
  <c r="A156" i="43"/>
  <c r="A156" i="39"/>
  <c r="A156" i="40"/>
  <c r="C156" i="38"/>
  <c r="A158" i="4"/>
  <c r="A158" i="42" s="1"/>
  <c r="C158" i="42" s="1"/>
  <c r="A157" i="38"/>
  <c r="BD121" i="38"/>
  <c r="C129" i="4"/>
  <c r="B129" i="4"/>
  <c r="BE121" i="42"/>
  <c r="C121" i="46"/>
  <c r="B121" i="46"/>
  <c r="BD121" i="42"/>
  <c r="A157" i="50" l="1"/>
  <c r="A157" i="49"/>
  <c r="A157" i="47"/>
  <c r="A157" i="46"/>
  <c r="A157" i="44"/>
  <c r="A157" i="43"/>
  <c r="A157" i="40"/>
  <c r="A157" i="39"/>
  <c r="C157" i="38"/>
  <c r="BD122" i="38"/>
  <c r="A159" i="4"/>
  <c r="A159" i="42" s="1"/>
  <c r="C159" i="42" s="1"/>
  <c r="A158" i="38"/>
  <c r="B130" i="4"/>
  <c r="C130" i="4"/>
  <c r="BD122" i="42"/>
  <c r="B122" i="46"/>
  <c r="BE122" i="42"/>
  <c r="C122" i="46"/>
  <c r="A158" i="50" l="1"/>
  <c r="A158" i="49"/>
  <c r="A158" i="47"/>
  <c r="A158" i="46"/>
  <c r="A158" i="44"/>
  <c r="A158" i="43"/>
  <c r="BD123" i="38"/>
  <c r="A158" i="39"/>
  <c r="A158" i="40"/>
  <c r="C158" i="38"/>
  <c r="A160" i="4"/>
  <c r="A160" i="42" s="1"/>
  <c r="C160" i="42" s="1"/>
  <c r="A159" i="38"/>
  <c r="C131" i="4"/>
  <c r="B131" i="4"/>
  <c r="B123" i="46"/>
  <c r="BD123" i="42"/>
  <c r="BE123" i="42"/>
  <c r="C123" i="46"/>
  <c r="A159" i="50" l="1"/>
  <c r="A159" i="49"/>
  <c r="A159" i="47"/>
  <c r="A159" i="46"/>
  <c r="A159" i="44"/>
  <c r="A159" i="43"/>
  <c r="A159" i="39"/>
  <c r="A159" i="40"/>
  <c r="C159" i="38"/>
  <c r="A161" i="4"/>
  <c r="A161" i="42" s="1"/>
  <c r="C161" i="42" s="1"/>
  <c r="A160" i="38"/>
  <c r="BD124" i="38"/>
  <c r="C132" i="4"/>
  <c r="B132" i="4"/>
  <c r="BE124" i="42"/>
  <c r="B124" i="46"/>
  <c r="BD124" i="42"/>
  <c r="C124" i="46"/>
  <c r="A160" i="50" l="1"/>
  <c r="A160" i="49"/>
  <c r="A160" i="47"/>
  <c r="A160" i="46"/>
  <c r="A160" i="44"/>
  <c r="A160" i="43"/>
  <c r="A160" i="40"/>
  <c r="A160" i="39"/>
  <c r="C160" i="38"/>
  <c r="A162" i="4"/>
  <c r="A162" i="42" s="1"/>
  <c r="C162" i="42" s="1"/>
  <c r="A161" i="38"/>
  <c r="BD125" i="38"/>
  <c r="C133" i="4"/>
  <c r="B133" i="4"/>
  <c r="BE125" i="42"/>
  <c r="C125" i="46"/>
  <c r="BD125" i="42"/>
  <c r="B125" i="46"/>
  <c r="A161" i="50" l="1"/>
  <c r="A161" i="49"/>
  <c r="A161" i="47"/>
  <c r="A161" i="46"/>
  <c r="A161" i="44"/>
  <c r="A161" i="43"/>
  <c r="BD126" i="38"/>
  <c r="A161" i="39"/>
  <c r="A161" i="40"/>
  <c r="C161" i="38"/>
  <c r="A163" i="4"/>
  <c r="A163" i="42" s="1"/>
  <c r="C163" i="42" s="1"/>
  <c r="A162" i="38"/>
  <c r="B134" i="4"/>
  <c r="C134" i="4"/>
  <c r="BE126" i="42"/>
  <c r="C126" i="46"/>
  <c r="B126" i="46"/>
  <c r="BD126" i="42"/>
  <c r="A162" i="50" l="1"/>
  <c r="A162" i="49"/>
  <c r="A162" i="47"/>
  <c r="A162" i="46"/>
  <c r="A162" i="44"/>
  <c r="A162" i="43"/>
  <c r="A162" i="40"/>
  <c r="A162" i="39"/>
  <c r="C162" i="38"/>
  <c r="A164" i="4"/>
  <c r="A164" i="42" s="1"/>
  <c r="C164" i="42" s="1"/>
  <c r="A163" i="38"/>
  <c r="BD127" i="38"/>
  <c r="C135" i="4"/>
  <c r="B135" i="4"/>
  <c r="BE127" i="42"/>
  <c r="C127" i="46"/>
  <c r="BD127" i="42"/>
  <c r="B127" i="46"/>
  <c r="A163" i="50" l="1"/>
  <c r="A163" i="49"/>
  <c r="A163" i="47"/>
  <c r="A163" i="46"/>
  <c r="A163" i="44"/>
  <c r="A163" i="43"/>
  <c r="BD128" i="38"/>
  <c r="A165" i="4"/>
  <c r="A165" i="42" s="1"/>
  <c r="C165" i="42" s="1"/>
  <c r="A164" i="38"/>
  <c r="A163" i="40"/>
  <c r="C163" i="38"/>
  <c r="A163" i="39"/>
  <c r="C136" i="4"/>
  <c r="B136" i="4"/>
  <c r="BD128" i="42"/>
  <c r="BE128" i="42"/>
  <c r="B128" i="46"/>
  <c r="C128" i="46"/>
  <c r="A164" i="50" l="1"/>
  <c r="A164" i="49"/>
  <c r="A164" i="47"/>
  <c r="A164" i="46"/>
  <c r="A164" i="44"/>
  <c r="A164" i="43"/>
  <c r="A164" i="39"/>
  <c r="A164" i="40"/>
  <c r="C164" i="38"/>
  <c r="A166" i="4"/>
  <c r="A166" i="42" s="1"/>
  <c r="C166" i="42" s="1"/>
  <c r="A165" i="38"/>
  <c r="BD129" i="38"/>
  <c r="C137" i="4"/>
  <c r="B137" i="4"/>
  <c r="B129" i="46"/>
  <c r="C129" i="46"/>
  <c r="BE129" i="42"/>
  <c r="BD129" i="42"/>
  <c r="A165" i="50" l="1"/>
  <c r="A165" i="49"/>
  <c r="A165" i="47"/>
  <c r="A165" i="46"/>
  <c r="A165" i="44"/>
  <c r="A165" i="43"/>
  <c r="BD130" i="38"/>
  <c r="A167" i="4"/>
  <c r="A167" i="42" s="1"/>
  <c r="C167" i="42" s="1"/>
  <c r="A166" i="38"/>
  <c r="A165" i="39"/>
  <c r="A165" i="40"/>
  <c r="C165" i="38"/>
  <c r="B138" i="4"/>
  <c r="C138" i="4"/>
  <c r="C130" i="46"/>
  <c r="B130" i="46"/>
  <c r="BE130" i="42"/>
  <c r="BD130" i="42"/>
  <c r="A166" i="50" l="1"/>
  <c r="A166" i="49"/>
  <c r="A166" i="47"/>
  <c r="A166" i="46"/>
  <c r="A166" i="44"/>
  <c r="A166" i="43"/>
  <c r="A166" i="39"/>
  <c r="A166" i="40"/>
  <c r="C166" i="38"/>
  <c r="A168" i="4"/>
  <c r="A168" i="42" s="1"/>
  <c r="C168" i="42" s="1"/>
  <c r="A167" i="38"/>
  <c r="BD131" i="38"/>
  <c r="C139" i="4"/>
  <c r="B139" i="4"/>
  <c r="C131" i="46"/>
  <c r="BE131" i="42"/>
  <c r="BD131" i="42"/>
  <c r="B131" i="46"/>
  <c r="A167" i="50" l="1"/>
  <c r="A167" i="49"/>
  <c r="A167" i="47"/>
  <c r="A167" i="46"/>
  <c r="A167" i="43"/>
  <c r="A167" i="44"/>
  <c r="A167" i="39"/>
  <c r="A167" i="40"/>
  <c r="C167" i="38"/>
  <c r="A169" i="4"/>
  <c r="A169" i="42" s="1"/>
  <c r="C169" i="42" s="1"/>
  <c r="A168" i="38"/>
  <c r="BD132" i="38"/>
  <c r="C140" i="4"/>
  <c r="B140" i="4"/>
  <c r="BD132" i="42"/>
  <c r="C132" i="46"/>
  <c r="B132" i="46"/>
  <c r="BE132" i="42"/>
  <c r="A168" i="50" l="1"/>
  <c r="A168" i="49"/>
  <c r="A168" i="47"/>
  <c r="A168" i="46"/>
  <c r="A168" i="44"/>
  <c r="A168" i="43"/>
  <c r="A168" i="39"/>
  <c r="A168" i="40"/>
  <c r="C168" i="38"/>
  <c r="A170" i="4"/>
  <c r="A170" i="42" s="1"/>
  <c r="C170" i="42" s="1"/>
  <c r="A169" i="38"/>
  <c r="BD133" i="38"/>
  <c r="C141" i="4"/>
  <c r="B141" i="4"/>
  <c r="BE133" i="42"/>
  <c r="BD133" i="42"/>
  <c r="B133" i="46"/>
  <c r="C133" i="46"/>
  <c r="A169" i="50" l="1"/>
  <c r="A169" i="49"/>
  <c r="A169" i="47"/>
  <c r="A169" i="46"/>
  <c r="A169" i="44"/>
  <c r="A169" i="43"/>
  <c r="BD134" i="38"/>
  <c r="A171" i="4"/>
  <c r="A171" i="42" s="1"/>
  <c r="C171" i="42" s="1"/>
  <c r="A170" i="38"/>
  <c r="A169" i="39"/>
  <c r="A169" i="40"/>
  <c r="C169" i="38"/>
  <c r="C142" i="4"/>
  <c r="B142" i="4"/>
  <c r="C134" i="46"/>
  <c r="BE134" i="42"/>
  <c r="BD134" i="42"/>
  <c r="B134" i="46"/>
  <c r="A170" i="50" l="1"/>
  <c r="A170" i="49"/>
  <c r="A170" i="47"/>
  <c r="A170" i="46"/>
  <c r="A170" i="44"/>
  <c r="A170" i="43"/>
  <c r="A170" i="39"/>
  <c r="A170" i="40"/>
  <c r="C170" i="38"/>
  <c r="A172" i="4"/>
  <c r="A172" i="42" s="1"/>
  <c r="C172" i="42" s="1"/>
  <c r="A171" i="38"/>
  <c r="BD135" i="38"/>
  <c r="C143" i="4"/>
  <c r="B143" i="4"/>
  <c r="C135" i="46"/>
  <c r="BD135" i="42"/>
  <c r="BE135" i="42"/>
  <c r="B135" i="46"/>
  <c r="A171" i="50" l="1"/>
  <c r="A171" i="49"/>
  <c r="A171" i="47"/>
  <c r="A171" i="46"/>
  <c r="A171" i="44"/>
  <c r="A171" i="43"/>
  <c r="A171" i="39"/>
  <c r="A171" i="40"/>
  <c r="C171" i="38"/>
  <c r="A173" i="4"/>
  <c r="A173" i="42" s="1"/>
  <c r="C173" i="42" s="1"/>
  <c r="A172" i="38"/>
  <c r="BD136" i="38"/>
  <c r="B144" i="4"/>
  <c r="C144" i="4"/>
  <c r="BE136" i="42"/>
  <c r="C136" i="46"/>
  <c r="B136" i="46"/>
  <c r="BD136" i="42"/>
  <c r="A172" i="50" l="1"/>
  <c r="A172" i="49"/>
  <c r="A172" i="47"/>
  <c r="A172" i="46"/>
  <c r="A172" i="43"/>
  <c r="A172" i="44"/>
  <c r="BD137" i="38"/>
  <c r="A174" i="4"/>
  <c r="A174" i="42" s="1"/>
  <c r="C174" i="42" s="1"/>
  <c r="A173" i="38"/>
  <c r="A172" i="39"/>
  <c r="A172" i="40"/>
  <c r="C172" i="38"/>
  <c r="C145" i="4"/>
  <c r="B145" i="4"/>
  <c r="BD137" i="42"/>
  <c r="C137" i="46"/>
  <c r="BE137" i="42"/>
  <c r="B137" i="46"/>
  <c r="A173" i="50" l="1"/>
  <c r="A173" i="49"/>
  <c r="A173" i="47"/>
  <c r="A173" i="46"/>
  <c r="A173" i="43"/>
  <c r="A173" i="44"/>
  <c r="A175" i="4"/>
  <c r="A175" i="42" s="1"/>
  <c r="C175" i="42" s="1"/>
  <c r="A174" i="38"/>
  <c r="A173" i="39"/>
  <c r="A173" i="40"/>
  <c r="C173" i="38"/>
  <c r="BD138" i="38"/>
  <c r="C146" i="4"/>
  <c r="B146" i="4"/>
  <c r="BD138" i="42"/>
  <c r="C138" i="46"/>
  <c r="B138" i="46"/>
  <c r="BE138" i="42"/>
  <c r="A174" i="50" l="1"/>
  <c r="A174" i="49"/>
  <c r="A174" i="47"/>
  <c r="A174" i="46"/>
  <c r="A174" i="44"/>
  <c r="A174" i="43"/>
  <c r="BD139" i="38"/>
  <c r="A174" i="39"/>
  <c r="A174" i="40"/>
  <c r="C174" i="38"/>
  <c r="A176" i="4"/>
  <c r="A176" i="42" s="1"/>
  <c r="C176" i="42" s="1"/>
  <c r="A175" i="38"/>
  <c r="C147" i="4"/>
  <c r="B147" i="4"/>
  <c r="C139" i="46"/>
  <c r="BE139" i="42"/>
  <c r="B139" i="46"/>
  <c r="BD139" i="42"/>
  <c r="A175" i="50" l="1"/>
  <c r="A175" i="49"/>
  <c r="A175" i="47"/>
  <c r="A175" i="46"/>
  <c r="A175" i="44"/>
  <c r="A175" i="43"/>
  <c r="A175" i="39"/>
  <c r="A175" i="40"/>
  <c r="C175" i="38"/>
  <c r="A177" i="4"/>
  <c r="A177" i="42" s="1"/>
  <c r="C177" i="42" s="1"/>
  <c r="A176" i="38"/>
  <c r="BD140" i="38"/>
  <c r="B148" i="4"/>
  <c r="C148" i="4"/>
  <c r="C140" i="46"/>
  <c r="BE140" i="42"/>
  <c r="BD140" i="42"/>
  <c r="B140" i="46"/>
  <c r="A176" i="50" l="1"/>
  <c r="A176" i="49"/>
  <c r="A176" i="47"/>
  <c r="A176" i="46"/>
  <c r="A176" i="44"/>
  <c r="A176" i="43"/>
  <c r="BD141" i="38"/>
  <c r="A178" i="4"/>
  <c r="A178" i="42" s="1"/>
  <c r="C178" i="42" s="1"/>
  <c r="A177" i="38"/>
  <c r="A176" i="39"/>
  <c r="A176" i="40"/>
  <c r="C176" i="38"/>
  <c r="B149" i="4"/>
  <c r="C149" i="4"/>
  <c r="BD141" i="42"/>
  <c r="C141" i="46"/>
  <c r="B141" i="46"/>
  <c r="BE141" i="42"/>
  <c r="A177" i="50" l="1"/>
  <c r="A177" i="49"/>
  <c r="A177" i="47"/>
  <c r="A177" i="46"/>
  <c r="A177" i="44"/>
  <c r="A177" i="43"/>
  <c r="A177" i="39"/>
  <c r="A177" i="40"/>
  <c r="C177" i="38"/>
  <c r="A179" i="4"/>
  <c r="A179" i="42" s="1"/>
  <c r="C179" i="42" s="1"/>
  <c r="A178" i="38"/>
  <c r="BD142" i="38"/>
  <c r="B150" i="4"/>
  <c r="C150" i="4"/>
  <c r="B142" i="46"/>
  <c r="C142" i="46"/>
  <c r="BE142" i="42"/>
  <c r="BD142" i="42"/>
  <c r="A178" i="50" l="1"/>
  <c r="A178" i="49"/>
  <c r="A178" i="47"/>
  <c r="A178" i="46"/>
  <c r="A178" i="44"/>
  <c r="A178" i="43"/>
  <c r="BD143" i="38"/>
  <c r="A178" i="39"/>
  <c r="A178" i="40"/>
  <c r="C178" i="38"/>
  <c r="A180" i="4"/>
  <c r="A180" i="42" s="1"/>
  <c r="C180" i="42" s="1"/>
  <c r="A179" i="38"/>
  <c r="C151" i="4"/>
  <c r="B151" i="4"/>
  <c r="BD143" i="42"/>
  <c r="C143" i="46"/>
  <c r="B143" i="46"/>
  <c r="BE143" i="42"/>
  <c r="A179" i="50" l="1"/>
  <c r="A179" i="49"/>
  <c r="A179" i="47"/>
  <c r="A179" i="46"/>
  <c r="A179" i="44"/>
  <c r="A179" i="43"/>
  <c r="A179" i="39"/>
  <c r="A179" i="40"/>
  <c r="C179" i="38"/>
  <c r="A181" i="4"/>
  <c r="A181" i="42" s="1"/>
  <c r="C181" i="42" s="1"/>
  <c r="A180" i="38"/>
  <c r="BD144" i="38"/>
  <c r="B152" i="4"/>
  <c r="C152" i="4"/>
  <c r="C144" i="46"/>
  <c r="BD144" i="42"/>
  <c r="B144" i="46"/>
  <c r="BE144" i="42"/>
  <c r="A180" i="50" l="1"/>
  <c r="A180" i="49"/>
  <c r="A180" i="47"/>
  <c r="A180" i="46"/>
  <c r="A180" i="44"/>
  <c r="A180" i="43"/>
  <c r="A180" i="39"/>
  <c r="A180" i="40"/>
  <c r="C180" i="38"/>
  <c r="BD145" i="38"/>
  <c r="A182" i="4"/>
  <c r="A182" i="42" s="1"/>
  <c r="C182" i="42" s="1"/>
  <c r="A181" i="38"/>
  <c r="C153" i="4"/>
  <c r="B153" i="4"/>
  <c r="BD145" i="42"/>
  <c r="BE145" i="42"/>
  <c r="B145" i="46"/>
  <c r="C145" i="46"/>
  <c r="A181" i="50" l="1"/>
  <c r="A181" i="49"/>
  <c r="A181" i="47"/>
  <c r="A181" i="46"/>
  <c r="A181" i="44"/>
  <c r="A181" i="43"/>
  <c r="BD146" i="38"/>
  <c r="A181" i="39"/>
  <c r="A181" i="40"/>
  <c r="C181" i="38"/>
  <c r="A183" i="4"/>
  <c r="A183" i="42" s="1"/>
  <c r="C183" i="42" s="1"/>
  <c r="A182" i="38"/>
  <c r="C154" i="4"/>
  <c r="B154" i="4"/>
  <c r="B146" i="46"/>
  <c r="C146" i="46"/>
  <c r="BE146" i="42"/>
  <c r="BD146" i="42"/>
  <c r="A182" i="50" l="1"/>
  <c r="A182" i="49"/>
  <c r="A182" i="47"/>
  <c r="A182" i="46"/>
  <c r="A182" i="44"/>
  <c r="A182" i="43"/>
  <c r="A182" i="39"/>
  <c r="A182" i="40"/>
  <c r="C182" i="38"/>
  <c r="A184" i="4"/>
  <c r="A184" i="42" s="1"/>
  <c r="C184" i="42" s="1"/>
  <c r="A183" i="38"/>
  <c r="BD147" i="38"/>
  <c r="C155" i="4"/>
  <c r="B155" i="4"/>
  <c r="BE147" i="42"/>
  <c r="BD147" i="42"/>
  <c r="B147" i="46"/>
  <c r="C147" i="46"/>
  <c r="A183" i="50" l="1"/>
  <c r="A183" i="49"/>
  <c r="A183" i="47"/>
  <c r="A183" i="46"/>
  <c r="A183" i="44"/>
  <c r="A183" i="43"/>
  <c r="BD148" i="38"/>
  <c r="A185" i="4"/>
  <c r="A185" i="42" s="1"/>
  <c r="C185" i="42" s="1"/>
  <c r="A184" i="38"/>
  <c r="A183" i="39"/>
  <c r="A183" i="40"/>
  <c r="C183" i="38"/>
  <c r="B156" i="4"/>
  <c r="C156" i="4"/>
  <c r="B148" i="46"/>
  <c r="BD148" i="42"/>
  <c r="C148" i="46"/>
  <c r="BE148" i="42"/>
  <c r="A184" i="50" l="1"/>
  <c r="A184" i="49"/>
  <c r="A184" i="47"/>
  <c r="A184" i="46"/>
  <c r="A184" i="44"/>
  <c r="A184" i="43"/>
  <c r="A184" i="39"/>
  <c r="A184" i="40"/>
  <c r="C184" i="38"/>
  <c r="A186" i="4"/>
  <c r="A186" i="42" s="1"/>
  <c r="C186" i="42" s="1"/>
  <c r="A185" i="38"/>
  <c r="BD149" i="38"/>
  <c r="C157" i="4"/>
  <c r="B157" i="4"/>
  <c r="B149" i="46"/>
  <c r="BE149" i="42"/>
  <c r="C149" i="46"/>
  <c r="BD149" i="42"/>
  <c r="A185" i="50" l="1"/>
  <c r="A185" i="49"/>
  <c r="A185" i="47"/>
  <c r="A185" i="46"/>
  <c r="A185" i="43"/>
  <c r="A185" i="44"/>
  <c r="BD150" i="38"/>
  <c r="A185" i="39"/>
  <c r="A185" i="40"/>
  <c r="C185" i="38"/>
  <c r="A187" i="4"/>
  <c r="A187" i="42" s="1"/>
  <c r="C187" i="42" s="1"/>
  <c r="A186" i="38"/>
  <c r="C158" i="4"/>
  <c r="B158" i="4"/>
  <c r="B150" i="46"/>
  <c r="C150" i="46"/>
  <c r="BD150" i="42"/>
  <c r="BE150" i="42"/>
  <c r="A186" i="50" l="1"/>
  <c r="A186" i="49"/>
  <c r="A186" i="47"/>
  <c r="A186" i="46"/>
  <c r="A186" i="44"/>
  <c r="A186" i="43"/>
  <c r="A186" i="39"/>
  <c r="A186" i="40"/>
  <c r="C186" i="38"/>
  <c r="A188" i="4"/>
  <c r="A188" i="42" s="1"/>
  <c r="C188" i="42" s="1"/>
  <c r="A187" i="38"/>
  <c r="BD151" i="38"/>
  <c r="C159" i="4"/>
  <c r="B159" i="4"/>
  <c r="B151" i="46"/>
  <c r="BE151" i="42"/>
  <c r="C151" i="46"/>
  <c r="BD151" i="42"/>
  <c r="A187" i="50" l="1"/>
  <c r="A187" i="49"/>
  <c r="A187" i="47"/>
  <c r="A187" i="46"/>
  <c r="A187" i="44"/>
  <c r="A187" i="43"/>
  <c r="BD152" i="38"/>
  <c r="A189" i="4"/>
  <c r="A189" i="42" s="1"/>
  <c r="C189" i="42" s="1"/>
  <c r="A188" i="38"/>
  <c r="A187" i="39"/>
  <c r="A187" i="40"/>
  <c r="C187" i="38"/>
  <c r="B160" i="4"/>
  <c r="C160" i="4"/>
  <c r="B152" i="46"/>
  <c r="C152" i="46"/>
  <c r="BD152" i="42"/>
  <c r="BE152" i="42"/>
  <c r="A188" i="50" l="1"/>
  <c r="A188" i="49"/>
  <c r="A188" i="47"/>
  <c r="A188" i="46"/>
  <c r="A188" i="44"/>
  <c r="A188" i="43"/>
  <c r="A188" i="39"/>
  <c r="A188" i="40"/>
  <c r="C188" i="38"/>
  <c r="A190" i="4"/>
  <c r="A190" i="42" s="1"/>
  <c r="C190" i="42" s="1"/>
  <c r="A189" i="38"/>
  <c r="BD153" i="38"/>
  <c r="C161" i="4"/>
  <c r="B161" i="4"/>
  <c r="C153" i="46"/>
  <c r="BD153" i="42"/>
  <c r="B153" i="46"/>
  <c r="BE153" i="42"/>
  <c r="A189" i="50" l="1"/>
  <c r="A189" i="49"/>
  <c r="A189" i="47"/>
  <c r="A189" i="46"/>
  <c r="A189" i="44"/>
  <c r="A189" i="43"/>
  <c r="BD154" i="38"/>
  <c r="A189" i="39"/>
  <c r="A189" i="40"/>
  <c r="C189" i="38"/>
  <c r="A191" i="4"/>
  <c r="A191" i="42" s="1"/>
  <c r="C191" i="42" s="1"/>
  <c r="A190" i="38"/>
  <c r="C162" i="4"/>
  <c r="B162" i="4"/>
  <c r="BD154" i="42"/>
  <c r="C154" i="46"/>
  <c r="B154" i="46"/>
  <c r="BE154" i="42"/>
  <c r="A190" i="50" l="1"/>
  <c r="A190" i="49"/>
  <c r="A190" i="47"/>
  <c r="A190" i="46"/>
  <c r="A190" i="43"/>
  <c r="A190" i="44"/>
  <c r="A190" i="39"/>
  <c r="A190" i="40"/>
  <c r="C190" i="38"/>
  <c r="A192" i="4"/>
  <c r="A192" i="42" s="1"/>
  <c r="C192" i="42" s="1"/>
  <c r="A191" i="38"/>
  <c r="BD155" i="38"/>
  <c r="C163" i="4"/>
  <c r="B163" i="4"/>
  <c r="C155" i="46"/>
  <c r="BD155" i="42"/>
  <c r="B155" i="46"/>
  <c r="BE155" i="42"/>
  <c r="A191" i="50" l="1"/>
  <c r="A191" i="49"/>
  <c r="A191" i="47"/>
  <c r="A191" i="46"/>
  <c r="A191" i="43"/>
  <c r="A191" i="44"/>
  <c r="A191" i="39"/>
  <c r="A191" i="40"/>
  <c r="C191" i="38"/>
  <c r="A193" i="4"/>
  <c r="A193" i="42" s="1"/>
  <c r="C193" i="42" s="1"/>
  <c r="A192" i="38"/>
  <c r="BD156" i="38"/>
  <c r="B164" i="4"/>
  <c r="C164" i="4"/>
  <c r="C156" i="46"/>
  <c r="BD156" i="42"/>
  <c r="B156" i="46"/>
  <c r="BE156" i="42"/>
  <c r="A192" i="50" l="1"/>
  <c r="A192" i="49"/>
  <c r="A192" i="47"/>
  <c r="A192" i="46"/>
  <c r="A192" i="44"/>
  <c r="A192" i="43"/>
  <c r="BD157" i="38"/>
  <c r="A192" i="39"/>
  <c r="A192" i="40"/>
  <c r="C192" i="38"/>
  <c r="A194" i="4"/>
  <c r="A194" i="42" s="1"/>
  <c r="C194" i="42" s="1"/>
  <c r="A193" i="38"/>
  <c r="B165" i="4"/>
  <c r="C165" i="4"/>
  <c r="BD157" i="42"/>
  <c r="C157" i="46"/>
  <c r="BE157" i="42"/>
  <c r="B157" i="46"/>
  <c r="A193" i="50" l="1"/>
  <c r="A193" i="49"/>
  <c r="A193" i="47"/>
  <c r="A193" i="46"/>
  <c r="A193" i="44"/>
  <c r="A193" i="43"/>
  <c r="A193" i="39"/>
  <c r="A193" i="40"/>
  <c r="C193" i="38"/>
  <c r="A195" i="4"/>
  <c r="A195" i="42" s="1"/>
  <c r="C195" i="42" s="1"/>
  <c r="A194" i="38"/>
  <c r="BD158" i="38"/>
  <c r="B166" i="4"/>
  <c r="C166" i="4"/>
  <c r="BD158" i="42"/>
  <c r="C158" i="46"/>
  <c r="BE158" i="42"/>
  <c r="B158" i="46"/>
  <c r="A194" i="50" l="1"/>
  <c r="A194" i="49"/>
  <c r="A194" i="47"/>
  <c r="A194" i="46"/>
  <c r="A194" i="44"/>
  <c r="A194" i="43"/>
  <c r="A194" i="39"/>
  <c r="A194" i="40"/>
  <c r="C194" i="38"/>
  <c r="A196" i="4"/>
  <c r="A196" i="42" s="1"/>
  <c r="C196" i="42" s="1"/>
  <c r="A195" i="38"/>
  <c r="BD159" i="38"/>
  <c r="C167" i="4"/>
  <c r="B167" i="4"/>
  <c r="C159" i="46"/>
  <c r="B159" i="46"/>
  <c r="BE159" i="42"/>
  <c r="BD159" i="42"/>
  <c r="A195" i="50" l="1"/>
  <c r="A195" i="49"/>
  <c r="A195" i="47"/>
  <c r="A195" i="46"/>
  <c r="A195" i="44"/>
  <c r="A195" i="43"/>
  <c r="BD160" i="38"/>
  <c r="A197" i="4"/>
  <c r="A197" i="42" s="1"/>
  <c r="C197" i="42" s="1"/>
  <c r="A196" i="38"/>
  <c r="A195" i="40"/>
  <c r="A195" i="39"/>
  <c r="C195" i="38"/>
  <c r="B168" i="4"/>
  <c r="C168" i="4"/>
  <c r="BD160" i="42"/>
  <c r="C160" i="46"/>
  <c r="BE160" i="42"/>
  <c r="B160" i="46"/>
  <c r="A196" i="50" l="1"/>
  <c r="A196" i="49"/>
  <c r="A196" i="47"/>
  <c r="A196" i="46"/>
  <c r="A196" i="44"/>
  <c r="A196" i="43"/>
  <c r="A196" i="39"/>
  <c r="A196" i="40"/>
  <c r="C196" i="38"/>
  <c r="A198" i="4"/>
  <c r="A198" i="42" s="1"/>
  <c r="C198" i="42" s="1"/>
  <c r="A197" i="38"/>
  <c r="BD161" i="38"/>
  <c r="C169" i="4"/>
  <c r="B169" i="4"/>
  <c r="C161" i="46"/>
  <c r="BD161" i="42"/>
  <c r="B161" i="46"/>
  <c r="BE161" i="42"/>
  <c r="A197" i="50" l="1"/>
  <c r="A197" i="49"/>
  <c r="A197" i="47"/>
  <c r="A197" i="46"/>
  <c r="A197" i="44"/>
  <c r="A197" i="43"/>
  <c r="BD162" i="38"/>
  <c r="A199" i="4"/>
  <c r="A199" i="42" s="1"/>
  <c r="C199" i="42" s="1"/>
  <c r="A198" i="38"/>
  <c r="A197" i="39"/>
  <c r="A197" i="40"/>
  <c r="C197" i="38"/>
  <c r="C170" i="4"/>
  <c r="B170" i="4"/>
  <c r="C162" i="46"/>
  <c r="B162" i="46"/>
  <c r="BD162" i="42"/>
  <c r="BE162" i="42"/>
  <c r="A198" i="50" l="1"/>
  <c r="A198" i="49"/>
  <c r="A198" i="47"/>
  <c r="A198" i="46"/>
  <c r="A198" i="44"/>
  <c r="A198" i="43"/>
  <c r="A198" i="39"/>
  <c r="A198" i="40"/>
  <c r="C198" i="38"/>
  <c r="A200" i="4"/>
  <c r="A200" i="42" s="1"/>
  <c r="C200" i="42" s="1"/>
  <c r="A199" i="38"/>
  <c r="BD163" i="38"/>
  <c r="C171" i="4"/>
  <c r="B171" i="4"/>
  <c r="BD163" i="42"/>
  <c r="C163" i="46"/>
  <c r="BE163" i="42"/>
  <c r="B163" i="46"/>
  <c r="A199" i="50" l="1"/>
  <c r="A199" i="49"/>
  <c r="A199" i="47"/>
  <c r="A199" i="46"/>
  <c r="A199" i="44"/>
  <c r="A199" i="43"/>
  <c r="A199" i="39"/>
  <c r="A199" i="40"/>
  <c r="C199" i="38"/>
  <c r="A201" i="4"/>
  <c r="A201" i="42" s="1"/>
  <c r="C201" i="42" s="1"/>
  <c r="A200" i="38"/>
  <c r="BD164" i="38"/>
  <c r="B172" i="4"/>
  <c r="C172" i="4"/>
  <c r="BE164" i="42"/>
  <c r="C164" i="46"/>
  <c r="BD164" i="42"/>
  <c r="B164" i="46"/>
  <c r="A200" i="50" l="1"/>
  <c r="A200" i="49"/>
  <c r="A200" i="47"/>
  <c r="A200" i="46"/>
  <c r="A200" i="44"/>
  <c r="A200" i="43"/>
  <c r="BD165" i="38"/>
  <c r="A200" i="40"/>
  <c r="C200" i="38"/>
  <c r="A200" i="39"/>
  <c r="A202" i="4"/>
  <c r="A202" i="42" s="1"/>
  <c r="C202" i="42" s="1"/>
  <c r="A201" i="38"/>
  <c r="C173" i="4"/>
  <c r="B173" i="4"/>
  <c r="C165" i="46"/>
  <c r="BE165" i="42"/>
  <c r="BD165" i="42"/>
  <c r="B165" i="46"/>
  <c r="A201" i="50" l="1"/>
  <c r="A201" i="49"/>
  <c r="A201" i="47"/>
  <c r="A201" i="46"/>
  <c r="A201" i="44"/>
  <c r="A201" i="43"/>
  <c r="A201" i="40"/>
  <c r="C201" i="38"/>
  <c r="A201" i="39"/>
  <c r="A203" i="4"/>
  <c r="A203" i="42" s="1"/>
  <c r="C203" i="42" s="1"/>
  <c r="A202" i="38"/>
  <c r="BD166" i="38"/>
  <c r="C174" i="4"/>
  <c r="B174" i="4"/>
  <c r="B166" i="46"/>
  <c r="BD166" i="42"/>
  <c r="BE166" i="42"/>
  <c r="C166" i="46"/>
  <c r="A202" i="50" l="1"/>
  <c r="A202" i="49"/>
  <c r="A202" i="47"/>
  <c r="A202" i="46"/>
  <c r="A202" i="44"/>
  <c r="A202" i="43"/>
  <c r="BD167" i="38"/>
  <c r="A204" i="4"/>
  <c r="A204" i="42" s="1"/>
  <c r="C204" i="42" s="1"/>
  <c r="A203" i="38"/>
  <c r="A202" i="40"/>
  <c r="A202" i="39"/>
  <c r="C202" i="38"/>
  <c r="C175" i="4"/>
  <c r="B175" i="4"/>
  <c r="B167" i="46"/>
  <c r="C167" i="46"/>
  <c r="BD167" i="42"/>
  <c r="BE167" i="42"/>
  <c r="A203" i="50" l="1"/>
  <c r="A203" i="49"/>
  <c r="A203" i="47"/>
  <c r="A203" i="46"/>
  <c r="A203" i="43"/>
  <c r="A203" i="44"/>
  <c r="A203" i="40"/>
  <c r="C203" i="38"/>
  <c r="A203" i="39"/>
  <c r="A205" i="4"/>
  <c r="A205" i="42" s="1"/>
  <c r="C205" i="42" s="1"/>
  <c r="A204" i="38"/>
  <c r="BD168" i="38"/>
  <c r="B176" i="4"/>
  <c r="C176" i="4"/>
  <c r="BE168" i="42"/>
  <c r="BD168" i="42"/>
  <c r="B168" i="46"/>
  <c r="C168" i="46"/>
  <c r="A204" i="50" l="1"/>
  <c r="A204" i="49"/>
  <c r="A204" i="47"/>
  <c r="A204" i="46"/>
  <c r="A204" i="44"/>
  <c r="A204" i="43"/>
  <c r="BD169" i="38"/>
  <c r="A204" i="39"/>
  <c r="A204" i="40"/>
  <c r="C204" i="38"/>
  <c r="A206" i="4"/>
  <c r="A206" i="42" s="1"/>
  <c r="C206" i="42" s="1"/>
  <c r="A205" i="38"/>
  <c r="C177" i="4"/>
  <c r="B177" i="4"/>
  <c r="BE169" i="42"/>
  <c r="B169" i="46"/>
  <c r="BD169" i="42"/>
  <c r="C169" i="46"/>
  <c r="A205" i="50" l="1"/>
  <c r="A205" i="49"/>
  <c r="A205" i="47"/>
  <c r="A205" i="46"/>
  <c r="A205" i="44"/>
  <c r="A205" i="43"/>
  <c r="A205" i="40"/>
  <c r="C205" i="38"/>
  <c r="A205" i="39"/>
  <c r="A207" i="4"/>
  <c r="A207" i="42" s="1"/>
  <c r="C207" i="42" s="1"/>
  <c r="A206" i="38"/>
  <c r="BD170" i="38"/>
  <c r="C178" i="4"/>
  <c r="B178" i="4"/>
  <c r="BE170" i="42"/>
  <c r="C170" i="46"/>
  <c r="BD170" i="42"/>
  <c r="B170" i="46"/>
  <c r="A206" i="50" l="1"/>
  <c r="A206" i="49"/>
  <c r="A206" i="47"/>
  <c r="A206" i="46"/>
  <c r="A206" i="44"/>
  <c r="A206" i="43"/>
  <c r="A206" i="39"/>
  <c r="A206" i="40"/>
  <c r="C206" i="38"/>
  <c r="BD171" i="38"/>
  <c r="A208" i="4"/>
  <c r="A208" i="42" s="1"/>
  <c r="C208" i="42" s="1"/>
  <c r="A207" i="38"/>
  <c r="C179" i="4"/>
  <c r="B179" i="4"/>
  <c r="C171" i="46"/>
  <c r="B171" i="46"/>
  <c r="BD171" i="42"/>
  <c r="BE171" i="42"/>
  <c r="A207" i="50" l="1"/>
  <c r="A207" i="49"/>
  <c r="A207" i="47"/>
  <c r="A207" i="46"/>
  <c r="A207" i="44"/>
  <c r="A207" i="43"/>
  <c r="BD172" i="38"/>
  <c r="A207" i="39"/>
  <c r="A207" i="40"/>
  <c r="C207" i="38"/>
  <c r="A209" i="4"/>
  <c r="A209" i="42" s="1"/>
  <c r="C209" i="42" s="1"/>
  <c r="A208" i="38"/>
  <c r="B180" i="4"/>
  <c r="C180" i="4"/>
  <c r="BE172" i="42"/>
  <c r="C172" i="46"/>
  <c r="BD172" i="42"/>
  <c r="B172" i="46"/>
  <c r="A208" i="50" l="1"/>
  <c r="A208" i="49"/>
  <c r="A208" i="47"/>
  <c r="A208" i="46"/>
  <c r="A208" i="43"/>
  <c r="A208" i="44"/>
  <c r="A208" i="40"/>
  <c r="A208" i="39"/>
  <c r="C208" i="38"/>
  <c r="A210" i="4"/>
  <c r="A210" i="42" s="1"/>
  <c r="C210" i="42" s="1"/>
  <c r="A209" i="38"/>
  <c r="BD173" i="38"/>
  <c r="B181" i="4"/>
  <c r="C181" i="4"/>
  <c r="BE173" i="42"/>
  <c r="B173" i="46"/>
  <c r="BD173" i="42"/>
  <c r="C173" i="46"/>
  <c r="A209" i="50" l="1"/>
  <c r="A209" i="49"/>
  <c r="A209" i="47"/>
  <c r="A209" i="46"/>
  <c r="A209" i="43"/>
  <c r="A209" i="44"/>
  <c r="A209" i="39"/>
  <c r="A209" i="40"/>
  <c r="C209" i="38"/>
  <c r="BD174" i="38"/>
  <c r="A211" i="4"/>
  <c r="A211" i="42" s="1"/>
  <c r="C211" i="42" s="1"/>
  <c r="A210" i="38"/>
  <c r="B182" i="4"/>
  <c r="C182" i="4"/>
  <c r="C174" i="46"/>
  <c r="BE174" i="42"/>
  <c r="B174" i="46"/>
  <c r="BD174" i="42"/>
  <c r="A210" i="50" l="1"/>
  <c r="A210" i="49"/>
  <c r="A210" i="47"/>
  <c r="A210" i="46"/>
  <c r="A210" i="44"/>
  <c r="A210" i="43"/>
  <c r="BD175" i="38"/>
  <c r="A210" i="39"/>
  <c r="A210" i="40"/>
  <c r="C210" i="38"/>
  <c r="A212" i="4"/>
  <c r="A212" i="42" s="1"/>
  <c r="C212" i="42" s="1"/>
  <c r="A211" i="38"/>
  <c r="C183" i="4"/>
  <c r="B183" i="4"/>
  <c r="B175" i="46"/>
  <c r="BD175" i="42"/>
  <c r="C175" i="46"/>
  <c r="BE175" i="42"/>
  <c r="A211" i="50" l="1"/>
  <c r="A211" i="49"/>
  <c r="A211" i="47"/>
  <c r="A211" i="46"/>
  <c r="A211" i="44"/>
  <c r="A211" i="43"/>
  <c r="A211" i="39"/>
  <c r="A211" i="40"/>
  <c r="C211" i="38"/>
  <c r="A213" i="4"/>
  <c r="A213" i="42" s="1"/>
  <c r="C213" i="42" s="1"/>
  <c r="A212" i="38"/>
  <c r="BD176" i="38"/>
  <c r="B184" i="4"/>
  <c r="C184" i="4"/>
  <c r="BD176" i="42"/>
  <c r="BE176" i="42"/>
  <c r="B176" i="46"/>
  <c r="C176" i="46"/>
  <c r="A212" i="50" l="1"/>
  <c r="A212" i="49"/>
  <c r="A212" i="47"/>
  <c r="A212" i="46"/>
  <c r="A212" i="44"/>
  <c r="A212" i="43"/>
  <c r="A214" i="4"/>
  <c r="A214" i="42" s="1"/>
  <c r="C214" i="42" s="1"/>
  <c r="A213" i="38"/>
  <c r="A212" i="39"/>
  <c r="A212" i="40"/>
  <c r="C212" i="38"/>
  <c r="BD177" i="38"/>
  <c r="C185" i="4"/>
  <c r="B185" i="4"/>
  <c r="BD177" i="42"/>
  <c r="C177" i="46"/>
  <c r="BE177" i="42"/>
  <c r="B177" i="46"/>
  <c r="A213" i="50" l="1"/>
  <c r="A213" i="49"/>
  <c r="A213" i="47"/>
  <c r="A213" i="46"/>
  <c r="A213" i="44"/>
  <c r="A213" i="43"/>
  <c r="BD178" i="38"/>
  <c r="A213" i="40"/>
  <c r="C213" i="38"/>
  <c r="A213" i="39"/>
  <c r="A215" i="4"/>
  <c r="A215" i="42" s="1"/>
  <c r="C215" i="42" s="1"/>
  <c r="A214" i="38"/>
  <c r="C186" i="4"/>
  <c r="B186" i="4"/>
  <c r="BD178" i="42"/>
  <c r="B178" i="46"/>
  <c r="C178" i="46"/>
  <c r="BE178" i="42"/>
  <c r="A214" i="50" l="1"/>
  <c r="A214" i="49"/>
  <c r="A214" i="47"/>
  <c r="A214" i="46"/>
  <c r="A214" i="44"/>
  <c r="A214" i="43"/>
  <c r="A214" i="40"/>
  <c r="C214" i="38"/>
  <c r="A214" i="39"/>
  <c r="A216" i="4"/>
  <c r="A216" i="42" s="1"/>
  <c r="C216" i="42" s="1"/>
  <c r="A215" i="38"/>
  <c r="BD179" i="38"/>
  <c r="C187" i="4"/>
  <c r="B187" i="4"/>
  <c r="BD179" i="42"/>
  <c r="BE179" i="42"/>
  <c r="C179" i="46"/>
  <c r="B179" i="46"/>
  <c r="A215" i="50" l="1"/>
  <c r="A215" i="49"/>
  <c r="A215" i="47"/>
  <c r="A215" i="46"/>
  <c r="A215" i="44"/>
  <c r="A215" i="43"/>
  <c r="A215" i="39"/>
  <c r="A215" i="40"/>
  <c r="C215" i="38"/>
  <c r="BD180" i="38"/>
  <c r="A217" i="4"/>
  <c r="A217" i="42" s="1"/>
  <c r="C217" i="42" s="1"/>
  <c r="A216" i="38"/>
  <c r="B188" i="4"/>
  <c r="C188" i="4"/>
  <c r="BD180" i="42"/>
  <c r="B180" i="46"/>
  <c r="BE180" i="42"/>
  <c r="C180" i="46"/>
  <c r="A216" i="50" l="1"/>
  <c r="A216" i="49"/>
  <c r="A216" i="47"/>
  <c r="A216" i="46"/>
  <c r="A216" i="44"/>
  <c r="A216" i="43"/>
  <c r="BD181" i="38"/>
  <c r="A216" i="39"/>
  <c r="A216" i="40"/>
  <c r="C216" i="38"/>
  <c r="A218" i="4"/>
  <c r="A218" i="42" s="1"/>
  <c r="C218" i="42" s="1"/>
  <c r="A217" i="38"/>
  <c r="C189" i="4"/>
  <c r="B189" i="4"/>
  <c r="C181" i="46"/>
  <c r="B181" i="46"/>
  <c r="BD181" i="42"/>
  <c r="BE181" i="42"/>
  <c r="A217" i="50" l="1"/>
  <c r="A217" i="49"/>
  <c r="A217" i="47"/>
  <c r="A217" i="46"/>
  <c r="A217" i="44"/>
  <c r="A217" i="43"/>
  <c r="A217" i="39"/>
  <c r="A217" i="40"/>
  <c r="C217" i="38"/>
  <c r="A219" i="4"/>
  <c r="A219" i="42" s="1"/>
  <c r="C219" i="42" s="1"/>
  <c r="A218" i="38"/>
  <c r="BD182" i="38"/>
  <c r="C190" i="4"/>
  <c r="B190" i="4"/>
  <c r="C182" i="46"/>
  <c r="BD182" i="42"/>
  <c r="B182" i="46"/>
  <c r="BE182" i="42"/>
  <c r="A218" i="50" l="1"/>
  <c r="A218" i="49"/>
  <c r="A218" i="47"/>
  <c r="A218" i="46"/>
  <c r="A218" i="44"/>
  <c r="A218" i="43"/>
  <c r="A218" i="39"/>
  <c r="A218" i="40"/>
  <c r="C218" i="38"/>
  <c r="A220" i="4"/>
  <c r="A220" i="42" s="1"/>
  <c r="C220" i="42" s="1"/>
  <c r="A219" i="38"/>
  <c r="BD183" i="38"/>
  <c r="C191" i="4"/>
  <c r="B191" i="4"/>
  <c r="C183" i="46"/>
  <c r="BD183" i="42"/>
  <c r="B183" i="46"/>
  <c r="BE183" i="42"/>
  <c r="A219" i="50" l="1"/>
  <c r="A219" i="49"/>
  <c r="A219" i="47"/>
  <c r="A219" i="46"/>
  <c r="A219" i="44"/>
  <c r="A219" i="43"/>
  <c r="BD184" i="38"/>
  <c r="A219" i="39"/>
  <c r="A219" i="40"/>
  <c r="C219" i="38"/>
  <c r="A221" i="4"/>
  <c r="A221" i="42" s="1"/>
  <c r="C221" i="42" s="1"/>
  <c r="A220" i="38"/>
  <c r="B192" i="4"/>
  <c r="C192" i="4"/>
  <c r="BE184" i="42"/>
  <c r="B184" i="46"/>
  <c r="BD184" i="42"/>
  <c r="C184" i="46"/>
  <c r="A220" i="50" l="1"/>
  <c r="A220" i="49"/>
  <c r="A220" i="47"/>
  <c r="A220" i="46"/>
  <c r="A220" i="44"/>
  <c r="A220" i="43"/>
  <c r="A220" i="39"/>
  <c r="A220" i="40"/>
  <c r="C220" i="38"/>
  <c r="A222" i="4"/>
  <c r="A222" i="42" s="1"/>
  <c r="C222" i="42" s="1"/>
  <c r="A221" i="38"/>
  <c r="BD185" i="38"/>
  <c r="C193" i="4"/>
  <c r="B193" i="4"/>
  <c r="B185" i="46"/>
  <c r="BE185" i="42"/>
  <c r="C185" i="46"/>
  <c r="BD185" i="42"/>
  <c r="A221" i="50" l="1"/>
  <c r="A221" i="49"/>
  <c r="A221" i="47"/>
  <c r="A221" i="46"/>
  <c r="A221" i="43"/>
  <c r="A221" i="44"/>
  <c r="A221" i="39"/>
  <c r="A221" i="40"/>
  <c r="C221" i="38"/>
  <c r="A223" i="4"/>
  <c r="A223" i="42" s="1"/>
  <c r="C223" i="42" s="1"/>
  <c r="A222" i="38"/>
  <c r="BD186" i="38"/>
  <c r="C194" i="4"/>
  <c r="B194" i="4"/>
  <c r="BE186" i="42"/>
  <c r="C186" i="46"/>
  <c r="B186" i="46"/>
  <c r="BD186" i="42"/>
  <c r="A222" i="50" l="1"/>
  <c r="A222" i="49"/>
  <c r="A222" i="47"/>
  <c r="A222" i="46"/>
  <c r="A222" i="44"/>
  <c r="A222" i="43"/>
  <c r="A222" i="39"/>
  <c r="A222" i="40"/>
  <c r="C222" i="38"/>
  <c r="A224" i="4"/>
  <c r="A224" i="42" s="1"/>
  <c r="C224" i="42" s="1"/>
  <c r="A223" i="38"/>
  <c r="BD187" i="38"/>
  <c r="B195" i="4"/>
  <c r="C195" i="4"/>
  <c r="BD187" i="42"/>
  <c r="B187" i="46"/>
  <c r="C187" i="46"/>
  <c r="BE187" i="42"/>
  <c r="A223" i="50" l="1"/>
  <c r="A223" i="49"/>
  <c r="A223" i="47"/>
  <c r="A223" i="46"/>
  <c r="A223" i="44"/>
  <c r="A223" i="43"/>
  <c r="A225" i="4"/>
  <c r="A225" i="42" s="1"/>
  <c r="C225" i="42" s="1"/>
  <c r="A224" i="38"/>
  <c r="A223" i="39"/>
  <c r="A223" i="40"/>
  <c r="C223" i="38"/>
  <c r="BD188" i="38"/>
  <c r="C196" i="4"/>
  <c r="B196" i="4"/>
  <c r="B188" i="46"/>
  <c r="BE188" i="42"/>
  <c r="BD188" i="42"/>
  <c r="C188" i="46"/>
  <c r="A224" i="50" l="1"/>
  <c r="A224" i="49"/>
  <c r="A224" i="47"/>
  <c r="A224" i="46"/>
  <c r="A224" i="44"/>
  <c r="A224" i="43"/>
  <c r="BD189" i="38"/>
  <c r="A224" i="39"/>
  <c r="A224" i="40"/>
  <c r="C224" i="38"/>
  <c r="A226" i="4"/>
  <c r="A226" i="42" s="1"/>
  <c r="C226" i="42" s="1"/>
  <c r="A225" i="38"/>
  <c r="C197" i="4"/>
  <c r="B197" i="4"/>
  <c r="C189" i="46"/>
  <c r="BD189" i="42"/>
  <c r="B189" i="46"/>
  <c r="BE189" i="42"/>
  <c r="A225" i="50" l="1"/>
  <c r="A225" i="49"/>
  <c r="A225" i="47"/>
  <c r="A225" i="46"/>
  <c r="A225" i="44"/>
  <c r="A225" i="43"/>
  <c r="A225" i="39"/>
  <c r="A225" i="40"/>
  <c r="C225" i="38"/>
  <c r="A227" i="4"/>
  <c r="A227" i="42" s="1"/>
  <c r="C227" i="42" s="1"/>
  <c r="A226" i="38"/>
  <c r="BD190" i="38"/>
  <c r="C198" i="4"/>
  <c r="B198" i="4"/>
  <c r="C190" i="46"/>
  <c r="BE190" i="42"/>
  <c r="BD190" i="42"/>
  <c r="B190" i="46"/>
  <c r="A226" i="50" l="1"/>
  <c r="A226" i="49"/>
  <c r="A226" i="47"/>
  <c r="A226" i="46"/>
  <c r="A226" i="43"/>
  <c r="A226" i="44"/>
  <c r="BD191" i="38"/>
  <c r="A228" i="4"/>
  <c r="A228" i="42" s="1"/>
  <c r="C228" i="42" s="1"/>
  <c r="A227" i="38"/>
  <c r="A226" i="39"/>
  <c r="A226" i="40"/>
  <c r="C226" i="38"/>
  <c r="B199" i="4"/>
  <c r="C199" i="4"/>
  <c r="B191" i="46"/>
  <c r="C191" i="46"/>
  <c r="BE191" i="42"/>
  <c r="BD191" i="42"/>
  <c r="A227" i="50" l="1"/>
  <c r="A227" i="49"/>
  <c r="A227" i="47"/>
  <c r="A227" i="46"/>
  <c r="A227" i="43"/>
  <c r="A227" i="44"/>
  <c r="A229" i="4"/>
  <c r="A229" i="42" s="1"/>
  <c r="C229" i="42" s="1"/>
  <c r="A228" i="38"/>
  <c r="A227" i="39"/>
  <c r="A227" i="40"/>
  <c r="C227" i="38"/>
  <c r="BD192" i="38"/>
  <c r="C200" i="4"/>
  <c r="B200" i="4"/>
  <c r="C192" i="46"/>
  <c r="B192" i="46"/>
  <c r="BE192" i="42"/>
  <c r="BD192" i="42"/>
  <c r="A228" i="50" l="1"/>
  <c r="A228" i="49"/>
  <c r="A228" i="47"/>
  <c r="A228" i="46"/>
  <c r="A228" i="44"/>
  <c r="A228" i="43"/>
  <c r="BD193" i="38"/>
  <c r="A228" i="39"/>
  <c r="A228" i="40"/>
  <c r="C228" i="38"/>
  <c r="A230" i="4"/>
  <c r="A230" i="42" s="1"/>
  <c r="C230" i="42" s="1"/>
  <c r="A229" i="38"/>
  <c r="C201" i="4"/>
  <c r="B201" i="4"/>
  <c r="C193" i="46"/>
  <c r="BD193" i="42"/>
  <c r="B193" i="46"/>
  <c r="BE193" i="42"/>
  <c r="A229" i="50" l="1"/>
  <c r="A229" i="49"/>
  <c r="A229" i="47"/>
  <c r="A229" i="46"/>
  <c r="A229" i="44"/>
  <c r="A229" i="43"/>
  <c r="A229" i="40"/>
  <c r="C229" i="38"/>
  <c r="A229" i="39"/>
  <c r="A231" i="4"/>
  <c r="A231" i="42" s="1"/>
  <c r="C231" i="42" s="1"/>
  <c r="A230" i="38"/>
  <c r="BD194" i="38"/>
  <c r="C202" i="4"/>
  <c r="B202" i="4"/>
  <c r="C194" i="46"/>
  <c r="B194" i="46"/>
  <c r="BD194" i="42"/>
  <c r="BE194" i="42"/>
  <c r="A230" i="50" l="1"/>
  <c r="A230" i="49"/>
  <c r="A230" i="47"/>
  <c r="A230" i="46"/>
  <c r="A230" i="44"/>
  <c r="A230" i="43"/>
  <c r="A230" i="39"/>
  <c r="A230" i="40"/>
  <c r="C230" i="38"/>
  <c r="A232" i="4"/>
  <c r="A232" i="42" s="1"/>
  <c r="C232" i="42" s="1"/>
  <c r="A231" i="38"/>
  <c r="BD195" i="38"/>
  <c r="B203" i="4"/>
  <c r="C203" i="4"/>
  <c r="BE195" i="42"/>
  <c r="BD195" i="42"/>
  <c r="C195" i="46"/>
  <c r="B195" i="46"/>
  <c r="A231" i="50" l="1"/>
  <c r="A231" i="49"/>
  <c r="A231" i="47"/>
  <c r="A231" i="46"/>
  <c r="A231" i="44"/>
  <c r="A231" i="43"/>
  <c r="A231" i="39"/>
  <c r="A231" i="40"/>
  <c r="C231" i="38"/>
  <c r="A233" i="4"/>
  <c r="A233" i="42" s="1"/>
  <c r="C233" i="42" s="1"/>
  <c r="A232" i="38"/>
  <c r="BD196" i="38"/>
  <c r="C204" i="4"/>
  <c r="B204" i="4"/>
  <c r="BE196" i="42"/>
  <c r="C196" i="46"/>
  <c r="B196" i="46"/>
  <c r="BD196" i="42"/>
  <c r="A232" i="50" l="1"/>
  <c r="A232" i="49"/>
  <c r="A232" i="47"/>
  <c r="A232" i="46"/>
  <c r="A232" i="43"/>
  <c r="A232" i="44"/>
  <c r="A234" i="4"/>
  <c r="A234" i="42" s="1"/>
  <c r="C234" i="42" s="1"/>
  <c r="A233" i="38"/>
  <c r="BD197" i="38"/>
  <c r="A232" i="40"/>
  <c r="A232" i="39"/>
  <c r="C232" i="38"/>
  <c r="C205" i="4"/>
  <c r="B205" i="4"/>
  <c r="C197" i="46"/>
  <c r="BE197" i="42"/>
  <c r="B197" i="46"/>
  <c r="BD197" i="42"/>
  <c r="A233" i="50" l="1"/>
  <c r="A233" i="49"/>
  <c r="A233" i="47"/>
  <c r="A233" i="46"/>
  <c r="A233" i="43"/>
  <c r="A233" i="44"/>
  <c r="BD198" i="38"/>
  <c r="A233" i="39"/>
  <c r="A233" i="40"/>
  <c r="C233" i="38"/>
  <c r="A235" i="4"/>
  <c r="A235" i="42" s="1"/>
  <c r="C235" i="42" s="1"/>
  <c r="A234" i="38"/>
  <c r="C206" i="4"/>
  <c r="B206" i="4"/>
  <c r="BD198" i="42"/>
  <c r="B198" i="46"/>
  <c r="BE198" i="42"/>
  <c r="C198" i="46"/>
  <c r="A234" i="50" l="1"/>
  <c r="A234" i="49"/>
  <c r="A234" i="47"/>
  <c r="A234" i="46"/>
  <c r="A234" i="43"/>
  <c r="A234" i="44"/>
  <c r="A234" i="39"/>
  <c r="A234" i="40"/>
  <c r="C234" i="38"/>
  <c r="A236" i="4"/>
  <c r="A236" i="42" s="1"/>
  <c r="C236" i="42" s="1"/>
  <c r="A235" i="38"/>
  <c r="BD199" i="38"/>
  <c r="B207" i="4"/>
  <c r="C207" i="4"/>
  <c r="BE199" i="42"/>
  <c r="BD199" i="42"/>
  <c r="B199" i="46"/>
  <c r="C199" i="46"/>
  <c r="A235" i="50" l="1"/>
  <c r="A235" i="49"/>
  <c r="A235" i="47"/>
  <c r="A235" i="46"/>
  <c r="A235" i="44"/>
  <c r="A235" i="43"/>
  <c r="A237" i="4"/>
  <c r="A237" i="42" s="1"/>
  <c r="C237" i="42" s="1"/>
  <c r="A236" i="38"/>
  <c r="BD200" i="38"/>
  <c r="A235" i="40"/>
  <c r="A235" i="39"/>
  <c r="C235" i="38"/>
  <c r="C208" i="4"/>
  <c r="B208" i="4"/>
  <c r="B200" i="46"/>
  <c r="C200" i="46"/>
  <c r="BD200" i="42"/>
  <c r="BE200" i="42"/>
  <c r="A236" i="50" l="1"/>
  <c r="A236" i="49"/>
  <c r="A236" i="47"/>
  <c r="A236" i="46"/>
  <c r="A236" i="44"/>
  <c r="A236" i="43"/>
  <c r="A236" i="39"/>
  <c r="A236" i="40"/>
  <c r="C236" i="38"/>
  <c r="BD201" i="38"/>
  <c r="A238" i="4"/>
  <c r="A238" i="42" s="1"/>
  <c r="C238" i="42" s="1"/>
  <c r="A237" i="38"/>
  <c r="C209" i="4"/>
  <c r="B209" i="4"/>
  <c r="BE201" i="42"/>
  <c r="C201" i="46"/>
  <c r="BD201" i="42"/>
  <c r="B201" i="46"/>
  <c r="A237" i="50" l="1"/>
  <c r="A237" i="49"/>
  <c r="A237" i="47"/>
  <c r="A237" i="46"/>
  <c r="A237" i="44"/>
  <c r="A237" i="43"/>
  <c r="A237" i="39"/>
  <c r="A237" i="40"/>
  <c r="C237" i="38"/>
  <c r="BD202" i="38"/>
  <c r="A239" i="4"/>
  <c r="A239" i="42" s="1"/>
  <c r="C239" i="42" s="1"/>
  <c r="A238" i="38"/>
  <c r="C210" i="4"/>
  <c r="B210" i="4"/>
  <c r="B202" i="46"/>
  <c r="BE202" i="42"/>
  <c r="BD202" i="42"/>
  <c r="C202" i="46"/>
  <c r="A238" i="50" l="1"/>
  <c r="A238" i="49"/>
  <c r="A238" i="47"/>
  <c r="A238" i="46"/>
  <c r="A238" i="43"/>
  <c r="A238" i="44"/>
  <c r="BD203" i="38"/>
  <c r="A238" i="40"/>
  <c r="A238" i="39"/>
  <c r="C238" i="38"/>
  <c r="A240" i="4"/>
  <c r="A240" i="42" s="1"/>
  <c r="C240" i="42" s="1"/>
  <c r="A239" i="38"/>
  <c r="B211" i="4"/>
  <c r="C211" i="4"/>
  <c r="C203" i="46"/>
  <c r="B203" i="46"/>
  <c r="BD203" i="42"/>
  <c r="BE203" i="42"/>
  <c r="A239" i="50" l="1"/>
  <c r="A239" i="49"/>
  <c r="A239" i="47"/>
  <c r="A239" i="46"/>
  <c r="A239" i="43"/>
  <c r="A239" i="44"/>
  <c r="A239" i="39"/>
  <c r="A239" i="40"/>
  <c r="C239" i="38"/>
  <c r="A241" i="4"/>
  <c r="A241" i="42" s="1"/>
  <c r="C241" i="42" s="1"/>
  <c r="A240" i="38"/>
  <c r="BD204" i="38"/>
  <c r="C212" i="4"/>
  <c r="B212" i="4"/>
  <c r="B204" i="46"/>
  <c r="BD204" i="42"/>
  <c r="C204" i="46"/>
  <c r="BE204" i="42"/>
  <c r="A240" i="50" l="1"/>
  <c r="A240" i="49"/>
  <c r="A240" i="47"/>
  <c r="A240" i="46"/>
  <c r="A240" i="43"/>
  <c r="A240" i="44"/>
  <c r="BD205" i="38"/>
  <c r="A242" i="4"/>
  <c r="A242" i="42" s="1"/>
  <c r="C242" i="42" s="1"/>
  <c r="A241" i="38"/>
  <c r="A240" i="39"/>
  <c r="A240" i="40"/>
  <c r="C240" i="38"/>
  <c r="C213" i="4"/>
  <c r="B213" i="4"/>
  <c r="BD205" i="42"/>
  <c r="B205" i="46"/>
  <c r="C205" i="46"/>
  <c r="BE205" i="42"/>
  <c r="A241" i="50" l="1"/>
  <c r="A241" i="49"/>
  <c r="A241" i="47"/>
  <c r="A241" i="46"/>
  <c r="A241" i="43"/>
  <c r="A241" i="44"/>
  <c r="A241" i="40"/>
  <c r="A241" i="39"/>
  <c r="C241" i="38"/>
  <c r="A243" i="4"/>
  <c r="A243" i="42" s="1"/>
  <c r="C243" i="42" s="1"/>
  <c r="A242" i="38"/>
  <c r="BD206" i="38"/>
  <c r="C214" i="4"/>
  <c r="B214" i="4"/>
  <c r="BE206" i="42"/>
  <c r="BD206" i="42"/>
  <c r="C206" i="46"/>
  <c r="B206" i="46"/>
  <c r="A242" i="49" l="1"/>
  <c r="A242" i="50"/>
  <c r="A242" i="47"/>
  <c r="A242" i="46"/>
  <c r="A242" i="44"/>
  <c r="A242" i="43"/>
  <c r="BD207" i="38"/>
  <c r="A244" i="4"/>
  <c r="A244" i="42" s="1"/>
  <c r="C244" i="42" s="1"/>
  <c r="A243" i="38"/>
  <c r="A242" i="39"/>
  <c r="A242" i="40"/>
  <c r="C242" i="38"/>
  <c r="B215" i="4"/>
  <c r="C215" i="4"/>
  <c r="B207" i="46"/>
  <c r="C207" i="46"/>
  <c r="BE207" i="42"/>
  <c r="BD207" i="42"/>
  <c r="A243" i="50" l="1"/>
  <c r="A243" i="49"/>
  <c r="A243" i="47"/>
  <c r="A243" i="46"/>
  <c r="A243" i="44"/>
  <c r="A243" i="43"/>
  <c r="A243" i="39"/>
  <c r="A243" i="40"/>
  <c r="C243" i="38"/>
  <c r="A245" i="4"/>
  <c r="A245" i="42" s="1"/>
  <c r="C245" i="42" s="1"/>
  <c r="A244" i="38"/>
  <c r="BD208" i="38"/>
  <c r="C216" i="4"/>
  <c r="B216" i="4"/>
  <c r="BD208" i="42"/>
  <c r="BE208" i="42"/>
  <c r="B208" i="46"/>
  <c r="C208" i="46"/>
  <c r="A244" i="50" l="1"/>
  <c r="A244" i="49"/>
  <c r="A244" i="47"/>
  <c r="A244" i="46"/>
  <c r="A244" i="43"/>
  <c r="A244" i="44"/>
  <c r="A244" i="40"/>
  <c r="A244" i="39"/>
  <c r="C244" i="38"/>
  <c r="A246" i="4"/>
  <c r="A246" i="42" s="1"/>
  <c r="C246" i="42" s="1"/>
  <c r="A245" i="38"/>
  <c r="BD209" i="38"/>
  <c r="C217" i="4"/>
  <c r="B217" i="4"/>
  <c r="BE209" i="42"/>
  <c r="BD209" i="42"/>
  <c r="B209" i="46"/>
  <c r="C209" i="46"/>
  <c r="A245" i="50" l="1"/>
  <c r="A245" i="49"/>
  <c r="A245" i="47"/>
  <c r="A245" i="46"/>
  <c r="A245" i="43"/>
  <c r="A245" i="44"/>
  <c r="BD210" i="38"/>
  <c r="A245" i="39"/>
  <c r="A245" i="40"/>
  <c r="C245" i="38"/>
  <c r="A247" i="4"/>
  <c r="A247" i="42" s="1"/>
  <c r="C247" i="42" s="1"/>
  <c r="A246" i="38"/>
  <c r="C218" i="4"/>
  <c r="B218" i="4"/>
  <c r="B210" i="46"/>
  <c r="BD210" i="42"/>
  <c r="BE210" i="42"/>
  <c r="C210" i="46"/>
  <c r="A246" i="50" l="1"/>
  <c r="A246" i="49"/>
  <c r="A246" i="47"/>
  <c r="A246" i="46"/>
  <c r="A246" i="43"/>
  <c r="A246" i="44"/>
  <c r="A246" i="39"/>
  <c r="A246" i="40"/>
  <c r="C246" i="38"/>
  <c r="A248" i="4"/>
  <c r="A248" i="42" s="1"/>
  <c r="C248" i="42" s="1"/>
  <c r="A247" i="38"/>
  <c r="BD211" i="38"/>
  <c r="B219" i="4"/>
  <c r="C219" i="4"/>
  <c r="C211" i="46"/>
  <c r="BD211" i="42"/>
  <c r="BE211" i="42"/>
  <c r="B211" i="46"/>
  <c r="A247" i="50" l="1"/>
  <c r="A247" i="49"/>
  <c r="A247" i="47"/>
  <c r="A247" i="46"/>
  <c r="A247" i="43"/>
  <c r="A247" i="44"/>
  <c r="A249" i="4"/>
  <c r="A249" i="42" s="1"/>
  <c r="C249" i="42" s="1"/>
  <c r="A248" i="38"/>
  <c r="BD212" i="38"/>
  <c r="A247" i="40"/>
  <c r="A247" i="39"/>
  <c r="C247" i="38"/>
  <c r="C220" i="4"/>
  <c r="B220" i="4"/>
  <c r="B212" i="46"/>
  <c r="BE212" i="42"/>
  <c r="BD212" i="42"/>
  <c r="C212" i="46"/>
  <c r="A248" i="50" l="1"/>
  <c r="A248" i="49"/>
  <c r="A248" i="47"/>
  <c r="A248" i="46"/>
  <c r="A248" i="44"/>
  <c r="A248" i="43"/>
  <c r="BD213" i="38"/>
  <c r="A248" i="39"/>
  <c r="A248" i="40"/>
  <c r="C248" i="38"/>
  <c r="A250" i="4"/>
  <c r="A250" i="42" s="1"/>
  <c r="C250" i="42" s="1"/>
  <c r="A249" i="38"/>
  <c r="C221" i="4"/>
  <c r="B221" i="4"/>
  <c r="BE213" i="42"/>
  <c r="B213" i="46"/>
  <c r="BD213" i="42"/>
  <c r="C213" i="46"/>
  <c r="A249" i="50" l="1"/>
  <c r="A249" i="49"/>
  <c r="A249" i="47"/>
  <c r="A249" i="46"/>
  <c r="A249" i="44"/>
  <c r="A249" i="43"/>
  <c r="A249" i="39"/>
  <c r="A249" i="40"/>
  <c r="C249" i="38"/>
  <c r="A251" i="4"/>
  <c r="A251" i="42" s="1"/>
  <c r="C251" i="42" s="1"/>
  <c r="A250" i="38"/>
  <c r="BD214" i="38"/>
  <c r="C222" i="4"/>
  <c r="B222" i="4"/>
  <c r="B214" i="46"/>
  <c r="BD214" i="42"/>
  <c r="BE214" i="42"/>
  <c r="C214" i="46"/>
  <c r="A250" i="50" l="1"/>
  <c r="A250" i="49"/>
  <c r="A250" i="47"/>
  <c r="A250" i="46"/>
  <c r="A250" i="43"/>
  <c r="A250" i="44"/>
  <c r="BD215" i="38"/>
  <c r="A252" i="4"/>
  <c r="A252" i="42" s="1"/>
  <c r="C252" i="42" s="1"/>
  <c r="A251" i="38"/>
  <c r="A250" i="40"/>
  <c r="A250" i="39"/>
  <c r="C250" i="38"/>
  <c r="B223" i="4"/>
  <c r="C223" i="4"/>
  <c r="BE215" i="42"/>
  <c r="BD215" i="42"/>
  <c r="B215" i="46"/>
  <c r="C215" i="46"/>
  <c r="A251" i="50" l="1"/>
  <c r="A251" i="49"/>
  <c r="A251" i="47"/>
  <c r="A251" i="46"/>
  <c r="A251" i="43"/>
  <c r="A251" i="44"/>
  <c r="A251" i="39"/>
  <c r="A251" i="40"/>
  <c r="C251" i="38"/>
  <c r="A253" i="4"/>
  <c r="A253" i="42" s="1"/>
  <c r="C253" i="42" s="1"/>
  <c r="A252" i="38"/>
  <c r="BD216" i="38"/>
  <c r="C224" i="4"/>
  <c r="B224" i="4"/>
  <c r="BD216" i="42"/>
  <c r="C216" i="46"/>
  <c r="B216" i="46"/>
  <c r="BE216" i="42"/>
  <c r="A252" i="50" l="1"/>
  <c r="A252" i="49"/>
  <c r="A252" i="47"/>
  <c r="A252" i="46"/>
  <c r="A252" i="43"/>
  <c r="A252" i="44"/>
  <c r="A254" i="4"/>
  <c r="A254" i="42" s="1"/>
  <c r="C254" i="42" s="1"/>
  <c r="A253" i="38"/>
  <c r="BD217" i="38"/>
  <c r="A252" i="39"/>
  <c r="A252" i="40"/>
  <c r="C252" i="38"/>
  <c r="C225" i="4"/>
  <c r="B225" i="4"/>
  <c r="C217" i="46"/>
  <c r="BD217" i="42"/>
  <c r="B217" i="46"/>
  <c r="BE217" i="42"/>
  <c r="A253" i="50" l="1"/>
  <c r="A253" i="49"/>
  <c r="A253" i="47"/>
  <c r="A253" i="46"/>
  <c r="A253" i="43"/>
  <c r="A253" i="44"/>
  <c r="BD218" i="38"/>
  <c r="A253" i="40"/>
  <c r="A253" i="39"/>
  <c r="C253" i="38"/>
  <c r="A255" i="4"/>
  <c r="A255" i="42" s="1"/>
  <c r="C255" i="42" s="1"/>
  <c r="A254" i="38"/>
  <c r="C226" i="4"/>
  <c r="B226" i="4"/>
  <c r="C218" i="46"/>
  <c r="B218" i="46"/>
  <c r="BD218" i="42"/>
  <c r="BE218" i="42"/>
  <c r="A254" i="50" l="1"/>
  <c r="A254" i="49"/>
  <c r="A254" i="47"/>
  <c r="A254" i="46"/>
  <c r="A254" i="44"/>
  <c r="A254" i="43"/>
  <c r="A254" i="39"/>
  <c r="A254" i="40"/>
  <c r="C254" i="38"/>
  <c r="A256" i="4"/>
  <c r="A256" i="42" s="1"/>
  <c r="C256" i="42" s="1"/>
  <c r="A255" i="38"/>
  <c r="BD219" i="38"/>
  <c r="B227" i="4"/>
  <c r="C227" i="4"/>
  <c r="BE219" i="42"/>
  <c r="BD219" i="42"/>
  <c r="C219" i="46"/>
  <c r="B219" i="46"/>
  <c r="A255" i="50" l="1"/>
  <c r="A255" i="49"/>
  <c r="A255" i="47"/>
  <c r="A255" i="46"/>
  <c r="A255" i="44"/>
  <c r="A255" i="43"/>
  <c r="BD220" i="38"/>
  <c r="A257" i="4"/>
  <c r="A257" i="42" s="1"/>
  <c r="C257" i="42" s="1"/>
  <c r="A256" i="38"/>
  <c r="A255" i="39"/>
  <c r="A255" i="40"/>
  <c r="C255" i="38"/>
  <c r="C228" i="4"/>
  <c r="B228" i="4"/>
  <c r="BE220" i="42"/>
  <c r="BD220" i="42"/>
  <c r="B220" i="46"/>
  <c r="C220" i="46"/>
  <c r="A256" i="50" l="1"/>
  <c r="A256" i="49"/>
  <c r="A256" i="47"/>
  <c r="A256" i="46"/>
  <c r="A256" i="43"/>
  <c r="A256" i="44"/>
  <c r="A256" i="40"/>
  <c r="C256" i="38"/>
  <c r="A256" i="39"/>
  <c r="A258" i="4"/>
  <c r="A258" i="42" s="1"/>
  <c r="C258" i="42" s="1"/>
  <c r="A257" i="38"/>
  <c r="BD221" i="38"/>
  <c r="C229" i="4"/>
  <c r="B229" i="4"/>
  <c r="BD221" i="42"/>
  <c r="BE221" i="42"/>
  <c r="B221" i="46"/>
  <c r="C221" i="46"/>
  <c r="A257" i="50" l="1"/>
  <c r="A257" i="49"/>
  <c r="A257" i="47"/>
  <c r="A257" i="46"/>
  <c r="A257" i="43"/>
  <c r="A257" i="44"/>
  <c r="BD222" i="38"/>
  <c r="A257" i="39"/>
  <c r="A257" i="40"/>
  <c r="C257" i="38"/>
  <c r="A259" i="4"/>
  <c r="A259" i="42" s="1"/>
  <c r="C259" i="42" s="1"/>
  <c r="A258" i="38"/>
  <c r="C230" i="4"/>
  <c r="B230" i="4"/>
  <c r="BE222" i="42"/>
  <c r="C222" i="46"/>
  <c r="B222" i="46"/>
  <c r="BD222" i="42"/>
  <c r="A258" i="50" l="1"/>
  <c r="A258" i="49"/>
  <c r="A258" i="47"/>
  <c r="A258" i="46"/>
  <c r="A258" i="43"/>
  <c r="A258" i="44"/>
  <c r="A258" i="39"/>
  <c r="A258" i="40"/>
  <c r="C258" i="38"/>
  <c r="A260" i="4"/>
  <c r="A260" i="42" s="1"/>
  <c r="C260" i="42" s="1"/>
  <c r="A259" i="38"/>
  <c r="BD223" i="38"/>
  <c r="B231" i="4"/>
  <c r="C231" i="4"/>
  <c r="C223" i="46"/>
  <c r="BE223" i="42"/>
  <c r="BD223" i="42"/>
  <c r="B223" i="46"/>
  <c r="A259" i="50" l="1"/>
  <c r="A259" i="49"/>
  <c r="A259" i="47"/>
  <c r="A259" i="46"/>
  <c r="A259" i="43"/>
  <c r="A259" i="44"/>
  <c r="BD224" i="38"/>
  <c r="A259" i="40"/>
  <c r="A259" i="39"/>
  <c r="C259" i="38"/>
  <c r="A261" i="4"/>
  <c r="A261" i="42" s="1"/>
  <c r="C261" i="42" s="1"/>
  <c r="A260" i="38"/>
  <c r="C232" i="4"/>
  <c r="B232" i="4"/>
  <c r="B224" i="46"/>
  <c r="C224" i="46"/>
  <c r="BD224" i="42"/>
  <c r="BE224" i="42"/>
  <c r="A260" i="50" l="1"/>
  <c r="A260" i="49"/>
  <c r="A260" i="47"/>
  <c r="A260" i="46"/>
  <c r="A260" i="44"/>
  <c r="A260" i="43"/>
  <c r="A260" i="39"/>
  <c r="A260" i="40"/>
  <c r="C260" i="38"/>
  <c r="A262" i="4"/>
  <c r="A262" i="42" s="1"/>
  <c r="C262" i="42" s="1"/>
  <c r="A261" i="38"/>
  <c r="BD225" i="38"/>
  <c r="C233" i="4"/>
  <c r="B233" i="4"/>
  <c r="BD225" i="42"/>
  <c r="BE225" i="42"/>
  <c r="C225" i="46"/>
  <c r="B225" i="46"/>
  <c r="A261" i="50" l="1"/>
  <c r="A261" i="49"/>
  <c r="A261" i="47"/>
  <c r="A261" i="46"/>
  <c r="A261" i="44"/>
  <c r="A261" i="43"/>
  <c r="A263" i="4"/>
  <c r="A263" i="42" s="1"/>
  <c r="C263" i="42" s="1"/>
  <c r="A262" i="38"/>
  <c r="A261" i="39"/>
  <c r="A261" i="40"/>
  <c r="C261" i="38"/>
  <c r="BD226" i="38"/>
  <c r="C234" i="4"/>
  <c r="B234" i="4"/>
  <c r="BD226" i="42"/>
  <c r="C226" i="46"/>
  <c r="BE226" i="42"/>
  <c r="B226" i="46"/>
  <c r="A262" i="50" l="1"/>
  <c r="A262" i="49"/>
  <c r="A262" i="47"/>
  <c r="A262" i="46"/>
  <c r="A262" i="43"/>
  <c r="A262" i="44"/>
  <c r="BD227" i="38"/>
  <c r="A262" i="40"/>
  <c r="A262" i="39"/>
  <c r="C262" i="38"/>
  <c r="A264" i="4"/>
  <c r="A264" i="42" s="1"/>
  <c r="C264" i="42" s="1"/>
  <c r="A263" i="38"/>
  <c r="B235" i="4"/>
  <c r="C235" i="4"/>
  <c r="C227" i="46"/>
  <c r="BD227" i="42"/>
  <c r="BE227" i="42"/>
  <c r="B227" i="46"/>
  <c r="A263" i="50" l="1"/>
  <c r="A263" i="49"/>
  <c r="A263" i="47"/>
  <c r="A263" i="46"/>
  <c r="A263" i="43"/>
  <c r="A263" i="44"/>
  <c r="A263" i="39"/>
  <c r="A263" i="40"/>
  <c r="C263" i="38"/>
  <c r="A265" i="4"/>
  <c r="A265" i="42" s="1"/>
  <c r="C265" i="42" s="1"/>
  <c r="A264" i="38"/>
  <c r="BD228" i="38"/>
  <c r="C236" i="4"/>
  <c r="B236" i="4"/>
  <c r="C228" i="46"/>
  <c r="B228" i="46"/>
  <c r="BD228" i="42"/>
  <c r="BE228" i="42"/>
  <c r="A264" i="50" l="1"/>
  <c r="A264" i="49"/>
  <c r="A264" i="47"/>
  <c r="A264" i="46"/>
  <c r="A264" i="43"/>
  <c r="A264" i="44"/>
  <c r="A264" i="39"/>
  <c r="A264" i="40"/>
  <c r="C264" i="38"/>
  <c r="A266" i="4"/>
  <c r="A266" i="42" s="1"/>
  <c r="C266" i="42" s="1"/>
  <c r="A265" i="38"/>
  <c r="BD229" i="38"/>
  <c r="B237" i="4"/>
  <c r="C237" i="4"/>
  <c r="C229" i="46"/>
  <c r="BE229" i="42"/>
  <c r="BD229" i="42"/>
  <c r="B229" i="46"/>
  <c r="A265" i="50" l="1"/>
  <c r="A265" i="49"/>
  <c r="A265" i="47"/>
  <c r="A265" i="46"/>
  <c r="A265" i="43"/>
  <c r="A265" i="44"/>
  <c r="A267" i="4"/>
  <c r="A267" i="42" s="1"/>
  <c r="C267" i="42" s="1"/>
  <c r="A266" i="38"/>
  <c r="A265" i="40"/>
  <c r="A265" i="39"/>
  <c r="C265" i="38"/>
  <c r="BD230" i="38"/>
  <c r="C238" i="4"/>
  <c r="B238" i="4"/>
  <c r="BE230" i="42"/>
  <c r="BD230" i="42"/>
  <c r="C230" i="46"/>
  <c r="B230" i="46"/>
  <c r="A266" i="50" l="1"/>
  <c r="A266" i="49"/>
  <c r="A266" i="47"/>
  <c r="A266" i="46"/>
  <c r="A266" i="44"/>
  <c r="A266" i="43"/>
  <c r="BD231" i="38"/>
  <c r="A266" i="39"/>
  <c r="A266" i="40"/>
  <c r="C266" i="38"/>
  <c r="A268" i="4"/>
  <c r="A268" i="42" s="1"/>
  <c r="C268" i="42" s="1"/>
  <c r="A267" i="38"/>
  <c r="C239" i="4"/>
  <c r="B239" i="4"/>
  <c r="C231" i="46"/>
  <c r="BD231" i="42"/>
  <c r="B231" i="46"/>
  <c r="BE231" i="42"/>
  <c r="A267" i="50" l="1"/>
  <c r="A267" i="49"/>
  <c r="A267" i="47"/>
  <c r="A267" i="46"/>
  <c r="A267" i="44"/>
  <c r="A267" i="43"/>
  <c r="A267" i="39"/>
  <c r="A267" i="40"/>
  <c r="C267" i="38"/>
  <c r="A269" i="4"/>
  <c r="A269" i="42" s="1"/>
  <c r="C269" i="42" s="1"/>
  <c r="A268" i="38"/>
  <c r="BD232" i="38"/>
  <c r="C240" i="4"/>
  <c r="B240" i="4"/>
  <c r="BE232" i="42"/>
  <c r="BD232" i="42"/>
  <c r="B232" i="46"/>
  <c r="C232" i="46"/>
  <c r="A268" i="50" l="1"/>
  <c r="A268" i="49"/>
  <c r="A268" i="47"/>
  <c r="A268" i="46"/>
  <c r="A268" i="43"/>
  <c r="A268" i="44"/>
  <c r="A268" i="40"/>
  <c r="A268" i="39"/>
  <c r="C268" i="38"/>
  <c r="A270" i="4"/>
  <c r="A270" i="42" s="1"/>
  <c r="C270" i="42" s="1"/>
  <c r="A269" i="38"/>
  <c r="BD233" i="38"/>
  <c r="B241" i="4"/>
  <c r="C241" i="4"/>
  <c r="BE233" i="42"/>
  <c r="C233" i="46"/>
  <c r="BD233" i="42"/>
  <c r="B233" i="46"/>
  <c r="A269" i="50" l="1"/>
  <c r="A269" i="49"/>
  <c r="A269" i="47"/>
  <c r="A269" i="46"/>
  <c r="A269" i="43"/>
  <c r="A269" i="44"/>
  <c r="BD234" i="38"/>
  <c r="A269" i="39"/>
  <c r="A269" i="40"/>
  <c r="C269" i="38"/>
  <c r="A270" i="38"/>
  <c r="A271" i="4"/>
  <c r="A271" i="42" s="1"/>
  <c r="C271" i="42" s="1"/>
  <c r="B242" i="4"/>
  <c r="C242" i="4"/>
  <c r="BE234" i="42"/>
  <c r="BD234" i="42"/>
  <c r="B234" i="46"/>
  <c r="C234" i="46"/>
  <c r="A270" i="50" l="1"/>
  <c r="A270" i="49"/>
  <c r="A270" i="47"/>
  <c r="A270" i="46"/>
  <c r="A270" i="43"/>
  <c r="A270" i="44"/>
  <c r="A272" i="4"/>
  <c r="A272" i="42" s="1"/>
  <c r="C272" i="42" s="1"/>
  <c r="A271" i="38"/>
  <c r="A270" i="39"/>
  <c r="A270" i="40"/>
  <c r="C270" i="38"/>
  <c r="BD235" i="38"/>
  <c r="B243" i="4"/>
  <c r="C243" i="4"/>
  <c r="BE235" i="42"/>
  <c r="B235" i="46"/>
  <c r="C235" i="46"/>
  <c r="BD235" i="42"/>
  <c r="A271" i="50" l="1"/>
  <c r="A271" i="49"/>
  <c r="A271" i="47"/>
  <c r="A271" i="46"/>
  <c r="A271" i="43"/>
  <c r="A271" i="44"/>
  <c r="BD236" i="38"/>
  <c r="A271" i="40"/>
  <c r="A271" i="39"/>
  <c r="C271" i="38"/>
  <c r="A273" i="4"/>
  <c r="A273" i="42" s="1"/>
  <c r="C273" i="42" s="1"/>
  <c r="A272" i="38"/>
  <c r="C244" i="4"/>
  <c r="B244" i="4"/>
  <c r="BE236" i="42"/>
  <c r="B236" i="46"/>
  <c r="BD236" i="42"/>
  <c r="C236" i="46"/>
  <c r="A272" i="50" l="1"/>
  <c r="A272" i="49"/>
  <c r="A272" i="47"/>
  <c r="A272" i="46"/>
  <c r="A272" i="44"/>
  <c r="A272" i="43"/>
  <c r="A272" i="39"/>
  <c r="A272" i="40"/>
  <c r="C272" i="38"/>
  <c r="A274" i="4"/>
  <c r="A274" i="42" s="1"/>
  <c r="C274" i="42" s="1"/>
  <c r="A273" i="38"/>
  <c r="BD237" i="38"/>
  <c r="B245" i="4"/>
  <c r="C245" i="4"/>
  <c r="B237" i="46"/>
  <c r="C237" i="46"/>
  <c r="BD237" i="42"/>
  <c r="BE237" i="42"/>
  <c r="A273" i="50" l="1"/>
  <c r="A273" i="49"/>
  <c r="A273" i="47"/>
  <c r="A273" i="46"/>
  <c r="A273" i="44"/>
  <c r="A273" i="43"/>
  <c r="A275" i="4"/>
  <c r="A275" i="42" s="1"/>
  <c r="C275" i="42" s="1"/>
  <c r="A274" i="38"/>
  <c r="BD238" i="38"/>
  <c r="A273" i="39"/>
  <c r="A273" i="40"/>
  <c r="C273" i="38"/>
  <c r="C246" i="4"/>
  <c r="B246" i="4"/>
  <c r="B238" i="46"/>
  <c r="BE238" i="42"/>
  <c r="BD238" i="42"/>
  <c r="C238" i="46"/>
  <c r="A274" i="50" l="1"/>
  <c r="A274" i="49"/>
  <c r="A274" i="47"/>
  <c r="A274" i="46"/>
  <c r="A274" i="43"/>
  <c r="A274" i="44"/>
  <c r="BD239" i="38"/>
  <c r="A274" i="40"/>
  <c r="A274" i="39"/>
  <c r="C274" i="38"/>
  <c r="A276" i="4"/>
  <c r="A276" i="42" s="1"/>
  <c r="C276" i="42" s="1"/>
  <c r="A275" i="38"/>
  <c r="C247" i="4"/>
  <c r="B247" i="4"/>
  <c r="B239" i="46"/>
  <c r="C239" i="46"/>
  <c r="BD239" i="42"/>
  <c r="BE239" i="42"/>
  <c r="A275" i="50" l="1"/>
  <c r="A275" i="49"/>
  <c r="A275" i="47"/>
  <c r="A275" i="46"/>
  <c r="A275" i="43"/>
  <c r="A275" i="44"/>
  <c r="A275" i="39"/>
  <c r="A275" i="40"/>
  <c r="C275" i="38"/>
  <c r="A277" i="4"/>
  <c r="A277" i="42" s="1"/>
  <c r="C277" i="42" s="1"/>
  <c r="A276" i="38"/>
  <c r="BD240" i="38"/>
  <c r="C248" i="4"/>
  <c r="B248" i="4"/>
  <c r="C240" i="46"/>
  <c r="BD240" i="42"/>
  <c r="BE240" i="42"/>
  <c r="B240" i="46"/>
  <c r="A276" i="50" l="1"/>
  <c r="A276" i="49"/>
  <c r="A276" i="47"/>
  <c r="A276" i="46"/>
  <c r="A276" i="43"/>
  <c r="A276" i="44"/>
  <c r="A276" i="39"/>
  <c r="A276" i="40"/>
  <c r="C276" i="38"/>
  <c r="BD241" i="38"/>
  <c r="A278" i="4"/>
  <c r="A278" i="42" s="1"/>
  <c r="C278" i="42" s="1"/>
  <c r="A277" i="38"/>
  <c r="B249" i="4"/>
  <c r="C249" i="4"/>
  <c r="B241" i="46"/>
  <c r="C241" i="46"/>
  <c r="BD241" i="42"/>
  <c r="BE241" i="42"/>
  <c r="A277" i="50" l="1"/>
  <c r="A277" i="49"/>
  <c r="A277" i="47"/>
  <c r="A277" i="46"/>
  <c r="A277" i="43"/>
  <c r="A277" i="44"/>
  <c r="BD242" i="38"/>
  <c r="A277" i="39"/>
  <c r="A277" i="40"/>
  <c r="C277" i="38"/>
  <c r="A279" i="4"/>
  <c r="A279" i="42" s="1"/>
  <c r="C279" i="42" s="1"/>
  <c r="A278" i="38"/>
  <c r="C250" i="4"/>
  <c r="B250" i="4"/>
  <c r="C242" i="46"/>
  <c r="BD242" i="42"/>
  <c r="B242" i="46"/>
  <c r="BE242" i="42"/>
  <c r="A278" i="49" l="1"/>
  <c r="A278" i="50"/>
  <c r="A278" i="47"/>
  <c r="A278" i="46"/>
  <c r="A278" i="44"/>
  <c r="A278" i="43"/>
  <c r="A278" i="39"/>
  <c r="A278" i="40"/>
  <c r="C278" i="38"/>
  <c r="A280" i="4"/>
  <c r="A280" i="42" s="1"/>
  <c r="C280" i="42" s="1"/>
  <c r="A279" i="38"/>
  <c r="BD243" i="38"/>
  <c r="C251" i="4"/>
  <c r="B251" i="4"/>
  <c r="C243" i="46"/>
  <c r="BE243" i="42"/>
  <c r="B243" i="46"/>
  <c r="BD243" i="42"/>
  <c r="A279" i="50" l="1"/>
  <c r="A279" i="49"/>
  <c r="A279" i="47"/>
  <c r="A279" i="46"/>
  <c r="A279" i="44"/>
  <c r="A279" i="43"/>
  <c r="BD244" i="38"/>
  <c r="A281" i="4"/>
  <c r="A281" i="42" s="1"/>
  <c r="C281" i="42" s="1"/>
  <c r="A280" i="38"/>
  <c r="A279" i="40"/>
  <c r="A279" i="39"/>
  <c r="C279" i="38"/>
  <c r="C252" i="4"/>
  <c r="B252" i="4"/>
  <c r="BE244" i="42"/>
  <c r="B244" i="46"/>
  <c r="C244" i="46"/>
  <c r="BD244" i="42"/>
  <c r="A280" i="50" l="1"/>
  <c r="A280" i="49"/>
  <c r="A280" i="47"/>
  <c r="A280" i="46"/>
  <c r="A280" i="43"/>
  <c r="A280" i="44"/>
  <c r="A282" i="4"/>
  <c r="A282" i="42" s="1"/>
  <c r="C282" i="42" s="1"/>
  <c r="A281" i="38"/>
  <c r="A280" i="39"/>
  <c r="A280" i="40"/>
  <c r="C280" i="38"/>
  <c r="BD245" i="38"/>
  <c r="B253" i="4"/>
  <c r="C253" i="4"/>
  <c r="B245" i="46"/>
  <c r="BD245" i="42"/>
  <c r="BE245" i="42"/>
  <c r="C245" i="46"/>
  <c r="A281" i="50" l="1"/>
  <c r="A281" i="49"/>
  <c r="A281" i="47"/>
  <c r="A281" i="46"/>
  <c r="A281" i="43"/>
  <c r="A281" i="44"/>
  <c r="BD246" i="38"/>
  <c r="A281" i="39"/>
  <c r="A281" i="40"/>
  <c r="C281" i="38"/>
  <c r="A283" i="4"/>
  <c r="A283" i="42" s="1"/>
  <c r="C283" i="42" s="1"/>
  <c r="A282" i="38"/>
  <c r="C254" i="4"/>
  <c r="B254" i="4"/>
  <c r="BD246" i="42"/>
  <c r="B246" i="46"/>
  <c r="C246" i="46"/>
  <c r="BE246" i="42"/>
  <c r="A282" i="50" l="1"/>
  <c r="A282" i="49"/>
  <c r="A282" i="47"/>
  <c r="A282" i="46"/>
  <c r="A282" i="43"/>
  <c r="A282" i="44"/>
  <c r="A282" i="40"/>
  <c r="A282" i="39"/>
  <c r="C282" i="38"/>
  <c r="A284" i="4"/>
  <c r="A284" i="42" s="1"/>
  <c r="C284" i="42" s="1"/>
  <c r="A283" i="38"/>
  <c r="BD247" i="38"/>
  <c r="C255" i="4"/>
  <c r="B255" i="4"/>
  <c r="C247" i="46"/>
  <c r="BE247" i="42"/>
  <c r="BD247" i="42"/>
  <c r="B247" i="46"/>
  <c r="A283" i="50" l="1"/>
  <c r="A283" i="49"/>
  <c r="A283" i="47"/>
  <c r="A283" i="46"/>
  <c r="A283" i="43"/>
  <c r="A283" i="44"/>
  <c r="BD248" i="38"/>
  <c r="A285" i="4"/>
  <c r="A285" i="42" s="1"/>
  <c r="C285" i="42" s="1"/>
  <c r="A284" i="38"/>
  <c r="A283" i="39"/>
  <c r="A283" i="40"/>
  <c r="C283" i="38"/>
  <c r="C256" i="4"/>
  <c r="B256" i="4"/>
  <c r="BE248" i="42"/>
  <c r="B248" i="46"/>
  <c r="C248" i="46"/>
  <c r="BD248" i="42"/>
  <c r="A284" i="50" l="1"/>
  <c r="A284" i="49"/>
  <c r="A284" i="47"/>
  <c r="A284" i="46"/>
  <c r="A284" i="44"/>
  <c r="A284" i="43"/>
  <c r="A284" i="39"/>
  <c r="A284" i="40"/>
  <c r="C284" i="38"/>
  <c r="A286" i="4"/>
  <c r="A286" i="42" s="1"/>
  <c r="C286" i="42" s="1"/>
  <c r="A285" i="38"/>
  <c r="BD249" i="38"/>
  <c r="B257" i="4"/>
  <c r="C257" i="4"/>
  <c r="BD249" i="42"/>
  <c r="BE249" i="42"/>
  <c r="C249" i="46"/>
  <c r="B249" i="46"/>
  <c r="A285" i="50" l="1"/>
  <c r="A285" i="49"/>
  <c r="A285" i="47"/>
  <c r="A285" i="46"/>
  <c r="A285" i="44"/>
  <c r="A285" i="43"/>
  <c r="BD250" i="38"/>
  <c r="A287" i="4"/>
  <c r="A287" i="42" s="1"/>
  <c r="C287" i="42" s="1"/>
  <c r="A286" i="38"/>
  <c r="A285" i="40"/>
  <c r="A285" i="39"/>
  <c r="C285" i="38"/>
  <c r="B258" i="4"/>
  <c r="C258" i="4"/>
  <c r="BD250" i="42"/>
  <c r="BE250" i="42"/>
  <c r="B250" i="46"/>
  <c r="C250" i="46"/>
  <c r="A286" i="50" l="1"/>
  <c r="A286" i="49"/>
  <c r="A286" i="47"/>
  <c r="A286" i="46"/>
  <c r="A286" i="43"/>
  <c r="A286" i="44"/>
  <c r="A286" i="39"/>
  <c r="A286" i="40"/>
  <c r="C286" i="38"/>
  <c r="A288" i="4"/>
  <c r="A288" i="42" s="1"/>
  <c r="C288" i="42" s="1"/>
  <c r="A287" i="38"/>
  <c r="BD251" i="38"/>
  <c r="B259" i="4"/>
  <c r="C259" i="4"/>
  <c r="BE251" i="42"/>
  <c r="C251" i="46"/>
  <c r="B251" i="46"/>
  <c r="BD251" i="42"/>
  <c r="A287" i="50" l="1"/>
  <c r="A287" i="49"/>
  <c r="A287" i="47"/>
  <c r="A287" i="46"/>
  <c r="A287" i="43"/>
  <c r="A287" i="44"/>
  <c r="A287" i="39"/>
  <c r="A287" i="40"/>
  <c r="C287" i="38"/>
  <c r="BD252" i="38"/>
  <c r="A289" i="4"/>
  <c r="A289" i="42" s="1"/>
  <c r="C289" i="42" s="1"/>
  <c r="A288" i="38"/>
  <c r="C260" i="4"/>
  <c r="B260" i="4"/>
  <c r="C252" i="46"/>
  <c r="BE252" i="42"/>
  <c r="BD252" i="42"/>
  <c r="B252" i="46"/>
  <c r="A288" i="50" l="1"/>
  <c r="A288" i="49"/>
  <c r="A288" i="47"/>
  <c r="A288" i="46"/>
  <c r="A288" i="43"/>
  <c r="A288" i="44"/>
  <c r="BD253" i="38"/>
  <c r="A288" i="40"/>
  <c r="A288" i="39"/>
  <c r="C288" i="38"/>
  <c r="A290" i="4"/>
  <c r="A290" i="42" s="1"/>
  <c r="C290" i="42" s="1"/>
  <c r="A289" i="38"/>
  <c r="B261" i="4"/>
  <c r="C261" i="4"/>
  <c r="C253" i="46"/>
  <c r="BD253" i="42"/>
  <c r="B253" i="46"/>
  <c r="BE253" i="42"/>
  <c r="A289" i="50" l="1"/>
  <c r="A289" i="49"/>
  <c r="A289" i="47"/>
  <c r="A289" i="46"/>
  <c r="A289" i="43"/>
  <c r="A289" i="44"/>
  <c r="A289" i="39"/>
  <c r="A289" i="40"/>
  <c r="C289" i="38"/>
  <c r="A291" i="4"/>
  <c r="A291" i="42" s="1"/>
  <c r="C291" i="42" s="1"/>
  <c r="A290" i="38"/>
  <c r="BD254" i="38"/>
  <c r="C262" i="4"/>
  <c r="B262" i="4"/>
  <c r="C254" i="46"/>
  <c r="B254" i="46"/>
  <c r="BE254" i="42"/>
  <c r="BD254" i="42"/>
  <c r="A290" i="50" l="1"/>
  <c r="A290" i="49"/>
  <c r="A290" i="47"/>
  <c r="A290" i="46"/>
  <c r="A290" i="44"/>
  <c r="A290" i="43"/>
  <c r="BD255" i="38"/>
  <c r="A290" i="39"/>
  <c r="A290" i="40"/>
  <c r="C290" i="38"/>
  <c r="A291" i="38"/>
  <c r="A292" i="4"/>
  <c r="A292" i="42" s="1"/>
  <c r="C292" i="42" s="1"/>
  <c r="C263" i="4"/>
  <c r="B263" i="4"/>
  <c r="C255" i="46"/>
  <c r="B255" i="46"/>
  <c r="BE255" i="42"/>
  <c r="BD255" i="42"/>
  <c r="A291" i="50" l="1"/>
  <c r="A291" i="49"/>
  <c r="A291" i="47"/>
  <c r="A291" i="46"/>
  <c r="A291" i="44"/>
  <c r="A291" i="43"/>
  <c r="A293" i="4"/>
  <c r="A293" i="42" s="1"/>
  <c r="C293" i="42" s="1"/>
  <c r="A292" i="38"/>
  <c r="A291" i="39"/>
  <c r="A291" i="40"/>
  <c r="C291" i="38"/>
  <c r="BD256" i="38"/>
  <c r="C264" i="4"/>
  <c r="B264" i="4"/>
  <c r="BD256" i="42"/>
  <c r="BE256" i="42"/>
  <c r="C256" i="46"/>
  <c r="B256" i="46"/>
  <c r="A292" i="50" l="1"/>
  <c r="A292" i="49"/>
  <c r="A292" i="47"/>
  <c r="A292" i="46"/>
  <c r="A292" i="43"/>
  <c r="A292" i="44"/>
  <c r="A292" i="39"/>
  <c r="A292" i="40"/>
  <c r="C292" i="38"/>
  <c r="BD257" i="38"/>
  <c r="A294" i="4"/>
  <c r="A294" i="42" s="1"/>
  <c r="C294" i="42" s="1"/>
  <c r="A293" i="38"/>
  <c r="B265" i="4"/>
  <c r="C265" i="4"/>
  <c r="B257" i="46"/>
  <c r="BD257" i="42"/>
  <c r="C257" i="46"/>
  <c r="BE257" i="42"/>
  <c r="A293" i="50" l="1"/>
  <c r="A293" i="49"/>
  <c r="A293" i="47"/>
  <c r="A293" i="46"/>
  <c r="A293" i="43"/>
  <c r="A293" i="44"/>
  <c r="BD258" i="38"/>
  <c r="A293" i="39"/>
  <c r="A293" i="40"/>
  <c r="C293" i="38"/>
  <c r="A295" i="4"/>
  <c r="A295" i="42" s="1"/>
  <c r="C295" i="42" s="1"/>
  <c r="A294" i="38"/>
  <c r="C266" i="4"/>
  <c r="B266" i="4"/>
  <c r="B258" i="46"/>
  <c r="C258" i="46"/>
  <c r="BE258" i="42"/>
  <c r="BD258" i="42"/>
  <c r="A294" i="50" l="1"/>
  <c r="A294" i="49"/>
  <c r="A294" i="47"/>
  <c r="A294" i="46"/>
  <c r="A294" i="43"/>
  <c r="A294" i="44"/>
  <c r="A294" i="39"/>
  <c r="A294" i="40"/>
  <c r="C294" i="38"/>
  <c r="A296" i="4"/>
  <c r="A296" i="42" s="1"/>
  <c r="C296" i="42" s="1"/>
  <c r="A295" i="38"/>
  <c r="BD259" i="38"/>
  <c r="C267" i="4"/>
  <c r="B267" i="4"/>
  <c r="BD259" i="42"/>
  <c r="BE259" i="42"/>
  <c r="B259" i="46"/>
  <c r="C259" i="46"/>
  <c r="A295" i="50" l="1"/>
  <c r="A295" i="49"/>
  <c r="A295" i="47"/>
  <c r="A295" i="46"/>
  <c r="A295" i="43"/>
  <c r="A295" i="44"/>
  <c r="BD260" i="38"/>
  <c r="A295" i="39"/>
  <c r="A295" i="40"/>
  <c r="C295" i="38"/>
  <c r="A297" i="4"/>
  <c r="A297" i="42" s="1"/>
  <c r="C297" i="42" s="1"/>
  <c r="A296" i="38"/>
  <c r="C268" i="4"/>
  <c r="B268" i="4"/>
  <c r="B260" i="46"/>
  <c r="C260" i="46"/>
  <c r="BD260" i="42"/>
  <c r="BE260" i="42"/>
  <c r="A296" i="50" l="1"/>
  <c r="A296" i="49"/>
  <c r="A296" i="47"/>
  <c r="A296" i="46"/>
  <c r="A296" i="44"/>
  <c r="A296" i="43"/>
  <c r="A296" i="39"/>
  <c r="A296" i="40"/>
  <c r="C296" i="38"/>
  <c r="A298" i="4"/>
  <c r="A298" i="42" s="1"/>
  <c r="C298" i="42" s="1"/>
  <c r="A297" i="38"/>
  <c r="BD261" i="38"/>
  <c r="B269" i="4"/>
  <c r="C269" i="4"/>
  <c r="C261" i="46"/>
  <c r="BD261" i="42"/>
  <c r="BE261" i="42"/>
  <c r="B261" i="46"/>
  <c r="A297" i="50" l="1"/>
  <c r="A297" i="49"/>
  <c r="A297" i="47"/>
  <c r="A297" i="46"/>
  <c r="A297" i="44"/>
  <c r="A297" i="43"/>
  <c r="BD262" i="38"/>
  <c r="A297" i="39"/>
  <c r="A297" i="40"/>
  <c r="C297" i="38"/>
  <c r="A299" i="4"/>
  <c r="A299" i="42" s="1"/>
  <c r="C299" i="42" s="1"/>
  <c r="A298" i="38"/>
  <c r="C270" i="4"/>
  <c r="B270" i="4"/>
  <c r="B262" i="46"/>
  <c r="BD262" i="42"/>
  <c r="C262" i="46"/>
  <c r="BE262" i="42"/>
  <c r="A298" i="50" l="1"/>
  <c r="A298" i="49"/>
  <c r="A298" i="47"/>
  <c r="A298" i="46"/>
  <c r="A298" i="43"/>
  <c r="A298" i="44"/>
  <c r="A298" i="39"/>
  <c r="A298" i="40"/>
  <c r="C298" i="38"/>
  <c r="A300" i="4"/>
  <c r="A300" i="42" s="1"/>
  <c r="C300" i="42" s="1"/>
  <c r="A299" i="38"/>
  <c r="BD263" i="38"/>
  <c r="C271" i="4"/>
  <c r="B271" i="4"/>
  <c r="BD263" i="42"/>
  <c r="C263" i="46"/>
  <c r="B263" i="46"/>
  <c r="BE263" i="42"/>
  <c r="A299" i="50" l="1"/>
  <c r="A299" i="49"/>
  <c r="A299" i="47"/>
  <c r="A299" i="46"/>
  <c r="A299" i="43"/>
  <c r="A299" i="44"/>
  <c r="A301" i="4"/>
  <c r="A301" i="42" s="1"/>
  <c r="C301" i="42" s="1"/>
  <c r="A300" i="38"/>
  <c r="BD264" i="38"/>
  <c r="A299" i="39"/>
  <c r="A299" i="40"/>
  <c r="C299" i="38"/>
  <c r="C272" i="4"/>
  <c r="B272" i="4"/>
  <c r="C264" i="46"/>
  <c r="BD264" i="42"/>
  <c r="B264" i="46"/>
  <c r="BE264" i="42"/>
  <c r="A300" i="50" l="1"/>
  <c r="A300" i="49"/>
  <c r="A300" i="47"/>
  <c r="A300" i="46"/>
  <c r="A300" i="43"/>
  <c r="A300" i="44"/>
  <c r="BD265" i="38"/>
  <c r="A300" i="39"/>
  <c r="A300" i="40"/>
  <c r="C300" i="38"/>
  <c r="A302" i="4"/>
  <c r="A302" i="42" s="1"/>
  <c r="C302" i="42" s="1"/>
  <c r="A301" i="38"/>
  <c r="B273" i="4"/>
  <c r="C273" i="4"/>
  <c r="C265" i="46"/>
  <c r="BD265" i="42"/>
  <c r="BE265" i="42"/>
  <c r="B265" i="46"/>
  <c r="A301" i="50" l="1"/>
  <c r="A301" i="49"/>
  <c r="A301" i="47"/>
  <c r="A301" i="46"/>
  <c r="A301" i="43"/>
  <c r="A301" i="44"/>
  <c r="A301" i="39"/>
  <c r="A301" i="40"/>
  <c r="C301" i="38"/>
  <c r="A303" i="4"/>
  <c r="A303" i="42" s="1"/>
  <c r="C303" i="42" s="1"/>
  <c r="A302" i="38"/>
  <c r="BD266" i="38"/>
  <c r="B274" i="4"/>
  <c r="C274" i="4"/>
  <c r="B266" i="46"/>
  <c r="BD266" i="42"/>
  <c r="BE266" i="42"/>
  <c r="C266" i="46"/>
  <c r="A302" i="50" l="1"/>
  <c r="A302" i="49"/>
  <c r="A302" i="47"/>
  <c r="A302" i="46"/>
  <c r="A302" i="44"/>
  <c r="A302" i="43"/>
  <c r="A304" i="4"/>
  <c r="A304" i="42" s="1"/>
  <c r="C304" i="42" s="1"/>
  <c r="A303" i="38"/>
  <c r="A302" i="39"/>
  <c r="A302" i="40"/>
  <c r="C302" i="38"/>
  <c r="BD267" i="38"/>
  <c r="B275" i="4"/>
  <c r="C275" i="4"/>
  <c r="BD267" i="42"/>
  <c r="B267" i="46"/>
  <c r="C267" i="46"/>
  <c r="BE267" i="42"/>
  <c r="A303" i="50" l="1"/>
  <c r="A303" i="49"/>
  <c r="A303" i="47"/>
  <c r="A303" i="46"/>
  <c r="A303" i="44"/>
  <c r="A303" i="43"/>
  <c r="BD268" i="38"/>
  <c r="A303" i="39"/>
  <c r="A303" i="40"/>
  <c r="C303" i="38"/>
  <c r="A305" i="4"/>
  <c r="A305" i="42" s="1"/>
  <c r="C305" i="42" s="1"/>
  <c r="A304" i="38"/>
  <c r="C276" i="4"/>
  <c r="B276" i="4"/>
  <c r="BD268" i="42"/>
  <c r="C268" i="46"/>
  <c r="B268" i="46"/>
  <c r="BE268" i="42"/>
  <c r="A304" i="50" l="1"/>
  <c r="A304" i="49"/>
  <c r="A304" i="47"/>
  <c r="A304" i="46"/>
  <c r="A304" i="43"/>
  <c r="A304" i="44"/>
  <c r="A304" i="39"/>
  <c r="A304" i="40"/>
  <c r="C304" i="38"/>
  <c r="A306" i="4"/>
  <c r="A306" i="42" s="1"/>
  <c r="C306" i="42" s="1"/>
  <c r="A305" i="38"/>
  <c r="BD269" i="38"/>
  <c r="B277" i="4"/>
  <c r="C277" i="4"/>
  <c r="C269" i="46"/>
  <c r="B269" i="46"/>
  <c r="BD269" i="42"/>
  <c r="BE269" i="42"/>
  <c r="A305" i="50" l="1"/>
  <c r="A305" i="49"/>
  <c r="A305" i="47"/>
  <c r="A305" i="46"/>
  <c r="A305" i="43"/>
  <c r="A305" i="44"/>
  <c r="A307" i="4"/>
  <c r="A307" i="42" s="1"/>
  <c r="C307" i="42" s="1"/>
  <c r="A306" i="38"/>
  <c r="BD270" i="38"/>
  <c r="A305" i="39"/>
  <c r="A305" i="40"/>
  <c r="C305" i="38"/>
  <c r="C278" i="4"/>
  <c r="B278" i="4"/>
  <c r="C270" i="46"/>
  <c r="BD270" i="42"/>
  <c r="B270" i="46"/>
  <c r="BE270" i="42"/>
  <c r="A306" i="50" l="1"/>
  <c r="A306" i="49"/>
  <c r="A306" i="47"/>
  <c r="A306" i="46"/>
  <c r="A306" i="43"/>
  <c r="A306" i="44"/>
  <c r="BD271" i="38"/>
  <c r="A306" i="39"/>
  <c r="A306" i="40"/>
  <c r="C306" i="38"/>
  <c r="A308" i="4"/>
  <c r="A308" i="42" s="1"/>
  <c r="C308" i="42" s="1"/>
  <c r="A307" i="38"/>
  <c r="C279" i="4"/>
  <c r="B279" i="4"/>
  <c r="BD271" i="42"/>
  <c r="B271" i="46"/>
  <c r="BE271" i="42"/>
  <c r="C271" i="46"/>
  <c r="A307" i="50" l="1"/>
  <c r="A307" i="49"/>
  <c r="A307" i="47"/>
  <c r="A307" i="46"/>
  <c r="A307" i="43"/>
  <c r="A307" i="44"/>
  <c r="A307" i="39"/>
  <c r="A307" i="40"/>
  <c r="C307" i="38"/>
  <c r="A309" i="4"/>
  <c r="A309" i="42" s="1"/>
  <c r="C309" i="42" s="1"/>
  <c r="A308" i="38"/>
  <c r="BD272" i="38"/>
  <c r="C280" i="4"/>
  <c r="B280" i="4"/>
  <c r="BD272" i="42"/>
  <c r="B272" i="46"/>
  <c r="BE272" i="42"/>
  <c r="C272" i="46"/>
  <c r="A308" i="50" l="1"/>
  <c r="A308" i="49"/>
  <c r="A308" i="47"/>
  <c r="A308" i="46"/>
  <c r="A308" i="44"/>
  <c r="A308" i="43"/>
  <c r="A310" i="4"/>
  <c r="A310" i="42" s="1"/>
  <c r="C310" i="42" s="1"/>
  <c r="A309" i="38"/>
  <c r="A308" i="39"/>
  <c r="A308" i="40"/>
  <c r="C308" i="38"/>
  <c r="BD273" i="38"/>
  <c r="B281" i="4"/>
  <c r="C281" i="4"/>
  <c r="B273" i="46"/>
  <c r="BE273" i="42"/>
  <c r="C273" i="46"/>
  <c r="BD273" i="42"/>
  <c r="A309" i="50" l="1"/>
  <c r="A309" i="49"/>
  <c r="A309" i="47"/>
  <c r="A309" i="46"/>
  <c r="A309" i="44"/>
  <c r="A309" i="43"/>
  <c r="BD274" i="38"/>
  <c r="A309" i="39"/>
  <c r="A309" i="40"/>
  <c r="C309" i="38"/>
  <c r="A311" i="4"/>
  <c r="A311" i="42" s="1"/>
  <c r="C311" i="42" s="1"/>
  <c r="A310" i="38"/>
  <c r="C282" i="4"/>
  <c r="B282" i="4"/>
  <c r="B274" i="46"/>
  <c r="BE274" i="42"/>
  <c r="C274" i="46"/>
  <c r="BD274" i="42"/>
  <c r="A310" i="50" l="1"/>
  <c r="A310" i="49"/>
  <c r="A310" i="47"/>
  <c r="A310" i="46"/>
  <c r="A310" i="43"/>
  <c r="A310" i="44"/>
  <c r="A310" i="39"/>
  <c r="A310" i="40"/>
  <c r="C310" i="38"/>
  <c r="A312" i="4"/>
  <c r="A312" i="42" s="1"/>
  <c r="C312" i="42" s="1"/>
  <c r="A311" i="38"/>
  <c r="BD275" i="38"/>
  <c r="C283" i="4"/>
  <c r="B283" i="4"/>
  <c r="BE275" i="42"/>
  <c r="BD275" i="42"/>
  <c r="B275" i="46"/>
  <c r="C275" i="46"/>
  <c r="A311" i="50" l="1"/>
  <c r="A311" i="49"/>
  <c r="A311" i="47"/>
  <c r="A311" i="46"/>
  <c r="A311" i="43"/>
  <c r="A311" i="44"/>
  <c r="A311" i="39"/>
  <c r="A311" i="40"/>
  <c r="C311" i="38"/>
  <c r="A313" i="4"/>
  <c r="A313" i="42" s="1"/>
  <c r="C313" i="42" s="1"/>
  <c r="A312" i="38"/>
  <c r="BD276" i="38"/>
  <c r="C284" i="4"/>
  <c r="B284" i="4"/>
  <c r="BD276" i="42"/>
  <c r="BE276" i="42"/>
  <c r="C276" i="46"/>
  <c r="B276" i="46"/>
  <c r="A312" i="50" l="1"/>
  <c r="A312" i="49"/>
  <c r="A312" i="47"/>
  <c r="A312" i="46"/>
  <c r="A312" i="43"/>
  <c r="A312" i="44"/>
  <c r="A312" i="39"/>
  <c r="A312" i="40"/>
  <c r="C312" i="38"/>
  <c r="A313" i="38"/>
  <c r="A314" i="4"/>
  <c r="A314" i="42" s="1"/>
  <c r="C314" i="42" s="1"/>
  <c r="BD277" i="38"/>
  <c r="C285" i="4"/>
  <c r="B285" i="4"/>
  <c r="BD277" i="42"/>
  <c r="C277" i="46"/>
  <c r="B277" i="46"/>
  <c r="BE277" i="42"/>
  <c r="A313" i="50" l="1"/>
  <c r="A313" i="49"/>
  <c r="A313" i="47"/>
  <c r="A313" i="46"/>
  <c r="A313" i="43"/>
  <c r="A313" i="44"/>
  <c r="A313" i="39"/>
  <c r="A313" i="40"/>
  <c r="C313" i="38"/>
  <c r="A315" i="4"/>
  <c r="A315" i="42" s="1"/>
  <c r="C315" i="42" s="1"/>
  <c r="A314" i="38"/>
  <c r="BD278" i="38"/>
  <c r="C286" i="4"/>
  <c r="B286" i="4"/>
  <c r="C278" i="46"/>
  <c r="B278" i="46"/>
  <c r="BE278" i="42"/>
  <c r="BD278" i="42"/>
  <c r="A314" i="49" l="1"/>
  <c r="A314" i="50"/>
  <c r="A314" i="47"/>
  <c r="A314" i="46"/>
  <c r="A314" i="44"/>
  <c r="A314" i="43"/>
  <c r="A316" i="4"/>
  <c r="A316" i="42" s="1"/>
  <c r="C316" i="42" s="1"/>
  <c r="A315" i="38"/>
  <c r="A314" i="39"/>
  <c r="A314" i="40"/>
  <c r="C314" i="38"/>
  <c r="BD279" i="38"/>
  <c r="C287" i="4"/>
  <c r="B287" i="4"/>
  <c r="B279" i="46"/>
  <c r="BE279" i="42"/>
  <c r="C279" i="46"/>
  <c r="BD279" i="42"/>
  <c r="A315" i="50" l="1"/>
  <c r="A315" i="49"/>
  <c r="A315" i="47"/>
  <c r="A315" i="46"/>
  <c r="A315" i="44"/>
  <c r="A315" i="43"/>
  <c r="BD280" i="38"/>
  <c r="A315" i="39"/>
  <c r="A315" i="40"/>
  <c r="C315" i="38"/>
  <c r="A317" i="4"/>
  <c r="A317" i="42" s="1"/>
  <c r="C317" i="42" s="1"/>
  <c r="A316" i="38"/>
  <c r="B288" i="4"/>
  <c r="C288" i="4"/>
  <c r="BE280" i="42"/>
  <c r="C280" i="46"/>
  <c r="BD280" i="42"/>
  <c r="B280" i="46"/>
  <c r="A316" i="50" l="1"/>
  <c r="A316" i="49"/>
  <c r="A316" i="47"/>
  <c r="A316" i="46"/>
  <c r="A316" i="43"/>
  <c r="A316" i="44"/>
  <c r="A316" i="39"/>
  <c r="A316" i="40"/>
  <c r="C316" i="38"/>
  <c r="A318" i="4"/>
  <c r="A318" i="42" s="1"/>
  <c r="C318" i="42" s="1"/>
  <c r="A317" i="38"/>
  <c r="BD281" i="38"/>
  <c r="C289" i="4"/>
  <c r="B289" i="4"/>
  <c r="BE281" i="42"/>
  <c r="B281" i="46"/>
  <c r="C281" i="46"/>
  <c r="BD281" i="42"/>
  <c r="A317" i="50" l="1"/>
  <c r="A317" i="49"/>
  <c r="A317" i="47"/>
  <c r="A317" i="46"/>
  <c r="A317" i="43"/>
  <c r="A317" i="44"/>
  <c r="BD282" i="38"/>
  <c r="A317" i="39"/>
  <c r="A317" i="40"/>
  <c r="C317" i="38"/>
  <c r="A319" i="4"/>
  <c r="A319" i="42" s="1"/>
  <c r="C319" i="42" s="1"/>
  <c r="A318" i="38"/>
  <c r="C290" i="4"/>
  <c r="B290" i="4"/>
  <c r="BE282" i="42"/>
  <c r="C282" i="46"/>
  <c r="BD282" i="42"/>
  <c r="B282" i="46"/>
  <c r="A318" i="50" l="1"/>
  <c r="A318" i="49"/>
  <c r="A318" i="47"/>
  <c r="A318" i="46"/>
  <c r="A318" i="43"/>
  <c r="A318" i="44"/>
  <c r="A318" i="39"/>
  <c r="A318" i="40"/>
  <c r="C318" i="38"/>
  <c r="A320" i="4"/>
  <c r="A320" i="42" s="1"/>
  <c r="C320" i="42" s="1"/>
  <c r="A319" i="38"/>
  <c r="BD283" i="38"/>
  <c r="C291" i="4"/>
  <c r="B291" i="4"/>
  <c r="BD283" i="42"/>
  <c r="BE283" i="42"/>
  <c r="B283" i="46"/>
  <c r="C283" i="46"/>
  <c r="A319" i="50" l="1"/>
  <c r="A319" i="49"/>
  <c r="A319" i="47"/>
  <c r="A319" i="46"/>
  <c r="A319" i="43"/>
  <c r="A319" i="44"/>
  <c r="A319" i="39"/>
  <c r="A319" i="40"/>
  <c r="C319" i="38"/>
  <c r="BD284" i="38"/>
  <c r="A321" i="4"/>
  <c r="A321" i="42" s="1"/>
  <c r="C321" i="42" s="1"/>
  <c r="A320" i="38"/>
  <c r="B292" i="4"/>
  <c r="C292" i="4"/>
  <c r="C284" i="46"/>
  <c r="BD284" i="42"/>
  <c r="BE284" i="42"/>
  <c r="B284" i="46"/>
  <c r="A320" i="50" l="1"/>
  <c r="A320" i="49"/>
  <c r="A320" i="47"/>
  <c r="A320" i="46"/>
  <c r="A320" i="44"/>
  <c r="A320" i="43"/>
  <c r="BD285" i="38"/>
  <c r="A320" i="39"/>
  <c r="A320" i="40"/>
  <c r="C320" i="38"/>
  <c r="A322" i="4"/>
  <c r="A322" i="42" s="1"/>
  <c r="C322" i="42" s="1"/>
  <c r="A321" i="38"/>
  <c r="C293" i="4"/>
  <c r="B293" i="4"/>
  <c r="C285" i="46"/>
  <c r="B285" i="46"/>
  <c r="BE285" i="42"/>
  <c r="BD285" i="42"/>
  <c r="A321" i="50" l="1"/>
  <c r="A321" i="49"/>
  <c r="A321" i="47"/>
  <c r="A321" i="46"/>
  <c r="A321" i="44"/>
  <c r="A321" i="43"/>
  <c r="A321" i="39"/>
  <c r="A321" i="40"/>
  <c r="C321" i="38"/>
  <c r="A323" i="4"/>
  <c r="A323" i="42" s="1"/>
  <c r="C323" i="42" s="1"/>
  <c r="A322" i="38"/>
  <c r="BD286" i="38"/>
  <c r="C294" i="4"/>
  <c r="B294" i="4"/>
  <c r="BE286" i="42"/>
  <c r="C286" i="46"/>
  <c r="BD286" i="42"/>
  <c r="B286" i="46"/>
  <c r="A322" i="50" l="1"/>
  <c r="A322" i="49"/>
  <c r="A322" i="47"/>
  <c r="A322" i="46"/>
  <c r="A322" i="43"/>
  <c r="A322" i="44"/>
  <c r="BD287" i="38"/>
  <c r="A322" i="39"/>
  <c r="A322" i="40"/>
  <c r="C322" i="38"/>
  <c r="A324" i="4"/>
  <c r="A324" i="42" s="1"/>
  <c r="C324" i="42" s="1"/>
  <c r="A323" i="38"/>
  <c r="C295" i="4"/>
  <c r="B295" i="4"/>
  <c r="C287" i="46"/>
  <c r="BD287" i="42"/>
  <c r="BE287" i="42"/>
  <c r="B287" i="46"/>
  <c r="A323" i="50" l="1"/>
  <c r="A323" i="49"/>
  <c r="A323" i="47"/>
  <c r="A323" i="46"/>
  <c r="A323" i="43"/>
  <c r="A323" i="44"/>
  <c r="A323" i="39"/>
  <c r="A323" i="40"/>
  <c r="C323" i="38"/>
  <c r="A325" i="4"/>
  <c r="A325" i="42" s="1"/>
  <c r="C325" i="42" s="1"/>
  <c r="A324" i="38"/>
  <c r="BD288" i="38"/>
  <c r="B296" i="4"/>
  <c r="C296" i="4"/>
  <c r="C288" i="46"/>
  <c r="BD288" i="42"/>
  <c r="BE288" i="42"/>
  <c r="B288" i="46"/>
  <c r="A324" i="50" l="1"/>
  <c r="A324" i="49"/>
  <c r="A324" i="47"/>
  <c r="A324" i="46"/>
  <c r="A324" i="43"/>
  <c r="A324" i="44"/>
  <c r="A326" i="4"/>
  <c r="A326" i="42" s="1"/>
  <c r="C326" i="42" s="1"/>
  <c r="A325" i="38"/>
  <c r="A324" i="39"/>
  <c r="A324" i="40"/>
  <c r="C324" i="38"/>
  <c r="BD289" i="38"/>
  <c r="C297" i="4"/>
  <c r="B297" i="4"/>
  <c r="B289" i="46"/>
  <c r="BD289" i="42"/>
  <c r="BE289" i="42"/>
  <c r="C289" i="46"/>
  <c r="A325" i="50" l="1"/>
  <c r="A325" i="49"/>
  <c r="A325" i="47"/>
  <c r="A325" i="46"/>
  <c r="A325" i="43"/>
  <c r="A325" i="44"/>
  <c r="BD290" i="38"/>
  <c r="A325" i="39"/>
  <c r="A325" i="40"/>
  <c r="C325" i="38"/>
  <c r="A327" i="4"/>
  <c r="A327" i="42" s="1"/>
  <c r="C327" i="42" s="1"/>
  <c r="A326" i="38"/>
  <c r="C298" i="4"/>
  <c r="B298" i="4"/>
  <c r="BD290" i="42"/>
  <c r="BE290" i="42"/>
  <c r="B290" i="46"/>
  <c r="C290" i="46"/>
  <c r="A326" i="50" l="1"/>
  <c r="A326" i="49"/>
  <c r="A326" i="47"/>
  <c r="A326" i="46"/>
  <c r="A326" i="44"/>
  <c r="A326" i="43"/>
  <c r="A326" i="39"/>
  <c r="A326" i="40"/>
  <c r="C326" i="38"/>
  <c r="A328" i="4"/>
  <c r="A328" i="42" s="1"/>
  <c r="C328" i="42" s="1"/>
  <c r="A327" i="38"/>
  <c r="BD291" i="38"/>
  <c r="C299" i="4"/>
  <c r="B299" i="4"/>
  <c r="BD291" i="42"/>
  <c r="B291" i="46"/>
  <c r="BE291" i="42"/>
  <c r="C291" i="46"/>
  <c r="A327" i="50" l="1"/>
  <c r="A327" i="49"/>
  <c r="A327" i="47"/>
  <c r="A327" i="46"/>
  <c r="A327" i="44"/>
  <c r="A327" i="43"/>
  <c r="A329" i="4"/>
  <c r="A329" i="42" s="1"/>
  <c r="C329" i="42" s="1"/>
  <c r="A328" i="38"/>
  <c r="BD292" i="38"/>
  <c r="A327" i="40"/>
  <c r="C327" i="38"/>
  <c r="A327" i="39"/>
  <c r="B300" i="4"/>
  <c r="C300" i="4"/>
  <c r="B292" i="46"/>
  <c r="C292" i="46"/>
  <c r="BE292" i="42"/>
  <c r="BD292" i="42"/>
  <c r="A328" i="50" l="1"/>
  <c r="A328" i="49"/>
  <c r="A328" i="47"/>
  <c r="A328" i="46"/>
  <c r="A328" i="43"/>
  <c r="A328" i="44"/>
  <c r="BD293" i="38"/>
  <c r="A328" i="40"/>
  <c r="C328" i="38"/>
  <c r="A328" i="39"/>
  <c r="A330" i="4"/>
  <c r="A330" i="42" s="1"/>
  <c r="C330" i="42" s="1"/>
  <c r="A329" i="38"/>
  <c r="C301" i="4"/>
  <c r="B301" i="4"/>
  <c r="BD293" i="42"/>
  <c r="B293" i="46"/>
  <c r="C293" i="46"/>
  <c r="BE293" i="42"/>
  <c r="A329" i="50" l="1"/>
  <c r="A329" i="49"/>
  <c r="A329" i="47"/>
  <c r="A329" i="46"/>
  <c r="A329" i="43"/>
  <c r="A329" i="44"/>
  <c r="A329" i="40"/>
  <c r="A329" i="39"/>
  <c r="C329" i="38"/>
  <c r="A331" i="4"/>
  <c r="A331" i="42" s="1"/>
  <c r="C331" i="42" s="1"/>
  <c r="A330" i="38"/>
  <c r="BD294" i="38"/>
  <c r="C302" i="4"/>
  <c r="B302" i="4"/>
  <c r="BD294" i="42"/>
  <c r="BE294" i="42"/>
  <c r="C294" i="46"/>
  <c r="B294" i="46"/>
  <c r="A330" i="50" l="1"/>
  <c r="A330" i="49"/>
  <c r="A330" i="47"/>
  <c r="A330" i="46"/>
  <c r="A330" i="43"/>
  <c r="A330" i="44"/>
  <c r="BD295" i="38"/>
  <c r="A332" i="4"/>
  <c r="A332" i="42" s="1"/>
  <c r="C332" i="42" s="1"/>
  <c r="A331" i="38"/>
  <c r="A330" i="40"/>
  <c r="C330" i="38"/>
  <c r="A330" i="39"/>
  <c r="C303" i="4"/>
  <c r="B303" i="4"/>
  <c r="C295" i="46"/>
  <c r="BE295" i="42"/>
  <c r="B295" i="46"/>
  <c r="BD295" i="42"/>
  <c r="A331" i="50" l="1"/>
  <c r="A331" i="49"/>
  <c r="A331" i="47"/>
  <c r="A331" i="46"/>
  <c r="A331" i="43"/>
  <c r="A331" i="44"/>
  <c r="A331" i="40"/>
  <c r="C331" i="38"/>
  <c r="A331" i="39"/>
  <c r="A333" i="4"/>
  <c r="A333" i="42" s="1"/>
  <c r="C333" i="42" s="1"/>
  <c r="A332" i="38"/>
  <c r="BD296" i="38"/>
  <c r="B304" i="4"/>
  <c r="C304" i="4"/>
  <c r="C296" i="46"/>
  <c r="BD296" i="42"/>
  <c r="BE296" i="42"/>
  <c r="B296" i="46"/>
  <c r="A332" i="50" l="1"/>
  <c r="A332" i="49"/>
  <c r="A332" i="47"/>
  <c r="A332" i="46"/>
  <c r="A332" i="44"/>
  <c r="A332" i="43"/>
  <c r="A334" i="4"/>
  <c r="A334" i="42" s="1"/>
  <c r="C334" i="42" s="1"/>
  <c r="A333" i="38"/>
  <c r="BD297" i="38"/>
  <c r="A332" i="40"/>
  <c r="A332" i="39"/>
  <c r="C332" i="38"/>
  <c r="B305" i="4"/>
  <c r="C305" i="4"/>
  <c r="BE297" i="42"/>
  <c r="B297" i="46"/>
  <c r="BD297" i="42"/>
  <c r="C297" i="46"/>
  <c r="A333" i="50" l="1"/>
  <c r="A333" i="49"/>
  <c r="A333" i="47"/>
  <c r="A333" i="46"/>
  <c r="A333" i="44"/>
  <c r="A333" i="43"/>
  <c r="BD298" i="38"/>
  <c r="A333" i="40"/>
  <c r="C333" i="38"/>
  <c r="A333" i="39"/>
  <c r="A334" i="38"/>
  <c r="A335" i="4"/>
  <c r="A335" i="42" s="1"/>
  <c r="C335" i="42" s="1"/>
  <c r="B306" i="4"/>
  <c r="C306" i="4"/>
  <c r="C298" i="46"/>
  <c r="BD298" i="42"/>
  <c r="BE298" i="42"/>
  <c r="B298" i="46"/>
  <c r="A334" i="50" l="1"/>
  <c r="A334" i="49"/>
  <c r="A334" i="47"/>
  <c r="A334" i="46"/>
  <c r="A334" i="43"/>
  <c r="A334" i="44"/>
  <c r="A336" i="4"/>
  <c r="A336" i="42" s="1"/>
  <c r="C336" i="42" s="1"/>
  <c r="A335" i="38"/>
  <c r="A334" i="39"/>
  <c r="A334" i="40"/>
  <c r="C334" i="38"/>
  <c r="BD299" i="38"/>
  <c r="C307" i="4"/>
  <c r="B307" i="4"/>
  <c r="BE299" i="42"/>
  <c r="B299" i="46"/>
  <c r="C299" i="46"/>
  <c r="BD299" i="42"/>
  <c r="A335" i="50" l="1"/>
  <c r="A335" i="49"/>
  <c r="A335" i="47"/>
  <c r="A335" i="46"/>
  <c r="A335" i="43"/>
  <c r="A335" i="44"/>
  <c r="BD300" i="38"/>
  <c r="A335" i="39"/>
  <c r="A335" i="40"/>
  <c r="C335" i="38"/>
  <c r="A337" i="4"/>
  <c r="A337" i="42" s="1"/>
  <c r="C337" i="42" s="1"/>
  <c r="A336" i="38"/>
  <c r="B308" i="4"/>
  <c r="C308" i="4"/>
  <c r="C300" i="46"/>
  <c r="BD300" i="42"/>
  <c r="B300" i="46"/>
  <c r="BE300" i="42"/>
  <c r="A336" i="50" l="1"/>
  <c r="A336" i="49"/>
  <c r="A336" i="47"/>
  <c r="A336" i="46"/>
  <c r="A336" i="43"/>
  <c r="A336" i="44"/>
  <c r="A336" i="40"/>
  <c r="C336" i="38"/>
  <c r="A336" i="39"/>
  <c r="A338" i="4"/>
  <c r="A338" i="42" s="1"/>
  <c r="C338" i="42" s="1"/>
  <c r="A337" i="38"/>
  <c r="BD301" i="38"/>
  <c r="C309" i="4"/>
  <c r="B309" i="4"/>
  <c r="BD301" i="42"/>
  <c r="C301" i="46"/>
  <c r="B301" i="46"/>
  <c r="BE301" i="42"/>
  <c r="A337" i="50" l="1"/>
  <c r="A337" i="49"/>
  <c r="A337" i="47"/>
  <c r="A337" i="46"/>
  <c r="A337" i="43"/>
  <c r="A337" i="44"/>
  <c r="BD302" i="38"/>
  <c r="A337" i="40"/>
  <c r="A337" i="39"/>
  <c r="C337" i="38"/>
  <c r="A339" i="4"/>
  <c r="A339" i="42" s="1"/>
  <c r="C339" i="42" s="1"/>
  <c r="A338" i="38"/>
  <c r="C310" i="4"/>
  <c r="B310" i="4"/>
  <c r="BE302" i="42"/>
  <c r="BD302" i="42"/>
  <c r="C302" i="46"/>
  <c r="B302" i="46"/>
  <c r="A338" i="50" l="1"/>
  <c r="A338" i="49"/>
  <c r="A338" i="47"/>
  <c r="A338" i="46"/>
  <c r="A338" i="44"/>
  <c r="A338" i="43"/>
  <c r="A338" i="40"/>
  <c r="C338" i="38"/>
  <c r="A338" i="39"/>
  <c r="A340" i="4"/>
  <c r="A340" i="42" s="1"/>
  <c r="C340" i="42" s="1"/>
  <c r="A339" i="38"/>
  <c r="BD303" i="38"/>
  <c r="C311" i="4"/>
  <c r="B311" i="4"/>
  <c r="BD303" i="42"/>
  <c r="B303" i="46"/>
  <c r="C303" i="46"/>
  <c r="BE303" i="42"/>
  <c r="A339" i="50" l="1"/>
  <c r="A339" i="49"/>
  <c r="A339" i="47"/>
  <c r="A339" i="46"/>
  <c r="A339" i="44"/>
  <c r="A339" i="43"/>
  <c r="A339" i="40"/>
  <c r="C339" i="38"/>
  <c r="A339" i="39"/>
  <c r="A341" i="4"/>
  <c r="A341" i="42" s="1"/>
  <c r="C341" i="42" s="1"/>
  <c r="A340" i="38"/>
  <c r="BD304" i="38"/>
  <c r="B312" i="4"/>
  <c r="C312" i="4"/>
  <c r="BD304" i="42"/>
  <c r="B304" i="46"/>
  <c r="BE304" i="42"/>
  <c r="C304" i="46"/>
  <c r="A340" i="50" l="1"/>
  <c r="A340" i="49"/>
  <c r="A340" i="47"/>
  <c r="A340" i="46"/>
  <c r="A340" i="43"/>
  <c r="A340" i="44"/>
  <c r="A342" i="4"/>
  <c r="A342" i="42" s="1"/>
  <c r="C342" i="42" s="1"/>
  <c r="A341" i="38"/>
  <c r="A340" i="40"/>
  <c r="A340" i="39"/>
  <c r="C340" i="38"/>
  <c r="BD305" i="38"/>
  <c r="C313" i="4"/>
  <c r="B313" i="4"/>
  <c r="B305" i="46"/>
  <c r="C305" i="46"/>
  <c r="BE305" i="42"/>
  <c r="BD305" i="42"/>
  <c r="A341" i="50" l="1"/>
  <c r="A341" i="49"/>
  <c r="A341" i="47"/>
  <c r="A341" i="46"/>
  <c r="A341" i="43"/>
  <c r="A341" i="44"/>
  <c r="BD306" i="38"/>
  <c r="A341" i="39"/>
  <c r="A341" i="40"/>
  <c r="C341" i="38"/>
  <c r="A343" i="4"/>
  <c r="A343" i="42" s="1"/>
  <c r="C343" i="42" s="1"/>
  <c r="A342" i="38"/>
  <c r="C314" i="4"/>
  <c r="B314" i="4"/>
  <c r="C306" i="46"/>
  <c r="BD306" i="42"/>
  <c r="B306" i="46"/>
  <c r="BE306" i="42"/>
  <c r="A342" i="50" l="1"/>
  <c r="A342" i="49"/>
  <c r="A342" i="47"/>
  <c r="A342" i="46"/>
  <c r="A342" i="43"/>
  <c r="A342" i="44"/>
  <c r="A342" i="40"/>
  <c r="C342" i="38"/>
  <c r="A342" i="39"/>
  <c r="A344" i="4"/>
  <c r="A344" i="42" s="1"/>
  <c r="C344" i="42" s="1"/>
  <c r="A343" i="38"/>
  <c r="BD307" i="38"/>
  <c r="C315" i="4"/>
  <c r="B315" i="4"/>
  <c r="B307" i="46"/>
  <c r="BE307" i="42"/>
  <c r="BD307" i="42"/>
  <c r="C307" i="46"/>
  <c r="A343" i="50" l="1"/>
  <c r="A343" i="49"/>
  <c r="A343" i="47"/>
  <c r="A343" i="46"/>
  <c r="A343" i="43"/>
  <c r="A343" i="44"/>
  <c r="A345" i="4"/>
  <c r="A345" i="42" s="1"/>
  <c r="C345" i="42" s="1"/>
  <c r="A344" i="38"/>
  <c r="A343" i="40"/>
  <c r="C343" i="38"/>
  <c r="A343" i="39"/>
  <c r="BD308" i="38"/>
  <c r="B316" i="4"/>
  <c r="C316" i="4"/>
  <c r="C308" i="46"/>
  <c r="BE308" i="42"/>
  <c r="B308" i="46"/>
  <c r="BD308" i="42"/>
  <c r="A344" i="50" l="1"/>
  <c r="A344" i="49"/>
  <c r="A344" i="47"/>
  <c r="A344" i="46"/>
  <c r="A344" i="44"/>
  <c r="A344" i="43"/>
  <c r="BD309" i="38"/>
  <c r="A344" i="39"/>
  <c r="A344" i="40"/>
  <c r="C344" i="38"/>
  <c r="A346" i="4"/>
  <c r="A346" i="42" s="1"/>
  <c r="C346" i="42" s="1"/>
  <c r="A345" i="38"/>
  <c r="C317" i="4"/>
  <c r="B317" i="4"/>
  <c r="BE309" i="42"/>
  <c r="BD309" i="42"/>
  <c r="C309" i="46"/>
  <c r="B309" i="46"/>
  <c r="A345" i="50" l="1"/>
  <c r="A345" i="49"/>
  <c r="A345" i="47"/>
  <c r="A345" i="46"/>
  <c r="A345" i="44"/>
  <c r="A345" i="43"/>
  <c r="A345" i="40"/>
  <c r="A345" i="39"/>
  <c r="C345" i="38"/>
  <c r="A347" i="4"/>
  <c r="A347" i="42" s="1"/>
  <c r="C347" i="42" s="1"/>
  <c r="A346" i="38"/>
  <c r="BD310" i="38"/>
  <c r="C318" i="4"/>
  <c r="B318" i="4"/>
  <c r="BD310" i="42"/>
  <c r="C310" i="46"/>
  <c r="BE310" i="42"/>
  <c r="B310" i="46"/>
  <c r="A346" i="50" l="1"/>
  <c r="A346" i="49"/>
  <c r="A346" i="47"/>
  <c r="A346" i="46"/>
  <c r="A346" i="43"/>
  <c r="A346" i="44"/>
  <c r="A348" i="4"/>
  <c r="A348" i="42" s="1"/>
  <c r="C348" i="42" s="1"/>
  <c r="A347" i="38"/>
  <c r="A346" i="39"/>
  <c r="A346" i="40"/>
  <c r="C346" i="38"/>
  <c r="BD311" i="38"/>
  <c r="C319" i="4"/>
  <c r="B319" i="4"/>
  <c r="BD311" i="42"/>
  <c r="C311" i="46"/>
  <c r="B311" i="46"/>
  <c r="BE311" i="42"/>
  <c r="A347" i="50" l="1"/>
  <c r="A347" i="49"/>
  <c r="A347" i="47"/>
  <c r="A347" i="46"/>
  <c r="A347" i="43"/>
  <c r="A347" i="44"/>
  <c r="BD312" i="38"/>
  <c r="A347" i="40"/>
  <c r="C347" i="38"/>
  <c r="A347" i="39"/>
  <c r="A349" i="4"/>
  <c r="A349" i="42" s="1"/>
  <c r="C349" i="42" s="1"/>
  <c r="A348" i="38"/>
  <c r="B320" i="4"/>
  <c r="C320" i="4"/>
  <c r="C312" i="46"/>
  <c r="BE312" i="42"/>
  <c r="B312" i="46"/>
  <c r="BD312" i="42"/>
  <c r="A348" i="50" l="1"/>
  <c r="A348" i="49"/>
  <c r="A348" i="47"/>
  <c r="A348" i="46"/>
  <c r="A348" i="43"/>
  <c r="A348" i="44"/>
  <c r="A348" i="39"/>
  <c r="A348" i="40"/>
  <c r="C348" i="38"/>
  <c r="A350" i="4"/>
  <c r="A350" i="42" s="1"/>
  <c r="C350" i="42" s="1"/>
  <c r="A349" i="38"/>
  <c r="BD313" i="38"/>
  <c r="C321" i="4"/>
  <c r="B321" i="4"/>
  <c r="C313" i="46"/>
  <c r="BD313" i="42"/>
  <c r="B313" i="46"/>
  <c r="BE313" i="42"/>
  <c r="A349" i="50" l="1"/>
  <c r="A349" i="49"/>
  <c r="A349" i="47"/>
  <c r="A349" i="46"/>
  <c r="A349" i="43"/>
  <c r="A349" i="44"/>
  <c r="BD314" i="38"/>
  <c r="A349" i="40"/>
  <c r="C349" i="38"/>
  <c r="A349" i="39"/>
  <c r="A351" i="4"/>
  <c r="A351" i="42" s="1"/>
  <c r="C351" i="42" s="1"/>
  <c r="A350" i="38"/>
  <c r="C322" i="4"/>
  <c r="B322" i="4"/>
  <c r="C314" i="46"/>
  <c r="BD314" i="42"/>
  <c r="B314" i="46"/>
  <c r="BE314" i="42"/>
  <c r="A350" i="49" l="1"/>
  <c r="A350" i="50"/>
  <c r="A350" i="47"/>
  <c r="A350" i="46"/>
  <c r="A350" i="44"/>
  <c r="A350" i="43"/>
  <c r="A350" i="40"/>
  <c r="A350" i="39"/>
  <c r="C350" i="38"/>
  <c r="A352" i="4"/>
  <c r="A352" i="42" s="1"/>
  <c r="C352" i="42" s="1"/>
  <c r="A351" i="38"/>
  <c r="BD315" i="38"/>
  <c r="C323" i="4"/>
  <c r="B323" i="4"/>
  <c r="BD315" i="42"/>
  <c r="B315" i="46"/>
  <c r="C315" i="46"/>
  <c r="BE315" i="42"/>
  <c r="A351" i="50" l="1"/>
  <c r="A351" i="49"/>
  <c r="A351" i="47"/>
  <c r="A351" i="46"/>
  <c r="A351" i="44"/>
  <c r="A351" i="43"/>
  <c r="BD316" i="38"/>
  <c r="A353" i="4"/>
  <c r="A353" i="42" s="1"/>
  <c r="C353" i="42" s="1"/>
  <c r="A352" i="38"/>
  <c r="A351" i="40"/>
  <c r="C351" i="38"/>
  <c r="A351" i="39"/>
  <c r="B324" i="4"/>
  <c r="C324" i="4"/>
  <c r="BD316" i="42"/>
  <c r="B316" i="46"/>
  <c r="C316" i="46"/>
  <c r="BE316" i="42"/>
  <c r="A352" i="50" l="1"/>
  <c r="A352" i="49"/>
  <c r="A352" i="47"/>
  <c r="A352" i="46"/>
  <c r="A352" i="44"/>
  <c r="A352" i="43"/>
  <c r="A352" i="39"/>
  <c r="A352" i="40"/>
  <c r="C352" i="38"/>
  <c r="A354" i="4"/>
  <c r="A354" i="42" s="1"/>
  <c r="C354" i="42" s="1"/>
  <c r="A353" i="38"/>
  <c r="BD317" i="38"/>
  <c r="C325" i="4"/>
  <c r="B325" i="4"/>
  <c r="C317" i="46"/>
  <c r="BD317" i="42"/>
  <c r="B317" i="46"/>
  <c r="BE317" i="42"/>
  <c r="A353" i="50" l="1"/>
  <c r="A353" i="49"/>
  <c r="A353" i="47"/>
  <c r="A353" i="46"/>
  <c r="A353" i="43"/>
  <c r="A353" i="44"/>
  <c r="A355" i="4"/>
  <c r="A355" i="42" s="1"/>
  <c r="C355" i="42" s="1"/>
  <c r="A354" i="38"/>
  <c r="A353" i="39"/>
  <c r="A353" i="40"/>
  <c r="C353" i="38"/>
  <c r="BD318" i="38"/>
  <c r="C326" i="4"/>
  <c r="B326" i="4"/>
  <c r="B318" i="46"/>
  <c r="BE318" i="42"/>
  <c r="BD318" i="42"/>
  <c r="C318" i="46"/>
  <c r="A354" i="50" l="1"/>
  <c r="A354" i="49"/>
  <c r="A354" i="47"/>
  <c r="A354" i="46"/>
  <c r="A354" i="43"/>
  <c r="A354" i="44"/>
  <c r="BD319" i="38"/>
  <c r="A354" i="40"/>
  <c r="C354" i="38"/>
  <c r="A354" i="39"/>
  <c r="A355" i="38"/>
  <c r="A356" i="4"/>
  <c r="A356" i="42" s="1"/>
  <c r="C356" i="42" s="1"/>
  <c r="C327" i="4"/>
  <c r="B327" i="4"/>
  <c r="BD319" i="42"/>
  <c r="C319" i="46"/>
  <c r="B319" i="46"/>
  <c r="BE319" i="42"/>
  <c r="A355" i="50" l="1"/>
  <c r="A355" i="49"/>
  <c r="A355" i="47"/>
  <c r="A355" i="46"/>
  <c r="A355" i="43"/>
  <c r="A355" i="44"/>
  <c r="A357" i="4"/>
  <c r="A357" i="42" s="1"/>
  <c r="C357" i="42" s="1"/>
  <c r="A356" i="38"/>
  <c r="A355" i="39"/>
  <c r="A355" i="40"/>
  <c r="C355" i="38"/>
  <c r="BD320" i="38"/>
  <c r="B328" i="4"/>
  <c r="C328" i="4"/>
  <c r="BE320" i="42"/>
  <c r="B320" i="46"/>
  <c r="C320" i="46"/>
  <c r="BD320" i="42"/>
  <c r="A356" i="50" l="1"/>
  <c r="A356" i="49"/>
  <c r="A356" i="47"/>
  <c r="A356" i="46"/>
  <c r="A356" i="44"/>
  <c r="A356" i="43"/>
  <c r="A356" i="39"/>
  <c r="A356" i="40"/>
  <c r="C356" i="38"/>
  <c r="BD321" i="38"/>
  <c r="A358" i="4"/>
  <c r="A358" i="42" s="1"/>
  <c r="C358" i="42" s="1"/>
  <c r="A357" i="38"/>
  <c r="C329" i="4"/>
  <c r="B329" i="4"/>
  <c r="BE321" i="42"/>
  <c r="BD321" i="42"/>
  <c r="B321" i="46"/>
  <c r="C321" i="46"/>
  <c r="A357" i="50" l="1"/>
  <c r="A357" i="49"/>
  <c r="A357" i="47"/>
  <c r="A357" i="46"/>
  <c r="A357" i="44"/>
  <c r="A357" i="43"/>
  <c r="BD322" i="38"/>
  <c r="A357" i="39"/>
  <c r="A357" i="40"/>
  <c r="C357" i="38"/>
  <c r="A359" i="4"/>
  <c r="A359" i="42" s="1"/>
  <c r="C359" i="42" s="1"/>
  <c r="A358" i="38"/>
  <c r="C330" i="4"/>
  <c r="B330" i="4"/>
  <c r="C322" i="46"/>
  <c r="BD322" i="42"/>
  <c r="B322" i="46"/>
  <c r="BE322" i="42"/>
  <c r="A358" i="50" l="1"/>
  <c r="A358" i="49"/>
  <c r="A358" i="47"/>
  <c r="A358" i="46"/>
  <c r="A358" i="44"/>
  <c r="A358" i="43"/>
  <c r="A358" i="39"/>
  <c r="A358" i="40"/>
  <c r="C358" i="38"/>
  <c r="A360" i="4"/>
  <c r="A360" i="42" s="1"/>
  <c r="C360" i="42" s="1"/>
  <c r="A359" i="38"/>
  <c r="BD323" i="38"/>
  <c r="C331" i="4"/>
  <c r="B331" i="4"/>
  <c r="BD323" i="42"/>
  <c r="C323" i="46"/>
  <c r="BE323" i="42"/>
  <c r="B323" i="46"/>
  <c r="A359" i="50" l="1"/>
  <c r="A359" i="49"/>
  <c r="A359" i="47"/>
  <c r="A359" i="46"/>
  <c r="A359" i="43"/>
  <c r="A359" i="44"/>
  <c r="A361" i="4"/>
  <c r="A361" i="42" s="1"/>
  <c r="C361" i="42" s="1"/>
  <c r="A360" i="38"/>
  <c r="A359" i="39"/>
  <c r="A359" i="40"/>
  <c r="C359" i="38"/>
  <c r="BD324" i="38"/>
  <c r="B332" i="4"/>
  <c r="C332" i="4"/>
  <c r="BD324" i="42"/>
  <c r="BE324" i="42"/>
  <c r="C324" i="46"/>
  <c r="B324" i="46"/>
  <c r="A360" i="50" l="1"/>
  <c r="A360" i="49"/>
  <c r="A360" i="47"/>
  <c r="A360" i="46"/>
  <c r="A360" i="43"/>
  <c r="A360" i="44"/>
  <c r="BD325" i="38"/>
  <c r="A360" i="39"/>
  <c r="A360" i="40"/>
  <c r="C360" i="38"/>
  <c r="A362" i="4"/>
  <c r="A362" i="42" s="1"/>
  <c r="C362" i="42" s="1"/>
  <c r="A361" i="38"/>
  <c r="C333" i="4"/>
  <c r="B333" i="4"/>
  <c r="BE325" i="42"/>
  <c r="B325" i="46"/>
  <c r="C325" i="46"/>
  <c r="BD325" i="42"/>
  <c r="A361" i="50" l="1"/>
  <c r="A361" i="49"/>
  <c r="A361" i="47"/>
  <c r="A361" i="46"/>
  <c r="A361" i="43"/>
  <c r="A361" i="44"/>
  <c r="A361" i="39"/>
  <c r="A361" i="40"/>
  <c r="C361" i="38"/>
  <c r="A363" i="4"/>
  <c r="A363" i="42" s="1"/>
  <c r="C363" i="42" s="1"/>
  <c r="A362" i="38"/>
  <c r="BD326" i="38"/>
  <c r="C334" i="4"/>
  <c r="B334" i="4"/>
  <c r="C326" i="46"/>
  <c r="BD326" i="42"/>
  <c r="B326" i="46"/>
  <c r="BE326" i="42"/>
  <c r="A362" i="50" l="1"/>
  <c r="A362" i="49"/>
  <c r="A362" i="47"/>
  <c r="A362" i="46"/>
  <c r="A362" i="44"/>
  <c r="A362" i="43"/>
  <c r="A364" i="4"/>
  <c r="A364" i="42" s="1"/>
  <c r="C364" i="42" s="1"/>
  <c r="A363" i="38"/>
  <c r="BD327" i="38"/>
  <c r="A362" i="39"/>
  <c r="A362" i="40"/>
  <c r="C362" i="38"/>
  <c r="C335" i="4"/>
  <c r="B335" i="4"/>
  <c r="B327" i="46"/>
  <c r="C327" i="46"/>
  <c r="BD327" i="42"/>
  <c r="BE327" i="42"/>
  <c r="A363" i="50" l="1"/>
  <c r="A363" i="49"/>
  <c r="A363" i="47"/>
  <c r="A363" i="46"/>
  <c r="A363" i="44"/>
  <c r="A363" i="43"/>
  <c r="BD328" i="38"/>
  <c r="A363" i="40"/>
  <c r="A363" i="39"/>
  <c r="C363" i="38"/>
  <c r="A365" i="4"/>
  <c r="A365" i="42" s="1"/>
  <c r="C365" i="42" s="1"/>
  <c r="A364" i="38"/>
  <c r="B336" i="4"/>
  <c r="C336" i="4"/>
  <c r="BE328" i="42"/>
  <c r="BD328" i="42"/>
  <c r="C328" i="46"/>
  <c r="B328" i="46"/>
  <c r="A364" i="50" l="1"/>
  <c r="A364" i="49"/>
  <c r="A364" i="47"/>
  <c r="A364" i="46"/>
  <c r="A364" i="44"/>
  <c r="A364" i="43"/>
  <c r="A364" i="40"/>
  <c r="C364" i="38"/>
  <c r="A364" i="39"/>
  <c r="A366" i="4"/>
  <c r="A366" i="42" s="1"/>
  <c r="C366" i="42" s="1"/>
  <c r="A365" i="38"/>
  <c r="BD329" i="38"/>
  <c r="C337" i="4"/>
  <c r="B337" i="4"/>
  <c r="B329" i="46"/>
  <c r="C329" i="46"/>
  <c r="BE329" i="42"/>
  <c r="BD329" i="42"/>
  <c r="A365" i="50" l="1"/>
  <c r="A365" i="49"/>
  <c r="A365" i="47"/>
  <c r="A365" i="46"/>
  <c r="A365" i="43"/>
  <c r="A365" i="44"/>
  <c r="BD330" i="38"/>
  <c r="A367" i="4"/>
  <c r="A367" i="42" s="1"/>
  <c r="C367" i="42" s="1"/>
  <c r="A366" i="38"/>
  <c r="A365" i="39"/>
  <c r="A365" i="40"/>
  <c r="C365" i="38"/>
  <c r="C338" i="4"/>
  <c r="B338" i="4"/>
  <c r="BE330" i="42"/>
  <c r="B330" i="46"/>
  <c r="BD330" i="42"/>
  <c r="C330" i="46"/>
  <c r="A366" i="50" l="1"/>
  <c r="A366" i="49"/>
  <c r="A366" i="47"/>
  <c r="A366" i="46"/>
  <c r="A366" i="43"/>
  <c r="A366" i="44"/>
  <c r="A366" i="40"/>
  <c r="C366" i="38"/>
  <c r="A366" i="39"/>
  <c r="A368" i="4"/>
  <c r="A368" i="42" s="1"/>
  <c r="C368" i="42" s="1"/>
  <c r="A367" i="38"/>
  <c r="BD331" i="38"/>
  <c r="C339" i="4"/>
  <c r="B339" i="4"/>
  <c r="BD331" i="42"/>
  <c r="C331" i="46"/>
  <c r="BE331" i="42"/>
  <c r="B331" i="46"/>
  <c r="A367" i="50" l="1"/>
  <c r="A367" i="49"/>
  <c r="A367" i="47"/>
  <c r="A367" i="46"/>
  <c r="A367" i="43"/>
  <c r="A367" i="44"/>
  <c r="BD332" i="38"/>
  <c r="A367" i="39"/>
  <c r="A367" i="40"/>
  <c r="C367" i="38"/>
  <c r="A369" i="4"/>
  <c r="A369" i="42" s="1"/>
  <c r="C369" i="42" s="1"/>
  <c r="A368" i="38"/>
  <c r="B340" i="4"/>
  <c r="C340" i="4"/>
  <c r="B332" i="46"/>
  <c r="BD332" i="42"/>
  <c r="C332" i="46"/>
  <c r="BE332" i="42"/>
  <c r="A368" i="50" l="1"/>
  <c r="A368" i="49"/>
  <c r="A368" i="47"/>
  <c r="A368" i="46"/>
  <c r="A368" i="44"/>
  <c r="A368" i="43"/>
  <c r="A368" i="40"/>
  <c r="A368" i="39"/>
  <c r="C368" i="38"/>
  <c r="A370" i="4"/>
  <c r="A370" i="42" s="1"/>
  <c r="C370" i="42" s="1"/>
  <c r="A369" i="38"/>
  <c r="BD333" i="38"/>
  <c r="C341" i="4"/>
  <c r="B341" i="4"/>
  <c r="C333" i="46"/>
  <c r="BE333" i="42"/>
  <c r="B333" i="46"/>
  <c r="BD333" i="42"/>
  <c r="A369" i="50" l="1"/>
  <c r="A369" i="49"/>
  <c r="A369" i="47"/>
  <c r="A369" i="46"/>
  <c r="A369" i="44"/>
  <c r="A369" i="43"/>
  <c r="BD334" i="38"/>
  <c r="A371" i="4"/>
  <c r="A371" i="42" s="1"/>
  <c r="C371" i="42" s="1"/>
  <c r="A370" i="38"/>
  <c r="A369" i="40"/>
  <c r="C369" i="38"/>
  <c r="A369" i="39"/>
  <c r="C342" i="4"/>
  <c r="B342" i="4"/>
  <c r="BE334" i="42"/>
  <c r="B334" i="46"/>
  <c r="C334" i="46"/>
  <c r="BD334" i="42"/>
  <c r="A370" i="50" l="1"/>
  <c r="A370" i="49"/>
  <c r="A370" i="47"/>
  <c r="A370" i="46"/>
  <c r="A370" i="44"/>
  <c r="A370" i="43"/>
  <c r="A370" i="39"/>
  <c r="A370" i="40"/>
  <c r="C370" i="38"/>
  <c r="A372" i="4"/>
  <c r="A372" i="42" s="1"/>
  <c r="C372" i="42" s="1"/>
  <c r="A371" i="38"/>
  <c r="BD335" i="38"/>
  <c r="C343" i="4"/>
  <c r="B343" i="4"/>
  <c r="BE335" i="42"/>
  <c r="C335" i="46"/>
  <c r="B335" i="46"/>
  <c r="BD335" i="42"/>
  <c r="A371" i="50" l="1"/>
  <c r="A371" i="49"/>
  <c r="A371" i="47"/>
  <c r="A371" i="46"/>
  <c r="A371" i="43"/>
  <c r="A371" i="44"/>
  <c r="A371" i="40"/>
  <c r="C371" i="38"/>
  <c r="A371" i="39"/>
  <c r="A373" i="4"/>
  <c r="A373" i="42" s="1"/>
  <c r="C373" i="42" s="1"/>
  <c r="A372" i="38"/>
  <c r="BD336" i="38"/>
  <c r="B344" i="4"/>
  <c r="C344" i="4"/>
  <c r="C336" i="46"/>
  <c r="BE336" i="42"/>
  <c r="BD336" i="42"/>
  <c r="B336" i="46"/>
  <c r="A372" i="50" l="1"/>
  <c r="A372" i="49"/>
  <c r="A372" i="47"/>
  <c r="A372" i="46"/>
  <c r="A372" i="43"/>
  <c r="A372" i="44"/>
  <c r="A372" i="40"/>
  <c r="A372" i="39"/>
  <c r="C372" i="38"/>
  <c r="A374" i="4"/>
  <c r="A374" i="42" s="1"/>
  <c r="C374" i="42" s="1"/>
  <c r="A373" i="38"/>
  <c r="BD337" i="38"/>
  <c r="C345" i="4"/>
  <c r="B345" i="4"/>
  <c r="C337" i="46"/>
  <c r="BE337" i="42"/>
  <c r="BD337" i="42"/>
  <c r="B337" i="46"/>
  <c r="A373" i="50" l="1"/>
  <c r="A373" i="49"/>
  <c r="A373" i="47"/>
  <c r="A373" i="46"/>
  <c r="A373" i="43"/>
  <c r="A373" i="44"/>
  <c r="BD338" i="38"/>
  <c r="A375" i="4"/>
  <c r="A374" i="38"/>
  <c r="A373" i="40"/>
  <c r="C373" i="38"/>
  <c r="A373" i="39"/>
  <c r="C346" i="4"/>
  <c r="B346" i="4"/>
  <c r="BD338" i="42"/>
  <c r="B338" i="46"/>
  <c r="C338" i="46"/>
  <c r="BE338" i="42"/>
  <c r="A374" i="50" l="1"/>
  <c r="A374" i="49"/>
  <c r="A374" i="47"/>
  <c r="A374" i="46"/>
  <c r="A374" i="44"/>
  <c r="A374" i="43"/>
  <c r="A375" i="38"/>
  <c r="A375" i="42"/>
  <c r="C375" i="42" s="1"/>
  <c r="A374" i="40"/>
  <c r="C374" i="38"/>
  <c r="A374" i="39"/>
  <c r="BD339" i="38"/>
  <c r="C347" i="4"/>
  <c r="B347" i="4"/>
  <c r="C339" i="46"/>
  <c r="B339" i="46"/>
  <c r="BE339" i="42"/>
  <c r="BD339" i="42"/>
  <c r="A375" i="40" l="1"/>
  <c r="A375" i="50"/>
  <c r="A375" i="49"/>
  <c r="C375" i="38"/>
  <c r="A375" i="39"/>
  <c r="A375" i="47"/>
  <c r="A375" i="46"/>
  <c r="A375" i="44"/>
  <c r="A375" i="43"/>
  <c r="BD340" i="38"/>
  <c r="B348" i="4"/>
  <c r="C348" i="4"/>
  <c r="B340" i="46"/>
  <c r="BD340" i="42"/>
  <c r="C340" i="46"/>
  <c r="BE340" i="42"/>
  <c r="BD341" i="38" l="1"/>
  <c r="C349" i="4"/>
  <c r="B349" i="4"/>
  <c r="BE341" i="42"/>
  <c r="C341" i="46"/>
  <c r="BD341" i="42"/>
  <c r="B341" i="46"/>
  <c r="BD342" i="38" l="1"/>
  <c r="C350" i="4"/>
  <c r="B350" i="4"/>
  <c r="BE342" i="42"/>
  <c r="BD342" i="42"/>
  <c r="C342" i="46"/>
  <c r="B342" i="46"/>
  <c r="BD343" i="38" l="1"/>
  <c r="C351" i="4"/>
  <c r="B351" i="4"/>
  <c r="C343" i="46"/>
  <c r="BE343" i="42"/>
  <c r="B343" i="46"/>
  <c r="BD343" i="42"/>
  <c r="BD344" i="38" l="1"/>
  <c r="B352" i="4"/>
  <c r="C352" i="4"/>
  <c r="C344" i="46"/>
  <c r="B344" i="46"/>
  <c r="BE344" i="42"/>
  <c r="BD344" i="42"/>
  <c r="BD345" i="38" l="1"/>
  <c r="C353" i="4"/>
  <c r="B353" i="4"/>
  <c r="BE345" i="42"/>
  <c r="BD345" i="42"/>
  <c r="C345" i="46"/>
  <c r="B345" i="46"/>
  <c r="BD346" i="38" l="1"/>
  <c r="C354" i="4"/>
  <c r="B354" i="4"/>
  <c r="BE346" i="42"/>
  <c r="C346" i="46"/>
  <c r="BD346" i="42"/>
  <c r="B346" i="46"/>
  <c r="BD347" i="38" l="1"/>
  <c r="C355" i="4"/>
  <c r="B355" i="4"/>
  <c r="C347" i="46"/>
  <c r="BD347" i="42"/>
  <c r="B347" i="46"/>
  <c r="BE347" i="42"/>
  <c r="BD348" i="38" l="1"/>
  <c r="B356" i="4"/>
  <c r="C356" i="4"/>
  <c r="BE348" i="42"/>
  <c r="C348" i="46"/>
  <c r="B348" i="46"/>
  <c r="BD348" i="42"/>
  <c r="BD349" i="38" l="1"/>
  <c r="C357" i="4"/>
  <c r="B357" i="4"/>
  <c r="BE349" i="42"/>
  <c r="C349" i="46"/>
  <c r="B349" i="46"/>
  <c r="BD349" i="42"/>
  <c r="BD350" i="38" l="1"/>
  <c r="C358" i="4"/>
  <c r="B358" i="4"/>
  <c r="BD350" i="42"/>
  <c r="B350" i="46"/>
  <c r="C350" i="46"/>
  <c r="BE350" i="42"/>
  <c r="BD351" i="38" l="1"/>
  <c r="C359" i="4"/>
  <c r="B359" i="4"/>
  <c r="C351" i="46"/>
  <c r="BE351" i="42"/>
  <c r="B351" i="46"/>
  <c r="BD351" i="42"/>
  <c r="BD352" i="38" l="1"/>
  <c r="B360" i="4"/>
  <c r="C360" i="4"/>
  <c r="B352" i="46"/>
  <c r="BD352" i="42"/>
  <c r="BE352" i="42"/>
  <c r="C352" i="46"/>
  <c r="BD353" i="38" l="1"/>
  <c r="C361" i="4"/>
  <c r="B361" i="4"/>
  <c r="C353" i="46"/>
  <c r="B353" i="46"/>
  <c r="BE353" i="42"/>
  <c r="BD353" i="42"/>
  <c r="BD354" i="38" l="1"/>
  <c r="C362" i="4"/>
  <c r="B362" i="4"/>
  <c r="C354" i="46"/>
  <c r="BE354" i="42"/>
  <c r="B354" i="46"/>
  <c r="BD354" i="42"/>
  <c r="BD355" i="38" l="1"/>
  <c r="C363" i="4"/>
  <c r="B363" i="4"/>
  <c r="C355" i="46"/>
  <c r="BE355" i="42"/>
  <c r="BD355" i="42"/>
  <c r="B355" i="46"/>
  <c r="BD356" i="38" l="1"/>
  <c r="B364" i="4"/>
  <c r="C364" i="4"/>
  <c r="BE356" i="42"/>
  <c r="C356" i="46"/>
  <c r="B356" i="46"/>
  <c r="BD356" i="42"/>
  <c r="BD357" i="38" l="1"/>
  <c r="C365" i="4"/>
  <c r="B365" i="4"/>
  <c r="B357" i="46"/>
  <c r="C357" i="46"/>
  <c r="BD357" i="42"/>
  <c r="BE357" i="42"/>
  <c r="BD358" i="38" l="1"/>
  <c r="C366" i="4"/>
  <c r="B366" i="4"/>
  <c r="BE358" i="42"/>
  <c r="BD358" i="42"/>
  <c r="C358" i="46"/>
  <c r="B358" i="46"/>
  <c r="BD359" i="38" l="1"/>
  <c r="C367" i="4"/>
  <c r="B367" i="4"/>
  <c r="BE359" i="42"/>
  <c r="C359" i="46"/>
  <c r="BD359" i="42"/>
  <c r="B359" i="46"/>
  <c r="BD360" i="38" l="1"/>
  <c r="B368" i="4"/>
  <c r="C368" i="4"/>
  <c r="BE360" i="42"/>
  <c r="B360" i="46"/>
  <c r="C360" i="46"/>
  <c r="BD360" i="42"/>
  <c r="BD361" i="38" l="1"/>
  <c r="C369" i="4"/>
  <c r="B369" i="4"/>
  <c r="BD361" i="42"/>
  <c r="BE361" i="42"/>
  <c r="B361" i="46"/>
  <c r="C361" i="46"/>
  <c r="BD362" i="38" l="1"/>
  <c r="C370" i="4"/>
  <c r="B370" i="4"/>
  <c r="BE362" i="42"/>
  <c r="C362" i="46"/>
  <c r="BD362" i="42"/>
  <c r="B362" i="46"/>
  <c r="BD363" i="38" l="1"/>
  <c r="C371" i="4"/>
  <c r="B371" i="4"/>
  <c r="BE363" i="42"/>
  <c r="C363" i="46"/>
  <c r="B363" i="46"/>
  <c r="BD363" i="42"/>
  <c r="BD364" i="38" l="1"/>
  <c r="B372" i="4"/>
  <c r="C372" i="4"/>
  <c r="C364" i="46"/>
  <c r="BE364" i="42"/>
  <c r="BD364" i="42"/>
  <c r="B364" i="46"/>
  <c r="BD365" i="38" l="1"/>
  <c r="B373" i="4"/>
  <c r="C373" i="4"/>
  <c r="BD365" i="42"/>
  <c r="BE365" i="42"/>
  <c r="C365" i="46"/>
  <c r="B365" i="46"/>
  <c r="BD366" i="38" l="1"/>
  <c r="B374" i="4"/>
  <c r="C374" i="4"/>
  <c r="BE366" i="42"/>
  <c r="C366" i="46"/>
  <c r="B366" i="46"/>
  <c r="BD366" i="42"/>
  <c r="BD367" i="38" l="1"/>
  <c r="B375" i="4"/>
  <c r="C375" i="4"/>
  <c r="C367" i="46"/>
  <c r="BE367" i="42"/>
  <c r="B367" i="46"/>
  <c r="BD367" i="42"/>
  <c r="BD368" i="38" l="1"/>
  <c r="C368" i="46"/>
  <c r="B368" i="46"/>
  <c r="BD368" i="42"/>
  <c r="BE368" i="42"/>
  <c r="BD369" i="38" l="1"/>
  <c r="K38" i="14"/>
  <c r="C369" i="46"/>
  <c r="B369" i="46"/>
  <c r="BD369" i="42"/>
  <c r="BE369" i="42"/>
  <c r="BD370" i="38" l="1"/>
  <c r="L30" i="14"/>
  <c r="L38" i="14"/>
  <c r="L33" i="14"/>
  <c r="L40" i="14"/>
  <c r="L36" i="14"/>
  <c r="K36" i="14"/>
  <c r="L37" i="14"/>
  <c r="L35" i="14"/>
  <c r="K39" i="14"/>
  <c r="L31" i="14"/>
  <c r="K41" i="14"/>
  <c r="K31" i="14"/>
  <c r="K37" i="14"/>
  <c r="K40" i="14"/>
  <c r="L32" i="14"/>
  <c r="K34" i="14"/>
  <c r="L39" i="14"/>
  <c r="L34" i="14"/>
  <c r="K30" i="14"/>
  <c r="K32" i="14"/>
  <c r="K33" i="14"/>
  <c r="L41" i="14"/>
  <c r="K35" i="14"/>
  <c r="B370" i="46"/>
  <c r="BD370" i="42"/>
  <c r="C370" i="46"/>
  <c r="BE370" i="42"/>
  <c r="BD371" i="38" l="1"/>
  <c r="L42" i="14"/>
  <c r="K42" i="14"/>
  <c r="B371" i="46"/>
  <c r="BE371" i="42"/>
  <c r="BD371" i="42"/>
  <c r="C371" i="46"/>
  <c r="BD372" i="38" l="1"/>
  <c r="BD372" i="42"/>
  <c r="BE372" i="42"/>
  <c r="B372" i="46"/>
  <c r="C372" i="46"/>
  <c r="BD373" i="38" l="1"/>
  <c r="B373" i="46"/>
  <c r="BD373" i="42"/>
  <c r="BE373" i="42"/>
  <c r="C373" i="46"/>
  <c r="BD374" i="38" l="1"/>
  <c r="BD374" i="42"/>
  <c r="B374" i="46"/>
  <c r="BE374" i="42"/>
  <c r="C374" i="46"/>
  <c r="BD375" i="38" l="1"/>
  <c r="B375" i="46"/>
  <c r="BD375" i="42"/>
  <c r="C375" i="46"/>
  <c r="BE375" i="42"/>
  <c r="BD386" i="42" l="1"/>
  <c r="BD385" i="42"/>
  <c r="BD387" i="42"/>
  <c r="BD382" i="42"/>
  <c r="BD380" i="42"/>
  <c r="BD388" i="42"/>
  <c r="BD389" i="42" s="1"/>
  <c r="BD383" i="42"/>
  <c r="BD384" i="42"/>
  <c r="BD379" i="42"/>
  <c r="BE382" i="42"/>
  <c r="BE387" i="42"/>
  <c r="BE379" i="42"/>
  <c r="BE383" i="42"/>
  <c r="BE384" i="42"/>
  <c r="BE380" i="42"/>
  <c r="BE386" i="42"/>
  <c r="BE388" i="42"/>
  <c r="BE389" i="42" s="1"/>
  <c r="BE385" i="42"/>
  <c r="AB380" i="4"/>
  <c r="AB384" i="4"/>
  <c r="AB388" i="4"/>
  <c r="AB386" i="4"/>
  <c r="AB383" i="4"/>
  <c r="AB392" i="4" s="1"/>
  <c r="AB387" i="4"/>
  <c r="AB381" i="4"/>
  <c r="AB385" i="4"/>
  <c r="AB389" i="4"/>
  <c r="AB390" i="4" s="1"/>
  <c r="AB382" i="4"/>
  <c r="BD376" i="38"/>
  <c r="B376" i="46"/>
  <c r="C376" i="46"/>
  <c r="BE381" i="42" l="1"/>
  <c r="C101" i="41" s="1"/>
  <c r="BD381" i="42"/>
  <c r="C103" i="41"/>
  <c r="C102" i="41"/>
</calcChain>
</file>

<file path=xl/comments1.xml><?xml version="1.0" encoding="utf-8"?>
<comments xmlns="http://schemas.openxmlformats.org/spreadsheetml/2006/main">
  <authors>
    <author>od-SEN</author>
  </authors>
  <commentList>
    <comment ref="G35" authorId="0" shapeId="0">
      <text>
        <r>
          <rPr>
            <b/>
            <sz val="9"/>
            <color indexed="81"/>
            <rFont val="Tahoma"/>
            <family val="2"/>
          </rPr>
          <t xml:space="preserve">&gt; 10°C
</t>
        </r>
      </text>
    </comment>
  </commentList>
</comments>
</file>

<file path=xl/comments2.xml><?xml version="1.0" encoding="utf-8"?>
<comments xmlns="http://schemas.openxmlformats.org/spreadsheetml/2006/main">
  <authors>
    <author>od-SEN</author>
    <author>Pierre Mange</author>
  </authors>
  <commentList>
    <comment ref="AB5" authorId="0" shapeId="0">
      <text>
        <r>
          <rPr>
            <sz val="9"/>
            <color indexed="81"/>
            <rFont val="Tahoma"/>
            <family val="2"/>
          </rPr>
          <t>Volume à modifier en cas de besoin (travail sur une seule file, etc.)
Volumen anpassen wenn nötig (Strasse ausser Betrieb, usw.)</t>
        </r>
      </text>
    </comment>
    <comment ref="AG6" authorId="0" shapeId="0">
      <text>
        <r>
          <rPr>
            <b/>
            <sz val="12"/>
            <color indexed="81"/>
            <rFont val="Tahoma"/>
            <family val="2"/>
          </rPr>
          <t xml:space="preserve">Entrer p.ex. 10 pour indiquer 10% (et non 0.10)
10 eingeben für 10% (und nicht 0.10)
</t>
        </r>
      </text>
    </comment>
    <comment ref="AH6" authorId="0" shapeId="0">
      <text>
        <r>
          <rPr>
            <b/>
            <sz val="14"/>
            <color indexed="81"/>
            <rFont val="Tahoma"/>
            <family val="2"/>
          </rPr>
          <t>Calcul automatique
Automat. Berech.</t>
        </r>
      </text>
    </comment>
    <comment ref="A392" authorId="1" shapeId="0">
      <text>
        <r>
          <rPr>
            <sz val="8"/>
            <color indexed="81"/>
            <rFont val="Tahoma"/>
            <family val="2"/>
          </rPr>
          <t xml:space="preserve">Si le nombre d'analyses/débits transmis n'est pas correct, corriger.
</t>
        </r>
      </text>
    </comment>
  </commentList>
</comments>
</file>

<file path=xl/comments3.xml><?xml version="1.0" encoding="utf-8"?>
<comments xmlns="http://schemas.openxmlformats.org/spreadsheetml/2006/main">
  <authors>
    <author>danobr</author>
  </authors>
  <commentList>
    <comment ref="D27" authorId="0" shapeId="0">
      <text>
        <r>
          <rPr>
            <b/>
            <sz val="9"/>
            <color indexed="81"/>
            <rFont val="Tahoma"/>
            <family val="2"/>
          </rPr>
          <t>Richtwert / valeur indicative</t>
        </r>
      </text>
    </comment>
  </commentList>
</comments>
</file>

<file path=xl/comments4.xml><?xml version="1.0" encoding="utf-8"?>
<comments xmlns="http://schemas.openxmlformats.org/spreadsheetml/2006/main">
  <authors>
    <author>MYREGG</author>
    <author>Pierre Mange</author>
  </authors>
  <commentList>
    <comment ref="K20" authorId="0" shapeId="0">
      <text>
        <r>
          <rPr>
            <b/>
            <sz val="9"/>
            <color indexed="81"/>
            <rFont val="Tahoma"/>
            <family val="2"/>
          </rPr>
          <t>SEULEMENT POUR STEP ≥ 1000 EH  :</t>
        </r>
        <r>
          <rPr>
            <sz val="9"/>
            <color indexed="81"/>
            <rFont val="Tahoma"/>
            <family val="2"/>
          </rPr>
          <t xml:space="preserve">
Quantité annuelle d’énergie thermique achetée, p. ex. sous forme de chaleur de proximité ou à distance
//
</t>
        </r>
        <r>
          <rPr>
            <b/>
            <sz val="9"/>
            <color indexed="81"/>
            <rFont val="Tahoma"/>
            <family val="2"/>
          </rPr>
          <t>NUR FÜR ARA ≥ 1000 EW:</t>
        </r>
        <r>
          <rPr>
            <sz val="9"/>
            <color indexed="81"/>
            <rFont val="Tahoma"/>
            <family val="2"/>
          </rPr>
          <t xml:space="preserve">
Total jährlich eingekaufte Wärmeenergie, z.B in Form von Nah- oder Fernwärme.</t>
        </r>
      </text>
    </comment>
    <comment ref="K21" authorId="0" shapeId="0">
      <text>
        <r>
          <rPr>
            <b/>
            <sz val="9"/>
            <color indexed="81"/>
            <rFont val="Tahoma"/>
            <family val="2"/>
          </rPr>
          <t>SEULEMENT POUR STEP ≥ 1000 EH  :</t>
        </r>
        <r>
          <rPr>
            <sz val="9"/>
            <color indexed="81"/>
            <rFont val="Tahoma"/>
            <family val="2"/>
          </rPr>
          <t xml:space="preserve">
Chaleur consommée = Chaleur achetée + Chaleur produite – Chaleur vendue
//
</t>
        </r>
        <r>
          <rPr>
            <b/>
            <sz val="9"/>
            <color indexed="81"/>
            <rFont val="Tahoma"/>
            <family val="2"/>
          </rPr>
          <t>NUR FÜR ARA ≥ 1000 EW:</t>
        </r>
        <r>
          <rPr>
            <sz val="9"/>
            <color indexed="81"/>
            <rFont val="Tahoma"/>
            <family val="2"/>
          </rPr>
          <t xml:space="preserve">
Wärmeverbrauch = Wärmebezug + Wärmeproduktion - Wärmeverkauf</t>
        </r>
      </text>
    </comment>
    <comment ref="C23" authorId="1" shapeId="0">
      <text>
        <r>
          <rPr>
            <sz val="9"/>
            <color indexed="81"/>
            <rFont val="Tahoma"/>
            <family val="2"/>
          </rPr>
          <t>Cf. "Définition et standardisation d’indicateurs pour l’assainissement"
Recommandation VSA, 2016
//
Siehe "Definition und Standardisierung von Kennzahlen für die Abwasserentsorgung"
VSA Empfehlung, 2016</t>
        </r>
      </text>
    </comment>
  </commentList>
</comments>
</file>

<file path=xl/comments5.xml><?xml version="1.0" encoding="utf-8"?>
<comments xmlns="http://schemas.openxmlformats.org/spreadsheetml/2006/main">
  <authors>
    <author>obd</author>
  </authors>
  <commentList>
    <comment ref="A10" authorId="0" shapeId="0">
      <text>
        <r>
          <rPr>
            <b/>
            <sz val="8"/>
            <color indexed="81"/>
            <rFont val="Tahoma"/>
            <family val="2"/>
          </rPr>
          <t>Analysemethode BSB5: zutreffende Methode auswählen, welche im Labor benutzt wird
méthode d’analyse de la DBO5: choisir la méthode qui est utilisé dans le labo</t>
        </r>
      </text>
    </comment>
    <comment ref="A13" authorId="0" shapeId="0">
      <text>
        <r>
          <rPr>
            <b/>
            <sz val="8"/>
            <color indexed="81"/>
            <rFont val="Tahoma"/>
            <family val="2"/>
          </rPr>
          <t>Standort der Durchflussmessung angeben, welche für die Berechnungen benutzt werden sollte (bei zwei Durchflussmessungen, bitte diejenige wählen, welche repräsentativer ist)
Choisir l’emplacement du débimètre qui sera utilisé pour les calculs (le plus fiable si vous en avez un en entrée et un en sortie STEP)</t>
        </r>
      </text>
    </comment>
  </commentList>
</comments>
</file>

<file path=xl/comments6.xml><?xml version="1.0" encoding="utf-8"?>
<comments xmlns="http://schemas.openxmlformats.org/spreadsheetml/2006/main">
  <authors>
    <author>Elodie MOULIN</author>
  </authors>
  <commentList>
    <comment ref="V7" authorId="0" shapeId="0">
      <text>
        <r>
          <rPr>
            <b/>
            <sz val="9"/>
            <color indexed="81"/>
            <rFont val="Tahoma"/>
            <family val="2"/>
          </rPr>
          <t>Elodie MOULIN:</t>
        </r>
        <r>
          <rPr>
            <sz val="9"/>
            <color indexed="81"/>
            <rFont val="Tahoma"/>
            <family val="2"/>
          </rPr>
          <t xml:space="preserve">
1EH = 120 g DCO/jour
1EH = 150 L Eaux usées/jour
--&gt; (120g * 1000mg/g) / 150L = 800 mg/L </t>
        </r>
      </text>
    </comment>
    <comment ref="AB7" authorId="0" shapeId="0">
      <text>
        <r>
          <rPr>
            <b/>
            <sz val="9"/>
            <color indexed="81"/>
            <rFont val="Tahoma"/>
            <family val="2"/>
          </rPr>
          <t>Elodie MOULIN:</t>
        </r>
        <r>
          <rPr>
            <sz val="9"/>
            <color indexed="81"/>
            <rFont val="Tahoma"/>
            <family val="2"/>
          </rPr>
          <t xml:space="preserve">
1EH = 37.5 g COT/jour
1EH = 150 L Eaux usées/jour
--&gt; (37.5g * 1000mg/g) / 150L = 250 mg/L</t>
        </r>
      </text>
    </comment>
    <comment ref="AH7" authorId="0" shapeId="0">
      <text>
        <r>
          <rPr>
            <b/>
            <sz val="9"/>
            <color indexed="81"/>
            <rFont val="Tahoma"/>
            <family val="2"/>
          </rPr>
          <t>Elodie MOULIN:</t>
        </r>
        <r>
          <rPr>
            <sz val="9"/>
            <color indexed="81"/>
            <rFont val="Tahoma"/>
            <family val="2"/>
          </rPr>
          <t xml:space="preserve">
1EH = 7 g NH4/jour
1EH = 150 L Eaux usées/jour
--&gt; (7g * 1000mg/g) / 150L = 47 mg/L </t>
        </r>
      </text>
    </comment>
    <comment ref="AN7" authorId="0" shapeId="0">
      <text>
        <r>
          <rPr>
            <b/>
            <sz val="9"/>
            <color indexed="81"/>
            <rFont val="Tahoma"/>
            <family val="2"/>
          </rPr>
          <t>Elodie MOULIN:</t>
        </r>
        <r>
          <rPr>
            <sz val="9"/>
            <color indexed="81"/>
            <rFont val="Tahoma"/>
            <family val="2"/>
          </rPr>
          <t xml:space="preserve">
1EH = 1.7 g Ptot/jour
1EH = 150 L Eaux usées/jour
--&gt; (1.7g * 1000mg/g) / 150L = 11.33 mg/L </t>
        </r>
      </text>
    </comment>
  </commentList>
</comments>
</file>

<file path=xl/comments7.xml><?xml version="1.0" encoding="utf-8"?>
<comments xmlns="http://schemas.openxmlformats.org/spreadsheetml/2006/main">
  <authors>
    <author>Pierre Mange</author>
    <author>obr/</author>
  </authors>
  <commentList>
    <comment ref="B6" authorId="0" shapeId="0">
      <text>
        <r>
          <rPr>
            <sz val="9"/>
            <color indexed="81"/>
            <rFont val="Tahoma"/>
            <family val="2"/>
          </rPr>
          <t>14.01.2019 
Réduit de 170 à 150 l/EH.j dito VSA (cf. explication dans le bilan 2018)</t>
        </r>
      </text>
    </comment>
    <comment ref="B15" authorId="1" shapeId="0">
      <text>
        <r>
          <rPr>
            <sz val="8"/>
            <color indexed="81"/>
            <rFont val="Tahoma"/>
            <family val="2"/>
          </rPr>
          <t>14.7.17: Valeur changé de 1.9 à 1.7. Voir calculs des derniers bilans STEP. Explication: Interdiction de P dans lessives, etc,...</t>
        </r>
      </text>
    </comment>
  </commentList>
</comments>
</file>

<file path=xl/sharedStrings.xml><?xml version="1.0" encoding="utf-8"?>
<sst xmlns="http://schemas.openxmlformats.org/spreadsheetml/2006/main" count="1761" uniqueCount="791">
  <si>
    <t>NH4-N</t>
  </si>
  <si>
    <t>°C</t>
  </si>
  <si>
    <t>l/s</t>
  </si>
  <si>
    <t>%</t>
  </si>
  <si>
    <t>mg/l</t>
  </si>
  <si>
    <t xml:space="preserve"> </t>
  </si>
  <si>
    <t>Total</t>
  </si>
  <si>
    <t>STEP</t>
  </si>
  <si>
    <t>NO2</t>
  </si>
  <si>
    <t>NO3</t>
  </si>
  <si>
    <t>m3</t>
  </si>
  <si>
    <t>6233/00</t>
  </si>
  <si>
    <t/>
  </si>
  <si>
    <t>6082/00</t>
  </si>
  <si>
    <t>6031/02</t>
  </si>
  <si>
    <t>6054/00</t>
  </si>
  <si>
    <t>6192/00</t>
  </si>
  <si>
    <t>6032/02</t>
  </si>
  <si>
    <t>6002/00</t>
  </si>
  <si>
    <t>6022/00</t>
  </si>
  <si>
    <t>6151/00</t>
  </si>
  <si>
    <t>6152/01</t>
  </si>
  <si>
    <t>6023/00</t>
  </si>
  <si>
    <t>6282/00</t>
  </si>
  <si>
    <t>6283/00</t>
  </si>
  <si>
    <t>6213/00</t>
  </si>
  <si>
    <t>6213/11</t>
  </si>
  <si>
    <t>6195/00</t>
  </si>
  <si>
    <t>6032/00</t>
  </si>
  <si>
    <t>6057/00</t>
  </si>
  <si>
    <t>6285/00</t>
  </si>
  <si>
    <t>6108/00</t>
  </si>
  <si>
    <t>6239/00</t>
  </si>
  <si>
    <t>6109/00</t>
  </si>
  <si>
    <t>6134/00</t>
  </si>
  <si>
    <t>6197/00</t>
  </si>
  <si>
    <t>6110/00</t>
  </si>
  <si>
    <t>6111/00</t>
  </si>
  <si>
    <t>6135/00</t>
  </si>
  <si>
    <t>6136/00</t>
  </si>
  <si>
    <t>6085/00</t>
  </si>
  <si>
    <t>6153/00</t>
  </si>
  <si>
    <t>6024/03</t>
  </si>
  <si>
    <t>6154/00</t>
  </si>
  <si>
    <t>6287/00</t>
  </si>
  <si>
    <t>6139/00</t>
  </si>
  <si>
    <t>6289/00</t>
  </si>
  <si>
    <t>6140/00</t>
  </si>
  <si>
    <t>6141/00</t>
  </si>
  <si>
    <t>6248/02</t>
  </si>
  <si>
    <t>6248/01</t>
  </si>
  <si>
    <t>6009/01</t>
  </si>
  <si>
    <t>6266/03</t>
  </si>
  <si>
    <t>6266/01</t>
  </si>
  <si>
    <t>6292/00</t>
  </si>
  <si>
    <t>6293/00</t>
  </si>
  <si>
    <t>6155/00</t>
  </si>
  <si>
    <t>6087/00</t>
  </si>
  <si>
    <t>6142/00</t>
  </si>
  <si>
    <t>6156/00</t>
  </si>
  <si>
    <t>6201/00</t>
  </si>
  <si>
    <t>6116/00</t>
  </si>
  <si>
    <t>6025/00</t>
  </si>
  <si>
    <t>6158/01</t>
  </si>
  <si>
    <t>6158/02</t>
  </si>
  <si>
    <t>6297/00</t>
  </si>
  <si>
    <t>6159/00</t>
  </si>
  <si>
    <t>6202/00</t>
  </si>
  <si>
    <t>6300/00</t>
  </si>
  <si>
    <t>Biogaz</t>
  </si>
  <si>
    <t>Monthey-CIMO</t>
  </si>
  <si>
    <t>Briglina-Brig</t>
  </si>
  <si>
    <t>Martigny</t>
  </si>
  <si>
    <t>Nendaz-Bieudron</t>
  </si>
  <si>
    <t>Zermatt</t>
  </si>
  <si>
    <t>Sion-Chandoline</t>
  </si>
  <si>
    <t>Leuk-Radet</t>
  </si>
  <si>
    <t>Sierre-Granges</t>
  </si>
  <si>
    <t>Saastal</t>
  </si>
  <si>
    <t>Val d'Anniviers-Fang</t>
  </si>
  <si>
    <t>Leukerbad</t>
  </si>
  <si>
    <t>Graechen</t>
  </si>
  <si>
    <t>Ayent-Voos</t>
  </si>
  <si>
    <t>Chamoson</t>
  </si>
  <si>
    <t>Riddes</t>
  </si>
  <si>
    <t>Stalden</t>
  </si>
  <si>
    <t>Port-Valais</t>
  </si>
  <si>
    <t>Collombey-Muraz</t>
  </si>
  <si>
    <t>Leytron</t>
  </si>
  <si>
    <t>Evionnaz</t>
  </si>
  <si>
    <t>St-Niklaus</t>
  </si>
  <si>
    <t>Vouvry</t>
  </si>
  <si>
    <t>Saxon</t>
  </si>
  <si>
    <t>Unterbäch</t>
  </si>
  <si>
    <t>Hérémence</t>
  </si>
  <si>
    <t>St-Gingolph</t>
  </si>
  <si>
    <t>Vionnaz</t>
  </si>
  <si>
    <t>Saillon</t>
  </si>
  <si>
    <t>Vionnaz-Torgon</t>
  </si>
  <si>
    <t>Conthey-Erde</t>
  </si>
  <si>
    <t>Wiler</t>
  </si>
  <si>
    <t>St-Martin</t>
  </si>
  <si>
    <t>Blatten</t>
  </si>
  <si>
    <t>Varen</t>
  </si>
  <si>
    <t>Icogne</t>
  </si>
  <si>
    <t>Guttet</t>
  </si>
  <si>
    <t>Kippel</t>
  </si>
  <si>
    <t>Mase</t>
  </si>
  <si>
    <t>Embd</t>
  </si>
  <si>
    <t>Binn</t>
  </si>
  <si>
    <t>Inden</t>
  </si>
  <si>
    <t>Ferden</t>
  </si>
  <si>
    <t>Eisten</t>
  </si>
  <si>
    <t>Trient</t>
  </si>
  <si>
    <t>Simplon-Dorf</t>
  </si>
  <si>
    <t>Vétroz-Conthey</t>
  </si>
  <si>
    <t>-</t>
  </si>
  <si>
    <t xml:space="preserve">Concerne STEP de : </t>
  </si>
  <si>
    <t>h</t>
  </si>
  <si>
    <t>FR</t>
  </si>
  <si>
    <t>D_QMIN</t>
  </si>
  <si>
    <t>D_QMAX</t>
  </si>
  <si>
    <t>D_QDEVE</t>
  </si>
  <si>
    <t>D_QDEVDP</t>
  </si>
  <si>
    <t>D_QTRAI</t>
  </si>
  <si>
    <t>E_DBO5</t>
  </si>
  <si>
    <t>E_DCO</t>
  </si>
  <si>
    <t>E_COT</t>
  </si>
  <si>
    <t>E_NH4</t>
  </si>
  <si>
    <t>E_NTOT</t>
  </si>
  <si>
    <t>E_PTOT</t>
  </si>
  <si>
    <t>X_BF_Q</t>
  </si>
  <si>
    <t>X_BA_VOL</t>
  </si>
  <si>
    <t>X_BX_Q</t>
  </si>
  <si>
    <t>X_GAZ_Q</t>
  </si>
  <si>
    <t>X_FUEL_Q</t>
  </si>
  <si>
    <t>D_PLUIE</t>
  </si>
  <si>
    <t>X_HRES</t>
  </si>
  <si>
    <t>X_ELPRD</t>
  </si>
  <si>
    <t>X_BIOGAS</t>
  </si>
  <si>
    <t>X_ELTOTQ</t>
  </si>
  <si>
    <t>X_ELBIOQ</t>
  </si>
  <si>
    <t>X_BACONC</t>
  </si>
  <si>
    <t>X_BDESCO</t>
  </si>
  <si>
    <t>X_BDESBR</t>
  </si>
  <si>
    <t>X_BDESMS</t>
  </si>
  <si>
    <t>X_BXCONC</t>
  </si>
  <si>
    <t>X_BFCONC</t>
  </si>
  <si>
    <t>X_ELVEND</t>
  </si>
  <si>
    <t>BSB5</t>
  </si>
  <si>
    <t>CSB</t>
  </si>
  <si>
    <t>TOC</t>
  </si>
  <si>
    <t>m3/d</t>
  </si>
  <si>
    <t>kg/d</t>
  </si>
  <si>
    <t>Min</t>
  </si>
  <si>
    <t>Max</t>
  </si>
  <si>
    <t>Ntot</t>
  </si>
  <si>
    <t>NH4</t>
  </si>
  <si>
    <t>Evolène</t>
  </si>
  <si>
    <t>6083/00</t>
  </si>
  <si>
    <t>Temp. Bio</t>
  </si>
  <si>
    <t>Troistorrents</t>
  </si>
  <si>
    <t>50% percentile</t>
  </si>
  <si>
    <t>85% percentile</t>
  </si>
  <si>
    <t>95% percentile</t>
  </si>
  <si>
    <t>6084/00</t>
  </si>
  <si>
    <t>DO</t>
  </si>
  <si>
    <t>commentaire général</t>
  </si>
  <si>
    <t>20% percentile</t>
  </si>
  <si>
    <t>Methode d'analyse de la DBO5</t>
  </si>
  <si>
    <t>Choix du débimètre utilisé pour calculs</t>
  </si>
  <si>
    <t>Le preleveur de sortie mesure</t>
  </si>
  <si>
    <t>Bypass DP sans eaux usées industrielles</t>
  </si>
  <si>
    <t>Type STEP</t>
  </si>
  <si>
    <t>Analyses effectuées par le labo</t>
  </si>
  <si>
    <t>Epaississement des boues</t>
  </si>
  <si>
    <t>Valorisation du biogaz</t>
  </si>
  <si>
    <t>Salsnes</t>
  </si>
  <si>
    <t>Classique</t>
  </si>
  <si>
    <t>Filtration</t>
  </si>
  <si>
    <t>Micro-tamis</t>
  </si>
  <si>
    <t>Membrane</t>
  </si>
  <si>
    <t>Flottation</t>
  </si>
  <si>
    <t>autre</t>
  </si>
  <si>
    <t>Déshydratation</t>
  </si>
  <si>
    <t>Incinération</t>
  </si>
  <si>
    <t>Stabilisation</t>
  </si>
  <si>
    <t>Séchage</t>
  </si>
  <si>
    <t>pH</t>
  </si>
  <si>
    <t>Angabe gemäss Datenbank</t>
  </si>
  <si>
    <t>transformation en vrai/faux ou utilisation ailleurs</t>
  </si>
  <si>
    <t>Co</t>
  </si>
  <si>
    <t>Cr</t>
  </si>
  <si>
    <t>Cu</t>
  </si>
  <si>
    <t>Hg</t>
  </si>
  <si>
    <t>Mo</t>
  </si>
  <si>
    <t>Ni</t>
  </si>
  <si>
    <t>Pb</t>
  </si>
  <si>
    <t>Zn</t>
  </si>
  <si>
    <t>AOX (Cl)</t>
  </si>
  <si>
    <t>P</t>
  </si>
  <si>
    <t>K</t>
  </si>
  <si>
    <t>Mg</t>
  </si>
  <si>
    <t>Ca</t>
  </si>
  <si>
    <t>Cd</t>
  </si>
  <si>
    <t>Codage champs</t>
  </si>
  <si>
    <t>Relevage</t>
  </si>
  <si>
    <t>Dégrilleur grossier</t>
  </si>
  <si>
    <t>Dessableur</t>
  </si>
  <si>
    <t>Déshuileur</t>
  </si>
  <si>
    <t>Tamiseur</t>
  </si>
  <si>
    <t>Décantation primaire</t>
  </si>
  <si>
    <t>Boues activées</t>
  </si>
  <si>
    <t>Chenal d'oxydation</t>
  </si>
  <si>
    <t>Lit bactérien</t>
  </si>
  <si>
    <t>Biofiltre</t>
  </si>
  <si>
    <t>Disque biologique</t>
  </si>
  <si>
    <t>Lagunage/Phytoplancton</t>
  </si>
  <si>
    <t>Ozonation</t>
  </si>
  <si>
    <t>Charbon actif</t>
  </si>
  <si>
    <t>pas nécessaire</t>
  </si>
  <si>
    <t>Thierry</t>
  </si>
  <si>
    <t>Marclay</t>
  </si>
  <si>
    <t>Beat</t>
  </si>
  <si>
    <t>Kuonen</t>
  </si>
  <si>
    <t>Nicolas</t>
  </si>
  <si>
    <t>Dayer</t>
  </si>
  <si>
    <t>Daniel</t>
  </si>
  <si>
    <t>Marco</t>
  </si>
  <si>
    <t>Cervetti</t>
  </si>
  <si>
    <t>Philippe</t>
  </si>
  <si>
    <t>Emery</t>
  </si>
  <si>
    <t>Michel</t>
  </si>
  <si>
    <t>Imhof</t>
  </si>
  <si>
    <t>Binn-Giesse</t>
  </si>
  <si>
    <t>6054/01</t>
  </si>
  <si>
    <t>1=classique, 2=lamellaire, 3=autre, 4=absent</t>
  </si>
  <si>
    <t>H</t>
  </si>
  <si>
    <t>Hérémence-Mâche</t>
  </si>
  <si>
    <t>6084/02</t>
  </si>
  <si>
    <t>Lionel</t>
  </si>
  <si>
    <t>Lugon-Moulin</t>
  </si>
  <si>
    <t>Bagnes-Le Châble</t>
  </si>
  <si>
    <t>Bourg St-Pierre</t>
  </si>
  <si>
    <t>Champéry</t>
  </si>
  <si>
    <t>Col Gd St-Bernard</t>
  </si>
  <si>
    <t>Schaller</t>
  </si>
  <si>
    <t>Rolf</t>
  </si>
  <si>
    <t>Hérémence-Gde Dixence</t>
  </si>
  <si>
    <t>6084/01</t>
  </si>
  <si>
    <t>Isérables</t>
  </si>
  <si>
    <t>Energie</t>
  </si>
  <si>
    <t>6300/09</t>
  </si>
  <si>
    <t>Edwin</t>
  </si>
  <si>
    <t>Henzen</t>
  </si>
  <si>
    <t>Gery</t>
  </si>
  <si>
    <t>Gaspoz</t>
  </si>
  <si>
    <t>X</t>
  </si>
  <si>
    <t>Y</t>
  </si>
  <si>
    <t>Sierre-Noës</t>
  </si>
  <si>
    <t>Sion-Châteauneuf</t>
  </si>
  <si>
    <t>Pieren</t>
  </si>
  <si>
    <t>Evionnaz-chimie</t>
  </si>
  <si>
    <t>Wir bitten Sie, folgende Hinweise zu beachten:</t>
  </si>
  <si>
    <t>Nous vous prions de bien vouloir prendre note des consignes suivantes:</t>
  </si>
  <si>
    <t>Stefan</t>
  </si>
  <si>
    <t>Ebener</t>
  </si>
  <si>
    <t>S_DBO5</t>
  </si>
  <si>
    <t>S_DCO</t>
  </si>
  <si>
    <t>S_COD</t>
  </si>
  <si>
    <t>S_NH4</t>
  </si>
  <si>
    <t>S_NO2</t>
  </si>
  <si>
    <t>S_NO3</t>
  </si>
  <si>
    <t>S_PORTH</t>
  </si>
  <si>
    <t>S_PTOT</t>
  </si>
  <si>
    <t>S_MES</t>
  </si>
  <si>
    <t>D_QTRAI2</t>
  </si>
  <si>
    <t>Temp_eaux</t>
  </si>
  <si>
    <t>kWh/a</t>
  </si>
  <si>
    <t>L/a</t>
  </si>
  <si>
    <t>Nm³/a</t>
  </si>
  <si>
    <t>Simplon-Pass</t>
  </si>
  <si>
    <t>6009/02</t>
  </si>
  <si>
    <t>Le fichier rempli et autres données d’exploitation sont à transmettre à :</t>
  </si>
  <si>
    <t>RD</t>
  </si>
  <si>
    <t>Goms</t>
  </si>
  <si>
    <t>Kurt</t>
  </si>
  <si>
    <t>Plaschy</t>
  </si>
  <si>
    <t>Allenbach</t>
  </si>
  <si>
    <t>Pascal</t>
  </si>
  <si>
    <t>Wenger</t>
  </si>
  <si>
    <t>vide 26</t>
  </si>
  <si>
    <t>SEN-ARASTEP@admin.vs.ch</t>
  </si>
  <si>
    <t>Feuille Excel pour transmission des données au SEN - Remarques importantes</t>
  </si>
  <si>
    <t>Exceldatei zur Abgabe der Resultate an die DUW - Wichtige Bemerkungen</t>
  </si>
  <si>
    <t xml:space="preserve">En cas de questions ou remarques, le service de l'environnement du canton de valais se tient à votre disposition. Si vous constatez des erreurs dans la feuille de calcul ou si vous souhaitez y apporter des modifications, nous vous prions de bien vouloir nous en informer.
</t>
  </si>
  <si>
    <t xml:space="preserve">Bei Fragen oder Bemerkungen steht die Dienststelle für Umwelt des Kantons Wallis gerne zur Verfügung. Sollten Sie im Berechnungsblatt Fehler bemerken oder wenn Sie notwendige Anpassungen wünschen, bitten wir Sie uns dies mitzuteilen.
</t>
  </si>
  <si>
    <t>Papilloud</t>
  </si>
  <si>
    <t>Alain</t>
  </si>
  <si>
    <t>DE</t>
  </si>
  <si>
    <t>Echantillonnage proportionnel au débit</t>
  </si>
  <si>
    <t>Charrat</t>
  </si>
  <si>
    <t>6132/00</t>
  </si>
  <si>
    <t>Dany</t>
  </si>
  <si>
    <t>Manuel</t>
  </si>
  <si>
    <t>Baqueiro</t>
  </si>
  <si>
    <t>Regionale ARA-Visp</t>
  </si>
  <si>
    <t>David</t>
  </si>
  <si>
    <t xml:space="preserve">Zur Übermittlung der Betriebsdaten bitten wir Sie, ausschließlich diese Modelldatei auszufüllen, welche ebenfalls auf der Webseite des Staates Wallis verfügbar ist (1.Modelldatei zur Übermittelung der ARA Betriebsdaten…)
</t>
  </si>
  <si>
    <t xml:space="preserve">Pour la transmission des données d’exploitation, veuillez utiliser exclusivement ce fichier modèle qui est également téléchargeable sur le site de l’Etat du Valais (1. Fichier modèle pour la transmission des données d'exploitation de STEP...)
</t>
  </si>
  <si>
    <t>Briggmatte-Randa</t>
  </si>
  <si>
    <t>Werkhof Eisten</t>
  </si>
  <si>
    <t>Pierre</t>
  </si>
  <si>
    <t>Gillioz</t>
  </si>
  <si>
    <r>
      <rPr>
        <sz val="9"/>
        <rFont val="Arial"/>
        <family val="2"/>
      </rPr>
      <t xml:space="preserve">Die ausgefüllte Datei und die anderen verlangten ARA-Betriebsdaten sind an </t>
    </r>
    <r>
      <rPr>
        <u/>
        <sz val="9"/>
        <color indexed="12"/>
        <rFont val="Arial"/>
        <family val="2"/>
      </rPr>
      <t>SEN-ARASTEP@admin.vs.ch</t>
    </r>
    <r>
      <rPr>
        <sz val="9"/>
        <rFont val="Arial"/>
        <family val="2"/>
      </rPr>
      <t xml:space="preserve"> zu übermitteln.</t>
    </r>
  </si>
  <si>
    <t>Colonne2</t>
  </si>
  <si>
    <t>Datum</t>
  </si>
  <si>
    <t>Wochentag</t>
  </si>
  <si>
    <t>DOC</t>
  </si>
  <si>
    <t>Pges</t>
  </si>
  <si>
    <t>Calcul des quantiles 0 à 100% comme base pour des diagrammes de fréquence de total et M 5 - 95 %.</t>
  </si>
  <si>
    <t>DCO</t>
  </si>
  <si>
    <t>=</t>
  </si>
  <si>
    <t>TOC/DOC</t>
  </si>
  <si>
    <t>Zulauffrachten in EW</t>
  </si>
  <si>
    <t>Q bio (TS)</t>
  </si>
  <si>
    <t>Fremdwasser (m3/d) Mittelwert</t>
  </si>
  <si>
    <t>Summieres Tagestotal m3/d</t>
  </si>
  <si>
    <t>Qmin</t>
  </si>
  <si>
    <t>Qmax</t>
  </si>
  <si>
    <t>Nges</t>
  </si>
  <si>
    <t>Ptot</t>
  </si>
  <si>
    <t>EW</t>
  </si>
  <si>
    <t>ch_E_DBO5</t>
  </si>
  <si>
    <t>ch_E_DCO</t>
  </si>
  <si>
    <t>ch_E_COT</t>
  </si>
  <si>
    <t>ch_E_NH4</t>
  </si>
  <si>
    <t>ch_E_NTOT</t>
  </si>
  <si>
    <t>ch_E_PTOT</t>
  </si>
  <si>
    <t>COT/DOC</t>
  </si>
  <si>
    <t>N tot / NH4</t>
  </si>
  <si>
    <t>Mittel</t>
  </si>
  <si>
    <t>Anzahl</t>
  </si>
  <si>
    <t>Summe</t>
  </si>
  <si>
    <t>variance</t>
  </si>
  <si>
    <t>dev. std</t>
  </si>
  <si>
    <t>ch_S_DBO</t>
  </si>
  <si>
    <t>ch_S-DCO</t>
  </si>
  <si>
    <t>ch_S_COD</t>
  </si>
  <si>
    <t>ch_S_NH4</t>
  </si>
  <si>
    <t>ch_S_NO2</t>
  </si>
  <si>
    <t>ch_S_NO3</t>
  </si>
  <si>
    <t>ch_S_PTOT</t>
  </si>
  <si>
    <t>ch_S_SNDT</t>
  </si>
  <si>
    <t>Ausnützung</t>
  </si>
  <si>
    <t>m3/a</t>
  </si>
  <si>
    <t>PTOT</t>
  </si>
  <si>
    <t>moy</t>
  </si>
  <si>
    <t>Fremdwasser (%) Mittelwert</t>
  </si>
  <si>
    <t>d</t>
  </si>
  <si>
    <t>ständ.angeschl.Bev.</t>
  </si>
  <si>
    <t>Sais.Einw.+hab.perm.racc</t>
  </si>
  <si>
    <t>Liste des habitants permanents raccordés par STEP (OFEV)</t>
  </si>
  <si>
    <t>STEP en cours:</t>
  </si>
  <si>
    <t>habitants perm. raccordés</t>
  </si>
  <si>
    <t>La liste dans la plage verte est à mettre à jour chaque année depuis la BDSTEP :</t>
  </si>
  <si>
    <t>Etat au :</t>
  </si>
  <si>
    <t>tot</t>
  </si>
  <si>
    <t>Numéro</t>
  </si>
  <si>
    <t>CAP_BIO (EH)</t>
  </si>
  <si>
    <t>Habitants permanents raccordés</t>
  </si>
  <si>
    <t>Date</t>
  </si>
  <si>
    <t>Choisir le 1er janvier de l'année concernée et cliquer sur Excel :</t>
  </si>
  <si>
    <t>50%-Quantil</t>
  </si>
  <si>
    <t>85%-Quantil</t>
  </si>
  <si>
    <t>95%-Quantil</t>
  </si>
  <si>
    <t>Q Zulauf ARA</t>
  </si>
  <si>
    <t>DBO5</t>
  </si>
  <si>
    <t>conc. Sortie NH4-N si &gt; 10°C</t>
  </si>
  <si>
    <t>limites</t>
  </si>
  <si>
    <t>NoSTEP</t>
  </si>
  <si>
    <t>Exploitant_prénom</t>
  </si>
  <si>
    <t>Exploitant_nom</t>
  </si>
  <si>
    <t>CapBiol</t>
  </si>
  <si>
    <t>AnCons</t>
  </si>
  <si>
    <t>AnTrans</t>
  </si>
  <si>
    <t>Coord_STEP_X</t>
  </si>
  <si>
    <t>Coord_STEP_Y</t>
  </si>
  <si>
    <t>Coord_STEP_alt</t>
  </si>
  <si>
    <t>EX_IMM_NOM</t>
  </si>
  <si>
    <t>EX_FIN_NOM</t>
  </si>
  <si>
    <t>Coord_rejet_X</t>
  </si>
  <si>
    <t>Coord_rejet_Y</t>
  </si>
  <si>
    <t>Coord_rejet_alt</t>
  </si>
  <si>
    <t>QSTEP</t>
  </si>
  <si>
    <t>VBio</t>
  </si>
  <si>
    <t>DBO5c</t>
  </si>
  <si>
    <t>DBO5rdt</t>
  </si>
  <si>
    <t>DOCc</t>
  </si>
  <si>
    <t>DOCrdt</t>
  </si>
  <si>
    <t>Ptotc</t>
  </si>
  <si>
    <t>Ptotrdt</t>
  </si>
  <si>
    <t>NNH4c</t>
  </si>
  <si>
    <t>NNH4rdt</t>
  </si>
  <si>
    <t>NO2c</t>
  </si>
  <si>
    <t>MESc</t>
  </si>
  <si>
    <t>champs de reserve (disponible)</t>
  </si>
  <si>
    <t>Habitants rac.</t>
  </si>
  <si>
    <t>Lits touristiques rac.</t>
  </si>
  <si>
    <t>FQ_SORTIE</t>
  </si>
  <si>
    <t>FDBO5_ENTREE</t>
  </si>
  <si>
    <t>FDBO5_SORTIE</t>
  </si>
  <si>
    <t>FCOT_ENTREE</t>
  </si>
  <si>
    <t>FCOT_SORTIE</t>
  </si>
  <si>
    <t>FCOD_ENTREE</t>
  </si>
  <si>
    <t>FCOD_SORTIE</t>
  </si>
  <si>
    <t>FNH4_ENTREE</t>
  </si>
  <si>
    <t>FNH4_SORTIE</t>
  </si>
  <si>
    <t>FNTOT_ENTREE</t>
  </si>
  <si>
    <t>FNTOT_SORTIE</t>
  </si>
  <si>
    <t>FNO2_ENTREE</t>
  </si>
  <si>
    <t>FNO2_SORTIE</t>
  </si>
  <si>
    <t>FPTOT_ENTREE</t>
  </si>
  <si>
    <t>FPTOT_SORTIE</t>
  </si>
  <si>
    <t>FMES_ENTREE</t>
  </si>
  <si>
    <t>FMES_SORTIE</t>
  </si>
  <si>
    <t>FTEMP</t>
  </si>
  <si>
    <t>FBOUES</t>
  </si>
  <si>
    <t>Langue</t>
  </si>
  <si>
    <t>Responsable</t>
  </si>
  <si>
    <t>EH_part_indus</t>
  </si>
  <si>
    <t>Analyses effectuées par le labo (N° du Labo)</t>
  </si>
  <si>
    <t>En service</t>
  </si>
  <si>
    <t>Est en Valais</t>
  </si>
  <si>
    <t>DCOc</t>
  </si>
  <si>
    <t>DCOrdt</t>
  </si>
  <si>
    <t>FDCO_ENTREE</t>
  </si>
  <si>
    <t>FDCO_SORTIE</t>
  </si>
  <si>
    <t>0=non 1=oui</t>
  </si>
  <si>
    <t>1=urbaine 2=industrielle 3=mixte 4=Privée</t>
  </si>
  <si>
    <t>1=absent 2=présent</t>
  </si>
  <si>
    <t>1=faible, 2=moyenne, 3=forte, 4=forte+faible, 5=lit fluidisé, 6=autre</t>
  </si>
  <si>
    <t>1=absent, 2=présent</t>
  </si>
  <si>
    <t>Clarif. sec.: Classique: 1=absent, 2=présent</t>
  </si>
  <si>
    <t>Clarif. sec. : Filtration: 1=absent, 2=présent</t>
  </si>
  <si>
    <t>Clarif. sec. : Micro-tamis: 1=absent, 2=présent</t>
  </si>
  <si>
    <t>Clarif. sec. : Membrane: 1=absent, 2=présent</t>
  </si>
  <si>
    <t>Clarif. sec. : Flottation: 1=absent, 2=présent</t>
  </si>
  <si>
    <t>Clarif. sec. : autre: 1=absent, 2=présent</t>
  </si>
  <si>
    <t>Traitement tert. : Filtration: 1=absent, 2=présent</t>
  </si>
  <si>
    <t>Traitement tert. : Ozonation: 1=absent, 2=présent</t>
  </si>
  <si>
    <t>Traitement tert. : Charbon actif: 1=absent, 2=présent</t>
  </si>
  <si>
    <t>Traitement tert. : autre: 1=absent, 2=présent</t>
  </si>
  <si>
    <t>1=Dilution, 2=OxitopC, 3=Hach-Lange, 4=Macherey-Nagel, 5=autre</t>
  </si>
  <si>
    <t>1=entrée STEP, 2=sortie STEP</t>
  </si>
  <si>
    <t>1=aucun devers. 2=devers entrée STEP, 3=devers sortie prim., 4= devers. entrée STEP+sortie prim</t>
  </si>
  <si>
    <t>1=non, 2=oui</t>
  </si>
  <si>
    <t>1=épaississeur statique, 2=table d'égouttage,3= tambour d'égouttage, 4=épaisisseur à vis, 5=flottation, 6=centri, 7=autre</t>
  </si>
  <si>
    <t>1=digestion, 2=digestion à froid, 3=stabilisation aérée, 4=autre, 5=absent</t>
  </si>
  <si>
    <t>1=chaudière à gaz, 2=CCF 3=injection réseau, 4 pile combustible, 5=absent</t>
  </si>
  <si>
    <t>1=épaississement statique, 2=tasster, 3=presse à vis, 4=centri, 5=filtre à bande, 6= filtre presse 7=autre</t>
  </si>
  <si>
    <t>0=non, 1=oui</t>
  </si>
  <si>
    <t>Ausserbinn</t>
  </si>
  <si>
    <t>6051/00</t>
  </si>
  <si>
    <t>Binna</t>
  </si>
  <si>
    <t>Rhône</t>
  </si>
  <si>
    <t>0</t>
  </si>
  <si>
    <t>Jean-Marie</t>
  </si>
  <si>
    <t>Morard</t>
  </si>
  <si>
    <t>Liène</t>
  </si>
  <si>
    <t>L6082/00</t>
  </si>
  <si>
    <t>Labo Ayent-Voos</t>
  </si>
  <si>
    <t>Jean-Marc</t>
  </si>
  <si>
    <t>Conus</t>
  </si>
  <si>
    <t>Dranse de Bagnes</t>
  </si>
  <si>
    <t>Dranse</t>
  </si>
  <si>
    <t>L6031/02</t>
  </si>
  <si>
    <t>Labo Bagnes-Le Chable</t>
  </si>
  <si>
    <t>Paul</t>
  </si>
  <si>
    <t>J</t>
  </si>
  <si>
    <t>Lonza</t>
  </si>
  <si>
    <t>L6202/00</t>
  </si>
  <si>
    <t>Labo Wiler</t>
  </si>
  <si>
    <t>Darbellay</t>
  </si>
  <si>
    <t>Dranse d'Entremont</t>
  </si>
  <si>
    <t>Martin</t>
  </si>
  <si>
    <t>Mooser</t>
  </si>
  <si>
    <t>Matter Vispa</t>
  </si>
  <si>
    <t>Vispa</t>
  </si>
  <si>
    <t>L6287/00</t>
  </si>
  <si>
    <t>Labo Briggematte-Randa</t>
  </si>
  <si>
    <t>Christian</t>
  </si>
  <si>
    <t>Schwery</t>
  </si>
  <si>
    <t>Grosser Graben</t>
  </si>
  <si>
    <t>L6002/00</t>
  </si>
  <si>
    <t>Labo Briglina-Brig</t>
  </si>
  <si>
    <t xml:space="preserve">Eliminer charge DCO et TOC des vendanges pour le calcul ECPP + Calculer la charge liée aux forts bypass pendant les vendanges; Pas de production de sable, car éliminé avec les boues à l'UTO_x000D_
_x000D_
_x000D_
_x000D_
</t>
  </si>
  <si>
    <t>L6022/00</t>
  </si>
  <si>
    <t>Labo Chamoson</t>
  </si>
  <si>
    <t>Vièze</t>
  </si>
  <si>
    <t>Roane 1.12.17 valeur phosphore du 8.11 17 = 0.96 soit au delà des normes de rejets --&gt;La pompe de chlorure ferrique déféctueuse durant deux semaine avant la prise d'échantiillons_x000D_
Roane 27.04.17 téléphone de la STEP --&gt; l'exploitant n'arrive pas à mesurer l'ammonium en entrée car trop forte concentration suite à une forte affluence de personne (arrivé d'étape du tour de romandie le 26.04 et départ le 27.04.17) . Je lui est conseillé de diluer l'échantillon --&gt; valeur = environ 90 *2 = 180 avec beaucoup d'incertitude + les autres paramètre donnent des couleurs étranges dans les tubes_x000D_
tel du 04.05.17 --&gt; les valeurs de cette semaine sont ok, tout est de retour à la normale + l'exploitant a appris que la piscine avait aussi été vidée et nettoyée en date du 27.04.17</t>
  </si>
  <si>
    <t>L6151/00</t>
  </si>
  <si>
    <t>Labo Champéry</t>
  </si>
  <si>
    <t>Canal du Syndicat</t>
  </si>
  <si>
    <t>2018: les échantillons récoltés par Denis Darbellay sont transmis à la step de Bagnes pour analyses</t>
  </si>
  <si>
    <t>Collombey-Illarsaz</t>
  </si>
  <si>
    <t>6152/02</t>
  </si>
  <si>
    <t>Frédéric</t>
  </si>
  <si>
    <t>Sudan</t>
  </si>
  <si>
    <t>Canal des Roselettes</t>
  </si>
  <si>
    <t>Canal Stockalper</t>
  </si>
  <si>
    <t>L6158/02</t>
  </si>
  <si>
    <t>Labo Vionnaz</t>
  </si>
  <si>
    <t>Canal du Bras-Neuf</t>
  </si>
  <si>
    <t xml:space="preserve">Prise en compte du bypass entrée STEP doit être limité par 2 QTS et pas la cap. hydrl. de la STEP (uniquement si le 2QTS est fortement différent de la capa nominale; à évaluer avec PM) ! L'exploitant limite à Qmax 53 l/s = 4580 m3/j depuis le 18.12.2012._x000D_
</t>
  </si>
  <si>
    <t>L6153/00</t>
  </si>
  <si>
    <t>Labo Monthey-CIMO</t>
  </si>
  <si>
    <t>Chenet des Fontaines</t>
  </si>
  <si>
    <t>Grand Canal</t>
  </si>
  <si>
    <t>Soustraire les boues de Conhey-Erde dans Vétroz-Conthey_x000D_
Il est admis que la STEP n'envoye pas de débit horaire vu qu'elle va prochainement se raccorde à Vétroz-Conthey</t>
  </si>
  <si>
    <t>L6025/00</t>
  </si>
  <si>
    <t>Labo Vetroz-Conthey</t>
  </si>
  <si>
    <t>Saaser Vispa</t>
  </si>
  <si>
    <t>L6282/00</t>
  </si>
  <si>
    <t>Labo Eisten</t>
  </si>
  <si>
    <t>L6292/00</t>
  </si>
  <si>
    <t>Labo St-Niklaus</t>
  </si>
  <si>
    <t>Bochatay</t>
  </si>
  <si>
    <t>L6213/00</t>
  </si>
  <si>
    <t>Labo Evionnaz</t>
  </si>
  <si>
    <t>Arnaud</t>
  </si>
  <si>
    <t>Abbet</t>
  </si>
  <si>
    <t>Créer un onglet "boues" qui fait la moyenne des deux analyses annuelles effectuées par l'exploitant</t>
  </si>
  <si>
    <t>L6213/11</t>
  </si>
  <si>
    <t>Labo Evionnaz-chimie</t>
  </si>
  <si>
    <t>Samuel</t>
  </si>
  <si>
    <t>Putallaz</t>
  </si>
  <si>
    <t>Borgne</t>
  </si>
  <si>
    <t>L6083/00</t>
  </si>
  <si>
    <t>Labo Evolène</t>
  </si>
  <si>
    <t>Armin</t>
  </si>
  <si>
    <t>Clausen</t>
  </si>
  <si>
    <t>Rhône (Prise d'eau Fieschertal)</t>
  </si>
  <si>
    <t>Achtung, Energiedaten müssen jeweils angepasst werden. Die übermittelte ARA-Datei enthält unter "Totaler Stromverbrauch auf ARA" *nicht* den extern bezogenen Strom, dieser muss also dazugerechnet werden!</t>
  </si>
  <si>
    <t>L6057/00</t>
  </si>
  <si>
    <t>Labo Brunni-Fiesch / ARA Goms</t>
  </si>
  <si>
    <t>René</t>
  </si>
  <si>
    <t>Zumstein</t>
  </si>
  <si>
    <t>Schlifiwasser</t>
  </si>
  <si>
    <t>L6285/00</t>
  </si>
  <si>
    <t>Labo Grächen</t>
  </si>
  <si>
    <t>Feschilju</t>
  </si>
  <si>
    <t>Auslauf gereinigtes Wasser schwer zugänglich. Zugang durch dichtes Gebüsch. Kein Weg ersichtlich. Gutes Schuhwerk nötig.</t>
  </si>
  <si>
    <t>L6108/00</t>
  </si>
  <si>
    <t>Labo Guttet</t>
  </si>
  <si>
    <t>Attention si l'eau est tjrs &lt;10°C, et que la nitrification est bonne, éviter de mettre 100% de non-conformité !</t>
  </si>
  <si>
    <t>L6084/00</t>
  </si>
  <si>
    <t>Labo Hérémence</t>
  </si>
  <si>
    <t>Dixence</t>
  </si>
  <si>
    <t xml:space="preserve">16.03.17 RD info pour bilan annuel_x000D_
- Les boues ne sont vidées que très rarement, environ tout les 10 ans donc pas de quantité à renseigner pour le bilan_x000D_
- Pour le nombre d'analyses, il faut bien regarder le nombre de mois par année ou la STEP est en fonction. L'exigence de fréquence d'analyse dans la BD est de 5 mais la STEP n'est ouverte que 3 1/2 mois._x000D_
Dans l'autorisation de rejet il est mentionnée 1 analyse mensuel en sortie et une analyse en entrée pour toute la durée d'exploitation._x000D_
Attention moyenne débit uniquement lorsque la STEP est en fonction : modifier la formule de calcul du centile dans l'onglet "calc" colonne AX, lignes 11 à 111_x000D_
Corriger manuellement le calcul du débit moyen onglet analyses BJ380_x000D_
2018: Echantillons récoltés par Aldo Dayer et transmis à Step Hérémence pour analyses ( contact: Nicolas Dayer) </t>
  </si>
  <si>
    <t>L6248/01</t>
  </si>
  <si>
    <t>Labo Sierre-Noes</t>
  </si>
  <si>
    <t>Dala</t>
  </si>
  <si>
    <t>Possède un "Trommelfilter" (Filtre à tambour)</t>
  </si>
  <si>
    <t>L6111/00</t>
  </si>
  <si>
    <t>Labo Leukerbad</t>
  </si>
  <si>
    <t>Fare</t>
  </si>
  <si>
    <t>Attention corriger charge entrante si déversement petit-lait (calcul ECP)</t>
  </si>
  <si>
    <t>L6139/00</t>
  </si>
  <si>
    <t>Labo Riddes</t>
  </si>
  <si>
    <t>Zurkirchen</t>
  </si>
  <si>
    <t>Lavey-St-Maurice</t>
  </si>
  <si>
    <t>5406/00</t>
  </si>
  <si>
    <t>Rudolf</t>
  </si>
  <si>
    <t>Loretan</t>
  </si>
  <si>
    <t xml:space="preserve">Fehler BSB5 Zulauf ARA durch NH4 und Ptot zu korrigieren          _x000D_
</t>
  </si>
  <si>
    <t>Reinhard</t>
  </si>
  <si>
    <t>Bregy</t>
  </si>
  <si>
    <t>L6110/00</t>
  </si>
  <si>
    <t>Labo Leuk-Radet</t>
  </si>
  <si>
    <t>Jean-Daniel</t>
  </si>
  <si>
    <t>Dorsaz</t>
  </si>
  <si>
    <t>éliminer charge DCO des vendanges pour le calcul ECPP</t>
  </si>
  <si>
    <t>L6135/00</t>
  </si>
  <si>
    <t>Labo Leytron</t>
  </si>
  <si>
    <t>ATTENTION: la colonne "Q dévié sortie primaire" correspond en fait à la sortie Bio 1, avant biofiltration. =&gt; corriger les rendements DP utilisés -&gt; DL ? Attente résultats performance sortie bio1 mesurés en routine par STEP My (cf. séance du 20.10.2016)_x000D_
Les sable sont lavés sur site puis déposé dans la zone des Vernay pour être ensuite valorisé pour la construction de route.</t>
  </si>
  <si>
    <t>L6136/00</t>
  </si>
  <si>
    <t>Labo Martigny</t>
  </si>
  <si>
    <t>Décharge du bisse de Tsa Crêta (torrent)</t>
  </si>
  <si>
    <t>Manna</t>
  </si>
  <si>
    <t>L6248/02</t>
  </si>
  <si>
    <t>Labo Sierre-Granges</t>
  </si>
  <si>
    <t>Pierre-Alain</t>
  </si>
  <si>
    <t>Michaud</t>
  </si>
  <si>
    <t>Dominique</t>
  </si>
  <si>
    <t xml:space="preserve">STEP mixte à majorité domestique -&gt; assimilé à domestique. Depuis le 01.01.2016, Nendaz-Bieudron ne mesure plus le bypass sortie primaire avec le rejet de la STEP. ATTENTION vérifier si les Qmin et Qmax sont en m3/h, à transformer en l/s. ATTENTION: déduire les boues provenant de PrASM._x000D_
</t>
  </si>
  <si>
    <t>L6024/03</t>
  </si>
  <si>
    <t>Labo Nendaz-Bieudron</t>
  </si>
  <si>
    <t>Moncalvo</t>
  </si>
  <si>
    <t>Léman</t>
  </si>
  <si>
    <t>Grossgrundkanal</t>
  </si>
  <si>
    <t>L6297/00</t>
  </si>
  <si>
    <t>Labo Régional-ARA Visp</t>
  </si>
  <si>
    <t>Jean-Pascal</t>
  </si>
  <si>
    <t>Monnet</t>
  </si>
  <si>
    <t>Damian</t>
  </si>
  <si>
    <t>Andenmatten</t>
  </si>
  <si>
    <t>Saaser Vispa (amén. hydroélec. Mattmark)</t>
  </si>
  <si>
    <t>L6289/00</t>
  </si>
  <si>
    <t>Labo Saastal</t>
  </si>
  <si>
    <t>L6140/00</t>
  </si>
  <si>
    <t>Labo Saillon</t>
  </si>
  <si>
    <t>Blardone</t>
  </si>
  <si>
    <t>Paul-Henri</t>
  </si>
  <si>
    <t xml:space="preserve">Attention: retour des boues en amont du prélevement d'entrée !_x000D_
</t>
  </si>
  <si>
    <t>D'Allessio</t>
  </si>
  <si>
    <t>Chrummbach</t>
  </si>
  <si>
    <t>Doveria</t>
  </si>
  <si>
    <t>Hoschugrabenbach</t>
  </si>
  <si>
    <t>Clerc</t>
  </si>
  <si>
    <t>L6266/01</t>
  </si>
  <si>
    <t>Labo Sion-Chateauneuf</t>
  </si>
  <si>
    <t>Depuis février 2014, le préleveur échantillonne en sortie de bassin biologique. Jusqu'en février 2014, échantillonnait en sortie décanteur pirmaire. ATTENTION: préleveurs non proportionnels au débit + influence partielle des retours en tête...Prélèvement proportionnel au débit dès août 2016</t>
  </si>
  <si>
    <t>Remo</t>
  </si>
  <si>
    <t>Brand</t>
  </si>
  <si>
    <t>Vu la forte proportion d'ECP, limiter le débit à 2 QTW et pas base capacité hydr nominale</t>
  </si>
  <si>
    <t>Torrent Botsa</t>
  </si>
  <si>
    <t>Déshydratation des boues par installation mobile Videsa (15%MS)_x000D_
Les boues de la cabane des becs de Bossons sont diluées dans le bassin de pluie et ajoutées petit à petit dans la STEP._x000D_
Attention, corriger la date d'analyse des boues (remplacer les virgules par des points !)_x000D_
_x000D_
Courant 2020, des panneaux solaires vont être installés sur le toit de la STEP, à voir impact sur consommation électrique roadel 13.03.20</t>
  </si>
  <si>
    <t>L6087/00</t>
  </si>
  <si>
    <t>Labo St-Martin</t>
  </si>
  <si>
    <t>Florian</t>
  </si>
  <si>
    <t>Lagger</t>
  </si>
  <si>
    <t>Hilaire</t>
  </si>
  <si>
    <t>Bressoud</t>
  </si>
  <si>
    <t>L6156/00</t>
  </si>
  <si>
    <t>Labo Troistorrents</t>
  </si>
  <si>
    <t>Findelsuön</t>
  </si>
  <si>
    <t>Löübbach</t>
  </si>
  <si>
    <t>L6201/00</t>
  </si>
  <si>
    <t>Labo Unterbäch</t>
  </si>
  <si>
    <t>Barmaz</t>
  </si>
  <si>
    <t>Navisence</t>
  </si>
  <si>
    <t>L6233/00</t>
  </si>
  <si>
    <t>Labo Val d'Annivier-Fang</t>
  </si>
  <si>
    <t xml:space="preserve">Soustraire les boues de Conthey-Erde; éliminer NH4 du calcul ECP (Graph1) faussé par retours du TDB  ; + éliminer charge DCO des vendanges pour le calcul ECPP; Attention, le débit d'entrée étant mesuré après décantation primaire, il faut éliminer cette valeur et ne garder que le débit de sortie normalement OK vu que "Choix du débitmètre utilisé" = Sortie STEP_x000D_
_x000D_
_x000D_
_x000D_
</t>
  </si>
  <si>
    <t>ne pas subventionner centrif. Imposer trsprt boues à Coll-Muraz. _x000D_
Vionnaz: choisir methode d'analyse --&gt; "dilution" (onglet BD cellule E10) car DBO est déjà corrigée dans le fichier de la STEP mixte (au labo, Oxitop est utilisé).  _x000D_
ATTENTION à déduire les boues de Vionnaz-Torgon ! _x000D_
STEP mixte à majorité domestique -&gt; assimilé à domestique_x000D_
Pour que les calculs de la concentration moyenne en entrée fonctionnent les jours où il n’y a pas de débit de Bachem et que tu as fait des analyses, il suffit que tu écrives la valeur « 0 » dans les colonnes E à J et dans la colonne R de l'onglet "analyses2" pour que le calcul fonctionne bien (cf. mail du 27.03.2020 à l'exploitant)</t>
  </si>
  <si>
    <t>Torrent de Torgon</t>
  </si>
  <si>
    <t>Avançon</t>
  </si>
  <si>
    <t>Beni</t>
  </si>
  <si>
    <t>Zenhäusern</t>
  </si>
  <si>
    <t>L6300/00</t>
  </si>
  <si>
    <t>Labo Zermatt</t>
  </si>
  <si>
    <t>624350</t>
  </si>
  <si>
    <t>97575</t>
  </si>
  <si>
    <t>624742</t>
  </si>
  <si>
    <t>97982</t>
  </si>
  <si>
    <t>Langue selectionnée</t>
  </si>
  <si>
    <t>LANGUE</t>
  </si>
  <si>
    <t>AS</t>
  </si>
  <si>
    <t xml:space="preserve">Blatt "basis" Ihre ARA + Sprache wählen </t>
  </si>
  <si>
    <t>Onglet "basis": sélectionner votre STEP + choisir la Langue</t>
  </si>
  <si>
    <t>Wiler-Kippel</t>
  </si>
  <si>
    <t>NH4-N, Ntot</t>
  </si>
  <si>
    <t>t/d</t>
  </si>
  <si>
    <t>t/a</t>
  </si>
  <si>
    <t>t TS /d</t>
  </si>
  <si>
    <t>t TS /a</t>
  </si>
  <si>
    <t>tot./a</t>
  </si>
  <si>
    <t>Wh/EW/d</t>
  </si>
  <si>
    <t>Alle grünen Felder der Blätter basis, general, analyses, boues, Energie+CHF  sind auszufüllen.</t>
  </si>
  <si>
    <t>Remplir toutes les cases vertes des onglets : basis, general, analyses, boues, Energie+CHF</t>
  </si>
  <si>
    <t>Débit</t>
  </si>
  <si>
    <t>Mittelw./Moyenne</t>
  </si>
  <si>
    <t>Rapports typiques à l'entrée STEP</t>
  </si>
  <si>
    <t>DBO5/TOC</t>
  </si>
  <si>
    <t>DCO/DBO5</t>
  </si>
  <si>
    <t>NH4-N/Ntot</t>
  </si>
  <si>
    <t>Ntot/TOC</t>
  </si>
  <si>
    <t>Ptot/TOC</t>
  </si>
  <si>
    <t>DCO/TOC</t>
  </si>
  <si>
    <t>Ntot/DCO</t>
  </si>
  <si>
    <t>Ptot/DCO</t>
  </si>
  <si>
    <t>ch_S_DOC</t>
  </si>
  <si>
    <t>nom_fichier_source</t>
  </si>
  <si>
    <t>dossier_fichier_source</t>
  </si>
  <si>
    <t>Ayent-Voos_608200</t>
  </si>
  <si>
    <t>Bagnes-LeChable</t>
  </si>
  <si>
    <t>Bagnes-LeChable_603102</t>
  </si>
  <si>
    <t>Binn_605400</t>
  </si>
  <si>
    <t>Binn-Giesse_605401</t>
  </si>
  <si>
    <t>Blatten_619200</t>
  </si>
  <si>
    <t>Bourg St-Pierre_603202</t>
  </si>
  <si>
    <t>Briggematte-Randa</t>
  </si>
  <si>
    <t>Briggematte-Randa_628700</t>
  </si>
  <si>
    <t>Briglina-Brig_600200</t>
  </si>
  <si>
    <t>Chamoson_602200</t>
  </si>
  <si>
    <t>Champery</t>
  </si>
  <si>
    <t>Champery_615100</t>
  </si>
  <si>
    <t>Col Gd St-Bernard_603200</t>
  </si>
  <si>
    <t>Collombey-Muraz_615201</t>
  </si>
  <si>
    <t>Conthey-Erde_602300</t>
  </si>
  <si>
    <t>Eisten_628200</t>
  </si>
  <si>
    <t>Embd_628300</t>
  </si>
  <si>
    <t>Evionnaz_621300</t>
  </si>
  <si>
    <t>Evionnaz-chimie_621311</t>
  </si>
  <si>
    <t>Evolene</t>
  </si>
  <si>
    <t>Evolene_608300</t>
  </si>
  <si>
    <t>Ferden_619500</t>
  </si>
  <si>
    <t>Goms_605700</t>
  </si>
  <si>
    <t>Graechen_628500</t>
  </si>
  <si>
    <t>Guttet_610800</t>
  </si>
  <si>
    <t>Heremence</t>
  </si>
  <si>
    <t>Heremence_608400</t>
  </si>
  <si>
    <t>Heremence-Gde Dixence</t>
  </si>
  <si>
    <t>Heremence-Gde Dixence_608401</t>
  </si>
  <si>
    <t>Heremence-Mache</t>
  </si>
  <si>
    <t>Heremence-Mache_608402</t>
  </si>
  <si>
    <t>Icogne_623900</t>
  </si>
  <si>
    <t>Inden_610900</t>
  </si>
  <si>
    <t>Iserables</t>
  </si>
  <si>
    <t>Iserables_613400</t>
  </si>
  <si>
    <t>Leukerbad_611100</t>
  </si>
  <si>
    <t>Leuk-Radet_611000</t>
  </si>
  <si>
    <t>Leytron_613500</t>
  </si>
  <si>
    <t>Martigny_613600</t>
  </si>
  <si>
    <t>Mase_608500</t>
  </si>
  <si>
    <t>Monthey-CIMO_615300</t>
  </si>
  <si>
    <t>Nendaz-Bieudron_602403</t>
  </si>
  <si>
    <t>Port-Valais_615400</t>
  </si>
  <si>
    <t>Riddes_613900</t>
  </si>
  <si>
    <t>Saastal_628900</t>
  </si>
  <si>
    <t>Saillon_614000</t>
  </si>
  <si>
    <t>Saxon_614100</t>
  </si>
  <si>
    <t>Sierre-Granges_624802</t>
  </si>
  <si>
    <t>Sierre-Noes</t>
  </si>
  <si>
    <t>Sierre-Noes_624801</t>
  </si>
  <si>
    <t>Simplon-Dorf_600901</t>
  </si>
  <si>
    <t>Simplon-Pass_600902</t>
  </si>
  <si>
    <t>Sion-Chandoline_626603</t>
  </si>
  <si>
    <t>Sion-Chateauneuf</t>
  </si>
  <si>
    <t>Sion-Chateauneuf_626601</t>
  </si>
  <si>
    <t>Stalden_629300</t>
  </si>
  <si>
    <t>St-Gingolph_615500</t>
  </si>
  <si>
    <t>St-Martin_608700</t>
  </si>
  <si>
    <t>St-Niklaus_629200</t>
  </si>
  <si>
    <t>Trient_614200</t>
  </si>
  <si>
    <t>Troistorrents_615600</t>
  </si>
  <si>
    <t>Unterbaech</t>
  </si>
  <si>
    <t>Unterbaech_620100</t>
  </si>
  <si>
    <t>Varen_611600</t>
  </si>
  <si>
    <t>Vetroz-Conthey</t>
  </si>
  <si>
    <t>Vetroz-Conthey_602500</t>
  </si>
  <si>
    <t>Vionnaz_615802</t>
  </si>
  <si>
    <t>Vionnaz-Torgon_615801</t>
  </si>
  <si>
    <t>Vouvry_615900</t>
  </si>
  <si>
    <t>Wiler_620200</t>
  </si>
  <si>
    <t>Zermatt_630000</t>
  </si>
  <si>
    <t>Regional-ARA Visp</t>
  </si>
  <si>
    <t>Regional-ARA Visp_629700</t>
  </si>
  <si>
    <t>Val_dAnniviers-Fang_623300</t>
  </si>
  <si>
    <t>Val_dAnniviers-Fang</t>
  </si>
  <si>
    <t>Infos</t>
  </si>
  <si>
    <t>A la fin août, tenue du UTMB, avec afflux de coureurs et de spectateurs --&gt; STEP en surcharge et tous les paramètres montrent un pic de concentration plus élevé. C'est "normal", ne pas demander d'explications.</t>
  </si>
  <si>
    <t>Taux ECPP</t>
  </si>
  <si>
    <t>Patrick</t>
  </si>
  <si>
    <t>Bruno</t>
  </si>
  <si>
    <t>Esteves</t>
  </si>
  <si>
    <t>Renommer le fichier avec le nom de votre STEP : NomSTEP_2022.xlsx</t>
  </si>
  <si>
    <t>Modelldatei mit dem ARA-Namen umbenennen: ARAName_2022.xlsx</t>
  </si>
  <si>
    <t>Version: 2022 (16.12.2022)</t>
  </si>
  <si>
    <t>TA</t>
  </si>
  <si>
    <t xml:space="preserve">                   _x000D_
le rejet est en rive gauche (attention aux coordonnées)</t>
  </si>
  <si>
    <t xml:space="preserve">_x000D_
_x000D_
</t>
  </si>
  <si>
    <t xml:space="preserve">_x000D_
</t>
  </si>
  <si>
    <t>Serge</t>
  </si>
  <si>
    <t>Sierro</t>
  </si>
  <si>
    <t>Yvan</t>
  </si>
  <si>
    <t>Crittin</t>
  </si>
  <si>
    <t xml:space="preserve">Monthey-CIMO: La charge du bypass est calculée avec la concentration moyenne chimie+ville. Vu que le bypass ne concerne que l'eau de ville, il faut corriger (dans CALC colonnes EA à EF). _x000D_
Soustraire les boues externes brûlées par CIMO._x000D_
ATTENTION l'entrée ville (EV) est prélevée après DP -&gt; à recalculer les eaux brutes. _x000D_
Calcul d'ECP : à corriger, à ne faire que pour les eaux de la ville_x000D_
</t>
  </si>
  <si>
    <t>Fournier</t>
  </si>
  <si>
    <t>Christoph</t>
  </si>
  <si>
    <t>Michlig</t>
  </si>
  <si>
    <t xml:space="preserve">Bemerkung: Regional-ARA Visp: In der Modeldatei wird der Bypass Zulauf ARA mit dem Mittelwert der Konzentrationen aus Zulauf Gemeinde und Zulauf Industrie berechnet. Bei dieser ARA wird der Zulauf aus der Industrie i.d.R. nicht gepypasst, man muss also den Bypass aus Zulauf ARA neu berechnen, damit im Bypass Zulauf ARA nur der Zulauf aus Gemeindeabwasser und nicht derjenige aus der Industrie gerechnet wird.									_x000D_
									_x000D_
</t>
  </si>
  <si>
    <t>L6141/00</t>
  </si>
  <si>
    <t>Labo Saxon</t>
  </si>
  <si>
    <t>Pour calcul ECP: corriger car surcharge industrielle chronique (cf. 2015)_x000D_
_x000D_
Rem du 13.06.2022: Il est normal que les valeurs de NH4 en sortie soient plus élevées que Ntot en entrée, car la STEP ne fait pas de nitrification et centrifuge les boues. Les centras sont chargés en N, ce qui explique la valeur supérieure en sortie par rapport à l'entrée.</t>
  </si>
  <si>
    <t xml:space="preserve">Kein ARA, nur eine Klärgrube. Eine echte ARA muss gebaut werden (s. Schreiben von Marc Bernard vom 09. Jan. 2019)_x000D_
_x000D_
Actuellement ce n'est pas une STEP mais une fosse </t>
  </si>
  <si>
    <t>Fernand</t>
  </si>
  <si>
    <t>Schneeberger</t>
  </si>
  <si>
    <t>Rémy</t>
  </si>
  <si>
    <t>Olivrain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</si>
</sst>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 #,##0.00_ ;_ * \-#,##0.00_ ;_ * &quot;-&quot;??_ ;_ @_ "/>
    <numFmt numFmtId="165" formatCode="_(* #,##0.00_);_(* \(#,##0.00\);_(* &quot;-&quot;??_);_(@_)"/>
    <numFmt numFmtId="166" formatCode="_ * #,##0.0_ ;_ * \-#,##0.0_ ;_ * &quot;-&quot;??_ ;_ @_ "/>
    <numFmt numFmtId="167" formatCode="_ * #,##0_ ;_ * \-#,##0_ ;_ * &quot;-&quot;??_ ;_ @_ "/>
    <numFmt numFmtId="168" formatCode="0.0"/>
    <numFmt numFmtId="169" formatCode="ddd"/>
    <numFmt numFmtId="170" formatCode="dd/mm/yy;@"/>
    <numFmt numFmtId="171" formatCode="0.0%"/>
    <numFmt numFmtId="172" formatCode="_ [$€-2]\ * #,##0.00_ ;_ [$€-2]\ * \-#,##0.00_ ;_ [$€-2]\ * &quot;-&quot;??_ "/>
    <numFmt numFmtId="173" formatCode="#,##0.000"/>
    <numFmt numFmtId="174" formatCode="_(* #,##0.0_);_(* \(#,##0.0\);_(* &quot;-&quot;??_);_(@_)"/>
    <numFmt numFmtId="175" formatCode="_(* #,##0_);_(* \(#,##0\);_(* &quot;-&quot;??_);_(@_)"/>
    <numFmt numFmtId="176" formatCode="#,##0.0"/>
    <numFmt numFmtId="177" formatCode="_-* #,##0.00\ _C_H_F_-;\-* #,##0.00\ _C_H_F_-;_-* &quot;-&quot;??\ _C_H_F_-;_-@_-"/>
    <numFmt numFmtId="178" formatCode="0.000"/>
  </numFmts>
  <fonts count="99"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8"/>
      <name val="Arial"/>
      <family val="2"/>
    </font>
    <font>
      <b/>
      <sz val="10"/>
      <name val="Arial"/>
      <family val="2"/>
    </font>
    <font>
      <b/>
      <sz val="12"/>
      <name val="Arial"/>
      <family val="2"/>
    </font>
    <font>
      <b/>
      <i/>
      <sz val="10"/>
      <name val="Arial"/>
      <family val="2"/>
    </font>
    <font>
      <i/>
      <sz val="10"/>
      <name val="Arial"/>
      <family val="2"/>
    </font>
    <font>
      <b/>
      <sz val="10"/>
      <name val="Arial"/>
      <family val="2"/>
    </font>
    <font>
      <sz val="8"/>
      <name val="Arial"/>
      <family val="2"/>
    </font>
    <font>
      <sz val="10"/>
      <name val="Arial"/>
      <family val="2"/>
    </font>
    <font>
      <sz val="10"/>
      <color indexed="8"/>
      <name val="Arial"/>
      <family val="2"/>
    </font>
    <font>
      <i/>
      <sz val="9"/>
      <name val="Arial"/>
      <family val="2"/>
    </font>
    <font>
      <b/>
      <i/>
      <sz val="12"/>
      <name val="Arial"/>
      <family val="2"/>
    </font>
    <font>
      <sz val="10"/>
      <name val="Arial"/>
      <family val="2"/>
    </font>
    <font>
      <sz val="9"/>
      <name val="Arial"/>
      <family val="2"/>
    </font>
    <font>
      <sz val="8"/>
      <color indexed="8"/>
      <name val="Arial"/>
      <family val="2"/>
    </font>
    <font>
      <sz val="6"/>
      <name val="Arial"/>
      <family val="2"/>
    </font>
    <font>
      <sz val="6"/>
      <color indexed="8"/>
      <name val="Arial"/>
      <family val="2"/>
    </font>
    <font>
      <sz val="8"/>
      <color indexed="8"/>
      <name val="Tahoma"/>
      <family val="2"/>
    </font>
    <font>
      <sz val="8"/>
      <color indexed="81"/>
      <name val="Tahoma"/>
      <family val="2"/>
    </font>
    <font>
      <b/>
      <sz val="8"/>
      <color indexed="81"/>
      <name val="Tahoma"/>
      <family val="2"/>
    </font>
    <font>
      <sz val="12"/>
      <name val="Arial"/>
      <family val="2"/>
    </font>
    <font>
      <sz val="10"/>
      <color indexed="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4"/>
      <name val="Arial"/>
      <family val="2"/>
    </font>
    <font>
      <sz val="8"/>
      <color indexed="10"/>
      <name val="Arial"/>
      <family val="2"/>
    </font>
    <font>
      <sz val="10"/>
      <color indexed="8"/>
      <name val="Calibri"/>
      <family val="2"/>
    </font>
    <font>
      <sz val="7"/>
      <color indexed="10"/>
      <name val="Arial"/>
      <family val="2"/>
    </font>
    <font>
      <sz val="8.1999999999999993"/>
      <name val="Arial"/>
      <family val="2"/>
    </font>
    <font>
      <u val="singleAccounting"/>
      <sz val="10"/>
      <name val="Arial"/>
      <family val="2"/>
    </font>
    <font>
      <b/>
      <sz val="8"/>
      <color rgb="FFFF0000"/>
      <name val="Arial"/>
      <family val="2"/>
    </font>
    <font>
      <sz val="10"/>
      <color theme="1"/>
      <name val="Arial"/>
      <family val="2"/>
    </font>
    <font>
      <b/>
      <sz val="36"/>
      <name val="Arial"/>
      <family val="2"/>
    </font>
    <font>
      <b/>
      <sz val="9"/>
      <color indexed="81"/>
      <name val="Tahoma"/>
      <family val="2"/>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0"/>
      <name val="Calibri"/>
      <family val="2"/>
      <scheme val="minor"/>
    </font>
    <font>
      <b/>
      <sz val="10"/>
      <color theme="1"/>
      <name val="Arial"/>
      <family val="2"/>
    </font>
    <font>
      <i/>
      <sz val="10"/>
      <color theme="1"/>
      <name val="Arial"/>
      <family val="2"/>
    </font>
    <font>
      <b/>
      <sz val="9"/>
      <name val="Arial"/>
      <family val="2"/>
    </font>
    <font>
      <u/>
      <sz val="8.5"/>
      <color indexed="12"/>
      <name val="Arial"/>
      <family val="2"/>
    </font>
    <font>
      <sz val="9"/>
      <color theme="0"/>
      <name val="Arial"/>
      <family val="2"/>
    </font>
    <font>
      <sz val="9"/>
      <color indexed="81"/>
      <name val="Tahoma"/>
      <family val="2"/>
    </font>
    <font>
      <sz val="8"/>
      <color theme="0" tint="-0.34998626667073579"/>
      <name val="Arial"/>
      <family val="2"/>
    </font>
    <font>
      <b/>
      <sz val="11"/>
      <color rgb="FFFF0000"/>
      <name val="Arial"/>
      <family val="2"/>
    </font>
    <font>
      <sz val="9"/>
      <color rgb="FFFF0000"/>
      <name val="Arial"/>
      <family val="2"/>
    </font>
    <font>
      <u/>
      <sz val="9"/>
      <color indexed="12"/>
      <name val="Arial"/>
      <family val="2"/>
    </font>
    <font>
      <sz val="9"/>
      <color rgb="FF000000"/>
      <name val="Arial"/>
      <family val="2"/>
    </font>
    <font>
      <u/>
      <sz val="9"/>
      <color rgb="FF0000CC"/>
      <name val="Arial"/>
      <family val="2"/>
    </font>
    <font>
      <b/>
      <sz val="9"/>
      <color theme="1"/>
      <name val="Arial"/>
      <family val="2"/>
    </font>
    <font>
      <sz val="9"/>
      <color theme="1"/>
      <name val="Arial"/>
      <family val="2"/>
    </font>
    <font>
      <sz val="8"/>
      <color theme="1"/>
      <name val="Arial"/>
      <family val="2"/>
    </font>
    <font>
      <b/>
      <sz val="10"/>
      <color theme="0" tint="-0.249977111117893"/>
      <name val="Arial"/>
      <family val="2"/>
    </font>
    <font>
      <sz val="10"/>
      <color theme="0" tint="-0.249977111117893"/>
      <name val="Arial"/>
      <family val="2"/>
    </font>
    <font>
      <sz val="8"/>
      <color theme="0" tint="-0.249977111117893"/>
      <name val="Arial"/>
      <family val="2"/>
    </font>
    <font>
      <b/>
      <i/>
      <u/>
      <sz val="12"/>
      <name val="Arial"/>
      <family val="2"/>
    </font>
    <font>
      <b/>
      <sz val="14"/>
      <color theme="1"/>
      <name val="Calibri"/>
      <family val="2"/>
      <scheme val="minor"/>
    </font>
    <font>
      <b/>
      <sz val="11"/>
      <color theme="1"/>
      <name val="Calibri"/>
      <family val="2"/>
      <scheme val="minor"/>
    </font>
    <font>
      <sz val="16"/>
      <name val="Arial"/>
      <family val="2"/>
    </font>
    <font>
      <sz val="9"/>
      <color indexed="8"/>
      <name val="Arial"/>
      <family val="2"/>
    </font>
    <font>
      <sz val="10"/>
      <color theme="0"/>
      <name val="Arial"/>
      <family val="2"/>
    </font>
    <font>
      <sz val="8.1999999999999993"/>
      <color theme="0"/>
      <name val="Arial"/>
      <family val="2"/>
    </font>
    <font>
      <sz val="10"/>
      <color rgb="FF000000"/>
      <name val="Arial"/>
      <family val="2"/>
    </font>
    <font>
      <sz val="7"/>
      <name val="Arial"/>
      <family val="2"/>
    </font>
    <font>
      <b/>
      <sz val="7"/>
      <name val="Arial"/>
      <family val="2"/>
    </font>
    <font>
      <b/>
      <sz val="12"/>
      <color indexed="81"/>
      <name val="Tahoma"/>
      <family val="2"/>
    </font>
    <font>
      <b/>
      <sz val="14"/>
      <color indexed="81"/>
      <name val="Tahoma"/>
      <family val="2"/>
    </font>
  </fonts>
  <fills count="9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13"/>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61"/>
        <bgColor indexed="64"/>
      </patternFill>
    </fill>
    <fill>
      <patternFill patternType="solid">
        <fgColor indexed="22"/>
        <bgColor indexed="0"/>
      </patternFill>
    </fill>
    <fill>
      <patternFill patternType="solid">
        <fgColor rgb="FFFFFFFF"/>
      </patternFill>
    </fill>
    <fill>
      <patternFill patternType="solid">
        <fgColor theme="1" tint="0.34998626667073579"/>
        <bgColor indexed="64"/>
      </patternFill>
    </fill>
    <fill>
      <patternFill patternType="solid">
        <fgColor theme="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2" tint="-0.24997711111789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0" tint="-0.499984740745262"/>
        <bgColor indexed="64"/>
      </patternFill>
    </fill>
    <fill>
      <patternFill patternType="solid">
        <fgColor theme="0" tint="-0.14999847407452621"/>
        <bgColor indexed="64"/>
      </patternFill>
    </fill>
    <fill>
      <patternFill patternType="solid">
        <fgColor theme="2" tint="-0.89999084444715716"/>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FFCC"/>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indexed="43"/>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indexed="2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00"/>
        <bgColor indexed="0"/>
      </patternFill>
    </fill>
    <fill>
      <patternFill patternType="solid">
        <fgColor theme="1" tint="0.34998626667073579"/>
        <bgColor indexed="0"/>
      </patternFill>
    </fill>
    <fill>
      <patternFill patternType="solid">
        <fgColor indexed="9"/>
        <bgColor indexed="64"/>
      </patternFill>
    </fill>
  </fills>
  <borders count="9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rgb="FF00CCFF"/>
      </left>
      <right style="medium">
        <color rgb="FF00CCFF"/>
      </right>
      <top style="medium">
        <color rgb="FF00CCFF"/>
      </top>
      <bottom style="medium">
        <color rgb="FF00CCFF"/>
      </bottom>
      <diagonal/>
    </border>
    <border diagonalUp="1" diagonalDown="1">
      <left/>
      <right style="thin">
        <color indexed="64"/>
      </right>
      <top/>
      <bottom style="thin">
        <color indexed="64"/>
      </bottom>
      <diagonal style="thin">
        <color indexed="64"/>
      </diagonal>
    </border>
    <border>
      <left style="dashed">
        <color indexed="64"/>
      </left>
      <right style="dashed">
        <color indexed="64"/>
      </right>
      <top style="dashed">
        <color indexed="64"/>
      </top>
      <bottom style="dashed">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theme="4" tint="0.39997558519241921"/>
      </top>
      <bottom style="thin">
        <color theme="4" tint="0.39997558519241921"/>
      </bottom>
      <diagonal/>
    </border>
    <border>
      <left style="thin">
        <color indexed="64"/>
      </left>
      <right/>
      <top style="thin">
        <color theme="4" tint="0.39997558519241921"/>
      </top>
      <bottom/>
      <diagonal/>
    </border>
    <border>
      <left style="dashed">
        <color indexed="64"/>
      </left>
      <right/>
      <top style="dashed">
        <color indexed="64"/>
      </top>
      <bottom/>
      <diagonal/>
    </border>
    <border>
      <left style="dashed">
        <color indexed="64"/>
      </left>
      <right style="thin">
        <color indexed="64"/>
      </right>
      <top style="thin">
        <color indexed="64"/>
      </top>
      <bottom/>
      <diagonal/>
    </border>
    <border>
      <left style="medium">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medium">
        <color indexed="64"/>
      </right>
      <top style="thin">
        <color theme="4" tint="0.39997558519241921"/>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10">
    <xf numFmtId="0" fontId="0"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8"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9" fillId="0" borderId="0" applyNumberFormat="0" applyFill="0" applyBorder="0" applyAlignment="0" applyProtection="0"/>
    <xf numFmtId="0" fontId="30" fillId="20" borderId="1" applyNumberFormat="0" applyAlignment="0" applyProtection="0"/>
    <xf numFmtId="0" fontId="31" fillId="0" borderId="2" applyNumberFormat="0" applyFill="0" applyAlignment="0" applyProtection="0"/>
    <xf numFmtId="0" fontId="13" fillId="21" borderId="3" applyNumberFormat="0" applyFont="0" applyAlignment="0" applyProtection="0"/>
    <xf numFmtId="0" fontId="27" fillId="21" borderId="3" applyNumberFormat="0" applyFont="0" applyAlignment="0" applyProtection="0"/>
    <xf numFmtId="165" fontId="13" fillId="0" borderId="0" applyFont="0" applyFill="0" applyBorder="0" applyAlignment="0" applyProtection="0"/>
    <xf numFmtId="0" fontId="32" fillId="7" borderId="1" applyNumberFormat="0" applyAlignment="0" applyProtection="0"/>
    <xf numFmtId="172" fontId="3" fillId="0" borderId="0" applyFont="0" applyFill="0" applyBorder="0" applyAlignment="0" applyProtection="0"/>
    <xf numFmtId="0" fontId="33" fillId="3" borderId="0" applyNumberFormat="0" applyBorder="0" applyAlignment="0" applyProtection="0"/>
    <xf numFmtId="0" fontId="4" fillId="0" borderId="0" applyNumberFormat="0" applyFill="0" applyBorder="0" applyAlignment="0" applyProtection="0">
      <alignment vertical="top"/>
      <protection locked="0"/>
    </xf>
    <xf numFmtId="165" fontId="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3" fillId="0" borderId="0" applyFont="0" applyFill="0" applyBorder="0" applyAlignment="0" applyProtection="0"/>
    <xf numFmtId="0" fontId="34" fillId="22" borderId="0" applyNumberFormat="0" applyBorder="0" applyAlignment="0" applyProtection="0"/>
    <xf numFmtId="0" fontId="13" fillId="0" borderId="0"/>
    <xf numFmtId="0" fontId="13" fillId="0" borderId="0"/>
    <xf numFmtId="0" fontId="46" fillId="0" borderId="0"/>
    <xf numFmtId="0" fontId="27" fillId="0" borderId="0"/>
    <xf numFmtId="0" fontId="13" fillId="0" borderId="0"/>
    <xf numFmtId="0" fontId="14" fillId="0" borderId="0"/>
    <xf numFmtId="9" fontId="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5" fillId="4" borderId="0" applyNumberFormat="0" applyBorder="0" applyAlignment="0" applyProtection="0"/>
    <xf numFmtId="0" fontId="36" fillId="20" borderId="4" applyNumberFormat="0" applyAlignment="0" applyProtection="0"/>
    <xf numFmtId="0" fontId="3" fillId="0" borderId="0"/>
    <xf numFmtId="0" fontId="37" fillId="0" borderId="0" applyNumberFormat="0" applyFill="0" applyBorder="0" applyAlignment="0" applyProtection="0"/>
    <xf numFmtId="0" fontId="38" fillId="0" borderId="0" applyNumberFormat="0" applyFill="0" applyBorder="0" applyAlignment="0" applyProtection="0"/>
    <xf numFmtId="0" fontId="39"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1" fillId="0" borderId="0" applyNumberFormat="0" applyFill="0" applyBorder="0" applyAlignment="0" applyProtection="0"/>
    <xf numFmtId="0" fontId="42" fillId="0" borderId="8" applyNumberFormat="0" applyFill="0" applyAlignment="0" applyProtection="0"/>
    <xf numFmtId="0" fontId="43" fillId="23" borderId="9" applyNumberFormat="0" applyAlignment="0" applyProtection="0"/>
    <xf numFmtId="0" fontId="3" fillId="0" borderId="0"/>
    <xf numFmtId="0" fontId="3" fillId="0" borderId="0"/>
    <xf numFmtId="0" fontId="2" fillId="0" borderId="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5" fillId="0" borderId="0" applyNumberFormat="0" applyFill="0" applyBorder="0" applyAlignment="0" applyProtection="0"/>
    <xf numFmtId="0" fontId="56" fillId="55" borderId="58" applyNumberFormat="0" applyAlignment="0" applyProtection="0"/>
    <xf numFmtId="0" fontId="57" fillId="0" borderId="59" applyNumberFormat="0" applyFill="0" applyAlignment="0" applyProtection="0"/>
    <xf numFmtId="0" fontId="58" fillId="56" borderId="58" applyNumberFormat="0" applyAlignment="0" applyProtection="0"/>
    <xf numFmtId="0" fontId="59" fillId="57" borderId="0" applyNumberFormat="0" applyBorder="0" applyAlignment="0" applyProtection="0"/>
    <xf numFmtId="0" fontId="60" fillId="58" borderId="0" applyNumberFormat="0" applyBorder="0" applyAlignment="0" applyProtection="0"/>
    <xf numFmtId="0" fontId="61" fillId="59" borderId="0" applyNumberFormat="0" applyBorder="0" applyAlignment="0" applyProtection="0"/>
    <xf numFmtId="0" fontId="62" fillId="55" borderId="60"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61" applyNumberFormat="0" applyFill="0" applyAlignment="0" applyProtection="0"/>
    <xf numFmtId="0" fontId="66" fillId="0" borderId="62" applyNumberFormat="0" applyFill="0" applyAlignment="0" applyProtection="0"/>
    <xf numFmtId="0" fontId="67" fillId="0" borderId="63" applyNumberFormat="0" applyFill="0" applyAlignment="0" applyProtection="0"/>
    <xf numFmtId="0" fontId="67" fillId="0" borderId="0" applyNumberFormat="0" applyFill="0" applyBorder="0" applyAlignment="0" applyProtection="0"/>
    <xf numFmtId="0" fontId="68" fillId="60" borderId="64" applyNumberFormat="0" applyAlignment="0" applyProtection="0"/>
    <xf numFmtId="0" fontId="72" fillId="0" borderId="0" applyNumberFormat="0" applyFill="0" applyBorder="0" applyAlignment="0" applyProtection="0">
      <alignment vertical="top"/>
      <protection locked="0"/>
    </xf>
    <xf numFmtId="164" fontId="3" fillId="0" borderId="0" applyFont="0" applyFill="0" applyBorder="0" applyAlignment="0" applyProtection="0"/>
    <xf numFmtId="0" fontId="1" fillId="0" borderId="0"/>
    <xf numFmtId="0" fontId="1" fillId="0" borderId="0"/>
    <xf numFmtId="0" fontId="3" fillId="0" borderId="0"/>
    <xf numFmtId="0" fontId="3" fillId="0" borderId="0"/>
  </cellStyleXfs>
  <cellXfs count="1140">
    <xf numFmtId="0" fontId="0" fillId="0" borderId="0" xfId="0"/>
    <xf numFmtId="0" fontId="5" fillId="0" borderId="0" xfId="0" applyFont="1" applyFill="1" applyBorder="1"/>
    <xf numFmtId="0" fontId="0" fillId="0" borderId="0" xfId="0" applyBorder="1" applyAlignment="1">
      <alignment vertical="center"/>
    </xf>
    <xf numFmtId="0" fontId="0" fillId="0" borderId="0" xfId="0" applyFill="1" applyBorder="1" applyAlignment="1">
      <alignment vertical="center"/>
    </xf>
    <xf numFmtId="0" fontId="0" fillId="0" borderId="0" xfId="0" applyFill="1" applyBorder="1"/>
    <xf numFmtId="0" fontId="0" fillId="0" borderId="0" xfId="0" applyBorder="1"/>
    <xf numFmtId="0" fontId="13" fillId="0" borderId="0" xfId="0" applyFont="1" applyBorder="1" applyAlignment="1">
      <alignment vertical="center"/>
    </xf>
    <xf numFmtId="3" fontId="0" fillId="0" borderId="0" xfId="0" applyNumberFormat="1"/>
    <xf numFmtId="0" fontId="11" fillId="0" borderId="0" xfId="0" applyFont="1"/>
    <xf numFmtId="0" fontId="7" fillId="0" borderId="0" xfId="0" applyFont="1"/>
    <xf numFmtId="0" fontId="11" fillId="0" borderId="0" xfId="0" applyFont="1" applyBorder="1"/>
    <xf numFmtId="0" fontId="11" fillId="0" borderId="0" xfId="0" applyFont="1" applyFill="1" applyBorder="1"/>
    <xf numFmtId="0" fontId="5" fillId="0" borderId="0" xfId="0" applyFont="1" applyAlignment="1"/>
    <xf numFmtId="0" fontId="18" fillId="0" borderId="0" xfId="0" applyFont="1" applyBorder="1" applyAlignment="1">
      <alignment horizontal="left"/>
    </xf>
    <xf numFmtId="0" fontId="0" fillId="0" borderId="0" xfId="0" applyFill="1"/>
    <xf numFmtId="49" fontId="5" fillId="0" borderId="0" xfId="0" applyNumberFormat="1" applyFont="1" applyAlignment="1">
      <alignment horizontal="center"/>
    </xf>
    <xf numFmtId="0" fontId="25" fillId="0" borderId="0" xfId="0" applyFont="1" applyBorder="1"/>
    <xf numFmtId="0" fontId="5" fillId="0" borderId="0" xfId="0" applyFont="1" applyAlignment="1">
      <alignment horizontal="center"/>
    </xf>
    <xf numFmtId="0" fontId="0" fillId="0" borderId="0" xfId="0" applyAlignment="1">
      <alignment wrapText="1"/>
    </xf>
    <xf numFmtId="0" fontId="11"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3" fillId="0" borderId="0" xfId="0" applyFont="1" applyBorder="1"/>
    <xf numFmtId="0" fontId="0" fillId="0" borderId="21" xfId="0" applyBorder="1" applyAlignment="1" applyProtection="1">
      <alignment horizontal="left"/>
    </xf>
    <xf numFmtId="0" fontId="0" fillId="0" borderId="21" xfId="0" applyBorder="1" applyProtection="1">
      <protection locked="0"/>
    </xf>
    <xf numFmtId="0" fontId="0" fillId="0" borderId="0" xfId="0" applyProtection="1"/>
    <xf numFmtId="0" fontId="0" fillId="29" borderId="0" xfId="0" applyFill="1" applyProtection="1"/>
    <xf numFmtId="0" fontId="0" fillId="0" borderId="0" xfId="0" applyBorder="1" applyProtection="1"/>
    <xf numFmtId="0" fontId="13" fillId="0" borderId="0" xfId="0" applyFont="1" applyProtection="1"/>
    <xf numFmtId="0" fontId="0" fillId="0" borderId="21" xfId="0" applyBorder="1" applyAlignment="1" applyProtection="1">
      <alignment horizontal="center"/>
    </xf>
    <xf numFmtId="0" fontId="13" fillId="27" borderId="0" xfId="0" applyFont="1" applyFill="1" applyProtection="1"/>
    <xf numFmtId="170" fontId="0" fillId="27" borderId="0" xfId="0" applyNumberFormat="1" applyFill="1" applyProtection="1"/>
    <xf numFmtId="0" fontId="0" fillId="27" borderId="0" xfId="0" applyFill="1" applyProtection="1"/>
    <xf numFmtId="0" fontId="17" fillId="0" borderId="0" xfId="0" applyFont="1" applyBorder="1" applyProtection="1"/>
    <xf numFmtId="0" fontId="0" fillId="0" borderId="0" xfId="0" applyBorder="1" applyAlignment="1" applyProtection="1">
      <alignment horizontal="left"/>
    </xf>
    <xf numFmtId="0" fontId="0" fillId="0" borderId="0" xfId="0" applyBorder="1" applyProtection="1">
      <protection locked="0"/>
    </xf>
    <xf numFmtId="0" fontId="0" fillId="0" borderId="0" xfId="0" applyFill="1" applyBorder="1" applyAlignment="1">
      <alignment vertical="top" wrapText="1"/>
    </xf>
    <xf numFmtId="9" fontId="0" fillId="0" borderId="0" xfId="50" applyNumberFormat="1" applyFont="1" applyFill="1" applyAlignment="1">
      <alignment horizontal="left"/>
    </xf>
    <xf numFmtId="0" fontId="11" fillId="0" borderId="0" xfId="0" quotePrefix="1" applyFont="1" applyFill="1" applyAlignment="1">
      <alignment horizontal="right"/>
    </xf>
    <xf numFmtId="0" fontId="0" fillId="28" borderId="0" xfId="0" applyFill="1" applyProtection="1"/>
    <xf numFmtId="0" fontId="0" fillId="0" borderId="0" xfId="0" applyFill="1" applyProtection="1"/>
    <xf numFmtId="0" fontId="0" fillId="0" borderId="0" xfId="0" applyFill="1" applyBorder="1" applyProtection="1"/>
    <xf numFmtId="0" fontId="3" fillId="0" borderId="0" xfId="0" applyFont="1" applyFill="1" applyBorder="1" applyAlignment="1">
      <alignment vertical="center"/>
    </xf>
    <xf numFmtId="14" fontId="7" fillId="0" borderId="0" xfId="0" applyNumberFormat="1" applyFont="1" applyBorder="1" applyAlignment="1">
      <alignment vertical="center"/>
    </xf>
    <xf numFmtId="0" fontId="7" fillId="0" borderId="0" xfId="0" applyFont="1" applyBorder="1" applyAlignment="1">
      <alignment horizontal="left" vertical="center"/>
    </xf>
    <xf numFmtId="168" fontId="0" fillId="0" borderId="0" xfId="0" applyNumberFormat="1" applyFill="1" applyProtection="1"/>
    <xf numFmtId="0" fontId="0" fillId="0" borderId="21" xfId="0" applyBorder="1" applyAlignment="1" applyProtection="1">
      <alignment horizontal="left" indent="2"/>
      <protection locked="0"/>
    </xf>
    <xf numFmtId="0" fontId="0" fillId="29" borderId="19" xfId="0" applyFill="1" applyBorder="1" applyProtection="1"/>
    <xf numFmtId="0" fontId="0" fillId="29" borderId="10" xfId="0" applyFill="1" applyBorder="1" applyProtection="1"/>
    <xf numFmtId="0" fontId="0" fillId="29" borderId="38" xfId="0" applyFill="1" applyBorder="1" applyProtection="1"/>
    <xf numFmtId="0" fontId="0" fillId="0" borderId="0" xfId="0" applyFill="1" applyBorder="1" applyAlignment="1" applyProtection="1">
      <alignment vertical="center"/>
      <protection locked="0"/>
    </xf>
    <xf numFmtId="0" fontId="0" fillId="0" borderId="0" xfId="0" applyProtection="1">
      <protection locked="0"/>
    </xf>
    <xf numFmtId="0" fontId="0" fillId="0" borderId="0" xfId="0" applyFill="1" applyBorder="1" applyProtection="1">
      <protection locked="0"/>
    </xf>
    <xf numFmtId="0" fontId="11" fillId="0" borderId="0" xfId="0" applyFont="1" applyProtection="1">
      <protection locked="0"/>
    </xf>
    <xf numFmtId="1" fontId="0" fillId="0" borderId="0" xfId="0" applyNumberFormat="1" applyFill="1" applyBorder="1" applyProtection="1">
      <protection locked="0"/>
    </xf>
    <xf numFmtId="3" fontId="10" fillId="0" borderId="0" xfId="0" applyNumberFormat="1" applyFont="1" applyProtection="1"/>
    <xf numFmtId="0" fontId="13" fillId="0" borderId="21" xfId="0" applyFont="1" applyBorder="1" applyProtection="1"/>
    <xf numFmtId="167" fontId="18" fillId="0" borderId="0" xfId="37" applyNumberFormat="1" applyFont="1" applyFill="1" applyBorder="1" applyAlignment="1">
      <alignment horizontal="right"/>
    </xf>
    <xf numFmtId="1" fontId="11" fillId="0" borderId="0" xfId="0" applyNumberFormat="1" applyFont="1" applyFill="1" applyBorder="1" applyProtection="1">
      <protection locked="0"/>
    </xf>
    <xf numFmtId="168" fontId="0" fillId="0" borderId="0" xfId="0" applyNumberFormat="1" applyFill="1" applyBorder="1" applyProtection="1">
      <protection locked="0"/>
    </xf>
    <xf numFmtId="0" fontId="0" fillId="0" borderId="0" xfId="0" applyAlignment="1">
      <alignment horizontal="left"/>
    </xf>
    <xf numFmtId="0" fontId="0" fillId="0" borderId="0" xfId="0" applyBorder="1" applyAlignment="1" applyProtection="1">
      <alignment horizontal="left"/>
      <protection locked="0"/>
    </xf>
    <xf numFmtId="0" fontId="0" fillId="0" borderId="0" xfId="0" applyBorder="1" applyAlignment="1" applyProtection="1">
      <alignment horizontal="center"/>
      <protection locked="0"/>
    </xf>
    <xf numFmtId="0" fontId="0" fillId="0" borderId="0" xfId="0" applyAlignment="1">
      <alignment vertical="top"/>
    </xf>
    <xf numFmtId="0" fontId="47" fillId="0" borderId="0" xfId="0" applyFont="1" applyBorder="1" applyAlignment="1">
      <alignment horizontal="left" wrapText="1"/>
    </xf>
    <xf numFmtId="0" fontId="11" fillId="0" borderId="0" xfId="0" applyFont="1" applyFill="1" applyProtection="1">
      <protection locked="0"/>
    </xf>
    <xf numFmtId="0" fontId="0" fillId="0" borderId="0" xfId="0" applyFill="1" applyProtection="1">
      <protection locked="0"/>
    </xf>
    <xf numFmtId="168" fontId="0" fillId="0" borderId="0" xfId="0" applyNumberFormat="1" applyFill="1" applyProtection="1">
      <protection locked="0"/>
    </xf>
    <xf numFmtId="0" fontId="5" fillId="0" borderId="0" xfId="0" applyFont="1" applyAlignment="1">
      <alignment horizontal="center" vertical="top"/>
    </xf>
    <xf numFmtId="0" fontId="18" fillId="0" borderId="0" xfId="0" applyFont="1" applyFill="1" applyBorder="1" applyAlignment="1">
      <alignment horizontal="center" vertical="center" wrapText="1"/>
    </xf>
    <xf numFmtId="3" fontId="0" fillId="0" borderId="0" xfId="37" applyNumberFormat="1" applyFont="1" applyFill="1" applyBorder="1" applyProtection="1"/>
    <xf numFmtId="0" fontId="13" fillId="0" borderId="0" xfId="0" applyFont="1" applyBorder="1" applyAlignment="1">
      <alignment horizontal="right"/>
    </xf>
    <xf numFmtId="0" fontId="13" fillId="0" borderId="0" xfId="0" applyNumberFormat="1" applyFont="1" applyBorder="1" applyAlignment="1" applyProtection="1">
      <alignment horizontal="left"/>
    </xf>
    <xf numFmtId="167" fontId="13" fillId="0" borderId="0" xfId="37" applyNumberFormat="1" applyFont="1" applyBorder="1" applyProtection="1"/>
    <xf numFmtId="0" fontId="13" fillId="0" borderId="0" xfId="0" applyFont="1" applyBorder="1" applyProtection="1"/>
    <xf numFmtId="0" fontId="13" fillId="0" borderId="0" xfId="0" applyFont="1" applyFill="1" applyProtection="1"/>
    <xf numFmtId="3" fontId="13" fillId="0" borderId="0" xfId="37" applyNumberFormat="1" applyFont="1" applyBorder="1" applyAlignment="1" applyProtection="1">
      <alignment horizontal="left"/>
    </xf>
    <xf numFmtId="0" fontId="11" fillId="0" borderId="0" xfId="0" applyNumberFormat="1" applyFont="1" applyBorder="1" applyAlignment="1" applyProtection="1">
      <alignment horizontal="left"/>
    </xf>
    <xf numFmtId="0" fontId="5" fillId="0" borderId="0" xfId="0" applyFont="1" applyAlignment="1">
      <alignment horizontal="left"/>
    </xf>
    <xf numFmtId="0" fontId="5" fillId="0" borderId="0" xfId="0" applyFont="1" applyAlignment="1">
      <alignment horizontal="left" vertical="top"/>
    </xf>
    <xf numFmtId="0" fontId="5" fillId="27" borderId="40" xfId="0" applyFont="1" applyFill="1" applyBorder="1" applyAlignment="1">
      <alignment horizontal="center" vertical="top" wrapText="1"/>
    </xf>
    <xf numFmtId="0" fontId="18" fillId="0" borderId="0" xfId="0" applyFont="1" applyFill="1" applyBorder="1" applyAlignment="1">
      <alignment horizontal="center" vertical="center"/>
    </xf>
    <xf numFmtId="0" fontId="13" fillId="0" borderId="0" xfId="0" applyFont="1" applyFill="1" applyAlignment="1">
      <alignment horizontal="left"/>
    </xf>
    <xf numFmtId="0" fontId="44" fillId="0" borderId="0" xfId="0" applyFont="1" applyFill="1"/>
    <xf numFmtId="0" fontId="5" fillId="27" borderId="40" xfId="0" applyFont="1" applyFill="1" applyBorder="1" applyAlignment="1" applyProtection="1">
      <alignment horizontal="center" vertical="top" wrapText="1"/>
      <protection locked="0"/>
    </xf>
    <xf numFmtId="0" fontId="5" fillId="0" borderId="0" xfId="0" applyFont="1" applyAlignment="1" applyProtection="1">
      <protection locked="0"/>
    </xf>
    <xf numFmtId="0" fontId="20" fillId="0" borderId="0" xfId="0" applyFont="1" applyAlignment="1" applyProtection="1">
      <protection locked="0"/>
    </xf>
    <xf numFmtId="0" fontId="20" fillId="0" borderId="16" xfId="0" applyFont="1" applyBorder="1" applyProtection="1">
      <protection locked="0"/>
    </xf>
    <xf numFmtId="0" fontId="20" fillId="0" borderId="0" xfId="0" applyFont="1" applyBorder="1" applyAlignment="1" applyProtection="1">
      <alignment horizontal="center"/>
      <protection locked="0"/>
    </xf>
    <xf numFmtId="49" fontId="20" fillId="0" borderId="0" xfId="0" applyNumberFormat="1" applyFont="1" applyBorder="1" applyAlignment="1" applyProtection="1">
      <alignment horizontal="center"/>
      <protection locked="0"/>
    </xf>
    <xf numFmtId="3" fontId="0" fillId="0" borderId="21" xfId="0" applyNumberFormat="1" applyBorder="1" applyAlignment="1" applyProtection="1">
      <alignment horizontal="center" vertical="top" wrapText="1"/>
    </xf>
    <xf numFmtId="0" fontId="0" fillId="0" borderId="21" xfId="0" applyBorder="1" applyAlignment="1" applyProtection="1">
      <alignment vertical="top"/>
    </xf>
    <xf numFmtId="0" fontId="11" fillId="0" borderId="21" xfId="0" applyFont="1" applyBorder="1" applyAlignment="1" applyProtection="1">
      <alignment horizontal="left"/>
    </xf>
    <xf numFmtId="0" fontId="5" fillId="0" borderId="0" xfId="0" applyFont="1" applyFill="1" applyAlignment="1" applyProtection="1">
      <protection locked="0"/>
    </xf>
    <xf numFmtId="0" fontId="3" fillId="0" borderId="0" xfId="0" applyFont="1" applyProtection="1"/>
    <xf numFmtId="0" fontId="7" fillId="0" borderId="0" xfId="0" applyFont="1" applyProtection="1"/>
    <xf numFmtId="0" fontId="3" fillId="0" borderId="0" xfId="0" applyFont="1"/>
    <xf numFmtId="0" fontId="3" fillId="0" borderId="0" xfId="68"/>
    <xf numFmtId="0" fontId="18" fillId="0" borderId="0" xfId="68" applyFont="1"/>
    <xf numFmtId="0" fontId="3" fillId="0" borderId="0" xfId="68" applyFont="1"/>
    <xf numFmtId="0" fontId="0" fillId="0" borderId="0" xfId="0" applyBorder="1" applyAlignment="1">
      <alignment vertical="top"/>
    </xf>
    <xf numFmtId="0" fontId="11" fillId="0" borderId="0" xfId="0" applyFont="1" applyProtection="1"/>
    <xf numFmtId="0" fontId="6" fillId="0" borderId="0" xfId="0" applyFont="1" applyFill="1" applyBorder="1" applyAlignment="1" applyProtection="1">
      <alignment horizontal="left"/>
    </xf>
    <xf numFmtId="0" fontId="11" fillId="27" borderId="0" xfId="0" applyFont="1" applyFill="1" applyBorder="1" applyAlignment="1" applyProtection="1">
      <alignment horizontal="left"/>
    </xf>
    <xf numFmtId="0" fontId="0" fillId="27" borderId="0" xfId="0" applyFill="1" applyBorder="1" applyAlignment="1" applyProtection="1">
      <alignment horizontal="left"/>
    </xf>
    <xf numFmtId="0" fontId="0" fillId="0" borderId="29" xfId="0" applyBorder="1" applyProtection="1"/>
    <xf numFmtId="0" fontId="11" fillId="0" borderId="21" xfId="0" applyFont="1" applyBorder="1" applyAlignment="1" applyProtection="1">
      <alignment horizontal="left" vertical="top"/>
    </xf>
    <xf numFmtId="0" fontId="13" fillId="0" borderId="21" xfId="0" applyFont="1" applyFill="1" applyBorder="1" applyAlignment="1" applyProtection="1">
      <alignment horizontal="left" vertical="top"/>
    </xf>
    <xf numFmtId="0" fontId="13" fillId="27" borderId="21" xfId="0" applyFont="1" applyFill="1" applyBorder="1" applyAlignment="1" applyProtection="1">
      <alignment horizontal="left" vertical="top"/>
    </xf>
    <xf numFmtId="0" fontId="13" fillId="0" borderId="21" xfId="0" applyFont="1" applyFill="1" applyBorder="1" applyAlignment="1" applyProtection="1">
      <alignment vertical="top"/>
    </xf>
    <xf numFmtId="0" fontId="13" fillId="0" borderId="21" xfId="0" applyFont="1" applyBorder="1" applyAlignment="1" applyProtection="1">
      <alignment vertical="top"/>
    </xf>
    <xf numFmtId="0" fontId="11" fillId="0" borderId="0" xfId="0" applyFont="1" applyBorder="1" applyAlignment="1" applyProtection="1">
      <alignment horizontal="left" wrapText="1"/>
    </xf>
    <xf numFmtId="0" fontId="11" fillId="0" borderId="0" xfId="0" applyFont="1" applyFill="1" applyBorder="1" applyAlignment="1" applyProtection="1">
      <alignment horizontal="left" wrapText="1"/>
    </xf>
    <xf numFmtId="0" fontId="11" fillId="27" borderId="0" xfId="0" applyFont="1" applyFill="1" applyBorder="1" applyAlignment="1" applyProtection="1">
      <alignment horizontal="left" wrapText="1"/>
    </xf>
    <xf numFmtId="0" fontId="11" fillId="0" borderId="0" xfId="0" applyFont="1" applyFill="1" applyBorder="1" applyAlignment="1" applyProtection="1">
      <alignment horizontal="left" vertical="center" wrapText="1"/>
    </xf>
    <xf numFmtId="0" fontId="11" fillId="27" borderId="0"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wrapText="1"/>
    </xf>
    <xf numFmtId="0" fontId="13" fillId="27" borderId="21" xfId="0" applyFont="1" applyFill="1" applyBorder="1" applyAlignment="1" applyProtection="1">
      <alignment vertical="top"/>
    </xf>
    <xf numFmtId="0" fontId="13" fillId="0" borderId="0" xfId="0" applyFont="1" applyFill="1" applyBorder="1" applyAlignment="1" applyProtection="1">
      <alignment horizontal="left" vertical="center" wrapText="1"/>
    </xf>
    <xf numFmtId="0" fontId="13" fillId="27" borderId="0"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xf>
    <xf numFmtId="0" fontId="13" fillId="0" borderId="0" xfId="0" applyFont="1" applyBorder="1" applyAlignment="1" applyProtection="1">
      <alignment horizontal="left"/>
    </xf>
    <xf numFmtId="0" fontId="11" fillId="0" borderId="0" xfId="0" applyFont="1" applyBorder="1" applyAlignment="1" applyProtection="1">
      <alignment horizontal="left" vertical="top"/>
    </xf>
    <xf numFmtId="0" fontId="11" fillId="0" borderId="0" xfId="0" applyFont="1" applyFill="1" applyBorder="1" applyAlignment="1" applyProtection="1">
      <alignment horizontal="left" vertical="top"/>
    </xf>
    <xf numFmtId="0" fontId="11" fillId="27" borderId="0" xfId="0" applyFont="1" applyFill="1" applyBorder="1" applyAlignment="1" applyProtection="1">
      <alignment horizontal="left" vertical="top"/>
    </xf>
    <xf numFmtId="0" fontId="13" fillId="0" borderId="21" xfId="0" applyFont="1" applyBorder="1" applyAlignment="1" applyProtection="1">
      <alignment horizontal="left" vertical="top"/>
    </xf>
    <xf numFmtId="0" fontId="13" fillId="0" borderId="0" xfId="0" applyFont="1" applyBorder="1" applyAlignment="1" applyProtection="1">
      <alignment horizontal="left" vertical="top"/>
    </xf>
    <xf numFmtId="0" fontId="13" fillId="0" borderId="0" xfId="0" applyFont="1" applyFill="1" applyBorder="1" applyAlignment="1" applyProtection="1">
      <alignment horizontal="left" vertical="top"/>
    </xf>
    <xf numFmtId="0" fontId="13" fillId="27" borderId="0" xfId="0" applyFont="1" applyFill="1" applyBorder="1" applyAlignment="1" applyProtection="1">
      <alignment horizontal="left" vertical="top"/>
    </xf>
    <xf numFmtId="0" fontId="13" fillId="0" borderId="0" xfId="0" applyFont="1" applyFill="1" applyBorder="1" applyAlignment="1" applyProtection="1">
      <alignment vertical="top"/>
    </xf>
    <xf numFmtId="0" fontId="0" fillId="0" borderId="0" xfId="0" applyBorder="1" applyAlignment="1" applyProtection="1">
      <alignment vertical="top"/>
    </xf>
    <xf numFmtId="0" fontId="0" fillId="0" borderId="0" xfId="0" applyFill="1" applyBorder="1" applyAlignment="1" applyProtection="1">
      <alignment vertical="top"/>
    </xf>
    <xf numFmtId="0" fontId="0" fillId="27" borderId="0" xfId="0" applyFill="1" applyBorder="1" applyAlignment="1" applyProtection="1">
      <alignment vertical="top"/>
    </xf>
    <xf numFmtId="0" fontId="13" fillId="0" borderId="0" xfId="0" applyFont="1" applyFill="1" applyBorder="1" applyProtection="1"/>
    <xf numFmtId="0" fontId="13" fillId="27" borderId="0" xfId="0" applyFont="1" applyFill="1" applyBorder="1" applyProtection="1"/>
    <xf numFmtId="0" fontId="0" fillId="0" borderId="21" xfId="0" applyFont="1" applyBorder="1" applyAlignment="1" applyProtection="1">
      <alignment vertical="top"/>
    </xf>
    <xf numFmtId="0" fontId="20" fillId="32" borderId="0" xfId="0" applyFont="1" applyFill="1" applyAlignment="1" applyProtection="1">
      <protection locked="0"/>
    </xf>
    <xf numFmtId="0" fontId="5" fillId="32" borderId="0" xfId="0" applyFont="1" applyFill="1" applyAlignment="1"/>
    <xf numFmtId="0" fontId="5" fillId="0" borderId="16" xfId="0" applyFont="1" applyBorder="1" applyProtection="1">
      <protection locked="0"/>
    </xf>
    <xf numFmtId="0" fontId="5" fillId="0" borderId="0" xfId="0" applyFont="1" applyBorder="1" applyAlignment="1" applyProtection="1">
      <alignment horizontal="center"/>
      <protection locked="0"/>
    </xf>
    <xf numFmtId="0" fontId="20" fillId="0" borderId="17" xfId="0" applyFont="1" applyBorder="1" applyAlignment="1" applyProtection="1">
      <alignment horizontal="center"/>
      <protection locked="0"/>
    </xf>
    <xf numFmtId="0" fontId="20" fillId="0" borderId="17" xfId="0" applyFont="1" applyBorder="1" applyAlignment="1" applyProtection="1">
      <alignment horizontal="left"/>
      <protection locked="0"/>
    </xf>
    <xf numFmtId="0" fontId="44" fillId="0" borderId="0" xfId="0" applyFont="1"/>
    <xf numFmtId="0" fontId="0" fillId="0" borderId="0" xfId="0"/>
    <xf numFmtId="3" fontId="0" fillId="0" borderId="0" xfId="37" applyNumberFormat="1" applyFont="1" applyFill="1" applyProtection="1"/>
    <xf numFmtId="168" fontId="0" fillId="0" borderId="0" xfId="37" applyNumberFormat="1" applyFont="1" applyFill="1" applyProtection="1"/>
    <xf numFmtId="165" fontId="0" fillId="0" borderId="0" xfId="37" applyNumberFormat="1" applyFont="1" applyFill="1" applyProtection="1"/>
    <xf numFmtId="166" fontId="0" fillId="0" borderId="0" xfId="37" applyNumberFormat="1" applyFont="1" applyFill="1" applyProtection="1"/>
    <xf numFmtId="167" fontId="0" fillId="0" borderId="0" xfId="37" applyNumberFormat="1" applyFont="1" applyFill="1" applyProtection="1"/>
    <xf numFmtId="171" fontId="0" fillId="0" borderId="0" xfId="37" applyNumberFormat="1" applyFont="1" applyFill="1" applyProtection="1"/>
    <xf numFmtId="170" fontId="0" fillId="0" borderId="0" xfId="0" applyNumberFormat="1" applyFill="1" applyProtection="1"/>
    <xf numFmtId="169" fontId="0" fillId="0" borderId="0" xfId="0" applyNumberFormat="1" applyFill="1" applyProtection="1"/>
    <xf numFmtId="0" fontId="3" fillId="0" borderId="0" xfId="0" applyFont="1" applyFill="1" applyProtection="1"/>
    <xf numFmtId="168" fontId="3" fillId="0" borderId="0" xfId="0" applyNumberFormat="1" applyFont="1" applyFill="1" applyBorder="1" applyAlignment="1">
      <alignment horizontal="center"/>
    </xf>
    <xf numFmtId="166" fontId="0" fillId="0" borderId="0" xfId="0" applyNumberFormat="1" applyFill="1" applyProtection="1"/>
    <xf numFmtId="166" fontId="0" fillId="0" borderId="0" xfId="37" applyNumberFormat="1" applyFont="1" applyFill="1" applyBorder="1" applyProtection="1"/>
    <xf numFmtId="168" fontId="0" fillId="0" borderId="0" xfId="37" applyNumberFormat="1" applyFont="1" applyFill="1" applyBorder="1" applyProtection="1"/>
    <xf numFmtId="0" fontId="3" fillId="29" borderId="0" xfId="0" applyFont="1" applyFill="1" applyProtection="1"/>
    <xf numFmtId="170" fontId="3" fillId="27" borderId="0" xfId="0" applyNumberFormat="1" applyFont="1" applyFill="1" applyProtection="1"/>
    <xf numFmtId="0" fontId="3" fillId="27" borderId="0" xfId="0" applyFont="1" applyFill="1" applyProtection="1"/>
    <xf numFmtId="170" fontId="3" fillId="0" borderId="0" xfId="0" applyNumberFormat="1" applyFont="1" applyProtection="1"/>
    <xf numFmtId="0" fontId="5" fillId="0" borderId="21" xfId="69" applyFont="1" applyFill="1" applyBorder="1" applyAlignment="1" applyProtection="1">
      <alignment horizontal="left" vertical="top"/>
      <protection locked="0"/>
    </xf>
    <xf numFmtId="0" fontId="13" fillId="0" borderId="0" xfId="0" applyFont="1" applyFill="1" applyBorder="1" applyAlignment="1" applyProtection="1">
      <alignment horizontal="left" vertical="top"/>
      <protection locked="0"/>
    </xf>
    <xf numFmtId="0" fontId="13" fillId="0" borderId="0" xfId="0" applyFont="1" applyFill="1" applyBorder="1" applyAlignment="1">
      <alignment horizontal="left"/>
    </xf>
    <xf numFmtId="0" fontId="50" fillId="0" borderId="0" xfId="0" applyFont="1" applyBorder="1" applyAlignment="1">
      <alignment horizontal="left" vertical="top" wrapText="1"/>
    </xf>
    <xf numFmtId="0" fontId="0" fillId="0" borderId="0" xfId="0"/>
    <xf numFmtId="0" fontId="14" fillId="0" borderId="42" xfId="0" applyFont="1" applyFill="1" applyBorder="1" applyAlignment="1" applyProtection="1">
      <alignment horizontal="left" vertical="top"/>
    </xf>
    <xf numFmtId="0" fontId="14" fillId="0" borderId="43" xfId="0" applyFont="1" applyFill="1" applyBorder="1" applyAlignment="1" applyProtection="1">
      <alignment horizontal="left" vertical="top"/>
    </xf>
    <xf numFmtId="0" fontId="5" fillId="32" borderId="14" xfId="69" applyFont="1" applyFill="1" applyBorder="1" applyAlignment="1" applyProtection="1">
      <protection locked="0"/>
    </xf>
    <xf numFmtId="3" fontId="10" fillId="0" borderId="0" xfId="0" applyNumberFormat="1" applyFont="1" applyFill="1" applyProtection="1"/>
    <xf numFmtId="0" fontId="51" fillId="0" borderId="0" xfId="0" applyFont="1"/>
    <xf numFmtId="0" fontId="0" fillId="0" borderId="21" xfId="0" applyBorder="1" applyProtection="1">
      <protection locked="0"/>
    </xf>
    <xf numFmtId="0" fontId="0" fillId="0" borderId="0" xfId="0"/>
    <xf numFmtId="0" fontId="0" fillId="0" borderId="0" xfId="0"/>
    <xf numFmtId="0" fontId="0" fillId="0" borderId="10" xfId="0" applyBorder="1" applyAlignment="1" applyProtection="1">
      <alignment horizontal="left"/>
    </xf>
    <xf numFmtId="0" fontId="0" fillId="0" borderId="20" xfId="0" applyBorder="1" applyProtection="1">
      <protection locked="0"/>
    </xf>
    <xf numFmtId="0" fontId="13" fillId="0" borderId="10" xfId="0" applyFont="1" applyFill="1" applyBorder="1" applyAlignment="1" applyProtection="1">
      <alignment horizontal="left" vertical="center" wrapText="1"/>
    </xf>
    <xf numFmtId="0" fontId="13" fillId="0" borderId="55" xfId="0" applyFont="1" applyBorder="1" applyProtection="1"/>
    <xf numFmtId="170" fontId="0" fillId="33" borderId="0" xfId="0" applyNumberFormat="1" applyFill="1" applyProtection="1"/>
    <xf numFmtId="0" fontId="5" fillId="0" borderId="0" xfId="0" applyFont="1" applyBorder="1" applyAlignment="1" applyProtection="1">
      <protection locked="0"/>
    </xf>
    <xf numFmtId="0" fontId="5" fillId="0" borderId="0" xfId="0" applyFont="1" applyFill="1" applyBorder="1" applyAlignment="1" applyProtection="1">
      <alignment horizontal="left" vertical="top"/>
      <protection locked="0"/>
    </xf>
    <xf numFmtId="0" fontId="19" fillId="0" borderId="0" xfId="49" applyFont="1" applyFill="1" applyBorder="1" applyAlignment="1" applyProtection="1">
      <alignment horizontal="left" vertical="top"/>
      <protection locked="0"/>
    </xf>
    <xf numFmtId="0" fontId="22" fillId="0" borderId="0" xfId="0" applyNumberFormat="1" applyFont="1" applyFill="1" applyBorder="1" applyAlignment="1" applyProtection="1">
      <alignment horizontal="left" vertical="top"/>
      <protection locked="0"/>
    </xf>
    <xf numFmtId="0" fontId="5" fillId="32" borderId="0" xfId="0" applyFont="1" applyFill="1" applyBorder="1" applyAlignment="1" applyProtection="1">
      <protection locked="0"/>
    </xf>
    <xf numFmtId="0" fontId="5" fillId="0" borderId="0" xfId="0" applyFont="1" applyFill="1" applyBorder="1" applyAlignment="1" applyProtection="1">
      <protection locked="0"/>
    </xf>
    <xf numFmtId="0" fontId="20" fillId="0" borderId="0" xfId="0" applyFont="1" applyBorder="1" applyProtection="1">
      <protection locked="0"/>
    </xf>
    <xf numFmtId="0" fontId="20" fillId="32" borderId="0" xfId="0" applyFont="1" applyFill="1" applyBorder="1" applyAlignment="1" applyProtection="1">
      <protection locked="0"/>
    </xf>
    <xf numFmtId="0" fontId="20" fillId="0" borderId="0" xfId="0" applyFont="1" applyBorder="1" applyAlignment="1" applyProtection="1">
      <protection locked="0"/>
    </xf>
    <xf numFmtId="0" fontId="21" fillId="30" borderId="0" xfId="49" applyFont="1" applyFill="1" applyBorder="1" applyAlignment="1" applyProtection="1">
      <alignment horizontal="center"/>
      <protection locked="0"/>
    </xf>
    <xf numFmtId="0" fontId="20" fillId="25" borderId="0" xfId="0" applyFont="1" applyFill="1" applyBorder="1" applyAlignment="1" applyProtection="1">
      <alignment horizontal="center"/>
      <protection locked="0"/>
    </xf>
    <xf numFmtId="0" fontId="20" fillId="32" borderId="0" xfId="0" applyFont="1" applyFill="1" applyBorder="1" applyAlignment="1" applyProtection="1">
      <alignment horizontal="center"/>
      <protection locked="0"/>
    </xf>
    <xf numFmtId="0" fontId="20" fillId="0" borderId="0" xfId="0" applyFont="1" applyBorder="1" applyAlignment="1" applyProtection="1">
      <alignment horizontal="left"/>
      <protection locked="0"/>
    </xf>
    <xf numFmtId="0" fontId="0" fillId="0" borderId="39" xfId="0" applyBorder="1" applyAlignment="1" applyProtection="1">
      <alignment horizontal="center" vertical="top"/>
    </xf>
    <xf numFmtId="0" fontId="20" fillId="0" borderId="0" xfId="0" applyFont="1" applyAlignment="1">
      <alignment horizontal="center"/>
    </xf>
    <xf numFmtId="0" fontId="0" fillId="35" borderId="21" xfId="0" applyFill="1" applyBorder="1"/>
    <xf numFmtId="0" fontId="0" fillId="0" borderId="10" xfId="0" applyBorder="1" applyProtection="1">
      <protection locked="0"/>
    </xf>
    <xf numFmtId="0" fontId="0" fillId="35" borderId="21" xfId="0" applyFill="1" applyBorder="1" applyAlignment="1" applyProtection="1">
      <alignment horizontal="center" vertical="top"/>
      <protection locked="0"/>
    </xf>
    <xf numFmtId="0" fontId="3" fillId="35" borderId="21" xfId="0" applyFont="1" applyFill="1" applyBorder="1" applyProtection="1">
      <protection locked="0"/>
    </xf>
    <xf numFmtId="3" fontId="0" fillId="35" borderId="21" xfId="0" applyNumberFormat="1" applyFill="1" applyBorder="1" applyProtection="1">
      <protection locked="0"/>
    </xf>
    <xf numFmtId="0" fontId="0" fillId="35" borderId="21" xfId="0" applyFill="1" applyBorder="1" applyProtection="1">
      <protection locked="0"/>
    </xf>
    <xf numFmtId="0" fontId="0" fillId="35" borderId="21" xfId="0" applyFill="1" applyBorder="1" applyAlignment="1" applyProtection="1">
      <alignment horizontal="center"/>
      <protection locked="0"/>
    </xf>
    <xf numFmtId="3" fontId="0" fillId="35" borderId="21" xfId="0" applyNumberFormat="1" applyFill="1" applyBorder="1" applyAlignment="1" applyProtection="1">
      <alignment horizontal="center"/>
      <protection locked="0"/>
    </xf>
    <xf numFmtId="14" fontId="0" fillId="35" borderId="21" xfId="0" applyNumberFormat="1" applyFill="1" applyBorder="1" applyAlignment="1" applyProtection="1">
      <alignment horizontal="left"/>
      <protection locked="0"/>
    </xf>
    <xf numFmtId="0" fontId="5" fillId="35" borderId="21" xfId="0" applyFont="1" applyFill="1" applyBorder="1" applyAlignment="1" applyProtection="1">
      <alignment horizontal="center" vertical="center" wrapText="1"/>
      <protection locked="0"/>
    </xf>
    <xf numFmtId="0" fontId="0" fillId="35" borderId="65" xfId="0" applyFill="1" applyBorder="1" applyAlignment="1" applyProtection="1">
      <alignment horizontal="center"/>
      <protection locked="0"/>
    </xf>
    <xf numFmtId="0" fontId="0" fillId="35" borderId="66" xfId="0" applyFill="1" applyBorder="1" applyAlignment="1" applyProtection="1">
      <alignment horizontal="center"/>
      <protection locked="0"/>
    </xf>
    <xf numFmtId="0" fontId="0" fillId="35" borderId="67" xfId="0" applyFill="1" applyBorder="1" applyAlignment="1" applyProtection="1">
      <alignment horizontal="center"/>
      <protection locked="0"/>
    </xf>
    <xf numFmtId="0" fontId="0" fillId="35" borderId="68" xfId="0" applyFill="1" applyBorder="1" applyAlignment="1" applyProtection="1">
      <alignment horizontal="center"/>
      <protection locked="0"/>
    </xf>
    <xf numFmtId="0" fontId="0" fillId="35" borderId="69" xfId="0" applyFill="1" applyBorder="1" applyAlignment="1" applyProtection="1">
      <alignment horizontal="center"/>
      <protection locked="0"/>
    </xf>
    <xf numFmtId="0" fontId="0" fillId="35" borderId="70" xfId="0" applyFill="1" applyBorder="1" applyAlignment="1" applyProtection="1">
      <alignment horizontal="center"/>
      <protection locked="0"/>
    </xf>
    <xf numFmtId="0" fontId="0" fillId="35" borderId="71" xfId="0" applyFill="1" applyBorder="1" applyAlignment="1" applyProtection="1">
      <alignment horizontal="center"/>
      <protection locked="0"/>
    </xf>
    <xf numFmtId="0" fontId="0" fillId="35" borderId="72" xfId="0" applyFill="1" applyBorder="1" applyAlignment="1" applyProtection="1">
      <alignment horizontal="center"/>
      <protection locked="0"/>
    </xf>
    <xf numFmtId="0" fontId="0" fillId="35" borderId="73" xfId="0" applyFill="1" applyBorder="1" applyAlignment="1" applyProtection="1">
      <alignment horizontal="center"/>
      <protection locked="0"/>
    </xf>
    <xf numFmtId="0" fontId="11" fillId="35" borderId="0" xfId="0" applyFont="1" applyFill="1" applyBorder="1" applyAlignment="1">
      <alignment vertical="top"/>
    </xf>
    <xf numFmtId="0" fontId="0" fillId="35" borderId="0" xfId="0" applyFill="1"/>
    <xf numFmtId="0" fontId="47" fillId="35" borderId="0" xfId="0" applyFont="1" applyFill="1" applyBorder="1" applyAlignment="1">
      <alignment horizontal="left" wrapText="1"/>
    </xf>
    <xf numFmtId="166" fontId="0" fillId="35" borderId="21" xfId="37" applyNumberFormat="1" applyFont="1" applyFill="1" applyBorder="1" applyAlignment="1" applyProtection="1">
      <alignment horizontal="center" vertical="top"/>
      <protection locked="0"/>
    </xf>
    <xf numFmtId="166" fontId="3" fillId="35" borderId="21" xfId="37" applyNumberFormat="1" applyFont="1" applyFill="1" applyBorder="1" applyAlignment="1" applyProtection="1">
      <alignment horizontal="center" vertical="top"/>
      <protection locked="0"/>
    </xf>
    <xf numFmtId="0" fontId="18" fillId="61" borderId="0" xfId="68" applyFont="1" applyFill="1"/>
    <xf numFmtId="168" fontId="3" fillId="35" borderId="21" xfId="0" applyNumberFormat="1" applyFont="1" applyFill="1" applyBorder="1" applyAlignment="1" applyProtection="1">
      <alignment horizontal="center"/>
      <protection locked="0"/>
    </xf>
    <xf numFmtId="170" fontId="69" fillId="33" borderId="75" xfId="0" applyNumberFormat="1" applyFont="1" applyFill="1" applyBorder="1" applyAlignment="1">
      <alignment horizontal="center"/>
    </xf>
    <xf numFmtId="0" fontId="69" fillId="33" borderId="75" xfId="0" applyNumberFormat="1" applyFont="1" applyFill="1" applyBorder="1" applyAlignment="1">
      <alignment horizontal="center"/>
    </xf>
    <xf numFmtId="169" fontId="69" fillId="33" borderId="75" xfId="0" applyNumberFormat="1" applyFont="1" applyFill="1" applyBorder="1" applyAlignment="1">
      <alignment horizontal="center"/>
    </xf>
    <xf numFmtId="170" fontId="69" fillId="33" borderId="74" xfId="0" applyNumberFormat="1" applyFont="1" applyFill="1" applyBorder="1" applyAlignment="1">
      <alignment horizontal="center"/>
    </xf>
    <xf numFmtId="0" fontId="69" fillId="33" borderId="74" xfId="0" applyNumberFormat="1" applyFont="1" applyFill="1" applyBorder="1" applyAlignment="1">
      <alignment horizontal="center"/>
    </xf>
    <xf numFmtId="169" fontId="69" fillId="33" borderId="74" xfId="0" applyNumberFormat="1" applyFont="1" applyFill="1" applyBorder="1" applyAlignment="1">
      <alignment horizontal="center"/>
    </xf>
    <xf numFmtId="168" fontId="51" fillId="33" borderId="38" xfId="0" applyNumberFormat="1" applyFont="1" applyFill="1" applyBorder="1" applyAlignment="1">
      <alignment horizontal="center"/>
    </xf>
    <xf numFmtId="166" fontId="0" fillId="33" borderId="0" xfId="37" applyNumberFormat="1" applyFont="1" applyFill="1" applyProtection="1"/>
    <xf numFmtId="0" fontId="13" fillId="35" borderId="21" xfId="0" applyFont="1" applyFill="1" applyBorder="1" applyAlignment="1" applyProtection="1">
      <alignment horizontal="left" vertical="top"/>
      <protection locked="0"/>
    </xf>
    <xf numFmtId="0" fontId="13" fillId="35" borderId="21" xfId="0" applyFont="1" applyFill="1" applyBorder="1" applyAlignment="1" applyProtection="1">
      <alignment vertical="top"/>
      <protection locked="0"/>
    </xf>
    <xf numFmtId="0" fontId="69" fillId="0" borderId="0" xfId="0" applyNumberFormat="1" applyFont="1" applyBorder="1" applyAlignment="1" applyProtection="1">
      <alignment horizontal="left"/>
    </xf>
    <xf numFmtId="168" fontId="69" fillId="0" borderId="0" xfId="37" applyNumberFormat="1" applyFont="1" applyBorder="1" applyAlignment="1" applyProtection="1">
      <alignment horizontal="right"/>
    </xf>
    <xf numFmtId="0" fontId="70" fillId="0" borderId="0" xfId="0" applyFont="1" applyBorder="1" applyProtection="1"/>
    <xf numFmtId="0" fontId="69" fillId="0" borderId="0" xfId="0" applyFont="1" applyBorder="1" applyProtection="1"/>
    <xf numFmtId="0" fontId="51" fillId="0" borderId="0" xfId="0" applyFont="1" applyBorder="1" applyProtection="1"/>
    <xf numFmtId="0" fontId="51" fillId="0" borderId="0" xfId="0" applyFont="1" applyBorder="1" applyAlignment="1" applyProtection="1">
      <alignment horizontal="center"/>
    </xf>
    <xf numFmtId="0" fontId="51" fillId="0" borderId="0" xfId="0" applyFont="1" applyBorder="1" applyAlignment="1" applyProtection="1">
      <alignment horizontal="left"/>
    </xf>
    <xf numFmtId="0" fontId="51" fillId="0" borderId="0" xfId="0" applyFont="1" applyBorder="1" applyAlignment="1" applyProtection="1">
      <alignment horizontal="left" vertical="top" wrapText="1"/>
    </xf>
    <xf numFmtId="0" fontId="51" fillId="31" borderId="21" xfId="0" applyFont="1" applyFill="1" applyBorder="1" applyAlignment="1">
      <alignment horizontal="left" vertical="top" wrapText="1"/>
    </xf>
    <xf numFmtId="0" fontId="51" fillId="0" borderId="0" xfId="0" applyFont="1" applyBorder="1" applyAlignment="1" applyProtection="1">
      <alignment horizontal="left" wrapText="1"/>
    </xf>
    <xf numFmtId="0" fontId="51" fillId="0" borderId="0" xfId="0" applyFont="1" applyFill="1" applyBorder="1" applyAlignment="1" applyProtection="1">
      <alignment horizontal="left" vertical="top" wrapText="1"/>
    </xf>
    <xf numFmtId="0" fontId="51" fillId="0" borderId="0" xfId="0" applyFont="1" applyFill="1" applyBorder="1" applyAlignment="1" applyProtection="1">
      <alignment horizontal="left" wrapText="1"/>
    </xf>
    <xf numFmtId="0" fontId="51" fillId="31" borderId="0" xfId="0" applyFont="1" applyFill="1" applyBorder="1" applyAlignment="1">
      <alignment horizontal="left" vertical="top" wrapText="1"/>
    </xf>
    <xf numFmtId="3" fontId="51" fillId="0" borderId="0" xfId="0" applyNumberFormat="1" applyFont="1" applyFill="1" applyBorder="1" applyAlignment="1" applyProtection="1">
      <alignment horizontal="left" vertical="top" wrapText="1"/>
    </xf>
    <xf numFmtId="0" fontId="51" fillId="35" borderId="21" xfId="0" applyFont="1" applyFill="1" applyBorder="1" applyAlignment="1" applyProtection="1">
      <alignment horizontal="left" vertical="top" wrapText="1"/>
      <protection locked="0"/>
    </xf>
    <xf numFmtId="0" fontId="51" fillId="0" borderId="0" xfId="0" applyFont="1" applyFill="1" applyBorder="1" applyProtection="1"/>
    <xf numFmtId="0" fontId="51" fillId="0" borderId="0" xfId="0" applyFont="1" applyFill="1" applyBorder="1"/>
    <xf numFmtId="0" fontId="51" fillId="0" borderId="0" xfId="0" applyFont="1" applyBorder="1"/>
    <xf numFmtId="3" fontId="15" fillId="33" borderId="0" xfId="0" applyNumberFormat="1" applyFont="1" applyFill="1" applyAlignment="1" applyProtection="1">
      <alignment horizontal="left"/>
    </xf>
    <xf numFmtId="170" fontId="69" fillId="63" borderId="75" xfId="0" applyNumberFormat="1" applyFont="1" applyFill="1" applyBorder="1" applyAlignment="1" applyProtection="1">
      <alignment horizontal="center"/>
    </xf>
    <xf numFmtId="0" fontId="69" fillId="63" borderId="75" xfId="0" applyNumberFormat="1" applyFont="1" applyFill="1" applyBorder="1" applyAlignment="1" applyProtection="1">
      <alignment horizontal="center"/>
    </xf>
    <xf numFmtId="169" fontId="69" fillId="63" borderId="75" xfId="0" applyNumberFormat="1" applyFont="1" applyFill="1" applyBorder="1" applyAlignment="1" applyProtection="1">
      <alignment horizontal="center"/>
    </xf>
    <xf numFmtId="2" fontId="51" fillId="63" borderId="38" xfId="37" applyNumberFormat="1" applyFont="1" applyFill="1" applyBorder="1" applyAlignment="1" applyProtection="1">
      <alignment horizontal="center"/>
    </xf>
    <xf numFmtId="166" fontId="51" fillId="63" borderId="38" xfId="38" applyNumberFormat="1" applyFont="1" applyFill="1" applyBorder="1" applyAlignment="1" applyProtection="1">
      <alignment horizontal="center"/>
    </xf>
    <xf numFmtId="9" fontId="51" fillId="63" borderId="38" xfId="50" applyFont="1" applyFill="1" applyBorder="1" applyAlignment="1" applyProtection="1">
      <alignment horizontal="center"/>
    </xf>
    <xf numFmtId="166" fontId="51" fillId="63" borderId="38" xfId="0" applyNumberFormat="1" applyFont="1" applyFill="1" applyBorder="1" applyAlignment="1" applyProtection="1">
      <alignment horizontal="center"/>
    </xf>
    <xf numFmtId="3" fontId="51" fillId="63" borderId="38" xfId="0" applyNumberFormat="1" applyFont="1" applyFill="1" applyBorder="1" applyAlignment="1" applyProtection="1">
      <alignment horizontal="center"/>
    </xf>
    <xf numFmtId="168" fontId="51" fillId="63" borderId="38" xfId="38" applyNumberFormat="1" applyFont="1" applyFill="1" applyBorder="1" applyAlignment="1" applyProtection="1">
      <alignment horizontal="center"/>
    </xf>
    <xf numFmtId="166" fontId="51" fillId="63" borderId="38" xfId="37" applyNumberFormat="1" applyFont="1" applyFill="1" applyBorder="1" applyAlignment="1" applyProtection="1">
      <alignment horizontal="center"/>
    </xf>
    <xf numFmtId="3" fontId="51" fillId="63" borderId="76" xfId="0" applyNumberFormat="1" applyFont="1" applyFill="1" applyBorder="1" applyAlignment="1" applyProtection="1">
      <alignment horizontal="center"/>
    </xf>
    <xf numFmtId="0" fontId="51" fillId="63" borderId="77" xfId="0" applyFont="1" applyFill="1" applyBorder="1" applyProtection="1"/>
    <xf numFmtId="0" fontId="0" fillId="63" borderId="0" xfId="0" applyFill="1" applyBorder="1" applyProtection="1"/>
    <xf numFmtId="170" fontId="0" fillId="34" borderId="0" xfId="0" applyNumberFormat="1" applyFill="1" applyProtection="1"/>
    <xf numFmtId="3" fontId="0" fillId="62" borderId="37" xfId="0" applyNumberFormat="1" applyFill="1" applyBorder="1" applyProtection="1"/>
    <xf numFmtId="3" fontId="0" fillId="62" borderId="21" xfId="0" applyNumberFormat="1" applyFill="1" applyBorder="1" applyProtection="1"/>
    <xf numFmtId="3" fontId="0" fillId="62" borderId="20" xfId="0" applyNumberFormat="1" applyFill="1" applyBorder="1" applyProtection="1"/>
    <xf numFmtId="0" fontId="3" fillId="62" borderId="21" xfId="0" applyFont="1" applyFill="1" applyBorder="1" applyAlignment="1" applyProtection="1">
      <alignment horizontal="center" vertical="top" wrapText="1"/>
      <protection locked="0"/>
    </xf>
    <xf numFmtId="0" fontId="3" fillId="62" borderId="21" xfId="37" quotePrefix="1" applyNumberFormat="1" applyFont="1" applyFill="1" applyBorder="1" applyAlignment="1" applyProtection="1">
      <alignment horizontal="center" vertical="top" wrapText="1"/>
      <protection locked="0"/>
    </xf>
    <xf numFmtId="0" fontId="3" fillId="62" borderId="10" xfId="0" applyFont="1" applyFill="1" applyBorder="1" applyAlignment="1" applyProtection="1">
      <alignment horizontal="center" vertical="top"/>
      <protection locked="0"/>
    </xf>
    <xf numFmtId="0" fontId="3" fillId="62" borderId="14" xfId="0" applyFont="1" applyFill="1" applyBorder="1" applyAlignment="1" applyProtection="1">
      <alignment horizontal="center" vertical="top"/>
      <protection locked="0"/>
    </xf>
    <xf numFmtId="0" fontId="3" fillId="62" borderId="37" xfId="0" applyFont="1" applyFill="1" applyBorder="1" applyAlignment="1" applyProtection="1">
      <alignment horizontal="center" vertical="top"/>
      <protection locked="0"/>
    </xf>
    <xf numFmtId="0" fontId="51" fillId="62" borderId="21" xfId="0" applyFont="1" applyFill="1" applyBorder="1" applyAlignment="1" applyProtection="1">
      <alignment vertical="top" wrapText="1"/>
    </xf>
    <xf numFmtId="1" fontId="51" fillId="62" borderId="21" xfId="0" applyNumberFormat="1" applyFont="1" applyFill="1" applyBorder="1" applyAlignment="1" applyProtection="1">
      <alignment vertical="top" wrapText="1"/>
    </xf>
    <xf numFmtId="9" fontId="51" fillId="62" borderId="21" xfId="50" applyFont="1" applyFill="1" applyBorder="1" applyAlignment="1" applyProtection="1">
      <alignment vertical="top" wrapText="1"/>
    </xf>
    <xf numFmtId="0" fontId="0" fillId="35" borderId="21" xfId="0" applyFill="1" applyBorder="1" applyAlignment="1" applyProtection="1">
      <protection locked="0"/>
    </xf>
    <xf numFmtId="0" fontId="3" fillId="35" borderId="21" xfId="0" applyFont="1" applyFill="1" applyBorder="1" applyAlignment="1" applyProtection="1">
      <alignment vertical="center"/>
      <protection locked="0"/>
    </xf>
    <xf numFmtId="0" fontId="0" fillId="0" borderId="0" xfId="0"/>
    <xf numFmtId="0" fontId="0" fillId="61" borderId="56" xfId="0" applyFill="1" applyBorder="1" applyProtection="1">
      <protection locked="0"/>
    </xf>
    <xf numFmtId="168" fontId="10" fillId="0" borderId="0" xfId="37" applyNumberFormat="1" applyFont="1" applyAlignment="1" applyProtection="1">
      <alignment wrapText="1"/>
    </xf>
    <xf numFmtId="3" fontId="3" fillId="0" borderId="0" xfId="37" applyNumberFormat="1" applyFont="1" applyAlignment="1" applyProtection="1">
      <alignment horizontal="right" wrapText="1"/>
    </xf>
    <xf numFmtId="167" fontId="10" fillId="0" borderId="0" xfId="37" quotePrefix="1" applyNumberFormat="1" applyFont="1" applyAlignment="1" applyProtection="1">
      <alignment wrapText="1"/>
    </xf>
    <xf numFmtId="0" fontId="0" fillId="0" borderId="0" xfId="0" applyAlignment="1" applyProtection="1">
      <alignment wrapText="1"/>
    </xf>
    <xf numFmtId="168" fontId="26" fillId="0" borderId="0" xfId="37" applyNumberFormat="1" applyFont="1" applyAlignment="1" applyProtection="1">
      <alignment wrapText="1"/>
    </xf>
    <xf numFmtId="167" fontId="3" fillId="0" borderId="0" xfId="37" applyNumberFormat="1" applyFont="1" applyAlignment="1" applyProtection="1">
      <alignment wrapText="1"/>
    </xf>
    <xf numFmtId="166" fontId="3" fillId="0" borderId="0" xfId="37" applyNumberFormat="1" applyFont="1" applyAlignment="1" applyProtection="1">
      <alignment wrapText="1"/>
    </xf>
    <xf numFmtId="165" fontId="3" fillId="0" borderId="0" xfId="37" applyNumberFormat="1" applyFont="1" applyAlignment="1" applyProtection="1">
      <alignment wrapText="1"/>
    </xf>
    <xf numFmtId="166" fontId="49" fillId="0" borderId="0" xfId="37" applyNumberFormat="1" applyFont="1" applyAlignment="1" applyProtection="1">
      <alignment horizontal="centerContinuous" wrapText="1"/>
    </xf>
    <xf numFmtId="165" fontId="49" fillId="0" borderId="0" xfId="37" applyNumberFormat="1" applyFont="1" applyAlignment="1" applyProtection="1">
      <alignment horizontal="centerContinuous" wrapText="1"/>
    </xf>
    <xf numFmtId="3" fontId="3" fillId="0" borderId="0" xfId="37" applyNumberFormat="1" applyFont="1" applyAlignment="1" applyProtection="1">
      <alignment wrapText="1"/>
    </xf>
    <xf numFmtId="171" fontId="3" fillId="0" borderId="0" xfId="37" applyNumberFormat="1" applyFont="1" applyAlignment="1" applyProtection="1">
      <alignment wrapText="1"/>
    </xf>
    <xf numFmtId="0" fontId="3" fillId="0" borderId="0" xfId="0" applyFont="1" applyAlignment="1" applyProtection="1">
      <alignment wrapText="1"/>
    </xf>
    <xf numFmtId="170" fontId="0" fillId="0" borderId="0" xfId="0" applyNumberFormat="1" applyBorder="1" applyAlignment="1" applyProtection="1">
      <alignment wrapText="1"/>
    </xf>
    <xf numFmtId="169" fontId="0" fillId="0" borderId="0" xfId="0" applyNumberFormat="1" applyBorder="1" applyAlignment="1" applyProtection="1">
      <alignment wrapText="1"/>
    </xf>
    <xf numFmtId="3" fontId="0" fillId="0" borderId="0" xfId="37" applyNumberFormat="1" applyFont="1" applyAlignment="1" applyProtection="1">
      <alignment wrapText="1"/>
    </xf>
    <xf numFmtId="2" fontId="26" fillId="0" borderId="0" xfId="0" applyNumberFormat="1" applyFont="1" applyAlignment="1" applyProtection="1">
      <alignment wrapText="1"/>
    </xf>
    <xf numFmtId="165" fontId="0" fillId="0" borderId="0" xfId="37" applyNumberFormat="1" applyFont="1" applyAlignment="1" applyProtection="1">
      <alignment wrapText="1"/>
    </xf>
    <xf numFmtId="166" fontId="0" fillId="0" borderId="0" xfId="37" applyNumberFormat="1" applyFont="1" applyAlignment="1" applyProtection="1">
      <alignment wrapText="1"/>
    </xf>
    <xf numFmtId="167" fontId="0" fillId="0" borderId="0" xfId="37" applyNumberFormat="1" applyFont="1" applyAlignment="1" applyProtection="1">
      <alignment wrapText="1"/>
    </xf>
    <xf numFmtId="3" fontId="16" fillId="0" borderId="0" xfId="37" quotePrefix="1" applyNumberFormat="1" applyFont="1" applyAlignment="1" applyProtection="1">
      <alignment wrapText="1"/>
    </xf>
    <xf numFmtId="171" fontId="0" fillId="0" borderId="0" xfId="37" applyNumberFormat="1" applyFont="1" applyAlignment="1" applyProtection="1">
      <alignment wrapText="1"/>
    </xf>
    <xf numFmtId="170" fontId="0" fillId="0" borderId="0" xfId="0" applyNumberFormat="1" applyAlignment="1" applyProtection="1">
      <alignment wrapText="1"/>
    </xf>
    <xf numFmtId="169" fontId="0" fillId="0" borderId="0" xfId="0" applyNumberFormat="1" applyAlignment="1" applyProtection="1">
      <alignment wrapText="1"/>
    </xf>
    <xf numFmtId="168" fontId="0" fillId="0" borderId="0" xfId="0" applyNumberFormat="1" applyAlignment="1" applyProtection="1">
      <alignment wrapText="1"/>
    </xf>
    <xf numFmtId="0" fontId="26" fillId="0" borderId="0" xfId="0" applyFont="1" applyAlignment="1" applyProtection="1">
      <alignment wrapText="1"/>
    </xf>
    <xf numFmtId="167" fontId="9" fillId="0" borderId="0" xfId="0" applyNumberFormat="1" applyFont="1" applyAlignment="1" applyProtection="1">
      <alignment horizontal="center" wrapText="1"/>
    </xf>
    <xf numFmtId="166" fontId="9" fillId="0" borderId="0" xfId="0" applyNumberFormat="1" applyFont="1" applyAlignment="1" applyProtection="1">
      <alignment horizontal="center" wrapText="1"/>
    </xf>
    <xf numFmtId="165" fontId="9" fillId="0" borderId="0" xfId="0" applyNumberFormat="1" applyFont="1" applyAlignment="1" applyProtection="1">
      <alignment horizontal="center" wrapText="1"/>
    </xf>
    <xf numFmtId="165" fontId="0" fillId="0" borderId="0" xfId="37" applyFont="1" applyAlignment="1" applyProtection="1">
      <alignment wrapText="1"/>
    </xf>
    <xf numFmtId="173" fontId="0" fillId="0" borderId="0" xfId="37" applyNumberFormat="1" applyFont="1" applyAlignment="1" applyProtection="1">
      <alignment wrapText="1"/>
    </xf>
    <xf numFmtId="3" fontId="0" fillId="0" borderId="0" xfId="0" applyNumberFormat="1" applyAlignment="1" applyProtection="1">
      <alignment wrapText="1"/>
    </xf>
    <xf numFmtId="3" fontId="19" fillId="0" borderId="0" xfId="49" applyNumberFormat="1" applyFont="1" applyFill="1" applyBorder="1" applyAlignment="1" applyProtection="1">
      <alignment vertical="top"/>
      <protection locked="0"/>
    </xf>
    <xf numFmtId="0" fontId="5" fillId="0" borderId="0" xfId="0" applyFont="1" applyFill="1" applyBorder="1" applyAlignment="1" applyProtection="1">
      <alignment vertical="top"/>
      <protection locked="0"/>
    </xf>
    <xf numFmtId="0" fontId="5" fillId="0" borderId="0" xfId="0" quotePrefix="1" applyNumberFormat="1" applyFont="1" applyFill="1" applyBorder="1" applyAlignment="1" applyProtection="1">
      <alignment vertical="top"/>
      <protection locked="0"/>
    </xf>
    <xf numFmtId="0" fontId="5" fillId="0" borderId="0" xfId="0" applyNumberFormat="1" applyFont="1" applyFill="1" applyBorder="1" applyAlignment="1" applyProtection="1">
      <alignment vertical="top"/>
      <protection locked="0"/>
    </xf>
    <xf numFmtId="0" fontId="3" fillId="35" borderId="21" xfId="0" applyFont="1" applyFill="1" applyBorder="1" applyProtection="1">
      <protection locked="0"/>
    </xf>
    <xf numFmtId="0" fontId="0" fillId="0" borderId="0" xfId="0"/>
    <xf numFmtId="0" fontId="11" fillId="0" borderId="0" xfId="0" applyFont="1" applyFill="1" applyBorder="1" applyAlignment="1" applyProtection="1">
      <alignment vertical="center"/>
      <protection locked="0"/>
    </xf>
    <xf numFmtId="0" fontId="3" fillId="0" borderId="0" xfId="68" applyAlignment="1">
      <alignment wrapText="1"/>
    </xf>
    <xf numFmtId="3" fontId="51" fillId="35" borderId="20" xfId="0" applyNumberFormat="1" applyFont="1" applyFill="1" applyBorder="1" applyAlignment="1" applyProtection="1">
      <alignment horizontal="left" vertical="top" wrapText="1"/>
      <protection locked="0"/>
    </xf>
    <xf numFmtId="0" fontId="75" fillId="0" borderId="21" xfId="0" applyFont="1" applyFill="1" applyBorder="1" applyAlignment="1" applyProtection="1">
      <alignment horizontal="left" vertical="top"/>
    </xf>
    <xf numFmtId="0" fontId="3" fillId="27" borderId="21" xfId="0" applyFont="1" applyFill="1" applyBorder="1" applyAlignment="1" applyProtection="1">
      <alignment vertical="top"/>
    </xf>
    <xf numFmtId="0" fontId="3" fillId="35" borderId="21" xfId="0" applyFont="1" applyFill="1" applyBorder="1" applyAlignment="1" applyProtection="1">
      <alignment vertical="top"/>
      <protection locked="0"/>
    </xf>
    <xf numFmtId="0" fontId="13" fillId="0" borderId="10" xfId="0" applyNumberFormat="1" applyFont="1" applyBorder="1" applyAlignment="1" applyProtection="1">
      <alignment horizontal="left" vertical="center"/>
    </xf>
    <xf numFmtId="14" fontId="0" fillId="35" borderId="21" xfId="0" applyNumberFormat="1" applyFill="1" applyBorder="1" applyAlignment="1" applyProtection="1">
      <alignment vertical="center"/>
      <protection locked="0"/>
    </xf>
    <xf numFmtId="0" fontId="45" fillId="0" borderId="0" xfId="0" applyFont="1" applyFill="1" applyBorder="1" applyAlignment="1">
      <alignment horizontal="left" wrapText="1"/>
    </xf>
    <xf numFmtId="165" fontId="51" fillId="62" borderId="37" xfId="37" applyNumberFormat="1" applyFont="1" applyFill="1" applyBorder="1" applyAlignment="1" applyProtection="1">
      <alignment horizontal="left" vertical="top" wrapText="1"/>
    </xf>
    <xf numFmtId="0" fontId="51" fillId="0" borderId="37" xfId="0" applyFont="1" applyFill="1" applyBorder="1" applyAlignment="1" applyProtection="1">
      <alignment horizontal="left" vertical="top" wrapText="1"/>
    </xf>
    <xf numFmtId="0" fontId="51" fillId="0" borderId="0" xfId="0" applyFont="1" applyFill="1" applyBorder="1" applyProtection="1">
      <protection locked="0"/>
    </xf>
    <xf numFmtId="0" fontId="3" fillId="35" borderId="21" xfId="0" applyFont="1" applyFill="1" applyBorder="1" applyAlignment="1" applyProtection="1">
      <alignment horizontal="left" vertical="top"/>
      <protection locked="0"/>
    </xf>
    <xf numFmtId="0" fontId="0" fillId="0" borderId="21" xfId="0" applyBorder="1" applyAlignment="1" applyProtection="1">
      <alignment horizontal="left" vertical="top"/>
    </xf>
    <xf numFmtId="1" fontId="51" fillId="35" borderId="38" xfId="0" applyNumberFormat="1" applyFont="1" applyFill="1" applyBorder="1" applyAlignment="1" applyProtection="1">
      <alignment horizontal="center"/>
      <protection locked="0"/>
    </xf>
    <xf numFmtId="0" fontId="51" fillId="35" borderId="21" xfId="0" applyFont="1" applyFill="1" applyBorder="1" applyAlignment="1" applyProtection="1">
      <alignment vertical="top" wrapText="1"/>
      <protection locked="0"/>
    </xf>
    <xf numFmtId="0" fontId="0" fillId="0" borderId="0" xfId="0" applyAlignment="1" applyProtection="1">
      <alignment vertical="center"/>
    </xf>
    <xf numFmtId="0" fontId="13" fillId="0" borderId="10" xfId="0" applyFont="1" applyFill="1" applyBorder="1" applyAlignment="1" applyProtection="1">
      <alignment horizontal="left" vertical="top" wrapText="1"/>
    </xf>
    <xf numFmtId="0" fontId="3" fillId="0" borderId="1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0" fillId="33" borderId="0" xfId="0" applyFill="1" applyBorder="1" applyAlignment="1" applyProtection="1"/>
    <xf numFmtId="0" fontId="11" fillId="0" borderId="0" xfId="0" applyFont="1" applyFill="1" applyBorder="1" applyAlignment="1" applyProtection="1">
      <alignment horizontal="left" vertical="center"/>
    </xf>
    <xf numFmtId="0" fontId="7" fillId="33" borderId="0" xfId="0" applyFont="1" applyFill="1" applyBorder="1" applyAlignment="1" applyProtection="1">
      <alignment vertical="center"/>
    </xf>
    <xf numFmtId="0" fontId="13" fillId="0" borderId="10" xfId="0" applyFont="1" applyFill="1" applyBorder="1" applyAlignment="1" applyProtection="1">
      <alignment horizontal="left" vertical="center"/>
    </xf>
    <xf numFmtId="0" fontId="3" fillId="33" borderId="0" xfId="0" applyFont="1" applyFill="1" applyBorder="1" applyAlignment="1" applyProtection="1">
      <alignment vertical="center"/>
    </xf>
    <xf numFmtId="0" fontId="0" fillId="0" borderId="14" xfId="0" applyBorder="1" applyAlignment="1" applyProtection="1">
      <alignment vertical="center"/>
    </xf>
    <xf numFmtId="0" fontId="0" fillId="0" borderId="37" xfId="0" applyBorder="1" applyAlignment="1" applyProtection="1">
      <alignment vertical="center"/>
    </xf>
    <xf numFmtId="0" fontId="0" fillId="0" borderId="57" xfId="0" applyBorder="1" applyProtection="1"/>
    <xf numFmtId="0" fontId="0" fillId="0" borderId="0" xfId="0" applyAlignment="1" applyProtection="1">
      <alignment horizontal="left"/>
    </xf>
    <xf numFmtId="0" fontId="78" fillId="0" borderId="0" xfId="36" applyFont="1" applyAlignment="1" applyProtection="1">
      <alignment horizontal="left" vertical="top" wrapText="1"/>
    </xf>
    <xf numFmtId="0" fontId="51" fillId="0" borderId="37" xfId="0" applyFont="1" applyFill="1" applyBorder="1" applyAlignment="1" applyProtection="1">
      <alignment horizontal="left" vertical="top" wrapText="1"/>
    </xf>
    <xf numFmtId="0" fontId="71" fillId="0" borderId="0" xfId="68" applyFont="1" applyAlignment="1">
      <alignment horizontal="right"/>
    </xf>
    <xf numFmtId="0" fontId="71" fillId="0" borderId="0" xfId="68" applyFont="1"/>
    <xf numFmtId="0" fontId="18" fillId="0" borderId="0" xfId="68" applyFont="1" applyAlignment="1">
      <alignment horizontal="center" vertical="center" wrapText="1"/>
    </xf>
    <xf numFmtId="0" fontId="18" fillId="61" borderId="0" xfId="68" applyFont="1" applyFill="1" applyAlignment="1">
      <alignment horizontal="left" vertical="top"/>
    </xf>
    <xf numFmtId="0" fontId="18" fillId="0" borderId="0" xfId="68" applyFont="1" applyAlignment="1">
      <alignment horizontal="center" vertical="top" wrapText="1"/>
    </xf>
    <xf numFmtId="0" fontId="18" fillId="0" borderId="0" xfId="68" applyFont="1" applyAlignment="1">
      <alignment horizontal="left" vertical="top"/>
    </xf>
    <xf numFmtId="0" fontId="18" fillId="35" borderId="0" xfId="68" applyFont="1" applyFill="1" applyAlignment="1">
      <alignment vertical="top"/>
    </xf>
    <xf numFmtId="0" fontId="18" fillId="0" borderId="0" xfId="68" applyFont="1" applyAlignment="1">
      <alignment vertical="top"/>
    </xf>
    <xf numFmtId="0" fontId="71" fillId="0" borderId="0" xfId="68" applyFont="1" applyAlignment="1">
      <alignment horizontal="left" vertical="center" wrapText="1"/>
    </xf>
    <xf numFmtId="0" fontId="18" fillId="61" borderId="0" xfId="68" applyFont="1" applyFill="1" applyAlignment="1">
      <alignment horizontal="left" vertical="center"/>
    </xf>
    <xf numFmtId="0" fontId="18" fillId="0" borderId="0" xfId="68" applyFont="1" applyAlignment="1">
      <alignment vertical="center"/>
    </xf>
    <xf numFmtId="0" fontId="78" fillId="0" borderId="0" xfId="36" applyFont="1" applyAlignment="1" applyProtection="1">
      <alignment vertical="top" wrapText="1"/>
    </xf>
    <xf numFmtId="0" fontId="80" fillId="0" borderId="0" xfId="36" applyFont="1" applyAlignment="1" applyProtection="1"/>
    <xf numFmtId="0" fontId="78" fillId="0" borderId="0" xfId="36" applyFont="1" applyAlignment="1" applyProtection="1"/>
    <xf numFmtId="0" fontId="18" fillId="0" borderId="0" xfId="68" applyFont="1" applyAlignment="1">
      <alignment horizontal="left" vertical="center"/>
    </xf>
    <xf numFmtId="0" fontId="18" fillId="61" borderId="0" xfId="68" applyFont="1" applyFill="1" applyAlignment="1">
      <alignment horizontal="left" vertical="center" wrapText="1"/>
    </xf>
    <xf numFmtId="0" fontId="18" fillId="0" borderId="0" xfId="36" applyFont="1" applyAlignment="1" applyProtection="1">
      <alignment horizontal="left" vertical="top" wrapText="1"/>
    </xf>
    <xf numFmtId="0" fontId="18" fillId="35" borderId="0" xfId="68" applyFont="1" applyFill="1" applyAlignment="1">
      <alignment horizontal="left" vertical="top"/>
    </xf>
    <xf numFmtId="167" fontId="82" fillId="69" borderId="34" xfId="37" applyNumberFormat="1" applyFont="1" applyFill="1" applyBorder="1" applyAlignment="1" applyProtection="1">
      <alignment horizontal="center" wrapText="1"/>
    </xf>
    <xf numFmtId="0" fontId="51" fillId="29" borderId="0" xfId="0" applyFont="1" applyFill="1" applyProtection="1"/>
    <xf numFmtId="0" fontId="51" fillId="0" borderId="0" xfId="0" applyFont="1" applyFill="1" applyProtection="1"/>
    <xf numFmtId="0" fontId="51" fillId="0" borderId="0" xfId="0" applyFont="1" applyProtection="1"/>
    <xf numFmtId="166" fontId="51" fillId="68" borderId="12" xfId="37" applyNumberFormat="1" applyFont="1" applyFill="1" applyBorder="1" applyAlignment="1" applyProtection="1">
      <alignment horizontal="center" wrapText="1"/>
    </xf>
    <xf numFmtId="167" fontId="51" fillId="65" borderId="11" xfId="37" applyNumberFormat="1" applyFont="1" applyFill="1" applyBorder="1" applyAlignment="1" applyProtection="1">
      <alignment wrapText="1"/>
    </xf>
    <xf numFmtId="166" fontId="51" fillId="65" borderId="12" xfId="37" applyNumberFormat="1" applyFont="1" applyFill="1" applyBorder="1" applyAlignment="1" applyProtection="1">
      <alignment wrapText="1"/>
    </xf>
    <xf numFmtId="165" fontId="51" fillId="65" borderId="12" xfId="37" applyNumberFormat="1" applyFont="1" applyFill="1" applyBorder="1" applyAlignment="1" applyProtection="1">
      <alignment wrapText="1"/>
    </xf>
    <xf numFmtId="3" fontId="83" fillId="69" borderId="33" xfId="37" applyNumberFormat="1" applyFont="1" applyFill="1" applyBorder="1" applyAlignment="1" applyProtection="1">
      <alignment horizontal="center" wrapText="1"/>
    </xf>
    <xf numFmtId="3" fontId="83" fillId="36" borderId="33" xfId="37" applyNumberFormat="1" applyFont="1" applyFill="1" applyBorder="1" applyAlignment="1" applyProtection="1">
      <alignment wrapText="1"/>
    </xf>
    <xf numFmtId="3" fontId="83" fillId="36" borderId="29" xfId="37" applyNumberFormat="1" applyFont="1" applyFill="1" applyBorder="1" applyAlignment="1" applyProtection="1">
      <alignment wrapText="1"/>
    </xf>
    <xf numFmtId="167" fontId="83" fillId="69" borderId="34" xfId="37" applyNumberFormat="1" applyFont="1" applyFill="1" applyBorder="1" applyAlignment="1" applyProtection="1">
      <alignment horizontal="center" wrapText="1"/>
    </xf>
    <xf numFmtId="167" fontId="51" fillId="68" borderId="0" xfId="37" applyNumberFormat="1" applyFont="1" applyFill="1" applyBorder="1" applyAlignment="1" applyProtection="1">
      <alignment horizontal="center" wrapText="1"/>
    </xf>
    <xf numFmtId="167" fontId="51" fillId="68" borderId="16" xfId="37" applyNumberFormat="1" applyFont="1" applyFill="1" applyBorder="1" applyAlignment="1" applyProtection="1">
      <alignment horizontal="center" wrapText="1"/>
    </xf>
    <xf numFmtId="166" fontId="51" fillId="68" borderId="16" xfId="37" applyNumberFormat="1" applyFont="1" applyFill="1" applyBorder="1" applyAlignment="1" applyProtection="1">
      <alignment horizontal="center" wrapText="1"/>
    </xf>
    <xf numFmtId="167" fontId="51" fillId="65" borderId="27" xfId="37" applyNumberFormat="1" applyFont="1" applyFill="1" applyBorder="1" applyAlignment="1" applyProtection="1">
      <alignment horizontal="center" wrapText="1"/>
    </xf>
    <xf numFmtId="166" fontId="51" fillId="65" borderId="18" xfId="37" applyNumberFormat="1" applyFont="1" applyFill="1" applyBorder="1" applyAlignment="1" applyProtection="1">
      <alignment horizontal="center" wrapText="1"/>
    </xf>
    <xf numFmtId="165" fontId="51" fillId="65" borderId="18" xfId="37" applyNumberFormat="1" applyFont="1" applyFill="1" applyBorder="1" applyAlignment="1" applyProtection="1">
      <alignment horizontal="center" wrapText="1"/>
    </xf>
    <xf numFmtId="166" fontId="51" fillId="65" borderId="0" xfId="37" applyNumberFormat="1" applyFont="1" applyFill="1" applyBorder="1" applyAlignment="1" applyProtection="1">
      <alignment horizontal="center" wrapText="1"/>
    </xf>
    <xf numFmtId="167" fontId="51" fillId="62" borderId="33" xfId="37" applyNumberFormat="1" applyFont="1" applyFill="1" applyBorder="1" applyAlignment="1" applyProtection="1">
      <alignment horizontal="center" wrapText="1"/>
    </xf>
    <xf numFmtId="166" fontId="51" fillId="62" borderId="28" xfId="37" applyNumberFormat="1" applyFont="1" applyFill="1" applyBorder="1" applyAlignment="1" applyProtection="1">
      <alignment horizontal="center" wrapText="1"/>
    </xf>
    <xf numFmtId="3" fontId="83" fillId="69" borderId="33" xfId="37" applyNumberFormat="1" applyFont="1" applyFill="1" applyBorder="1" applyAlignment="1" applyProtection="1">
      <alignment horizontal="center" vertical="top" wrapText="1"/>
    </xf>
    <xf numFmtId="3" fontId="83" fillId="36" borderId="27" xfId="37" applyNumberFormat="1" applyFont="1" applyFill="1" applyBorder="1" applyAlignment="1" applyProtection="1">
      <alignment horizontal="center" wrapText="1"/>
    </xf>
    <xf numFmtId="3" fontId="83" fillId="36" borderId="28" xfId="37" applyNumberFormat="1" applyFont="1" applyFill="1" applyBorder="1" applyAlignment="1" applyProtection="1">
      <alignment horizontal="center" wrapText="1"/>
    </xf>
    <xf numFmtId="3" fontId="83" fillId="24" borderId="28" xfId="37" applyNumberFormat="1" applyFont="1" applyFill="1" applyBorder="1" applyAlignment="1" applyProtection="1">
      <alignment horizontal="center" wrapText="1"/>
    </xf>
    <xf numFmtId="168" fontId="51" fillId="71" borderId="33" xfId="0" applyNumberFormat="1" applyFont="1" applyFill="1" applyBorder="1" applyAlignment="1" applyProtection="1">
      <alignment horizontal="center" vertical="center" wrapText="1"/>
    </xf>
    <xf numFmtId="3" fontId="51" fillId="70" borderId="18" xfId="37" applyNumberFormat="1" applyFont="1" applyFill="1" applyBorder="1" applyAlignment="1" applyProtection="1">
      <alignment horizontal="center" wrapText="1"/>
    </xf>
    <xf numFmtId="3" fontId="51" fillId="65" borderId="18" xfId="37" applyNumberFormat="1" applyFont="1" applyFill="1" applyBorder="1" applyAlignment="1" applyProtection="1">
      <alignment horizontal="center" wrapText="1"/>
    </xf>
    <xf numFmtId="168" fontId="51" fillId="65" borderId="18" xfId="37" applyNumberFormat="1" applyFont="1" applyFill="1" applyBorder="1" applyAlignment="1" applyProtection="1">
      <alignment horizontal="center" wrapText="1"/>
    </xf>
    <xf numFmtId="165" fontId="51" fillId="68" borderId="16" xfId="37" applyFont="1" applyFill="1" applyBorder="1" applyAlignment="1" applyProtection="1">
      <alignment horizontal="center" wrapText="1"/>
    </xf>
    <xf numFmtId="166" fontId="83" fillId="62" borderId="27" xfId="37" applyNumberFormat="1" applyFont="1" applyFill="1" applyBorder="1" applyAlignment="1" applyProtection="1">
      <alignment horizontal="center" wrapText="1"/>
    </xf>
    <xf numFmtId="171" fontId="83" fillId="62" borderId="0" xfId="37" applyNumberFormat="1" applyFont="1" applyFill="1" applyBorder="1" applyAlignment="1" applyProtection="1">
      <alignment horizontal="center" wrapText="1"/>
    </xf>
    <xf numFmtId="166" fontId="83" fillId="62" borderId="16" xfId="37" applyNumberFormat="1" applyFont="1" applyFill="1" applyBorder="1" applyAlignment="1" applyProtection="1">
      <alignment horizontal="center" wrapText="1"/>
    </xf>
    <xf numFmtId="3" fontId="83" fillId="69" borderId="34" xfId="37" applyNumberFormat="1" applyFont="1" applyFill="1" applyBorder="1" applyAlignment="1" applyProtection="1">
      <alignment horizontal="center" wrapText="1"/>
    </xf>
    <xf numFmtId="168" fontId="51" fillId="71" borderId="0" xfId="0" applyNumberFormat="1" applyFont="1" applyFill="1" applyBorder="1" applyAlignment="1" applyProtection="1">
      <alignment horizontal="center" vertical="center"/>
    </xf>
    <xf numFmtId="3" fontId="51" fillId="70" borderId="18" xfId="37" applyNumberFormat="1" applyFont="1" applyFill="1" applyBorder="1" applyAlignment="1" applyProtection="1">
      <alignment horizontal="center"/>
    </xf>
    <xf numFmtId="3" fontId="51" fillId="65" borderId="18" xfId="37" applyNumberFormat="1" applyFont="1" applyFill="1" applyBorder="1" applyAlignment="1" applyProtection="1">
      <alignment horizontal="center"/>
    </xf>
    <xf numFmtId="168" fontId="51" fillId="65" borderId="18" xfId="37" applyNumberFormat="1" applyFont="1" applyFill="1" applyBorder="1" applyAlignment="1" applyProtection="1">
      <alignment horizontal="center"/>
    </xf>
    <xf numFmtId="167" fontId="51" fillId="68" borderId="0" xfId="37" applyNumberFormat="1" applyFont="1" applyFill="1" applyBorder="1" applyAlignment="1" applyProtection="1">
      <alignment horizontal="center"/>
    </xf>
    <xf numFmtId="167" fontId="51" fillId="68" borderId="16" xfId="37" applyNumberFormat="1" applyFont="1" applyFill="1" applyBorder="1" applyAlignment="1" applyProtection="1">
      <alignment horizontal="center"/>
    </xf>
    <xf numFmtId="165" fontId="51" fillId="68" borderId="16" xfId="37" applyFont="1" applyFill="1" applyBorder="1" applyAlignment="1" applyProtection="1">
      <alignment horizontal="center"/>
    </xf>
    <xf numFmtId="166" fontId="51" fillId="68" borderId="16" xfId="37" applyNumberFormat="1" applyFont="1" applyFill="1" applyBorder="1" applyAlignment="1" applyProtection="1">
      <alignment horizontal="center"/>
    </xf>
    <xf numFmtId="167" fontId="51" fillId="65" borderId="27" xfId="37" applyNumberFormat="1" applyFont="1" applyFill="1" applyBorder="1" applyAlignment="1" applyProtection="1">
      <alignment horizontal="center"/>
    </xf>
    <xf numFmtId="166" fontId="51" fillId="65" borderId="18" xfId="37" applyNumberFormat="1" applyFont="1" applyFill="1" applyBorder="1" applyAlignment="1" applyProtection="1">
      <alignment horizontal="center"/>
    </xf>
    <xf numFmtId="165" fontId="51" fillId="65" borderId="18" xfId="37" applyNumberFormat="1" applyFont="1" applyFill="1" applyBorder="1" applyAlignment="1" applyProtection="1">
      <alignment horizontal="center"/>
    </xf>
    <xf numFmtId="166" fontId="51" fillId="65" borderId="0" xfId="37" applyNumberFormat="1" applyFont="1" applyFill="1" applyBorder="1" applyAlignment="1" applyProtection="1">
      <alignment horizontal="center"/>
    </xf>
    <xf numFmtId="167" fontId="51" fillId="62" borderId="33" xfId="37" applyNumberFormat="1" applyFont="1" applyFill="1" applyBorder="1" applyAlignment="1" applyProtection="1">
      <alignment horizontal="center"/>
    </xf>
    <xf numFmtId="166" fontId="51" fillId="62" borderId="0" xfId="37" applyNumberFormat="1" applyFont="1" applyFill="1" applyBorder="1" applyAlignment="1" applyProtection="1">
      <alignment horizontal="center"/>
    </xf>
    <xf numFmtId="166" fontId="83" fillId="62" borderId="27" xfId="37" applyNumberFormat="1" applyFont="1" applyFill="1" applyBorder="1" applyAlignment="1" applyProtection="1">
      <alignment horizontal="center"/>
    </xf>
    <xf numFmtId="171" fontId="83" fillId="62" borderId="0" xfId="37" applyNumberFormat="1" applyFont="1" applyFill="1" applyBorder="1" applyAlignment="1" applyProtection="1">
      <alignment horizontal="center"/>
    </xf>
    <xf numFmtId="166" fontId="83" fillId="62" borderId="16" xfId="37" applyNumberFormat="1" applyFont="1" applyFill="1" applyBorder="1" applyAlignment="1" applyProtection="1">
      <alignment horizontal="center"/>
    </xf>
    <xf numFmtId="3" fontId="83" fillId="69" borderId="33" xfId="37" applyNumberFormat="1" applyFont="1" applyFill="1" applyBorder="1" applyAlignment="1" applyProtection="1">
      <alignment horizontal="center"/>
    </xf>
    <xf numFmtId="3" fontId="83" fillId="69" borderId="34" xfId="37" applyNumberFormat="1" applyFont="1" applyFill="1" applyBorder="1" applyAlignment="1" applyProtection="1">
      <alignment horizontal="center"/>
    </xf>
    <xf numFmtId="3" fontId="83" fillId="36" borderId="27" xfId="37" applyNumberFormat="1" applyFont="1" applyFill="1" applyBorder="1" applyAlignment="1" applyProtection="1">
      <alignment horizontal="center"/>
    </xf>
    <xf numFmtId="3" fontId="83" fillId="36" borderId="28" xfId="37" applyNumberFormat="1" applyFont="1" applyFill="1" applyBorder="1" applyAlignment="1" applyProtection="1">
      <alignment horizontal="center"/>
    </xf>
    <xf numFmtId="3" fontId="51" fillId="24" borderId="28" xfId="37" applyNumberFormat="1" applyFont="1" applyFill="1" applyBorder="1" applyAlignment="1" applyProtection="1">
      <alignment horizontal="center"/>
    </xf>
    <xf numFmtId="167" fontId="51" fillId="69" borderId="34" xfId="37" applyNumberFormat="1" applyFont="1" applyFill="1" applyBorder="1" applyAlignment="1" applyProtection="1">
      <alignment horizontal="center"/>
    </xf>
    <xf numFmtId="3" fontId="51" fillId="70" borderId="20" xfId="37" applyNumberFormat="1" applyFont="1" applyFill="1" applyBorder="1" applyAlignment="1" applyProtection="1">
      <alignment horizontal="center"/>
    </xf>
    <xf numFmtId="3" fontId="51" fillId="65" borderId="20" xfId="37" applyNumberFormat="1" applyFont="1" applyFill="1" applyBorder="1" applyAlignment="1" applyProtection="1">
      <alignment horizontal="center"/>
    </xf>
    <xf numFmtId="168" fontId="51" fillId="65" borderId="20" xfId="37" applyNumberFormat="1" applyFont="1" applyFill="1" applyBorder="1" applyAlignment="1" applyProtection="1">
      <alignment horizontal="center"/>
    </xf>
    <xf numFmtId="3" fontId="51" fillId="69" borderId="33" xfId="37" applyNumberFormat="1" applyFont="1" applyFill="1" applyBorder="1" applyAlignment="1" applyProtection="1">
      <alignment horizontal="center"/>
    </xf>
    <xf numFmtId="3" fontId="51" fillId="69" borderId="34" xfId="37" applyNumberFormat="1" applyFont="1" applyFill="1" applyBorder="1" applyAlignment="1" applyProtection="1">
      <alignment horizontal="center"/>
    </xf>
    <xf numFmtId="3" fontId="51" fillId="36" borderId="27" xfId="37" applyNumberFormat="1" applyFont="1" applyFill="1" applyBorder="1" applyAlignment="1" applyProtection="1">
      <alignment horizontal="center"/>
    </xf>
    <xf numFmtId="3" fontId="51" fillId="36" borderId="28" xfId="37" applyNumberFormat="1" applyFont="1" applyFill="1" applyBorder="1" applyAlignment="1" applyProtection="1">
      <alignment horizontal="center"/>
    </xf>
    <xf numFmtId="170" fontId="69" fillId="33" borderId="24" xfId="0" applyNumberFormat="1" applyFont="1" applyFill="1" applyBorder="1" applyAlignment="1" applyProtection="1">
      <alignment horizontal="center" vertical="top"/>
      <protection locked="0"/>
    </xf>
    <xf numFmtId="170" fontId="69" fillId="33" borderId="25" xfId="0" applyNumberFormat="1" applyFont="1" applyFill="1" applyBorder="1" applyAlignment="1" applyProtection="1">
      <alignment horizontal="center" vertical="top"/>
      <protection locked="0"/>
    </xf>
    <xf numFmtId="169" fontId="69" fillId="33" borderId="26" xfId="0" applyNumberFormat="1" applyFont="1" applyFill="1" applyBorder="1" applyAlignment="1" applyProtection="1">
      <alignment horizontal="center" vertical="top"/>
      <protection locked="0"/>
    </xf>
    <xf numFmtId="170" fontId="69" fillId="33" borderId="30" xfId="0" applyNumberFormat="1" applyFont="1" applyFill="1" applyBorder="1" applyAlignment="1" applyProtection="1">
      <protection locked="0"/>
    </xf>
    <xf numFmtId="170" fontId="69" fillId="33" borderId="15" xfId="0" applyNumberFormat="1" applyFont="1" applyFill="1" applyBorder="1" applyAlignment="1" applyProtection="1">
      <protection locked="0"/>
    </xf>
    <xf numFmtId="169" fontId="69" fillId="33" borderId="31" xfId="0" applyNumberFormat="1" applyFont="1" applyFill="1" applyBorder="1" applyAlignment="1" applyProtection="1">
      <alignment vertical="center"/>
      <protection locked="0"/>
    </xf>
    <xf numFmtId="170" fontId="69" fillId="33" borderId="27" xfId="0" applyNumberFormat="1" applyFont="1" applyFill="1" applyBorder="1" applyAlignment="1" applyProtection="1">
      <protection locked="0"/>
    </xf>
    <xf numFmtId="170" fontId="69" fillId="33" borderId="0" xfId="0" applyNumberFormat="1" applyFont="1" applyFill="1" applyBorder="1" applyAlignment="1" applyProtection="1">
      <protection locked="0"/>
    </xf>
    <xf numFmtId="169" fontId="69" fillId="33" borderId="28" xfId="0" applyNumberFormat="1" applyFont="1" applyFill="1" applyBorder="1" applyAlignment="1" applyProtection="1">
      <alignment vertical="center"/>
      <protection locked="0"/>
    </xf>
    <xf numFmtId="3" fontId="51" fillId="70" borderId="39" xfId="37" applyNumberFormat="1" applyFont="1" applyFill="1" applyBorder="1" applyAlignment="1" applyProtection="1">
      <alignment horizontal="center" vertical="top" wrapText="1"/>
    </xf>
    <xf numFmtId="3" fontId="51" fillId="65" borderId="39" xfId="37" applyNumberFormat="1" applyFont="1" applyFill="1" applyBorder="1" applyAlignment="1" applyProtection="1">
      <alignment horizontal="center" vertical="top" wrapText="1"/>
    </xf>
    <xf numFmtId="168" fontId="51" fillId="65" borderId="39" xfId="37" applyNumberFormat="1" applyFont="1" applyFill="1" applyBorder="1" applyAlignment="1" applyProtection="1">
      <alignment horizontal="center" vertical="top" wrapText="1"/>
    </xf>
    <xf numFmtId="3" fontId="83" fillId="67" borderId="24" xfId="37" applyNumberFormat="1" applyFont="1" applyFill="1" applyBorder="1" applyAlignment="1" applyProtection="1">
      <alignment horizontal="center" wrapText="1"/>
    </xf>
    <xf numFmtId="166" fontId="83" fillId="67" borderId="26" xfId="37" applyNumberFormat="1" applyFont="1" applyFill="1" applyBorder="1" applyAlignment="1" applyProtection="1">
      <alignment wrapText="1"/>
    </xf>
    <xf numFmtId="168" fontId="51" fillId="71" borderId="33" xfId="37" applyNumberFormat="1" applyFont="1" applyFill="1" applyBorder="1" applyAlignment="1" applyProtection="1">
      <alignment vertical="center" wrapText="1"/>
    </xf>
    <xf numFmtId="3" fontId="51" fillId="70" borderId="18" xfId="37" applyNumberFormat="1" applyFont="1" applyFill="1" applyBorder="1" applyAlignment="1" applyProtection="1">
      <alignment horizontal="center" vertical="top" wrapText="1"/>
    </xf>
    <xf numFmtId="3" fontId="51" fillId="65" borderId="18" xfId="37" applyNumberFormat="1" applyFont="1" applyFill="1" applyBorder="1" applyAlignment="1" applyProtection="1">
      <alignment horizontal="center" vertical="top" wrapText="1"/>
    </xf>
    <xf numFmtId="168" fontId="51" fillId="65" borderId="18" xfId="37" applyNumberFormat="1" applyFont="1" applyFill="1" applyBorder="1" applyAlignment="1" applyProtection="1">
      <alignment horizontal="center" vertical="top" wrapText="1"/>
    </xf>
    <xf numFmtId="3" fontId="51" fillId="67" borderId="27" xfId="37" applyNumberFormat="1" applyFont="1" applyFill="1" applyBorder="1" applyAlignment="1" applyProtection="1">
      <alignment horizontal="center" wrapText="1"/>
    </xf>
    <xf numFmtId="166" fontId="51" fillId="67" borderId="28" xfId="37" applyNumberFormat="1" applyFont="1" applyFill="1" applyBorder="1" applyAlignment="1" applyProtection="1">
      <alignment horizontal="center" wrapText="1"/>
    </xf>
    <xf numFmtId="166" fontId="83" fillId="62" borderId="24" xfId="37" applyNumberFormat="1" applyFont="1" applyFill="1" applyBorder="1" applyAlignment="1" applyProtection="1">
      <alignment horizontal="center" wrapText="1"/>
    </xf>
    <xf numFmtId="171" fontId="83" fillId="62" borderId="36" xfId="37" applyNumberFormat="1" applyFont="1" applyFill="1" applyBorder="1" applyAlignment="1" applyProtection="1">
      <alignment wrapText="1"/>
    </xf>
    <xf numFmtId="3" fontId="51" fillId="67" borderId="27" xfId="37" applyNumberFormat="1" applyFont="1" applyFill="1" applyBorder="1" applyAlignment="1" applyProtection="1">
      <alignment horizontal="center"/>
    </xf>
    <xf numFmtId="166" fontId="51" fillId="67" borderId="28" xfId="37" applyNumberFormat="1" applyFont="1" applyFill="1" applyBorder="1" applyAlignment="1" applyProtection="1">
      <alignment horizontal="center"/>
    </xf>
    <xf numFmtId="170" fontId="84" fillId="33" borderId="47" xfId="0" applyNumberFormat="1" applyFont="1" applyFill="1" applyBorder="1" applyAlignment="1" applyProtection="1">
      <alignment horizontal="center"/>
      <protection locked="0"/>
    </xf>
    <xf numFmtId="170" fontId="84" fillId="33" borderId="22" xfId="0" applyNumberFormat="1" applyFont="1" applyFill="1" applyBorder="1" applyAlignment="1" applyProtection="1">
      <alignment horizontal="center"/>
      <protection locked="0"/>
    </xf>
    <xf numFmtId="170" fontId="84" fillId="33" borderId="48" xfId="0" applyNumberFormat="1" applyFont="1" applyFill="1" applyBorder="1" applyAlignment="1" applyProtection="1">
      <alignment horizontal="center"/>
      <protection locked="0"/>
    </xf>
    <xf numFmtId="0" fontId="85" fillId="71" borderId="0" xfId="0" applyFont="1" applyFill="1"/>
    <xf numFmtId="3" fontId="86" fillId="70" borderId="18" xfId="37" applyNumberFormat="1" applyFont="1" applyFill="1" applyBorder="1" applyAlignment="1" applyProtection="1">
      <alignment horizontal="center"/>
    </xf>
    <xf numFmtId="3" fontId="86" fillId="65" borderId="28" xfId="37" applyNumberFormat="1" applyFont="1" applyFill="1" applyBorder="1" applyAlignment="1" applyProtection="1">
      <alignment horizontal="center"/>
    </xf>
    <xf numFmtId="168" fontId="86" fillId="65" borderId="27" xfId="37" applyNumberFormat="1" applyFont="1" applyFill="1" applyBorder="1" applyAlignment="1" applyProtection="1">
      <alignment horizontal="center"/>
    </xf>
    <xf numFmtId="168" fontId="86" fillId="65" borderId="18" xfId="37" applyNumberFormat="1" applyFont="1" applyFill="1" applyBorder="1" applyAlignment="1" applyProtection="1">
      <alignment horizontal="center"/>
    </xf>
    <xf numFmtId="167" fontId="86" fillId="68" borderId="0" xfId="37" applyNumberFormat="1" applyFont="1" applyFill="1" applyBorder="1" applyAlignment="1" applyProtection="1">
      <alignment horizontal="center"/>
    </xf>
    <xf numFmtId="167" fontId="86" fillId="68" borderId="16" xfId="37" applyNumberFormat="1" applyFont="1" applyFill="1" applyBorder="1" applyAlignment="1" applyProtection="1">
      <alignment horizontal="center"/>
    </xf>
    <xf numFmtId="166" fontId="86" fillId="68" borderId="16" xfId="37" applyNumberFormat="1" applyFont="1" applyFill="1" applyBorder="1" applyAlignment="1" applyProtection="1">
      <alignment horizontal="center"/>
    </xf>
    <xf numFmtId="167" fontId="86" fillId="65" borderId="27" xfId="37" applyNumberFormat="1" applyFont="1" applyFill="1" applyBorder="1" applyAlignment="1" applyProtection="1">
      <alignment horizontal="center"/>
    </xf>
    <xf numFmtId="166" fontId="86" fillId="65" borderId="18" xfId="37" applyNumberFormat="1" applyFont="1" applyFill="1" applyBorder="1" applyAlignment="1" applyProtection="1">
      <alignment horizontal="center"/>
    </xf>
    <xf numFmtId="165" fontId="86" fillId="65" borderId="18" xfId="37" applyNumberFormat="1" applyFont="1" applyFill="1" applyBorder="1" applyAlignment="1" applyProtection="1">
      <alignment horizontal="center"/>
    </xf>
    <xf numFmtId="166" fontId="86" fillId="65" borderId="0" xfId="37" applyNumberFormat="1" applyFont="1" applyFill="1" applyBorder="1" applyAlignment="1" applyProtection="1">
      <alignment horizontal="center"/>
    </xf>
    <xf numFmtId="167" fontId="86" fillId="62" borderId="33" xfId="37" applyNumberFormat="1" applyFont="1" applyFill="1" applyBorder="1" applyAlignment="1" applyProtection="1">
      <alignment horizontal="center"/>
    </xf>
    <xf numFmtId="3" fontId="86" fillId="67" borderId="27" xfId="37" applyNumberFormat="1" applyFont="1" applyFill="1" applyBorder="1" applyAlignment="1" applyProtection="1">
      <alignment horizontal="center"/>
    </xf>
    <xf numFmtId="166" fontId="86" fillId="67" borderId="28" xfId="37" applyNumberFormat="1" applyFont="1" applyFill="1" applyBorder="1" applyAlignment="1" applyProtection="1">
      <alignment horizontal="center"/>
    </xf>
    <xf numFmtId="166" fontId="86" fillId="62" borderId="27" xfId="37" applyNumberFormat="1" applyFont="1" applyFill="1" applyBorder="1" applyAlignment="1" applyProtection="1"/>
    <xf numFmtId="171" fontId="86" fillId="62" borderId="18" xfId="37" applyNumberFormat="1" applyFont="1" applyFill="1" applyBorder="1" applyAlignment="1" applyProtection="1"/>
    <xf numFmtId="166" fontId="86" fillId="62" borderId="28" xfId="37" applyNumberFormat="1" applyFont="1" applyFill="1" applyBorder="1" applyAlignment="1" applyProtection="1"/>
    <xf numFmtId="3" fontId="86" fillId="69" borderId="33" xfId="37" applyNumberFormat="1" applyFont="1" applyFill="1" applyBorder="1" applyAlignment="1" applyProtection="1">
      <alignment horizontal="center"/>
    </xf>
    <xf numFmtId="3" fontId="86" fillId="69" borderId="34" xfId="37" applyNumberFormat="1" applyFont="1" applyFill="1" applyBorder="1" applyAlignment="1" applyProtection="1">
      <alignment horizontal="center"/>
    </xf>
    <xf numFmtId="3" fontId="86" fillId="36" borderId="27" xfId="37" applyNumberFormat="1" applyFont="1" applyFill="1" applyBorder="1" applyAlignment="1" applyProtection="1">
      <alignment horizontal="center"/>
    </xf>
    <xf numFmtId="3" fontId="86" fillId="36" borderId="28" xfId="37" applyNumberFormat="1" applyFont="1" applyFill="1" applyBorder="1" applyAlignment="1" applyProtection="1"/>
    <xf numFmtId="3" fontId="86" fillId="24" borderId="28" xfId="37" applyNumberFormat="1" applyFont="1" applyFill="1" applyBorder="1" applyAlignment="1" applyProtection="1"/>
    <xf numFmtId="167" fontId="86" fillId="69" borderId="34" xfId="37" applyNumberFormat="1" applyFont="1" applyFill="1" applyBorder="1" applyAlignment="1" applyProtection="1">
      <alignment horizontal="center"/>
    </xf>
    <xf numFmtId="0" fontId="86" fillId="29" borderId="0" xfId="0" applyFont="1" applyFill="1" applyProtection="1"/>
    <xf numFmtId="0" fontId="85" fillId="0" borderId="0" xfId="0" applyFont="1" applyFill="1" applyProtection="1"/>
    <xf numFmtId="0" fontId="85" fillId="0" borderId="0" xfId="0" applyFont="1" applyProtection="1"/>
    <xf numFmtId="3" fontId="51" fillId="34" borderId="39" xfId="37" applyNumberFormat="1" applyFont="1" applyFill="1" applyBorder="1" applyAlignment="1" applyProtection="1">
      <alignment horizontal="center" vertical="top" wrapText="1"/>
    </xf>
    <xf numFmtId="3" fontId="51" fillId="34" borderId="18" xfId="37" applyNumberFormat="1" applyFont="1" applyFill="1" applyBorder="1" applyAlignment="1" applyProtection="1">
      <alignment horizontal="center" vertical="top" wrapText="1"/>
    </xf>
    <xf numFmtId="3" fontId="51" fillId="34" borderId="18" xfId="37" applyNumberFormat="1" applyFont="1" applyFill="1" applyBorder="1" applyAlignment="1" applyProtection="1">
      <alignment horizontal="center" wrapText="1"/>
    </xf>
    <xf numFmtId="3" fontId="51" fillId="34" borderId="18" xfId="37" applyNumberFormat="1" applyFont="1" applyFill="1" applyBorder="1" applyAlignment="1" applyProtection="1">
      <alignment horizontal="center"/>
    </xf>
    <xf numFmtId="3" fontId="51" fillId="34" borderId="20" xfId="37" applyNumberFormat="1" applyFont="1" applyFill="1" applyBorder="1" applyAlignment="1" applyProtection="1">
      <alignment horizontal="center"/>
    </xf>
    <xf numFmtId="3" fontId="86" fillId="34" borderId="28" xfId="37" applyNumberFormat="1" applyFont="1" applyFill="1" applyBorder="1" applyAlignment="1" applyProtection="1">
      <alignment horizontal="center"/>
    </xf>
    <xf numFmtId="0" fontId="51" fillId="31" borderId="10" xfId="0" applyFont="1" applyFill="1" applyBorder="1" applyAlignment="1">
      <alignment horizontal="left" vertical="top" wrapText="1"/>
    </xf>
    <xf numFmtId="3" fontId="51" fillId="62" borderId="21" xfId="0" applyNumberFormat="1" applyFont="1" applyFill="1" applyBorder="1" applyAlignment="1" applyProtection="1">
      <alignment horizontal="left" vertical="top" wrapText="1"/>
    </xf>
    <xf numFmtId="0" fontId="51" fillId="62" borderId="21"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51" fillId="0" borderId="22" xfId="0" applyFont="1" applyFill="1" applyBorder="1" applyAlignment="1" applyProtection="1">
      <alignment horizontal="left" vertical="top" wrapText="1"/>
    </xf>
    <xf numFmtId="3" fontId="51" fillId="35" borderId="21" xfId="0" applyNumberFormat="1" applyFont="1" applyFill="1" applyBorder="1" applyAlignment="1" applyProtection="1">
      <alignment horizontal="left" vertical="top" wrapText="1"/>
      <protection locked="0"/>
    </xf>
    <xf numFmtId="0" fontId="69" fillId="0" borderId="10" xfId="0" applyFont="1" applyFill="1" applyBorder="1" applyAlignment="1" applyProtection="1">
      <alignment vertical="center" wrapText="1"/>
    </xf>
    <xf numFmtId="167" fontId="51" fillId="35" borderId="21" xfId="37" applyNumberFormat="1" applyFont="1" applyFill="1" applyBorder="1" applyAlignment="1" applyProtection="1">
      <alignment horizontal="left" vertical="center" wrapText="1"/>
      <protection locked="0"/>
    </xf>
    <xf numFmtId="0" fontId="69" fillId="0" borderId="21" xfId="0" applyFont="1" applyFill="1" applyBorder="1" applyAlignment="1" applyProtection="1">
      <alignment horizontal="left" vertical="top" wrapText="1"/>
    </xf>
    <xf numFmtId="0" fontId="51" fillId="0" borderId="21" xfId="0" applyFont="1" applyFill="1" applyBorder="1" applyAlignment="1" applyProtection="1">
      <alignment horizontal="right" vertical="top" wrapText="1"/>
    </xf>
    <xf numFmtId="0" fontId="51" fillId="0" borderId="21" xfId="0" applyFont="1" applyFill="1" applyBorder="1" applyAlignment="1" applyProtection="1">
      <alignment vertical="top" wrapText="1"/>
    </xf>
    <xf numFmtId="0" fontId="51" fillId="0" borderId="21" xfId="0" applyFont="1" applyFill="1" applyBorder="1" applyAlignment="1" applyProtection="1">
      <alignment horizontal="left" vertical="top" wrapText="1"/>
    </xf>
    <xf numFmtId="0" fontId="18" fillId="0" borderId="0" xfId="68" quotePrefix="1" applyFont="1" applyAlignment="1">
      <alignment horizontal="center" vertical="top" wrapText="1"/>
    </xf>
    <xf numFmtId="0" fontId="0" fillId="0" borderId="0" xfId="0"/>
    <xf numFmtId="170" fontId="84" fillId="33" borderId="78" xfId="0" applyNumberFormat="1" applyFont="1" applyFill="1" applyBorder="1" applyAlignment="1">
      <alignment horizontal="center"/>
    </xf>
    <xf numFmtId="170" fontId="84" fillId="33" borderId="79" xfId="0" applyNumberFormat="1" applyFont="1" applyFill="1" applyBorder="1" applyAlignment="1">
      <alignment horizontal="center"/>
    </xf>
    <xf numFmtId="170" fontId="84" fillId="33" borderId="80" xfId="0" applyNumberFormat="1" applyFont="1" applyFill="1" applyBorder="1" applyAlignment="1">
      <alignment horizontal="center"/>
    </xf>
    <xf numFmtId="167" fontId="7" fillId="25" borderId="0" xfId="105" applyNumberFormat="1" applyFont="1" applyFill="1" applyBorder="1" applyAlignment="1" applyProtection="1">
      <alignment horizontal="center" wrapText="1"/>
      <protection locked="0"/>
    </xf>
    <xf numFmtId="167" fontId="7" fillId="26" borderId="16" xfId="105" applyNumberFormat="1" applyFont="1" applyFill="1" applyBorder="1" applyAlignment="1" applyProtection="1">
      <alignment horizontal="center" wrapText="1"/>
      <protection locked="0"/>
    </xf>
    <xf numFmtId="0" fontId="14" fillId="27" borderId="24" xfId="0" applyFont="1" applyFill="1" applyBorder="1" applyAlignment="1" applyProtection="1">
      <alignment horizontal="center" vertical="top"/>
    </xf>
    <xf numFmtId="0" fontId="3" fillId="27" borderId="39" xfId="0" applyFont="1" applyFill="1" applyBorder="1" applyAlignment="1" applyProtection="1">
      <alignment horizontal="center" vertical="top" wrapText="1"/>
    </xf>
    <xf numFmtId="0" fontId="3" fillId="27" borderId="26" xfId="0" applyFont="1" applyFill="1" applyBorder="1" applyAlignment="1" applyProtection="1">
      <alignment horizontal="center" vertical="top" wrapText="1"/>
    </xf>
    <xf numFmtId="1" fontId="3" fillId="27" borderId="21" xfId="0" applyNumberFormat="1" applyFont="1" applyFill="1" applyBorder="1" applyAlignment="1" applyProtection="1">
      <alignment vertical="top"/>
    </xf>
    <xf numFmtId="168" fontId="3" fillId="27" borderId="21" xfId="0" applyNumberFormat="1" applyFont="1" applyFill="1" applyBorder="1" applyAlignment="1" applyProtection="1">
      <alignment vertical="top"/>
    </xf>
    <xf numFmtId="0" fontId="3" fillId="27" borderId="21" xfId="0" applyFont="1" applyFill="1" applyBorder="1" applyAlignment="1" applyProtection="1">
      <alignment horizontal="right" vertical="top"/>
    </xf>
    <xf numFmtId="0" fontId="3" fillId="27" borderId="44" xfId="0" applyFont="1" applyFill="1" applyBorder="1" applyAlignment="1" applyProtection="1">
      <alignment vertical="top"/>
    </xf>
    <xf numFmtId="0" fontId="0" fillId="0" borderId="0" xfId="0"/>
    <xf numFmtId="0" fontId="0" fillId="72" borderId="0" xfId="0" applyFill="1"/>
    <xf numFmtId="3" fontId="0" fillId="72" borderId="0" xfId="0" applyNumberFormat="1" applyFill="1"/>
    <xf numFmtId="2" fontId="0" fillId="0" borderId="0" xfId="0" applyNumberFormat="1"/>
    <xf numFmtId="0" fontId="87" fillId="0" borderId="0" xfId="0" applyFont="1"/>
    <xf numFmtId="3" fontId="7" fillId="0" borderId="0" xfId="0" applyNumberFormat="1" applyFont="1"/>
    <xf numFmtId="0" fontId="9" fillId="0" borderId="0" xfId="0" applyFont="1"/>
    <xf numFmtId="165" fontId="0" fillId="0" borderId="0" xfId="37" applyFont="1"/>
    <xf numFmtId="174" fontId="0" fillId="0" borderId="0" xfId="37" applyNumberFormat="1" applyFont="1"/>
    <xf numFmtId="175" fontId="0" fillId="0" borderId="0" xfId="37" applyNumberFormat="1" applyFont="1"/>
    <xf numFmtId="175" fontId="0" fillId="0" borderId="0" xfId="0" applyNumberFormat="1"/>
    <xf numFmtId="3" fontId="0" fillId="0" borderId="0" xfId="0" quotePrefix="1" applyNumberFormat="1"/>
    <xf numFmtId="2" fontId="0" fillId="0" borderId="0" xfId="0" applyNumberFormat="1" applyFill="1"/>
    <xf numFmtId="170" fontId="84" fillId="33" borderId="0" xfId="0" applyNumberFormat="1" applyFont="1" applyFill="1" applyBorder="1" applyAlignment="1">
      <alignment horizontal="center"/>
    </xf>
    <xf numFmtId="3" fontId="3" fillId="0" borderId="0" xfId="0" applyNumberFormat="1" applyFont="1"/>
    <xf numFmtId="3" fontId="81" fillId="64" borderId="32" xfId="37" applyNumberFormat="1" applyFont="1" applyFill="1" applyBorder="1" applyAlignment="1" applyProtection="1">
      <alignment horizontal="center" wrapText="1"/>
    </xf>
    <xf numFmtId="3" fontId="83" fillId="64" borderId="34" xfId="37" applyNumberFormat="1" applyFont="1" applyFill="1" applyBorder="1" applyAlignment="1" applyProtection="1">
      <alignment horizontal="center" wrapText="1"/>
    </xf>
    <xf numFmtId="3" fontId="51" fillId="64" borderId="34" xfId="37" applyNumberFormat="1" applyFont="1" applyFill="1" applyBorder="1" applyAlignment="1" applyProtection="1">
      <alignment horizontal="center"/>
    </xf>
    <xf numFmtId="3" fontId="86" fillId="64" borderId="34" xfId="37" applyNumberFormat="1" applyFont="1" applyFill="1" applyBorder="1" applyAlignment="1" applyProtection="1">
      <alignment horizontal="center"/>
    </xf>
    <xf numFmtId="3" fontId="3" fillId="64" borderId="0" xfId="0" applyNumberFormat="1" applyFont="1" applyFill="1"/>
    <xf numFmtId="3" fontId="0" fillId="64" borderId="0" xfId="0" applyNumberFormat="1" applyFill="1"/>
    <xf numFmtId="165" fontId="0" fillId="0" borderId="0" xfId="37" applyNumberFormat="1" applyFont="1"/>
    <xf numFmtId="165" fontId="3" fillId="0" borderId="0" xfId="37" applyNumberFormat="1" applyFont="1"/>
    <xf numFmtId="170" fontId="3" fillId="65" borderId="0" xfId="0" applyNumberFormat="1" applyFont="1" applyFill="1" applyAlignment="1">
      <alignment horizontal="left"/>
    </xf>
    <xf numFmtId="170" fontId="3" fillId="80" borderId="0" xfId="0" applyNumberFormat="1" applyFont="1" applyFill="1" applyAlignment="1">
      <alignment horizontal="left"/>
    </xf>
    <xf numFmtId="170" fontId="0" fillId="78" borderId="0" xfId="0" applyNumberFormat="1" applyFill="1" applyAlignment="1">
      <alignment horizontal="left"/>
    </xf>
    <xf numFmtId="170" fontId="0" fillId="36" borderId="0" xfId="0" applyNumberFormat="1" applyFill="1" applyAlignment="1">
      <alignment horizontal="left"/>
    </xf>
    <xf numFmtId="170" fontId="0" fillId="77" borderId="0" xfId="0" applyNumberFormat="1" applyFill="1" applyAlignment="1">
      <alignment horizontal="left"/>
    </xf>
    <xf numFmtId="0" fontId="0" fillId="27" borderId="0" xfId="0" applyFill="1" applyAlignment="1">
      <alignment horizontal="left"/>
    </xf>
    <xf numFmtId="0" fontId="0" fillId="81" borderId="0" xfId="0" applyFill="1" applyAlignment="1">
      <alignment horizontal="left"/>
    </xf>
    <xf numFmtId="0" fontId="0" fillId="74" borderId="0" xfId="0" applyFill="1" applyAlignment="1">
      <alignment horizontal="left"/>
    </xf>
    <xf numFmtId="2" fontId="3" fillId="65" borderId="0" xfId="0" applyNumberFormat="1" applyFont="1" applyFill="1" applyAlignment="1">
      <alignment horizontal="left"/>
    </xf>
    <xf numFmtId="2" fontId="3" fillId="80" borderId="0" xfId="0" applyNumberFormat="1" applyFont="1" applyFill="1" applyAlignment="1">
      <alignment horizontal="left"/>
    </xf>
    <xf numFmtId="2" fontId="0" fillId="78" borderId="0" xfId="0" applyNumberFormat="1" applyFill="1" applyAlignment="1">
      <alignment horizontal="left"/>
    </xf>
    <xf numFmtId="2" fontId="0" fillId="77" borderId="0" xfId="0" applyNumberFormat="1" applyFill="1" applyAlignment="1">
      <alignment horizontal="left"/>
    </xf>
    <xf numFmtId="2" fontId="0" fillId="0" borderId="0" xfId="0" applyNumberFormat="1" applyAlignment="1">
      <alignment horizontal="left"/>
    </xf>
    <xf numFmtId="2" fontId="0" fillId="27" borderId="0" xfId="0" applyNumberFormat="1" applyFill="1" applyAlignment="1">
      <alignment horizontal="left"/>
    </xf>
    <xf numFmtId="2" fontId="0" fillId="81" borderId="0" xfId="0" applyNumberFormat="1" applyFill="1" applyAlignment="1">
      <alignment horizontal="left"/>
    </xf>
    <xf numFmtId="2" fontId="0" fillId="74" borderId="0" xfId="0" applyNumberFormat="1" applyFill="1" applyAlignment="1">
      <alignment horizontal="left"/>
    </xf>
    <xf numFmtId="1" fontId="0" fillId="36" borderId="0" xfId="0" applyNumberFormat="1" applyFill="1" applyAlignment="1">
      <alignment horizontal="left"/>
    </xf>
    <xf numFmtId="0" fontId="18" fillId="0" borderId="0" xfId="0" applyFont="1" applyFill="1" applyBorder="1" applyAlignment="1">
      <alignment vertical="center"/>
    </xf>
    <xf numFmtId="0" fontId="18" fillId="75" borderId="0" xfId="0" applyFont="1" applyFill="1" applyBorder="1"/>
    <xf numFmtId="0" fontId="3" fillId="75" borderId="0" xfId="0" applyFont="1" applyFill="1" applyBorder="1"/>
    <xf numFmtId="168" fontId="18" fillId="75" borderId="0" xfId="0" applyNumberFormat="1" applyFont="1" applyFill="1" applyBorder="1" applyAlignment="1">
      <alignment vertical="center"/>
    </xf>
    <xf numFmtId="0" fontId="18" fillId="75" borderId="0" xfId="0" applyFont="1" applyFill="1" applyBorder="1" applyAlignment="1">
      <alignment vertical="center"/>
    </xf>
    <xf numFmtId="0" fontId="18" fillId="75" borderId="0" xfId="0" applyFont="1" applyFill="1" applyAlignment="1">
      <alignment vertical="center"/>
    </xf>
    <xf numFmtId="0" fontId="0" fillId="0" borderId="0" xfId="0"/>
    <xf numFmtId="0" fontId="71" fillId="75" borderId="0" xfId="0" applyFont="1" applyFill="1" applyBorder="1" applyAlignment="1">
      <alignment horizontal="left"/>
    </xf>
    <xf numFmtId="0" fontId="71" fillId="75" borderId="0" xfId="0" applyFont="1" applyFill="1" applyBorder="1" applyAlignment="1">
      <alignment vertical="center"/>
    </xf>
    <xf numFmtId="9" fontId="71" fillId="75" borderId="0" xfId="50" applyFont="1" applyFill="1" applyBorder="1" applyAlignment="1" applyProtection="1">
      <alignment horizontal="right" vertical="center"/>
      <protection locked="0"/>
    </xf>
    <xf numFmtId="0" fontId="88" fillId="35" borderId="0" xfId="68" applyFont="1" applyFill="1"/>
    <xf numFmtId="0" fontId="3" fillId="35" borderId="0" xfId="68" applyFill="1"/>
    <xf numFmtId="0" fontId="3" fillId="68" borderId="0" xfId="68" applyFill="1"/>
    <xf numFmtId="167" fontId="0" fillId="0" borderId="0" xfId="105" applyNumberFormat="1" applyFont="1"/>
    <xf numFmtId="170" fontId="3" fillId="0" borderId="0" xfId="68" applyNumberFormat="1"/>
    <xf numFmtId="0" fontId="89" fillId="35" borderId="0" xfId="68" applyFont="1" applyFill="1"/>
    <xf numFmtId="14" fontId="89" fillId="35" borderId="0" xfId="68" applyNumberFormat="1" applyFont="1" applyFill="1"/>
    <xf numFmtId="177" fontId="7" fillId="0" borderId="0" xfId="105" applyNumberFormat="1" applyFont="1"/>
    <xf numFmtId="0" fontId="7" fillId="35" borderId="0" xfId="108" applyFont="1" applyFill="1"/>
    <xf numFmtId="0" fontId="3" fillId="35" borderId="0" xfId="108" applyFill="1"/>
    <xf numFmtId="1" fontId="3" fillId="68" borderId="0" xfId="109" applyNumberFormat="1" applyFill="1"/>
    <xf numFmtId="170" fontId="3" fillId="0" borderId="0" xfId="68" applyNumberFormat="1" applyAlignment="1">
      <alignment wrapText="1"/>
    </xf>
    <xf numFmtId="1" fontId="3" fillId="68" borderId="0" xfId="68" applyNumberFormat="1" applyFill="1"/>
    <xf numFmtId="0" fontId="3" fillId="0" borderId="0" xfId="68" applyFill="1"/>
    <xf numFmtId="170" fontId="3" fillId="83" borderId="0" xfId="68" applyNumberFormat="1" applyFill="1"/>
    <xf numFmtId="0" fontId="3" fillId="83" borderId="0" xfId="68" applyFill="1"/>
    <xf numFmtId="170" fontId="3" fillId="27" borderId="0" xfId="68" applyNumberFormat="1" applyFont="1" applyFill="1"/>
    <xf numFmtId="170" fontId="3" fillId="0" borderId="0" xfId="68" applyNumberFormat="1" applyFont="1"/>
    <xf numFmtId="170" fontId="3" fillId="27" borderId="0" xfId="68" applyNumberFormat="1" applyFill="1"/>
    <xf numFmtId="3" fontId="3" fillId="79" borderId="0" xfId="68" applyNumberFormat="1" applyFill="1" applyAlignment="1">
      <alignment horizontal="right"/>
    </xf>
    <xf numFmtId="1" fontId="3" fillId="0" borderId="0" xfId="68" applyNumberFormat="1"/>
    <xf numFmtId="0" fontId="3" fillId="27" borderId="0" xfId="68" applyFill="1"/>
    <xf numFmtId="0" fontId="90" fillId="0" borderId="0" xfId="0" applyFont="1"/>
    <xf numFmtId="0" fontId="18" fillId="0" borderId="0" xfId="0" applyFont="1" applyFill="1" applyBorder="1" applyAlignment="1">
      <alignment horizontal="left" vertical="center"/>
    </xf>
    <xf numFmtId="0" fontId="0" fillId="0" borderId="0" xfId="0"/>
    <xf numFmtId="3" fontId="77" fillId="0" borderId="0" xfId="37" applyNumberFormat="1" applyFont="1" applyAlignment="1" applyProtection="1">
      <alignment vertical="center"/>
    </xf>
    <xf numFmtId="3" fontId="77" fillId="0" borderId="15" xfId="37" applyNumberFormat="1" applyFont="1" applyBorder="1" applyAlignment="1" applyProtection="1">
      <alignment vertical="center"/>
    </xf>
    <xf numFmtId="3" fontId="5" fillId="0" borderId="0" xfId="37" applyNumberFormat="1" applyFont="1" applyAlignment="1" applyProtection="1">
      <alignment vertical="center" wrapText="1"/>
    </xf>
    <xf numFmtId="3" fontId="5" fillId="0" borderId="15" xfId="37" applyNumberFormat="1" applyFont="1" applyBorder="1" applyAlignment="1" applyProtection="1">
      <alignment vertical="center" wrapText="1"/>
    </xf>
    <xf numFmtId="0" fontId="18" fillId="0" borderId="0" xfId="0" applyFont="1" applyFill="1" applyBorder="1" applyAlignment="1">
      <alignment horizontal="right"/>
    </xf>
    <xf numFmtId="0" fontId="18" fillId="0" borderId="0" xfId="0" applyFont="1" applyFill="1" applyBorder="1" applyAlignment="1">
      <alignment horizontal="center"/>
    </xf>
    <xf numFmtId="9" fontId="18" fillId="0" borderId="0" xfId="50" applyFont="1" applyFill="1" applyBorder="1" applyAlignment="1">
      <alignment horizontal="center"/>
    </xf>
    <xf numFmtId="0" fontId="18" fillId="0" borderId="0" xfId="0" applyFont="1" applyFill="1" applyBorder="1"/>
    <xf numFmtId="0" fontId="71" fillId="0" borderId="0" xfId="0" applyFont="1" applyFill="1" applyBorder="1" applyAlignment="1">
      <alignment horizontal="left"/>
    </xf>
    <xf numFmtId="0" fontId="18" fillId="0" borderId="0" xfId="0" applyFont="1" applyFill="1" applyBorder="1" applyAlignment="1">
      <alignment horizontal="left"/>
    </xf>
    <xf numFmtId="0" fontId="0" fillId="68" borderId="0" xfId="0" applyFill="1"/>
    <xf numFmtId="167" fontId="7" fillId="68" borderId="0" xfId="105" applyNumberFormat="1" applyFont="1" applyFill="1" applyBorder="1" applyAlignment="1" applyProtection="1">
      <alignment horizontal="center" wrapText="1"/>
      <protection locked="0"/>
    </xf>
    <xf numFmtId="167" fontId="7" fillId="68" borderId="16" xfId="105" applyNumberFormat="1" applyFont="1" applyFill="1" applyBorder="1" applyAlignment="1" applyProtection="1">
      <alignment horizontal="center" wrapText="1"/>
      <protection locked="0"/>
    </xf>
    <xf numFmtId="166" fontId="7" fillId="68" borderId="16" xfId="105" applyNumberFormat="1" applyFont="1" applyFill="1" applyBorder="1" applyAlignment="1" applyProtection="1">
      <alignment horizontal="center" wrapText="1"/>
      <protection locked="0"/>
    </xf>
    <xf numFmtId="0" fontId="0" fillId="64" borderId="0" xfId="0" applyFill="1"/>
    <xf numFmtId="167" fontId="7" fillId="64" borderId="16" xfId="105" applyNumberFormat="1" applyFont="1" applyFill="1" applyBorder="1" applyAlignment="1" applyProtection="1">
      <alignment horizontal="center" wrapText="1"/>
      <protection locked="0"/>
    </xf>
    <xf numFmtId="0" fontId="7" fillId="74" borderId="16" xfId="0" applyFont="1" applyFill="1" applyBorder="1" applyAlignment="1">
      <alignment horizontal="center" wrapText="1"/>
    </xf>
    <xf numFmtId="3" fontId="0" fillId="84" borderId="21" xfId="0" applyNumberFormat="1" applyFill="1" applyBorder="1" applyAlignment="1">
      <alignment wrapText="1"/>
    </xf>
    <xf numFmtId="3" fontId="7" fillId="84" borderId="21" xfId="0" applyNumberFormat="1" applyFont="1" applyFill="1" applyBorder="1" applyAlignment="1">
      <alignment horizontal="center" wrapText="1"/>
    </xf>
    <xf numFmtId="0" fontId="7" fillId="78" borderId="21" xfId="0" applyFont="1" applyFill="1" applyBorder="1" applyAlignment="1">
      <alignment horizontal="center"/>
    </xf>
    <xf numFmtId="3" fontId="0" fillId="78" borderId="21" xfId="0" quotePrefix="1" applyNumberFormat="1" applyFill="1" applyBorder="1" applyAlignment="1">
      <alignment horizontal="center"/>
    </xf>
    <xf numFmtId="1" fontId="0" fillId="78" borderId="21" xfId="0" applyNumberFormat="1" applyFill="1" applyBorder="1"/>
    <xf numFmtId="0" fontId="0" fillId="78" borderId="21" xfId="0" applyFill="1" applyBorder="1"/>
    <xf numFmtId="0" fontId="7" fillId="78" borderId="21" xfId="0" applyFont="1" applyFill="1" applyBorder="1" applyAlignment="1">
      <alignment horizontal="center" wrapText="1"/>
    </xf>
    <xf numFmtId="3" fontId="0" fillId="78" borderId="21" xfId="0" applyNumberFormat="1" applyFill="1" applyBorder="1" applyAlignment="1">
      <alignment wrapText="1"/>
    </xf>
    <xf numFmtId="3" fontId="7" fillId="78" borderId="21" xfId="0" applyNumberFormat="1" applyFont="1" applyFill="1" applyBorder="1" applyAlignment="1">
      <alignment horizontal="center" wrapText="1"/>
    </xf>
    <xf numFmtId="3" fontId="7" fillId="78" borderId="21" xfId="0" applyNumberFormat="1" applyFont="1" applyFill="1" applyBorder="1" applyAlignment="1">
      <alignment wrapText="1"/>
    </xf>
    <xf numFmtId="0" fontId="7" fillId="78" borderId="37" xfId="0" applyFont="1" applyFill="1" applyBorder="1" applyAlignment="1">
      <alignment horizontal="center" wrapText="1"/>
    </xf>
    <xf numFmtId="3" fontId="0" fillId="68" borderId="21" xfId="0" applyNumberFormat="1" applyFill="1" applyBorder="1" applyAlignment="1">
      <alignment wrapText="1"/>
    </xf>
    <xf numFmtId="3" fontId="7" fillId="68" borderId="21" xfId="0" applyNumberFormat="1" applyFont="1" applyFill="1" applyBorder="1" applyAlignment="1">
      <alignment horizontal="center" wrapText="1"/>
    </xf>
    <xf numFmtId="0" fontId="7" fillId="74" borderId="21" xfId="0" applyFont="1" applyFill="1" applyBorder="1" applyAlignment="1">
      <alignment horizontal="center" wrapText="1"/>
    </xf>
    <xf numFmtId="3" fontId="0" fillId="74" borderId="21" xfId="0" applyNumberFormat="1" applyFill="1" applyBorder="1" applyAlignment="1">
      <alignment wrapText="1"/>
    </xf>
    <xf numFmtId="3" fontId="7" fillId="74" borderId="21" xfId="0" applyNumberFormat="1" applyFont="1" applyFill="1" applyBorder="1" applyAlignment="1">
      <alignment horizontal="center" wrapText="1"/>
    </xf>
    <xf numFmtId="0" fontId="7" fillId="86" borderId="21" xfId="0" applyFont="1" applyFill="1" applyBorder="1" applyAlignment="1">
      <alignment horizontal="center" wrapText="1"/>
    </xf>
    <xf numFmtId="3" fontId="0" fillId="86" borderId="21" xfId="0" applyNumberFormat="1" applyFill="1" applyBorder="1" applyAlignment="1">
      <alignment wrapText="1"/>
    </xf>
    <xf numFmtId="3" fontId="7" fillId="86" borderId="21" xfId="0" applyNumberFormat="1" applyFont="1" applyFill="1" applyBorder="1" applyAlignment="1">
      <alignment horizontal="center" wrapText="1"/>
    </xf>
    <xf numFmtId="3" fontId="0" fillId="76" borderId="0" xfId="0" applyNumberFormat="1" applyFill="1" applyBorder="1"/>
    <xf numFmtId="3" fontId="0" fillId="76" borderId="0" xfId="0" applyNumberFormat="1" applyFill="1"/>
    <xf numFmtId="3" fontId="7" fillId="76" borderId="0" xfId="0" applyNumberFormat="1" applyFont="1" applyFill="1" applyBorder="1" applyAlignment="1">
      <alignment horizontal="center" wrapText="1"/>
    </xf>
    <xf numFmtId="0" fontId="7" fillId="68" borderId="21" xfId="0" applyFont="1" applyFill="1" applyBorder="1" applyAlignment="1">
      <alignment horizontal="center"/>
    </xf>
    <xf numFmtId="3" fontId="0" fillId="68" borderId="21" xfId="0" quotePrefix="1" applyNumberFormat="1" applyFill="1" applyBorder="1" applyAlignment="1">
      <alignment horizontal="center"/>
    </xf>
    <xf numFmtId="1" fontId="0" fillId="68" borderId="21" xfId="0" applyNumberFormat="1" applyFill="1" applyBorder="1"/>
    <xf numFmtId="3" fontId="0" fillId="68" borderId="21" xfId="0" applyNumberFormat="1" applyFill="1" applyBorder="1"/>
    <xf numFmtId="0" fontId="0" fillId="74" borderId="21" xfId="0" applyFill="1" applyBorder="1"/>
    <xf numFmtId="0" fontId="7" fillId="74" borderId="21" xfId="0" applyFont="1" applyFill="1" applyBorder="1"/>
    <xf numFmtId="3" fontId="0" fillId="74" borderId="21" xfId="0" quotePrefix="1" applyNumberFormat="1" applyFill="1" applyBorder="1" applyAlignment="1">
      <alignment horizontal="center"/>
    </xf>
    <xf numFmtId="1" fontId="0" fillId="74" borderId="21" xfId="0" applyNumberFormat="1" applyFill="1" applyBorder="1"/>
    <xf numFmtId="3" fontId="0" fillId="74" borderId="21" xfId="0" applyNumberFormat="1" applyFill="1" applyBorder="1"/>
    <xf numFmtId="0" fontId="0" fillId="86" borderId="21" xfId="0" applyFill="1" applyBorder="1"/>
    <xf numFmtId="0" fontId="7" fillId="86" borderId="21" xfId="0" applyFont="1" applyFill="1" applyBorder="1"/>
    <xf numFmtId="3" fontId="0" fillId="86" borderId="21" xfId="0" quotePrefix="1" applyNumberFormat="1" applyFill="1" applyBorder="1" applyAlignment="1">
      <alignment horizontal="center"/>
    </xf>
    <xf numFmtId="3" fontId="0" fillId="86" borderId="21" xfId="0" applyNumberFormat="1" applyFill="1" applyBorder="1"/>
    <xf numFmtId="0" fontId="7" fillId="68" borderId="21" xfId="0" applyFont="1" applyFill="1" applyBorder="1" applyAlignment="1">
      <alignment horizontal="center" wrapText="1"/>
    </xf>
    <xf numFmtId="3" fontId="7" fillId="68" borderId="21" xfId="0" applyNumberFormat="1" applyFont="1" applyFill="1" applyBorder="1" applyAlignment="1">
      <alignment wrapText="1"/>
    </xf>
    <xf numFmtId="3" fontId="7" fillId="74" borderId="21" xfId="0" applyNumberFormat="1" applyFont="1" applyFill="1" applyBorder="1" applyAlignment="1">
      <alignment wrapText="1"/>
    </xf>
    <xf numFmtId="3" fontId="7" fillId="86" borderId="21" xfId="0" applyNumberFormat="1" applyFont="1" applyFill="1" applyBorder="1" applyAlignment="1">
      <alignment wrapText="1"/>
    </xf>
    <xf numFmtId="0" fontId="7" fillId="78" borderId="37" xfId="0" applyFont="1" applyFill="1" applyBorder="1" applyAlignment="1">
      <alignment horizontal="center"/>
    </xf>
    <xf numFmtId="3" fontId="7" fillId="73" borderId="21" xfId="0" applyNumberFormat="1" applyFont="1" applyFill="1" applyBorder="1" applyAlignment="1">
      <alignment horizontal="center" wrapText="1"/>
    </xf>
    <xf numFmtId="4" fontId="7" fillId="73" borderId="21" xfId="0" applyNumberFormat="1" applyFont="1" applyFill="1" applyBorder="1" applyAlignment="1">
      <alignment horizontal="center" wrapText="1"/>
    </xf>
    <xf numFmtId="0" fontId="0" fillId="36" borderId="21" xfId="0" applyFill="1" applyBorder="1"/>
    <xf numFmtId="0" fontId="0" fillId="85" borderId="21" xfId="0" applyFill="1" applyBorder="1"/>
    <xf numFmtId="0" fontId="0" fillId="74" borderId="21" xfId="0" applyFill="1" applyBorder="1" applyAlignment="1">
      <alignment horizontal="center" wrapText="1"/>
    </xf>
    <xf numFmtId="3" fontId="3" fillId="85" borderId="21" xfId="0" applyNumberFormat="1" applyFont="1" applyFill="1" applyBorder="1" applyAlignment="1">
      <alignment horizontal="left" wrapText="1"/>
    </xf>
    <xf numFmtId="167" fontId="7" fillId="79" borderId="21" xfId="105" applyNumberFormat="1" applyFont="1" applyFill="1" applyBorder="1" applyAlignment="1" applyProtection="1">
      <alignment horizontal="center" wrapText="1"/>
    </xf>
    <xf numFmtId="166" fontId="7" fillId="79" borderId="21" xfId="105" applyNumberFormat="1" applyFont="1" applyFill="1" applyBorder="1" applyAlignment="1" applyProtection="1">
      <alignment horizontal="center" wrapText="1"/>
    </xf>
    <xf numFmtId="168" fontId="7" fillId="79" borderId="21" xfId="105" applyNumberFormat="1" applyFont="1" applyFill="1" applyBorder="1" applyAlignment="1" applyProtection="1">
      <alignment horizontal="center" wrapText="1"/>
    </xf>
    <xf numFmtId="0" fontId="0" fillId="84" borderId="21" xfId="0" applyFill="1" applyBorder="1" applyAlignment="1">
      <alignment wrapText="1"/>
    </xf>
    <xf numFmtId="0" fontId="0" fillId="79" borderId="21" xfId="0" applyFill="1" applyBorder="1"/>
    <xf numFmtId="0" fontId="0" fillId="82" borderId="21" xfId="0" applyFill="1" applyBorder="1"/>
    <xf numFmtId="0" fontId="71" fillId="75" borderId="0" xfId="0" applyFont="1" applyFill="1" applyBorder="1" applyAlignment="1">
      <alignment horizontal="center" vertical="center"/>
    </xf>
    <xf numFmtId="3" fontId="18" fillId="75" borderId="0" xfId="0" applyNumberFormat="1" applyFont="1" applyFill="1" applyBorder="1" applyAlignment="1">
      <alignment horizontal="right" vertical="center"/>
    </xf>
    <xf numFmtId="9" fontId="18" fillId="75" borderId="0" xfId="50" applyFont="1" applyFill="1" applyBorder="1" applyAlignment="1">
      <alignment horizontal="right" vertical="center"/>
    </xf>
    <xf numFmtId="0" fontId="71" fillId="75" borderId="0" xfId="0" applyFont="1" applyFill="1" applyBorder="1" applyAlignment="1">
      <alignment horizontal="left" vertical="center"/>
    </xf>
    <xf numFmtId="0" fontId="0" fillId="36" borderId="0" xfId="0" applyFill="1" applyBorder="1" applyAlignment="1">
      <alignment vertical="center"/>
    </xf>
    <xf numFmtId="3" fontId="18" fillId="75" borderId="0" xfId="0" applyNumberFormat="1" applyFont="1" applyFill="1" applyBorder="1" applyAlignment="1">
      <alignment vertical="center"/>
    </xf>
    <xf numFmtId="3" fontId="91" fillId="75" borderId="0" xfId="0" applyNumberFormat="1" applyFont="1" applyFill="1" applyBorder="1" applyAlignment="1">
      <alignment vertical="center"/>
    </xf>
    <xf numFmtId="0" fontId="71" fillId="36" borderId="0" xfId="0" applyFont="1" applyFill="1"/>
    <xf numFmtId="0" fontId="18" fillId="36" borderId="0" xfId="0" applyFont="1" applyFill="1"/>
    <xf numFmtId="0" fontId="18" fillId="0" borderId="0" xfId="0" applyFont="1"/>
    <xf numFmtId="0" fontId="71" fillId="75" borderId="0" xfId="0" applyFont="1" applyFill="1" applyBorder="1"/>
    <xf numFmtId="0" fontId="18" fillId="75" borderId="0" xfId="0" applyFont="1" applyFill="1"/>
    <xf numFmtId="175" fontId="18" fillId="75" borderId="0" xfId="37" applyNumberFormat="1" applyFont="1" applyFill="1"/>
    <xf numFmtId="1" fontId="18" fillId="75" borderId="0" xfId="0" applyNumberFormat="1" applyFont="1" applyFill="1" applyBorder="1"/>
    <xf numFmtId="1" fontId="18" fillId="75" borderId="0" xfId="0" applyNumberFormat="1" applyFont="1" applyFill="1"/>
    <xf numFmtId="0" fontId="18" fillId="0" borderId="0" xfId="0" applyFont="1" applyBorder="1"/>
    <xf numFmtId="167" fontId="18" fillId="75" borderId="0" xfId="105" applyNumberFormat="1" applyFont="1" applyFill="1" applyBorder="1"/>
    <xf numFmtId="175" fontId="18" fillId="75" borderId="0" xfId="37" applyNumberFormat="1" applyFont="1" applyFill="1" applyBorder="1"/>
    <xf numFmtId="0" fontId="71" fillId="75" borderId="0" xfId="0" applyFont="1" applyFill="1"/>
    <xf numFmtId="9" fontId="18" fillId="75" borderId="0" xfId="50" applyNumberFormat="1" applyFont="1" applyFill="1" applyBorder="1" applyAlignment="1">
      <alignment horizontal="right"/>
    </xf>
    <xf numFmtId="9" fontId="18" fillId="0" borderId="0" xfId="50" applyNumberFormat="1" applyFont="1" applyFill="1" applyBorder="1" applyAlignment="1">
      <alignment horizontal="right"/>
    </xf>
    <xf numFmtId="0" fontId="18" fillId="0" borderId="0" xfId="0" applyFont="1" applyFill="1"/>
    <xf numFmtId="0" fontId="18" fillId="75" borderId="0" xfId="0" applyFont="1" applyFill="1" applyBorder="1" applyAlignment="1">
      <alignment horizontal="right" vertical="center"/>
    </xf>
    <xf numFmtId="0" fontId="18" fillId="75" borderId="0" xfId="0" applyFont="1" applyFill="1" applyBorder="1" applyAlignment="1">
      <alignment horizontal="left" vertical="center"/>
    </xf>
    <xf numFmtId="167" fontId="18" fillId="75" borderId="0" xfId="105" applyNumberFormat="1" applyFont="1" applyFill="1" applyBorder="1" applyAlignment="1">
      <alignment vertical="center"/>
    </xf>
    <xf numFmtId="0" fontId="18" fillId="0" borderId="0" xfId="0" applyFont="1" applyAlignment="1">
      <alignment vertical="center"/>
    </xf>
    <xf numFmtId="0" fontId="18" fillId="0" borderId="0" xfId="0" applyFont="1" applyBorder="1" applyAlignment="1">
      <alignment vertical="center"/>
    </xf>
    <xf numFmtId="0" fontId="18" fillId="75" borderId="0" xfId="0" applyFont="1" applyFill="1" applyBorder="1" applyAlignment="1">
      <alignment horizontal="center" vertical="center"/>
    </xf>
    <xf numFmtId="166" fontId="18" fillId="75" borderId="0" xfId="105" applyNumberFormat="1" applyFont="1" applyFill="1" applyBorder="1" applyAlignment="1">
      <alignment vertical="center"/>
    </xf>
    <xf numFmtId="9" fontId="71" fillId="75" borderId="0" xfId="50" applyFont="1" applyFill="1" applyBorder="1" applyAlignment="1">
      <alignment vertical="center"/>
    </xf>
    <xf numFmtId="0" fontId="18" fillId="0" borderId="0" xfId="0" applyFont="1" applyBorder="1" applyAlignment="1">
      <alignment horizontal="center" vertical="center"/>
    </xf>
    <xf numFmtId="3" fontId="18" fillId="75" borderId="0" xfId="0" applyNumberFormat="1" applyFont="1" applyFill="1" applyBorder="1" applyAlignment="1">
      <alignment horizontal="center" vertical="center"/>
    </xf>
    <xf numFmtId="3" fontId="18" fillId="0" borderId="0" xfId="0" applyNumberFormat="1" applyFont="1" applyBorder="1" applyAlignment="1">
      <alignment horizontal="center" vertical="center"/>
    </xf>
    <xf numFmtId="176" fontId="18" fillId="75" borderId="0" xfId="0" applyNumberFormat="1" applyFont="1" applyFill="1" applyBorder="1" applyAlignment="1">
      <alignment horizontal="center" vertical="center" wrapText="1"/>
    </xf>
    <xf numFmtId="0" fontId="18" fillId="75" borderId="0" xfId="0" applyFont="1" applyFill="1" applyBorder="1" applyAlignment="1">
      <alignment horizontal="center" vertical="center" wrapText="1"/>
    </xf>
    <xf numFmtId="3" fontId="18" fillId="0" borderId="0" xfId="0" applyNumberFormat="1" applyFont="1" applyFill="1" applyBorder="1" applyAlignment="1">
      <alignment horizontal="center" vertical="center"/>
    </xf>
    <xf numFmtId="0" fontId="18" fillId="0" borderId="0" xfId="0" applyFont="1" applyBorder="1" applyAlignment="1">
      <alignment horizontal="right" vertical="center"/>
    </xf>
    <xf numFmtId="0" fontId="91" fillId="0" borderId="0" xfId="0" applyFont="1" applyFill="1" applyBorder="1" applyAlignment="1">
      <alignment vertical="center"/>
    </xf>
    <xf numFmtId="176" fontId="18" fillId="75" borderId="0" xfId="0" applyNumberFormat="1" applyFont="1" applyFill="1" applyBorder="1" applyAlignment="1">
      <alignment vertical="center"/>
    </xf>
    <xf numFmtId="1" fontId="18" fillId="75" borderId="0" xfId="0" applyNumberFormat="1" applyFont="1" applyFill="1" applyBorder="1" applyAlignment="1">
      <alignment vertical="center"/>
    </xf>
    <xf numFmtId="0" fontId="18" fillId="75" borderId="0" xfId="0" applyFont="1" applyFill="1" applyBorder="1" applyAlignment="1"/>
    <xf numFmtId="9" fontId="71" fillId="75" borderId="0" xfId="50" applyNumberFormat="1" applyFont="1" applyFill="1" applyBorder="1" applyAlignment="1">
      <alignment horizontal="right" vertical="center"/>
    </xf>
    <xf numFmtId="0" fontId="18" fillId="0" borderId="0" xfId="0" applyFont="1" applyFill="1" applyBorder="1" applyAlignment="1">
      <alignment horizontal="right" vertical="center"/>
    </xf>
    <xf numFmtId="9" fontId="18" fillId="0" borderId="0" xfId="50" applyFont="1" applyFill="1" applyBorder="1" applyAlignment="1">
      <alignment horizontal="center" vertical="center"/>
    </xf>
    <xf numFmtId="3" fontId="18" fillId="0" borderId="0" xfId="0" applyNumberFormat="1" applyFont="1" applyFill="1" applyBorder="1" applyAlignment="1">
      <alignment vertical="center"/>
    </xf>
    <xf numFmtId="167" fontId="18" fillId="0" borderId="0" xfId="105" applyNumberFormat="1" applyFont="1" applyFill="1" applyBorder="1" applyAlignment="1">
      <alignment vertical="center"/>
    </xf>
    <xf numFmtId="0" fontId="18" fillId="0" borderId="0" xfId="0" applyFont="1" applyFill="1" applyBorder="1" applyAlignment="1"/>
    <xf numFmtId="0" fontId="71" fillId="36" borderId="0" xfId="0" applyFont="1" applyFill="1" applyBorder="1" applyAlignment="1">
      <alignment horizontal="left"/>
    </xf>
    <xf numFmtId="0" fontId="71" fillId="36" borderId="0" xfId="0" applyFont="1" applyFill="1" applyBorder="1" applyAlignment="1">
      <alignment vertical="center"/>
    </xf>
    <xf numFmtId="0" fontId="71" fillId="75" borderId="0" xfId="0" applyFont="1" applyFill="1" applyBorder="1" applyAlignment="1">
      <alignment vertical="center" wrapText="1"/>
    </xf>
    <xf numFmtId="9" fontId="18" fillId="75" borderId="0" xfId="0" applyNumberFormat="1" applyFont="1" applyFill="1" applyBorder="1" applyAlignment="1">
      <alignment vertical="center"/>
    </xf>
    <xf numFmtId="9" fontId="18" fillId="75" borderId="0" xfId="0" applyNumberFormat="1" applyFont="1" applyFill="1" applyBorder="1" applyAlignment="1">
      <alignment horizontal="left" vertical="center"/>
    </xf>
    <xf numFmtId="0" fontId="18" fillId="36" borderId="0" xfId="0" applyFont="1" applyFill="1" applyBorder="1" applyAlignment="1">
      <alignment vertical="center"/>
    </xf>
    <xf numFmtId="0" fontId="18" fillId="36" borderId="0" xfId="0" applyFont="1" applyFill="1" applyBorder="1"/>
    <xf numFmtId="0" fontId="8" fillId="36" borderId="0" xfId="0" applyFont="1" applyFill="1" applyBorder="1" applyAlignment="1">
      <alignment vertical="center"/>
    </xf>
    <xf numFmtId="0" fontId="0" fillId="36" borderId="0" xfId="0" applyFill="1" applyBorder="1" applyAlignment="1" applyProtection="1">
      <alignment vertical="center"/>
      <protection locked="0"/>
    </xf>
    <xf numFmtId="0" fontId="50" fillId="36" borderId="0" xfId="0" applyFont="1" applyFill="1" applyBorder="1" applyAlignment="1">
      <alignment horizontal="left" vertical="top" wrapText="1"/>
    </xf>
    <xf numFmtId="0" fontId="11" fillId="36" borderId="0" xfId="0" applyFont="1" applyFill="1" applyBorder="1" applyAlignment="1">
      <alignment horizontal="left" vertical="top"/>
    </xf>
    <xf numFmtId="0" fontId="11" fillId="36" borderId="0" xfId="0" applyFont="1" applyFill="1" applyBorder="1"/>
    <xf numFmtId="0" fontId="11" fillId="36" borderId="0" xfId="0" applyFont="1" applyFill="1" applyBorder="1" applyAlignment="1">
      <alignment horizontal="left"/>
    </xf>
    <xf numFmtId="0" fontId="13" fillId="36" borderId="0" xfId="0" applyFont="1" applyFill="1" applyBorder="1" applyAlignment="1">
      <alignment horizontal="left"/>
    </xf>
    <xf numFmtId="4" fontId="7" fillId="36" borderId="0" xfId="0" applyNumberFormat="1" applyFont="1" applyFill="1" applyBorder="1" applyAlignment="1"/>
    <xf numFmtId="3" fontId="71" fillId="75" borderId="0" xfId="0" applyNumberFormat="1" applyFont="1" applyFill="1" applyBorder="1" applyAlignment="1">
      <alignment horizontal="center"/>
    </xf>
    <xf numFmtId="0" fontId="3" fillId="75" borderId="0" xfId="0" applyFont="1" applyFill="1" applyBorder="1" applyAlignment="1">
      <alignment horizontal="right"/>
    </xf>
    <xf numFmtId="3" fontId="13" fillId="75" borderId="0" xfId="0" applyNumberFormat="1" applyFont="1" applyFill="1" applyBorder="1" applyAlignment="1">
      <alignment horizontal="left"/>
    </xf>
    <xf numFmtId="0" fontId="13" fillId="75" borderId="0" xfId="0" applyFont="1" applyFill="1" applyBorder="1" applyAlignment="1">
      <alignment horizontal="left"/>
    </xf>
    <xf numFmtId="0" fontId="13" fillId="75" borderId="0" xfId="0" applyFont="1" applyFill="1" applyBorder="1" applyAlignment="1">
      <alignment horizontal="right"/>
    </xf>
    <xf numFmtId="0" fontId="13" fillId="75" borderId="0" xfId="0" applyFont="1" applyFill="1" applyBorder="1" applyAlignment="1">
      <alignment horizontal="left" vertical="top"/>
    </xf>
    <xf numFmtId="0" fontId="13" fillId="75" borderId="0" xfId="0" applyFont="1" applyFill="1" applyBorder="1" applyAlignment="1">
      <alignment horizontal="right" wrapText="1"/>
    </xf>
    <xf numFmtId="0" fontId="0" fillId="75" borderId="0" xfId="0" applyFill="1" applyBorder="1" applyAlignment="1">
      <alignment horizontal="center"/>
    </xf>
    <xf numFmtId="0" fontId="0" fillId="0" borderId="0" xfId="0"/>
    <xf numFmtId="4" fontId="0" fillId="0" borderId="0" xfId="0" quotePrefix="1" applyNumberFormat="1"/>
    <xf numFmtId="0" fontId="18" fillId="75" borderId="0" xfId="0" applyFont="1" applyFill="1" applyBorder="1" applyAlignment="1">
      <alignment horizontal="center"/>
    </xf>
    <xf numFmtId="9" fontId="18" fillId="75" borderId="0" xfId="51" applyFont="1" applyFill="1" applyBorder="1" applyAlignment="1">
      <alignment horizontal="center"/>
    </xf>
    <xf numFmtId="3" fontId="18" fillId="75" borderId="0" xfId="0" applyNumberFormat="1" applyFont="1" applyFill="1" applyBorder="1" applyAlignment="1"/>
    <xf numFmtId="3" fontId="18" fillId="75" borderId="0" xfId="0" applyNumberFormat="1" applyFont="1" applyFill="1" applyBorder="1" applyAlignment="1">
      <alignment horizontal="center"/>
    </xf>
    <xf numFmtId="0" fontId="18" fillId="68" borderId="0" xfId="0" applyFont="1" applyFill="1" applyBorder="1" applyAlignment="1"/>
    <xf numFmtId="3" fontId="18" fillId="68" borderId="0" xfId="0" applyNumberFormat="1" applyFont="1" applyFill="1" applyBorder="1" applyAlignment="1">
      <alignment horizontal="center"/>
    </xf>
    <xf numFmtId="0" fontId="18" fillId="68" borderId="0" xfId="0" applyFont="1" applyFill="1" applyBorder="1" applyAlignment="1">
      <alignment horizontal="center"/>
    </xf>
    <xf numFmtId="3" fontId="71" fillId="75" borderId="0" xfId="0" applyNumberFormat="1" applyFont="1" applyFill="1" applyBorder="1" applyAlignment="1">
      <alignment horizontal="center" wrapText="1"/>
    </xf>
    <xf numFmtId="0" fontId="7" fillId="75" borderId="0" xfId="0" applyFont="1" applyFill="1" applyBorder="1"/>
    <xf numFmtId="0" fontId="0" fillId="0" borderId="0" xfId="0"/>
    <xf numFmtId="3" fontId="18" fillId="75" borderId="0" xfId="0" applyNumberFormat="1" applyFont="1" applyFill="1" applyBorder="1" applyAlignment="1">
      <alignment horizontal="left"/>
    </xf>
    <xf numFmtId="0" fontId="3" fillId="0" borderId="0" xfId="0" applyFont="1" applyBorder="1"/>
    <xf numFmtId="0" fontId="18" fillId="75" borderId="0" xfId="0" quotePrefix="1" applyFont="1" applyFill="1" applyBorder="1" applyAlignment="1">
      <alignment horizontal="center"/>
    </xf>
    <xf numFmtId="0" fontId="18" fillId="79" borderId="0" xfId="0" quotePrefix="1" applyFont="1" applyFill="1" applyBorder="1" applyAlignment="1">
      <alignment horizontal="center"/>
    </xf>
    <xf numFmtId="3" fontId="18" fillId="79" borderId="0" xfId="0" applyNumberFormat="1" applyFont="1" applyFill="1" applyBorder="1" applyAlignment="1">
      <alignment horizontal="center"/>
    </xf>
    <xf numFmtId="0" fontId="18" fillId="79" borderId="0" xfId="0" applyFont="1" applyFill="1" applyBorder="1" applyAlignment="1">
      <alignment horizontal="center"/>
    </xf>
    <xf numFmtId="0" fontId="0" fillId="36" borderId="21" xfId="0" applyFill="1" applyBorder="1" applyAlignment="1">
      <alignment wrapText="1"/>
    </xf>
    <xf numFmtId="0" fontId="0" fillId="0" borderId="0" xfId="0"/>
    <xf numFmtId="0" fontId="0" fillId="84" borderId="0" xfId="0" applyFill="1"/>
    <xf numFmtId="0" fontId="0" fillId="0" borderId="0" xfId="0"/>
    <xf numFmtId="167" fontId="69" fillId="85" borderId="0" xfId="37" applyNumberFormat="1" applyFont="1" applyFill="1" applyBorder="1" applyAlignment="1" applyProtection="1">
      <alignment horizontal="center" wrapText="1"/>
    </xf>
    <xf numFmtId="0" fontId="0" fillId="85" borderId="0" xfId="0" applyFill="1"/>
    <xf numFmtId="167" fontId="51" fillId="85" borderId="27" xfId="37" applyNumberFormat="1" applyFont="1" applyFill="1" applyBorder="1" applyAlignment="1" applyProtection="1">
      <alignment horizontal="center" wrapText="1"/>
    </xf>
    <xf numFmtId="166" fontId="51" fillId="85" borderId="18" xfId="37" applyNumberFormat="1" applyFont="1" applyFill="1" applyBorder="1" applyAlignment="1" applyProtection="1">
      <alignment horizontal="center" wrapText="1"/>
    </xf>
    <xf numFmtId="165" fontId="51" fillId="85" borderId="18" xfId="37" applyNumberFormat="1" applyFont="1" applyFill="1" applyBorder="1" applyAlignment="1" applyProtection="1">
      <alignment horizontal="center" wrapText="1"/>
    </xf>
    <xf numFmtId="166" fontId="51" fillId="85" borderId="0" xfId="37" applyNumberFormat="1" applyFont="1" applyFill="1" applyBorder="1" applyAlignment="1" applyProtection="1">
      <alignment horizontal="center" wrapText="1"/>
    </xf>
    <xf numFmtId="175" fontId="3" fillId="0" borderId="0" xfId="37" applyNumberFormat="1" applyFont="1"/>
    <xf numFmtId="4" fontId="7" fillId="66" borderId="21" xfId="0" applyNumberFormat="1" applyFont="1" applyFill="1" applyBorder="1" applyAlignment="1">
      <alignment horizontal="center" wrapText="1"/>
    </xf>
    <xf numFmtId="3" fontId="7" fillId="66" borderId="21" xfId="0" applyNumberFormat="1" applyFont="1" applyFill="1" applyBorder="1" applyAlignment="1">
      <alignment horizontal="center" wrapText="1"/>
    </xf>
    <xf numFmtId="9" fontId="18" fillId="75" borderId="0" xfId="51" applyFont="1" applyFill="1" applyBorder="1" applyAlignment="1">
      <alignment horizontal="center" wrapText="1"/>
    </xf>
    <xf numFmtId="0" fontId="0" fillId="0" borderId="38" xfId="0" applyBorder="1" applyAlignment="1" applyProtection="1">
      <alignment wrapText="1"/>
    </xf>
    <xf numFmtId="0" fontId="0" fillId="0" borderId="25" xfId="0" applyBorder="1" applyAlignment="1" applyProtection="1">
      <alignment wrapText="1"/>
    </xf>
    <xf numFmtId="0" fontId="0" fillId="0" borderId="36" xfId="0" applyBorder="1" applyAlignment="1" applyProtection="1">
      <alignment wrapText="1"/>
    </xf>
    <xf numFmtId="0" fontId="0" fillId="0" borderId="21" xfId="0" applyBorder="1" applyAlignment="1">
      <alignment wrapText="1"/>
    </xf>
    <xf numFmtId="0" fontId="3" fillId="0" borderId="21" xfId="0" applyFont="1" applyBorder="1" applyAlignment="1">
      <alignment wrapText="1"/>
    </xf>
    <xf numFmtId="0" fontId="3" fillId="0" borderId="0" xfId="0" applyFont="1" applyFill="1" applyBorder="1" applyAlignment="1" applyProtection="1">
      <alignment vertical="top"/>
      <protection locked="0"/>
    </xf>
    <xf numFmtId="0" fontId="0" fillId="0" borderId="0" xfId="0"/>
    <xf numFmtId="0" fontId="19" fillId="30" borderId="41" xfId="49" applyFont="1" applyFill="1" applyBorder="1" applyAlignment="1">
      <alignment horizontal="center" vertical="top" wrapText="1"/>
    </xf>
    <xf numFmtId="0" fontId="19" fillId="30" borderId="40" xfId="49" applyFont="1" applyFill="1" applyBorder="1" applyAlignment="1">
      <alignment horizontal="center" vertical="top" wrapText="1"/>
    </xf>
    <xf numFmtId="3" fontId="19" fillId="30" borderId="40" xfId="49" applyNumberFormat="1" applyFont="1" applyFill="1" applyBorder="1" applyAlignment="1">
      <alignment horizontal="center" vertical="top" wrapText="1"/>
    </xf>
    <xf numFmtId="0" fontId="5" fillId="27" borderId="40" xfId="0" applyFont="1" applyFill="1" applyBorder="1" applyAlignment="1">
      <alignment horizontal="left" vertical="top" wrapText="1"/>
    </xf>
    <xf numFmtId="0" fontId="5" fillId="27" borderId="40" xfId="0" applyFont="1" applyFill="1" applyBorder="1" applyAlignment="1">
      <alignment horizontal="center" vertical="top"/>
    </xf>
    <xf numFmtId="0" fontId="3" fillId="27" borderId="40" xfId="0" applyFont="1" applyFill="1" applyBorder="1" applyAlignment="1" applyProtection="1">
      <alignment vertical="top"/>
      <protection locked="0"/>
    </xf>
    <xf numFmtId="0" fontId="0" fillId="27" borderId="40" xfId="0" applyFill="1" applyBorder="1" applyAlignment="1" applyProtection="1">
      <alignment vertical="top"/>
      <protection locked="0"/>
    </xf>
    <xf numFmtId="0" fontId="5" fillId="27" borderId="40" xfId="0" applyFont="1" applyFill="1" applyBorder="1" applyAlignment="1">
      <alignment vertical="top" wrapText="1"/>
    </xf>
    <xf numFmtId="0" fontId="19" fillId="87" borderId="40" xfId="49" applyFont="1" applyFill="1" applyBorder="1" applyAlignment="1">
      <alignment horizontal="center" vertical="top" wrapText="1"/>
    </xf>
    <xf numFmtId="0" fontId="19" fillId="88" borderId="81" xfId="49" applyFont="1" applyFill="1" applyBorder="1" applyAlignment="1">
      <alignment horizontal="center" vertical="top" wrapText="1"/>
    </xf>
    <xf numFmtId="0" fontId="5" fillId="27" borderId="0" xfId="0" applyFont="1" applyFill="1" applyAlignment="1">
      <alignment vertical="top" wrapText="1"/>
    </xf>
    <xf numFmtId="0" fontId="19" fillId="30" borderId="82" xfId="49" applyFont="1" applyFill="1" applyBorder="1" applyAlignment="1" applyProtection="1">
      <alignment horizontal="center" vertical="top" wrapText="1"/>
      <protection locked="0"/>
    </xf>
    <xf numFmtId="0" fontId="19" fillId="30" borderId="20" xfId="49" applyFont="1" applyFill="1" applyBorder="1" applyAlignment="1" applyProtection="1">
      <alignment horizontal="center" vertical="top" wrapText="1"/>
      <protection locked="0"/>
    </xf>
    <xf numFmtId="3" fontId="19" fillId="30" borderId="20" xfId="49" applyNumberFormat="1" applyFont="1" applyFill="1" applyBorder="1" applyAlignment="1" applyProtection="1">
      <alignment horizontal="center" vertical="top" wrapText="1"/>
      <protection locked="0"/>
    </xf>
    <xf numFmtId="0" fontId="5" fillId="27" borderId="20" xfId="0" applyFont="1" applyFill="1" applyBorder="1" applyAlignment="1" applyProtection="1">
      <alignment horizontal="center" vertical="top" wrapText="1"/>
      <protection locked="0"/>
    </xf>
    <xf numFmtId="0" fontId="5" fillId="27" borderId="20" xfId="0" applyFont="1" applyFill="1" applyBorder="1" applyAlignment="1" applyProtection="1">
      <alignment horizontal="left" vertical="top" wrapText="1"/>
      <protection locked="0"/>
    </xf>
    <xf numFmtId="0" fontId="5" fillId="27" borderId="40" xfId="0" applyFont="1" applyFill="1" applyBorder="1" applyAlignment="1" applyProtection="1">
      <alignment vertical="top" wrapText="1"/>
      <protection locked="0"/>
    </xf>
    <xf numFmtId="0" fontId="5" fillId="27" borderId="18" xfId="0" applyFont="1" applyFill="1" applyBorder="1" applyAlignment="1" applyProtection="1">
      <alignment vertical="top" wrapText="1"/>
      <protection locked="0"/>
    </xf>
    <xf numFmtId="0" fontId="5" fillId="27" borderId="28" xfId="0" applyFont="1" applyFill="1" applyBorder="1" applyAlignment="1" applyProtection="1">
      <alignment vertical="top" wrapText="1"/>
      <protection locked="0"/>
    </xf>
    <xf numFmtId="0" fontId="5" fillId="32" borderId="0" xfId="0" applyFont="1" applyFill="1" applyAlignment="1" applyProtection="1">
      <alignment vertical="top" wrapText="1"/>
      <protection locked="0"/>
    </xf>
    <xf numFmtId="0" fontId="5" fillId="27" borderId="0" xfId="0" applyFont="1" applyFill="1" applyAlignment="1" applyProtection="1">
      <alignment vertical="top" wrapText="1"/>
      <protection locked="0"/>
    </xf>
    <xf numFmtId="49" fontId="19" fillId="0" borderId="0" xfId="49" applyNumberFormat="1" applyFont="1" applyFill="1" applyBorder="1" applyAlignment="1" applyProtection="1">
      <alignment vertical="top"/>
      <protection locked="0"/>
    </xf>
    <xf numFmtId="0" fontId="19" fillId="0" borderId="0" xfId="49" applyFont="1" applyFill="1" applyBorder="1" applyAlignment="1" applyProtection="1">
      <alignment vertical="top"/>
      <protection locked="0"/>
    </xf>
    <xf numFmtId="0" fontId="5" fillId="0" borderId="0" xfId="0" applyFont="1" applyBorder="1" applyAlignment="1" applyProtection="1">
      <alignment horizontal="left"/>
      <protection locked="0"/>
    </xf>
    <xf numFmtId="0" fontId="5" fillId="0" borderId="0" xfId="0" applyFont="1" applyAlignment="1">
      <alignment horizontal="right"/>
    </xf>
    <xf numFmtId="0" fontId="0" fillId="0" borderId="0" xfId="0" applyFill="1" applyBorder="1"/>
    <xf numFmtId="0" fontId="7" fillId="0" borderId="0" xfId="0" applyFont="1" applyFill="1" applyBorder="1" applyAlignment="1">
      <alignment horizontal="left" vertical="center"/>
    </xf>
    <xf numFmtId="0" fontId="0" fillId="0" borderId="0" xfId="0"/>
    <xf numFmtId="168" fontId="51" fillId="35" borderId="21" xfId="0" applyNumberFormat="1" applyFont="1" applyFill="1" applyBorder="1" applyAlignment="1">
      <alignment horizontal="center"/>
    </xf>
    <xf numFmtId="1" fontId="51" fillId="35" borderId="21" xfId="0" applyNumberFormat="1" applyFont="1" applyFill="1" applyBorder="1" applyAlignment="1">
      <alignment horizontal="center"/>
    </xf>
    <xf numFmtId="167" fontId="3" fillId="75" borderId="0" xfId="37" applyNumberFormat="1" applyFont="1" applyFill="1" applyBorder="1" applyAlignment="1">
      <alignment horizontal="left"/>
    </xf>
    <xf numFmtId="167" fontId="3" fillId="75" borderId="0" xfId="37" applyNumberFormat="1" applyFont="1" applyFill="1" applyBorder="1" applyAlignment="1">
      <alignment horizontal="left" vertical="top"/>
    </xf>
    <xf numFmtId="0" fontId="92" fillId="0" borderId="0" xfId="0" applyFont="1" applyFill="1" applyBorder="1" applyAlignment="1" applyProtection="1">
      <alignment vertical="top"/>
      <protection locked="0"/>
    </xf>
    <xf numFmtId="0" fontId="11" fillId="35" borderId="0" xfId="0" applyFont="1" applyFill="1" applyBorder="1" applyAlignment="1" applyProtection="1">
      <alignment horizontal="left" vertical="center"/>
      <protection locked="0"/>
    </xf>
    <xf numFmtId="0" fontId="3" fillId="35" borderId="0" xfId="0" applyFont="1" applyFill="1" applyBorder="1" applyAlignment="1" applyProtection="1">
      <alignment vertical="top"/>
      <protection locked="0"/>
    </xf>
    <xf numFmtId="0" fontId="44" fillId="0" borderId="0" xfId="0" applyFont="1" applyFill="1" applyBorder="1"/>
    <xf numFmtId="0" fontId="0" fillId="0" borderId="0" xfId="0" applyFill="1" applyBorder="1" applyAlignment="1"/>
    <xf numFmtId="0" fontId="5" fillId="0" borderId="0" xfId="0" applyFont="1" applyFill="1" applyBorder="1" applyAlignment="1">
      <alignment horizontal="right"/>
    </xf>
    <xf numFmtId="3" fontId="5" fillId="0" borderId="0" xfId="0" applyNumberFormat="1" applyFont="1" applyFill="1" applyBorder="1" applyAlignment="1">
      <alignment horizontal="right" vertical="center"/>
    </xf>
    <xf numFmtId="0" fontId="12" fillId="0" borderId="0" xfId="0" applyFont="1" applyFill="1" applyBorder="1" applyAlignment="1">
      <alignment horizontal="right" vertical="center"/>
    </xf>
    <xf numFmtId="1" fontId="12" fillId="0" borderId="0" xfId="0" applyNumberFormat="1" applyFont="1" applyFill="1" applyBorder="1" applyAlignment="1">
      <alignment horizontal="right" vertical="center"/>
    </xf>
    <xf numFmtId="3" fontId="12" fillId="0" borderId="0" xfId="0" applyNumberFormat="1" applyFont="1" applyFill="1" applyBorder="1" applyAlignment="1">
      <alignment vertical="center"/>
    </xf>
    <xf numFmtId="0" fontId="12" fillId="0" borderId="0" xfId="0" applyFont="1" applyFill="1" applyBorder="1" applyAlignment="1"/>
    <xf numFmtId="0" fontId="48" fillId="0" borderId="0" xfId="0" applyFont="1" applyFill="1" applyBorder="1"/>
    <xf numFmtId="0" fontId="92" fillId="0" borderId="0" xfId="0" applyFont="1" applyFill="1" applyBorder="1"/>
    <xf numFmtId="0" fontId="92" fillId="0" borderId="0" xfId="0" applyFont="1" applyFill="1" applyBorder="1" applyAlignment="1"/>
    <xf numFmtId="0" fontId="92" fillId="0" borderId="0" xfId="0" applyFont="1" applyFill="1"/>
    <xf numFmtId="0" fontId="93" fillId="0" borderId="0" xfId="0" applyFont="1" applyFill="1" applyBorder="1"/>
    <xf numFmtId="0" fontId="18" fillId="0" borderId="0" xfId="0" applyFont="1" applyFill="1" applyBorder="1" applyAlignment="1">
      <alignment vertical="center" wrapText="1"/>
    </xf>
    <xf numFmtId="0" fontId="73" fillId="0" borderId="0" xfId="0" applyFont="1" applyFill="1" applyBorder="1" applyAlignment="1">
      <alignment vertical="center" wrapText="1"/>
    </xf>
    <xf numFmtId="0" fontId="0" fillId="0" borderId="0" xfId="0"/>
    <xf numFmtId="0" fontId="5" fillId="0" borderId="21" xfId="0" applyFont="1" applyBorder="1" applyAlignment="1">
      <alignment horizontal="center" vertical="center"/>
    </xf>
    <xf numFmtId="3" fontId="71" fillId="0" borderId="21" xfId="0" applyNumberFormat="1" applyFont="1" applyFill="1" applyBorder="1" applyAlignment="1">
      <alignment horizontal="center"/>
    </xf>
    <xf numFmtId="3" fontId="71" fillId="0" borderId="21" xfId="0" applyNumberFormat="1" applyFont="1" applyFill="1" applyBorder="1" applyAlignment="1">
      <alignment horizontal="center" wrapText="1"/>
    </xf>
    <xf numFmtId="0" fontId="7" fillId="0" borderId="21" xfId="0" applyFont="1" applyFill="1" applyBorder="1"/>
    <xf numFmtId="3" fontId="18" fillId="0" borderId="21" xfId="0" applyNumberFormat="1" applyFont="1" applyFill="1" applyBorder="1" applyAlignment="1">
      <alignment horizontal="center"/>
    </xf>
    <xf numFmtId="0" fontId="18" fillId="0" borderId="21" xfId="0" applyFont="1" applyFill="1" applyBorder="1" applyAlignment="1">
      <alignment horizontal="center"/>
    </xf>
    <xf numFmtId="9" fontId="18" fillId="0" borderId="0" xfId="51" applyFont="1" applyFill="1" applyBorder="1" applyAlignment="1">
      <alignment horizontal="center"/>
    </xf>
    <xf numFmtId="0" fontId="18" fillId="0" borderId="0" xfId="0" quotePrefix="1" applyFont="1" applyFill="1" applyBorder="1" applyAlignment="1">
      <alignment horizontal="center"/>
    </xf>
    <xf numFmtId="3" fontId="18" fillId="0" borderId="44" xfId="0" applyNumberFormat="1" applyFont="1" applyBorder="1" applyAlignment="1">
      <alignment horizontal="center" vertical="center"/>
    </xf>
    <xf numFmtId="0" fontId="18" fillId="0" borderId="84" xfId="0" applyFont="1" applyFill="1" applyBorder="1" applyAlignment="1">
      <alignment horizontal="center"/>
    </xf>
    <xf numFmtId="0" fontId="18" fillId="0" borderId="44" xfId="0" applyFont="1" applyFill="1" applyBorder="1" applyAlignment="1">
      <alignment horizontal="center"/>
    </xf>
    <xf numFmtId="9" fontId="18" fillId="0" borderId="44" xfId="51" applyFont="1" applyFill="1" applyBorder="1" applyAlignment="1">
      <alignment horizontal="center"/>
    </xf>
    <xf numFmtId="9" fontId="18" fillId="0" borderId="85" xfId="51" applyFont="1" applyFill="1" applyBorder="1" applyAlignment="1">
      <alignment horizontal="center"/>
    </xf>
    <xf numFmtId="3" fontId="71" fillId="0" borderId="84" xfId="0" applyNumberFormat="1" applyFont="1" applyFill="1" applyBorder="1" applyAlignment="1">
      <alignment horizontal="center"/>
    </xf>
    <xf numFmtId="2" fontId="18" fillId="75" borderId="0" xfId="0" applyNumberFormat="1" applyFont="1" applyFill="1"/>
    <xf numFmtId="0" fontId="3" fillId="75" borderId="0" xfId="0" applyFont="1" applyFill="1" applyBorder="1" applyAlignment="1">
      <alignment horizontal="left"/>
    </xf>
    <xf numFmtId="9" fontId="18" fillId="75" borderId="0" xfId="50" applyFont="1" applyFill="1" applyBorder="1" applyAlignment="1">
      <alignment vertical="center"/>
    </xf>
    <xf numFmtId="9" fontId="18" fillId="75" borderId="0" xfId="50" applyFont="1" applyFill="1"/>
    <xf numFmtId="168" fontId="18" fillId="75" borderId="0" xfId="0" applyNumberFormat="1" applyFont="1" applyFill="1"/>
    <xf numFmtId="0" fontId="3" fillId="75" borderId="22" xfId="0" applyFont="1" applyFill="1" applyBorder="1" applyAlignment="1">
      <alignment horizontal="right"/>
    </xf>
    <xf numFmtId="2" fontId="18" fillId="75" borderId="22" xfId="0" applyNumberFormat="1" applyFont="1" applyFill="1" applyBorder="1"/>
    <xf numFmtId="3" fontId="3" fillId="75" borderId="0" xfId="0" applyNumberFormat="1" applyFont="1" applyFill="1" applyBorder="1"/>
    <xf numFmtId="9" fontId="3" fillId="75" borderId="0" xfId="50" applyNumberFormat="1" applyFont="1" applyFill="1" applyBorder="1"/>
    <xf numFmtId="0" fontId="5" fillId="0" borderId="43" xfId="0" applyFont="1" applyFill="1" applyBorder="1" applyAlignment="1"/>
    <xf numFmtId="0" fontId="3" fillId="0" borderId="44" xfId="0" applyFont="1" applyBorder="1" applyAlignment="1">
      <alignment horizontal="center"/>
    </xf>
    <xf numFmtId="0" fontId="5" fillId="0" borderId="44" xfId="0" applyFont="1" applyFill="1" applyBorder="1" applyAlignment="1"/>
    <xf numFmtId="1" fontId="5" fillId="0" borderId="44" xfId="0" applyNumberFormat="1" applyFont="1" applyFill="1" applyBorder="1" applyAlignment="1"/>
    <xf numFmtId="165" fontId="0" fillId="0" borderId="0" xfId="37" applyFont="1" applyFill="1" applyProtection="1"/>
    <xf numFmtId="9" fontId="18" fillId="75" borderId="0" xfId="50" applyFont="1" applyFill="1" applyBorder="1" applyAlignment="1">
      <alignment horizontal="center"/>
    </xf>
    <xf numFmtId="3" fontId="18" fillId="0" borderId="21" xfId="0" applyNumberFormat="1" applyFont="1" applyFill="1" applyBorder="1" applyAlignment="1">
      <alignment horizontal="center" vertical="center"/>
    </xf>
    <xf numFmtId="9" fontId="18" fillId="0" borderId="21" xfId="50" applyFont="1" applyFill="1" applyBorder="1" applyAlignment="1">
      <alignment horizontal="center" vertical="center"/>
    </xf>
    <xf numFmtId="0" fontId="0" fillId="0" borderId="42" xfId="0" applyFill="1" applyBorder="1"/>
    <xf numFmtId="3" fontId="18" fillId="0" borderId="42" xfId="0" applyNumberFormat="1" applyFont="1" applyFill="1" applyBorder="1" applyAlignment="1"/>
    <xf numFmtId="3" fontId="18" fillId="0" borderId="43" xfId="0" applyNumberFormat="1" applyFont="1" applyFill="1" applyBorder="1" applyAlignment="1"/>
    <xf numFmtId="3" fontId="18" fillId="0" borderId="44" xfId="0" applyNumberFormat="1" applyFont="1" applyFill="1" applyBorder="1" applyAlignment="1">
      <alignment horizontal="center" vertical="center"/>
    </xf>
    <xf numFmtId="9" fontId="18" fillId="0" borderId="44" xfId="50" applyFont="1" applyFill="1" applyBorder="1" applyAlignment="1">
      <alignment horizontal="center" vertical="center"/>
    </xf>
    <xf numFmtId="1" fontId="18" fillId="75" borderId="0" xfId="0" quotePrefix="1" applyNumberFormat="1" applyFont="1" applyFill="1" applyBorder="1" applyAlignment="1">
      <alignment horizontal="center"/>
    </xf>
    <xf numFmtId="3" fontId="71" fillId="0" borderId="10" xfId="0" applyNumberFormat="1" applyFont="1" applyFill="1" applyBorder="1" applyAlignment="1">
      <alignment horizontal="center"/>
    </xf>
    <xf numFmtId="9" fontId="18" fillId="0" borderId="10" xfId="50" applyFont="1" applyFill="1" applyBorder="1" applyAlignment="1">
      <alignment horizontal="center" vertical="center"/>
    </xf>
    <xf numFmtId="9" fontId="0" fillId="0" borderId="85" xfId="0" applyNumberFormat="1" applyBorder="1"/>
    <xf numFmtId="167" fontId="69" fillId="68" borderId="0" xfId="37" applyNumberFormat="1" applyFont="1" applyFill="1" applyBorder="1" applyAlignment="1" applyProtection="1">
      <alignment horizontal="center" wrapText="1"/>
    </xf>
    <xf numFmtId="0" fontId="3" fillId="74" borderId="21" xfId="0" applyFont="1" applyFill="1" applyBorder="1"/>
    <xf numFmtId="1" fontId="0" fillId="77" borderId="0" xfId="0" applyNumberFormat="1" applyFill="1" applyAlignment="1">
      <alignment horizontal="left"/>
    </xf>
    <xf numFmtId="1" fontId="0" fillId="78" borderId="0" xfId="0" applyNumberFormat="1" applyFill="1" applyAlignment="1">
      <alignment horizontal="left"/>
    </xf>
    <xf numFmtId="1" fontId="3" fillId="80" borderId="0" xfId="0" applyNumberFormat="1" applyFont="1" applyFill="1" applyAlignment="1">
      <alignment horizontal="left"/>
    </xf>
    <xf numFmtId="1" fontId="3" fillId="65" borderId="0" xfId="0" applyNumberFormat="1" applyFont="1" applyFill="1" applyAlignment="1">
      <alignment horizontal="left"/>
    </xf>
    <xf numFmtId="1" fontId="0" fillId="0" borderId="0" xfId="0" applyNumberFormat="1" applyAlignment="1">
      <alignment horizontal="left"/>
    </xf>
    <xf numFmtId="1" fontId="0" fillId="27" borderId="0" xfId="0" applyNumberFormat="1" applyFill="1" applyAlignment="1">
      <alignment horizontal="left"/>
    </xf>
    <xf numFmtId="1" fontId="0" fillId="81" borderId="0" xfId="0" applyNumberFormat="1" applyFill="1" applyAlignment="1">
      <alignment horizontal="left"/>
    </xf>
    <xf numFmtId="1" fontId="0" fillId="74" borderId="0" xfId="0" applyNumberFormat="1" applyFill="1" applyAlignment="1">
      <alignment horizontal="left"/>
    </xf>
    <xf numFmtId="168" fontId="0" fillId="0" borderId="0" xfId="0" applyNumberFormat="1"/>
    <xf numFmtId="178" fontId="18" fillId="75" borderId="0" xfId="0" applyNumberFormat="1" applyFont="1" applyFill="1" applyBorder="1" applyAlignment="1">
      <alignment vertical="center"/>
    </xf>
    <xf numFmtId="0" fontId="5" fillId="28" borderId="0" xfId="0" applyFont="1" applyFill="1" applyBorder="1"/>
    <xf numFmtId="0" fontId="5" fillId="89" borderId="0" xfId="0" applyFont="1" applyFill="1" applyBorder="1"/>
    <xf numFmtId="0" fontId="5" fillId="0" borderId="0" xfId="69" applyFont="1" applyFill="1" applyBorder="1" applyAlignment="1" applyProtection="1">
      <protection locked="0"/>
    </xf>
    <xf numFmtId="0" fontId="5" fillId="0" borderId="0" xfId="0" applyFont="1" applyBorder="1"/>
    <xf numFmtId="0" fontId="21" fillId="30" borderId="86" xfId="49" applyFont="1" applyFill="1" applyBorder="1" applyAlignment="1" applyProtection="1">
      <alignment horizontal="center"/>
      <protection locked="0"/>
    </xf>
    <xf numFmtId="0" fontId="20" fillId="25" borderId="16" xfId="0" applyFont="1" applyFill="1" applyBorder="1" applyAlignment="1" applyProtection="1">
      <alignment horizontal="center"/>
      <protection locked="0"/>
    </xf>
    <xf numFmtId="0" fontId="7" fillId="36" borderId="0" xfId="0" applyFont="1" applyFill="1" applyBorder="1"/>
    <xf numFmtId="0" fontId="7" fillId="75" borderId="0" xfId="0" applyFont="1" applyFill="1"/>
    <xf numFmtId="0" fontId="95" fillId="75" borderId="0" xfId="0" applyFont="1" applyFill="1" applyBorder="1"/>
    <xf numFmtId="0" fontId="96" fillId="75" borderId="0" xfId="0" applyFont="1" applyFill="1" applyBorder="1"/>
    <xf numFmtId="0" fontId="96" fillId="0" borderId="0" xfId="0" applyFont="1"/>
    <xf numFmtId="0" fontId="95" fillId="0" borderId="0" xfId="0" applyFont="1" applyBorder="1"/>
    <xf numFmtId="0" fontId="95" fillId="0" borderId="0" xfId="0" applyFont="1"/>
    <xf numFmtId="9" fontId="18" fillId="0" borderId="87" xfId="51" applyFont="1" applyFill="1" applyBorder="1" applyAlignment="1">
      <alignment horizontal="center" wrapText="1"/>
    </xf>
    <xf numFmtId="9" fontId="18" fillId="0" borderId="88" xfId="51" applyFont="1" applyFill="1" applyBorder="1" applyAlignment="1">
      <alignment horizontal="center" vertical="center"/>
    </xf>
    <xf numFmtId="0" fontId="71" fillId="0" borderId="42" xfId="0" applyFont="1" applyFill="1" applyBorder="1" applyAlignment="1">
      <alignment horizontal="center"/>
    </xf>
    <xf numFmtId="0" fontId="71" fillId="0" borderId="21" xfId="0" applyFont="1" applyFill="1" applyBorder="1" applyAlignment="1">
      <alignment horizontal="center"/>
    </xf>
    <xf numFmtId="9" fontId="0" fillId="0" borderId="44" xfId="0" applyNumberFormat="1" applyFill="1" applyBorder="1"/>
    <xf numFmtId="9" fontId="18" fillId="0" borderId="84" xfId="50" applyFont="1" applyFill="1" applyBorder="1" applyAlignment="1">
      <alignment horizontal="center" vertical="center"/>
    </xf>
    <xf numFmtId="9" fontId="18" fillId="0" borderId="92" xfId="50" applyFont="1" applyFill="1" applyBorder="1" applyAlignment="1">
      <alignment horizontal="center" vertical="center"/>
    </xf>
    <xf numFmtId="0" fontId="0" fillId="0" borderId="0" xfId="37" applyNumberFormat="1" applyFont="1"/>
    <xf numFmtId="9" fontId="51" fillId="35" borderId="21" xfId="50" applyFont="1" applyFill="1" applyBorder="1" applyAlignment="1">
      <alignment horizontal="center"/>
    </xf>
    <xf numFmtId="10" fontId="51" fillId="35" borderId="21" xfId="0" applyNumberFormat="1" applyFont="1" applyFill="1" applyBorder="1" applyAlignment="1">
      <alignment horizontal="center"/>
    </xf>
    <xf numFmtId="0" fontId="18" fillId="0" borderId="0" xfId="68" applyFont="1" applyAlignment="1">
      <alignment horizontal="left" vertical="top"/>
    </xf>
    <xf numFmtId="0" fontId="79" fillId="0" borderId="0" xfId="0" applyFont="1" applyAlignment="1">
      <alignment horizontal="left" vertical="top" wrapText="1"/>
    </xf>
    <xf numFmtId="0" fontId="18" fillId="0" borderId="0" xfId="68" applyFont="1" applyAlignment="1">
      <alignment horizontal="left" vertical="top" wrapText="1"/>
    </xf>
    <xf numFmtId="0" fontId="18" fillId="0" borderId="0" xfId="68" applyFont="1" applyAlignment="1">
      <alignment horizontal="left" vertical="center" wrapText="1"/>
    </xf>
    <xf numFmtId="0" fontId="78" fillId="0" borderId="0" xfId="36" applyFont="1" applyAlignment="1" applyProtection="1">
      <alignment horizontal="left" vertical="top" wrapText="1"/>
    </xf>
    <xf numFmtId="0" fontId="71" fillId="0" borderId="0" xfId="68" applyFont="1" applyAlignment="1">
      <alignment horizontal="left" vertical="top" wrapText="1"/>
    </xf>
    <xf numFmtId="0" fontId="78" fillId="0" borderId="0" xfId="36" applyFont="1" applyAlignment="1" applyProtection="1">
      <alignment horizontal="left" vertical="top"/>
    </xf>
    <xf numFmtId="0" fontId="18" fillId="0" borderId="0" xfId="36" applyFont="1" applyAlignment="1" applyProtection="1">
      <alignment horizontal="left" vertical="top" wrapText="1"/>
    </xf>
    <xf numFmtId="0" fontId="7" fillId="75" borderId="0" xfId="0" applyFont="1" applyFill="1" applyAlignment="1">
      <alignment horizontal="left"/>
    </xf>
    <xf numFmtId="0" fontId="3" fillId="0" borderId="0" xfId="0" applyFont="1" applyFill="1" applyBorder="1"/>
    <xf numFmtId="0" fontId="0" fillId="0" borderId="0" xfId="0" applyFill="1" applyBorder="1"/>
    <xf numFmtId="0" fontId="8" fillId="36" borderId="0" xfId="0" applyFont="1" applyFill="1" applyBorder="1" applyAlignment="1">
      <alignment vertical="center"/>
    </xf>
    <xf numFmtId="0" fontId="13" fillId="36" borderId="0" xfId="0" applyFont="1" applyFill="1" applyBorder="1" applyAlignment="1" applyProtection="1">
      <alignment horizontal="left" vertical="top"/>
      <protection locked="0"/>
    </xf>
    <xf numFmtId="0" fontId="11" fillId="35" borderId="0" xfId="0" applyFont="1" applyFill="1" applyBorder="1" applyAlignment="1">
      <alignment horizontal="left" vertical="center"/>
    </xf>
    <xf numFmtId="0" fontId="95" fillId="75" borderId="0" xfId="0" applyFont="1" applyFill="1" applyBorder="1" applyAlignment="1">
      <alignment horizontal="left" vertical="top" wrapText="1"/>
    </xf>
    <xf numFmtId="0" fontId="11" fillId="0" borderId="10" xfId="0" applyFont="1" applyBorder="1" applyAlignment="1" applyProtection="1">
      <alignment horizontal="center"/>
    </xf>
    <xf numFmtId="0" fontId="11" fillId="0" borderId="14" xfId="0" applyFont="1" applyBorder="1" applyAlignment="1" applyProtection="1">
      <alignment horizontal="center"/>
    </xf>
    <xf numFmtId="0" fontId="11" fillId="0" borderId="37" xfId="0" applyFont="1" applyBorder="1" applyAlignment="1" applyProtection="1">
      <alignment horizontal="center"/>
    </xf>
    <xf numFmtId="0" fontId="0" fillId="0" borderId="38" xfId="0" applyBorder="1" applyAlignment="1" applyProtection="1">
      <alignment horizontal="center" wrapText="1"/>
    </xf>
    <xf numFmtId="0" fontId="0" fillId="0" borderId="25" xfId="0" applyBorder="1" applyAlignment="1" applyProtection="1">
      <alignment horizontal="center" wrapText="1"/>
    </xf>
    <xf numFmtId="0" fontId="0" fillId="0" borderId="36" xfId="0" applyBorder="1" applyAlignment="1" applyProtection="1">
      <alignment horizontal="center" wrapText="1"/>
    </xf>
    <xf numFmtId="0" fontId="0" fillId="0" borderId="16" xfId="0" applyBorder="1" applyAlignment="1" applyProtection="1">
      <alignment horizontal="center" wrapText="1"/>
    </xf>
    <xf numFmtId="0" fontId="0" fillId="0" borderId="0" xfId="0" applyBorder="1" applyAlignment="1" applyProtection="1">
      <alignment horizontal="center" wrapText="1"/>
    </xf>
    <xf numFmtId="0" fontId="0" fillId="0" borderId="17" xfId="0" applyBorder="1" applyAlignment="1" applyProtection="1">
      <alignment horizontal="center" wrapText="1"/>
    </xf>
    <xf numFmtId="0" fontId="0" fillId="0" borderId="19" xfId="0" applyBorder="1" applyAlignment="1" applyProtection="1">
      <alignment horizontal="center" wrapText="1"/>
    </xf>
    <xf numFmtId="0" fontId="0" fillId="0" borderId="22" xfId="0" applyBorder="1" applyAlignment="1" applyProtection="1">
      <alignment horizontal="center" wrapText="1"/>
    </xf>
    <xf numFmtId="0" fontId="0" fillId="0" borderId="35" xfId="0" applyBorder="1" applyAlignment="1" applyProtection="1">
      <alignment horizontal="center" wrapText="1"/>
    </xf>
    <xf numFmtId="3" fontId="0" fillId="62" borderId="21" xfId="0" applyNumberFormat="1" applyFill="1" applyBorder="1" applyProtection="1"/>
    <xf numFmtId="0" fontId="0" fillId="0" borderId="21" xfId="0" applyBorder="1" applyAlignment="1" applyProtection="1">
      <alignment horizontal="left" vertical="top" wrapText="1"/>
    </xf>
    <xf numFmtId="0" fontId="0" fillId="0" borderId="39" xfId="0" applyBorder="1" applyAlignment="1" applyProtection="1">
      <alignment horizontal="left" vertical="top" wrapText="1"/>
    </xf>
    <xf numFmtId="0" fontId="3" fillId="35" borderId="21" xfId="0" applyFont="1" applyFill="1" applyBorder="1" applyAlignment="1" applyProtection="1">
      <alignment horizontal="left" vertical="top"/>
      <protection locked="0"/>
    </xf>
    <xf numFmtId="0" fontId="0" fillId="0" borderId="10" xfId="0" applyBorder="1" applyProtection="1">
      <protection locked="0"/>
    </xf>
    <xf numFmtId="0" fontId="0" fillId="0" borderId="14" xfId="0" applyBorder="1" applyProtection="1">
      <protection locked="0"/>
    </xf>
    <xf numFmtId="0" fontId="0" fillId="0" borderId="37" xfId="0" applyBorder="1" applyProtection="1">
      <protection locked="0"/>
    </xf>
    <xf numFmtId="0" fontId="0" fillId="35" borderId="21" xfId="0" applyFill="1" applyBorder="1" applyProtection="1">
      <protection locked="0"/>
    </xf>
    <xf numFmtId="0" fontId="3" fillId="35" borderId="10" xfId="0" applyFont="1" applyFill="1" applyBorder="1" applyAlignment="1" applyProtection="1">
      <alignment horizontal="center" vertical="top"/>
      <protection locked="0"/>
    </xf>
    <xf numFmtId="0" fontId="3" fillId="35" borderId="37" xfId="0" applyFont="1" applyFill="1" applyBorder="1" applyAlignment="1" applyProtection="1">
      <alignment horizontal="center" vertical="top"/>
      <protection locked="0"/>
    </xf>
    <xf numFmtId="2" fontId="3" fillId="35" borderId="10" xfId="0" applyNumberFormat="1" applyFont="1" applyFill="1" applyBorder="1" applyAlignment="1" applyProtection="1">
      <alignment horizontal="center" vertical="top"/>
      <protection locked="0"/>
    </xf>
    <xf numFmtId="2" fontId="3" fillId="35" borderId="14" xfId="0" applyNumberFormat="1" applyFont="1" applyFill="1" applyBorder="1" applyAlignment="1" applyProtection="1">
      <alignment horizontal="center" vertical="top"/>
      <protection locked="0"/>
    </xf>
    <xf numFmtId="2" fontId="3" fillId="35" borderId="37" xfId="0" applyNumberFormat="1" applyFont="1" applyFill="1" applyBorder="1" applyAlignment="1" applyProtection="1">
      <alignment horizontal="center" vertical="top"/>
      <protection locked="0"/>
    </xf>
    <xf numFmtId="0" fontId="0" fillId="0" borderId="21" xfId="0" applyBorder="1" applyAlignment="1" applyProtection="1">
      <alignment horizontal="left" vertical="top"/>
    </xf>
    <xf numFmtId="0" fontId="0" fillId="0" borderId="20" xfId="0" applyBorder="1" applyAlignment="1" applyProtection="1">
      <alignment horizontal="left" vertical="top" wrapText="1"/>
    </xf>
    <xf numFmtId="0" fontId="7" fillId="0" borderId="21" xfId="0" applyFont="1" applyBorder="1" applyAlignment="1" applyProtection="1">
      <alignment horizontal="center"/>
    </xf>
    <xf numFmtId="0" fontId="0" fillId="0" borderId="21" xfId="0" applyBorder="1" applyAlignment="1" applyProtection="1">
      <alignment horizontal="center"/>
    </xf>
    <xf numFmtId="0" fontId="0" fillId="35" borderId="21" xfId="0" applyFill="1" applyBorder="1" applyAlignment="1" applyProtection="1">
      <alignment horizontal="left"/>
      <protection locked="0"/>
    </xf>
    <xf numFmtId="0" fontId="0" fillId="35" borderId="10" xfId="0" applyFill="1" applyBorder="1" applyAlignment="1" applyProtection="1">
      <alignment horizontal="left"/>
      <protection locked="0"/>
    </xf>
    <xf numFmtId="0" fontId="0" fillId="35" borderId="14" xfId="0" applyFill="1" applyBorder="1" applyAlignment="1" applyProtection="1">
      <alignment horizontal="left"/>
      <protection locked="0"/>
    </xf>
    <xf numFmtId="0" fontId="0" fillId="35" borderId="37" xfId="0" applyFill="1" applyBorder="1" applyAlignment="1" applyProtection="1">
      <alignment horizontal="left"/>
      <protection locked="0"/>
    </xf>
    <xf numFmtId="0" fontId="11" fillId="0" borderId="21" xfId="0" applyFont="1" applyBorder="1" applyAlignment="1" applyProtection="1">
      <alignment horizontal="center" wrapText="1"/>
    </xf>
    <xf numFmtId="0" fontId="0" fillId="0" borderId="21" xfId="0" applyBorder="1" applyAlignment="1" applyProtection="1">
      <alignment horizontal="center" vertical="top"/>
      <protection locked="0"/>
    </xf>
    <xf numFmtId="0" fontId="0" fillId="0" borderId="10" xfId="0" applyBorder="1" applyAlignment="1" applyProtection="1">
      <alignment horizontal="left"/>
    </xf>
    <xf numFmtId="0" fontId="0" fillId="0" borderId="37" xfId="0" applyBorder="1" applyAlignment="1" applyProtection="1">
      <alignment horizontal="left"/>
    </xf>
    <xf numFmtId="0" fontId="11" fillId="0" borderId="10" xfId="0" applyFont="1" applyBorder="1" applyAlignment="1" applyProtection="1">
      <alignment horizontal="center"/>
      <protection locked="0"/>
    </xf>
    <xf numFmtId="0" fontId="11" fillId="0" borderId="14" xfId="0" applyFont="1" applyBorder="1" applyAlignment="1" applyProtection="1">
      <alignment horizontal="center"/>
      <protection locked="0"/>
    </xf>
    <xf numFmtId="0" fontId="11" fillId="0" borderId="37" xfId="0" applyFont="1" applyBorder="1" applyAlignment="1" applyProtection="1">
      <alignment horizontal="center"/>
      <protection locked="0"/>
    </xf>
    <xf numFmtId="0" fontId="0" fillId="0" borderId="21" xfId="0" applyBorder="1" applyAlignment="1" applyProtection="1">
      <alignment horizontal="left" vertical="top"/>
      <protection locked="0"/>
    </xf>
    <xf numFmtId="0" fontId="0" fillId="0" borderId="39" xfId="0" applyBorder="1" applyAlignment="1" applyProtection="1">
      <alignment horizontal="center" vertical="top"/>
      <protection locked="0"/>
    </xf>
    <xf numFmtId="0" fontId="0" fillId="0" borderId="21" xfId="0" applyBorder="1" applyAlignment="1" applyProtection="1">
      <alignment horizontal="center" vertical="top" wrapText="1"/>
      <protection locked="0"/>
    </xf>
    <xf numFmtId="0" fontId="0" fillId="0" borderId="39" xfId="0" applyBorder="1" applyAlignment="1" applyProtection="1">
      <alignment horizontal="center" vertical="top" wrapText="1"/>
      <protection locked="0"/>
    </xf>
    <xf numFmtId="0" fontId="0" fillId="0" borderId="14" xfId="0" applyBorder="1" applyAlignment="1" applyProtection="1">
      <alignment horizontal="left"/>
    </xf>
    <xf numFmtId="0" fontId="11" fillId="0" borderId="21" xfId="0" applyFont="1" applyBorder="1" applyAlignment="1" applyProtection="1">
      <alignment horizontal="center"/>
    </xf>
    <xf numFmtId="0" fontId="0" fillId="0" borderId="10" xfId="0" applyBorder="1" applyAlignment="1" applyProtection="1">
      <alignment horizontal="left" vertical="center"/>
      <protection locked="0"/>
    </xf>
    <xf numFmtId="0" fontId="0" fillId="0" borderId="37" xfId="0" applyBorder="1" applyAlignment="1" applyProtection="1">
      <alignment horizontal="left" vertical="center"/>
      <protection locked="0"/>
    </xf>
    <xf numFmtId="0" fontId="0" fillId="0" borderId="0" xfId="0" applyBorder="1" applyAlignment="1" applyProtection="1">
      <alignment horizontal="center" vertical="center"/>
      <protection locked="0"/>
    </xf>
    <xf numFmtId="3" fontId="0" fillId="0" borderId="21" xfId="0" applyNumberFormat="1" applyBorder="1" applyAlignment="1" applyProtection="1">
      <alignment horizontal="center" vertical="top" wrapText="1"/>
    </xf>
    <xf numFmtId="0" fontId="0" fillId="0" borderId="21" xfId="0" applyBorder="1" applyAlignment="1" applyProtection="1">
      <alignment horizontal="center" vertical="top" wrapText="1"/>
    </xf>
    <xf numFmtId="0" fontId="3" fillId="35" borderId="21" xfId="0" applyFont="1" applyFill="1" applyBorder="1" applyProtection="1">
      <protection locked="0"/>
    </xf>
    <xf numFmtId="0" fontId="3" fillId="33" borderId="10" xfId="0" applyFont="1" applyFill="1" applyBorder="1" applyAlignment="1" applyProtection="1">
      <alignment horizontal="center" vertical="top"/>
      <protection locked="0"/>
    </xf>
    <xf numFmtId="0" fontId="3" fillId="33" borderId="37" xfId="0" applyFont="1" applyFill="1" applyBorder="1" applyAlignment="1" applyProtection="1">
      <alignment horizontal="center" vertical="top"/>
      <protection locked="0"/>
    </xf>
    <xf numFmtId="0" fontId="3" fillId="33" borderId="21" xfId="0" applyFont="1" applyFill="1" applyBorder="1" applyAlignment="1" applyProtection="1">
      <alignment horizontal="center" vertical="top"/>
      <protection locked="0"/>
    </xf>
    <xf numFmtId="0" fontId="0" fillId="0" borderId="39" xfId="0" applyBorder="1" applyAlignment="1" applyProtection="1">
      <alignment horizontal="left" vertical="top"/>
    </xf>
    <xf numFmtId="3" fontId="81" fillId="24" borderId="23" xfId="37" applyNumberFormat="1" applyFont="1" applyFill="1" applyBorder="1" applyAlignment="1" applyProtection="1">
      <alignment horizontal="center" vertical="center" wrapText="1"/>
    </xf>
    <xf numFmtId="3" fontId="81" fillId="24" borderId="34" xfId="37" applyNumberFormat="1" applyFont="1" applyFill="1" applyBorder="1" applyAlignment="1" applyProtection="1">
      <alignment horizontal="center" vertical="center" wrapText="1"/>
    </xf>
    <xf numFmtId="166" fontId="51" fillId="62" borderId="47" xfId="37" applyNumberFormat="1" applyFont="1" applyFill="1" applyBorder="1" applyAlignment="1" applyProtection="1">
      <alignment horizontal="center" wrapText="1"/>
    </xf>
    <xf numFmtId="166" fontId="51" fillId="62" borderId="22" xfId="37" applyNumberFormat="1" applyFont="1" applyFill="1" applyBorder="1" applyAlignment="1" applyProtection="1">
      <alignment horizontal="center" wrapText="1"/>
    </xf>
    <xf numFmtId="166" fontId="51" fillId="62" borderId="48" xfId="37" applyNumberFormat="1" applyFont="1" applyFill="1" applyBorder="1" applyAlignment="1" applyProtection="1">
      <alignment horizontal="center" wrapText="1"/>
    </xf>
    <xf numFmtId="3" fontId="81" fillId="36" borderId="54" xfId="37" applyNumberFormat="1" applyFont="1" applyFill="1" applyBorder="1" applyAlignment="1" applyProtection="1">
      <alignment horizontal="center" wrapText="1"/>
    </xf>
    <xf numFmtId="3" fontId="81" fillId="36" borderId="51" xfId="37" applyNumberFormat="1" applyFont="1" applyFill="1" applyBorder="1" applyAlignment="1" applyProtection="1">
      <alignment horizontal="center" wrapText="1"/>
    </xf>
    <xf numFmtId="3" fontId="51" fillId="67" borderId="52" xfId="37" applyNumberFormat="1" applyFont="1" applyFill="1" applyBorder="1" applyAlignment="1" applyProtection="1">
      <alignment horizontal="center" wrapText="1"/>
    </xf>
    <xf numFmtId="3" fontId="51" fillId="67" borderId="53" xfId="37" applyNumberFormat="1" applyFont="1" applyFill="1" applyBorder="1" applyAlignment="1" applyProtection="1">
      <alignment horizontal="center" wrapText="1"/>
    </xf>
    <xf numFmtId="3" fontId="81" fillId="69" borderId="45" xfId="37" applyNumberFormat="1" applyFont="1" applyFill="1" applyBorder="1" applyAlignment="1" applyProtection="1">
      <alignment horizontal="center" wrapText="1"/>
    </xf>
    <xf numFmtId="3" fontId="81" fillId="69" borderId="49" xfId="37" applyNumberFormat="1" applyFont="1" applyFill="1" applyBorder="1" applyAlignment="1" applyProtection="1">
      <alignment horizontal="center" wrapText="1"/>
    </xf>
    <xf numFmtId="3" fontId="81" fillId="69" borderId="45" xfId="37" applyNumberFormat="1" applyFont="1" applyFill="1" applyBorder="1" applyAlignment="1" applyProtection="1">
      <alignment wrapText="1"/>
    </xf>
    <xf numFmtId="3" fontId="81" fillId="69" borderId="49" xfId="37" applyNumberFormat="1" applyFont="1" applyFill="1" applyBorder="1" applyAlignment="1" applyProtection="1">
      <alignment wrapText="1"/>
    </xf>
    <xf numFmtId="3" fontId="83" fillId="69" borderId="23" xfId="37" applyNumberFormat="1" applyFont="1" applyFill="1" applyBorder="1" applyAlignment="1" applyProtection="1">
      <alignment horizontal="center" vertical="center" wrapText="1"/>
    </xf>
    <xf numFmtId="3" fontId="83" fillId="69" borderId="34" xfId="37" applyNumberFormat="1" applyFont="1" applyFill="1" applyBorder="1" applyAlignment="1" applyProtection="1">
      <alignment horizontal="center" vertical="center" wrapText="1"/>
    </xf>
    <xf numFmtId="10" fontId="69" fillId="62" borderId="11" xfId="37" applyNumberFormat="1" applyFont="1" applyFill="1" applyBorder="1" applyAlignment="1" applyProtection="1">
      <alignment horizontal="center" wrapText="1"/>
    </xf>
    <xf numFmtId="10" fontId="69" fillId="62" borderId="12" xfId="37" applyNumberFormat="1" applyFont="1" applyFill="1" applyBorder="1" applyAlignment="1" applyProtection="1">
      <alignment horizontal="center" wrapText="1"/>
    </xf>
    <xf numFmtId="10" fontId="69" fillId="62" borderId="13" xfId="37" applyNumberFormat="1" applyFont="1" applyFill="1" applyBorder="1" applyAlignment="1" applyProtection="1">
      <alignment horizontal="center" wrapText="1"/>
    </xf>
    <xf numFmtId="167" fontId="69" fillId="67" borderId="54" xfId="37" applyNumberFormat="1" applyFont="1" applyFill="1" applyBorder="1" applyAlignment="1" applyProtection="1">
      <alignment horizontal="center" wrapText="1"/>
    </xf>
    <xf numFmtId="167" fontId="69" fillId="67" borderId="50" xfId="37" applyNumberFormat="1" applyFont="1" applyFill="1" applyBorder="1" applyAlignment="1" applyProtection="1">
      <alignment horizontal="center" wrapText="1"/>
    </xf>
    <xf numFmtId="167" fontId="69" fillId="67" borderId="51" xfId="37" applyNumberFormat="1" applyFont="1" applyFill="1" applyBorder="1" applyAlignment="1" applyProtection="1">
      <alignment horizontal="center" wrapText="1"/>
    </xf>
    <xf numFmtId="167" fontId="51" fillId="62" borderId="47" xfId="37" applyNumberFormat="1" applyFont="1" applyFill="1" applyBorder="1" applyAlignment="1" applyProtection="1">
      <alignment horizontal="center" wrapText="1"/>
    </xf>
    <xf numFmtId="167" fontId="51" fillId="62" borderId="48" xfId="37" applyNumberFormat="1" applyFont="1" applyFill="1" applyBorder="1" applyAlignment="1" applyProtection="1">
      <alignment horizontal="center" wrapText="1"/>
    </xf>
    <xf numFmtId="168" fontId="51" fillId="71" borderId="11" xfId="37" applyNumberFormat="1" applyFont="1" applyFill="1" applyBorder="1" applyAlignment="1" applyProtection="1">
      <alignment horizontal="center" vertical="center" wrapText="1"/>
    </xf>
    <xf numFmtId="168" fontId="51" fillId="71" borderId="33" xfId="37" applyNumberFormat="1" applyFont="1" applyFill="1" applyBorder="1" applyAlignment="1" applyProtection="1">
      <alignment horizontal="center" vertical="center" wrapText="1"/>
    </xf>
    <xf numFmtId="167" fontId="69" fillId="68" borderId="45" xfId="37" applyNumberFormat="1" applyFont="1" applyFill="1" applyBorder="1" applyAlignment="1" applyProtection="1">
      <alignment horizontal="center" wrapText="1"/>
    </xf>
    <xf numFmtId="167" fontId="69" fillId="68" borderId="46" xfId="37" applyNumberFormat="1" applyFont="1" applyFill="1" applyBorder="1" applyAlignment="1" applyProtection="1">
      <alignment horizontal="center" wrapText="1"/>
    </xf>
    <xf numFmtId="167" fontId="69" fillId="68" borderId="49" xfId="37" applyNumberFormat="1" applyFont="1" applyFill="1" applyBorder="1" applyAlignment="1" applyProtection="1">
      <alignment horizontal="center" wrapText="1"/>
    </xf>
    <xf numFmtId="170" fontId="7" fillId="0" borderId="0" xfId="0" applyNumberFormat="1" applyFont="1" applyBorder="1" applyAlignment="1" applyProtection="1">
      <alignment horizontal="left" wrapText="1"/>
    </xf>
    <xf numFmtId="3" fontId="69" fillId="65" borderId="11" xfId="37" applyNumberFormat="1" applyFont="1" applyFill="1" applyBorder="1" applyAlignment="1" applyProtection="1">
      <alignment horizontal="center" wrapText="1"/>
    </xf>
    <xf numFmtId="3" fontId="69" fillId="65" borderId="12" xfId="37" applyNumberFormat="1" applyFont="1" applyFill="1" applyBorder="1" applyAlignment="1" applyProtection="1">
      <alignment horizontal="center" wrapText="1"/>
    </xf>
    <xf numFmtId="3" fontId="69" fillId="65" borderId="13" xfId="37" applyNumberFormat="1" applyFont="1" applyFill="1" applyBorder="1" applyAlignment="1" applyProtection="1">
      <alignment horizontal="center" wrapText="1"/>
    </xf>
    <xf numFmtId="170" fontId="69" fillId="33" borderId="11" xfId="0" applyNumberFormat="1" applyFont="1" applyFill="1" applyBorder="1" applyAlignment="1" applyProtection="1">
      <alignment horizontal="center" wrapText="1"/>
    </xf>
    <xf numFmtId="170" fontId="69" fillId="33" borderId="12" xfId="0" applyNumberFormat="1" applyFont="1" applyFill="1" applyBorder="1" applyAlignment="1" applyProtection="1">
      <alignment horizontal="center" wrapText="1"/>
    </xf>
    <xf numFmtId="170" fontId="69" fillId="33" borderId="13" xfId="0" applyNumberFormat="1" applyFont="1" applyFill="1" applyBorder="1" applyAlignment="1" applyProtection="1">
      <alignment horizontal="center" wrapText="1"/>
    </xf>
    <xf numFmtId="167" fontId="69" fillId="65" borderId="45" xfId="37" applyNumberFormat="1" applyFont="1" applyFill="1" applyBorder="1" applyAlignment="1" applyProtection="1">
      <alignment horizontal="center" wrapText="1"/>
    </xf>
    <xf numFmtId="167" fontId="69" fillId="65" borderId="46" xfId="37" applyNumberFormat="1" applyFont="1" applyFill="1" applyBorder="1" applyAlignment="1" applyProtection="1">
      <alignment horizontal="center" wrapText="1"/>
    </xf>
    <xf numFmtId="167" fontId="69" fillId="65" borderId="49" xfId="37" applyNumberFormat="1" applyFont="1" applyFill="1" applyBorder="1" applyAlignment="1" applyProtection="1">
      <alignment horizontal="center" wrapText="1"/>
    </xf>
    <xf numFmtId="167" fontId="69" fillId="62" borderId="11" xfId="37" applyNumberFormat="1" applyFont="1" applyFill="1" applyBorder="1" applyAlignment="1" applyProtection="1">
      <alignment horizontal="center" wrapText="1"/>
    </xf>
    <xf numFmtId="167" fontId="69" fillId="62" borderId="13" xfId="37" applyNumberFormat="1" applyFont="1" applyFill="1" applyBorder="1" applyAlignment="1" applyProtection="1">
      <alignment horizontal="center" wrapText="1"/>
    </xf>
    <xf numFmtId="170" fontId="69" fillId="33" borderId="47" xfId="0" applyNumberFormat="1" applyFont="1" applyFill="1" applyBorder="1" applyAlignment="1" applyProtection="1">
      <alignment horizontal="center" wrapText="1"/>
    </xf>
    <xf numFmtId="170" fontId="69" fillId="33" borderId="22" xfId="0" applyNumberFormat="1" applyFont="1" applyFill="1" applyBorder="1" applyAlignment="1" applyProtection="1">
      <alignment horizontal="center" wrapText="1"/>
    </xf>
    <xf numFmtId="170" fontId="69" fillId="33" borderId="48" xfId="0" applyNumberFormat="1" applyFont="1" applyFill="1" applyBorder="1" applyAlignment="1" applyProtection="1">
      <alignment horizontal="center" wrapText="1"/>
    </xf>
    <xf numFmtId="0" fontId="0" fillId="0" borderId="10" xfId="0" applyBorder="1" applyAlignment="1" applyProtection="1">
      <alignment horizontal="center" vertical="center" wrapText="1"/>
    </xf>
    <xf numFmtId="0" fontId="0" fillId="0" borderId="37" xfId="0" applyBorder="1" applyAlignment="1" applyProtection="1">
      <alignment horizontal="center" vertical="center" wrapText="1"/>
    </xf>
    <xf numFmtId="0" fontId="51" fillId="0" borderId="0" xfId="0" applyFont="1" applyBorder="1" applyAlignment="1" applyProtection="1">
      <alignment vertical="top"/>
      <protection locked="0"/>
    </xf>
    <xf numFmtId="0" fontId="51" fillId="0" borderId="0" xfId="0" applyFont="1" applyFill="1" applyBorder="1" applyAlignment="1" applyProtection="1">
      <alignment vertical="top"/>
      <protection locked="0"/>
    </xf>
    <xf numFmtId="0" fontId="51" fillId="0" borderId="0" xfId="0" applyFont="1" applyFill="1" applyBorder="1" applyProtection="1">
      <protection locked="0"/>
    </xf>
    <xf numFmtId="0" fontId="51" fillId="0" borderId="0" xfId="0" applyFont="1" applyFill="1" applyBorder="1" applyAlignment="1" applyProtection="1">
      <alignment horizontal="left" vertical="top"/>
    </xf>
    <xf numFmtId="0" fontId="76" fillId="0" borderId="0" xfId="0" applyFont="1" applyFill="1" applyBorder="1" applyAlignment="1" applyProtection="1">
      <alignment horizontal="center" vertical="center" textRotation="90" wrapText="1"/>
    </xf>
    <xf numFmtId="0" fontId="4" fillId="0" borderId="14" xfId="36" applyFill="1" applyBorder="1" applyAlignment="1" applyProtection="1">
      <alignment horizontal="center" vertical="center" wrapText="1"/>
    </xf>
    <xf numFmtId="0" fontId="4" fillId="0" borderId="37" xfId="36" applyFill="1" applyBorder="1" applyAlignment="1" applyProtection="1">
      <alignment horizontal="center" vertical="center" wrapText="1"/>
    </xf>
    <xf numFmtId="0" fontId="51" fillId="31" borderId="10" xfId="0" applyFont="1" applyFill="1" applyBorder="1" applyAlignment="1">
      <alignment horizontal="left" vertical="center" wrapText="1"/>
    </xf>
    <xf numFmtId="0" fontId="51" fillId="31" borderId="37" xfId="0" applyFont="1" applyFill="1" applyBorder="1" applyAlignment="1">
      <alignment horizontal="left" vertical="center" wrapText="1"/>
    </xf>
    <xf numFmtId="0" fontId="51" fillId="31" borderId="10" xfId="0" applyFont="1" applyFill="1" applyBorder="1" applyAlignment="1">
      <alignment horizontal="left" vertical="top" wrapText="1"/>
    </xf>
    <xf numFmtId="0" fontId="51" fillId="31" borderId="37" xfId="0" applyFont="1" applyFill="1" applyBorder="1" applyAlignment="1">
      <alignment horizontal="left" vertical="top" wrapText="1"/>
    </xf>
    <xf numFmtId="0" fontId="69" fillId="31" borderId="10" xfId="0" applyFont="1" applyFill="1" applyBorder="1" applyAlignment="1">
      <alignment horizontal="left" vertical="top" wrapText="1"/>
    </xf>
    <xf numFmtId="0" fontId="69" fillId="31" borderId="14" xfId="0" applyFont="1" applyFill="1" applyBorder="1" applyAlignment="1">
      <alignment horizontal="left" vertical="top" wrapText="1"/>
    </xf>
    <xf numFmtId="0" fontId="69" fillId="31" borderId="37" xfId="0" applyFont="1" applyFill="1" applyBorder="1" applyAlignment="1">
      <alignment horizontal="left" vertical="top" wrapText="1"/>
    </xf>
    <xf numFmtId="0" fontId="51" fillId="0" borderId="10" xfId="0" applyFont="1" applyFill="1" applyBorder="1" applyAlignment="1" applyProtection="1">
      <alignment horizontal="left" vertical="top" wrapText="1"/>
    </xf>
    <xf numFmtId="0" fontId="51" fillId="0" borderId="37" xfId="0" applyFont="1" applyFill="1" applyBorder="1" applyAlignment="1" applyProtection="1">
      <alignment horizontal="left" vertical="top" wrapText="1"/>
    </xf>
    <xf numFmtId="0" fontId="51" fillId="31" borderId="19" xfId="0" applyFont="1" applyFill="1" applyBorder="1" applyAlignment="1">
      <alignment horizontal="left" vertical="top" wrapText="1"/>
    </xf>
    <xf numFmtId="0" fontId="51" fillId="31" borderId="35" xfId="0" applyFont="1" applyFill="1" applyBorder="1" applyAlignment="1">
      <alignment horizontal="left" vertical="top" wrapText="1"/>
    </xf>
    <xf numFmtId="3" fontId="7" fillId="68" borderId="16" xfId="0" applyNumberFormat="1" applyFont="1" applyFill="1" applyBorder="1" applyAlignment="1">
      <alignment horizontal="center" wrapText="1"/>
    </xf>
    <xf numFmtId="3" fontId="7" fillId="68" borderId="0" xfId="0" applyNumberFormat="1" applyFont="1" applyFill="1" applyBorder="1" applyAlignment="1">
      <alignment horizontal="center" wrapText="1"/>
    </xf>
    <xf numFmtId="3" fontId="7" fillId="68" borderId="17" xfId="0" applyNumberFormat="1" applyFont="1" applyFill="1" applyBorder="1" applyAlignment="1">
      <alignment horizontal="center" wrapText="1"/>
    </xf>
    <xf numFmtId="4" fontId="7" fillId="64" borderId="16" xfId="0" applyNumberFormat="1" applyFont="1" applyFill="1" applyBorder="1" applyAlignment="1">
      <alignment horizontal="center" wrapText="1"/>
    </xf>
    <xf numFmtId="4" fontId="7" fillId="64" borderId="0" xfId="0" applyNumberFormat="1" applyFont="1" applyFill="1" applyBorder="1" applyAlignment="1">
      <alignment horizontal="center" wrapText="1"/>
    </xf>
    <xf numFmtId="3" fontId="7" fillId="73" borderId="21" xfId="0" applyNumberFormat="1" applyFont="1" applyFill="1" applyBorder="1" applyAlignment="1">
      <alignment horizontal="center" wrapText="1"/>
    </xf>
    <xf numFmtId="0" fontId="0" fillId="82" borderId="21" xfId="0" applyFill="1" applyBorder="1" applyAlignment="1">
      <alignment horizontal="center" wrapText="1"/>
    </xf>
    <xf numFmtId="0" fontId="0" fillId="84" borderId="16" xfId="0" applyFill="1" applyBorder="1" applyAlignment="1">
      <alignment horizontal="center" wrapText="1"/>
    </xf>
    <xf numFmtId="0" fontId="0" fillId="36" borderId="21" xfId="0" applyFill="1" applyBorder="1" applyAlignment="1">
      <alignment horizontal="center" wrapText="1"/>
    </xf>
    <xf numFmtId="0" fontId="0" fillId="0" borderId="52" xfId="0" applyNumberFormat="1" applyFill="1" applyBorder="1" applyAlignment="1">
      <alignment horizontal="center" vertical="top"/>
    </xf>
    <xf numFmtId="0" fontId="0" fillId="0" borderId="14" xfId="0" applyNumberFormat="1" applyFill="1" applyBorder="1" applyAlignment="1">
      <alignment horizontal="center" vertical="top"/>
    </xf>
    <xf numFmtId="0" fontId="0" fillId="0" borderId="53" xfId="0" applyNumberFormat="1" applyFill="1" applyBorder="1" applyAlignment="1">
      <alignment horizontal="center" vertical="top"/>
    </xf>
    <xf numFmtId="0" fontId="0" fillId="0" borderId="89" xfId="0" applyNumberFormat="1" applyFill="1" applyBorder="1" applyAlignment="1">
      <alignment horizontal="center" vertical="top"/>
    </xf>
    <xf numFmtId="0" fontId="0" fillId="0" borderId="90" xfId="0" applyNumberFormat="1" applyFill="1" applyBorder="1" applyAlignment="1">
      <alignment horizontal="center" vertical="top"/>
    </xf>
    <xf numFmtId="0" fontId="0" fillId="0" borderId="91" xfId="0" applyNumberFormat="1" applyFill="1" applyBorder="1" applyAlignment="1">
      <alignment horizontal="center" vertical="top"/>
    </xf>
    <xf numFmtId="0" fontId="71" fillId="0" borderId="54" xfId="0" applyFont="1" applyFill="1" applyBorder="1" applyAlignment="1">
      <alignment horizontal="center"/>
    </xf>
    <xf numFmtId="0" fontId="71" fillId="0" borderId="50" xfId="0" applyFont="1" applyFill="1" applyBorder="1" applyAlignment="1">
      <alignment horizontal="center"/>
    </xf>
    <xf numFmtId="0" fontId="18" fillId="0" borderId="21" xfId="0" applyFont="1" applyBorder="1" applyAlignment="1">
      <alignment horizontal="center" vertical="center" wrapText="1"/>
    </xf>
    <xf numFmtId="0" fontId="18" fillId="0" borderId="21" xfId="0" applyFont="1" applyFill="1" applyBorder="1" applyAlignment="1">
      <alignment horizontal="center" vertical="center" wrapText="1"/>
    </xf>
    <xf numFmtId="0" fontId="18" fillId="0" borderId="84" xfId="0" applyFont="1" applyFill="1" applyBorder="1" applyAlignment="1">
      <alignment horizontal="center" vertical="center" wrapText="1"/>
    </xf>
    <xf numFmtId="0" fontId="18" fillId="0" borderId="43" xfId="0" applyFont="1" applyFill="1" applyBorder="1" applyAlignment="1">
      <alignment horizontal="left"/>
    </xf>
    <xf numFmtId="0" fontId="18" fillId="0" borderId="44" xfId="0" applyFont="1" applyFill="1" applyBorder="1" applyAlignment="1">
      <alignment horizontal="left"/>
    </xf>
    <xf numFmtId="0" fontId="71" fillId="0" borderId="42" xfId="0" applyFont="1" applyFill="1" applyBorder="1" applyAlignment="1">
      <alignment horizontal="center"/>
    </xf>
    <xf numFmtId="0" fontId="71" fillId="0" borderId="21" xfId="0" applyFont="1" applyFill="1" applyBorder="1" applyAlignment="1">
      <alignment horizontal="center"/>
    </xf>
    <xf numFmtId="0" fontId="71" fillId="0" borderId="41" xfId="0" applyFont="1" applyFill="1" applyBorder="1" applyAlignment="1">
      <alignment horizontal="center"/>
    </xf>
    <xf numFmtId="0" fontId="71" fillId="0" borderId="40" xfId="0" applyFont="1" applyFill="1" applyBorder="1" applyAlignment="1">
      <alignment horizontal="center"/>
    </xf>
    <xf numFmtId="0" fontId="71" fillId="0" borderId="83" xfId="0" applyFont="1" applyFill="1" applyBorder="1" applyAlignment="1">
      <alignment horizontal="center"/>
    </xf>
    <xf numFmtId="0" fontId="7" fillId="0" borderId="54" xfId="0" applyNumberFormat="1" applyFont="1" applyFill="1" applyBorder="1" applyAlignment="1">
      <alignment horizontal="center" vertical="center"/>
    </xf>
    <xf numFmtId="0" fontId="7" fillId="0" borderId="50" xfId="0" applyNumberFormat="1" applyFont="1" applyFill="1" applyBorder="1" applyAlignment="1">
      <alignment horizontal="center" vertical="center"/>
    </xf>
    <xf numFmtId="0" fontId="7" fillId="0" borderId="51" xfId="0" applyNumberFormat="1" applyFont="1" applyFill="1" applyBorder="1" applyAlignment="1">
      <alignment horizontal="center" vertical="center"/>
    </xf>
    <xf numFmtId="0" fontId="71" fillId="0" borderId="51" xfId="0" applyFont="1" applyFill="1" applyBorder="1" applyAlignment="1">
      <alignment horizontal="center"/>
    </xf>
    <xf numFmtId="3" fontId="18" fillId="0" borderId="43" xfId="0" applyNumberFormat="1" applyFont="1" applyFill="1" applyBorder="1" applyAlignment="1">
      <alignment horizontal="center" vertical="center"/>
    </xf>
    <xf numFmtId="3" fontId="18" fillId="0" borderId="44" xfId="0" applyNumberFormat="1" applyFont="1" applyFill="1" applyBorder="1" applyAlignment="1">
      <alignment horizontal="center" vertical="center"/>
    </xf>
    <xf numFmtId="9" fontId="18" fillId="0" borderId="44" xfId="50" applyFont="1" applyFill="1" applyBorder="1" applyAlignment="1">
      <alignment horizontal="center" vertical="center"/>
    </xf>
    <xf numFmtId="171" fontId="18" fillId="0" borderId="44" xfId="0" applyNumberFormat="1" applyFont="1" applyBorder="1" applyAlignment="1">
      <alignment horizontal="center" vertical="center"/>
    </xf>
    <xf numFmtId="3" fontId="18" fillId="0" borderId="44" xfId="0" applyNumberFormat="1" applyFont="1" applyBorder="1" applyAlignment="1">
      <alignment horizontal="center" vertical="center"/>
    </xf>
    <xf numFmtId="171" fontId="18" fillId="0" borderId="44" xfId="0" applyNumberFormat="1" applyFont="1" applyFill="1" applyBorder="1" applyAlignment="1">
      <alignment horizontal="center" vertical="center" wrapText="1"/>
    </xf>
    <xf numFmtId="171" fontId="18" fillId="0" borderId="85" xfId="0" applyNumberFormat="1" applyFont="1" applyFill="1" applyBorder="1" applyAlignment="1">
      <alignment horizontal="center" vertical="center" wrapText="1"/>
    </xf>
    <xf numFmtId="1" fontId="5" fillId="0" borderId="44" xfId="0" applyNumberFormat="1" applyFont="1" applyFill="1" applyBorder="1" applyAlignment="1">
      <alignment horizontal="center"/>
    </xf>
    <xf numFmtId="0" fontId="5" fillId="0" borderId="44" xfId="0" applyFont="1" applyFill="1" applyBorder="1" applyAlignment="1">
      <alignment horizontal="center"/>
    </xf>
    <xf numFmtId="0" fontId="5" fillId="0" borderId="85" xfId="0" applyFont="1" applyFill="1" applyBorder="1" applyAlignment="1">
      <alignment horizontal="center"/>
    </xf>
    <xf numFmtId="0" fontId="18" fillId="0" borderId="21" xfId="0" applyFont="1" applyFill="1" applyBorder="1" applyAlignment="1">
      <alignment horizontal="center"/>
    </xf>
    <xf numFmtId="0" fontId="7" fillId="0" borderId="41"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83" xfId="0" applyFont="1" applyFill="1" applyBorder="1" applyAlignment="1">
      <alignment horizontal="center" vertical="center"/>
    </xf>
    <xf numFmtId="0" fontId="18" fillId="0" borderId="42" xfId="0" applyFont="1" applyFill="1" applyBorder="1" applyAlignment="1">
      <alignment horizontal="left"/>
    </xf>
    <xf numFmtId="0" fontId="18" fillId="0" borderId="21" xfId="0" applyFont="1" applyFill="1" applyBorder="1" applyAlignment="1">
      <alignment horizontal="left"/>
    </xf>
    <xf numFmtId="0" fontId="11" fillId="0" borderId="41" xfId="0" applyFont="1" applyBorder="1" applyAlignment="1" applyProtection="1">
      <alignment horizontal="center"/>
    </xf>
    <xf numFmtId="0" fontId="11" fillId="0" borderId="40" xfId="0" applyFont="1" applyBorder="1" applyAlignment="1" applyProtection="1">
      <alignment horizontal="center"/>
    </xf>
    <xf numFmtId="0" fontId="11" fillId="0" borderId="83" xfId="0" applyFont="1" applyBorder="1" applyAlignment="1" applyProtection="1">
      <alignment horizontal="center"/>
    </xf>
    <xf numFmtId="0" fontId="18" fillId="0" borderId="42" xfId="0" applyFont="1" applyFill="1" applyBorder="1" applyAlignment="1">
      <alignment horizontal="center"/>
    </xf>
    <xf numFmtId="0" fontId="5" fillId="0" borderId="42"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21" xfId="0" applyFont="1" applyBorder="1" applyAlignment="1">
      <alignment horizontal="center" vertical="center"/>
    </xf>
    <xf numFmtId="0" fontId="5" fillId="0" borderId="84" xfId="0" applyFont="1" applyFill="1" applyBorder="1" applyAlignment="1">
      <alignment horizontal="center" vertical="center" wrapText="1"/>
    </xf>
    <xf numFmtId="0" fontId="7" fillId="0" borderId="42" xfId="0" applyFont="1" applyFill="1" applyBorder="1" applyAlignment="1">
      <alignment horizontal="center" vertical="center"/>
    </xf>
    <xf numFmtId="0" fontId="7" fillId="0" borderId="21" xfId="0" applyFont="1" applyFill="1" applyBorder="1" applyAlignment="1">
      <alignment horizontal="center" vertical="center"/>
    </xf>
    <xf numFmtId="0" fontId="7" fillId="0" borderId="84" xfId="0" applyFont="1" applyFill="1" applyBorder="1" applyAlignment="1">
      <alignment horizontal="center" vertical="center"/>
    </xf>
    <xf numFmtId="0" fontId="18" fillId="0" borderId="42" xfId="0" applyFont="1" applyFill="1" applyBorder="1" applyAlignment="1">
      <alignment horizontal="center" vertical="center" wrapText="1"/>
    </xf>
    <xf numFmtId="2" fontId="18" fillId="0" borderId="0" xfId="0" applyNumberFormat="1" applyFont="1" applyAlignment="1">
      <alignment horizontal="center"/>
    </xf>
    <xf numFmtId="0" fontId="18" fillId="0" borderId="0" xfId="0" applyFont="1" applyAlignment="1">
      <alignment horizontal="center"/>
    </xf>
    <xf numFmtId="3" fontId="71" fillId="75" borderId="0" xfId="0" applyNumberFormat="1" applyFont="1" applyFill="1" applyBorder="1" applyAlignment="1">
      <alignment vertical="center"/>
    </xf>
    <xf numFmtId="0" fontId="18" fillId="75" borderId="0" xfId="0" applyFont="1" applyFill="1" applyBorder="1" applyAlignment="1">
      <alignment horizontal="center" wrapText="1"/>
    </xf>
    <xf numFmtId="0" fontId="18" fillId="0" borderId="0" xfId="0" applyFont="1" applyAlignment="1">
      <alignment horizontal="center" vertical="center" wrapText="1"/>
    </xf>
    <xf numFmtId="3" fontId="7" fillId="66" borderId="21" xfId="0" applyNumberFormat="1" applyFont="1" applyFill="1" applyBorder="1" applyAlignment="1">
      <alignment horizontal="center" wrapText="1"/>
    </xf>
    <xf numFmtId="167" fontId="69" fillId="68" borderId="33" xfId="37" applyNumberFormat="1" applyFont="1" applyFill="1" applyBorder="1" applyAlignment="1" applyProtection="1">
      <alignment horizontal="center" wrapText="1"/>
    </xf>
    <xf numFmtId="167" fontId="69" fillId="68" borderId="0" xfId="37" applyNumberFormat="1" applyFont="1" applyFill="1" applyBorder="1" applyAlignment="1" applyProtection="1">
      <alignment horizontal="center" wrapText="1"/>
    </xf>
    <xf numFmtId="3" fontId="7" fillId="25" borderId="16" xfId="0" applyNumberFormat="1" applyFont="1" applyFill="1" applyBorder="1" applyAlignment="1">
      <alignment horizontal="center" wrapText="1"/>
    </xf>
    <xf numFmtId="3" fontId="7" fillId="25" borderId="0" xfId="0" applyNumberFormat="1" applyFont="1" applyFill="1" applyBorder="1" applyAlignment="1">
      <alignment horizontal="center" wrapText="1"/>
    </xf>
    <xf numFmtId="3" fontId="7" fillId="25" borderId="17" xfId="0" applyNumberFormat="1" applyFont="1" applyFill="1" applyBorder="1" applyAlignment="1">
      <alignment horizontal="center" wrapText="1"/>
    </xf>
    <xf numFmtId="4" fontId="7" fillId="26" borderId="16" xfId="0" applyNumberFormat="1" applyFont="1" applyFill="1" applyBorder="1" applyAlignment="1">
      <alignment horizontal="center" wrapText="1"/>
    </xf>
    <xf numFmtId="4" fontId="7" fillId="26" borderId="0" xfId="0" applyNumberFormat="1" applyFont="1" applyFill="1" applyBorder="1" applyAlignment="1">
      <alignment horizontal="center" wrapText="1"/>
    </xf>
    <xf numFmtId="4" fontId="7" fillId="26" borderId="17" xfId="0" applyNumberFormat="1" applyFont="1" applyFill="1" applyBorder="1" applyAlignment="1">
      <alignment horizontal="center" wrapText="1"/>
    </xf>
    <xf numFmtId="3" fontId="7" fillId="25" borderId="16" xfId="0" applyNumberFormat="1" applyFont="1" applyFill="1" applyBorder="1" applyAlignment="1">
      <alignment horizontal="center"/>
    </xf>
    <xf numFmtId="3" fontId="7" fillId="25" borderId="0" xfId="0" applyNumberFormat="1" applyFont="1" applyFill="1" applyBorder="1" applyAlignment="1">
      <alignment horizontal="center"/>
    </xf>
    <xf numFmtId="0" fontId="52" fillId="0" borderId="0" xfId="0" applyFont="1" applyFill="1" applyBorder="1" applyAlignment="1">
      <alignment vertical="center" shrinkToFit="1"/>
    </xf>
    <xf numFmtId="0" fontId="18" fillId="0" borderId="10"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37" xfId="0" applyFont="1" applyFill="1" applyBorder="1" applyAlignment="1">
      <alignment horizontal="left" vertical="center"/>
    </xf>
    <xf numFmtId="0" fontId="0" fillId="0" borderId="0" xfId="0" applyFill="1" applyBorder="1" applyAlignment="1">
      <alignment vertical="top" wrapText="1"/>
    </xf>
    <xf numFmtId="0" fontId="18" fillId="0" borderId="38"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17"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35" xfId="0" applyFont="1" applyFill="1" applyBorder="1" applyAlignment="1">
      <alignment horizontal="center" vertical="center" wrapText="1"/>
    </xf>
    <xf numFmtId="0" fontId="18" fillId="0" borderId="38" xfId="0" applyFont="1" applyFill="1" applyBorder="1" applyAlignment="1">
      <alignment horizontal="left" vertical="center"/>
    </xf>
    <xf numFmtId="0" fontId="18" fillId="0" borderId="25"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22" xfId="0" applyFont="1" applyFill="1" applyBorder="1" applyAlignment="1">
      <alignment horizontal="left" vertical="center"/>
    </xf>
    <xf numFmtId="0" fontId="18" fillId="0" borderId="35" xfId="0" applyFont="1" applyFill="1" applyBorder="1" applyAlignment="1">
      <alignment horizontal="left" vertical="center"/>
    </xf>
    <xf numFmtId="0" fontId="18" fillId="0" borderId="38" xfId="0" applyFont="1" applyFill="1" applyBorder="1" applyAlignment="1">
      <alignment horizontal="center" vertical="center"/>
    </xf>
    <xf numFmtId="0" fontId="18" fillId="0" borderId="25" xfId="0" applyFont="1" applyFill="1" applyBorder="1" applyAlignment="1">
      <alignment horizontal="center" vertical="center"/>
    </xf>
    <xf numFmtId="0" fontId="18" fillId="0" borderId="36"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35" xfId="0" applyFont="1" applyFill="1" applyBorder="1" applyAlignment="1">
      <alignment horizontal="center" vertical="center"/>
    </xf>
    <xf numFmtId="0" fontId="3" fillId="27" borderId="11" xfId="0" applyFont="1" applyFill="1" applyBorder="1" applyAlignment="1" applyProtection="1">
      <alignment horizontal="center" vertical="top" wrapText="1"/>
    </xf>
    <xf numFmtId="0" fontId="3" fillId="27" borderId="12" xfId="0" applyFont="1" applyFill="1" applyBorder="1" applyAlignment="1" applyProtection="1">
      <alignment horizontal="center" vertical="top" wrapText="1"/>
    </xf>
    <xf numFmtId="0" fontId="3" fillId="27" borderId="13" xfId="0" applyFont="1" applyFill="1" applyBorder="1" applyAlignment="1" applyProtection="1">
      <alignment horizontal="center" vertical="top" wrapText="1"/>
    </xf>
    <xf numFmtId="0" fontId="3" fillId="27" borderId="47" xfId="0" applyFont="1" applyFill="1" applyBorder="1" applyAlignment="1" applyProtection="1">
      <alignment horizontal="center" vertical="top" wrapText="1"/>
    </xf>
    <xf numFmtId="0" fontId="3" fillId="27" borderId="22" xfId="0" applyFont="1" applyFill="1" applyBorder="1" applyAlignment="1" applyProtection="1">
      <alignment horizontal="center" vertical="top" wrapText="1"/>
    </xf>
    <xf numFmtId="0" fontId="3" fillId="27" borderId="48" xfId="0" applyFont="1" applyFill="1" applyBorder="1" applyAlignment="1" applyProtection="1">
      <alignment horizontal="center" vertical="top" wrapText="1"/>
    </xf>
  </cellXfs>
  <cellStyles count="110">
    <cellStyle name="20 % - Accent1" xfId="1" builtinId="30" customBuiltin="1"/>
    <cellStyle name="20 % - Accent1 2" xfId="71"/>
    <cellStyle name="20 % - Accent2" xfId="2" builtinId="34" customBuiltin="1"/>
    <cellStyle name="20 % - Accent2 2" xfId="72"/>
    <cellStyle name="20 % - Accent3" xfId="3" builtinId="38" customBuiltin="1"/>
    <cellStyle name="20 % - Accent3 2" xfId="73"/>
    <cellStyle name="20 % - Accent4" xfId="4" builtinId="42" customBuiltin="1"/>
    <cellStyle name="20 % - Accent4 2" xfId="74"/>
    <cellStyle name="20 % - Accent5" xfId="5" builtinId="46" customBuiltin="1"/>
    <cellStyle name="20 % - Accent5 2" xfId="75"/>
    <cellStyle name="20 % - Accent6" xfId="6" builtinId="50" customBuiltin="1"/>
    <cellStyle name="20 % - Accent6 2" xfId="76"/>
    <cellStyle name="20% - Akzent5" xfId="7"/>
    <cellStyle name="40 % - Accent1" xfId="8" builtinId="31" customBuiltin="1"/>
    <cellStyle name="40 % - Accent1 2" xfId="77"/>
    <cellStyle name="40 % - Accent2" xfId="9" builtinId="35" customBuiltin="1"/>
    <cellStyle name="40 % - Accent2 2" xfId="78"/>
    <cellStyle name="40 % - Accent3" xfId="10" builtinId="39" customBuiltin="1"/>
    <cellStyle name="40 % - Accent3 2" xfId="79"/>
    <cellStyle name="40 % - Accent4" xfId="11" builtinId="43" customBuiltin="1"/>
    <cellStyle name="40 % - Accent4 2" xfId="80"/>
    <cellStyle name="40 % - Accent5" xfId="12" builtinId="47" customBuiltin="1"/>
    <cellStyle name="40 % - Accent5 2" xfId="81"/>
    <cellStyle name="40 % - Accent6" xfId="13" builtinId="51" customBuiltin="1"/>
    <cellStyle name="40 % - Accent6 2" xfId="82"/>
    <cellStyle name="40% - Akzent1" xfId="14"/>
    <cellStyle name="60 % - Accent1" xfId="15" builtinId="32" customBuiltin="1"/>
    <cellStyle name="60 % - Accent1 2" xfId="83"/>
    <cellStyle name="60 % - Accent2" xfId="16" builtinId="36" customBuiltin="1"/>
    <cellStyle name="60 % - Accent2 2" xfId="84"/>
    <cellStyle name="60 % - Accent3" xfId="17" builtinId="40" customBuiltin="1"/>
    <cellStyle name="60 % - Accent3 2" xfId="85"/>
    <cellStyle name="60 % - Accent4" xfId="18" builtinId="44" customBuiltin="1"/>
    <cellStyle name="60 % - Accent4 2" xfId="86"/>
    <cellStyle name="60 % - Accent5" xfId="19" builtinId="48" customBuiltin="1"/>
    <cellStyle name="60 % - Accent5 2" xfId="87"/>
    <cellStyle name="60 % - Accent6" xfId="20" builtinId="52" customBuiltin="1"/>
    <cellStyle name="60 % - Accent6 2" xfId="88"/>
    <cellStyle name="Accent1" xfId="21" builtinId="29" customBuiltin="1"/>
    <cellStyle name="Accent2" xfId="22" builtinId="33" customBuiltin="1"/>
    <cellStyle name="Accent3" xfId="23" builtinId="37" customBuiltin="1"/>
    <cellStyle name="Accent4" xfId="24" builtinId="41" customBuiltin="1"/>
    <cellStyle name="Accent5" xfId="25" builtinId="45" customBuiltin="1"/>
    <cellStyle name="Accent6" xfId="26" builtinId="49" customBuiltin="1"/>
    <cellStyle name="Avertissement" xfId="27" builtinId="11" customBuiltin="1"/>
    <cellStyle name="Avertissement 2" xfId="89"/>
    <cellStyle name="Calcul" xfId="28" builtinId="22" customBuiltin="1"/>
    <cellStyle name="Calcul 2" xfId="90"/>
    <cellStyle name="Cellule liée" xfId="29" builtinId="24" customBuiltin="1"/>
    <cellStyle name="Cellule liée 2" xfId="91"/>
    <cellStyle name="Commentaire 2" xfId="31"/>
    <cellStyle name="Dezimal 2" xfId="32"/>
    <cellStyle name="Entrée" xfId="33" builtinId="20" customBuiltin="1"/>
    <cellStyle name="Entrée 2" xfId="92"/>
    <cellStyle name="Euro" xfId="34"/>
    <cellStyle name="Insatisfaisant" xfId="35" builtinId="27" customBuiltin="1"/>
    <cellStyle name="Insatisfaisant 2" xfId="93"/>
    <cellStyle name="Lien hypertexte" xfId="36" builtinId="8"/>
    <cellStyle name="Lien hypertexte 2" xfId="104"/>
    <cellStyle name="Milliers" xfId="37" builtinId="3"/>
    <cellStyle name="Milliers 2" xfId="38"/>
    <cellStyle name="Milliers 2 2" xfId="39"/>
    <cellStyle name="Milliers 3" xfId="40"/>
    <cellStyle name="Milliers 4" xfId="41"/>
    <cellStyle name="Milliers 4 2" xfId="42"/>
    <cellStyle name="Milliers 5" xfId="105"/>
    <cellStyle name="Neutre" xfId="43" builtinId="28" customBuiltin="1"/>
    <cellStyle name="Neutre 2" xfId="94"/>
    <cellStyle name="Normal" xfId="0" builtinId="0"/>
    <cellStyle name="Normal 10" xfId="109"/>
    <cellStyle name="Normal 2" xfId="44"/>
    <cellStyle name="Normal 2 2" xfId="45"/>
    <cellStyle name="Normal 2 3" xfId="46"/>
    <cellStyle name="Normal 2 4" xfId="106"/>
    <cellStyle name="Normal 2 5" xfId="108"/>
    <cellStyle name="Normal 2_exportation_importation" xfId="47"/>
    <cellStyle name="Normal 3" xfId="48"/>
    <cellStyle name="Normal 4" xfId="68"/>
    <cellStyle name="Normal 4 2" xfId="107"/>
    <cellStyle name="Normal 5" xfId="70"/>
    <cellStyle name="Normal 6" xfId="69"/>
    <cellStyle name="Normal_Liste des STEP" xfId="49"/>
    <cellStyle name="Note" xfId="30" builtinId="10" customBuiltin="1"/>
    <cellStyle name="Pourcentage" xfId="50" builtinId="5"/>
    <cellStyle name="Pourcentage 2" xfId="51"/>
    <cellStyle name="Pourcentage 2 2" xfId="52"/>
    <cellStyle name="Pourcentage 3" xfId="53"/>
    <cellStyle name="Pourcentage 4" xfId="54"/>
    <cellStyle name="Pourcentage 4 2" xfId="55"/>
    <cellStyle name="Pourcentage 5" xfId="56"/>
    <cellStyle name="Satisfaisant" xfId="57" builtinId="26" customBuiltin="1"/>
    <cellStyle name="Satisfaisant 2" xfId="95"/>
    <cellStyle name="Sortie" xfId="58" builtinId="21" customBuiltin="1"/>
    <cellStyle name="Sortie 2" xfId="96"/>
    <cellStyle name="Standard 2" xfId="59"/>
    <cellStyle name="Texte explicatif" xfId="60" builtinId="53" customBuiltin="1"/>
    <cellStyle name="Texte explicatif 2" xfId="97"/>
    <cellStyle name="Titre" xfId="61" builtinId="15" customBuiltin="1"/>
    <cellStyle name="Titre 2" xfId="98"/>
    <cellStyle name="Titre 1" xfId="62" builtinId="16" customBuiltin="1"/>
    <cellStyle name="Titre 1 2" xfId="99"/>
    <cellStyle name="Titre 2" xfId="63" builtinId="17" customBuiltin="1"/>
    <cellStyle name="Titre 2 2" xfId="100"/>
    <cellStyle name="Titre 3" xfId="64" builtinId="18" customBuiltin="1"/>
    <cellStyle name="Titre 3 2" xfId="101"/>
    <cellStyle name="Titre 4" xfId="65" builtinId="19" customBuiltin="1"/>
    <cellStyle name="Titre 4 2" xfId="102"/>
    <cellStyle name="Total" xfId="66" builtinId="25" customBuiltin="1"/>
    <cellStyle name="Vérification" xfId="67" builtinId="23" customBuiltin="1"/>
    <cellStyle name="Vérification 2" xfId="103"/>
  </cellStyles>
  <dxfs count="127">
    <dxf>
      <font>
        <strike val="0"/>
      </font>
      <fill>
        <patternFill>
          <bgColor rgb="FFFFC000"/>
        </patternFill>
      </fill>
    </dxf>
    <dxf>
      <fill>
        <patternFill>
          <bgColor rgb="FFFFC000"/>
        </patternFill>
      </fill>
    </dxf>
    <dxf>
      <fill>
        <patternFill>
          <bgColor rgb="FF92D050"/>
        </patternFill>
      </fill>
    </dxf>
    <dxf>
      <font>
        <strike val="0"/>
      </font>
      <fill>
        <patternFill>
          <bgColor rgb="FFFFC000"/>
        </patternFill>
      </fill>
    </dxf>
    <dxf>
      <fill>
        <patternFill>
          <bgColor rgb="FFFFC000"/>
        </patternFill>
      </fill>
    </dxf>
    <dxf>
      <fill>
        <patternFill>
          <bgColor rgb="FF92D050"/>
        </patternFill>
      </fill>
    </dxf>
    <dxf>
      <font>
        <b/>
        <i val="0"/>
        <color rgb="FFFF0000"/>
      </font>
    </dxf>
    <dxf>
      <font>
        <b/>
        <i val="0"/>
        <condense val="0"/>
        <extend val="0"/>
        <color indexed="10"/>
      </font>
    </dxf>
    <dxf>
      <font>
        <b/>
        <i val="0"/>
        <condense val="0"/>
        <extend val="0"/>
        <color indexed="10"/>
      </font>
    </dxf>
    <dxf>
      <font>
        <b/>
        <i val="0"/>
        <color rgb="FFFF0000"/>
      </font>
    </dxf>
    <dxf>
      <font>
        <b/>
        <i val="0"/>
        <condense val="0"/>
        <extend val="0"/>
        <color indexed="10"/>
      </font>
    </dxf>
    <dxf>
      <font>
        <b/>
        <i val="0"/>
        <color rgb="FFFF0000"/>
      </font>
    </dxf>
    <dxf>
      <fill>
        <patternFill>
          <bgColor rgb="FF92D050"/>
        </patternFill>
      </fill>
    </dxf>
    <dxf>
      <fill>
        <patternFill>
          <bgColor rgb="FFF0EA00"/>
        </patternFill>
      </fill>
    </dxf>
    <dxf>
      <fill>
        <patternFill>
          <bgColor rgb="FFFF5050"/>
        </patternFill>
      </fill>
    </dxf>
    <dxf>
      <fill>
        <patternFill>
          <bgColor rgb="FF92D050"/>
        </patternFill>
      </fill>
    </dxf>
    <dxf>
      <fill>
        <patternFill>
          <bgColor rgb="FFF0EA00"/>
        </patternFill>
      </fill>
    </dxf>
    <dxf>
      <fill>
        <patternFill>
          <bgColor rgb="FFFF3F3F"/>
        </patternFill>
      </fill>
    </dxf>
    <dxf>
      <fill>
        <patternFill>
          <bgColor rgb="FFFFC000"/>
        </patternFill>
      </fill>
    </dxf>
    <dxf>
      <font>
        <b/>
        <i val="0"/>
      </font>
      <fill>
        <patternFill>
          <bgColor rgb="FFFF5050"/>
        </patternFill>
      </fill>
    </dxf>
    <dxf>
      <fill>
        <patternFill>
          <bgColor rgb="FF92D050"/>
        </patternFill>
      </fill>
    </dxf>
    <dxf>
      <font>
        <b/>
        <i val="0"/>
      </font>
      <fill>
        <patternFill>
          <bgColor rgb="FFFF5050"/>
        </patternFill>
      </fill>
    </dxf>
    <dxf>
      <fill>
        <patternFill>
          <bgColor rgb="FF92D050"/>
        </patternFill>
      </fill>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tint="-0.249977111117893"/>
        <name val="Arial"/>
        <scheme val="none"/>
      </font>
      <numFmt numFmtId="170" formatCode="dd/mm/yy;@"/>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tint="-0.249977111117893"/>
        <name val="Arial"/>
        <scheme val="none"/>
      </font>
      <numFmt numFmtId="170" formatCode="dd/mm/yy;@"/>
      <fill>
        <patternFill patternType="solid">
          <fgColor indexed="64"/>
          <bgColor theme="0"/>
        </patternFill>
      </fill>
      <alignment horizontal="center" vertical="bottom" textRotation="0" wrapText="0" indent="0" justifyLastLine="0" shrinkToFit="0" readingOrder="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fill>
        <patternFill>
          <fgColor indexed="64"/>
          <bgColor rgb="FFFFFF00"/>
        </patternFill>
      </fill>
    </dxf>
    <dxf>
      <font>
        <b val="0"/>
        <i val="0"/>
        <strike val="0"/>
        <condense val="0"/>
        <extend val="0"/>
        <outline val="0"/>
        <shadow val="0"/>
        <u val="none"/>
        <vertAlign val="baseline"/>
        <sz val="10"/>
        <color theme="1"/>
        <name val="Arial"/>
        <scheme val="none"/>
      </font>
      <border diagonalUp="0" diagonalDown="0">
        <left style="dashed">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dashed">
          <color indexed="64"/>
        </left>
        <right/>
        <top style="dashed">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168" formatCode="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scheme val="none"/>
      </font>
      <numFmt numFmtId="14" formatCode="0.0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0"/>
        <color theme="1"/>
        <name val="Arial"/>
        <scheme val="none"/>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rgb="FFCCFFCC"/>
        </patternFill>
      </fill>
      <alignment horizontal="center" vertical="bottom" textRotation="0" wrapText="0"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0"/>
        <color theme="1"/>
        <name val="Arial"/>
        <scheme val="none"/>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Arial"/>
        <scheme val="none"/>
      </font>
      <numFmt numFmtId="169" formatCode="ddd"/>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i val="0"/>
        <strike val="0"/>
        <condense val="0"/>
        <extend val="0"/>
        <outline val="0"/>
        <shadow val="0"/>
        <u val="none"/>
        <vertAlign val="baseline"/>
        <sz val="10"/>
        <color theme="1"/>
        <name val="Arial"/>
        <scheme val="none"/>
      </font>
      <numFmt numFmtId="170" formatCode="dd/mm/yy;@"/>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0"/>
        <color theme="1"/>
        <name val="Arial"/>
        <scheme val="none"/>
      </font>
    </dxf>
    <dxf>
      <font>
        <strike val="0"/>
        <outline val="0"/>
        <shadow val="0"/>
        <u val="none"/>
        <vertAlign val="baseline"/>
        <color theme="0" tint="-0.249977111117893"/>
        <name val="Arial"/>
        <scheme val="none"/>
      </font>
    </dxf>
    <dxf>
      <font>
        <b/>
        <i val="0"/>
        <strike val="0"/>
        <color rgb="FFFF0000"/>
      </font>
    </dxf>
    <dxf>
      <font>
        <b/>
        <i val="0"/>
        <strike val="0"/>
        <color rgb="FFFF0000"/>
      </font>
    </dxf>
    <dxf>
      <font>
        <b/>
        <i val="0"/>
        <color rgb="FFFF0000"/>
      </font>
    </dxf>
    <dxf>
      <font>
        <b/>
        <i val="0"/>
        <condense val="0"/>
        <extend val="0"/>
        <color indexed="10"/>
      </font>
    </dxf>
    <dxf>
      <font>
        <b/>
        <i val="0"/>
        <color rgb="FFFF0000"/>
      </font>
    </dxf>
    <dxf>
      <font>
        <b/>
        <i val="0"/>
        <color rgb="FFFF0000"/>
      </font>
    </dxf>
    <dxf>
      <font>
        <b/>
        <i val="0"/>
        <color rgb="FFFF0000"/>
      </font>
    </dxf>
    <dxf>
      <font>
        <b/>
        <i val="0"/>
        <condense val="0"/>
        <extend val="0"/>
        <color indexed="10"/>
      </font>
    </dxf>
  </dxfs>
  <tableStyles count="0" defaultTableStyle="TableStyleMedium2" defaultPivotStyle="PivotStyleLight16"/>
  <colors>
    <mruColors>
      <color rgb="FFFFCCCC"/>
      <color rgb="FFCCFFCC"/>
      <color rgb="FFFFFFCC"/>
      <color rgb="FFFFFF99"/>
      <color rgb="FFFFFF00"/>
      <color rgb="FFFFCCFF"/>
      <color rgb="FF339966"/>
      <color rgb="FF0033CC"/>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general!$H$28:$M$28</c:f>
          <c:strCache>
            <c:ptCount val="6"/>
            <c:pt idx="0">
              <c:v>Abschätzung der Entlastungen (m3) in den Vorfluter</c:v>
            </c:pt>
          </c:strCache>
        </c:strRef>
      </c:tx>
      <c:layout>
        <c:manualLayout>
          <c:xMode val="edge"/>
          <c:yMode val="edge"/>
          <c:x val="0.18395914004803762"/>
          <c:y val="5.1590296869265329E-3"/>
        </c:manualLayout>
      </c:layout>
      <c:overlay val="0"/>
      <c:spPr>
        <a:noFill/>
        <a:ln w="25400">
          <a:noFill/>
        </a:ln>
      </c:spPr>
      <c:txPr>
        <a:bodyPr/>
        <a:lstStyle/>
        <a:p>
          <a:pPr>
            <a:defRPr sz="875" b="1" i="0" u="none" strike="noStrike" baseline="0">
              <a:solidFill>
                <a:srgbClr val="000000"/>
              </a:solidFill>
              <a:latin typeface="Arial"/>
              <a:ea typeface="Arial"/>
              <a:cs typeface="Arial"/>
            </a:defRPr>
          </a:pPr>
          <a:endParaRPr lang="fr-FR"/>
        </a:p>
      </c:txPr>
    </c:title>
    <c:autoTitleDeleted val="0"/>
    <c:plotArea>
      <c:layout>
        <c:manualLayout>
          <c:layoutTarget val="inner"/>
          <c:xMode val="edge"/>
          <c:yMode val="edge"/>
          <c:x val="5.9863965462892445E-2"/>
          <c:y val="0.17091000129617168"/>
          <c:w val="0.64309465339621807"/>
          <c:h val="0.65818532414057596"/>
        </c:manualLayout>
      </c:layout>
      <c:barChart>
        <c:barDir val="col"/>
        <c:grouping val="clustered"/>
        <c:varyColors val="0"/>
        <c:ser>
          <c:idx val="0"/>
          <c:order val="0"/>
          <c:tx>
            <c:strRef>
              <c:f>general!$I$29</c:f>
              <c:strCache>
                <c:ptCount val="1"/>
                <c:pt idx="0">
                  <c:v>Regenüb.</c:v>
                </c:pt>
              </c:strCache>
            </c:strRef>
          </c:tx>
          <c:spPr>
            <a:solidFill>
              <a:srgbClr val="FF99CC"/>
            </a:solidFill>
            <a:ln w="12700">
              <a:solidFill>
                <a:srgbClr val="000000"/>
              </a:solidFill>
              <a:prstDash val="solid"/>
            </a:ln>
          </c:spPr>
          <c:invertIfNegative val="0"/>
          <c:cat>
            <c:strRef>
              <c:f>general!$H$30:$H$41</c:f>
              <c:strCache>
                <c:ptCount val="12"/>
                <c:pt idx="0">
                  <c:v>Jan</c:v>
                </c:pt>
                <c:pt idx="1">
                  <c:v>Feb</c:v>
                </c:pt>
                <c:pt idx="2">
                  <c:v>März</c:v>
                </c:pt>
                <c:pt idx="3">
                  <c:v>Apr</c:v>
                </c:pt>
                <c:pt idx="4">
                  <c:v>Mai</c:v>
                </c:pt>
                <c:pt idx="5">
                  <c:v>Juni</c:v>
                </c:pt>
                <c:pt idx="6">
                  <c:v>Juli</c:v>
                </c:pt>
                <c:pt idx="7">
                  <c:v>Aug</c:v>
                </c:pt>
                <c:pt idx="8">
                  <c:v>Sept</c:v>
                </c:pt>
                <c:pt idx="9">
                  <c:v>Okt</c:v>
                </c:pt>
                <c:pt idx="10">
                  <c:v>Nov</c:v>
                </c:pt>
                <c:pt idx="11">
                  <c:v>Dez</c:v>
                </c:pt>
              </c:strCache>
            </c:strRef>
          </c:cat>
          <c:val>
            <c:numRef>
              <c:f>general!$I$30:$I$41</c:f>
              <c:numCache>
                <c:formatCode>General</c:formatCode>
                <c:ptCount val="12"/>
              </c:numCache>
            </c:numRef>
          </c:val>
          <c:extLst>
            <c:ext xmlns:c16="http://schemas.microsoft.com/office/drawing/2014/chart" uri="{C3380CC4-5D6E-409C-BE32-E72D297353CC}">
              <c16:uniqueId val="{00000000-CB54-4288-9EAD-45A8D3ADD797}"/>
            </c:ext>
          </c:extLst>
        </c:ser>
        <c:ser>
          <c:idx val="1"/>
          <c:order val="1"/>
          <c:tx>
            <c:strRef>
              <c:f>general!$J$29</c:f>
              <c:strCache>
                <c:ptCount val="1"/>
                <c:pt idx="0">
                  <c:v>Regenkl.b.</c:v>
                </c:pt>
              </c:strCache>
            </c:strRef>
          </c:tx>
          <c:spPr>
            <a:solidFill>
              <a:srgbClr val="FFFFFF"/>
            </a:solidFill>
            <a:ln w="12700">
              <a:solidFill>
                <a:srgbClr val="000000"/>
              </a:solidFill>
              <a:prstDash val="solid"/>
            </a:ln>
          </c:spPr>
          <c:invertIfNegative val="0"/>
          <c:cat>
            <c:strRef>
              <c:f>general!$H$30:$H$41</c:f>
              <c:strCache>
                <c:ptCount val="12"/>
                <c:pt idx="0">
                  <c:v>Jan</c:v>
                </c:pt>
                <c:pt idx="1">
                  <c:v>Feb</c:v>
                </c:pt>
                <c:pt idx="2">
                  <c:v>März</c:v>
                </c:pt>
                <c:pt idx="3">
                  <c:v>Apr</c:v>
                </c:pt>
                <c:pt idx="4">
                  <c:v>Mai</c:v>
                </c:pt>
                <c:pt idx="5">
                  <c:v>Juni</c:v>
                </c:pt>
                <c:pt idx="6">
                  <c:v>Juli</c:v>
                </c:pt>
                <c:pt idx="7">
                  <c:v>Aug</c:v>
                </c:pt>
                <c:pt idx="8">
                  <c:v>Sept</c:v>
                </c:pt>
                <c:pt idx="9">
                  <c:v>Okt</c:v>
                </c:pt>
                <c:pt idx="10">
                  <c:v>Nov</c:v>
                </c:pt>
                <c:pt idx="11">
                  <c:v>Dez</c:v>
                </c:pt>
              </c:strCache>
            </c:strRef>
          </c:cat>
          <c:val>
            <c:numRef>
              <c:f>general!$J$30:$J$41</c:f>
              <c:numCache>
                <c:formatCode>General</c:formatCode>
                <c:ptCount val="12"/>
              </c:numCache>
            </c:numRef>
          </c:val>
          <c:extLst>
            <c:ext xmlns:c16="http://schemas.microsoft.com/office/drawing/2014/chart" uri="{C3380CC4-5D6E-409C-BE32-E72D297353CC}">
              <c16:uniqueId val="{00000001-CB54-4288-9EAD-45A8D3ADD797}"/>
            </c:ext>
          </c:extLst>
        </c:ser>
        <c:ser>
          <c:idx val="3"/>
          <c:order val="2"/>
          <c:tx>
            <c:strRef>
              <c:f>general!$K$29</c:f>
              <c:strCache>
                <c:ptCount val="1"/>
                <c:pt idx="0">
                  <c:v>Q Bypass Zulauf  ARA</c:v>
                </c:pt>
              </c:strCache>
            </c:strRef>
          </c:tx>
          <c:spPr>
            <a:solidFill>
              <a:srgbClr val="FFFF00"/>
            </a:solidFill>
            <a:ln w="12700">
              <a:solidFill>
                <a:srgbClr val="000000"/>
              </a:solidFill>
              <a:prstDash val="solid"/>
            </a:ln>
          </c:spPr>
          <c:invertIfNegative val="0"/>
          <c:cat>
            <c:strRef>
              <c:f>general!$H$30:$H$41</c:f>
              <c:strCache>
                <c:ptCount val="12"/>
                <c:pt idx="0">
                  <c:v>Jan</c:v>
                </c:pt>
                <c:pt idx="1">
                  <c:v>Feb</c:v>
                </c:pt>
                <c:pt idx="2">
                  <c:v>März</c:v>
                </c:pt>
                <c:pt idx="3">
                  <c:v>Apr</c:v>
                </c:pt>
                <c:pt idx="4">
                  <c:v>Mai</c:v>
                </c:pt>
                <c:pt idx="5">
                  <c:v>Juni</c:v>
                </c:pt>
                <c:pt idx="6">
                  <c:v>Juli</c:v>
                </c:pt>
                <c:pt idx="7">
                  <c:v>Aug</c:v>
                </c:pt>
                <c:pt idx="8">
                  <c:v>Sept</c:v>
                </c:pt>
                <c:pt idx="9">
                  <c:v>Okt</c:v>
                </c:pt>
                <c:pt idx="10">
                  <c:v>Nov</c:v>
                </c:pt>
                <c:pt idx="11">
                  <c:v>Dez</c:v>
                </c:pt>
              </c:strCache>
            </c:strRef>
          </c:cat>
          <c:val>
            <c:numRef>
              <c:f>general!$K$30:$K$41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54-4288-9EAD-45A8D3ADD797}"/>
            </c:ext>
          </c:extLst>
        </c:ser>
        <c:ser>
          <c:idx val="4"/>
          <c:order val="3"/>
          <c:tx>
            <c:strRef>
              <c:f>general!$L$29</c:f>
              <c:strCache>
                <c:ptCount val="1"/>
                <c:pt idx="0">
                  <c:v>Q Bypass Ablauf Vorklärung</c:v>
                </c:pt>
              </c:strCache>
            </c:strRef>
          </c:tx>
          <c:spPr>
            <a:solidFill>
              <a:srgbClr val="00FFFF"/>
            </a:solidFill>
            <a:ln w="12700">
              <a:solidFill>
                <a:srgbClr val="000000"/>
              </a:solidFill>
              <a:prstDash val="solid"/>
            </a:ln>
          </c:spPr>
          <c:invertIfNegative val="0"/>
          <c:cat>
            <c:strRef>
              <c:f>general!$H$30:$H$41</c:f>
              <c:strCache>
                <c:ptCount val="12"/>
                <c:pt idx="0">
                  <c:v>Jan</c:v>
                </c:pt>
                <c:pt idx="1">
                  <c:v>Feb</c:v>
                </c:pt>
                <c:pt idx="2">
                  <c:v>März</c:v>
                </c:pt>
                <c:pt idx="3">
                  <c:v>Apr</c:v>
                </c:pt>
                <c:pt idx="4">
                  <c:v>Mai</c:v>
                </c:pt>
                <c:pt idx="5">
                  <c:v>Juni</c:v>
                </c:pt>
                <c:pt idx="6">
                  <c:v>Juli</c:v>
                </c:pt>
                <c:pt idx="7">
                  <c:v>Aug</c:v>
                </c:pt>
                <c:pt idx="8">
                  <c:v>Sept</c:v>
                </c:pt>
                <c:pt idx="9">
                  <c:v>Okt</c:v>
                </c:pt>
                <c:pt idx="10">
                  <c:v>Nov</c:v>
                </c:pt>
                <c:pt idx="11">
                  <c:v>Dez</c:v>
                </c:pt>
              </c:strCache>
            </c:strRef>
          </c:cat>
          <c:val>
            <c:numRef>
              <c:f>general!$L$30:$L$41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CB54-4288-9EAD-45A8D3ADD797}"/>
            </c:ext>
          </c:extLst>
        </c:ser>
        <c:dLbls>
          <c:showLegendKey val="0"/>
          <c:showVal val="0"/>
          <c:showCatName val="0"/>
          <c:showSerName val="0"/>
          <c:showPercent val="0"/>
          <c:showBubbleSize val="0"/>
        </c:dLbls>
        <c:gapWidth val="150"/>
        <c:axId val="49932160"/>
        <c:axId val="49933696"/>
      </c:barChart>
      <c:catAx>
        <c:axId val="49932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fr-FR"/>
          </a:p>
        </c:txPr>
        <c:crossAx val="49933696"/>
        <c:crosses val="autoZero"/>
        <c:auto val="1"/>
        <c:lblAlgn val="ctr"/>
        <c:lblOffset val="100"/>
        <c:tickLblSkip val="1"/>
        <c:tickMarkSkip val="1"/>
        <c:noMultiLvlLbl val="0"/>
      </c:catAx>
      <c:valAx>
        <c:axId val="49933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49932160"/>
        <c:crosses val="autoZero"/>
        <c:crossBetween val="between"/>
      </c:valAx>
      <c:spPr>
        <a:solidFill>
          <a:srgbClr val="FFFFFF"/>
        </a:solidFill>
        <a:ln w="12700">
          <a:solidFill>
            <a:srgbClr val="808080"/>
          </a:solidFill>
          <a:prstDash val="solid"/>
        </a:ln>
      </c:spPr>
    </c:plotArea>
    <c:legend>
      <c:legendPos val="r"/>
      <c:layout>
        <c:manualLayout>
          <c:xMode val="edge"/>
          <c:yMode val="edge"/>
          <c:x val="0.7307751531337453"/>
          <c:y val="0.17629514970729365"/>
          <c:w val="0.24749326122577781"/>
          <c:h val="0.6060331153585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Ausserbinn 2022 -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'graph-rapports'!$H$10</c:f>
              <c:strCache>
                <c:ptCount val="1"/>
                <c:pt idx="0">
                  <c:v>Pges/CSB</c:v>
                </c:pt>
              </c:strCache>
            </c:strRef>
          </c:tx>
          <c:spPr>
            <a:ln w="28575" cap="rnd">
              <a:solidFill>
                <a:schemeClr val="accent5">
                  <a:lumMod val="75000"/>
                </a:schemeClr>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'graph-rapports'!$H$11:$H$376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7458-4D7B-836E-C59C5F2E7EC3}"/>
            </c:ext>
          </c:extLst>
        </c:ser>
        <c:ser>
          <c:idx val="6"/>
          <c:order val="1"/>
          <c:tx>
            <c:v>limit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'graph-rapports'!$P$11:$P$376</c:f>
              <c:numCache>
                <c:formatCode>_(* #,##0.00_);_(* \(#,##0.00\);_(* "-"??_);_(@_)</c:formatCode>
                <c:ptCount val="366"/>
                <c:pt idx="0">
                  <c:v>0.01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0.01</c:v>
                </c:pt>
                <c:pt idx="365">
                  <c:v>0.01</c:v>
                </c:pt>
              </c:numCache>
            </c:numRef>
          </c:val>
          <c:smooth val="0"/>
          <c:extLst>
            <c:ext xmlns:c16="http://schemas.microsoft.com/office/drawing/2014/chart" uri="{C3380CC4-5D6E-409C-BE32-E72D297353CC}">
              <c16:uniqueId val="{00000006-7458-4D7B-836E-C59C5F2E7EC3}"/>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ARA Ausserbinn 2022 - Durchflusse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ndard"/>
        <c:varyColors val="0"/>
        <c:ser>
          <c:idx val="1"/>
          <c:order val="0"/>
          <c:tx>
            <c:strRef>
              <c:f>'graph-debits'!$C$10</c:f>
              <c:strCache>
                <c:ptCount val="1"/>
                <c:pt idx="0">
                  <c:v> Q Zulauf ARA </c:v>
                </c:pt>
              </c:strCache>
            </c:strRef>
          </c:tx>
          <c:spPr>
            <a:solidFill>
              <a:schemeClr val="accent2"/>
            </a:solidFill>
            <a:ln>
              <a:noFill/>
            </a:ln>
            <a:effectLst/>
          </c:spPr>
          <c:cat>
            <c:numRef>
              <c:f>'graph-debits'!$A$11:$A$376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'graph-debits'!$C$11:$C$376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1-503D-48EE-9472-6FFDA8447107}"/>
            </c:ext>
          </c:extLst>
        </c:ser>
        <c:ser>
          <c:idx val="3"/>
          <c:order val="1"/>
          <c:tx>
            <c:strRef>
              <c:f>'graph-debits'!$E$10</c:f>
              <c:strCache>
                <c:ptCount val="1"/>
                <c:pt idx="0">
                  <c:v> Q Ablauf ARA (behandelt) </c:v>
                </c:pt>
              </c:strCache>
            </c:strRef>
          </c:tx>
          <c:spPr>
            <a:solidFill>
              <a:schemeClr val="accent4"/>
            </a:solidFill>
            <a:ln>
              <a:noFill/>
            </a:ln>
            <a:effectLst/>
          </c:spPr>
          <c:cat>
            <c:numRef>
              <c:f>'graph-debits'!$A$11:$A$376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'graph-debits'!$E$11:$E$376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3-503D-48EE-9472-6FFDA8447107}"/>
            </c:ext>
          </c:extLst>
        </c:ser>
        <c:dLbls>
          <c:showLegendKey val="0"/>
          <c:showVal val="0"/>
          <c:showCatName val="0"/>
          <c:showSerName val="0"/>
          <c:showPercent val="0"/>
          <c:showBubbleSize val="0"/>
        </c:dLbls>
        <c:axId val="1312072296"/>
        <c:axId val="1312069016"/>
      </c:area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ARA Ausserbinn 2022 - Durchflusse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ndard"/>
        <c:varyColors val="0"/>
        <c:ser>
          <c:idx val="0"/>
          <c:order val="0"/>
          <c:tx>
            <c:strRef>
              <c:f>'graph-debits'!$B$10</c:f>
              <c:strCache>
                <c:ptCount val="1"/>
                <c:pt idx="0">
                  <c:v> Q Bypass Zulauf  ARA </c:v>
                </c:pt>
              </c:strCache>
            </c:strRef>
          </c:tx>
          <c:spPr>
            <a:solidFill>
              <a:schemeClr val="accent1"/>
            </a:solidFill>
            <a:ln>
              <a:noFill/>
            </a:ln>
            <a:effectLst/>
          </c:spPr>
          <c:cat>
            <c:numRef>
              <c:f>'graph-debits'!$A$11:$A$376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'graph-debits'!$B$11:$B$376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0-0166-4785-A33B-B72B05EF46D4}"/>
            </c:ext>
          </c:extLst>
        </c:ser>
        <c:ser>
          <c:idx val="2"/>
          <c:order val="1"/>
          <c:tx>
            <c:strRef>
              <c:f>'graph-debits'!$D$10</c:f>
              <c:strCache>
                <c:ptCount val="1"/>
                <c:pt idx="0">
                  <c:v> Q Bypass Ablauf Vorklärung </c:v>
                </c:pt>
              </c:strCache>
            </c:strRef>
          </c:tx>
          <c:spPr>
            <a:solidFill>
              <a:schemeClr val="accent3"/>
            </a:solidFill>
            <a:ln>
              <a:noFill/>
            </a:ln>
            <a:effectLst/>
          </c:spPr>
          <c:cat>
            <c:numRef>
              <c:f>'graph-debits'!$A$11:$A$376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'graph-debits'!$D$11:$D$376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2-0166-4785-A33B-B72B05EF46D4}"/>
            </c:ext>
          </c:extLst>
        </c:ser>
        <c:dLbls>
          <c:showLegendKey val="0"/>
          <c:showVal val="0"/>
          <c:showCatName val="0"/>
          <c:showSerName val="0"/>
          <c:showPercent val="0"/>
          <c:showBubbleSize val="0"/>
        </c:dLbls>
        <c:axId val="1312072296"/>
        <c:axId val="1312069016"/>
      </c:area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ARA Ausserbinn 2022 - Durchflusse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ndard"/>
        <c:varyColors val="0"/>
        <c:ser>
          <c:idx val="5"/>
          <c:order val="0"/>
          <c:tx>
            <c:strRef>
              <c:f>'graph-debits'!$G$10</c:f>
              <c:strCache>
                <c:ptCount val="1"/>
                <c:pt idx="0">
                  <c:v> Q Max (Zu- oder Ablauf ARA) </c:v>
                </c:pt>
              </c:strCache>
            </c:strRef>
          </c:tx>
          <c:spPr>
            <a:solidFill>
              <a:schemeClr val="accent6"/>
            </a:solidFill>
            <a:ln>
              <a:noFill/>
            </a:ln>
            <a:effectLst/>
          </c:spPr>
          <c:cat>
            <c:numRef>
              <c:f>'graph-debits'!$A$11:$A$376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'graph-debits'!$G$11:$G$376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5-F111-4FBA-8EFC-777353E15B73}"/>
            </c:ext>
          </c:extLst>
        </c:ser>
        <c:ser>
          <c:idx val="4"/>
          <c:order val="1"/>
          <c:tx>
            <c:strRef>
              <c:f>'graph-debits'!$F$10</c:f>
              <c:strCache>
                <c:ptCount val="1"/>
                <c:pt idx="0">
                  <c:v> Q Min (Zu- oder Ablauf ARA) </c:v>
                </c:pt>
              </c:strCache>
            </c:strRef>
          </c:tx>
          <c:spPr>
            <a:solidFill>
              <a:schemeClr val="accent5"/>
            </a:solidFill>
            <a:ln>
              <a:noFill/>
            </a:ln>
            <a:effectLst/>
          </c:spPr>
          <c:cat>
            <c:numRef>
              <c:f>'graph-debits'!$A$11:$A$376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'graph-debits'!$F$11:$F$376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4-F111-4FBA-8EFC-777353E15B73}"/>
            </c:ext>
          </c:extLst>
        </c:ser>
        <c:dLbls>
          <c:showLegendKey val="0"/>
          <c:showVal val="0"/>
          <c:showCatName val="0"/>
          <c:showSerName val="0"/>
          <c:showPercent val="0"/>
          <c:showBubbleSize val="0"/>
        </c:dLbls>
        <c:axId val="1312072296"/>
        <c:axId val="1312069016"/>
      </c:area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'graph-debits'!$H$9</c:f>
          <c:strCache>
            <c:ptCount val="1"/>
            <c:pt idx="0">
              <c:v>ARA Ausserbinn 2022 - Niederschlag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'graph-debits'!$H$10</c:f>
              <c:strCache>
                <c:ptCount val="1"/>
                <c:pt idx="0">
                  <c:v>l/m2/d  resp. mm/d</c:v>
                </c:pt>
              </c:strCache>
            </c:strRef>
          </c:tx>
          <c:spPr>
            <a:solidFill>
              <a:schemeClr val="accent1"/>
            </a:solidFill>
            <a:ln>
              <a:noFill/>
            </a:ln>
            <a:effectLst/>
          </c:spPr>
          <c:invertIfNegative val="0"/>
          <c:cat>
            <c:numRef>
              <c:f>'graph-debits'!$A$11:$A$376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'graph-debits'!$H$11:$H$376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0-B05B-4687-96BD-672E189F6F96}"/>
            </c:ext>
          </c:extLst>
        </c:ser>
        <c:dLbls>
          <c:showLegendKey val="0"/>
          <c:showVal val="0"/>
          <c:showCatName val="0"/>
          <c:showSerName val="0"/>
          <c:showPercent val="0"/>
          <c:showBubbleSize val="0"/>
        </c:dLbls>
        <c:gapWidth val="150"/>
        <c:axId val="1312072296"/>
        <c:axId val="1312069016"/>
      </c:bar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ARA Ausserbinn 2022 - Analysen Rohabwasser (ARA Zulauf)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'graph-concentrations'!$B$10</c:f>
              <c:strCache>
                <c:ptCount val="1"/>
                <c:pt idx="0">
                  <c:v> BSB5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'graph-concentrations'!$A$11:$A$376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'graph-concentrations'!$B$11:$B$376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EA9B-4C38-8BA9-4F07FECB6E47}"/>
            </c:ext>
          </c:extLst>
        </c:ser>
        <c:ser>
          <c:idx val="1"/>
          <c:order val="1"/>
          <c:tx>
            <c:strRef>
              <c:f>'graph-concentrations'!$C$10</c:f>
              <c:strCache>
                <c:ptCount val="1"/>
                <c:pt idx="0">
                  <c:v> CSB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'graph-concentrations'!$A$11:$A$376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'graph-concentrations'!$C$11:$C$376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EA9B-4C38-8BA9-4F07FECB6E47}"/>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ARA Ausserbinn 2022 - Analysen Rohabwasser (ARA Zulauf)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'graph-concentrations'!$D$10</c:f>
              <c:strCache>
                <c:ptCount val="1"/>
                <c:pt idx="0">
                  <c:v> TOC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'graph-concentrations'!$A$11:$A$376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'graph-concentrations'!$D$11:$D$376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98CA-48AD-A893-2673A834B68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ARA Ausserbinn 2022 - Analysen Rohabwasser (ARA Zulauf)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'graph-concentrations'!$G$10</c:f>
              <c:strCache>
                <c:ptCount val="1"/>
                <c:pt idx="0">
                  <c:v> Pges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'graph-concentrations'!$A$11:$A$376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'graph-concentrations'!$G$11:$G$376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F141-4E09-AC31-98E94751D83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Ausserbinn 2022 -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3"/>
          <c:order val="0"/>
          <c:tx>
            <c:strRef>
              <c:f>'graph-concentrations'!$H$10</c:f>
              <c:strCache>
                <c:ptCount val="1"/>
                <c:pt idx="0">
                  <c:v> BSB5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'graph-concentrations'!$H$11:$H$375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11-9D9E-4388-9B4B-2F9FD45C0113}"/>
            </c:ext>
          </c:extLst>
        </c:ser>
        <c:ser>
          <c:idx val="4"/>
          <c:order val="1"/>
          <c:tx>
            <c:strRef>
              <c:f>'graph-concentrations'!$I$10</c:f>
              <c:strCache>
                <c:ptCount val="1"/>
                <c:pt idx="0">
                  <c:v> CSB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'graph-concentrations'!$I$11:$I$375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12-9D9E-4388-9B4B-2F9FD45C0113}"/>
            </c:ext>
          </c:extLst>
        </c:ser>
        <c:ser>
          <c:idx val="5"/>
          <c:order val="2"/>
          <c:tx>
            <c:strRef>
              <c:f>'graph-concentrations'!$R$10</c:f>
              <c:strCache>
                <c:ptCount val="1"/>
                <c:pt idx="0">
                  <c:v> limite CSB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15-9D9E-4388-9B4B-2F9FD45C0113}"/>
              </c:ext>
            </c:extLst>
          </c:dPt>
          <c:dPt>
            <c:idx val="364"/>
            <c:marker>
              <c:spPr>
                <a:noFill/>
                <a:ln>
                  <a:noFill/>
                </a:ln>
              </c:spPr>
            </c:marker>
            <c:bubble3D val="0"/>
            <c:extLst>
              <c:ext xmlns:c16="http://schemas.microsoft.com/office/drawing/2014/chart" uri="{C3380CC4-5D6E-409C-BE32-E72D297353CC}">
                <c16:uniqueId val="{00000014-9D9E-4388-9B4B-2F9FD45C0113}"/>
              </c:ext>
            </c:extLst>
          </c:dPt>
          <c:val>
            <c:numRef>
              <c:f>'graph-concentrations'!$R$11:$R$375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13-9D9E-4388-9B4B-2F9FD45C0113}"/>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Ausserbinn 2022 -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'graph-concentrations'!$J$10</c:f>
              <c:strCache>
                <c:ptCount val="1"/>
                <c:pt idx="0">
                  <c:v> DOC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'graph-concentrations'!$J$11:$J$375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CDB1-400C-9FF2-20C22668F40F}"/>
            </c:ext>
          </c:extLst>
        </c:ser>
        <c:ser>
          <c:idx val="5"/>
          <c:order val="1"/>
          <c:tx>
            <c:strRef>
              <c:f>'graph-concentrations'!$S$10</c:f>
              <c:strCache>
                <c:ptCount val="1"/>
                <c:pt idx="0">
                  <c:v> limite DOC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CDB1-400C-9FF2-20C22668F40F}"/>
              </c:ext>
            </c:extLst>
          </c:dPt>
          <c:dPt>
            <c:idx val="364"/>
            <c:marker>
              <c:spPr>
                <a:noFill/>
                <a:ln>
                  <a:noFill/>
                </a:ln>
              </c:spPr>
            </c:marker>
            <c:bubble3D val="0"/>
            <c:extLst>
              <c:ext xmlns:c16="http://schemas.microsoft.com/office/drawing/2014/chart" uri="{C3380CC4-5D6E-409C-BE32-E72D297353CC}">
                <c16:uniqueId val="{00000006-CDB1-400C-9FF2-20C22668F40F}"/>
              </c:ext>
            </c:extLst>
          </c:dPt>
          <c:val>
            <c:numRef>
              <c:f>'graph-concentrations'!$S$11:$S$375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CDB1-400C-9FF2-20C22668F40F}"/>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'graph-EH-entrée'!$B$9:$F$9</c:f>
          <c:strCache>
            <c:ptCount val="5"/>
            <c:pt idx="0">
              <c:v>ARA Ausserbinn 2022 - Zulauffrachten in EW</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'graph-EH-entrée'!$B$10</c:f>
              <c:strCache>
                <c:ptCount val="1"/>
                <c:pt idx="0">
                  <c:v>CSB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'graph-EH-entrée'!$A$11:$A$376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'graph-EH-entrée'!$B$11:$B$376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#N/A</c:v>
                </c:pt>
              </c:numCache>
            </c:numRef>
          </c:val>
          <c:smooth val="0"/>
          <c:extLst>
            <c:ext xmlns:c16="http://schemas.microsoft.com/office/drawing/2014/chart" uri="{C3380CC4-5D6E-409C-BE32-E72D297353CC}">
              <c16:uniqueId val="{00000000-ACA2-49ED-A98E-96E7649EA8DF}"/>
            </c:ext>
          </c:extLst>
        </c:ser>
        <c:ser>
          <c:idx val="1"/>
          <c:order val="1"/>
          <c:tx>
            <c:strRef>
              <c:f>'graph-EH-entrée'!$C$10</c:f>
              <c:strCache>
                <c:ptCount val="1"/>
                <c:pt idx="0">
                  <c:v>Nges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'graph-EH-entrée'!$A$11:$A$376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'graph-EH-entrée'!$C$11:$C$376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#N/A</c:v>
                </c:pt>
              </c:numCache>
            </c:numRef>
          </c:val>
          <c:smooth val="0"/>
          <c:extLst>
            <c:ext xmlns:c16="http://schemas.microsoft.com/office/drawing/2014/chart" uri="{C3380CC4-5D6E-409C-BE32-E72D297353CC}">
              <c16:uniqueId val="{00000001-ACA2-49ED-A98E-96E7649EA8DF}"/>
            </c:ext>
          </c:extLst>
        </c:ser>
        <c:ser>
          <c:idx val="2"/>
          <c:order val="2"/>
          <c:tx>
            <c:strRef>
              <c:f>'graph-EH-entrée'!$D$10</c:f>
              <c:strCache>
                <c:ptCount val="1"/>
                <c:pt idx="0">
                  <c:v>NH4-N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'graph-EH-entrée'!$A$11:$A$376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'graph-EH-entrée'!$D$11:$D$376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#N/A</c:v>
                </c:pt>
              </c:numCache>
            </c:numRef>
          </c:val>
          <c:smooth val="0"/>
          <c:extLst>
            <c:ext xmlns:c16="http://schemas.microsoft.com/office/drawing/2014/chart" uri="{C3380CC4-5D6E-409C-BE32-E72D297353CC}">
              <c16:uniqueId val="{00000002-ACA2-49ED-A98E-96E7649EA8DF}"/>
            </c:ext>
          </c:extLst>
        </c:ser>
        <c:ser>
          <c:idx val="3"/>
          <c:order val="3"/>
          <c:tx>
            <c:strRef>
              <c:f>'graph-EH-entrée'!$E$10</c:f>
              <c:strCache>
                <c:ptCount val="1"/>
                <c:pt idx="0">
                  <c:v>TOC</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'graph-EH-entrée'!$A$11:$A$376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'graph-EH-entrée'!$E$11:$E$376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#N/A</c:v>
                </c:pt>
              </c:numCache>
            </c:numRef>
          </c:val>
          <c:smooth val="0"/>
          <c:extLst>
            <c:ext xmlns:c16="http://schemas.microsoft.com/office/drawing/2014/chart" uri="{C3380CC4-5D6E-409C-BE32-E72D297353CC}">
              <c16:uniqueId val="{00000003-ACA2-49ED-A98E-96E7649EA8DF}"/>
            </c:ext>
          </c:extLst>
        </c:ser>
        <c:ser>
          <c:idx val="4"/>
          <c:order val="4"/>
          <c:tx>
            <c:strRef>
              <c:f>'graph-EH-entrée'!$F$10</c:f>
              <c:strCache>
                <c:ptCount val="1"/>
                <c:pt idx="0">
                  <c:v>Ptot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'graph-EH-entrée'!$A$11:$A$376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'graph-EH-entrée'!$F$11:$F$376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#N/A</c:v>
                </c:pt>
              </c:numCache>
            </c:numRef>
          </c:val>
          <c:smooth val="0"/>
          <c:extLst>
            <c:ext xmlns:c16="http://schemas.microsoft.com/office/drawing/2014/chart" uri="{C3380CC4-5D6E-409C-BE32-E72D297353CC}">
              <c16:uniqueId val="{00000004-ACA2-49ED-A98E-96E7649EA8DF}"/>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Ausserbinn 2022 -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'graph-concentrations'!$N$10</c:f>
              <c:strCache>
                <c:ptCount val="1"/>
                <c:pt idx="0">
                  <c:v> PO4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'graph-concentrations'!$N$11:$N$375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CF74-469E-BCAE-3287DAD790ED}"/>
            </c:ext>
          </c:extLst>
        </c:ser>
        <c:ser>
          <c:idx val="1"/>
          <c:order val="1"/>
          <c:tx>
            <c:strRef>
              <c:f>'graph-concentrations'!$O$10</c:f>
              <c:strCache>
                <c:ptCount val="1"/>
                <c:pt idx="0">
                  <c:v> Pges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'graph-concentrations'!$O$11:$O$375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9-CF74-469E-BCAE-3287DAD790ED}"/>
            </c:ext>
          </c:extLst>
        </c:ser>
        <c:ser>
          <c:idx val="5"/>
          <c:order val="2"/>
          <c:tx>
            <c:strRef>
              <c:f>'graph-concentrations'!$X$10</c:f>
              <c:strCache>
                <c:ptCount val="1"/>
                <c:pt idx="0">
                  <c:v> limite Pges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CF74-469E-BCAE-3287DAD790ED}"/>
              </c:ext>
            </c:extLst>
          </c:dPt>
          <c:dPt>
            <c:idx val="364"/>
            <c:marker>
              <c:spPr>
                <a:noFill/>
                <a:ln>
                  <a:noFill/>
                </a:ln>
              </c:spPr>
            </c:marker>
            <c:bubble3D val="0"/>
            <c:extLst>
              <c:ext xmlns:c16="http://schemas.microsoft.com/office/drawing/2014/chart" uri="{C3380CC4-5D6E-409C-BE32-E72D297353CC}">
                <c16:uniqueId val="{00000006-CF74-469E-BCAE-3287DAD790ED}"/>
              </c:ext>
            </c:extLst>
          </c:dPt>
          <c:val>
            <c:numRef>
              <c:f>'graph-concentrations'!$X$11:$X$375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CF74-469E-BCAE-3287DAD790E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Ausserbinn 2022 -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'graph-concentrations'!$P$10</c:f>
              <c:strCache>
                <c:ptCount val="1"/>
                <c:pt idx="0">
                  <c:v> GUS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'graph-concentrations'!$P$11:$P$375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8170-40BA-A2D8-AB16E8B38EDC}"/>
            </c:ext>
          </c:extLst>
        </c:ser>
        <c:ser>
          <c:idx val="5"/>
          <c:order val="1"/>
          <c:tx>
            <c:strRef>
              <c:f>'graph-concentrations'!$Y$10</c:f>
              <c:strCache>
                <c:ptCount val="1"/>
                <c:pt idx="0">
                  <c:v> limite GUS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8170-40BA-A2D8-AB16E8B38EDC}"/>
              </c:ext>
            </c:extLst>
          </c:dPt>
          <c:dPt>
            <c:idx val="364"/>
            <c:marker>
              <c:spPr>
                <a:noFill/>
                <a:ln>
                  <a:noFill/>
                </a:ln>
              </c:spPr>
            </c:marker>
            <c:bubble3D val="0"/>
            <c:extLst>
              <c:ext xmlns:c16="http://schemas.microsoft.com/office/drawing/2014/chart" uri="{C3380CC4-5D6E-409C-BE32-E72D297353CC}">
                <c16:uniqueId val="{00000006-8170-40BA-A2D8-AB16E8B38EDC}"/>
              </c:ext>
            </c:extLst>
          </c:dPt>
          <c:val>
            <c:numRef>
              <c:f>'graph-concentrations'!$Y$11:$Y$375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8170-40BA-A2D8-AB16E8B38EDC}"/>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ARA Ausserbinn 2022 - Analysen Rohabwasser (ARA Zulauf)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3"/>
          <c:order val="0"/>
          <c:tx>
            <c:strRef>
              <c:f>'graph-concentrations'!$E$10</c:f>
              <c:strCache>
                <c:ptCount val="1"/>
                <c:pt idx="0">
                  <c:v>NH4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'graph-concentrations'!$A$11:$A$376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'graph-concentrations'!$E$11:$E$376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9CAD-4B89-BD14-04670523C806}"/>
            </c:ext>
          </c:extLst>
        </c:ser>
        <c:ser>
          <c:idx val="4"/>
          <c:order val="1"/>
          <c:tx>
            <c:strRef>
              <c:f>'graph-concentrations'!$F$10</c:f>
              <c:strCache>
                <c:ptCount val="1"/>
                <c:pt idx="0">
                  <c:v> Ntot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'graph-concentrations'!$A$11:$A$376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'graph-concentrations'!$F$11:$F$376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9CAD-4B89-BD14-04670523C80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Ausserbinn 2022 -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'graph-concentrations'!$K$10</c:f>
              <c:strCache>
                <c:ptCount val="1"/>
                <c:pt idx="0">
                  <c:v> NH4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'graph-concentrations'!$K$11:$K$375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A-C79F-465D-A28D-1ED0572EE36D}"/>
            </c:ext>
          </c:extLst>
        </c:ser>
        <c:ser>
          <c:idx val="5"/>
          <c:order val="1"/>
          <c:tx>
            <c:strRef>
              <c:f>'graph-concentrations'!$T$10</c:f>
              <c:strCache>
                <c:ptCount val="1"/>
                <c:pt idx="0">
                  <c:v> limite NH4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7-C79F-465D-A28D-1ED0572EE36D}"/>
              </c:ext>
            </c:extLst>
          </c:dPt>
          <c:dPt>
            <c:idx val="364"/>
            <c:marker>
              <c:spPr>
                <a:noFill/>
                <a:ln>
                  <a:noFill/>
                </a:ln>
              </c:spPr>
            </c:marker>
            <c:bubble3D val="0"/>
            <c:extLst>
              <c:ext xmlns:c16="http://schemas.microsoft.com/office/drawing/2014/chart" uri="{C3380CC4-5D6E-409C-BE32-E72D297353CC}">
                <c16:uniqueId val="{00000008-C79F-465D-A28D-1ED0572EE36D}"/>
              </c:ext>
            </c:extLst>
          </c:dPt>
          <c:val>
            <c:numRef>
              <c:f>'graph-concentrations'!$T$11:$T$375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9-C79F-465D-A28D-1ED0572EE36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Ausserbinn 2022 -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'graph-concentrations'!$M$10</c:f>
              <c:strCache>
                <c:ptCount val="1"/>
                <c:pt idx="0">
                  <c:v> NO3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'graph-concentrations'!$M$11:$M$375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C-45E8-4830-96C2-BE68E805EC4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ARA Ausserbinn 2022 - Analysen behandeltes Abwasser (ARA Ablauf)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'graph-concentrations'!$L$10</c:f>
              <c:strCache>
                <c:ptCount val="1"/>
                <c:pt idx="0">
                  <c:v> NO2 </c:v>
                </c:pt>
              </c:strCache>
            </c:strRef>
          </c:tx>
          <c:cat>
            <c:numRef>
              <c:f>'graph-concentrations'!$A$11:$A$375</c:f>
              <c:numCache>
                <c:formatCode>dd/mm/yy;@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'graph-concentrations'!$L$11:$L$375</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B-67F1-4751-BE5A-4933B3CB7A99}"/>
            </c:ext>
          </c:extLst>
        </c:ser>
        <c:ser>
          <c:idx val="5"/>
          <c:order val="1"/>
          <c:tx>
            <c:strRef>
              <c:f>'graph-concentrations'!$U$10</c:f>
              <c:strCache>
                <c:ptCount val="1"/>
                <c:pt idx="0">
                  <c:v> limite NO2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8-67F1-4751-BE5A-4933B3CB7A99}"/>
              </c:ext>
            </c:extLst>
          </c:dPt>
          <c:dPt>
            <c:idx val="364"/>
            <c:marker>
              <c:spPr>
                <a:noFill/>
                <a:ln>
                  <a:noFill/>
                </a:ln>
              </c:spPr>
            </c:marker>
            <c:bubble3D val="0"/>
            <c:extLst>
              <c:ext xmlns:c16="http://schemas.microsoft.com/office/drawing/2014/chart" uri="{C3380CC4-5D6E-409C-BE32-E72D297353CC}">
                <c16:uniqueId val="{00000009-67F1-4751-BE5A-4933B3CB7A99}"/>
              </c:ext>
            </c:extLst>
          </c:dPt>
          <c:val>
            <c:numRef>
              <c:f>'graph-concentrations'!$U$11:$U$375</c:f>
              <c:numCache>
                <c:formatCode>_(* #,##0_);_(* \(#,##0\);_(* "-"??_);_(@_)</c:formatCode>
                <c:ptCount val="365"/>
                <c:pt idx="0" formatCode="_(* #,##0.0_);_(* \(#,##0.0\);_(* &quot;-&quot;??_);_(@_)">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A-67F1-4751-BE5A-4933B3CB7A99}"/>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Ausserbinn 2022 -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'graph-rendements'!$B$10</c:f>
              <c:strCache>
                <c:ptCount val="1"/>
                <c:pt idx="0">
                  <c:v>DBO5</c:v>
                </c:pt>
              </c:strCache>
            </c:strRef>
          </c:tx>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E-02FF-4A76-8ED4-C0429C472B47}"/>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A-02FF-4A76-8ED4-C0429C472B47}"/>
              </c:ext>
            </c:extLst>
          </c:dPt>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'graph-rendements'!$G$11:$G$376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B-02FF-4A76-8ED4-C0429C472B47}"/>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Ausserbinn 2022 -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2-80DF-4A28-9C57-D9ADF13718AB}"/>
              </c:ext>
            </c:extLst>
          </c:dPt>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'graph-rendements'!$H$11:$H$376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3-80DF-4A28-9C57-D9ADF13718AB}"/>
            </c:ext>
          </c:extLst>
        </c:ser>
        <c:ser>
          <c:idx val="1"/>
          <c:order val="1"/>
          <c:tx>
            <c:strRef>
              <c:f>'graph-rendements'!$C$10</c:f>
              <c:strCache>
                <c:ptCount val="1"/>
                <c:pt idx="0">
                  <c:v>DCO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80DF-4A28-9C57-D9ADF13718AB}"/>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Ausserbinn 2022 -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3"/>
          <c:order val="0"/>
          <c:tx>
            <c:strRef>
              <c:f>'graph-rendements'!$D$10</c:f>
              <c:strCache>
                <c:ptCount val="1"/>
                <c:pt idx="0">
                  <c:v>COT/DOC</c:v>
                </c:pt>
              </c:strCache>
            </c:strRef>
          </c:tx>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A-FF1A-4145-8C95-CBD6565C2FE5}"/>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5-FF1A-4145-8C95-CBD6565C2FE5}"/>
              </c:ext>
            </c:extLst>
          </c:dPt>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'graph-rendements'!$I$11:$I$376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6-FF1A-4145-8C95-CBD6565C2FE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Ausserbinn 2022 -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'graph-rendements'!$F$10</c:f>
              <c:strCache>
                <c:ptCount val="1"/>
                <c:pt idx="0">
                  <c:v>Pges</c:v>
                </c:pt>
              </c:strCache>
            </c:strRef>
          </c:tx>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8-294E-40FE-B848-E843B059109E}"/>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4-294E-40FE-B848-E843B059109E}"/>
              </c:ext>
            </c:extLst>
          </c:dPt>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'graph-rendements'!$K$11:$K$376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5-294E-40FE-B848-E843B059109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'graph-EH-entrée'!$B$9:$F$9</c:f>
          <c:strCache>
            <c:ptCount val="5"/>
            <c:pt idx="0">
              <c:v>ARA Ausserbinn 2022 - Zulauffrachten in EW</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'graph-EH-entrée'!$G$10</c:f>
              <c:strCache>
                <c:ptCount val="1"/>
                <c:pt idx="0">
                  <c:v>Mittelw./Moyenne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'graph-EH-entrée'!$A$11:$A$376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'graph-EH-entrée'!$G$11:$G$376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#N/A</c:v>
                </c:pt>
              </c:numCache>
            </c:numRef>
          </c:val>
          <c:smooth val="0"/>
          <c:extLst>
            <c:ext xmlns:c16="http://schemas.microsoft.com/office/drawing/2014/chart" uri="{C3380CC4-5D6E-409C-BE32-E72D297353CC}">
              <c16:uniqueId val="{00000005-8C63-4A73-839F-9207829D349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ARA Ausserbinn 2022 - Reinigungsleistungen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'graph-rendements'!$E$10</c:f>
              <c:strCache>
                <c:ptCount val="1"/>
                <c:pt idx="0">
                  <c:v>N tot / NH4</c:v>
                </c:pt>
              </c:strCache>
            </c:strRef>
          </c:tx>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DB88-4EE7-9AC6-EB983096E5B4}"/>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2-DB88-4EE7-9AC6-EB983096E5B4}"/>
              </c:ext>
            </c:extLst>
          </c:dPt>
          <c:cat>
            <c:numRef>
              <c:f>'graph-rendements'!$A$11:$A$376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'graph-rendements'!$J$11:$J$376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3-DB88-4EE7-9AC6-EB983096E5B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'graph-charges'!$B$9:$G$9</c:f>
          <c:strCache>
            <c:ptCount val="6"/>
            <c:pt idx="0">
              <c:v>ARA Ausserbinn 2022 - Zulauffrachten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'graph-charges'!$B$10</c:f>
              <c:strCache>
                <c:ptCount val="1"/>
                <c:pt idx="0">
                  <c:v> BSB5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E8E2-4442-A312-DA86F7832384}"/>
            </c:ext>
          </c:extLst>
        </c:ser>
        <c:ser>
          <c:idx val="1"/>
          <c:order val="1"/>
          <c:tx>
            <c:strRef>
              <c:f>'graph-charges'!$C$10</c:f>
              <c:strCache>
                <c:ptCount val="1"/>
                <c:pt idx="0">
                  <c:v> CSB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E8E2-4442-A312-DA86F7832384}"/>
            </c:ext>
          </c:extLst>
        </c:ser>
        <c:ser>
          <c:idx val="2"/>
          <c:order val="2"/>
          <c:tx>
            <c:strRef>
              <c:f>'graph-charges'!$D$10</c:f>
              <c:strCache>
                <c:ptCount val="1"/>
                <c:pt idx="0">
                  <c:v> TOC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E8E2-4442-A312-DA86F783238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'graph-charges'!$B$9:$G$9</c:f>
          <c:strCache>
            <c:ptCount val="6"/>
            <c:pt idx="0">
              <c:v>ARA Ausserbinn 2022 - Zulauffrachten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'graph-charges'!$B$10</c:f>
              <c:strCache>
                <c:ptCount val="1"/>
                <c:pt idx="0">
                  <c:v> BSB5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F2C5-4246-8BD3-E322F8C6DB35}"/>
            </c:ext>
          </c:extLst>
        </c:ser>
        <c:ser>
          <c:idx val="3"/>
          <c:order val="1"/>
          <c:tx>
            <c:strRef>
              <c:f>'graph-charges'!$E$10</c:f>
              <c:strCache>
                <c:ptCount val="1"/>
                <c:pt idx="0">
                  <c:v> NH4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F2C5-4246-8BD3-E322F8C6DB35}"/>
            </c:ext>
          </c:extLst>
        </c:ser>
        <c:ser>
          <c:idx val="4"/>
          <c:order val="2"/>
          <c:tx>
            <c:strRef>
              <c:f>'graph-charges'!$F$10</c:f>
              <c:strCache>
                <c:ptCount val="1"/>
                <c:pt idx="0">
                  <c:v> Nges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F2C5-4246-8BD3-E322F8C6DB35}"/>
            </c:ext>
          </c:extLst>
        </c:ser>
        <c:ser>
          <c:idx val="5"/>
          <c:order val="3"/>
          <c:tx>
            <c:strRef>
              <c:f>'graph-charges'!$G$10</c:f>
              <c:strCache>
                <c:ptCount val="1"/>
                <c:pt idx="0">
                  <c:v> Pges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'graph-charges'!$G$11:$G$376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F2C5-4246-8BD3-E322F8C6DB3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'graph-charges'!$H$9:$O$9</c:f>
          <c:strCache>
            <c:ptCount val="8"/>
            <c:pt idx="0">
              <c:v>ARA Ausserbinn 2022 - Ablauffrachten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'graph-charges'!$H$10</c:f>
              <c:strCache>
                <c:ptCount val="1"/>
                <c:pt idx="0">
                  <c:v> BSB5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'graph-charges'!$H$11:$H$376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B072-4F63-8470-6D7DE93BFDB5}"/>
            </c:ext>
          </c:extLst>
        </c:ser>
        <c:ser>
          <c:idx val="1"/>
          <c:order val="1"/>
          <c:tx>
            <c:strRef>
              <c:f>'graph-charges'!$I$10</c:f>
              <c:strCache>
                <c:ptCount val="1"/>
                <c:pt idx="0">
                  <c:v> CSB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'graph-charges'!$I$11:$I$376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B072-4F63-8470-6D7DE93BFDB5}"/>
            </c:ext>
          </c:extLst>
        </c:ser>
        <c:ser>
          <c:idx val="2"/>
          <c:order val="2"/>
          <c:tx>
            <c:strRef>
              <c:f>'graph-charges'!$J$10</c:f>
              <c:strCache>
                <c:ptCount val="1"/>
                <c:pt idx="0">
                  <c:v> DOC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'graph-charges'!$J$11:$J$376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B072-4F63-8470-6D7DE93BFDB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'graph-charges'!$H$9:$O$9</c:f>
          <c:strCache>
            <c:ptCount val="8"/>
            <c:pt idx="0">
              <c:v>ARA Ausserbinn 2022 - Ablauffrachten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'graph-charges'!$K$10</c:f>
              <c:strCache>
                <c:ptCount val="1"/>
                <c:pt idx="0">
                  <c:v> NH4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'graph-charges'!$K$11:$K$376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8729-4BB1-BBDA-5EE48653ABB6}"/>
            </c:ext>
          </c:extLst>
        </c:ser>
        <c:ser>
          <c:idx val="3"/>
          <c:order val="1"/>
          <c:tx>
            <c:strRef>
              <c:f>'graph-charges'!$L$10</c:f>
              <c:strCache>
                <c:ptCount val="1"/>
                <c:pt idx="0">
                  <c:v> NO2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'graph-charges'!$L$11:$L$376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8729-4BB1-BBDA-5EE48653ABB6}"/>
            </c:ext>
          </c:extLst>
        </c:ser>
        <c:ser>
          <c:idx val="4"/>
          <c:order val="2"/>
          <c:tx>
            <c:strRef>
              <c:f>'graph-charges'!$M$10</c:f>
              <c:strCache>
                <c:ptCount val="1"/>
                <c:pt idx="0">
                  <c:v> NO3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'graph-charges'!$M$11:$M$376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8729-4BB1-BBDA-5EE48653ABB6}"/>
            </c:ext>
          </c:extLst>
        </c:ser>
        <c:ser>
          <c:idx val="5"/>
          <c:order val="3"/>
          <c:tx>
            <c:strRef>
              <c:f>'graph-charges'!$N$10</c:f>
              <c:strCache>
                <c:ptCount val="1"/>
                <c:pt idx="0">
                  <c:v> Pges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'graph-charges'!$N$11:$N$376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8729-4BB1-BBDA-5EE48653ABB6}"/>
            </c:ext>
          </c:extLst>
        </c:ser>
        <c:ser>
          <c:idx val="1"/>
          <c:order val="4"/>
          <c:tx>
            <c:strRef>
              <c:f>'graph-charges'!$O$10</c:f>
              <c:strCache>
                <c:ptCount val="1"/>
                <c:pt idx="0">
                  <c:v> GUS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'graph-charges'!$O$11:$O$376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8729-4BB1-BBDA-5EE48653ABB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'graph-ECP'!$B$9:$F$9</c:f>
          <c:strCache>
            <c:ptCount val="5"/>
            <c:pt idx="0">
              <c:v>ARA Ausserbinn 2022 - Fremdwasser m3/d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strRef>
              <c:f>'graph-ECP'!$B$10</c:f>
              <c:strCache>
                <c:ptCount val="1"/>
                <c:pt idx="0">
                  <c:v>DCO</c:v>
                </c:pt>
              </c:strCache>
            </c:strRef>
          </c:tx>
          <c:spPr>
            <a:ln w="28575" cap="rnd">
              <a:noFill/>
              <a:round/>
            </a:ln>
            <a:effectLst/>
          </c:spPr>
          <c:marker>
            <c:symbol val="circle"/>
            <c:size val="5"/>
            <c:spPr>
              <a:solidFill>
                <a:schemeClr val="accent2"/>
              </a:solidFill>
              <a:ln w="9525">
                <a:solidFill>
                  <a:schemeClr val="accent2"/>
                </a:solidFill>
              </a:ln>
              <a:effectLst/>
            </c:spPr>
          </c:marker>
          <c:cat>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'graph-ECP'!$B$11:$B$376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D81-4725-BE54-4D135C7A877F}"/>
            </c:ext>
          </c:extLst>
        </c:ser>
        <c:ser>
          <c:idx val="3"/>
          <c:order val="1"/>
          <c:tx>
            <c:strRef>
              <c:f>'graph-ECP'!$C$10</c:f>
              <c:strCache>
                <c:ptCount val="1"/>
                <c:pt idx="0">
                  <c:v>TOC</c:v>
                </c:pt>
              </c:strCache>
            </c:strRef>
          </c:tx>
          <c:spPr>
            <a:ln w="28575" cap="rnd">
              <a:noFill/>
              <a:round/>
            </a:ln>
            <a:effectLst/>
          </c:spPr>
          <c:marker>
            <c:symbol val="circle"/>
            <c:size val="5"/>
            <c:spPr>
              <a:solidFill>
                <a:schemeClr val="accent4"/>
              </a:solidFill>
              <a:ln w="9525">
                <a:solidFill>
                  <a:schemeClr val="accent4"/>
                </a:solidFill>
              </a:ln>
              <a:effectLst/>
            </c:spPr>
          </c:marker>
          <c:cat>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'graph-ECP'!$C$11:$C$376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AD81-4725-BE54-4D135C7A877F}"/>
            </c:ext>
          </c:extLst>
        </c:ser>
        <c:ser>
          <c:idx val="0"/>
          <c:order val="2"/>
          <c:tx>
            <c:strRef>
              <c:f>'graph-ECP'!$D$10</c:f>
              <c:strCache>
                <c:ptCount val="1"/>
                <c:pt idx="0">
                  <c:v>NH4</c:v>
                </c:pt>
              </c:strCache>
            </c:strRef>
          </c:tx>
          <c:spPr>
            <a:ln w="28575" cap="rnd">
              <a:noFill/>
              <a:round/>
            </a:ln>
            <a:effectLst/>
          </c:spPr>
          <c:marker>
            <c:symbol val="circle"/>
            <c:size val="5"/>
            <c:spPr>
              <a:solidFill>
                <a:schemeClr val="accent1"/>
              </a:solidFill>
              <a:ln w="9525">
                <a:solidFill>
                  <a:schemeClr val="accent1"/>
                </a:solidFill>
              </a:ln>
              <a:effectLst/>
            </c:spPr>
          </c:marker>
          <c:cat>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'graph-ECP'!$D$11:$D$376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AD81-4725-BE54-4D135C7A877F}"/>
            </c:ext>
          </c:extLst>
        </c:ser>
        <c:ser>
          <c:idx val="2"/>
          <c:order val="3"/>
          <c:tx>
            <c:strRef>
              <c:f>'graph-ECP'!$E$10</c:f>
              <c:strCache>
                <c:ptCount val="1"/>
                <c:pt idx="0">
                  <c:v>PTOT</c:v>
                </c:pt>
              </c:strCache>
            </c:strRef>
          </c:tx>
          <c:spPr>
            <a:ln w="28575" cap="rnd">
              <a:noFill/>
              <a:round/>
            </a:ln>
            <a:effectLst/>
          </c:spPr>
          <c:marker>
            <c:symbol val="circle"/>
            <c:size val="5"/>
            <c:spPr>
              <a:solidFill>
                <a:schemeClr val="accent3"/>
              </a:solidFill>
              <a:ln w="9525">
                <a:solidFill>
                  <a:schemeClr val="accent3"/>
                </a:solidFill>
              </a:ln>
              <a:effectLst/>
            </c:spPr>
          </c:marker>
          <c:cat>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'graph-ECP'!$E$11:$E$376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AD81-4725-BE54-4D135C7A877F}"/>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4"/>
          <c:order val="4"/>
          <c:tx>
            <c:strRef>
              <c:f>'graph-ECP'!$F$10</c:f>
              <c:strCache>
                <c:ptCount val="1"/>
                <c:pt idx="0">
                  <c:v>moy</c:v>
                </c:pt>
              </c:strCache>
            </c:strRef>
          </c:tx>
          <c:spPr>
            <a:ln w="28575" cap="rnd">
              <a:solidFill>
                <a:schemeClr val="accent5"/>
              </a:solidFill>
              <a:round/>
            </a:ln>
            <a:effectLst/>
          </c:spPr>
          <c:marker>
            <c:symbol val="none"/>
          </c:marker>
          <c:xVal>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xVal>
          <c:yVal>
            <c:numRef>
              <c:f>'graph-ECP'!$F$11:$F$376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yVal>
          <c:smooth val="0"/>
          <c:extLst>
            <c:ext xmlns:c16="http://schemas.microsoft.com/office/drawing/2014/chart" uri="{C3380CC4-5D6E-409C-BE32-E72D297353CC}">
              <c16:uniqueId val="{00000004-AD81-4725-BE54-4D135C7A877F}"/>
            </c:ext>
          </c:extLst>
        </c:ser>
        <c:dLbls>
          <c:showLegendKey val="0"/>
          <c:showVal val="0"/>
          <c:showCatName val="0"/>
          <c:showSerName val="0"/>
          <c:showPercent val="0"/>
          <c:showBubbleSize val="0"/>
        </c:dLbls>
        <c:axId val="1312072296"/>
        <c:axId val="1312069016"/>
      </c:scatter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'graph-ECP'!$G$9:$K$9</c:f>
          <c:strCache>
            <c:ptCount val="5"/>
            <c:pt idx="0">
              <c:v>ARA Ausserbinn 2022 - Fremdwasser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strRef>
              <c:f>'graph-ECP'!$G$10</c:f>
              <c:strCache>
                <c:ptCount val="1"/>
                <c:pt idx="0">
                  <c:v>DCO</c:v>
                </c:pt>
              </c:strCache>
            </c:strRef>
          </c:tx>
          <c:spPr>
            <a:ln w="28575" cap="rnd">
              <a:noFill/>
              <a:round/>
            </a:ln>
            <a:effectLst/>
          </c:spPr>
          <c:marker>
            <c:symbol val="circle"/>
            <c:size val="5"/>
            <c:spPr>
              <a:solidFill>
                <a:schemeClr val="accent2"/>
              </a:solidFill>
              <a:ln w="9525">
                <a:solidFill>
                  <a:schemeClr val="accent2"/>
                </a:solidFill>
              </a:ln>
              <a:effectLst/>
            </c:spPr>
          </c:marker>
          <c:cat>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'graph-ECP'!$G$11:$G$376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3D3-45DB-82C7-A1077AAD0A03}"/>
            </c:ext>
          </c:extLst>
        </c:ser>
        <c:ser>
          <c:idx val="3"/>
          <c:order val="1"/>
          <c:tx>
            <c:strRef>
              <c:f>'graph-ECP'!$H$10</c:f>
              <c:strCache>
                <c:ptCount val="1"/>
                <c:pt idx="0">
                  <c:v>TOC</c:v>
                </c:pt>
              </c:strCache>
            </c:strRef>
          </c:tx>
          <c:spPr>
            <a:ln w="28575" cap="rnd">
              <a:noFill/>
              <a:round/>
            </a:ln>
            <a:effectLst/>
          </c:spPr>
          <c:marker>
            <c:symbol val="circle"/>
            <c:size val="5"/>
            <c:spPr>
              <a:solidFill>
                <a:schemeClr val="accent4"/>
              </a:solidFill>
              <a:ln w="9525">
                <a:solidFill>
                  <a:schemeClr val="accent4"/>
                </a:solidFill>
              </a:ln>
              <a:effectLst/>
            </c:spPr>
          </c:marker>
          <c:cat>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'graph-ECP'!$H$11:$H$376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A3D3-45DB-82C7-A1077AAD0A03}"/>
            </c:ext>
          </c:extLst>
        </c:ser>
        <c:ser>
          <c:idx val="0"/>
          <c:order val="2"/>
          <c:tx>
            <c:strRef>
              <c:f>'graph-ECP'!$I$10</c:f>
              <c:strCache>
                <c:ptCount val="1"/>
                <c:pt idx="0">
                  <c:v>NH4</c:v>
                </c:pt>
              </c:strCache>
            </c:strRef>
          </c:tx>
          <c:spPr>
            <a:ln w="28575" cap="rnd">
              <a:noFill/>
              <a:round/>
            </a:ln>
            <a:effectLst/>
          </c:spPr>
          <c:marker>
            <c:symbol val="circle"/>
            <c:size val="5"/>
            <c:spPr>
              <a:solidFill>
                <a:schemeClr val="accent1"/>
              </a:solidFill>
              <a:ln w="9525">
                <a:solidFill>
                  <a:schemeClr val="accent1"/>
                </a:solidFill>
              </a:ln>
              <a:effectLst/>
            </c:spPr>
          </c:marker>
          <c:cat>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'graph-ECP'!$I$11:$I$376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A3D3-45DB-82C7-A1077AAD0A03}"/>
            </c:ext>
          </c:extLst>
        </c:ser>
        <c:ser>
          <c:idx val="2"/>
          <c:order val="3"/>
          <c:tx>
            <c:strRef>
              <c:f>'graph-ECP'!$J$10</c:f>
              <c:strCache>
                <c:ptCount val="1"/>
                <c:pt idx="0">
                  <c:v>PTOT</c:v>
                </c:pt>
              </c:strCache>
            </c:strRef>
          </c:tx>
          <c:spPr>
            <a:ln w="28575" cap="rnd">
              <a:noFill/>
              <a:round/>
            </a:ln>
            <a:effectLst/>
          </c:spPr>
          <c:marker>
            <c:symbol val="circle"/>
            <c:size val="5"/>
            <c:spPr>
              <a:solidFill>
                <a:schemeClr val="accent3"/>
              </a:solidFill>
              <a:ln w="9525">
                <a:solidFill>
                  <a:schemeClr val="accent3"/>
                </a:solidFill>
              </a:ln>
              <a:effectLst/>
            </c:spPr>
          </c:marker>
          <c:cat>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'graph-ECP'!$J$11:$J$376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A3D3-45DB-82C7-A1077AAD0A03}"/>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4"/>
          <c:order val="4"/>
          <c:tx>
            <c:strRef>
              <c:f>'graph-ECP'!$K$10</c:f>
              <c:strCache>
                <c:ptCount val="1"/>
                <c:pt idx="0">
                  <c:v>moy</c:v>
                </c:pt>
              </c:strCache>
            </c:strRef>
          </c:tx>
          <c:spPr>
            <a:ln w="28575" cap="rnd">
              <a:solidFill>
                <a:schemeClr val="accent5"/>
              </a:solidFill>
              <a:round/>
            </a:ln>
            <a:effectLst/>
          </c:spPr>
          <c:marker>
            <c:symbol val="none"/>
          </c:marker>
          <c:xVal>
            <c:numRef>
              <c:f>'graph-ECP'!$A$11:$A$376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xVal>
          <c:yVal>
            <c:numRef>
              <c:f>'graph-ECP'!$K$11:$K$376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yVal>
          <c:smooth val="0"/>
          <c:extLst>
            <c:ext xmlns:c16="http://schemas.microsoft.com/office/drawing/2014/chart" uri="{C3380CC4-5D6E-409C-BE32-E72D297353CC}">
              <c16:uniqueId val="{00000004-A3D3-45DB-82C7-A1077AAD0A03}"/>
            </c:ext>
          </c:extLst>
        </c:ser>
        <c:dLbls>
          <c:showLegendKey val="0"/>
          <c:showVal val="0"/>
          <c:showCatName val="0"/>
          <c:showSerName val="0"/>
          <c:showPercent val="0"/>
          <c:showBubbleSize val="0"/>
        </c:dLbls>
        <c:axId val="1312072296"/>
        <c:axId val="1312069016"/>
      </c:scatter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'graph-bio'!$C$10</c:f>
          <c:strCache>
            <c:ptCount val="1"/>
            <c:pt idx="0">
              <c:v>ARA Ausserbinn 2022 - Schlammalter (d)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'graph-bio'!$C$10</c:f>
              <c:strCache>
                <c:ptCount val="1"/>
                <c:pt idx="0">
                  <c:v>ARA Ausserbinn 2022 - Schlammalter (d)</c:v>
                </c:pt>
              </c:strCache>
            </c:strRef>
          </c:tx>
          <c:cat>
            <c:numRef>
              <c:f>'graph-bio'!$A$11:$A$376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'graph-bio'!$C$11:$C$376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9F02-4EBD-B56C-710A710842A8}"/>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'graph-bio'!$D$10</c:f>
          <c:strCache>
            <c:ptCount val="1"/>
            <c:pt idx="0">
              <c:v>ARA Ausserbinn 2022 - FAUX</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'graph-bio'!$D$10</c:f>
              <c:strCache>
                <c:ptCount val="1"/>
                <c:pt idx="0">
                  <c:v>ARA Ausserbinn 2022 - FAUX</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'graph-bio'!$A$11:$A$376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'graph-bio'!$D$11:$D$376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0F79-4C14-BDDE-1CD8C13E3A1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'graph-bio'!$E$10</c:f>
          <c:strCache>
            <c:ptCount val="1"/>
            <c:pt idx="0">
              <c:v>ARA Ausserbinn 2022 - Ts-Konz.BB</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'graph-bio'!$E$10</c:f>
              <c:strCache>
                <c:ptCount val="1"/>
                <c:pt idx="0">
                  <c:v>ARA Ausserbinn 2022 - Ts-Konz.BB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'graph-bio'!$A$11:$A$376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'graph-bio'!$E$11:$E$376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C74-43F8-8C62-5881B58664A8}"/>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Ausserbinn 2022 -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1"/>
          <c:order val="0"/>
          <c:tx>
            <c:strRef>
              <c:f>'graph-rapports'!$B$10</c:f>
              <c:strCache>
                <c:ptCount val="1"/>
                <c:pt idx="0">
                  <c:v>CSB/BSB5</c:v>
                </c:pt>
              </c:strCache>
            </c:strRef>
          </c:tx>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8-153B-446D-A0C9-B7A7EFB8F4EA}"/>
            </c:ext>
          </c:extLst>
        </c:ser>
        <c:ser>
          <c:idx val="2"/>
          <c:order val="1"/>
          <c:tx>
            <c:v>norm</c:v>
          </c:tx>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'graph-rapports'!$J$11:$J$376</c:f>
              <c:numCache>
                <c:formatCode>_(* #,##0.00_);_(* \(#,##0.00\);_(* "-"??_);_(@_)</c:formatCode>
                <c:ptCount val="366"/>
                <c:pt idx="0">
                  <c:v>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2</c:v>
                </c:pt>
                <c:pt idx="365">
                  <c:v>2</c:v>
                </c:pt>
              </c:numCache>
            </c:numRef>
          </c:val>
          <c:smooth val="0"/>
          <c:extLst>
            <c:ext xmlns:c16="http://schemas.microsoft.com/office/drawing/2014/chart" uri="{C3380CC4-5D6E-409C-BE32-E72D297353CC}">
              <c16:uniqueId val="{00000009-153B-446D-A0C9-B7A7EFB8F4EA}"/>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'graph-bio'!$B$10</c:f>
          <c:strCache>
            <c:ptCount val="1"/>
            <c:pt idx="0">
              <c:v>ARA Ausserbinn 2022 - Schlammbelastung (kg CSB / kg TS.d)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'graph-bio'!$B$10</c:f>
              <c:strCache>
                <c:ptCount val="1"/>
                <c:pt idx="0">
                  <c:v>ARA Ausserbinn 2022 - Schlammbelastung (kg CSB / kg TS.d)</c:v>
                </c:pt>
              </c:strCache>
            </c:strRef>
          </c:tx>
          <c:cat>
            <c:numRef>
              <c:f>'graph-bio'!$A$11:$A$376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'graph-bio'!$B$11:$B$376</c:f>
              <c:numCache>
                <c:formatCode>_(* #,##0.0_);_(* \(#,##0.0\);_(*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B5F-4C91-A563-C98D40E84A40}"/>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Ausserbinn 2022 -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2"/>
          <c:order val="0"/>
          <c:tx>
            <c:strRef>
              <c:f>'graph-rapports'!$C$10</c:f>
              <c:strCache>
                <c:ptCount val="1"/>
                <c:pt idx="0">
                  <c:v>NH4-N/Nges</c:v>
                </c:pt>
              </c:strCache>
            </c:strRef>
          </c:tx>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2BAC-44C2-A05A-EA7C3FD12C6E}"/>
            </c:ext>
          </c:extLst>
        </c:ser>
        <c:ser>
          <c:idx val="4"/>
          <c:order val="1"/>
          <c:tx>
            <c:v>norm</c:v>
          </c:tx>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'graph-rapports'!$K$11:$K$376</c:f>
              <c:numCache>
                <c:formatCode>_(* #,##0.00_);_(* \(#,##0.00\);_(* "-"??_);_(@_)</c:formatCode>
                <c:ptCount val="366"/>
                <c:pt idx="0">
                  <c:v>0.64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0.64</c:v>
                </c:pt>
                <c:pt idx="365">
                  <c:v>0.64</c:v>
                </c:pt>
              </c:numCache>
            </c:numRef>
          </c:val>
          <c:smooth val="0"/>
          <c:extLst>
            <c:ext xmlns:c16="http://schemas.microsoft.com/office/drawing/2014/chart" uri="{C3380CC4-5D6E-409C-BE32-E72D297353CC}">
              <c16:uniqueId val="{00000002-2BAC-44C2-A05A-EA7C3FD12C6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Ausserbinn 2022 -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4"/>
          <c:order val="0"/>
          <c:tx>
            <c:strRef>
              <c:f>'graph-rapports'!$D$10</c:f>
              <c:strCache>
                <c:ptCount val="1"/>
                <c:pt idx="0">
                  <c:v>Nges/TOC</c:v>
                </c:pt>
              </c:strCache>
            </c:strRef>
          </c:tx>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60C9-4D80-A071-397FF3C64CD5}"/>
            </c:ext>
          </c:extLst>
        </c:ser>
        <c:ser>
          <c:idx val="0"/>
          <c:order val="1"/>
          <c:tx>
            <c:v>norm</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'graph-rapports'!$L$11:$L$376</c:f>
              <c:numCache>
                <c:formatCode>_(* #,##0.00_);_(* \(#,##0.00\);_(* "-"??_);_(@_)</c:formatCode>
                <c:ptCount val="366"/>
                <c:pt idx="0">
                  <c:v>0.28999999999999998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0.28999999999999998</c:v>
                </c:pt>
                <c:pt idx="365">
                  <c:v>0.28999999999999998</c:v>
                </c:pt>
              </c:numCache>
            </c:numRef>
          </c:val>
          <c:smooth val="0"/>
          <c:extLst>
            <c:ext xmlns:c16="http://schemas.microsoft.com/office/drawing/2014/chart" uri="{C3380CC4-5D6E-409C-BE32-E72D297353CC}">
              <c16:uniqueId val="{00000003-60C9-4D80-A071-397FF3C64CD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Ausserbinn 2022 -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3"/>
          <c:order val="0"/>
          <c:tx>
            <c:strRef>
              <c:f>'graph-rapports'!$E$10</c:f>
              <c:strCache>
                <c:ptCount val="1"/>
                <c:pt idx="0">
                  <c:v>Pges/TOC</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F930-4651-8279-96D3CFFFCB8C}"/>
            </c:ext>
          </c:extLst>
        </c:ser>
        <c:ser>
          <c:idx val="5"/>
          <c:order val="1"/>
          <c:tx>
            <c:v>norm</c:v>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'graph-rapports'!$M$11:$M$376</c:f>
              <c:numCache>
                <c:formatCode>_(* #,##0.00_);_(* \(#,##0.00\);_(* "-"??_);_(@_)</c:formatCode>
                <c:ptCount val="366"/>
                <c:pt idx="0">
                  <c:v>0.05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0.05</c:v>
                </c:pt>
                <c:pt idx="365">
                  <c:v>0.05</c:v>
                </c:pt>
              </c:numCache>
            </c:numRef>
          </c:val>
          <c:smooth val="0"/>
          <c:extLst>
            <c:ext xmlns:c16="http://schemas.microsoft.com/office/drawing/2014/chart" uri="{C3380CC4-5D6E-409C-BE32-E72D297353CC}">
              <c16:uniqueId val="{00000005-F930-4651-8279-96D3CFFFCB8C}"/>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Ausserbinn 2022 -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'graph-rapports'!$F$10</c:f>
              <c:strCache>
                <c:ptCount val="1"/>
                <c:pt idx="0">
                  <c:v>CSB/TOC</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5348-45E8-980A-912F4838A66E}"/>
            </c:ext>
          </c:extLst>
        </c:ser>
        <c:ser>
          <c:idx val="6"/>
          <c:order val="1"/>
          <c:tx>
            <c:v>norm</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'graph-rapports'!$N$11:$N$376</c:f>
              <c:numCache>
                <c:formatCode>_(* #,##0.00_);_(* \(#,##0.00\);_(* "-"??_);_(@_)</c:formatCode>
                <c:ptCount val="366"/>
                <c:pt idx="0">
                  <c:v>3.2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3.2</c:v>
                </c:pt>
                <c:pt idx="365">
                  <c:v>3.2</c:v>
                </c:pt>
              </c:numCache>
            </c:numRef>
          </c:val>
          <c:smooth val="0"/>
          <c:extLst>
            <c:ext xmlns:c16="http://schemas.microsoft.com/office/drawing/2014/chart" uri="{C3380CC4-5D6E-409C-BE32-E72D297353CC}">
              <c16:uniqueId val="{00000006-5348-45E8-980A-912F4838A66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ARA Ausserbinn 2022 - Verhältnisse Zulauf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5"/>
          <c:order val="0"/>
          <c:tx>
            <c:strRef>
              <c:f>'graph-rapports'!$G$10</c:f>
              <c:strCache>
                <c:ptCount val="1"/>
                <c:pt idx="0">
                  <c:v>Nges/CSB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'graph-rapports'!$G$11:$G$376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4904-43C9-8077-7D195CCD65B6}"/>
            </c:ext>
          </c:extLst>
        </c:ser>
        <c:ser>
          <c:idx val="6"/>
          <c:order val="1"/>
          <c:tx>
            <c:v>limit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0</c:v>
                </c:pt>
              </c:numCache>
            </c:numRef>
          </c:cat>
          <c:val>
            <c:numRef>
              <c:f>'graph-rapports'!$O$11:$O$376</c:f>
              <c:numCache>
                <c:formatCode>_(* #,##0.00_);_(* \(#,##0.00\);_(* "-"??_);_(@_)</c:formatCode>
                <c:ptCount val="366"/>
                <c:pt idx="0">
                  <c:v>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0.09</c:v>
                </c:pt>
                <c:pt idx="365">
                  <c:v>0.09</c:v>
                </c:pt>
              </c:numCache>
            </c:numRef>
          </c:val>
          <c:smooth val="0"/>
          <c:extLst>
            <c:ext xmlns:c16="http://schemas.microsoft.com/office/drawing/2014/chart" uri="{C3380CC4-5D6E-409C-BE32-E72D297353CC}">
              <c16:uniqueId val="{00000006-4904-43C9-8077-7D195CCD65B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197"/>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5" Type="http://schemas.openxmlformats.org/officeDocument/2006/relationships/chart" Target="../charts/chart30.xml"/><Relationship Id="rId4" Type="http://schemas.openxmlformats.org/officeDocument/2006/relationships/chart" Target="../charts/chart2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371475</xdr:colOff>
          <xdr:row>2</xdr:row>
          <xdr:rowOff>9525</xdr:rowOff>
        </xdr:from>
        <xdr:to>
          <xdr:col>1</xdr:col>
          <xdr:colOff>190500</xdr:colOff>
          <xdr:row>3</xdr:row>
          <xdr:rowOff>123825</xdr:rowOff>
        </xdr:to>
        <xdr:sp macro="" textlink="">
          <xdr:nvSpPr>
            <xdr:cNvPr id="5325" name="choix_STEP" hidden="1">
              <a:extLst>
                <a:ext uri="{63B3BB69-23CF-44E3-9099-C40C66FF867C}">
                  <a14:compatExt spid="_x0000_s5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xdr:row>
          <xdr:rowOff>219075</xdr:rowOff>
        </xdr:from>
        <xdr:to>
          <xdr:col>7</xdr:col>
          <xdr:colOff>752475</xdr:colOff>
          <xdr:row>3</xdr:row>
          <xdr:rowOff>57150</xdr:rowOff>
        </xdr:to>
        <xdr:sp macro="" textlink="">
          <xdr:nvSpPr>
            <xdr:cNvPr id="5335" name="OptionButton1" hidden="1">
              <a:extLst>
                <a:ext uri="{63B3BB69-23CF-44E3-9099-C40C66FF867C}">
                  <a14:compatExt spid="_x0000_s5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47625</xdr:rowOff>
        </xdr:from>
        <xdr:to>
          <xdr:col>7</xdr:col>
          <xdr:colOff>752475</xdr:colOff>
          <xdr:row>4</xdr:row>
          <xdr:rowOff>114300</xdr:rowOff>
        </xdr:to>
        <xdr:sp macro="" textlink="">
          <xdr:nvSpPr>
            <xdr:cNvPr id="5336" name="OptionButton2" hidden="1">
              <a:extLst>
                <a:ext uri="{63B3BB69-23CF-44E3-9099-C40C66FF867C}">
                  <a14:compatExt spid="_x0000_s5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2</xdr:row>
          <xdr:rowOff>19050</xdr:rowOff>
        </xdr:from>
        <xdr:to>
          <xdr:col>9</xdr:col>
          <xdr:colOff>457200</xdr:colOff>
          <xdr:row>4</xdr:row>
          <xdr:rowOff>9525</xdr:rowOff>
        </xdr:to>
        <xdr:sp macro="" textlink="">
          <xdr:nvSpPr>
            <xdr:cNvPr id="5339" name="Button 219" hidden="1">
              <a:extLst>
                <a:ext uri="{63B3BB69-23CF-44E3-9099-C40C66FF867C}">
                  <a14:compatExt spid="_x0000_s533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CH" sz="1000" b="0" i="0" u="none" strike="noStrike" baseline="0">
                  <a:solidFill>
                    <a:srgbClr val="000000"/>
                  </a:solidFill>
                  <a:latin typeface="Arial"/>
                  <a:cs typeface="Arial"/>
                </a:rPr>
                <a:t>importation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590550</xdr:colOff>
          <xdr:row>2</xdr:row>
          <xdr:rowOff>19050</xdr:rowOff>
        </xdr:from>
        <xdr:to>
          <xdr:col>11</xdr:col>
          <xdr:colOff>466725</xdr:colOff>
          <xdr:row>4</xdr:row>
          <xdr:rowOff>9525</xdr:rowOff>
        </xdr:to>
        <xdr:sp macro="" textlink="">
          <xdr:nvSpPr>
            <xdr:cNvPr id="5340" name="Button 220" hidden="1">
              <a:extLst>
                <a:ext uri="{63B3BB69-23CF-44E3-9099-C40C66FF867C}">
                  <a14:compatExt spid="_x0000_s534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fr-CH" sz="1000" b="0" i="0" u="none" strike="noStrike" baseline="0">
                  <a:solidFill>
                    <a:srgbClr val="000000"/>
                  </a:solidFill>
                  <a:latin typeface="Arial"/>
                  <a:cs typeface="Arial"/>
                </a:rPr>
                <a:t>enregistrer-sous</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304800</xdr:colOff>
      <xdr:row>8</xdr:row>
      <xdr:rowOff>76199</xdr:rowOff>
    </xdr:from>
    <xdr:to>
      <xdr:col>19</xdr:col>
      <xdr:colOff>190500</xdr:colOff>
      <xdr:row>33</xdr:row>
      <xdr:rowOff>57149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371475</xdr:colOff>
      <xdr:row>8</xdr:row>
      <xdr:rowOff>66675</xdr:rowOff>
    </xdr:from>
    <xdr:to>
      <xdr:col>27</xdr:col>
      <xdr:colOff>257175</xdr:colOff>
      <xdr:row>33</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666750</xdr:colOff>
      <xdr:row>8</xdr:row>
      <xdr:rowOff>123824</xdr:rowOff>
    </xdr:from>
    <xdr:to>
      <xdr:col>13</xdr:col>
      <xdr:colOff>552450</xdr:colOff>
      <xdr:row>33</xdr:row>
      <xdr:rowOff>104774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657225</xdr:colOff>
      <xdr:row>34</xdr:row>
      <xdr:rowOff>95250</xdr:rowOff>
    </xdr:from>
    <xdr:to>
      <xdr:col>13</xdr:col>
      <xdr:colOff>542925</xdr:colOff>
      <xdr:row>62</xdr:row>
      <xdr:rowOff>76200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714375</xdr:colOff>
      <xdr:row>9</xdr:row>
      <xdr:rowOff>57150</xdr:rowOff>
    </xdr:from>
    <xdr:to>
      <xdr:col>21</xdr:col>
      <xdr:colOff>600075</xdr:colOff>
      <xdr:row>34</xdr:row>
      <xdr:rowOff>38100</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35</xdr:row>
      <xdr:rowOff>0</xdr:rowOff>
    </xdr:from>
    <xdr:to>
      <xdr:col>21</xdr:col>
      <xdr:colOff>647700</xdr:colOff>
      <xdr:row>62</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19050</xdr:colOff>
      <xdr:row>26</xdr:row>
      <xdr:rowOff>123825</xdr:rowOff>
    </xdr:from>
    <xdr:to>
      <xdr:col>12</xdr:col>
      <xdr:colOff>9525</xdr:colOff>
      <xdr:row>26</xdr:row>
      <xdr:rowOff>133350</xdr:rowOff>
    </xdr:to>
    <xdr:sp macro="" textlink="">
      <xdr:nvSpPr>
        <xdr:cNvPr id="24092720" name="Line 198"/>
        <xdr:cNvSpPr>
          <a:spLocks noChangeShapeType="1"/>
        </xdr:cNvSpPr>
      </xdr:nvSpPr>
      <xdr:spPr bwMode="auto">
        <a:xfrm flipH="1" flipV="1">
          <a:off x="4086225" y="6753225"/>
          <a:ext cx="952500"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581025</xdr:colOff>
      <xdr:row>28</xdr:row>
      <xdr:rowOff>142875</xdr:rowOff>
    </xdr:from>
    <xdr:to>
      <xdr:col>21</xdr:col>
      <xdr:colOff>742950</xdr:colOff>
      <xdr:row>30</xdr:row>
      <xdr:rowOff>76200</xdr:rowOff>
    </xdr:to>
    <xdr:sp macro="" textlink="">
      <xdr:nvSpPr>
        <xdr:cNvPr id="24092730" name="Rectangle 120"/>
        <xdr:cNvSpPr>
          <a:spLocks noChangeArrowheads="1"/>
        </xdr:cNvSpPr>
      </xdr:nvSpPr>
      <xdr:spPr bwMode="auto">
        <a:xfrm>
          <a:off x="11506200" y="7096125"/>
          <a:ext cx="0" cy="257175"/>
        </a:xfrm>
        <a:prstGeom prst="rect">
          <a:avLst/>
        </a:prstGeom>
        <a:solidFill>
          <a:srgbClr xmlns:mc="http://schemas.openxmlformats.org/markup-compatibility/2006" xmlns:a14="http://schemas.microsoft.com/office/drawing/2010/main" val="CCCCFF" mc:Ignorable="a14" a14:legacySpreadsheetColorIndex="3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352425</xdr:colOff>
      <xdr:row>8</xdr:row>
      <xdr:rowOff>85725</xdr:rowOff>
    </xdr:from>
    <xdr:to>
      <xdr:col>2</xdr:col>
      <xdr:colOff>352425</xdr:colOff>
      <xdr:row>11</xdr:row>
      <xdr:rowOff>28575</xdr:rowOff>
    </xdr:to>
    <xdr:sp macro="" textlink="">
      <xdr:nvSpPr>
        <xdr:cNvPr id="24092732" name="Line 144"/>
        <xdr:cNvSpPr>
          <a:spLocks noChangeShapeType="1"/>
        </xdr:cNvSpPr>
      </xdr:nvSpPr>
      <xdr:spPr bwMode="auto">
        <a:xfrm flipH="1">
          <a:off x="2047875" y="2228850"/>
          <a:ext cx="0" cy="82867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371475</xdr:colOff>
      <xdr:row>15</xdr:row>
      <xdr:rowOff>76200</xdr:rowOff>
    </xdr:from>
    <xdr:to>
      <xdr:col>2</xdr:col>
      <xdr:colOff>381000</xdr:colOff>
      <xdr:row>19</xdr:row>
      <xdr:rowOff>428625</xdr:rowOff>
    </xdr:to>
    <xdr:sp macro="" textlink="">
      <xdr:nvSpPr>
        <xdr:cNvPr id="24092733" name="Line 145"/>
        <xdr:cNvSpPr>
          <a:spLocks noChangeShapeType="1"/>
        </xdr:cNvSpPr>
      </xdr:nvSpPr>
      <xdr:spPr bwMode="auto">
        <a:xfrm>
          <a:off x="2066925" y="3724275"/>
          <a:ext cx="9525" cy="14478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95250</xdr:colOff>
      <xdr:row>9</xdr:row>
      <xdr:rowOff>19050</xdr:rowOff>
    </xdr:from>
    <xdr:to>
      <xdr:col>2</xdr:col>
      <xdr:colOff>647700</xdr:colOff>
      <xdr:row>10</xdr:row>
      <xdr:rowOff>400050</xdr:rowOff>
    </xdr:to>
    <xdr:grpSp>
      <xdr:nvGrpSpPr>
        <xdr:cNvPr id="24092734" name="Group 163"/>
        <xdr:cNvGrpSpPr>
          <a:grpSpLocks/>
        </xdr:cNvGrpSpPr>
      </xdr:nvGrpSpPr>
      <xdr:grpSpPr bwMode="auto">
        <a:xfrm>
          <a:off x="1171989" y="1451941"/>
          <a:ext cx="552450" cy="365677"/>
          <a:chOff x="199" y="309"/>
          <a:chExt cx="75" cy="72"/>
        </a:xfrm>
      </xdr:grpSpPr>
      <xdr:sp macro="" textlink="">
        <xdr:nvSpPr>
          <xdr:cNvPr id="24092786" name="Oval 148"/>
          <xdr:cNvSpPr>
            <a:spLocks noChangeArrowheads="1"/>
          </xdr:cNvSpPr>
        </xdr:nvSpPr>
        <xdr:spPr bwMode="auto">
          <a:xfrm>
            <a:off x="199" y="309"/>
            <a:ext cx="69" cy="6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5" name="Text Box 149"/>
          <xdr:cNvSpPr txBox="1">
            <a:spLocks noChangeArrowheads="1"/>
          </xdr:cNvSpPr>
        </xdr:nvSpPr>
        <xdr:spPr bwMode="auto">
          <a:xfrm>
            <a:off x="215" y="325"/>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a:t>
            </a:r>
            <a:endParaRPr lang="fr-CH"/>
          </a:p>
        </xdr:txBody>
      </xdr:sp>
    </xdr:grpSp>
    <xdr:clientData/>
  </xdr:twoCellAnchor>
  <xdr:twoCellAnchor>
    <xdr:from>
      <xdr:col>2</xdr:col>
      <xdr:colOff>114300</xdr:colOff>
      <xdr:row>17</xdr:row>
      <xdr:rowOff>0</xdr:rowOff>
    </xdr:from>
    <xdr:to>
      <xdr:col>2</xdr:col>
      <xdr:colOff>647700</xdr:colOff>
      <xdr:row>18</xdr:row>
      <xdr:rowOff>409575</xdr:rowOff>
    </xdr:to>
    <xdr:grpSp>
      <xdr:nvGrpSpPr>
        <xdr:cNvPr id="24092735" name="Group 164"/>
        <xdr:cNvGrpSpPr>
          <a:grpSpLocks/>
        </xdr:cNvGrpSpPr>
      </xdr:nvGrpSpPr>
      <xdr:grpSpPr bwMode="auto">
        <a:xfrm>
          <a:off x="1191039" y="2716696"/>
          <a:ext cx="533400" cy="600075"/>
          <a:chOff x="193" y="542"/>
          <a:chExt cx="72" cy="79"/>
        </a:xfrm>
      </xdr:grpSpPr>
      <xdr:sp macro="" textlink="">
        <xdr:nvSpPr>
          <xdr:cNvPr id="24092784" name="Oval 150"/>
          <xdr:cNvSpPr>
            <a:spLocks noChangeArrowheads="1"/>
          </xdr:cNvSpPr>
        </xdr:nvSpPr>
        <xdr:spPr bwMode="auto">
          <a:xfrm>
            <a:off x="193" y="542"/>
            <a:ext cx="68" cy="7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7" name="Text Box 151"/>
          <xdr:cNvSpPr txBox="1">
            <a:spLocks noChangeArrowheads="1"/>
          </xdr:cNvSpPr>
        </xdr:nvSpPr>
        <xdr:spPr bwMode="auto">
          <a:xfrm>
            <a:off x="206" y="565"/>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BD</a:t>
            </a:r>
            <a:endParaRPr lang="fr-CH"/>
          </a:p>
        </xdr:txBody>
      </xdr:sp>
    </xdr:grpSp>
    <xdr:clientData/>
  </xdr:twoCellAnchor>
  <xdr:twoCellAnchor>
    <xdr:from>
      <xdr:col>2</xdr:col>
      <xdr:colOff>142875</xdr:colOff>
      <xdr:row>39</xdr:row>
      <xdr:rowOff>66675</xdr:rowOff>
    </xdr:from>
    <xdr:to>
      <xdr:col>2</xdr:col>
      <xdr:colOff>609600</xdr:colOff>
      <xdr:row>42</xdr:row>
      <xdr:rowOff>104775</xdr:rowOff>
    </xdr:to>
    <xdr:grpSp>
      <xdr:nvGrpSpPr>
        <xdr:cNvPr id="24092736" name="Group 166"/>
        <xdr:cNvGrpSpPr>
          <a:grpSpLocks/>
        </xdr:cNvGrpSpPr>
      </xdr:nvGrpSpPr>
      <xdr:grpSpPr bwMode="auto">
        <a:xfrm>
          <a:off x="1219614" y="7024066"/>
          <a:ext cx="466725" cy="427383"/>
          <a:chOff x="243" y="1162"/>
          <a:chExt cx="62" cy="69"/>
        </a:xfrm>
      </xdr:grpSpPr>
      <xdr:sp macro="" textlink="">
        <xdr:nvSpPr>
          <xdr:cNvPr id="24092782" name="Oval 152"/>
          <xdr:cNvSpPr>
            <a:spLocks noChangeArrowheads="1"/>
          </xdr:cNvSpPr>
        </xdr:nvSpPr>
        <xdr:spPr bwMode="auto">
          <a:xfrm>
            <a:off x="243" y="1162"/>
            <a:ext cx="62" cy="6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9" name="Text Box 153"/>
          <xdr:cNvSpPr txBox="1">
            <a:spLocks noChangeArrowheads="1"/>
          </xdr:cNvSpPr>
        </xdr:nvSpPr>
        <xdr:spPr bwMode="auto">
          <a:xfrm>
            <a:off x="256" y="1181"/>
            <a:ext cx="47" cy="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BS</a:t>
            </a:r>
            <a:endParaRPr lang="fr-CH"/>
          </a:p>
        </xdr:txBody>
      </xdr:sp>
    </xdr:grpSp>
    <xdr:clientData/>
  </xdr:twoCellAnchor>
  <xdr:twoCellAnchor>
    <xdr:from>
      <xdr:col>2</xdr:col>
      <xdr:colOff>371475</xdr:colOff>
      <xdr:row>23</xdr:row>
      <xdr:rowOff>66675</xdr:rowOff>
    </xdr:from>
    <xdr:to>
      <xdr:col>2</xdr:col>
      <xdr:colOff>371475</xdr:colOff>
      <xdr:row>30</xdr:row>
      <xdr:rowOff>142875</xdr:rowOff>
    </xdr:to>
    <xdr:sp macro="" textlink="">
      <xdr:nvSpPr>
        <xdr:cNvPr id="24092737" name="Line 154"/>
        <xdr:cNvSpPr>
          <a:spLocks noChangeShapeType="1"/>
        </xdr:cNvSpPr>
      </xdr:nvSpPr>
      <xdr:spPr bwMode="auto">
        <a:xfrm flipH="1">
          <a:off x="2066925" y="5886450"/>
          <a:ext cx="0" cy="1533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1</xdr:row>
      <xdr:rowOff>0</xdr:rowOff>
    </xdr:from>
    <xdr:to>
      <xdr:col>8</xdr:col>
      <xdr:colOff>9525</xdr:colOff>
      <xdr:row>47</xdr:row>
      <xdr:rowOff>152400</xdr:rowOff>
    </xdr:to>
    <xdr:sp macro="" textlink="">
      <xdr:nvSpPr>
        <xdr:cNvPr id="24092738" name="Line 156"/>
        <xdr:cNvSpPr>
          <a:spLocks noChangeShapeType="1"/>
        </xdr:cNvSpPr>
      </xdr:nvSpPr>
      <xdr:spPr bwMode="auto">
        <a:xfrm>
          <a:off x="4867275" y="971550"/>
          <a:ext cx="9525" cy="9753600"/>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352425</xdr:colOff>
      <xdr:row>35</xdr:row>
      <xdr:rowOff>0</xdr:rowOff>
    </xdr:from>
    <xdr:to>
      <xdr:col>2</xdr:col>
      <xdr:colOff>352425</xdr:colOff>
      <xdr:row>39</xdr:row>
      <xdr:rowOff>38100</xdr:rowOff>
    </xdr:to>
    <xdr:sp macro="" textlink="">
      <xdr:nvSpPr>
        <xdr:cNvPr id="24092739" name="Line 158"/>
        <xdr:cNvSpPr>
          <a:spLocks noChangeShapeType="1"/>
        </xdr:cNvSpPr>
      </xdr:nvSpPr>
      <xdr:spPr bwMode="auto">
        <a:xfrm flipH="1">
          <a:off x="2047875" y="8058150"/>
          <a:ext cx="0" cy="6858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104775</xdr:colOff>
      <xdr:row>24</xdr:row>
      <xdr:rowOff>0</xdr:rowOff>
    </xdr:from>
    <xdr:to>
      <xdr:col>2</xdr:col>
      <xdr:colOff>657225</xdr:colOff>
      <xdr:row>26</xdr:row>
      <xdr:rowOff>95250</xdr:rowOff>
    </xdr:to>
    <xdr:grpSp>
      <xdr:nvGrpSpPr>
        <xdr:cNvPr id="24092740" name="Group 165"/>
        <xdr:cNvGrpSpPr>
          <a:grpSpLocks/>
        </xdr:cNvGrpSpPr>
      </xdr:nvGrpSpPr>
      <xdr:grpSpPr bwMode="auto">
        <a:xfrm>
          <a:off x="1181514" y="4588565"/>
          <a:ext cx="552450" cy="426555"/>
          <a:chOff x="190" y="838"/>
          <a:chExt cx="75" cy="74"/>
        </a:xfrm>
      </xdr:grpSpPr>
      <xdr:sp macro="" textlink="">
        <xdr:nvSpPr>
          <xdr:cNvPr id="24092780" name="Oval 159"/>
          <xdr:cNvSpPr>
            <a:spLocks noChangeArrowheads="1"/>
          </xdr:cNvSpPr>
        </xdr:nvSpPr>
        <xdr:spPr bwMode="auto">
          <a:xfrm>
            <a:off x="190" y="838"/>
            <a:ext cx="69" cy="7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36" name="Text Box 160"/>
          <xdr:cNvSpPr txBox="1">
            <a:spLocks noChangeArrowheads="1"/>
          </xdr:cNvSpPr>
        </xdr:nvSpPr>
        <xdr:spPr bwMode="auto">
          <a:xfrm>
            <a:off x="206" y="856"/>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BH</a:t>
            </a:r>
            <a:endParaRPr lang="fr-CH"/>
          </a:p>
        </xdr:txBody>
      </xdr:sp>
    </xdr:grpSp>
    <xdr:clientData/>
  </xdr:twoCellAnchor>
  <xdr:twoCellAnchor>
    <xdr:from>
      <xdr:col>2</xdr:col>
      <xdr:colOff>381000</xdr:colOff>
      <xdr:row>3</xdr:row>
      <xdr:rowOff>10886</xdr:rowOff>
    </xdr:from>
    <xdr:to>
      <xdr:col>2</xdr:col>
      <xdr:colOff>391886</xdr:colOff>
      <xdr:row>4</xdr:row>
      <xdr:rowOff>114300</xdr:rowOff>
    </xdr:to>
    <xdr:sp macro="" textlink="">
      <xdr:nvSpPr>
        <xdr:cNvPr id="24092743" name="Line 194"/>
        <xdr:cNvSpPr>
          <a:spLocks noChangeShapeType="1"/>
        </xdr:cNvSpPr>
      </xdr:nvSpPr>
      <xdr:spPr bwMode="auto">
        <a:xfrm flipH="1">
          <a:off x="2122714" y="1338943"/>
          <a:ext cx="10886" cy="2667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372836</xdr:colOff>
      <xdr:row>3</xdr:row>
      <xdr:rowOff>4082</xdr:rowOff>
    </xdr:from>
    <xdr:to>
      <xdr:col>5</xdr:col>
      <xdr:colOff>10886</xdr:colOff>
      <xdr:row>3</xdr:row>
      <xdr:rowOff>13607</xdr:rowOff>
    </xdr:to>
    <xdr:sp macro="" textlink="">
      <xdr:nvSpPr>
        <xdr:cNvPr id="24092744" name="Line 195"/>
        <xdr:cNvSpPr>
          <a:spLocks noChangeShapeType="1"/>
        </xdr:cNvSpPr>
      </xdr:nvSpPr>
      <xdr:spPr bwMode="auto">
        <a:xfrm flipH="1">
          <a:off x="2114550" y="1332139"/>
          <a:ext cx="2087336"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707571</xdr:colOff>
      <xdr:row>3</xdr:row>
      <xdr:rowOff>21771</xdr:rowOff>
    </xdr:from>
    <xdr:to>
      <xdr:col>5</xdr:col>
      <xdr:colOff>0</xdr:colOff>
      <xdr:row>34</xdr:row>
      <xdr:rowOff>95249</xdr:rowOff>
    </xdr:to>
    <xdr:sp macro="" textlink="">
      <xdr:nvSpPr>
        <xdr:cNvPr id="24092745" name="Line 196"/>
        <xdr:cNvSpPr>
          <a:spLocks noChangeShapeType="1"/>
        </xdr:cNvSpPr>
      </xdr:nvSpPr>
      <xdr:spPr bwMode="auto">
        <a:xfrm flipH="1" flipV="1">
          <a:off x="4180114" y="1349828"/>
          <a:ext cx="10886" cy="6670221"/>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34</xdr:row>
      <xdr:rowOff>85725</xdr:rowOff>
    </xdr:from>
    <xdr:to>
      <xdr:col>12</xdr:col>
      <xdr:colOff>9525</xdr:colOff>
      <xdr:row>34</xdr:row>
      <xdr:rowOff>95250</xdr:rowOff>
    </xdr:to>
    <xdr:sp macro="" textlink="">
      <xdr:nvSpPr>
        <xdr:cNvPr id="24092746" name="Line 197"/>
        <xdr:cNvSpPr>
          <a:spLocks noChangeShapeType="1"/>
        </xdr:cNvSpPr>
      </xdr:nvSpPr>
      <xdr:spPr bwMode="auto">
        <a:xfrm flipH="1" flipV="1">
          <a:off x="4086225" y="7981950"/>
          <a:ext cx="952500"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25</xdr:row>
      <xdr:rowOff>47625</xdr:rowOff>
    </xdr:from>
    <xdr:to>
      <xdr:col>7</xdr:col>
      <xdr:colOff>133350</xdr:colOff>
      <xdr:row>28</xdr:row>
      <xdr:rowOff>133350</xdr:rowOff>
    </xdr:to>
    <xdr:grpSp>
      <xdr:nvGrpSpPr>
        <xdr:cNvPr id="24092747" name="Group 199"/>
        <xdr:cNvGrpSpPr>
          <a:grpSpLocks/>
        </xdr:cNvGrpSpPr>
      </xdr:nvGrpSpPr>
      <xdr:grpSpPr bwMode="auto">
        <a:xfrm>
          <a:off x="3258792" y="4801842"/>
          <a:ext cx="560319" cy="582682"/>
          <a:chOff x="190" y="838"/>
          <a:chExt cx="75" cy="74"/>
        </a:xfrm>
      </xdr:grpSpPr>
      <xdr:sp macro="" textlink="">
        <xdr:nvSpPr>
          <xdr:cNvPr id="24092774" name="Oval 200"/>
          <xdr:cNvSpPr>
            <a:spLocks noChangeArrowheads="1"/>
          </xdr:cNvSpPr>
        </xdr:nvSpPr>
        <xdr:spPr bwMode="auto">
          <a:xfrm>
            <a:off x="190" y="838"/>
            <a:ext cx="69" cy="7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77" name="Text Box 201"/>
          <xdr:cNvSpPr txBox="1">
            <a:spLocks noChangeArrowheads="1"/>
          </xdr:cNvSpPr>
        </xdr:nvSpPr>
        <xdr:spPr bwMode="auto">
          <a:xfrm>
            <a:off x="206" y="856"/>
            <a:ext cx="59" cy="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BF</a:t>
            </a:r>
            <a:endParaRPr lang="fr-CH"/>
          </a:p>
        </xdr:txBody>
      </xdr:sp>
    </xdr:grpSp>
    <xdr:clientData/>
  </xdr:twoCellAnchor>
  <xdr:twoCellAnchor>
    <xdr:from>
      <xdr:col>5</xdr:col>
      <xdr:colOff>219075</xdr:colOff>
      <xdr:row>33</xdr:row>
      <xdr:rowOff>85725</xdr:rowOff>
    </xdr:from>
    <xdr:to>
      <xdr:col>7</xdr:col>
      <xdr:colOff>47625</xdr:colOff>
      <xdr:row>36</xdr:row>
      <xdr:rowOff>104775</xdr:rowOff>
    </xdr:to>
    <xdr:grpSp>
      <xdr:nvGrpSpPr>
        <xdr:cNvPr id="24092748" name="Group 202"/>
        <xdr:cNvGrpSpPr>
          <a:grpSpLocks/>
        </xdr:cNvGrpSpPr>
      </xdr:nvGrpSpPr>
      <xdr:grpSpPr bwMode="auto">
        <a:xfrm>
          <a:off x="3258792" y="6049203"/>
          <a:ext cx="474594" cy="516007"/>
          <a:chOff x="243" y="1162"/>
          <a:chExt cx="62" cy="69"/>
        </a:xfrm>
      </xdr:grpSpPr>
      <xdr:sp macro="" textlink="">
        <xdr:nvSpPr>
          <xdr:cNvPr id="24092772" name="Oval 203"/>
          <xdr:cNvSpPr>
            <a:spLocks noChangeArrowheads="1"/>
          </xdr:cNvSpPr>
        </xdr:nvSpPr>
        <xdr:spPr bwMode="auto">
          <a:xfrm>
            <a:off x="243" y="1162"/>
            <a:ext cx="62" cy="6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80" name="Text Box 204"/>
          <xdr:cNvSpPr txBox="1">
            <a:spLocks noChangeArrowheads="1"/>
          </xdr:cNvSpPr>
        </xdr:nvSpPr>
        <xdr:spPr bwMode="auto">
          <a:xfrm>
            <a:off x="256" y="1182"/>
            <a:ext cx="47" cy="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BX</a:t>
            </a:r>
            <a:endParaRPr lang="fr-CH"/>
          </a:p>
        </xdr:txBody>
      </xdr:sp>
    </xdr:grpSp>
    <xdr:clientData/>
  </xdr:twoCellAnchor>
  <xdr:twoCellAnchor editAs="oneCell">
    <xdr:from>
      <xdr:col>15</xdr:col>
      <xdr:colOff>519793</xdr:colOff>
      <xdr:row>0</xdr:row>
      <xdr:rowOff>131370</xdr:rowOff>
    </xdr:from>
    <xdr:to>
      <xdr:col>31</xdr:col>
      <xdr:colOff>621475</xdr:colOff>
      <xdr:row>24</xdr:row>
      <xdr:rowOff>152903</xdr:rowOff>
    </xdr:to>
    <xdr:pic>
      <xdr:nvPicPr>
        <xdr:cNvPr id="73" name="Image 7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5293" y="131370"/>
          <a:ext cx="9994075" cy="4607140"/>
        </a:xfrm>
        <a:prstGeom prst="rect">
          <a:avLst/>
        </a:prstGeom>
      </xdr:spPr>
    </xdr:pic>
    <xdr:clientData/>
  </xdr:twoCellAnchor>
  <xdr:twoCellAnchor editAs="oneCell">
    <xdr:from>
      <xdr:col>15</xdr:col>
      <xdr:colOff>426770</xdr:colOff>
      <xdr:row>26</xdr:row>
      <xdr:rowOff>48243</xdr:rowOff>
    </xdr:from>
    <xdr:to>
      <xdr:col>31</xdr:col>
      <xdr:colOff>528452</xdr:colOff>
      <xdr:row>53</xdr:row>
      <xdr:rowOff>84324</xdr:rowOff>
    </xdr:to>
    <xdr:pic>
      <xdr:nvPicPr>
        <xdr:cNvPr id="74" name="Image 7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2270" y="4960422"/>
          <a:ext cx="9994075" cy="4335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42</xdr:row>
      <xdr:rowOff>138544</xdr:rowOff>
    </xdr:from>
    <xdr:to>
      <xdr:col>12</xdr:col>
      <xdr:colOff>661147</xdr:colOff>
      <xdr:row>55</xdr:row>
      <xdr:rowOff>123265</xdr:rowOff>
    </xdr:to>
    <xdr:graphicFrame macro="">
      <xdr:nvGraphicFramePr>
        <xdr:cNvPr id="1457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390525</xdr:colOff>
      <xdr:row>1</xdr:row>
      <xdr:rowOff>76200</xdr:rowOff>
    </xdr:from>
    <xdr:to>
      <xdr:col>19</xdr:col>
      <xdr:colOff>332715</xdr:colOff>
      <xdr:row>18</xdr:row>
      <xdr:rowOff>142499</xdr:rowOff>
    </xdr:to>
    <xdr:pic>
      <xdr:nvPicPr>
        <xdr:cNvPr id="2" name="Image 1"/>
        <xdr:cNvPicPr>
          <a:picLocks noChangeAspect="1"/>
        </xdr:cNvPicPr>
      </xdr:nvPicPr>
      <xdr:blipFill>
        <a:blip xmlns:r="http://schemas.openxmlformats.org/officeDocument/2006/relationships" r:embed="rId1"/>
        <a:stretch>
          <a:fillRect/>
        </a:stretch>
      </xdr:blipFill>
      <xdr:spPr>
        <a:xfrm>
          <a:off x="13735050" y="314325"/>
          <a:ext cx="5276190" cy="3009524"/>
        </a:xfrm>
        <a:prstGeom prst="rect">
          <a:avLst/>
        </a:prstGeom>
      </xdr:spPr>
    </xdr:pic>
    <xdr:clientData/>
  </xdr:twoCellAnchor>
  <xdr:twoCellAnchor editAs="oneCell">
    <xdr:from>
      <xdr:col>12</xdr:col>
      <xdr:colOff>504825</xdr:colOff>
      <xdr:row>21</xdr:row>
      <xdr:rowOff>57150</xdr:rowOff>
    </xdr:from>
    <xdr:to>
      <xdr:col>16</xdr:col>
      <xdr:colOff>485396</xdr:colOff>
      <xdr:row>37</xdr:row>
      <xdr:rowOff>161588</xdr:rowOff>
    </xdr:to>
    <xdr:pic>
      <xdr:nvPicPr>
        <xdr:cNvPr id="3" name="Image 2"/>
        <xdr:cNvPicPr>
          <a:picLocks noChangeAspect="1"/>
        </xdr:cNvPicPr>
      </xdr:nvPicPr>
      <xdr:blipFill>
        <a:blip xmlns:r="http://schemas.openxmlformats.org/officeDocument/2006/relationships" r:embed="rId2"/>
        <a:stretch>
          <a:fillRect/>
        </a:stretch>
      </xdr:blipFill>
      <xdr:spPr>
        <a:xfrm>
          <a:off x="13849350" y="3724275"/>
          <a:ext cx="3028571" cy="2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200024</xdr:colOff>
      <xdr:row>7</xdr:row>
      <xdr:rowOff>92074</xdr:rowOff>
    </xdr:from>
    <xdr:to>
      <xdr:col>19</xdr:col>
      <xdr:colOff>666749</xdr:colOff>
      <xdr:row>45</xdr:row>
      <xdr:rowOff>101600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201706</xdr:colOff>
      <xdr:row>46</xdr:row>
      <xdr:rowOff>145677</xdr:rowOff>
    </xdr:from>
    <xdr:to>
      <xdr:col>19</xdr:col>
      <xdr:colOff>668431</xdr:colOff>
      <xdr:row>84</xdr:row>
      <xdr:rowOff>155203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742950</xdr:colOff>
      <xdr:row>8</xdr:row>
      <xdr:rowOff>152400</xdr:rowOff>
    </xdr:from>
    <xdr:to>
      <xdr:col>25</xdr:col>
      <xdr:colOff>628650</xdr:colOff>
      <xdr:row>33</xdr:row>
      <xdr:rowOff>142875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742950</xdr:colOff>
      <xdr:row>34</xdr:row>
      <xdr:rowOff>85725</xdr:rowOff>
    </xdr:from>
    <xdr:to>
      <xdr:col>25</xdr:col>
      <xdr:colOff>628650</xdr:colOff>
      <xdr:row>59</xdr:row>
      <xdr:rowOff>76200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752475</xdr:colOff>
      <xdr:row>61</xdr:row>
      <xdr:rowOff>9525</xdr:rowOff>
    </xdr:from>
    <xdr:to>
      <xdr:col>25</xdr:col>
      <xdr:colOff>638175</xdr:colOff>
      <xdr:row>86</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733425</xdr:colOff>
      <xdr:row>87</xdr:row>
      <xdr:rowOff>0</xdr:rowOff>
    </xdr:from>
    <xdr:to>
      <xdr:col>25</xdr:col>
      <xdr:colOff>619125</xdr:colOff>
      <xdr:row>111</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714375</xdr:colOff>
      <xdr:row>113</xdr:row>
      <xdr:rowOff>19050</xdr:rowOff>
    </xdr:from>
    <xdr:to>
      <xdr:col>25</xdr:col>
      <xdr:colOff>600075</xdr:colOff>
      <xdr:row>138</xdr:row>
      <xdr:rowOff>9525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695325</xdr:colOff>
      <xdr:row>138</xdr:row>
      <xdr:rowOff>133350</xdr:rowOff>
    </xdr:from>
    <xdr:to>
      <xdr:col>25</xdr:col>
      <xdr:colOff>581025</xdr:colOff>
      <xdr:row>163</xdr:row>
      <xdr:rowOff>123825</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647700</xdr:colOff>
      <xdr:row>165</xdr:row>
      <xdr:rowOff>38100</xdr:rowOff>
    </xdr:from>
    <xdr:to>
      <xdr:col>25</xdr:col>
      <xdr:colOff>533400</xdr:colOff>
      <xdr:row>190</xdr:row>
      <xdr:rowOff>28575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581025</xdr:colOff>
      <xdr:row>8</xdr:row>
      <xdr:rowOff>47624</xdr:rowOff>
    </xdr:from>
    <xdr:to>
      <xdr:col>16</xdr:col>
      <xdr:colOff>466725</xdr:colOff>
      <xdr:row>33</xdr:row>
      <xdr:rowOff>28574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600075</xdr:colOff>
      <xdr:row>33</xdr:row>
      <xdr:rowOff>133350</xdr:rowOff>
    </xdr:from>
    <xdr:to>
      <xdr:col>16</xdr:col>
      <xdr:colOff>485775</xdr:colOff>
      <xdr:row>61</xdr:row>
      <xdr:rowOff>114300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590550</xdr:colOff>
      <xdr:row>63</xdr:row>
      <xdr:rowOff>0</xdr:rowOff>
    </xdr:from>
    <xdr:to>
      <xdr:col>16</xdr:col>
      <xdr:colOff>476250</xdr:colOff>
      <xdr:row>90</xdr:row>
      <xdr:rowOff>142875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723900</xdr:colOff>
      <xdr:row>33</xdr:row>
      <xdr:rowOff>104775</xdr:rowOff>
    </xdr:from>
    <xdr:to>
      <xdr:col>24</xdr:col>
      <xdr:colOff>609600</xdr:colOff>
      <xdr:row>61</xdr:row>
      <xdr:rowOff>85725</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27</xdr:col>
      <xdr:colOff>323850</xdr:colOff>
      <xdr:row>8</xdr:row>
      <xdr:rowOff>19049</xdr:rowOff>
    </xdr:from>
    <xdr:to>
      <xdr:col>35</xdr:col>
      <xdr:colOff>209550</xdr:colOff>
      <xdr:row>33</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295275</xdr:colOff>
      <xdr:row>34</xdr:row>
      <xdr:rowOff>28575</xdr:rowOff>
    </xdr:from>
    <xdr:to>
      <xdr:col>35</xdr:col>
      <xdr:colOff>180975</xdr:colOff>
      <xdr:row>59</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285750</xdr:colOff>
      <xdr:row>60</xdr:row>
      <xdr:rowOff>38100</xdr:rowOff>
    </xdr:from>
    <xdr:to>
      <xdr:col>35</xdr:col>
      <xdr:colOff>171450</xdr:colOff>
      <xdr:row>85</xdr:row>
      <xdr:rowOff>28575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8</xdr:row>
      <xdr:rowOff>0</xdr:rowOff>
    </xdr:from>
    <xdr:to>
      <xdr:col>43</xdr:col>
      <xdr:colOff>647700</xdr:colOff>
      <xdr:row>32</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34</xdr:row>
      <xdr:rowOff>0</xdr:rowOff>
    </xdr:from>
    <xdr:to>
      <xdr:col>43</xdr:col>
      <xdr:colOff>647700</xdr:colOff>
      <xdr:row>58</xdr:row>
      <xdr:rowOff>152400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66675</xdr:colOff>
      <xdr:row>86</xdr:row>
      <xdr:rowOff>85725</xdr:rowOff>
    </xdr:from>
    <xdr:to>
      <xdr:col>43</xdr:col>
      <xdr:colOff>714375</xdr:colOff>
      <xdr:row>111</xdr:row>
      <xdr:rowOff>76200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0</xdr:colOff>
      <xdr:row>60</xdr:row>
      <xdr:rowOff>0</xdr:rowOff>
    </xdr:from>
    <xdr:to>
      <xdr:col>43</xdr:col>
      <xdr:colOff>647700</xdr:colOff>
      <xdr:row>84</xdr:row>
      <xdr:rowOff>152400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266700</xdr:colOff>
      <xdr:row>86</xdr:row>
      <xdr:rowOff>9525</xdr:rowOff>
    </xdr:from>
    <xdr:to>
      <xdr:col>35</xdr:col>
      <xdr:colOff>152400</xdr:colOff>
      <xdr:row>111</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0</xdr:colOff>
      <xdr:row>112</xdr:row>
      <xdr:rowOff>0</xdr:rowOff>
    </xdr:from>
    <xdr:to>
      <xdr:col>43</xdr:col>
      <xdr:colOff>647700</xdr:colOff>
      <xdr:row>136</xdr:row>
      <xdr:rowOff>152400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0</xdr:colOff>
      <xdr:row>138</xdr:row>
      <xdr:rowOff>0</xdr:rowOff>
    </xdr:from>
    <xdr:to>
      <xdr:col>43</xdr:col>
      <xdr:colOff>647700</xdr:colOff>
      <xdr:row>162</xdr:row>
      <xdr:rowOff>152400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0</xdr:colOff>
      <xdr:row>164</xdr:row>
      <xdr:rowOff>0</xdr:rowOff>
    </xdr:from>
    <xdr:to>
      <xdr:col>43</xdr:col>
      <xdr:colOff>647700</xdr:colOff>
      <xdr:row>188</xdr:row>
      <xdr:rowOff>152400</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209550</xdr:colOff>
      <xdr:row>8</xdr:row>
      <xdr:rowOff>66674</xdr:rowOff>
    </xdr:from>
    <xdr:to>
      <xdr:col>20</xdr:col>
      <xdr:colOff>95250</xdr:colOff>
      <xdr:row>33</xdr:row>
      <xdr:rowOff>57149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228600</xdr:colOff>
      <xdr:row>33</xdr:row>
      <xdr:rowOff>152400</xdr:rowOff>
    </xdr:from>
    <xdr:to>
      <xdr:col>20</xdr:col>
      <xdr:colOff>114300</xdr:colOff>
      <xdr:row>58</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209550</xdr:colOff>
      <xdr:row>59</xdr:row>
      <xdr:rowOff>142875</xdr:rowOff>
    </xdr:from>
    <xdr:to>
      <xdr:col>20</xdr:col>
      <xdr:colOff>95250</xdr:colOff>
      <xdr:row>84</xdr:row>
      <xdr:rowOff>133350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180975</xdr:colOff>
      <xdr:row>111</xdr:row>
      <xdr:rowOff>38100</xdr:rowOff>
    </xdr:from>
    <xdr:to>
      <xdr:col>20</xdr:col>
      <xdr:colOff>66675</xdr:colOff>
      <xdr:row>136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219075</xdr:colOff>
      <xdr:row>85</xdr:row>
      <xdr:rowOff>47625</xdr:rowOff>
    </xdr:from>
    <xdr:to>
      <xdr:col>20</xdr:col>
      <xdr:colOff>104775</xdr:colOff>
      <xdr:row>110</xdr:row>
      <xdr:rowOff>38100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123825</xdr:colOff>
      <xdr:row>7</xdr:row>
      <xdr:rowOff>142874</xdr:rowOff>
    </xdr:from>
    <xdr:to>
      <xdr:col>23</xdr:col>
      <xdr:colOff>9525</xdr:colOff>
      <xdr:row>32</xdr:row>
      <xdr:rowOff>123824</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34</xdr:row>
      <xdr:rowOff>0</xdr:rowOff>
    </xdr:from>
    <xdr:to>
      <xdr:col>22</xdr:col>
      <xdr:colOff>647700</xdr:colOff>
      <xdr:row>58</xdr:row>
      <xdr:rowOff>142875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123825</xdr:colOff>
      <xdr:row>7</xdr:row>
      <xdr:rowOff>152400</xdr:rowOff>
    </xdr:from>
    <xdr:to>
      <xdr:col>31</xdr:col>
      <xdr:colOff>9525</xdr:colOff>
      <xdr:row>32</xdr:row>
      <xdr:rowOff>133350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95250</xdr:colOff>
      <xdr:row>34</xdr:row>
      <xdr:rowOff>9525</xdr:rowOff>
    </xdr:from>
    <xdr:to>
      <xdr:col>30</xdr:col>
      <xdr:colOff>742950</xdr:colOff>
      <xdr:row>58</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tion_EAUX/2_Eaux%20de%20surface/STEP/Bilan%20annuel/Data%20STEP/2020/Briggematte-Randa_628700/Briggematte-Randa_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fra.vs.ch\dfs\Section_EAUX\2_Eaux%20de%20surface\STEP\Bilan%20annuel\Data%20STEP\2017\Briggematte-Randa_628700\ARASTEP_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ction_EAUX/2_Eaux%20de%20surface/STEP/Bilan%20annuel/Fichiers%20de%20calcul/2011/Rapport_STEPs_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FR,DE"/>
      <sheetName val="basis"/>
      <sheetName val="general"/>
      <sheetName val="analyses"/>
      <sheetName val="Energie+CHF"/>
      <sheetName val="boues"/>
      <sheetName val="BD"/>
      <sheetName val="graph1"/>
      <sheetName val="graph2"/>
      <sheetName val="calc"/>
      <sheetName val="integr"/>
      <sheetName val="schema"/>
      <sheetName val="constanten_bypass"/>
      <sheetName val="nb_ana"/>
      <sheetName val="liste"/>
      <sheetName val="hab.rac"/>
      <sheetName val="Rapport_Individuel"/>
    </sheetNames>
    <sheetDataSet>
      <sheetData sheetId="0"/>
      <sheetData sheetId="1">
        <row r="26">
          <cell r="B26">
            <v>150</v>
          </cell>
        </row>
      </sheetData>
      <sheetData sheetId="2"/>
      <sheetData sheetId="3"/>
      <sheetData sheetId="4"/>
      <sheetData sheetId="5"/>
      <sheetData sheetId="6"/>
      <sheetData sheetId="7">
        <row r="57">
          <cell r="C57">
            <v>775</v>
          </cell>
        </row>
        <row r="58">
          <cell r="C58">
            <v>1550</v>
          </cell>
        </row>
      </sheetData>
      <sheetData sheetId="8"/>
      <sheetData sheetId="9"/>
      <sheetData sheetId="10"/>
      <sheetData sheetId="11"/>
      <sheetData sheetId="12"/>
      <sheetData sheetId="13"/>
      <sheetData sheetId="14">
        <row r="101">
          <cell r="D101" t="str">
            <v>Briggmatte-Randa</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FR,DE"/>
      <sheetName val="basis"/>
      <sheetName val="general"/>
      <sheetName val="analyses"/>
      <sheetName val="Energie+CHF"/>
      <sheetName val="boues"/>
      <sheetName val="BD"/>
      <sheetName val="schema"/>
      <sheetName val="constanten_bypass"/>
      <sheetName val="nb_ana"/>
      <sheetName val="liste"/>
    </sheetNames>
    <sheetDataSet>
      <sheetData sheetId="0"/>
      <sheetData sheetId="1">
        <row r="3">
          <cell r="G3">
            <v>2016</v>
          </cell>
        </row>
      </sheetData>
      <sheetData sheetId="2"/>
      <sheetData sheetId="3"/>
      <sheetData sheetId="4"/>
      <sheetData sheetId="5"/>
      <sheetData sheetId="6"/>
      <sheetData sheetId="7"/>
      <sheetData sheetId="8"/>
      <sheetData sheetId="9"/>
      <sheetData sheetId="10">
        <row r="3">
          <cell r="A3" t="str">
            <v>Ausserbinn</v>
          </cell>
        </row>
        <row r="4">
          <cell r="A4" t="str">
            <v>Ayent-Voos</v>
          </cell>
        </row>
        <row r="5">
          <cell r="A5" t="str">
            <v>Bagnes-Le Châble</v>
          </cell>
        </row>
        <row r="6">
          <cell r="A6" t="str">
            <v>Bagnes-Verbier</v>
          </cell>
        </row>
        <row r="7">
          <cell r="A7" t="str">
            <v>Binn</v>
          </cell>
        </row>
        <row r="8">
          <cell r="A8" t="str">
            <v>Binn-Giesse</v>
          </cell>
        </row>
        <row r="9">
          <cell r="A9" t="str">
            <v>Bister</v>
          </cell>
        </row>
        <row r="10">
          <cell r="A10" t="str">
            <v>Blatten</v>
          </cell>
        </row>
        <row r="11">
          <cell r="A11" t="str">
            <v>Bourg St-Pierre</v>
          </cell>
        </row>
        <row r="12">
          <cell r="A12" t="str">
            <v>Briggematte-Randa</v>
          </cell>
        </row>
        <row r="13">
          <cell r="A13" t="str">
            <v>Briglina-Brig</v>
          </cell>
        </row>
        <row r="14">
          <cell r="A14" t="str">
            <v>Brunni-Fiesch</v>
          </cell>
        </row>
        <row r="15">
          <cell r="A15" t="str">
            <v>Chamoson</v>
          </cell>
        </row>
        <row r="16">
          <cell r="A16" t="str">
            <v>Champéry</v>
          </cell>
        </row>
        <row r="17">
          <cell r="A17" t="str">
            <v>Charrat</v>
          </cell>
        </row>
        <row r="18">
          <cell r="A18" t="str">
            <v>Col Gd St-Bernard</v>
          </cell>
        </row>
        <row r="19">
          <cell r="A19" t="str">
            <v>Collombey-Illarsaz</v>
          </cell>
        </row>
        <row r="20">
          <cell r="A20" t="str">
            <v>Collombey-Muraz</v>
          </cell>
        </row>
        <row r="21">
          <cell r="A21" t="str">
            <v>Collombey-Tamoil</v>
          </cell>
        </row>
        <row r="22">
          <cell r="A22" t="str">
            <v>Conthey-Erde</v>
          </cell>
        </row>
        <row r="23">
          <cell r="A23" t="str">
            <v>Eisten</v>
          </cell>
        </row>
        <row r="24">
          <cell r="A24" t="str">
            <v>Embd</v>
          </cell>
        </row>
        <row r="25">
          <cell r="A25" t="str">
            <v>Evionnaz</v>
          </cell>
        </row>
        <row r="26">
          <cell r="A26" t="str">
            <v>Evionnaz-chimie</v>
          </cell>
        </row>
        <row r="27">
          <cell r="A27" t="str">
            <v>Evolène</v>
          </cell>
        </row>
        <row r="28">
          <cell r="A28" t="str">
            <v>Ferden</v>
          </cell>
        </row>
        <row r="29">
          <cell r="A29" t="str">
            <v>Goppenstein</v>
          </cell>
        </row>
        <row r="30">
          <cell r="A30" t="str">
            <v>Graechen</v>
          </cell>
        </row>
        <row r="31">
          <cell r="A31" t="str">
            <v>Guttet</v>
          </cell>
        </row>
        <row r="32">
          <cell r="A32" t="str">
            <v>Hérémence</v>
          </cell>
        </row>
        <row r="33">
          <cell r="A33" t="str">
            <v>Hérémence-Gde Dixence</v>
          </cell>
        </row>
        <row r="34">
          <cell r="A34" t="str">
            <v>Hérémence-Mâche</v>
          </cell>
        </row>
        <row r="35">
          <cell r="A35" t="str">
            <v>Hotel Alpenrösli Grimselpass</v>
          </cell>
        </row>
        <row r="36">
          <cell r="A36" t="str">
            <v>Icogne</v>
          </cell>
        </row>
        <row r="37">
          <cell r="A37" t="str">
            <v>Inden</v>
          </cell>
        </row>
        <row r="38">
          <cell r="A38" t="str">
            <v>Isérables</v>
          </cell>
        </row>
        <row r="39">
          <cell r="A39" t="str">
            <v>Kippel</v>
          </cell>
        </row>
        <row r="40">
          <cell r="A40" t="str">
            <v>Lavey-St-Maurice</v>
          </cell>
        </row>
        <row r="41">
          <cell r="A41" t="str">
            <v>Leukerbad</v>
          </cell>
        </row>
        <row r="42">
          <cell r="A42" t="str">
            <v>Leuk-Radet</v>
          </cell>
        </row>
        <row r="43">
          <cell r="A43" t="str">
            <v>Leytron</v>
          </cell>
        </row>
        <row r="44">
          <cell r="A44" t="str">
            <v>Martigny</v>
          </cell>
        </row>
        <row r="45">
          <cell r="A45" t="str">
            <v>Mase</v>
          </cell>
        </row>
        <row r="46">
          <cell r="A46" t="str">
            <v>Massongex-Daviaz</v>
          </cell>
        </row>
        <row r="47">
          <cell r="A47" t="str">
            <v>Mex</v>
          </cell>
        </row>
        <row r="48">
          <cell r="A48" t="str">
            <v>Monthey-CIMO</v>
          </cell>
        </row>
        <row r="49">
          <cell r="A49" t="str">
            <v>Nendaz-Bieudron</v>
          </cell>
        </row>
        <row r="50">
          <cell r="A50" t="str">
            <v>Nendaz-Siviez</v>
          </cell>
        </row>
        <row r="51">
          <cell r="A51" t="str">
            <v>Oberwald-Gletsch</v>
          </cell>
        </row>
        <row r="52">
          <cell r="A52" t="str">
            <v>Port-Valais</v>
          </cell>
        </row>
        <row r="53">
          <cell r="A53" t="str">
            <v>Regional-ARA Visp</v>
          </cell>
        </row>
        <row r="54">
          <cell r="A54" t="str">
            <v>Restaurant Rhonequelle</v>
          </cell>
        </row>
        <row r="55">
          <cell r="A55" t="str">
            <v>Riddes</v>
          </cell>
        </row>
        <row r="56">
          <cell r="A56" t="str">
            <v>Saastal</v>
          </cell>
        </row>
        <row r="57">
          <cell r="A57" t="str">
            <v>Saillon</v>
          </cell>
        </row>
        <row r="58">
          <cell r="A58" t="str">
            <v>Saxon</v>
          </cell>
        </row>
        <row r="59">
          <cell r="A59" t="str">
            <v>Sierre-Granges</v>
          </cell>
        </row>
        <row r="60">
          <cell r="A60" t="str">
            <v>Sierre-Noës</v>
          </cell>
        </row>
        <row r="61">
          <cell r="A61" t="str">
            <v>Simplon-Dorf</v>
          </cell>
        </row>
        <row r="62">
          <cell r="A62" t="str">
            <v>Simplon-Gabi</v>
          </cell>
        </row>
        <row r="63">
          <cell r="A63" t="str">
            <v>Simplon-Pass</v>
          </cell>
        </row>
        <row r="64">
          <cell r="A64" t="str">
            <v>Sion-Chandoline</v>
          </cell>
        </row>
        <row r="65">
          <cell r="A65" t="str">
            <v>Sion-Châteauneuf</v>
          </cell>
        </row>
        <row r="66">
          <cell r="A66" t="str">
            <v>Sion-Molignon</v>
          </cell>
        </row>
        <row r="67">
          <cell r="A67" t="str">
            <v>Stalden</v>
          </cell>
        </row>
        <row r="68">
          <cell r="A68" t="str">
            <v>Steinhaus</v>
          </cell>
        </row>
        <row r="69">
          <cell r="A69" t="str">
            <v>St-Gingolph</v>
          </cell>
        </row>
        <row r="70">
          <cell r="A70" t="str">
            <v>St-Martin</v>
          </cell>
        </row>
        <row r="71">
          <cell r="A71" t="str">
            <v>St-Martin La Luette</v>
          </cell>
        </row>
        <row r="72">
          <cell r="A72" t="str">
            <v>St-Martin Ossona</v>
          </cell>
        </row>
        <row r="73">
          <cell r="A73" t="str">
            <v>St-Martin Praz-Jean</v>
          </cell>
        </row>
        <row r="74">
          <cell r="A74" t="str">
            <v>St-Niklaus</v>
          </cell>
        </row>
        <row r="75">
          <cell r="A75" t="str">
            <v>Trient</v>
          </cell>
        </row>
        <row r="76">
          <cell r="A76" t="str">
            <v>Troistorrents</v>
          </cell>
        </row>
        <row r="77">
          <cell r="A77" t="str">
            <v>Tunnel Gd St-Bernard</v>
          </cell>
        </row>
        <row r="78">
          <cell r="A78" t="str">
            <v>Ulrichen-Nufenen</v>
          </cell>
        </row>
        <row r="79">
          <cell r="A79" t="str">
            <v>Unterbäch</v>
          </cell>
        </row>
        <row r="80">
          <cell r="A80" t="str">
            <v>Val d'Anniviers-Fang</v>
          </cell>
        </row>
        <row r="81">
          <cell r="A81" t="str">
            <v>Varen</v>
          </cell>
        </row>
        <row r="82">
          <cell r="A82" t="str">
            <v>Vétroz-Conthey</v>
          </cell>
        </row>
        <row r="83">
          <cell r="A83" t="str">
            <v>Vionnaz</v>
          </cell>
        </row>
        <row r="84">
          <cell r="A84" t="str">
            <v>Vionnaz-Torgon</v>
          </cell>
        </row>
        <row r="85">
          <cell r="A85" t="str">
            <v>Vouvry</v>
          </cell>
        </row>
        <row r="86">
          <cell r="A86" t="str">
            <v>Wiler</v>
          </cell>
        </row>
        <row r="87">
          <cell r="A87" t="str">
            <v>Zermatt</v>
          </cell>
        </row>
        <row r="88">
          <cell r="A88" t="str">
            <v>Zwischbergen-Gondo</v>
          </cell>
        </row>
        <row r="89">
          <cell r="A89" t="str">
            <v>vide 8</v>
          </cell>
        </row>
        <row r="90">
          <cell r="A90" t="str">
            <v>vide 9</v>
          </cell>
        </row>
        <row r="91">
          <cell r="A91" t="str">
            <v>vide 10</v>
          </cell>
        </row>
        <row r="92">
          <cell r="A92" t="str">
            <v>vide 11</v>
          </cell>
        </row>
        <row r="93">
          <cell r="A93" t="str">
            <v>vide 12</v>
          </cell>
        </row>
        <row r="94">
          <cell r="A94" t="str">
            <v>vide 13</v>
          </cell>
        </row>
        <row r="95">
          <cell r="A95" t="str">
            <v>vide 14</v>
          </cell>
        </row>
        <row r="96">
          <cell r="A96" t="str">
            <v>vide 15</v>
          </cell>
        </row>
        <row r="97">
          <cell r="A97" t="str">
            <v>vide 16</v>
          </cell>
        </row>
        <row r="98">
          <cell r="A98" t="str">
            <v>vide 17</v>
          </cell>
        </row>
        <row r="99">
          <cell r="A99" t="str">
            <v>vide 18</v>
          </cell>
        </row>
        <row r="100">
          <cell r="A100" t="str">
            <v>vide 19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TEP sauvegarde"/>
      <sheetName val="Liste STEP"/>
      <sheetName val="Importations"/>
      <sheetName val="Importation_partielle"/>
      <sheetName val="REF"/>
      <sheetName val="Pluvio"/>
      <sheetName val="Capa-Débits"/>
      <sheetName val="Evol. Capa-Débit"/>
      <sheetName val="Capa-Débits_analyse_unique_STEP"/>
      <sheetName val="%Raccordé"/>
      <sheetName val="Autocontr"/>
      <sheetName val="Autocontr_old"/>
      <sheetName val="G-ECP"/>
      <sheetName val="Cap. hydr"/>
      <sheetName val="Perf."/>
      <sheetName val="Charges"/>
      <sheetName val="Charges rejetées"/>
      <sheetName val="G-Perf,Charges"/>
      <sheetName val="G-Capacité"/>
      <sheetName val="G-non-conf."/>
      <sheetName val="Evolution"/>
      <sheetName val="nouveau_indicateur_eDics"/>
      <sheetName val="Boues"/>
      <sheetName val="Energie"/>
      <sheetName val="G_Boue-Energ"/>
      <sheetName val="exutoires STEPS"/>
      <sheetName val="Impact"/>
      <sheetName val="Impact Lötschental"/>
      <sheetName val="Rapport_STEPs"/>
      <sheetName val="VSA"/>
    </sheetNames>
    <sheetDataSet>
      <sheetData sheetId="0"/>
      <sheetData sheetId="1"/>
      <sheetData sheetId="2">
        <row r="1">
          <cell r="B1">
            <v>2011</v>
          </cell>
          <cell r="G1">
            <v>365</v>
          </cell>
        </row>
      </sheetData>
      <sheetData sheetId="3"/>
      <sheetData sheetId="4">
        <row r="6">
          <cell r="A6" t="str">
            <v>Ayent-Voos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
          <cell r="K4">
            <v>2.2999999999999998</v>
          </cell>
        </row>
      </sheetData>
    </sheetDataSet>
  </externalBook>
</externalLink>
</file>

<file path=xl/tables/table1.xml><?xml version="1.0" encoding="utf-8"?>
<table xmlns="http://schemas.openxmlformats.org/spreadsheetml/2006/main" id="1" name="données_step" displayName="données_step" ref="A10:AQ376" totalsRowShown="0" headerRowDxfId="118" dataDxfId="117">
  <tableColumns count="43">
    <tableColumn id="1" name="Datum" dataDxfId="116">
      <calculatedColumnFormula>A10+1</calculatedColumnFormula>
    </tableColumn>
    <tableColumn id="2" name="Colonne2" dataDxfId="115">
      <calculatedColumnFormula>MONTH(A11)</calculatedColumnFormula>
    </tableColumn>
    <tableColumn id="3" name="Wochentag" dataDxfId="114">
      <calculatedColumnFormula>WEEKDAY(A11)</calculatedColumnFormula>
    </tableColumn>
    <tableColumn id="4" name="Temp_eaux" dataDxfId="113"/>
    <tableColumn id="5" name="D_QDEVE" dataDxfId="112"/>
    <tableColumn id="6" name="D_QTRAI" dataDxfId="111"/>
    <tableColumn id="7" name="D_QDEVDP" dataDxfId="110"/>
    <tableColumn id="8" name="D_QTRAI2" dataDxfId="109"/>
    <tableColumn id="9" name="D_QMIN" dataDxfId="108"/>
    <tableColumn id="10" name="D_QMAX" dataDxfId="107"/>
    <tableColumn id="11" name="E_DBO5" dataDxfId="106"/>
    <tableColumn id="12" name="E_DCO" dataDxfId="105"/>
    <tableColumn id="13" name="E_COT" dataDxfId="104"/>
    <tableColumn id="14" name="E_NH4" dataDxfId="103"/>
    <tableColumn id="15" name="E_NTOT" dataDxfId="102"/>
    <tableColumn id="16" name="E_PTOT" dataDxfId="101"/>
    <tableColumn id="17" name="S_DBO5" dataDxfId="100"/>
    <tableColumn id="18" name="S_DCO" dataDxfId="99"/>
    <tableColumn id="19" name="S_COD" dataDxfId="98"/>
    <tableColumn id="20" name="S_NH4" dataDxfId="97"/>
    <tableColumn id="21" name="S_NO2" dataDxfId="96"/>
    <tableColumn id="22" name="S_NO3" dataDxfId="95"/>
    <tableColumn id="23" name="S_PORTH" dataDxfId="94"/>
    <tableColumn id="24" name="S_PTOT" dataDxfId="93"/>
    <tableColumn id="25" name="S_MES" dataDxfId="92"/>
    <tableColumn id="26" name="X_BF_Q" dataDxfId="91"/>
    <tableColumn id="27" name="X_BFCONC" dataDxfId="90" dataCellStyle="Pourcentage"/>
    <tableColumn id="28" name="X_BA_VOL" dataDxfId="89">
      <calculatedColumnFormula>basis!$B$19</calculatedColumnFormula>
    </tableColumn>
    <tableColumn id="29" name="X_BACONC" dataDxfId="88"/>
    <tableColumn id="30" name="X_BX_Q" dataDxfId="87"/>
    <tableColumn id="31" name="X_BXCONC" dataDxfId="86"/>
    <tableColumn id="32" name="X_BDESBR" dataDxfId="85"/>
    <tableColumn id="33" name="X_BDESCO" dataDxfId="84" dataCellStyle="Pourcentage"/>
    <tableColumn id="34" name="X_BDESMS" dataDxfId="83">
      <calculatedColumnFormula>IF(OR(AF11="",AG11=""),"",AF11*AG11)</calculatedColumnFormula>
    </tableColumn>
    <tableColumn id="35" name="X_GAZ_Q" dataDxfId="82"/>
    <tableColumn id="36" name="X_FUEL_Q" dataDxfId="81"/>
    <tableColumn id="37" name="X_ELTOTQ" dataDxfId="80"/>
    <tableColumn id="38" name="X_ELBIOQ" dataDxfId="79"/>
    <tableColumn id="39" name="X_BIOGAS" dataDxfId="78"/>
    <tableColumn id="40" name="X_ELPRD" dataDxfId="77"/>
    <tableColumn id="41" name="X_ELVEND" dataDxfId="76"/>
    <tableColumn id="42" name="D_PLUIE" dataDxfId="75"/>
    <tableColumn id="43" name="X_HRES" dataDxfId="74"/>
  </tableColumns>
  <tableStyleInfo name="TableStyleMedium2" showFirstColumn="0" showLastColumn="0" showRowStripes="0" showColumnStripes="0"/>
</table>
</file>

<file path=xl/tables/table2.xml><?xml version="1.0" encoding="utf-8"?>
<table xmlns="http://schemas.openxmlformats.org/spreadsheetml/2006/main" id="2" name="charge_entree" displayName="charge_entree" ref="D10:Q376" totalsRowShown="0" headerRowDxfId="54" dataDxfId="53" dataCellStyle="Milliers">
  <autoFilter ref="D10:Q376"/>
  <tableColumns count="14">
    <tableColumn id="1" name="ch_E_DBO5" dataDxfId="52" dataCellStyle="Milliers">
      <calculatedColumnFormula>IF(OR(données_step[[#This Row],[E_DBO5]]&lt;=0,données_step[[#This Row],[E_DBO5]]=""),"",données_step[[#This Row],[D_QTRAI]]*données_step[[#This Row],[E_DBO5]]/1000)</calculatedColumnFormula>
    </tableColumn>
    <tableColumn id="2" name="ch_E_DCO" dataDxfId="51" dataCellStyle="Milliers">
      <calculatedColumnFormula>IF(OR(données_step[[#This Row],[E_DCO]]&lt;=0,données_step[[#This Row],[E_DCO]]=""),"",données_step[[#This Row],[D_QTRAI]]*données_step[[#This Row],[E_DCO]]/1000)</calculatedColumnFormula>
    </tableColumn>
    <tableColumn id="3" name="ch_E_COT" dataDxfId="50" dataCellStyle="Milliers">
      <calculatedColumnFormula>IF(OR(données_step[[#This Row],[E_COT]]&lt;=0,données_step[[#This Row],[E_COT]]=""),"",données_step[[#This Row],[D_QTRAI]]*données_step[[#This Row],[E_COT]]/1000)</calculatedColumnFormula>
    </tableColumn>
    <tableColumn id="4" name="ch_E_NH4" dataDxfId="49" dataCellStyle="Milliers">
      <calculatedColumnFormula>IF(OR(données_step[[#This Row],[E_NH4]]&lt;=0,données_step[[#This Row],[E_NH4]]=""),"",données_step[[#This Row],[D_QTRAI]]*données_step[[#This Row],[E_NH4]]/1000)</calculatedColumnFormula>
    </tableColumn>
    <tableColumn id="5" name="ch_E_NTOT" dataDxfId="48" dataCellStyle="Milliers">
      <calculatedColumnFormula>IF(OR(données_step[[#This Row],[E_NTOT]]&lt;=0,données_step[[#This Row],[E_NTOT]]=""),"",données_step[[#This Row],[D_QTRAI]]*données_step[[#This Row],[E_NTOT]]/1000)</calculatedColumnFormula>
    </tableColumn>
    <tableColumn id="6" name="ch_E_PTOT" dataDxfId="47" dataCellStyle="Milliers">
      <calculatedColumnFormula>IF(OR(données_step[[#This Row],[E_NTOT]]&lt;=0,données_step[[#This Row],[E_NTOT]]=""),"",données_step[[#This Row],[D_QTRAI]]*données_step[[#This Row],[E_PTOT]]/1000)</calculatedColumnFormula>
    </tableColumn>
    <tableColumn id="7" name="ch_S_DBO" dataDxfId="46" dataCellStyle="Milliers">
      <calculatedColumnFormula>IF(OR(données_step[[#This Row],[S_DBO5]]&lt;=0,données_step[[#This Row],[S_DBO5]]=""),"",données_step[[#This Row],[D_QTRAI]]*données_step[[#This Row],[S_DBO5]]/1000)</calculatedColumnFormula>
    </tableColumn>
    <tableColumn id="8" name="ch_S-DCO" dataDxfId="45" dataCellStyle="Milliers">
      <calculatedColumnFormula>IF(OR(données_step[[#This Row],[S_DCO]]&lt;=0,données_step[[#This Row],[S_DCO]]=""),"",données_step[[#This Row],[D_QTRAI]]*données_step[[#This Row],[S_DCO]]/1000)</calculatedColumnFormula>
    </tableColumn>
    <tableColumn id="9" name="ch_S_DOC" dataDxfId="44" dataCellStyle="Milliers">
      <calculatedColumnFormula>IF(OR(données_step[[#This Row],[S_COD]]&lt;=0,données_step[[#This Row],[S_COD]]=""),"",données_step[[#This Row],[D_QTRAI]]*données_step[[#This Row],[S_COD]]/1000)</calculatedColumnFormula>
    </tableColumn>
    <tableColumn id="10" name="ch_S_NH4" dataDxfId="43" dataCellStyle="Milliers">
      <calculatedColumnFormula>IF(OR(données_step[[#This Row],[S_NH4]]&lt;=0,données_step[[#This Row],[S_NH4]]=""),"",données_step[[#This Row],[D_QTRAI]]*données_step[[#This Row],[S_NH4]]/1000)</calculatedColumnFormula>
    </tableColumn>
    <tableColumn id="11" name="ch_S_NO2" dataDxfId="42" dataCellStyle="Milliers">
      <calculatedColumnFormula>IF(OR(données_step[[#This Row],[S_NO2]]&lt;=0,données_step[[#This Row],[S_NO2]]=""),"",données_step[[#This Row],[D_QTRAI]]*données_step[[#This Row],[S_NO2]]/1000)</calculatedColumnFormula>
    </tableColumn>
    <tableColumn id="12" name="ch_S_NO3" dataDxfId="41" dataCellStyle="Milliers">
      <calculatedColumnFormula>IF(OR(données_step[[#This Row],[S_NO3]]&lt;=0,données_step[[#This Row],[S_NO3]]=""),"",données_step[[#This Row],[D_QTRAI]]*données_step[[#This Row],[S_NO3]]/1000)</calculatedColumnFormula>
    </tableColumn>
    <tableColumn id="13" name="ch_S_PTOT" dataDxfId="40" dataCellStyle="Milliers">
      <calculatedColumnFormula>IF(OR(données_step[[#This Row],[S_PTOT]]&lt;=0,données_step[[#This Row],[S_PTOT]]=""),"",données_step[[#This Row],[D_QTRAI]]*données_step[[#This Row],[S_PTOT]]/1000)</calculatedColumnFormula>
    </tableColumn>
    <tableColumn id="14" name="ch_S_SNDT" dataDxfId="39" dataCellStyle="Milliers">
      <calculatedColumnFormula>IF(OR(données_step[[#This Row],[S_MES]]&lt;=0,données_step[[#This Row],[S_MES]]=""),"",données_step[[#This Row],[D_QTRAI]]*données_step[[#This Row],[S_MES]]/1000)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3" name="charge_entree4" displayName="charge_entree4" ref="D10:Q376" totalsRowShown="0" headerRowDxfId="38" dataDxfId="37" dataCellStyle="Milliers">
  <autoFilter ref="D10:Q376"/>
  <tableColumns count="14">
    <tableColumn id="1" name="ch_E_DBO5" dataDxfId="36" dataCellStyle="Milliers">
      <calculatedColumnFormula>stat(charge_entree[[#This Row],[ch_E_DBO5]])</calculatedColumnFormula>
    </tableColumn>
    <tableColumn id="2" name="ch_E_DCO" dataDxfId="35" dataCellStyle="Milliers">
      <calculatedColumnFormula>stat(charge_entree[[#This Row],[ch_E_DCO]])</calculatedColumnFormula>
    </tableColumn>
    <tableColumn id="3" name="ch_E_COT" dataDxfId="34" dataCellStyle="Milliers">
      <calculatedColumnFormula>stat(charge_entree[[#This Row],[ch_E_COT]])</calculatedColumnFormula>
    </tableColumn>
    <tableColumn id="4" name="ch_E_NH4" dataDxfId="33" dataCellStyle="Milliers">
      <calculatedColumnFormula>stat(charge_entree[[#This Row],[ch_E_NH4]])</calculatedColumnFormula>
    </tableColumn>
    <tableColumn id="5" name="ch_E_NTOT" dataDxfId="32" dataCellStyle="Milliers">
      <calculatedColumnFormula>stat(charge_entree[[#This Row],[ch_E_NTOT]])</calculatedColumnFormula>
    </tableColumn>
    <tableColumn id="6" name="ch_E_PTOT" dataDxfId="31" dataCellStyle="Milliers">
      <calculatedColumnFormula>stat(charge_entree[[#This Row],[ch_E_PTOT]])</calculatedColumnFormula>
    </tableColumn>
    <tableColumn id="7" name="ch_S_DBO" dataDxfId="30" dataCellStyle="Milliers">
      <calculatedColumnFormula>stat(charge_entree[[#This Row],[ch_S_DBO]])</calculatedColumnFormula>
    </tableColumn>
    <tableColumn id="8" name="ch_S-DCO" dataDxfId="29" dataCellStyle="Milliers">
      <calculatedColumnFormula>stat(charge_entree[[#This Row],[ch_S-DCO]])</calculatedColumnFormula>
    </tableColumn>
    <tableColumn id="9" name="ch_S_COD" dataDxfId="28" dataCellStyle="Milliers">
      <calculatedColumnFormula>stat(charge_entree[[#This Row],[ch_S_DOC]])</calculatedColumnFormula>
    </tableColumn>
    <tableColumn id="10" name="ch_S_NH4" dataDxfId="27" dataCellStyle="Milliers">
      <calculatedColumnFormula>stat(charge_entree[[#This Row],[ch_S_NH4]])</calculatedColumnFormula>
    </tableColumn>
    <tableColumn id="11" name="ch_S_NO2" dataDxfId="26" dataCellStyle="Milliers">
      <calculatedColumnFormula>stat(charge_entree[[#This Row],[ch_S_NO2]])</calculatedColumnFormula>
    </tableColumn>
    <tableColumn id="12" name="ch_S_NO3" dataDxfId="25" dataCellStyle="Milliers">
      <calculatedColumnFormula>stat(charge_entree[[#This Row],[ch_S_NO3]])</calculatedColumnFormula>
    </tableColumn>
    <tableColumn id="13" name="ch_S_PTOT" dataDxfId="24" dataCellStyle="Milliers">
      <calculatedColumnFormula>stat(charge_entree[[#This Row],[ch_S_PTOT]])</calculatedColumnFormula>
    </tableColumn>
    <tableColumn id="14" name="ch_S_SNDT" dataDxfId="23" dataCellStyle="Milliers">
      <calculatedColumnFormula>stat(charge_entree[[#This Row],[ch_S_SNDT]])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aniel.obrist@admin.vs.ch" TargetMode="External"/><Relationship Id="rId2" Type="http://schemas.openxmlformats.org/officeDocument/2006/relationships/hyperlink" Target="mailto:SEN-ARASTEP@admin.vs.ch" TargetMode="External"/><Relationship Id="rId1" Type="http://schemas.openxmlformats.org/officeDocument/2006/relationships/hyperlink" Target="https://www.vs.ch/web/sen/exploitants-step" TargetMode="External"/><Relationship Id="rId5" Type="http://schemas.openxmlformats.org/officeDocument/2006/relationships/printerSettings" Target="../printerSettings/printerSettings1.bin"/><Relationship Id="rId4" Type="http://schemas.openxmlformats.org/officeDocument/2006/relationships/hyperlink" Target="https://www.vs.ch/de/web/sen/dokumente-fur-die-klarwarter"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trlProp" Target="../ctrlProps/ctrlProp2.xml"/><Relationship Id="rId5" Type="http://schemas.openxmlformats.org/officeDocument/2006/relationships/image" Target="../media/image1.emf"/><Relationship Id="rId10"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image" Target="../media/image3.emf"/></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vsashop.ch/img/A~Deutsch/5/2016.pdf?xet=1483629071000"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indexed="34"/>
  </sheetPr>
  <dimension ref="A1:O24"/>
  <sheetViews>
    <sheetView tabSelected="1" zoomScale="130" zoomScaleNormal="130" workbookViewId="0">
      <selection activeCell="C26" sqref="C26"/>
    </sheetView>
  </sheetViews>
  <sheetFormatPr baseColWidth="10" defaultColWidth="11.5703125" defaultRowHeight="12" x14ac:dyDescent="0.2"/>
  <cols>
    <col min="1" max="1" width="4.85546875" style="97" customWidth="1"/>
    <col min="2" max="2" width="3" style="97" customWidth="1"/>
    <col min="3" max="3" width="9.85546875" style="97" customWidth="1"/>
    <col min="4" max="4" width="10.28515625" style="97" customWidth="1"/>
    <col min="5" max="5" width="19.140625" style="97" customWidth="1"/>
    <col min="6" max="6" width="14.140625" style="97" customWidth="1"/>
    <col min="7" max="7" width="18.85546875" style="97" customWidth="1"/>
    <col min="8" max="8" width="0.7109375" style="217" customWidth="1"/>
    <col min="9" max="9" width="6" style="97" customWidth="1"/>
    <col min="10" max="10" width="2.5703125" style="97" customWidth="1"/>
    <col min="11" max="11" width="10.42578125" style="97" customWidth="1"/>
    <col min="12" max="12" width="9.42578125" style="97" customWidth="1"/>
    <col min="13" max="13" width="21.140625" style="97" customWidth="1"/>
    <col min="14" max="14" width="21.28515625" style="97" customWidth="1"/>
    <col min="15" max="15" width="14.140625" style="97" customWidth="1"/>
    <col min="16" max="16384" width="11.5703125" style="97"/>
  </cols>
  <sheetData>
    <row r="1" spans="1:15" x14ac:dyDescent="0.2">
      <c r="G1" s="346" t="s">
        <v>769</v>
      </c>
      <c r="O1" s="346" t="str">
        <f>G1</f>
        <v>Version: 2022 (16.12.2022)</v>
      </c>
    </row>
    <row r="2" spans="1:15" x14ac:dyDescent="0.2">
      <c r="A2" s="347" t="s">
        <v>294</v>
      </c>
      <c r="G2" s="347"/>
      <c r="I2" s="347" t="s">
        <v>293</v>
      </c>
      <c r="O2" s="347"/>
    </row>
    <row r="3" spans="1:15" x14ac:dyDescent="0.2">
      <c r="A3" s="347"/>
      <c r="G3" s="347"/>
      <c r="I3" s="347"/>
      <c r="O3" s="347"/>
    </row>
    <row r="4" spans="1:15" x14ac:dyDescent="0.2">
      <c r="A4" s="897" t="s">
        <v>308</v>
      </c>
      <c r="B4" s="899"/>
      <c r="C4" s="899"/>
      <c r="D4" s="899"/>
      <c r="E4" s="899"/>
      <c r="F4" s="899"/>
      <c r="G4" s="899"/>
      <c r="I4" s="897" t="s">
        <v>309</v>
      </c>
      <c r="J4" s="899"/>
      <c r="K4" s="899"/>
      <c r="L4" s="899"/>
      <c r="M4" s="899"/>
      <c r="N4" s="899"/>
      <c r="O4" s="899"/>
    </row>
    <row r="5" spans="1:15" ht="26.25" customHeight="1" x14ac:dyDescent="0.2">
      <c r="A5" s="899"/>
      <c r="B5" s="899"/>
      <c r="C5" s="899"/>
      <c r="D5" s="899"/>
      <c r="E5" s="899"/>
      <c r="F5" s="899"/>
      <c r="G5" s="899"/>
      <c r="I5" s="899"/>
      <c r="J5" s="899"/>
      <c r="K5" s="899"/>
      <c r="L5" s="899"/>
      <c r="M5" s="899"/>
      <c r="N5" s="899"/>
      <c r="O5" s="899"/>
    </row>
    <row r="7" spans="1:15" ht="15.6" customHeight="1" x14ac:dyDescent="0.2">
      <c r="A7" s="898" t="s">
        <v>263</v>
      </c>
      <c r="B7" s="898"/>
      <c r="C7" s="898"/>
      <c r="D7" s="898"/>
      <c r="E7" s="898"/>
      <c r="F7" s="898"/>
      <c r="G7" s="898"/>
      <c r="I7" s="898" t="s">
        <v>264</v>
      </c>
      <c r="J7" s="898"/>
      <c r="K7" s="898"/>
      <c r="L7" s="898"/>
      <c r="M7" s="898"/>
      <c r="N7" s="898"/>
      <c r="O7" s="898"/>
    </row>
    <row r="8" spans="1:15" ht="15.95" customHeight="1" x14ac:dyDescent="0.2">
      <c r="A8" s="348"/>
      <c r="B8" s="896"/>
      <c r="C8" s="896"/>
      <c r="D8" s="896"/>
      <c r="E8" s="896"/>
      <c r="F8" s="896"/>
      <c r="G8" s="896"/>
      <c r="H8" s="349"/>
      <c r="I8" s="348"/>
      <c r="J8" s="896"/>
      <c r="K8" s="896"/>
      <c r="L8" s="896"/>
      <c r="M8" s="896"/>
      <c r="N8" s="896"/>
      <c r="O8" s="896"/>
    </row>
    <row r="9" spans="1:15" ht="15.95" customHeight="1" x14ac:dyDescent="0.2">
      <c r="A9" s="500" t="s">
        <v>116</v>
      </c>
      <c r="B9" s="895" t="s">
        <v>659</v>
      </c>
      <c r="C9" s="895"/>
      <c r="D9" s="895"/>
      <c r="E9" s="895"/>
      <c r="F9" s="895"/>
      <c r="G9" s="895"/>
      <c r="H9" s="349"/>
      <c r="I9" s="500" t="s">
        <v>116</v>
      </c>
      <c r="J9" s="895" t="s">
        <v>660</v>
      </c>
      <c r="K9" s="895"/>
      <c r="L9" s="895"/>
      <c r="M9" s="895"/>
      <c r="N9" s="895"/>
      <c r="O9" s="895"/>
    </row>
    <row r="10" spans="1:15" ht="15.95" customHeight="1" x14ac:dyDescent="0.2">
      <c r="A10" s="500" t="s">
        <v>116</v>
      </c>
      <c r="B10" s="898" t="s">
        <v>768</v>
      </c>
      <c r="C10" s="898"/>
      <c r="D10" s="898"/>
      <c r="E10" s="898"/>
      <c r="F10" s="898"/>
      <c r="G10" s="898"/>
      <c r="H10" s="349"/>
      <c r="I10" s="500" t="s">
        <v>116</v>
      </c>
      <c r="J10" s="898" t="s">
        <v>767</v>
      </c>
      <c r="K10" s="898"/>
      <c r="L10" s="898"/>
      <c r="M10" s="898"/>
      <c r="N10" s="898"/>
      <c r="O10" s="898"/>
    </row>
    <row r="11" spans="1:15" x14ac:dyDescent="0.2">
      <c r="A11" s="500" t="s">
        <v>116</v>
      </c>
      <c r="B11" s="363" t="s">
        <v>669</v>
      </c>
      <c r="C11" s="352"/>
      <c r="D11" s="352"/>
      <c r="E11" s="352"/>
      <c r="F11" s="352"/>
      <c r="G11" s="352"/>
      <c r="H11" s="349"/>
      <c r="I11" s="500" t="s">
        <v>116</v>
      </c>
      <c r="J11" s="352" t="s">
        <v>670</v>
      </c>
      <c r="K11" s="352"/>
      <c r="L11" s="352"/>
      <c r="M11" s="352"/>
      <c r="N11" s="352"/>
      <c r="O11" s="352"/>
    </row>
    <row r="12" spans="1:15" ht="1.5" customHeight="1" x14ac:dyDescent="0.2">
      <c r="A12" s="500"/>
      <c r="B12" s="895"/>
      <c r="C12" s="895"/>
      <c r="D12" s="895"/>
      <c r="E12" s="895"/>
      <c r="F12" s="895"/>
      <c r="G12" s="895"/>
      <c r="H12" s="349"/>
      <c r="I12" s="500"/>
      <c r="J12" s="894"/>
      <c r="K12" s="894"/>
      <c r="L12" s="894"/>
      <c r="M12" s="894"/>
      <c r="N12" s="894"/>
      <c r="O12" s="894"/>
    </row>
    <row r="13" spans="1:15" ht="14.25" customHeight="1" x14ac:dyDescent="0.2">
      <c r="A13" s="350"/>
      <c r="H13" s="349"/>
      <c r="I13" s="350"/>
    </row>
    <row r="14" spans="1:15" s="356" customFormat="1" ht="14.25" customHeight="1" x14ac:dyDescent="0.2">
      <c r="A14" s="354"/>
      <c r="B14" s="354"/>
      <c r="C14" s="354"/>
      <c r="D14" s="354"/>
      <c r="E14" s="354"/>
      <c r="F14" s="354"/>
      <c r="G14" s="354"/>
      <c r="H14" s="355"/>
    </row>
    <row r="15" spans="1:15" s="353" customFormat="1" ht="30" customHeight="1" x14ac:dyDescent="0.2">
      <c r="A15" s="897" t="s">
        <v>314</v>
      </c>
      <c r="B15" s="897"/>
      <c r="C15" s="897"/>
      <c r="D15" s="897"/>
      <c r="E15" s="897"/>
      <c r="F15" s="897"/>
      <c r="G15" s="897"/>
      <c r="H15" s="349"/>
      <c r="I15" s="900" t="s">
        <v>283</v>
      </c>
      <c r="J15" s="900"/>
      <c r="K15" s="900"/>
      <c r="L15" s="900"/>
      <c r="M15" s="900"/>
      <c r="N15" s="357" t="s">
        <v>292</v>
      </c>
    </row>
    <row r="16" spans="1:15" s="356" customFormat="1" ht="36" customHeight="1" x14ac:dyDescent="0.2">
      <c r="A16" s="895" t="s">
        <v>296</v>
      </c>
      <c r="B16" s="895"/>
      <c r="C16" s="895"/>
      <c r="D16" s="895"/>
      <c r="E16" s="895"/>
      <c r="F16" s="895"/>
      <c r="G16" s="895"/>
      <c r="H16" s="355"/>
      <c r="I16" s="895" t="s">
        <v>295</v>
      </c>
      <c r="J16" s="895"/>
      <c r="K16" s="895"/>
      <c r="L16" s="895"/>
      <c r="M16" s="895"/>
      <c r="N16" s="895"/>
      <c r="O16" s="895"/>
    </row>
    <row r="17" spans="1:15" s="356" customFormat="1" ht="15.6" customHeight="1" x14ac:dyDescent="0.2">
      <c r="B17" s="97"/>
      <c r="C17" s="346"/>
      <c r="D17" s="97"/>
      <c r="H17" s="355"/>
      <c r="I17" s="97"/>
      <c r="J17" s="97"/>
      <c r="K17" s="346"/>
      <c r="L17" s="97"/>
      <c r="O17" s="353"/>
    </row>
    <row r="18" spans="1:15" s="356" customFormat="1" ht="15.6" customHeight="1" x14ac:dyDescent="0.2">
      <c r="A18" s="353"/>
      <c r="B18" s="353"/>
      <c r="C18" s="353"/>
      <c r="D18" s="358"/>
      <c r="E18" s="353"/>
      <c r="F18" s="353"/>
      <c r="G18" s="353"/>
      <c r="H18" s="355"/>
      <c r="I18" s="353"/>
      <c r="J18" s="353"/>
      <c r="K18" s="353"/>
      <c r="L18" s="359"/>
      <c r="M18" s="353"/>
      <c r="N18" s="353"/>
      <c r="O18" s="353"/>
    </row>
    <row r="19" spans="1:15" s="356" customFormat="1" ht="14.25" customHeight="1" x14ac:dyDescent="0.2">
      <c r="A19" s="360"/>
      <c r="D19" s="97"/>
      <c r="H19" s="361"/>
      <c r="L19" s="97"/>
      <c r="O19" s="97"/>
    </row>
    <row r="20" spans="1:15" x14ac:dyDescent="0.2">
      <c r="H20" s="349"/>
      <c r="I20" s="351"/>
      <c r="J20" s="893"/>
      <c r="K20" s="893"/>
      <c r="L20" s="893"/>
      <c r="M20" s="893"/>
      <c r="N20" s="893"/>
      <c r="O20" s="893"/>
    </row>
    <row r="21" spans="1:15" ht="11.45" customHeight="1" x14ac:dyDescent="0.2">
      <c r="H21" s="349"/>
    </row>
    <row r="22" spans="1:15" ht="13.15" customHeight="1" x14ac:dyDescent="0.2">
      <c r="A22" s="351"/>
      <c r="B22" s="351"/>
      <c r="C22" s="351"/>
      <c r="D22" s="351"/>
      <c r="E22" s="351"/>
      <c r="F22" s="351"/>
      <c r="G22" s="351"/>
      <c r="H22" s="349"/>
      <c r="I22" s="344"/>
      <c r="J22" s="362"/>
      <c r="K22" s="362"/>
      <c r="L22" s="362"/>
      <c r="M22" s="362"/>
      <c r="N22" s="362"/>
      <c r="O22" s="362"/>
    </row>
    <row r="23" spans="1:15" x14ac:dyDescent="0.2">
      <c r="A23" s="351"/>
      <c r="B23" s="351"/>
      <c r="C23" s="351"/>
      <c r="D23" s="351"/>
      <c r="E23" s="351"/>
      <c r="F23" s="351"/>
      <c r="G23" s="351"/>
      <c r="H23" s="349"/>
    </row>
    <row r="24" spans="1:15" x14ac:dyDescent="0.2">
      <c r="H24" s="349"/>
    </row>
  </sheetData>
  <dataConsolidate/>
  <mergeCells count="17">
    <mergeCell ref="A7:G7"/>
    <mergeCell ref="A4:G5"/>
    <mergeCell ref="B10:G10"/>
    <mergeCell ref="B12:G12"/>
    <mergeCell ref="I15:M15"/>
    <mergeCell ref="I7:O7"/>
    <mergeCell ref="I4:O5"/>
    <mergeCell ref="J10:O10"/>
    <mergeCell ref="J9:O9"/>
    <mergeCell ref="J8:O8"/>
    <mergeCell ref="J20:O20"/>
    <mergeCell ref="J12:O12"/>
    <mergeCell ref="I16:O16"/>
    <mergeCell ref="B9:G9"/>
    <mergeCell ref="B8:G8"/>
    <mergeCell ref="A15:G15"/>
    <mergeCell ref="A16:G16"/>
  </mergeCells>
  <hyperlinks>
    <hyperlink ref="I4:O5" r:id="rId1" display="https://www.vs.ch/web/sen/exploitants-step"/>
    <hyperlink ref="N15" r:id="rId2"/>
    <hyperlink ref="A15:G15" r:id="rId3" display="Die ausgefüllte Datei und die anderen verlangten ARA-Betriebsdaten sind an daniel.obrist@admin.vs.ch zu übermitteln."/>
    <hyperlink ref="A4:G5" r:id="rId4" display="https://www.vs.ch/de/web/sen/dokumente-fur-die-klarwarter"/>
  </hyperlinks>
  <pageMargins left="0.78740157499999996" right="0.78740157499999996" top="0.984251969" bottom="0.984251969" header="0.4921259845" footer="0.4921259845"/>
  <pageSetup paperSize="9" orientation="portrait" r:id="rId5"/>
  <headerFooter alignWithMargins="0">
    <oddFooter>&amp;R&amp;A,  &amp;P/&amp;N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9" tint="0.59999389629810485"/>
  </sheetPr>
  <dimension ref="A1:BR451"/>
  <sheetViews>
    <sheetView workbookViewId="0">
      <pane xSplit="3" ySplit="9" topLeftCell="AW10" activePane="bottomRight" state="frozen"/>
      <selection pane="topRight" activeCell="D1" sqref="D1"/>
      <selection pane="bottomLeft" activeCell="A10" sqref="A10"/>
      <selection pane="bottomRight" activeCell="BN8" sqref="BN8"/>
    </sheetView>
  </sheetViews>
  <sheetFormatPr baseColWidth="10" defaultColWidth="11.42578125" defaultRowHeight="12.75" x14ac:dyDescent="0.2"/>
  <cols>
    <col min="1" max="1" width="15" style="501" customWidth="1"/>
    <col min="2" max="3" width="11.42578125" style="501"/>
    <col min="4" max="8" width="13.42578125" style="501" customWidth="1"/>
    <col min="9" max="17" width="14.42578125" style="501" customWidth="1"/>
    <col min="18" max="43" width="11.42578125" style="501"/>
    <col min="44" max="47" width="6.7109375" style="501" customWidth="1"/>
    <col min="48" max="55" width="11.42578125" style="501"/>
    <col min="56" max="56" width="19.7109375" style="501" customWidth="1"/>
    <col min="57" max="16384" width="11.42578125" style="501"/>
  </cols>
  <sheetData>
    <row r="1" spans="1:70" x14ac:dyDescent="0.2">
      <c r="A1" s="501" t="str">
        <f>basis!A1</f>
        <v>ARA Ausserbinn</v>
      </c>
      <c r="Z1" s="7"/>
      <c r="AA1" s="7"/>
      <c r="AB1" s="7"/>
      <c r="AC1" s="7"/>
      <c r="AD1" s="7"/>
      <c r="AF1" s="7"/>
      <c r="AG1" s="7"/>
      <c r="AI1" s="7"/>
      <c r="AJ1" s="7"/>
      <c r="AK1" s="7"/>
      <c r="AL1" s="7"/>
      <c r="AM1" s="7"/>
      <c r="AN1" s="7"/>
      <c r="AO1" s="7"/>
      <c r="AP1" s="7"/>
      <c r="AQ1" s="7"/>
      <c r="AR1" s="7"/>
      <c r="AS1" s="7"/>
      <c r="AV1" s="501" t="s">
        <v>320</v>
      </c>
    </row>
    <row r="2" spans="1:70" ht="45" customHeight="1" x14ac:dyDescent="0.2">
      <c r="R2" s="518"/>
      <c r="S2" s="9"/>
      <c r="T2" s="560"/>
      <c r="U2" s="9"/>
      <c r="V2" s="9"/>
      <c r="W2" s="9"/>
      <c r="X2" s="560"/>
      <c r="Y2" s="9"/>
      <c r="Z2" s="560"/>
      <c r="AA2" s="519"/>
      <c r="AB2" s="519"/>
      <c r="AC2" s="519"/>
      <c r="AD2" s="560"/>
      <c r="AF2" s="560"/>
      <c r="AG2" s="7"/>
      <c r="AI2" s="7"/>
      <c r="AJ2" s="560"/>
      <c r="AK2" s="7"/>
      <c r="AL2" s="560"/>
      <c r="AM2" s="7"/>
      <c r="AN2" s="7"/>
      <c r="AO2" s="560"/>
      <c r="AP2" s="560"/>
      <c r="AQ2" s="560"/>
      <c r="AR2" s="7"/>
      <c r="AS2" s="7"/>
      <c r="AT2" s="520"/>
    </row>
    <row r="3" spans="1:70" ht="13.5" customHeight="1" x14ac:dyDescent="0.2">
      <c r="M3" s="524"/>
      <c r="N3" s="524"/>
      <c r="Q3" s="588"/>
      <c r="R3" s="588"/>
      <c r="Z3" s="7"/>
      <c r="AA3" s="7"/>
      <c r="AB3" s="7"/>
      <c r="AC3" s="7"/>
      <c r="AD3" s="7"/>
      <c r="AF3" s="7"/>
      <c r="AG3" s="7"/>
      <c r="AI3" s="7"/>
      <c r="AJ3" s="7"/>
      <c r="AK3" s="7"/>
      <c r="AL3" s="7"/>
      <c r="AM3" s="7"/>
      <c r="AN3" s="7"/>
      <c r="AO3" s="7"/>
      <c r="AP3" s="7"/>
      <c r="AQ3" s="7"/>
      <c r="AR3" s="7"/>
      <c r="AS3" s="7"/>
    </row>
    <row r="4" spans="1:70" x14ac:dyDescent="0.2">
      <c r="L4" s="524"/>
      <c r="N4" s="95"/>
      <c r="Q4" s="588"/>
      <c r="R4" s="588"/>
      <c r="AR4" s="7"/>
      <c r="AS4" s="7"/>
    </row>
    <row r="5" spans="1:70" x14ac:dyDescent="0.2">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7"/>
    </row>
    <row r="6" spans="1:70" ht="12.75" customHeight="1" x14ac:dyDescent="0.2">
      <c r="D6" s="1027" t="str">
        <f>IF(Langue=1,"Charges en entrée","Zulauffrachten")&amp;" kg/d"</f>
        <v>Zulauffrachten kg/d</v>
      </c>
      <c r="E6" s="1028"/>
      <c r="F6" s="1028"/>
      <c r="G6" s="1028"/>
      <c r="H6" s="1028"/>
      <c r="I6" s="1029"/>
      <c r="J6" s="1030" t="str">
        <f>IF(Langue=1,"Charges en sortie","Ablauffrachten")&amp;" kg/d"</f>
        <v>Ablauffrachten kg/d</v>
      </c>
      <c r="K6" s="1031"/>
      <c r="L6" s="1031"/>
      <c r="M6" s="1031"/>
      <c r="N6" s="1031"/>
      <c r="O6" s="1031"/>
      <c r="P6" s="1031"/>
      <c r="Q6" s="1031"/>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7"/>
      <c r="AT6" s="18"/>
      <c r="AU6" s="18"/>
      <c r="AV6" s="606"/>
      <c r="AW6" s="606"/>
      <c r="AX6" s="606"/>
      <c r="AY6" s="1032" t="s">
        <v>324</v>
      </c>
      <c r="AZ6" s="1032"/>
      <c r="BA6" s="1032"/>
      <c r="BB6" s="1032"/>
      <c r="BC6" s="1032"/>
      <c r="BD6" s="1035" t="str">
        <f>IF(Langue=1,"Charge massique (kg DCO/ kg MS. Jour)","Schlammbelastung (kg CSB / kg TS.d)")</f>
        <v>Schlammbelastung (kg CSB / kg TS.d)</v>
      </c>
      <c r="BE6" s="632"/>
      <c r="BF6" s="1033" t="str">
        <f>IF(Langue=1,"Débit spécifique", "Abwassermenge pro EW pro Tag") &amp; " " &amp;BF9</f>
        <v xml:space="preserve">Abwassermenge pro EW pro Tag </v>
      </c>
      <c r="BG6" s="649" t="str">
        <f>IF(Langue=1,"Rendements","Reinigungsleistung")</f>
        <v>Reinigungsleistung</v>
      </c>
      <c r="BH6" s="649"/>
      <c r="BI6" s="649"/>
      <c r="BJ6" s="649"/>
      <c r="BK6" s="649"/>
      <c r="BL6" s="656" t="str">
        <f>IF(Langue=1,"Rapports typiques à l'entrée STEP","Verhältnisse im Zulauf ARA")</f>
        <v>Verhältnisse im Zulauf ARA</v>
      </c>
      <c r="BM6" s="656"/>
      <c r="BN6" s="656"/>
      <c r="BO6" s="656"/>
      <c r="BP6" s="656"/>
      <c r="BQ6" s="656"/>
      <c r="BR6" s="656"/>
    </row>
    <row r="7" spans="1:70" ht="38.25" x14ac:dyDescent="0.2">
      <c r="D7" s="599"/>
      <c r="E7" s="599"/>
      <c r="F7" s="599"/>
      <c r="G7" s="599"/>
      <c r="H7" s="599"/>
      <c r="I7" s="599"/>
      <c r="J7" s="603"/>
      <c r="K7" s="603"/>
      <c r="L7" s="603"/>
      <c r="M7" s="603"/>
      <c r="N7" s="603"/>
      <c r="O7" s="603"/>
      <c r="P7" s="603"/>
      <c r="Q7" s="603"/>
      <c r="R7" s="632"/>
      <c r="S7" s="645" t="s">
        <v>321</v>
      </c>
      <c r="T7" s="608"/>
      <c r="U7" s="609" t="s">
        <v>322</v>
      </c>
      <c r="V7" s="610">
        <v>800</v>
      </c>
      <c r="W7" s="611"/>
      <c r="X7" s="611"/>
      <c r="Y7" s="628" t="s">
        <v>323</v>
      </c>
      <c r="Z7" s="628"/>
      <c r="AA7" s="629" t="s">
        <v>322</v>
      </c>
      <c r="AB7" s="630">
        <v>250</v>
      </c>
      <c r="AC7" s="631"/>
      <c r="AD7" s="631"/>
      <c r="AE7" s="632"/>
      <c r="AF7" s="633" t="s">
        <v>0</v>
      </c>
      <c r="AG7" s="634" t="s">
        <v>322</v>
      </c>
      <c r="AH7" s="635">
        <v>46.666666666666664</v>
      </c>
      <c r="AI7" s="636"/>
      <c r="AJ7" s="636"/>
      <c r="AK7" s="637"/>
      <c r="AL7" s="638" t="s">
        <v>319</v>
      </c>
      <c r="AM7" s="639" t="s">
        <v>322</v>
      </c>
      <c r="AN7" s="637">
        <v>11.333333333333334</v>
      </c>
      <c r="AO7" s="640"/>
      <c r="AP7" s="640"/>
      <c r="AQ7" s="625"/>
      <c r="AR7" s="626"/>
      <c r="AS7" s="7"/>
      <c r="AT7" s="18"/>
      <c r="AU7" s="18"/>
      <c r="AV7" s="607" t="s">
        <v>327</v>
      </c>
      <c r="AW7" s="607" t="s">
        <v>328</v>
      </c>
      <c r="AX7" s="607" t="s">
        <v>329</v>
      </c>
      <c r="AY7" s="646" t="s">
        <v>150</v>
      </c>
      <c r="AZ7" s="646" t="s">
        <v>330</v>
      </c>
      <c r="BA7" s="647" t="s">
        <v>0</v>
      </c>
      <c r="BB7" s="647" t="s">
        <v>151</v>
      </c>
      <c r="BC7" s="647" t="s">
        <v>331</v>
      </c>
      <c r="BD7" s="1035"/>
      <c r="BE7" s="650" t="str">
        <f>IF(Langue=1,"age de boues (j))","Schlammalter (d)")</f>
        <v>Schlammalter (d)</v>
      </c>
      <c r="BF7" s="1033"/>
      <c r="BG7" s="651" t="s">
        <v>149</v>
      </c>
      <c r="BH7" s="651" t="s">
        <v>150</v>
      </c>
      <c r="BI7" s="651" t="s">
        <v>339</v>
      </c>
      <c r="BJ7" s="651" t="s">
        <v>340</v>
      </c>
      <c r="BK7" s="651" t="s">
        <v>319</v>
      </c>
      <c r="BL7" s="652" t="str">
        <f>IF(Langue=1,"DCO/DBO5","CSB/BSB5")</f>
        <v>CSB/BSB5</v>
      </c>
      <c r="BM7" s="653" t="str">
        <f>IF(Langue=1,"NH4-N/Ntot","NH4-N/Nges")</f>
        <v>NH4-N/Nges</v>
      </c>
      <c r="BN7" s="653" t="str">
        <f>IF(Langue=1,"Ntot/COT","Nges/TOC")</f>
        <v>Nges/TOC</v>
      </c>
      <c r="BO7" s="653" t="str">
        <f>IF(Langue=1,"Ptot/COT","Pges/TOC")</f>
        <v>Pges/TOC</v>
      </c>
      <c r="BP7" s="654" t="str">
        <f>IF(Langue=1,"DCO/COT","CSB/TOC")</f>
        <v>CSB/TOC</v>
      </c>
      <c r="BQ7" s="653" t="str">
        <f>IF(Langue=1,"Ntot/DCO","Nges/CSB")</f>
        <v>Nges/CSB</v>
      </c>
      <c r="BR7" s="653" t="str">
        <f>IF(Langue=1,"Ptot/DCO","Pges/CSB")</f>
        <v>Pges/CSB</v>
      </c>
    </row>
    <row r="8" spans="1:70" ht="25.5" customHeight="1" x14ac:dyDescent="0.2">
      <c r="D8" s="599"/>
      <c r="E8" s="599"/>
      <c r="F8" s="599"/>
      <c r="G8" s="599"/>
      <c r="H8" s="599"/>
      <c r="I8" s="599"/>
      <c r="J8" s="603"/>
      <c r="K8" s="603"/>
      <c r="L8" s="603"/>
      <c r="M8" s="603"/>
      <c r="N8" s="603"/>
      <c r="O8" s="603"/>
      <c r="P8" s="603"/>
      <c r="Q8" s="603"/>
      <c r="R8" s="619" t="s">
        <v>153</v>
      </c>
      <c r="S8" s="616" t="s">
        <v>4</v>
      </c>
      <c r="T8" s="613" t="s">
        <v>3</v>
      </c>
      <c r="U8" s="614" t="s">
        <v>3</v>
      </c>
      <c r="V8" s="614" t="s">
        <v>2</v>
      </c>
      <c r="W8" s="614" t="s">
        <v>2</v>
      </c>
      <c r="X8" s="614" t="s">
        <v>152</v>
      </c>
      <c r="Y8" s="641" t="s">
        <v>4</v>
      </c>
      <c r="Z8" s="617" t="s">
        <v>3</v>
      </c>
      <c r="AA8" s="618" t="s">
        <v>3</v>
      </c>
      <c r="AB8" s="618" t="s">
        <v>2</v>
      </c>
      <c r="AC8" s="618" t="s">
        <v>2</v>
      </c>
      <c r="AD8" s="618" t="s">
        <v>152</v>
      </c>
      <c r="AE8" s="619" t="s">
        <v>4</v>
      </c>
      <c r="AF8" s="620" t="s">
        <v>3</v>
      </c>
      <c r="AG8" s="621" t="s">
        <v>3</v>
      </c>
      <c r="AH8" s="621" t="s">
        <v>2</v>
      </c>
      <c r="AI8" s="621" t="s">
        <v>2</v>
      </c>
      <c r="AJ8" s="621" t="s">
        <v>152</v>
      </c>
      <c r="AK8" s="622" t="s">
        <v>4</v>
      </c>
      <c r="AL8" s="623" t="s">
        <v>3</v>
      </c>
      <c r="AM8" s="624" t="s">
        <v>3</v>
      </c>
      <c r="AN8" s="624" t="s">
        <v>2</v>
      </c>
      <c r="AO8" s="624" t="s">
        <v>2</v>
      </c>
      <c r="AP8" s="624" t="s">
        <v>152</v>
      </c>
      <c r="AQ8" s="627"/>
      <c r="AR8" s="626"/>
      <c r="AS8" s="7"/>
      <c r="AT8" s="18"/>
      <c r="AU8" s="18"/>
      <c r="AV8" s="607"/>
      <c r="AW8" s="607"/>
      <c r="AX8" s="607"/>
      <c r="AY8" s="646"/>
      <c r="AZ8" s="646"/>
      <c r="BA8" s="647"/>
      <c r="BB8" s="647"/>
      <c r="BC8" s="647"/>
      <c r="BD8" s="648"/>
      <c r="BE8" s="632"/>
      <c r="BF8" s="657"/>
      <c r="BG8" s="649"/>
      <c r="BH8" s="649"/>
      <c r="BI8" s="649"/>
      <c r="BJ8" s="649"/>
      <c r="BK8" s="649"/>
      <c r="BL8" s="656"/>
      <c r="BM8" s="656"/>
      <c r="BN8" s="656"/>
      <c r="BO8" s="656"/>
      <c r="BP8" s="656"/>
      <c r="BQ8" s="656"/>
      <c r="BR8" s="656"/>
    </row>
    <row r="9" spans="1:70" ht="12.75" customHeight="1" x14ac:dyDescent="0.2">
      <c r="D9" s="600" t="str">
        <f>IF(Langue=1,"DBO5","BSB5")</f>
        <v>BSB5</v>
      </c>
      <c r="E9" s="601" t="str">
        <f>IF(Langue=1,"DCO","CSB")</f>
        <v>CSB</v>
      </c>
      <c r="F9" s="601" t="str">
        <f>IF(Langue=1,"COT","TOC")</f>
        <v>TOC</v>
      </c>
      <c r="G9" s="602" t="s">
        <v>157</v>
      </c>
      <c r="H9" s="602" t="str">
        <f>IF(Langue=1,"Ntot","Nges")</f>
        <v>Nges</v>
      </c>
      <c r="I9" s="602" t="str">
        <f>IF(Langue=1,"Ptot","Pges")</f>
        <v>Pges</v>
      </c>
      <c r="J9" s="604" t="str">
        <f>D9</f>
        <v>BSB5</v>
      </c>
      <c r="K9" s="604" t="str">
        <f>E9</f>
        <v>CSB</v>
      </c>
      <c r="L9" s="604" t="s">
        <v>318</v>
      </c>
      <c r="M9" s="604" t="s">
        <v>157</v>
      </c>
      <c r="N9" s="604" t="s">
        <v>8</v>
      </c>
      <c r="O9" s="604" t="s">
        <v>9</v>
      </c>
      <c r="P9" s="604" t="s">
        <v>319</v>
      </c>
      <c r="Q9" s="604" t="str">
        <f>IF(Langue=1,"SNDT","GUS")</f>
        <v>GUS</v>
      </c>
      <c r="R9" s="605" t="s">
        <v>325</v>
      </c>
      <c r="S9" s="612"/>
      <c r="T9" s="615"/>
      <c r="U9" s="614"/>
      <c r="V9" s="614"/>
      <c r="W9" s="614"/>
      <c r="X9" s="614"/>
      <c r="Y9" s="641"/>
      <c r="Z9" s="642"/>
      <c r="AA9" s="618"/>
      <c r="AB9" s="618"/>
      <c r="AC9" s="618"/>
      <c r="AD9" s="618"/>
      <c r="AE9" s="619"/>
      <c r="AF9" s="643"/>
      <c r="AG9" s="621"/>
      <c r="AH9" s="621"/>
      <c r="AI9" s="621"/>
      <c r="AJ9" s="621"/>
      <c r="AK9" s="622"/>
      <c r="AL9" s="644"/>
      <c r="AM9" s="624"/>
      <c r="AN9" s="624"/>
      <c r="AO9" s="624"/>
      <c r="AP9" s="624"/>
      <c r="AQ9" s="627" t="s">
        <v>326</v>
      </c>
      <c r="AR9" s="627" t="s">
        <v>358</v>
      </c>
      <c r="AS9" s="7"/>
      <c r="AT9" s="18"/>
      <c r="AU9" s="18"/>
      <c r="AV9" s="607"/>
      <c r="AW9" s="607"/>
      <c r="AX9" s="607"/>
      <c r="AY9" s="646"/>
      <c r="AZ9" s="646"/>
      <c r="BA9" s="647"/>
      <c r="BB9" s="647"/>
      <c r="BC9" s="647"/>
      <c r="BD9" s="648"/>
      <c r="BE9" s="632"/>
      <c r="BF9" s="657"/>
      <c r="BG9" s="649"/>
      <c r="BH9" s="649"/>
      <c r="BI9" s="649"/>
      <c r="BJ9" s="649"/>
      <c r="BK9" s="649"/>
      <c r="BL9" s="656"/>
      <c r="BM9" s="656"/>
      <c r="BN9" s="656"/>
      <c r="BO9" s="656"/>
      <c r="BP9" s="656"/>
      <c r="BQ9" s="656"/>
      <c r="BR9" s="656"/>
    </row>
    <row r="10" spans="1:70" x14ac:dyDescent="0.2">
      <c r="A10" s="502" t="s">
        <v>316</v>
      </c>
      <c r="B10" s="503" t="s">
        <v>315</v>
      </c>
      <c r="C10" s="504" t="s">
        <v>317</v>
      </c>
      <c r="D10" s="527" t="s">
        <v>333</v>
      </c>
      <c r="E10" s="527" t="s">
        <v>334</v>
      </c>
      <c r="F10" s="527" t="s">
        <v>335</v>
      </c>
      <c r="G10" s="527" t="s">
        <v>336</v>
      </c>
      <c r="H10" s="527" t="s">
        <v>337</v>
      </c>
      <c r="I10" s="527" t="s">
        <v>338</v>
      </c>
      <c r="J10" s="527" t="s">
        <v>346</v>
      </c>
      <c r="K10" s="527" t="s">
        <v>347</v>
      </c>
      <c r="L10" s="527" t="s">
        <v>348</v>
      </c>
      <c r="M10" s="527" t="s">
        <v>349</v>
      </c>
      <c r="N10" s="527" t="s">
        <v>350</v>
      </c>
      <c r="O10" s="527" t="s">
        <v>351</v>
      </c>
      <c r="P10" s="527" t="s">
        <v>352</v>
      </c>
      <c r="Q10" s="527" t="s">
        <v>353</v>
      </c>
      <c r="AQ10" s="627"/>
      <c r="AR10" s="626"/>
      <c r="AS10" s="7"/>
      <c r="AT10" s="18"/>
      <c r="AU10" s="18"/>
      <c r="AV10" s="607" t="s">
        <v>152</v>
      </c>
      <c r="AW10" s="607" t="s">
        <v>2</v>
      </c>
      <c r="AX10" s="607" t="s">
        <v>2</v>
      </c>
      <c r="AY10" s="646" t="s">
        <v>332</v>
      </c>
      <c r="AZ10" s="646"/>
      <c r="BA10" s="646" t="s">
        <v>332</v>
      </c>
      <c r="BB10" s="646" t="s">
        <v>332</v>
      </c>
      <c r="BC10" s="646" t="s">
        <v>332</v>
      </c>
      <c r="BD10" s="648"/>
      <c r="BE10" s="632"/>
      <c r="BF10" s="657"/>
      <c r="BG10" s="649"/>
      <c r="BH10" s="649"/>
      <c r="BI10" s="649"/>
      <c r="BJ10" s="649"/>
      <c r="BK10" s="649"/>
      <c r="BL10" s="656"/>
      <c r="BM10" s="656"/>
      <c r="BN10" s="656"/>
      <c r="BO10" s="656"/>
      <c r="BP10" s="656"/>
      <c r="BQ10" s="656"/>
      <c r="BR10" s="656"/>
    </row>
    <row r="11" spans="1:70" x14ac:dyDescent="0.2">
      <c r="A11" s="222">
        <f>données_step[[#This Row],[Datum]]</f>
        <v>44562</v>
      </c>
      <c r="B11" s="223"/>
      <c r="C11" s="224">
        <f>WEEKDAY(A11)</f>
        <v>7</v>
      </c>
      <c r="D11" s="523" t="e">
        <f ca="1">stat(charge_entree[[#This Row],[ch_E_DBO5]])</f>
        <v>#NAME?</v>
      </c>
      <c r="E11" s="523" t="e">
        <f ca="1">stat(charge_entree[[#This Row],[ch_E_DCO]])</f>
        <v>#NAME?</v>
      </c>
      <c r="F11" s="523" t="e">
        <f ca="1">stat(charge_entree[[#This Row],[ch_E_COT]])</f>
        <v>#NAME?</v>
      </c>
      <c r="G11" s="523" t="e">
        <f ca="1">stat(charge_entree[[#This Row],[ch_E_NH4]])</f>
        <v>#NAME?</v>
      </c>
      <c r="H11" s="523" t="e">
        <f ca="1">stat(charge_entree[[#This Row],[ch_E_NTOT]])</f>
        <v>#NAME?</v>
      </c>
      <c r="I11" s="523" t="e">
        <f ca="1">stat(charge_entree[[#This Row],[ch_E_PTOT]])</f>
        <v>#NAME?</v>
      </c>
      <c r="J11" s="523" t="e">
        <f ca="1">stat(charge_entree[[#This Row],[ch_S_DBO]])</f>
        <v>#NAME?</v>
      </c>
      <c r="K11" s="523" t="e">
        <f ca="1">stat(charge_entree[[#This Row],[ch_S-DCO]])</f>
        <v>#NAME?</v>
      </c>
      <c r="L11" s="523" t="e">
        <f ca="1">stat(charge_entree[[#This Row],[ch_S_DOC]])</f>
        <v>#NAME?</v>
      </c>
      <c r="M11" s="523" t="e">
        <f ca="1">stat(charge_entree[[#This Row],[ch_S_NH4]])</f>
        <v>#NAME?</v>
      </c>
      <c r="N11" s="523" t="e">
        <f ca="1">stat(charge_entree[[#This Row],[ch_S_NO2]])</f>
        <v>#NAME?</v>
      </c>
      <c r="O11" s="523" t="e">
        <f ca="1">stat(charge_entree[[#This Row],[ch_S_NO3]])</f>
        <v>#NAME?</v>
      </c>
      <c r="P11" s="523" t="e">
        <f ca="1">stat(charge_entree[[#This Row],[ch_S_PTOT]])</f>
        <v>#NAME?</v>
      </c>
      <c r="Q11" s="523" t="e">
        <f ca="1">stat(charge_entree[[#This Row],[ch_S_SNDT]])</f>
        <v>#NAME?</v>
      </c>
      <c r="R11" s="523">
        <f>calculs!R11</f>
        <v>0</v>
      </c>
      <c r="S11" s="523" t="e">
        <f ca="1">stat(calculs!S11)</f>
        <v>#NAME?</v>
      </c>
      <c r="T11" s="523" t="e">
        <f ca="1">stat(calculs!T11)</f>
        <v>#NAME?</v>
      </c>
      <c r="U11" s="523" t="e">
        <f ca="1">stat(calculs!U11)</f>
        <v>#NAME?</v>
      </c>
      <c r="V11" s="523" t="e">
        <f ca="1">stat(calculs!V11)</f>
        <v>#NAME?</v>
      </c>
      <c r="W11" s="523" t="e">
        <f ca="1">stat(calculs!W11)</f>
        <v>#NAME?</v>
      </c>
      <c r="X11" s="523" t="e">
        <f ca="1">stat(calculs!X11)</f>
        <v>#NAME?</v>
      </c>
      <c r="Y11" s="523" t="e">
        <f ca="1">stat(calculs!Y11)</f>
        <v>#NAME?</v>
      </c>
      <c r="Z11" s="523" t="e">
        <f ca="1">stat(calculs!Z11)</f>
        <v>#NAME?</v>
      </c>
      <c r="AA11" s="523" t="e">
        <f ca="1">stat(calculs!AA11)</f>
        <v>#NAME?</v>
      </c>
      <c r="AB11" s="523" t="e">
        <f ca="1">stat(calculs!AB11)</f>
        <v>#NAME?</v>
      </c>
      <c r="AC11" s="523" t="e">
        <f ca="1">stat(calculs!AC11)</f>
        <v>#NAME?</v>
      </c>
      <c r="AD11" s="523" t="e">
        <f ca="1">stat(calculs!AD11)</f>
        <v>#NAME?</v>
      </c>
      <c r="AE11" s="523" t="e">
        <f ca="1">stat(calculs!AE11)</f>
        <v>#NAME?</v>
      </c>
      <c r="AF11" s="523" t="e">
        <f ca="1">stat(calculs!AF11)</f>
        <v>#NAME?</v>
      </c>
      <c r="AG11" s="523" t="e">
        <f ca="1">stat(calculs!AG11)</f>
        <v>#NAME?</v>
      </c>
      <c r="AH11" s="523" t="e">
        <f ca="1">stat(calculs!AH11)</f>
        <v>#NAME?</v>
      </c>
      <c r="AI11" s="523" t="e">
        <f ca="1">stat(calculs!AI11)</f>
        <v>#NAME?</v>
      </c>
      <c r="AJ11" s="523" t="e">
        <f ca="1">stat(calculs!AJ11)</f>
        <v>#NAME?</v>
      </c>
      <c r="AK11" s="523" t="e">
        <f ca="1">stat(calculs!AK11)</f>
        <v>#NAME?</v>
      </c>
      <c r="AL11" s="523" t="e">
        <f ca="1">stat(calculs!AL11)</f>
        <v>#NAME?</v>
      </c>
      <c r="AM11" s="523" t="e">
        <f ca="1">stat(calculs!AM11)</f>
        <v>#NAME?</v>
      </c>
      <c r="AN11" s="523" t="e">
        <f ca="1">stat(calculs!AN11)</f>
        <v>#NAME?</v>
      </c>
      <c r="AO11" s="523" t="e">
        <f ca="1">stat(calculs!AO11)</f>
        <v>#NAME?</v>
      </c>
      <c r="AP11" s="523" t="e">
        <f ca="1">stat(calculs!AP11)</f>
        <v>#NAME?</v>
      </c>
      <c r="AQ11" s="523" t="e">
        <f ca="1">stat(calculs!AQ11)</f>
        <v>#NAME?</v>
      </c>
      <c r="AR11" s="7"/>
      <c r="AV11" s="525" t="e">
        <f ca="1">stat(calculs!AV11)</f>
        <v>#NAME?</v>
      </c>
      <c r="AW11" s="525" t="e">
        <f ca="1">stat(calculs!AW11)</f>
        <v>#NAME?</v>
      </c>
      <c r="AX11" s="525" t="e">
        <f ca="1">stat(calculs!AX11)</f>
        <v>#NAME?</v>
      </c>
      <c r="AY11" s="525" t="e">
        <f ca="1">stat(calculs!AY11)</f>
        <v>#NAME?</v>
      </c>
      <c r="AZ11" s="525" t="e">
        <f ca="1">stat(calculs!AZ11)</f>
        <v>#NAME?</v>
      </c>
      <c r="BA11" s="525" t="e">
        <f ca="1">stat(calculs!BA11)</f>
        <v>#NAME?</v>
      </c>
      <c r="BB11" s="525" t="e">
        <f ca="1">stat(calculs!BB11)</f>
        <v>#NAME?</v>
      </c>
      <c r="BC11" s="525" t="e">
        <f ca="1">stat(calculs!BC11)</f>
        <v>#NAME?</v>
      </c>
      <c r="BD11" s="525" t="e">
        <f ca="1">stat(calculs!BD11)</f>
        <v>#NAME?</v>
      </c>
      <c r="BE11" s="525" t="e">
        <f ca="1">stat(calculs!BE11)</f>
        <v>#NAME?</v>
      </c>
      <c r="BF11" s="525" t="e">
        <f ca="1">stat(calculs!BF11)</f>
        <v>#NAME?</v>
      </c>
      <c r="BG11" s="729" t="e">
        <f ca="1">stat(calculs!BG11)</f>
        <v>#NAME?</v>
      </c>
      <c r="BH11" s="729" t="e">
        <f ca="1">stat(calculs!BH11)</f>
        <v>#NAME?</v>
      </c>
      <c r="BI11" s="729" t="e">
        <f ca="1">stat(calculs!BI11)</f>
        <v>#NAME?</v>
      </c>
      <c r="BJ11" s="729" t="e">
        <f ca="1">stat(calculs!BJ11)</f>
        <v>#NAME?</v>
      </c>
      <c r="BK11" s="729" t="e">
        <f ca="1">stat(calculs!BK11)</f>
        <v>#NAME?</v>
      </c>
      <c r="BL11" s="525" t="e">
        <f ca="1">stat(calculs!BL11)</f>
        <v>#NAME?</v>
      </c>
      <c r="BM11" s="525" t="e">
        <f ca="1">stat(calculs!BM11)</f>
        <v>#NAME?</v>
      </c>
      <c r="BN11" s="525" t="e">
        <f ca="1">stat(calculs!BN11)</f>
        <v>#NAME?</v>
      </c>
      <c r="BO11" s="525" t="e">
        <f ca="1">stat(calculs!BO11)</f>
        <v>#NAME?</v>
      </c>
      <c r="BP11" s="525" t="e">
        <f ca="1">stat(calculs!BP11)</f>
        <v>#NAME?</v>
      </c>
      <c r="BQ11" s="525" t="e">
        <f ca="1">stat(calculs!BQ11)</f>
        <v>#NAME?</v>
      </c>
      <c r="BR11" s="525" t="e">
        <f ca="1">stat(calculs!BR11)</f>
        <v>#NAME?</v>
      </c>
    </row>
    <row r="12" spans="1:70" x14ac:dyDescent="0.2">
      <c r="A12" s="222">
        <f>données_step[[#This Row],[Datum]]</f>
        <v>44563</v>
      </c>
      <c r="B12" s="223"/>
      <c r="C12" s="224">
        <f t="shared" ref="C12:C75" si="0">WEEKDAY(A12)</f>
        <v>1</v>
      </c>
      <c r="D12" s="523" t="e">
        <f ca="1">stat(charge_entree[[#This Row],[ch_E_DBO5]])</f>
        <v>#NAME?</v>
      </c>
      <c r="E12" s="523" t="e">
        <f ca="1">stat(charge_entree[[#This Row],[ch_E_DCO]])</f>
        <v>#NAME?</v>
      </c>
      <c r="F12" s="523" t="e">
        <f ca="1">stat(charge_entree[[#This Row],[ch_E_COT]])</f>
        <v>#NAME?</v>
      </c>
      <c r="G12" s="523" t="e">
        <f ca="1">stat(charge_entree[[#This Row],[ch_E_NH4]])</f>
        <v>#NAME?</v>
      </c>
      <c r="H12" s="523" t="e">
        <f ca="1">stat(charge_entree[[#This Row],[ch_E_NTOT]])</f>
        <v>#NAME?</v>
      </c>
      <c r="I12" s="523" t="e">
        <f ca="1">stat(charge_entree[[#This Row],[ch_E_PTOT]])</f>
        <v>#NAME?</v>
      </c>
      <c r="J12" s="523" t="e">
        <f ca="1">stat(charge_entree[[#This Row],[ch_S_DBO]])</f>
        <v>#NAME?</v>
      </c>
      <c r="K12" s="523" t="e">
        <f ca="1">stat(charge_entree[[#This Row],[ch_S-DCO]])</f>
        <v>#NAME?</v>
      </c>
      <c r="L12" s="523" t="e">
        <f ca="1">stat(charge_entree[[#This Row],[ch_S_DOC]])</f>
        <v>#NAME?</v>
      </c>
      <c r="M12" s="523" t="e">
        <f ca="1">stat(charge_entree[[#This Row],[ch_S_NH4]])</f>
        <v>#NAME?</v>
      </c>
      <c r="N12" s="523" t="e">
        <f ca="1">stat(charge_entree[[#This Row],[ch_S_NO2]])</f>
        <v>#NAME?</v>
      </c>
      <c r="O12" s="523" t="e">
        <f ca="1">stat(charge_entree[[#This Row],[ch_S_NO3]])</f>
        <v>#NAME?</v>
      </c>
      <c r="P12" s="523" t="e">
        <f ca="1">stat(charge_entree[[#This Row],[ch_S_PTOT]])</f>
        <v>#NAME?</v>
      </c>
      <c r="Q12" s="523" t="e">
        <f ca="1">stat(charge_entree[[#This Row],[ch_S_SNDT]])</f>
        <v>#NAME?</v>
      </c>
      <c r="R12" s="523">
        <f>calculs!R12</f>
        <v>0</v>
      </c>
      <c r="S12" s="523" t="e">
        <f ca="1">stat(calculs!S12)</f>
        <v>#NAME?</v>
      </c>
      <c r="T12" s="523" t="e">
        <f ca="1">stat(calculs!T12)</f>
        <v>#NAME?</v>
      </c>
      <c r="U12" s="523" t="e">
        <f ca="1">stat(calculs!U12)</f>
        <v>#NAME?</v>
      </c>
      <c r="V12" s="523" t="e">
        <f ca="1">stat(calculs!V12)</f>
        <v>#NAME?</v>
      </c>
      <c r="W12" s="523" t="e">
        <f ca="1">stat(calculs!W12)</f>
        <v>#NAME?</v>
      </c>
      <c r="X12" s="523" t="e">
        <f ca="1">stat(calculs!X12)</f>
        <v>#NAME?</v>
      </c>
      <c r="Y12" s="523" t="e">
        <f ca="1">stat(calculs!Y12)</f>
        <v>#NAME?</v>
      </c>
      <c r="Z12" s="523" t="e">
        <f ca="1">stat(calculs!Z12)</f>
        <v>#NAME?</v>
      </c>
      <c r="AA12" s="523" t="e">
        <f ca="1">stat(calculs!AA12)</f>
        <v>#NAME?</v>
      </c>
      <c r="AB12" s="523" t="e">
        <f ca="1">stat(calculs!AB12)</f>
        <v>#NAME?</v>
      </c>
      <c r="AC12" s="523" t="e">
        <f ca="1">stat(calculs!AC12)</f>
        <v>#NAME?</v>
      </c>
      <c r="AD12" s="523" t="e">
        <f ca="1">stat(calculs!AD12)</f>
        <v>#NAME?</v>
      </c>
      <c r="AE12" s="523" t="e">
        <f ca="1">stat(calculs!AE12)</f>
        <v>#NAME?</v>
      </c>
      <c r="AF12" s="523" t="e">
        <f ca="1">stat(calculs!AF12)</f>
        <v>#NAME?</v>
      </c>
      <c r="AG12" s="523" t="e">
        <f ca="1">stat(calculs!AG12)</f>
        <v>#NAME?</v>
      </c>
      <c r="AH12" s="523" t="e">
        <f ca="1">stat(calculs!AH12)</f>
        <v>#NAME?</v>
      </c>
      <c r="AI12" s="523" t="e">
        <f ca="1">stat(calculs!AI12)</f>
        <v>#NAME?</v>
      </c>
      <c r="AJ12" s="523" t="e">
        <f ca="1">stat(calculs!AJ12)</f>
        <v>#NAME?</v>
      </c>
      <c r="AK12" s="523" t="e">
        <f ca="1">stat(calculs!AK12)</f>
        <v>#NAME?</v>
      </c>
      <c r="AL12" s="523" t="e">
        <f ca="1">stat(calculs!AL12)</f>
        <v>#NAME?</v>
      </c>
      <c r="AM12" s="523" t="e">
        <f ca="1">stat(calculs!AM12)</f>
        <v>#NAME?</v>
      </c>
      <c r="AN12" s="523" t="e">
        <f ca="1">stat(calculs!AN12)</f>
        <v>#NAME?</v>
      </c>
      <c r="AO12" s="523" t="e">
        <f ca="1">stat(calculs!AO12)</f>
        <v>#NAME?</v>
      </c>
      <c r="AP12" s="523" t="e">
        <f ca="1">stat(calculs!AP12)</f>
        <v>#NAME?</v>
      </c>
      <c r="AQ12" s="523" t="e">
        <f ca="1">stat(calculs!AQ12)</f>
        <v>#NAME?</v>
      </c>
      <c r="AT12" s="517"/>
      <c r="AV12" s="525" t="e">
        <f ca="1">stat(calculs!AV12)</f>
        <v>#NAME?</v>
      </c>
      <c r="AW12" s="525" t="e">
        <f ca="1">stat(calculs!AW12)</f>
        <v>#NAME?</v>
      </c>
      <c r="AX12" s="525" t="e">
        <f ca="1">stat(calculs!AX12)</f>
        <v>#NAME?</v>
      </c>
      <c r="AY12" s="525" t="e">
        <f ca="1">stat(calculs!AY12)</f>
        <v>#NAME?</v>
      </c>
      <c r="AZ12" s="525" t="e">
        <f ca="1">stat(calculs!AZ12)</f>
        <v>#NAME?</v>
      </c>
      <c r="BA12" s="525" t="e">
        <f ca="1">stat(calculs!BA12)</f>
        <v>#NAME?</v>
      </c>
      <c r="BB12" s="525" t="e">
        <f ca="1">stat(calculs!BB12)</f>
        <v>#NAME?</v>
      </c>
      <c r="BC12" s="525" t="e">
        <f ca="1">stat(calculs!BC12)</f>
        <v>#NAME?</v>
      </c>
      <c r="BD12" s="525" t="e">
        <f ca="1">stat(calculs!BD12)</f>
        <v>#NAME?</v>
      </c>
      <c r="BE12" s="525" t="e">
        <f ca="1">stat(calculs!BE12)</f>
        <v>#NAME?</v>
      </c>
      <c r="BF12" s="525" t="e">
        <f ca="1">stat(calculs!BF12)</f>
        <v>#NAME?</v>
      </c>
      <c r="BG12" s="729" t="e">
        <f ca="1">stat(calculs!BG12)</f>
        <v>#NAME?</v>
      </c>
      <c r="BH12" s="729" t="e">
        <f ca="1">stat(calculs!BH12)</f>
        <v>#NAME?</v>
      </c>
      <c r="BI12" s="729" t="e">
        <f ca="1">stat(calculs!BI12)</f>
        <v>#NAME?</v>
      </c>
      <c r="BJ12" s="729" t="e">
        <f ca="1">stat(calculs!BJ12)</f>
        <v>#NAME?</v>
      </c>
      <c r="BK12" s="729" t="e">
        <f ca="1">stat(calculs!BK12)</f>
        <v>#NAME?</v>
      </c>
      <c r="BL12" s="525" t="e">
        <f ca="1">stat(calculs!BL12)</f>
        <v>#NAME?</v>
      </c>
      <c r="BM12" s="525" t="e">
        <f ca="1">stat(calculs!BM12)</f>
        <v>#NAME?</v>
      </c>
      <c r="BN12" s="525" t="e">
        <f ca="1">stat(calculs!BN12)</f>
        <v>#NAME?</v>
      </c>
      <c r="BO12" s="525" t="e">
        <f ca="1">stat(calculs!BO12)</f>
        <v>#NAME?</v>
      </c>
      <c r="BP12" s="525" t="e">
        <f ca="1">stat(calculs!BP12)</f>
        <v>#NAME?</v>
      </c>
      <c r="BQ12" s="525" t="e">
        <f ca="1">stat(calculs!BQ12)</f>
        <v>#NAME?</v>
      </c>
      <c r="BR12" s="525" t="e">
        <f ca="1">stat(calculs!BR12)</f>
        <v>#NAME?</v>
      </c>
    </row>
    <row r="13" spans="1:70" x14ac:dyDescent="0.2">
      <c r="A13" s="222">
        <f>données_step[[#This Row],[Datum]]</f>
        <v>44564</v>
      </c>
      <c r="B13" s="223"/>
      <c r="C13" s="224">
        <f t="shared" si="0"/>
        <v>2</v>
      </c>
      <c r="D13" s="523" t="e">
        <f ca="1">stat(charge_entree[[#This Row],[ch_E_DBO5]])</f>
        <v>#NAME?</v>
      </c>
      <c r="E13" s="523" t="e">
        <f ca="1">stat(charge_entree[[#This Row],[ch_E_DCO]])</f>
        <v>#NAME?</v>
      </c>
      <c r="F13" s="523" t="e">
        <f ca="1">stat(charge_entree[[#This Row],[ch_E_COT]])</f>
        <v>#NAME?</v>
      </c>
      <c r="G13" s="523" t="e">
        <f ca="1">stat(charge_entree[[#This Row],[ch_E_NH4]])</f>
        <v>#NAME?</v>
      </c>
      <c r="H13" s="523" t="e">
        <f ca="1">stat(charge_entree[[#This Row],[ch_E_NTOT]])</f>
        <v>#NAME?</v>
      </c>
      <c r="I13" s="523" t="e">
        <f ca="1">stat(charge_entree[[#This Row],[ch_E_PTOT]])</f>
        <v>#NAME?</v>
      </c>
      <c r="J13" s="523" t="e">
        <f ca="1">stat(charge_entree[[#This Row],[ch_S_DBO]])</f>
        <v>#NAME?</v>
      </c>
      <c r="K13" s="523" t="e">
        <f ca="1">stat(charge_entree[[#This Row],[ch_S-DCO]])</f>
        <v>#NAME?</v>
      </c>
      <c r="L13" s="523" t="e">
        <f ca="1">stat(charge_entree[[#This Row],[ch_S_DOC]])</f>
        <v>#NAME?</v>
      </c>
      <c r="M13" s="523" t="e">
        <f ca="1">stat(charge_entree[[#This Row],[ch_S_NH4]])</f>
        <v>#NAME?</v>
      </c>
      <c r="N13" s="523" t="e">
        <f ca="1">stat(charge_entree[[#This Row],[ch_S_NO2]])</f>
        <v>#NAME?</v>
      </c>
      <c r="O13" s="523" t="e">
        <f ca="1">stat(charge_entree[[#This Row],[ch_S_NO3]])</f>
        <v>#NAME?</v>
      </c>
      <c r="P13" s="523" t="e">
        <f ca="1">stat(charge_entree[[#This Row],[ch_S_PTOT]])</f>
        <v>#NAME?</v>
      </c>
      <c r="Q13" s="523" t="e">
        <f ca="1">stat(charge_entree[[#This Row],[ch_S_SNDT]])</f>
        <v>#NAME?</v>
      </c>
      <c r="R13" s="523">
        <f>calculs!R13</f>
        <v>0</v>
      </c>
      <c r="S13" s="523" t="e">
        <f ca="1">stat(calculs!S13)</f>
        <v>#NAME?</v>
      </c>
      <c r="T13" s="523" t="e">
        <f ca="1">stat(calculs!T13)</f>
        <v>#NAME?</v>
      </c>
      <c r="U13" s="523" t="e">
        <f ca="1">stat(calculs!U13)</f>
        <v>#NAME?</v>
      </c>
      <c r="V13" s="523" t="e">
        <f ca="1">stat(calculs!V13)</f>
        <v>#NAME?</v>
      </c>
      <c r="W13" s="523" t="e">
        <f ca="1">stat(calculs!W13)</f>
        <v>#NAME?</v>
      </c>
      <c r="X13" s="523" t="e">
        <f ca="1">stat(calculs!X13)</f>
        <v>#NAME?</v>
      </c>
      <c r="Y13" s="523" t="e">
        <f ca="1">stat(calculs!Y13)</f>
        <v>#NAME?</v>
      </c>
      <c r="Z13" s="523" t="e">
        <f ca="1">stat(calculs!Z13)</f>
        <v>#NAME?</v>
      </c>
      <c r="AA13" s="523" t="e">
        <f ca="1">stat(calculs!AA13)</f>
        <v>#NAME?</v>
      </c>
      <c r="AB13" s="523" t="e">
        <f ca="1">stat(calculs!AB13)</f>
        <v>#NAME?</v>
      </c>
      <c r="AC13" s="523" t="e">
        <f ca="1">stat(calculs!AC13)</f>
        <v>#NAME?</v>
      </c>
      <c r="AD13" s="523" t="e">
        <f ca="1">stat(calculs!AD13)</f>
        <v>#NAME?</v>
      </c>
      <c r="AE13" s="523" t="e">
        <f ca="1">stat(calculs!AE13)</f>
        <v>#NAME?</v>
      </c>
      <c r="AF13" s="523" t="e">
        <f ca="1">stat(calculs!AF13)</f>
        <v>#NAME?</v>
      </c>
      <c r="AG13" s="523" t="e">
        <f ca="1">stat(calculs!AG13)</f>
        <v>#NAME?</v>
      </c>
      <c r="AH13" s="523" t="e">
        <f ca="1">stat(calculs!AH13)</f>
        <v>#NAME?</v>
      </c>
      <c r="AI13" s="523" t="e">
        <f ca="1">stat(calculs!AI13)</f>
        <v>#NAME?</v>
      </c>
      <c r="AJ13" s="523" t="e">
        <f ca="1">stat(calculs!AJ13)</f>
        <v>#NAME?</v>
      </c>
      <c r="AK13" s="523" t="e">
        <f ca="1">stat(calculs!AK13)</f>
        <v>#NAME?</v>
      </c>
      <c r="AL13" s="523" t="e">
        <f ca="1">stat(calculs!AL13)</f>
        <v>#NAME?</v>
      </c>
      <c r="AM13" s="523" t="e">
        <f ca="1">stat(calculs!AM13)</f>
        <v>#NAME?</v>
      </c>
      <c r="AN13" s="523" t="e">
        <f ca="1">stat(calculs!AN13)</f>
        <v>#NAME?</v>
      </c>
      <c r="AO13" s="523" t="e">
        <f ca="1">stat(calculs!AO13)</f>
        <v>#NAME?</v>
      </c>
      <c r="AP13" s="523" t="e">
        <f ca="1">stat(calculs!AP13)</f>
        <v>#NAME?</v>
      </c>
      <c r="AQ13" s="523" t="e">
        <f ca="1">stat(calculs!AQ13)</f>
        <v>#NAME?</v>
      </c>
      <c r="AT13" s="517"/>
      <c r="AV13" s="525" t="e">
        <f ca="1">stat(calculs!AV13)</f>
        <v>#NAME?</v>
      </c>
      <c r="AW13" s="525" t="e">
        <f ca="1">stat(calculs!AW13)</f>
        <v>#NAME?</v>
      </c>
      <c r="AX13" s="525" t="e">
        <f ca="1">stat(calculs!AX13)</f>
        <v>#NAME?</v>
      </c>
      <c r="AY13" s="525" t="e">
        <f ca="1">stat(calculs!AY13)</f>
        <v>#NAME?</v>
      </c>
      <c r="AZ13" s="525" t="e">
        <f ca="1">stat(calculs!AZ13)</f>
        <v>#NAME?</v>
      </c>
      <c r="BA13" s="525" t="e">
        <f ca="1">stat(calculs!BA13)</f>
        <v>#NAME?</v>
      </c>
      <c r="BB13" s="525" t="e">
        <f ca="1">stat(calculs!BB13)</f>
        <v>#NAME?</v>
      </c>
      <c r="BC13" s="525" t="e">
        <f ca="1">stat(calculs!BC13)</f>
        <v>#NAME?</v>
      </c>
      <c r="BD13" s="525" t="e">
        <f ca="1">stat(calculs!BD13)</f>
        <v>#NAME?</v>
      </c>
      <c r="BE13" s="525" t="e">
        <f ca="1">stat(calculs!BE13)</f>
        <v>#NAME?</v>
      </c>
      <c r="BF13" s="525" t="e">
        <f ca="1">stat(calculs!BF13)</f>
        <v>#NAME?</v>
      </c>
      <c r="BG13" s="729" t="e">
        <f ca="1">stat(calculs!BG13)</f>
        <v>#NAME?</v>
      </c>
      <c r="BH13" s="729" t="e">
        <f ca="1">stat(calculs!BH13)</f>
        <v>#NAME?</v>
      </c>
      <c r="BI13" s="729" t="e">
        <f ca="1">stat(calculs!BI13)</f>
        <v>#NAME?</v>
      </c>
      <c r="BJ13" s="729" t="e">
        <f ca="1">stat(calculs!BJ13)</f>
        <v>#NAME?</v>
      </c>
      <c r="BK13" s="729" t="e">
        <f ca="1">stat(calculs!BK13)</f>
        <v>#NAME?</v>
      </c>
      <c r="BL13" s="525" t="e">
        <f ca="1">stat(calculs!BL13)</f>
        <v>#NAME?</v>
      </c>
      <c r="BM13" s="525" t="e">
        <f ca="1">stat(calculs!BM13)</f>
        <v>#NAME?</v>
      </c>
      <c r="BN13" s="525" t="e">
        <f ca="1">stat(calculs!BN13)</f>
        <v>#NAME?</v>
      </c>
      <c r="BO13" s="525" t="e">
        <f ca="1">stat(calculs!BO13)</f>
        <v>#NAME?</v>
      </c>
      <c r="BP13" s="525" t="e">
        <f ca="1">stat(calculs!BP13)</f>
        <v>#NAME?</v>
      </c>
      <c r="BQ13" s="525" t="e">
        <f ca="1">stat(calculs!BQ13)</f>
        <v>#NAME?</v>
      </c>
      <c r="BR13" s="525" t="e">
        <f ca="1">stat(calculs!BR13)</f>
        <v>#NAME?</v>
      </c>
    </row>
    <row r="14" spans="1:70" x14ac:dyDescent="0.2">
      <c r="A14" s="222">
        <f>données_step[[#This Row],[Datum]]</f>
        <v>44565</v>
      </c>
      <c r="B14" s="223"/>
      <c r="C14" s="224">
        <f t="shared" si="0"/>
        <v>3</v>
      </c>
      <c r="D14" s="523" t="e">
        <f ca="1">stat(charge_entree[[#This Row],[ch_E_DBO5]])</f>
        <v>#NAME?</v>
      </c>
      <c r="E14" s="523" t="e">
        <f ca="1">stat(charge_entree[[#This Row],[ch_E_DCO]])</f>
        <v>#NAME?</v>
      </c>
      <c r="F14" s="523" t="e">
        <f ca="1">stat(charge_entree[[#This Row],[ch_E_COT]])</f>
        <v>#NAME?</v>
      </c>
      <c r="G14" s="523" t="e">
        <f ca="1">stat(charge_entree[[#This Row],[ch_E_NH4]])</f>
        <v>#NAME?</v>
      </c>
      <c r="H14" s="523" t="e">
        <f ca="1">stat(charge_entree[[#This Row],[ch_E_NTOT]])</f>
        <v>#NAME?</v>
      </c>
      <c r="I14" s="523" t="e">
        <f ca="1">stat(charge_entree[[#This Row],[ch_E_PTOT]])</f>
        <v>#NAME?</v>
      </c>
      <c r="J14" s="523" t="e">
        <f ca="1">stat(charge_entree[[#This Row],[ch_S_DBO]])</f>
        <v>#NAME?</v>
      </c>
      <c r="K14" s="523" t="e">
        <f ca="1">stat(charge_entree[[#This Row],[ch_S-DCO]])</f>
        <v>#NAME?</v>
      </c>
      <c r="L14" s="523" t="e">
        <f ca="1">stat(charge_entree[[#This Row],[ch_S_DOC]])</f>
        <v>#NAME?</v>
      </c>
      <c r="M14" s="523" t="e">
        <f ca="1">stat(charge_entree[[#This Row],[ch_S_NH4]])</f>
        <v>#NAME?</v>
      </c>
      <c r="N14" s="523" t="e">
        <f ca="1">stat(charge_entree[[#This Row],[ch_S_NO2]])</f>
        <v>#NAME?</v>
      </c>
      <c r="O14" s="523" t="e">
        <f ca="1">stat(charge_entree[[#This Row],[ch_S_NO3]])</f>
        <v>#NAME?</v>
      </c>
      <c r="P14" s="523" t="e">
        <f ca="1">stat(charge_entree[[#This Row],[ch_S_PTOT]])</f>
        <v>#NAME?</v>
      </c>
      <c r="Q14" s="523" t="e">
        <f ca="1">stat(charge_entree[[#This Row],[ch_S_SNDT]])</f>
        <v>#NAME?</v>
      </c>
      <c r="R14" s="523">
        <f>calculs!R14</f>
        <v>0</v>
      </c>
      <c r="S14" s="523" t="e">
        <f ca="1">stat(calculs!S14)</f>
        <v>#NAME?</v>
      </c>
      <c r="T14" s="523" t="e">
        <f ca="1">stat(calculs!T14)</f>
        <v>#NAME?</v>
      </c>
      <c r="U14" s="523" t="e">
        <f ca="1">stat(calculs!U14)</f>
        <v>#NAME?</v>
      </c>
      <c r="V14" s="523" t="e">
        <f ca="1">stat(calculs!V14)</f>
        <v>#NAME?</v>
      </c>
      <c r="W14" s="523" t="e">
        <f ca="1">stat(calculs!W14)</f>
        <v>#NAME?</v>
      </c>
      <c r="X14" s="523" t="e">
        <f ca="1">stat(calculs!X14)</f>
        <v>#NAME?</v>
      </c>
      <c r="Y14" s="523" t="e">
        <f ca="1">stat(calculs!Y14)</f>
        <v>#NAME?</v>
      </c>
      <c r="Z14" s="523" t="e">
        <f ca="1">stat(calculs!Z14)</f>
        <v>#NAME?</v>
      </c>
      <c r="AA14" s="523" t="e">
        <f ca="1">stat(calculs!AA14)</f>
        <v>#NAME?</v>
      </c>
      <c r="AB14" s="523" t="e">
        <f ca="1">stat(calculs!AB14)</f>
        <v>#NAME?</v>
      </c>
      <c r="AC14" s="523" t="e">
        <f ca="1">stat(calculs!AC14)</f>
        <v>#NAME?</v>
      </c>
      <c r="AD14" s="523" t="e">
        <f ca="1">stat(calculs!AD14)</f>
        <v>#NAME?</v>
      </c>
      <c r="AE14" s="523" t="e">
        <f ca="1">stat(calculs!AE14)</f>
        <v>#NAME?</v>
      </c>
      <c r="AF14" s="523" t="e">
        <f ca="1">stat(calculs!AF14)</f>
        <v>#NAME?</v>
      </c>
      <c r="AG14" s="523" t="e">
        <f ca="1">stat(calculs!AG14)</f>
        <v>#NAME?</v>
      </c>
      <c r="AH14" s="523" t="e">
        <f ca="1">stat(calculs!AH14)</f>
        <v>#NAME?</v>
      </c>
      <c r="AI14" s="523" t="e">
        <f ca="1">stat(calculs!AI14)</f>
        <v>#NAME?</v>
      </c>
      <c r="AJ14" s="523" t="e">
        <f ca="1">stat(calculs!AJ14)</f>
        <v>#NAME?</v>
      </c>
      <c r="AK14" s="523" t="e">
        <f ca="1">stat(calculs!AK14)</f>
        <v>#NAME?</v>
      </c>
      <c r="AL14" s="523" t="e">
        <f ca="1">stat(calculs!AL14)</f>
        <v>#NAME?</v>
      </c>
      <c r="AM14" s="523" t="e">
        <f ca="1">stat(calculs!AM14)</f>
        <v>#NAME?</v>
      </c>
      <c r="AN14" s="523" t="e">
        <f ca="1">stat(calculs!AN14)</f>
        <v>#NAME?</v>
      </c>
      <c r="AO14" s="523" t="e">
        <f ca="1">stat(calculs!AO14)</f>
        <v>#NAME?</v>
      </c>
      <c r="AP14" s="523" t="e">
        <f ca="1">stat(calculs!AP14)</f>
        <v>#NAME?</v>
      </c>
      <c r="AQ14" s="523" t="e">
        <f ca="1">stat(calculs!AQ14)</f>
        <v>#NAME?</v>
      </c>
      <c r="AT14" s="517"/>
      <c r="AV14" s="525" t="e">
        <f ca="1">stat(calculs!AV14)</f>
        <v>#NAME?</v>
      </c>
      <c r="AW14" s="525" t="e">
        <f ca="1">stat(calculs!AW14)</f>
        <v>#NAME?</v>
      </c>
      <c r="AX14" s="525" t="e">
        <f ca="1">stat(calculs!AX14)</f>
        <v>#NAME?</v>
      </c>
      <c r="AY14" s="525" t="e">
        <f ca="1">stat(calculs!AY14)</f>
        <v>#NAME?</v>
      </c>
      <c r="AZ14" s="525" t="e">
        <f ca="1">stat(calculs!AZ14)</f>
        <v>#NAME?</v>
      </c>
      <c r="BA14" s="525" t="e">
        <f ca="1">stat(calculs!BA14)</f>
        <v>#NAME?</v>
      </c>
      <c r="BB14" s="525" t="e">
        <f ca="1">stat(calculs!BB14)</f>
        <v>#NAME?</v>
      </c>
      <c r="BC14" s="525" t="e">
        <f ca="1">stat(calculs!BC14)</f>
        <v>#NAME?</v>
      </c>
      <c r="BD14" s="525" t="e">
        <f ca="1">stat(calculs!BD14)</f>
        <v>#NAME?</v>
      </c>
      <c r="BE14" s="525" t="e">
        <f ca="1">stat(calculs!BE14)</f>
        <v>#NAME?</v>
      </c>
      <c r="BF14" s="525" t="e">
        <f ca="1">stat(calculs!BF14)</f>
        <v>#NAME?</v>
      </c>
      <c r="BG14" s="729" t="e">
        <f ca="1">stat(calculs!BG14)</f>
        <v>#NAME?</v>
      </c>
      <c r="BH14" s="729" t="e">
        <f ca="1">stat(calculs!BH14)</f>
        <v>#NAME?</v>
      </c>
      <c r="BI14" s="729" t="e">
        <f ca="1">stat(calculs!BI14)</f>
        <v>#NAME?</v>
      </c>
      <c r="BJ14" s="729" t="e">
        <f ca="1">stat(calculs!BJ14)</f>
        <v>#NAME?</v>
      </c>
      <c r="BK14" s="729" t="e">
        <f ca="1">stat(calculs!BK14)</f>
        <v>#NAME?</v>
      </c>
      <c r="BL14" s="525" t="e">
        <f ca="1">stat(calculs!BL14)</f>
        <v>#NAME?</v>
      </c>
      <c r="BM14" s="525" t="e">
        <f ca="1">stat(calculs!BM14)</f>
        <v>#NAME?</v>
      </c>
      <c r="BN14" s="525" t="e">
        <f ca="1">stat(calculs!BN14)</f>
        <v>#NAME?</v>
      </c>
      <c r="BO14" s="525" t="e">
        <f ca="1">stat(calculs!BO14)</f>
        <v>#NAME?</v>
      </c>
      <c r="BP14" s="525" t="e">
        <f ca="1">stat(calculs!BP14)</f>
        <v>#NAME?</v>
      </c>
      <c r="BQ14" s="525" t="e">
        <f ca="1">stat(calculs!BQ14)</f>
        <v>#NAME?</v>
      </c>
      <c r="BR14" s="525" t="e">
        <f ca="1">stat(calculs!BR14)</f>
        <v>#NAME?</v>
      </c>
    </row>
    <row r="15" spans="1:70" x14ac:dyDescent="0.2">
      <c r="A15" s="222">
        <f>données_step[[#This Row],[Datum]]</f>
        <v>44566</v>
      </c>
      <c r="B15" s="223"/>
      <c r="C15" s="224">
        <f t="shared" si="0"/>
        <v>4</v>
      </c>
      <c r="D15" s="523" t="e">
        <f ca="1">stat(charge_entree[[#This Row],[ch_E_DBO5]])</f>
        <v>#NAME?</v>
      </c>
      <c r="E15" s="523" t="e">
        <f ca="1">stat(charge_entree[[#This Row],[ch_E_DCO]])</f>
        <v>#NAME?</v>
      </c>
      <c r="F15" s="523" t="e">
        <f ca="1">stat(charge_entree[[#This Row],[ch_E_COT]])</f>
        <v>#NAME?</v>
      </c>
      <c r="G15" s="523" t="e">
        <f ca="1">stat(charge_entree[[#This Row],[ch_E_NH4]])</f>
        <v>#NAME?</v>
      </c>
      <c r="H15" s="523" t="e">
        <f ca="1">stat(charge_entree[[#This Row],[ch_E_NTOT]])</f>
        <v>#NAME?</v>
      </c>
      <c r="I15" s="523" t="e">
        <f ca="1">stat(charge_entree[[#This Row],[ch_E_PTOT]])</f>
        <v>#NAME?</v>
      </c>
      <c r="J15" s="523" t="e">
        <f ca="1">stat(charge_entree[[#This Row],[ch_S_DBO]])</f>
        <v>#NAME?</v>
      </c>
      <c r="K15" s="523" t="e">
        <f ca="1">stat(charge_entree[[#This Row],[ch_S-DCO]])</f>
        <v>#NAME?</v>
      </c>
      <c r="L15" s="523" t="e">
        <f ca="1">stat(charge_entree[[#This Row],[ch_S_DOC]])</f>
        <v>#NAME?</v>
      </c>
      <c r="M15" s="523" t="e">
        <f ca="1">stat(charge_entree[[#This Row],[ch_S_NH4]])</f>
        <v>#NAME?</v>
      </c>
      <c r="N15" s="523" t="e">
        <f ca="1">stat(charge_entree[[#This Row],[ch_S_NO2]])</f>
        <v>#NAME?</v>
      </c>
      <c r="O15" s="523" t="e">
        <f ca="1">stat(charge_entree[[#This Row],[ch_S_NO3]])</f>
        <v>#NAME?</v>
      </c>
      <c r="P15" s="523" t="e">
        <f ca="1">stat(charge_entree[[#This Row],[ch_S_PTOT]])</f>
        <v>#NAME?</v>
      </c>
      <c r="Q15" s="523" t="e">
        <f ca="1">stat(charge_entree[[#This Row],[ch_S_SNDT]])</f>
        <v>#NAME?</v>
      </c>
      <c r="R15" s="523">
        <f>calculs!R15</f>
        <v>0</v>
      </c>
      <c r="S15" s="523" t="e">
        <f ca="1">stat(calculs!S15)</f>
        <v>#NAME?</v>
      </c>
      <c r="T15" s="523" t="e">
        <f ca="1">stat(calculs!T15)</f>
        <v>#NAME?</v>
      </c>
      <c r="U15" s="523" t="e">
        <f ca="1">stat(calculs!U15)</f>
        <v>#NAME?</v>
      </c>
      <c r="V15" s="523" t="e">
        <f ca="1">stat(calculs!V15)</f>
        <v>#NAME?</v>
      </c>
      <c r="W15" s="523" t="e">
        <f ca="1">stat(calculs!W15)</f>
        <v>#NAME?</v>
      </c>
      <c r="X15" s="523" t="e">
        <f ca="1">stat(calculs!X15)</f>
        <v>#NAME?</v>
      </c>
      <c r="Y15" s="523" t="e">
        <f ca="1">stat(calculs!Y15)</f>
        <v>#NAME?</v>
      </c>
      <c r="Z15" s="523" t="e">
        <f ca="1">stat(calculs!Z15)</f>
        <v>#NAME?</v>
      </c>
      <c r="AA15" s="523" t="e">
        <f ca="1">stat(calculs!AA15)</f>
        <v>#NAME?</v>
      </c>
      <c r="AB15" s="523" t="e">
        <f ca="1">stat(calculs!AB15)</f>
        <v>#NAME?</v>
      </c>
      <c r="AC15" s="523" t="e">
        <f ca="1">stat(calculs!AC15)</f>
        <v>#NAME?</v>
      </c>
      <c r="AD15" s="523" t="e">
        <f ca="1">stat(calculs!AD15)</f>
        <v>#NAME?</v>
      </c>
      <c r="AE15" s="523" t="e">
        <f ca="1">stat(calculs!AE15)</f>
        <v>#NAME?</v>
      </c>
      <c r="AF15" s="523" t="e">
        <f ca="1">stat(calculs!AF15)</f>
        <v>#NAME?</v>
      </c>
      <c r="AG15" s="523" t="e">
        <f ca="1">stat(calculs!AG15)</f>
        <v>#NAME?</v>
      </c>
      <c r="AH15" s="523" t="e">
        <f ca="1">stat(calculs!AH15)</f>
        <v>#NAME?</v>
      </c>
      <c r="AI15" s="523" t="e">
        <f ca="1">stat(calculs!AI15)</f>
        <v>#NAME?</v>
      </c>
      <c r="AJ15" s="523" t="e">
        <f ca="1">stat(calculs!AJ15)</f>
        <v>#NAME?</v>
      </c>
      <c r="AK15" s="523" t="e">
        <f ca="1">stat(calculs!AK15)</f>
        <v>#NAME?</v>
      </c>
      <c r="AL15" s="523" t="e">
        <f ca="1">stat(calculs!AL15)</f>
        <v>#NAME?</v>
      </c>
      <c r="AM15" s="523" t="e">
        <f ca="1">stat(calculs!AM15)</f>
        <v>#NAME?</v>
      </c>
      <c r="AN15" s="523" t="e">
        <f ca="1">stat(calculs!AN15)</f>
        <v>#NAME?</v>
      </c>
      <c r="AO15" s="523" t="e">
        <f ca="1">stat(calculs!AO15)</f>
        <v>#NAME?</v>
      </c>
      <c r="AP15" s="523" t="e">
        <f ca="1">stat(calculs!AP15)</f>
        <v>#NAME?</v>
      </c>
      <c r="AQ15" s="523" t="e">
        <f ca="1">stat(calculs!AQ15)</f>
        <v>#NAME?</v>
      </c>
      <c r="AT15" s="517"/>
      <c r="AV15" s="525" t="e">
        <f ca="1">stat(calculs!AV15)</f>
        <v>#NAME?</v>
      </c>
      <c r="AW15" s="525" t="e">
        <f ca="1">stat(calculs!AW15)</f>
        <v>#NAME?</v>
      </c>
      <c r="AX15" s="525" t="e">
        <f ca="1">stat(calculs!AX15)</f>
        <v>#NAME?</v>
      </c>
      <c r="AY15" s="525" t="e">
        <f ca="1">stat(calculs!AY15)</f>
        <v>#NAME?</v>
      </c>
      <c r="AZ15" s="525" t="e">
        <f ca="1">stat(calculs!AZ15)</f>
        <v>#NAME?</v>
      </c>
      <c r="BA15" s="525" t="e">
        <f ca="1">stat(calculs!BA15)</f>
        <v>#NAME?</v>
      </c>
      <c r="BB15" s="525" t="e">
        <f ca="1">stat(calculs!BB15)</f>
        <v>#NAME?</v>
      </c>
      <c r="BC15" s="525" t="e">
        <f ca="1">stat(calculs!BC15)</f>
        <v>#NAME?</v>
      </c>
      <c r="BD15" s="525" t="e">
        <f ca="1">stat(calculs!BD15)</f>
        <v>#NAME?</v>
      </c>
      <c r="BE15" s="525" t="e">
        <f ca="1">stat(calculs!BE15)</f>
        <v>#NAME?</v>
      </c>
      <c r="BF15" s="525" t="e">
        <f ca="1">stat(calculs!BF15)</f>
        <v>#NAME?</v>
      </c>
      <c r="BG15" s="729" t="e">
        <f ca="1">stat(calculs!BG15)</f>
        <v>#NAME?</v>
      </c>
      <c r="BH15" s="729" t="e">
        <f ca="1">stat(calculs!BH15)</f>
        <v>#NAME?</v>
      </c>
      <c r="BI15" s="729" t="e">
        <f ca="1">stat(calculs!BI15)</f>
        <v>#NAME?</v>
      </c>
      <c r="BJ15" s="729" t="e">
        <f ca="1">stat(calculs!BJ15)</f>
        <v>#NAME?</v>
      </c>
      <c r="BK15" s="729" t="e">
        <f ca="1">stat(calculs!BK15)</f>
        <v>#NAME?</v>
      </c>
      <c r="BL15" s="525" t="e">
        <f ca="1">stat(calculs!BL15)</f>
        <v>#NAME?</v>
      </c>
      <c r="BM15" s="525" t="e">
        <f ca="1">stat(calculs!BM15)</f>
        <v>#NAME?</v>
      </c>
      <c r="BN15" s="525" t="e">
        <f ca="1">stat(calculs!BN15)</f>
        <v>#NAME?</v>
      </c>
      <c r="BO15" s="525" t="e">
        <f ca="1">stat(calculs!BO15)</f>
        <v>#NAME?</v>
      </c>
      <c r="BP15" s="525" t="e">
        <f ca="1">stat(calculs!BP15)</f>
        <v>#NAME?</v>
      </c>
      <c r="BQ15" s="525" t="e">
        <f ca="1">stat(calculs!BQ15)</f>
        <v>#NAME?</v>
      </c>
      <c r="BR15" s="525" t="e">
        <f ca="1">stat(calculs!BR15)</f>
        <v>#NAME?</v>
      </c>
    </row>
    <row r="16" spans="1:70" x14ac:dyDescent="0.2">
      <c r="A16" s="222">
        <f>données_step[[#This Row],[Datum]]</f>
        <v>44567</v>
      </c>
      <c r="B16" s="223"/>
      <c r="C16" s="224">
        <f t="shared" si="0"/>
        <v>5</v>
      </c>
      <c r="D16" s="523" t="e">
        <f ca="1">stat(charge_entree[[#This Row],[ch_E_DBO5]])</f>
        <v>#NAME?</v>
      </c>
      <c r="E16" s="523" t="e">
        <f ca="1">stat(charge_entree[[#This Row],[ch_E_DCO]])</f>
        <v>#NAME?</v>
      </c>
      <c r="F16" s="523" t="e">
        <f ca="1">stat(charge_entree[[#This Row],[ch_E_COT]])</f>
        <v>#NAME?</v>
      </c>
      <c r="G16" s="523" t="e">
        <f ca="1">stat(charge_entree[[#This Row],[ch_E_NH4]])</f>
        <v>#NAME?</v>
      </c>
      <c r="H16" s="523" t="e">
        <f ca="1">stat(charge_entree[[#This Row],[ch_E_NTOT]])</f>
        <v>#NAME?</v>
      </c>
      <c r="I16" s="523" t="e">
        <f ca="1">stat(charge_entree[[#This Row],[ch_E_PTOT]])</f>
        <v>#NAME?</v>
      </c>
      <c r="J16" s="523" t="e">
        <f ca="1">stat(charge_entree[[#This Row],[ch_S_DBO]])</f>
        <v>#NAME?</v>
      </c>
      <c r="K16" s="523" t="e">
        <f ca="1">stat(charge_entree[[#This Row],[ch_S-DCO]])</f>
        <v>#NAME?</v>
      </c>
      <c r="L16" s="523" t="e">
        <f ca="1">stat(charge_entree[[#This Row],[ch_S_DOC]])</f>
        <v>#NAME?</v>
      </c>
      <c r="M16" s="523" t="e">
        <f ca="1">stat(charge_entree[[#This Row],[ch_S_NH4]])</f>
        <v>#NAME?</v>
      </c>
      <c r="N16" s="523" t="e">
        <f ca="1">stat(charge_entree[[#This Row],[ch_S_NO2]])</f>
        <v>#NAME?</v>
      </c>
      <c r="O16" s="523" t="e">
        <f ca="1">stat(charge_entree[[#This Row],[ch_S_NO3]])</f>
        <v>#NAME?</v>
      </c>
      <c r="P16" s="523" t="e">
        <f ca="1">stat(charge_entree[[#This Row],[ch_S_PTOT]])</f>
        <v>#NAME?</v>
      </c>
      <c r="Q16" s="523" t="e">
        <f ca="1">stat(charge_entree[[#This Row],[ch_S_SNDT]])</f>
        <v>#NAME?</v>
      </c>
      <c r="R16" s="523">
        <f>calculs!R16</f>
        <v>0</v>
      </c>
      <c r="S16" s="523" t="e">
        <f ca="1">stat(calculs!S16)</f>
        <v>#NAME?</v>
      </c>
      <c r="T16" s="523" t="e">
        <f ca="1">stat(calculs!T16)</f>
        <v>#NAME?</v>
      </c>
      <c r="U16" s="523" t="e">
        <f ca="1">stat(calculs!U16)</f>
        <v>#NAME?</v>
      </c>
      <c r="V16" s="523" t="e">
        <f ca="1">stat(calculs!V16)</f>
        <v>#NAME?</v>
      </c>
      <c r="W16" s="523" t="e">
        <f ca="1">stat(calculs!W16)</f>
        <v>#NAME?</v>
      </c>
      <c r="X16" s="523" t="e">
        <f ca="1">stat(calculs!X16)</f>
        <v>#NAME?</v>
      </c>
      <c r="Y16" s="523" t="e">
        <f ca="1">stat(calculs!Y16)</f>
        <v>#NAME?</v>
      </c>
      <c r="Z16" s="523" t="e">
        <f ca="1">stat(calculs!Z16)</f>
        <v>#NAME?</v>
      </c>
      <c r="AA16" s="523" t="e">
        <f ca="1">stat(calculs!AA16)</f>
        <v>#NAME?</v>
      </c>
      <c r="AB16" s="523" t="e">
        <f ca="1">stat(calculs!AB16)</f>
        <v>#NAME?</v>
      </c>
      <c r="AC16" s="523" t="e">
        <f ca="1">stat(calculs!AC16)</f>
        <v>#NAME?</v>
      </c>
      <c r="AD16" s="523" t="e">
        <f ca="1">stat(calculs!AD16)</f>
        <v>#NAME?</v>
      </c>
      <c r="AE16" s="523" t="e">
        <f ca="1">stat(calculs!AE16)</f>
        <v>#NAME?</v>
      </c>
      <c r="AF16" s="523" t="e">
        <f ca="1">stat(calculs!AF16)</f>
        <v>#NAME?</v>
      </c>
      <c r="AG16" s="523" t="e">
        <f ca="1">stat(calculs!AG16)</f>
        <v>#NAME?</v>
      </c>
      <c r="AH16" s="523" t="e">
        <f ca="1">stat(calculs!AH16)</f>
        <v>#NAME?</v>
      </c>
      <c r="AI16" s="523" t="e">
        <f ca="1">stat(calculs!AI16)</f>
        <v>#NAME?</v>
      </c>
      <c r="AJ16" s="523" t="e">
        <f ca="1">stat(calculs!AJ16)</f>
        <v>#NAME?</v>
      </c>
      <c r="AK16" s="523" t="e">
        <f ca="1">stat(calculs!AK16)</f>
        <v>#NAME?</v>
      </c>
      <c r="AL16" s="523" t="e">
        <f ca="1">stat(calculs!AL16)</f>
        <v>#NAME?</v>
      </c>
      <c r="AM16" s="523" t="e">
        <f ca="1">stat(calculs!AM16)</f>
        <v>#NAME?</v>
      </c>
      <c r="AN16" s="523" t="e">
        <f ca="1">stat(calculs!AN16)</f>
        <v>#NAME?</v>
      </c>
      <c r="AO16" s="523" t="e">
        <f ca="1">stat(calculs!AO16)</f>
        <v>#NAME?</v>
      </c>
      <c r="AP16" s="523" t="e">
        <f ca="1">stat(calculs!AP16)</f>
        <v>#NAME?</v>
      </c>
      <c r="AQ16" s="523" t="e">
        <f ca="1">stat(calculs!AQ16)</f>
        <v>#NAME?</v>
      </c>
      <c r="AT16" s="526"/>
      <c r="AU16" s="14"/>
      <c r="AV16" s="525" t="e">
        <f ca="1">stat(calculs!AV16)</f>
        <v>#NAME?</v>
      </c>
      <c r="AW16" s="525" t="e">
        <f ca="1">stat(calculs!AW16)</f>
        <v>#NAME?</v>
      </c>
      <c r="AX16" s="525" t="e">
        <f ca="1">stat(calculs!AX16)</f>
        <v>#NAME?</v>
      </c>
      <c r="AY16" s="525" t="e">
        <f ca="1">stat(calculs!AY16)</f>
        <v>#NAME?</v>
      </c>
      <c r="AZ16" s="525" t="e">
        <f ca="1">stat(calculs!AZ16)</f>
        <v>#NAME?</v>
      </c>
      <c r="BA16" s="525" t="e">
        <f ca="1">stat(calculs!BA16)</f>
        <v>#NAME?</v>
      </c>
      <c r="BB16" s="525" t="e">
        <f ca="1">stat(calculs!BB16)</f>
        <v>#NAME?</v>
      </c>
      <c r="BC16" s="525" t="e">
        <f ca="1">stat(calculs!BC16)</f>
        <v>#NAME?</v>
      </c>
      <c r="BD16" s="525" t="e">
        <f ca="1">stat(calculs!BD16)</f>
        <v>#NAME?</v>
      </c>
      <c r="BE16" s="525" t="e">
        <f ca="1">stat(calculs!BE16)</f>
        <v>#NAME?</v>
      </c>
      <c r="BF16" s="525" t="e">
        <f ca="1">stat(calculs!BF16)</f>
        <v>#NAME?</v>
      </c>
      <c r="BG16" s="729" t="e">
        <f ca="1">stat(calculs!BG16)</f>
        <v>#NAME?</v>
      </c>
      <c r="BH16" s="729" t="e">
        <f ca="1">stat(calculs!BH16)</f>
        <v>#NAME?</v>
      </c>
      <c r="BI16" s="729" t="e">
        <f ca="1">stat(calculs!BI16)</f>
        <v>#NAME?</v>
      </c>
      <c r="BJ16" s="729" t="e">
        <f ca="1">stat(calculs!BJ16)</f>
        <v>#NAME?</v>
      </c>
      <c r="BK16" s="729" t="e">
        <f ca="1">stat(calculs!BK16)</f>
        <v>#NAME?</v>
      </c>
      <c r="BL16" s="525" t="e">
        <f ca="1">stat(calculs!BL16)</f>
        <v>#NAME?</v>
      </c>
      <c r="BM16" s="525" t="e">
        <f ca="1">stat(calculs!BM16)</f>
        <v>#NAME?</v>
      </c>
      <c r="BN16" s="525" t="e">
        <f ca="1">stat(calculs!BN16)</f>
        <v>#NAME?</v>
      </c>
      <c r="BO16" s="525" t="e">
        <f ca="1">stat(calculs!BO16)</f>
        <v>#NAME?</v>
      </c>
      <c r="BP16" s="525" t="e">
        <f ca="1">stat(calculs!BP16)</f>
        <v>#NAME?</v>
      </c>
      <c r="BQ16" s="525" t="e">
        <f ca="1">stat(calculs!BQ16)</f>
        <v>#NAME?</v>
      </c>
      <c r="BR16" s="525" t="e">
        <f ca="1">stat(calculs!BR16)</f>
        <v>#NAME?</v>
      </c>
    </row>
    <row r="17" spans="1:70" x14ac:dyDescent="0.2">
      <c r="A17" s="222">
        <f>données_step[[#This Row],[Datum]]</f>
        <v>44568</v>
      </c>
      <c r="B17" s="223"/>
      <c r="C17" s="224">
        <f t="shared" si="0"/>
        <v>6</v>
      </c>
      <c r="D17" s="523" t="e">
        <f ca="1">stat(charge_entree[[#This Row],[ch_E_DBO5]])</f>
        <v>#NAME?</v>
      </c>
      <c r="E17" s="523" t="e">
        <f ca="1">stat(charge_entree[[#This Row],[ch_E_DCO]])</f>
        <v>#NAME?</v>
      </c>
      <c r="F17" s="523" t="e">
        <f ca="1">stat(charge_entree[[#This Row],[ch_E_COT]])</f>
        <v>#NAME?</v>
      </c>
      <c r="G17" s="523" t="e">
        <f ca="1">stat(charge_entree[[#This Row],[ch_E_NH4]])</f>
        <v>#NAME?</v>
      </c>
      <c r="H17" s="523" t="e">
        <f ca="1">stat(charge_entree[[#This Row],[ch_E_NTOT]])</f>
        <v>#NAME?</v>
      </c>
      <c r="I17" s="523" t="e">
        <f ca="1">stat(charge_entree[[#This Row],[ch_E_PTOT]])</f>
        <v>#NAME?</v>
      </c>
      <c r="J17" s="523" t="e">
        <f ca="1">stat(charge_entree[[#This Row],[ch_S_DBO]])</f>
        <v>#NAME?</v>
      </c>
      <c r="K17" s="523" t="e">
        <f ca="1">stat(charge_entree[[#This Row],[ch_S-DCO]])</f>
        <v>#NAME?</v>
      </c>
      <c r="L17" s="523" t="e">
        <f ca="1">stat(charge_entree[[#This Row],[ch_S_DOC]])</f>
        <v>#NAME?</v>
      </c>
      <c r="M17" s="523" t="e">
        <f ca="1">stat(charge_entree[[#This Row],[ch_S_NH4]])</f>
        <v>#NAME?</v>
      </c>
      <c r="N17" s="523" t="e">
        <f ca="1">stat(charge_entree[[#This Row],[ch_S_NO2]])</f>
        <v>#NAME?</v>
      </c>
      <c r="O17" s="523" t="e">
        <f ca="1">stat(charge_entree[[#This Row],[ch_S_NO3]])</f>
        <v>#NAME?</v>
      </c>
      <c r="P17" s="523" t="e">
        <f ca="1">stat(charge_entree[[#This Row],[ch_S_PTOT]])</f>
        <v>#NAME?</v>
      </c>
      <c r="Q17" s="523" t="e">
        <f ca="1">stat(charge_entree[[#This Row],[ch_S_SNDT]])</f>
        <v>#NAME?</v>
      </c>
      <c r="R17" s="523">
        <f>calculs!R17</f>
        <v>0</v>
      </c>
      <c r="S17" s="523" t="e">
        <f ca="1">stat(calculs!S17)</f>
        <v>#NAME?</v>
      </c>
      <c r="T17" s="523" t="e">
        <f ca="1">stat(calculs!T17)</f>
        <v>#NAME?</v>
      </c>
      <c r="U17" s="523" t="e">
        <f ca="1">stat(calculs!U17)</f>
        <v>#NAME?</v>
      </c>
      <c r="V17" s="523" t="e">
        <f ca="1">stat(calculs!V17)</f>
        <v>#NAME?</v>
      </c>
      <c r="W17" s="523" t="e">
        <f ca="1">stat(calculs!W17)</f>
        <v>#NAME?</v>
      </c>
      <c r="X17" s="523" t="e">
        <f ca="1">stat(calculs!X17)</f>
        <v>#NAME?</v>
      </c>
      <c r="Y17" s="523" t="e">
        <f ca="1">stat(calculs!Y17)</f>
        <v>#NAME?</v>
      </c>
      <c r="Z17" s="523" t="e">
        <f ca="1">stat(calculs!Z17)</f>
        <v>#NAME?</v>
      </c>
      <c r="AA17" s="523" t="e">
        <f ca="1">stat(calculs!AA17)</f>
        <v>#NAME?</v>
      </c>
      <c r="AB17" s="523" t="e">
        <f ca="1">stat(calculs!AB17)</f>
        <v>#NAME?</v>
      </c>
      <c r="AC17" s="523" t="e">
        <f ca="1">stat(calculs!AC17)</f>
        <v>#NAME?</v>
      </c>
      <c r="AD17" s="523" t="e">
        <f ca="1">stat(calculs!AD17)</f>
        <v>#NAME?</v>
      </c>
      <c r="AE17" s="523" t="e">
        <f ca="1">stat(calculs!AE17)</f>
        <v>#NAME?</v>
      </c>
      <c r="AF17" s="523" t="e">
        <f ca="1">stat(calculs!AF17)</f>
        <v>#NAME?</v>
      </c>
      <c r="AG17" s="523" t="e">
        <f ca="1">stat(calculs!AG17)</f>
        <v>#NAME?</v>
      </c>
      <c r="AH17" s="523" t="e">
        <f ca="1">stat(calculs!AH17)</f>
        <v>#NAME?</v>
      </c>
      <c r="AI17" s="523" t="e">
        <f ca="1">stat(calculs!AI17)</f>
        <v>#NAME?</v>
      </c>
      <c r="AJ17" s="523" t="e">
        <f ca="1">stat(calculs!AJ17)</f>
        <v>#NAME?</v>
      </c>
      <c r="AK17" s="523" t="e">
        <f ca="1">stat(calculs!AK17)</f>
        <v>#NAME?</v>
      </c>
      <c r="AL17" s="523" t="e">
        <f ca="1">stat(calculs!AL17)</f>
        <v>#NAME?</v>
      </c>
      <c r="AM17" s="523" t="e">
        <f ca="1">stat(calculs!AM17)</f>
        <v>#NAME?</v>
      </c>
      <c r="AN17" s="523" t="e">
        <f ca="1">stat(calculs!AN17)</f>
        <v>#NAME?</v>
      </c>
      <c r="AO17" s="523" t="e">
        <f ca="1">stat(calculs!AO17)</f>
        <v>#NAME?</v>
      </c>
      <c r="AP17" s="523" t="e">
        <f ca="1">stat(calculs!AP17)</f>
        <v>#NAME?</v>
      </c>
      <c r="AQ17" s="523" t="e">
        <f ca="1">stat(calculs!AQ17)</f>
        <v>#NAME?</v>
      </c>
      <c r="AT17" s="517"/>
      <c r="AV17" s="525" t="e">
        <f ca="1">stat(calculs!AV17)</f>
        <v>#NAME?</v>
      </c>
      <c r="AW17" s="525" t="e">
        <f ca="1">stat(calculs!AW17)</f>
        <v>#NAME?</v>
      </c>
      <c r="AX17" s="525" t="e">
        <f ca="1">stat(calculs!AX17)</f>
        <v>#NAME?</v>
      </c>
      <c r="AY17" s="525" t="e">
        <f ca="1">stat(calculs!AY17)</f>
        <v>#NAME?</v>
      </c>
      <c r="AZ17" s="525" t="e">
        <f ca="1">stat(calculs!AZ17)</f>
        <v>#NAME?</v>
      </c>
      <c r="BA17" s="525" t="e">
        <f ca="1">stat(calculs!BA17)</f>
        <v>#NAME?</v>
      </c>
      <c r="BB17" s="525" t="e">
        <f ca="1">stat(calculs!BB17)</f>
        <v>#NAME?</v>
      </c>
      <c r="BC17" s="525" t="e">
        <f ca="1">stat(calculs!BC17)</f>
        <v>#NAME?</v>
      </c>
      <c r="BD17" s="525" t="e">
        <f ca="1">stat(calculs!BD17)</f>
        <v>#NAME?</v>
      </c>
      <c r="BE17" s="525" t="e">
        <f ca="1">stat(calculs!BE17)</f>
        <v>#NAME?</v>
      </c>
      <c r="BF17" s="525" t="e">
        <f ca="1">stat(calculs!BF17)</f>
        <v>#NAME?</v>
      </c>
      <c r="BG17" s="729" t="e">
        <f ca="1">stat(calculs!BG17)</f>
        <v>#NAME?</v>
      </c>
      <c r="BH17" s="729" t="e">
        <f ca="1">stat(calculs!BH17)</f>
        <v>#NAME?</v>
      </c>
      <c r="BI17" s="729" t="e">
        <f ca="1">stat(calculs!BI17)</f>
        <v>#NAME?</v>
      </c>
      <c r="BJ17" s="729" t="e">
        <f ca="1">stat(calculs!BJ17)</f>
        <v>#NAME?</v>
      </c>
      <c r="BK17" s="729" t="e">
        <f ca="1">stat(calculs!BK17)</f>
        <v>#NAME?</v>
      </c>
      <c r="BL17" s="525" t="e">
        <f ca="1">stat(calculs!BL17)</f>
        <v>#NAME?</v>
      </c>
      <c r="BM17" s="525" t="e">
        <f ca="1">stat(calculs!BM17)</f>
        <v>#NAME?</v>
      </c>
      <c r="BN17" s="525" t="e">
        <f ca="1">stat(calculs!BN17)</f>
        <v>#NAME?</v>
      </c>
      <c r="BO17" s="525" t="e">
        <f ca="1">stat(calculs!BO17)</f>
        <v>#NAME?</v>
      </c>
      <c r="BP17" s="525" t="e">
        <f ca="1">stat(calculs!BP17)</f>
        <v>#NAME?</v>
      </c>
      <c r="BQ17" s="525" t="e">
        <f ca="1">stat(calculs!BQ17)</f>
        <v>#NAME?</v>
      </c>
      <c r="BR17" s="525" t="e">
        <f ca="1">stat(calculs!BR17)</f>
        <v>#NAME?</v>
      </c>
    </row>
    <row r="18" spans="1:70" x14ac:dyDescent="0.2">
      <c r="A18" s="222">
        <f>données_step[[#This Row],[Datum]]</f>
        <v>44569</v>
      </c>
      <c r="B18" s="223"/>
      <c r="C18" s="224">
        <f t="shared" si="0"/>
        <v>7</v>
      </c>
      <c r="D18" s="523" t="e">
        <f ca="1">stat(charge_entree[[#This Row],[ch_E_DBO5]])</f>
        <v>#NAME?</v>
      </c>
      <c r="E18" s="523" t="e">
        <f ca="1">stat(charge_entree[[#This Row],[ch_E_DCO]])</f>
        <v>#NAME?</v>
      </c>
      <c r="F18" s="523" t="e">
        <f ca="1">stat(charge_entree[[#This Row],[ch_E_COT]])</f>
        <v>#NAME?</v>
      </c>
      <c r="G18" s="523" t="e">
        <f ca="1">stat(charge_entree[[#This Row],[ch_E_NH4]])</f>
        <v>#NAME?</v>
      </c>
      <c r="H18" s="523" t="e">
        <f ca="1">stat(charge_entree[[#This Row],[ch_E_NTOT]])</f>
        <v>#NAME?</v>
      </c>
      <c r="I18" s="523" t="e">
        <f ca="1">stat(charge_entree[[#This Row],[ch_E_PTOT]])</f>
        <v>#NAME?</v>
      </c>
      <c r="J18" s="523" t="e">
        <f ca="1">stat(charge_entree[[#This Row],[ch_S_DBO]])</f>
        <v>#NAME?</v>
      </c>
      <c r="K18" s="523" t="e">
        <f ca="1">stat(charge_entree[[#This Row],[ch_S-DCO]])</f>
        <v>#NAME?</v>
      </c>
      <c r="L18" s="523" t="e">
        <f ca="1">stat(charge_entree[[#This Row],[ch_S_DOC]])</f>
        <v>#NAME?</v>
      </c>
      <c r="M18" s="523" t="e">
        <f ca="1">stat(charge_entree[[#This Row],[ch_S_NH4]])</f>
        <v>#NAME?</v>
      </c>
      <c r="N18" s="523" t="e">
        <f ca="1">stat(charge_entree[[#This Row],[ch_S_NO2]])</f>
        <v>#NAME?</v>
      </c>
      <c r="O18" s="523" t="e">
        <f ca="1">stat(charge_entree[[#This Row],[ch_S_NO3]])</f>
        <v>#NAME?</v>
      </c>
      <c r="P18" s="523" t="e">
        <f ca="1">stat(charge_entree[[#This Row],[ch_S_PTOT]])</f>
        <v>#NAME?</v>
      </c>
      <c r="Q18" s="523" t="e">
        <f ca="1">stat(charge_entree[[#This Row],[ch_S_SNDT]])</f>
        <v>#NAME?</v>
      </c>
      <c r="R18" s="523">
        <f>calculs!R18</f>
        <v>0</v>
      </c>
      <c r="S18" s="523" t="e">
        <f ca="1">stat(calculs!S18)</f>
        <v>#NAME?</v>
      </c>
      <c r="T18" s="523" t="e">
        <f ca="1">stat(calculs!T18)</f>
        <v>#NAME?</v>
      </c>
      <c r="U18" s="523" t="e">
        <f ca="1">stat(calculs!U18)</f>
        <v>#NAME?</v>
      </c>
      <c r="V18" s="523" t="e">
        <f ca="1">stat(calculs!V18)</f>
        <v>#NAME?</v>
      </c>
      <c r="W18" s="523" t="e">
        <f ca="1">stat(calculs!W18)</f>
        <v>#NAME?</v>
      </c>
      <c r="X18" s="523" t="e">
        <f ca="1">stat(calculs!X18)</f>
        <v>#NAME?</v>
      </c>
      <c r="Y18" s="523" t="e">
        <f ca="1">stat(calculs!Y18)</f>
        <v>#NAME?</v>
      </c>
      <c r="Z18" s="523" t="e">
        <f ca="1">stat(calculs!Z18)</f>
        <v>#NAME?</v>
      </c>
      <c r="AA18" s="523" t="e">
        <f ca="1">stat(calculs!AA18)</f>
        <v>#NAME?</v>
      </c>
      <c r="AB18" s="523" t="e">
        <f ca="1">stat(calculs!AB18)</f>
        <v>#NAME?</v>
      </c>
      <c r="AC18" s="523" t="e">
        <f ca="1">stat(calculs!AC18)</f>
        <v>#NAME?</v>
      </c>
      <c r="AD18" s="523" t="e">
        <f ca="1">stat(calculs!AD18)</f>
        <v>#NAME?</v>
      </c>
      <c r="AE18" s="523" t="e">
        <f ca="1">stat(calculs!AE18)</f>
        <v>#NAME?</v>
      </c>
      <c r="AF18" s="523" t="e">
        <f ca="1">stat(calculs!AF18)</f>
        <v>#NAME?</v>
      </c>
      <c r="AG18" s="523" t="e">
        <f ca="1">stat(calculs!AG18)</f>
        <v>#NAME?</v>
      </c>
      <c r="AH18" s="523" t="e">
        <f ca="1">stat(calculs!AH18)</f>
        <v>#NAME?</v>
      </c>
      <c r="AI18" s="523" t="e">
        <f ca="1">stat(calculs!AI18)</f>
        <v>#NAME?</v>
      </c>
      <c r="AJ18" s="523" t="e">
        <f ca="1">stat(calculs!AJ18)</f>
        <v>#NAME?</v>
      </c>
      <c r="AK18" s="523" t="e">
        <f ca="1">stat(calculs!AK18)</f>
        <v>#NAME?</v>
      </c>
      <c r="AL18" s="523" t="e">
        <f ca="1">stat(calculs!AL18)</f>
        <v>#NAME?</v>
      </c>
      <c r="AM18" s="523" t="e">
        <f ca="1">stat(calculs!AM18)</f>
        <v>#NAME?</v>
      </c>
      <c r="AN18" s="523" t="e">
        <f ca="1">stat(calculs!AN18)</f>
        <v>#NAME?</v>
      </c>
      <c r="AO18" s="523" t="e">
        <f ca="1">stat(calculs!AO18)</f>
        <v>#NAME?</v>
      </c>
      <c r="AP18" s="523" t="e">
        <f ca="1">stat(calculs!AP18)</f>
        <v>#NAME?</v>
      </c>
      <c r="AQ18" s="523" t="e">
        <f ca="1">stat(calculs!AQ18)</f>
        <v>#NAME?</v>
      </c>
      <c r="AT18" s="517"/>
      <c r="AV18" s="525" t="e">
        <f ca="1">stat(calculs!AV18)</f>
        <v>#NAME?</v>
      </c>
      <c r="AW18" s="525" t="e">
        <f ca="1">stat(calculs!AW18)</f>
        <v>#NAME?</v>
      </c>
      <c r="AX18" s="525" t="e">
        <f ca="1">stat(calculs!AX18)</f>
        <v>#NAME?</v>
      </c>
      <c r="AY18" s="525" t="e">
        <f ca="1">stat(calculs!AY18)</f>
        <v>#NAME?</v>
      </c>
      <c r="AZ18" s="525" t="e">
        <f ca="1">stat(calculs!AZ18)</f>
        <v>#NAME?</v>
      </c>
      <c r="BA18" s="525" t="e">
        <f ca="1">stat(calculs!BA18)</f>
        <v>#NAME?</v>
      </c>
      <c r="BB18" s="525" t="e">
        <f ca="1">stat(calculs!BB18)</f>
        <v>#NAME?</v>
      </c>
      <c r="BC18" s="525" t="e">
        <f ca="1">stat(calculs!BC18)</f>
        <v>#NAME?</v>
      </c>
      <c r="BD18" s="525" t="e">
        <f ca="1">stat(calculs!BD18)</f>
        <v>#NAME?</v>
      </c>
      <c r="BE18" s="525" t="e">
        <f ca="1">stat(calculs!BE18)</f>
        <v>#NAME?</v>
      </c>
      <c r="BF18" s="525" t="e">
        <f ca="1">stat(calculs!BF18)</f>
        <v>#NAME?</v>
      </c>
      <c r="BG18" s="729" t="e">
        <f ca="1">stat(calculs!BG18)</f>
        <v>#NAME?</v>
      </c>
      <c r="BH18" s="729" t="e">
        <f ca="1">stat(calculs!BH18)</f>
        <v>#NAME?</v>
      </c>
      <c r="BI18" s="729" t="e">
        <f ca="1">stat(calculs!BI18)</f>
        <v>#NAME?</v>
      </c>
      <c r="BJ18" s="729" t="e">
        <f ca="1">stat(calculs!BJ18)</f>
        <v>#NAME?</v>
      </c>
      <c r="BK18" s="729" t="e">
        <f ca="1">stat(calculs!BK18)</f>
        <v>#NAME?</v>
      </c>
      <c r="BL18" s="525" t="e">
        <f ca="1">stat(calculs!BL18)</f>
        <v>#NAME?</v>
      </c>
      <c r="BM18" s="525" t="e">
        <f ca="1">stat(calculs!BM18)</f>
        <v>#NAME?</v>
      </c>
      <c r="BN18" s="525" t="e">
        <f ca="1">stat(calculs!BN18)</f>
        <v>#NAME?</v>
      </c>
      <c r="BO18" s="525" t="e">
        <f ca="1">stat(calculs!BO18)</f>
        <v>#NAME?</v>
      </c>
      <c r="BP18" s="525" t="e">
        <f ca="1">stat(calculs!BP18)</f>
        <v>#NAME?</v>
      </c>
      <c r="BQ18" s="525" t="e">
        <f ca="1">stat(calculs!BQ18)</f>
        <v>#NAME?</v>
      </c>
      <c r="BR18" s="525" t="e">
        <f ca="1">stat(calculs!BR18)</f>
        <v>#NAME?</v>
      </c>
    </row>
    <row r="19" spans="1:70" x14ac:dyDescent="0.2">
      <c r="A19" s="222">
        <f>données_step[[#This Row],[Datum]]</f>
        <v>44570</v>
      </c>
      <c r="B19" s="223"/>
      <c r="C19" s="224">
        <f t="shared" si="0"/>
        <v>1</v>
      </c>
      <c r="D19" s="523" t="e">
        <f ca="1">stat(charge_entree[[#This Row],[ch_E_DBO5]])</f>
        <v>#NAME?</v>
      </c>
      <c r="E19" s="523" t="e">
        <f ca="1">stat(charge_entree[[#This Row],[ch_E_DCO]])</f>
        <v>#NAME?</v>
      </c>
      <c r="F19" s="523" t="e">
        <f ca="1">stat(charge_entree[[#This Row],[ch_E_COT]])</f>
        <v>#NAME?</v>
      </c>
      <c r="G19" s="523" t="e">
        <f ca="1">stat(charge_entree[[#This Row],[ch_E_NH4]])</f>
        <v>#NAME?</v>
      </c>
      <c r="H19" s="523" t="e">
        <f ca="1">stat(charge_entree[[#This Row],[ch_E_NTOT]])</f>
        <v>#NAME?</v>
      </c>
      <c r="I19" s="523" t="e">
        <f ca="1">stat(charge_entree[[#This Row],[ch_E_PTOT]])</f>
        <v>#NAME?</v>
      </c>
      <c r="J19" s="523" t="e">
        <f ca="1">stat(charge_entree[[#This Row],[ch_S_DBO]])</f>
        <v>#NAME?</v>
      </c>
      <c r="K19" s="523" t="e">
        <f ca="1">stat(charge_entree[[#This Row],[ch_S-DCO]])</f>
        <v>#NAME?</v>
      </c>
      <c r="L19" s="523" t="e">
        <f ca="1">stat(charge_entree[[#This Row],[ch_S_DOC]])</f>
        <v>#NAME?</v>
      </c>
      <c r="M19" s="523" t="e">
        <f ca="1">stat(charge_entree[[#This Row],[ch_S_NH4]])</f>
        <v>#NAME?</v>
      </c>
      <c r="N19" s="523" t="e">
        <f ca="1">stat(charge_entree[[#This Row],[ch_S_NO2]])</f>
        <v>#NAME?</v>
      </c>
      <c r="O19" s="523" t="e">
        <f ca="1">stat(charge_entree[[#This Row],[ch_S_NO3]])</f>
        <v>#NAME?</v>
      </c>
      <c r="P19" s="523" t="e">
        <f ca="1">stat(charge_entree[[#This Row],[ch_S_PTOT]])</f>
        <v>#NAME?</v>
      </c>
      <c r="Q19" s="523" t="e">
        <f ca="1">stat(charge_entree[[#This Row],[ch_S_SNDT]])</f>
        <v>#NAME?</v>
      </c>
      <c r="R19" s="523">
        <f>calculs!R19</f>
        <v>0</v>
      </c>
      <c r="S19" s="523" t="e">
        <f ca="1">stat(calculs!S19)</f>
        <v>#NAME?</v>
      </c>
      <c r="T19" s="523" t="e">
        <f ca="1">stat(calculs!T19)</f>
        <v>#NAME?</v>
      </c>
      <c r="U19" s="523" t="e">
        <f ca="1">stat(calculs!U19)</f>
        <v>#NAME?</v>
      </c>
      <c r="V19" s="523" t="e">
        <f ca="1">stat(calculs!V19)</f>
        <v>#NAME?</v>
      </c>
      <c r="W19" s="523" t="e">
        <f ca="1">stat(calculs!W19)</f>
        <v>#NAME?</v>
      </c>
      <c r="X19" s="523" t="e">
        <f ca="1">stat(calculs!X19)</f>
        <v>#NAME?</v>
      </c>
      <c r="Y19" s="523" t="e">
        <f ca="1">stat(calculs!Y19)</f>
        <v>#NAME?</v>
      </c>
      <c r="Z19" s="523" t="e">
        <f ca="1">stat(calculs!Z19)</f>
        <v>#NAME?</v>
      </c>
      <c r="AA19" s="523" t="e">
        <f ca="1">stat(calculs!AA19)</f>
        <v>#NAME?</v>
      </c>
      <c r="AB19" s="523" t="e">
        <f ca="1">stat(calculs!AB19)</f>
        <v>#NAME?</v>
      </c>
      <c r="AC19" s="523" t="e">
        <f ca="1">stat(calculs!AC19)</f>
        <v>#NAME?</v>
      </c>
      <c r="AD19" s="523" t="e">
        <f ca="1">stat(calculs!AD19)</f>
        <v>#NAME?</v>
      </c>
      <c r="AE19" s="523" t="e">
        <f ca="1">stat(calculs!AE19)</f>
        <v>#NAME?</v>
      </c>
      <c r="AF19" s="523" t="e">
        <f ca="1">stat(calculs!AF19)</f>
        <v>#NAME?</v>
      </c>
      <c r="AG19" s="523" t="e">
        <f ca="1">stat(calculs!AG19)</f>
        <v>#NAME?</v>
      </c>
      <c r="AH19" s="523" t="e">
        <f ca="1">stat(calculs!AH19)</f>
        <v>#NAME?</v>
      </c>
      <c r="AI19" s="523" t="e">
        <f ca="1">stat(calculs!AI19)</f>
        <v>#NAME?</v>
      </c>
      <c r="AJ19" s="523" t="e">
        <f ca="1">stat(calculs!AJ19)</f>
        <v>#NAME?</v>
      </c>
      <c r="AK19" s="523" t="e">
        <f ca="1">stat(calculs!AK19)</f>
        <v>#NAME?</v>
      </c>
      <c r="AL19" s="523" t="e">
        <f ca="1">stat(calculs!AL19)</f>
        <v>#NAME?</v>
      </c>
      <c r="AM19" s="523" t="e">
        <f ca="1">stat(calculs!AM19)</f>
        <v>#NAME?</v>
      </c>
      <c r="AN19" s="523" t="e">
        <f ca="1">stat(calculs!AN19)</f>
        <v>#NAME?</v>
      </c>
      <c r="AO19" s="523" t="e">
        <f ca="1">stat(calculs!AO19)</f>
        <v>#NAME?</v>
      </c>
      <c r="AP19" s="523" t="e">
        <f ca="1">stat(calculs!AP19)</f>
        <v>#NAME?</v>
      </c>
      <c r="AQ19" s="523" t="e">
        <f ca="1">stat(calculs!AQ19)</f>
        <v>#NAME?</v>
      </c>
      <c r="AT19" s="517"/>
      <c r="AV19" s="525" t="e">
        <f ca="1">stat(calculs!AV19)</f>
        <v>#NAME?</v>
      </c>
      <c r="AW19" s="525" t="e">
        <f ca="1">stat(calculs!AW19)</f>
        <v>#NAME?</v>
      </c>
      <c r="AX19" s="525" t="e">
        <f ca="1">stat(calculs!AX19)</f>
        <v>#NAME?</v>
      </c>
      <c r="AY19" s="525" t="e">
        <f ca="1">stat(calculs!AY19)</f>
        <v>#NAME?</v>
      </c>
      <c r="AZ19" s="525" t="e">
        <f ca="1">stat(calculs!AZ19)</f>
        <v>#NAME?</v>
      </c>
      <c r="BA19" s="525" t="e">
        <f ca="1">stat(calculs!BA19)</f>
        <v>#NAME?</v>
      </c>
      <c r="BB19" s="525" t="e">
        <f ca="1">stat(calculs!BB19)</f>
        <v>#NAME?</v>
      </c>
      <c r="BC19" s="525" t="e">
        <f ca="1">stat(calculs!BC19)</f>
        <v>#NAME?</v>
      </c>
      <c r="BD19" s="525" t="e">
        <f ca="1">stat(calculs!BD19)</f>
        <v>#NAME?</v>
      </c>
      <c r="BE19" s="525" t="e">
        <f ca="1">stat(calculs!BE19)</f>
        <v>#NAME?</v>
      </c>
      <c r="BF19" s="525" t="e">
        <f ca="1">stat(calculs!BF19)</f>
        <v>#NAME?</v>
      </c>
      <c r="BG19" s="729" t="e">
        <f ca="1">stat(calculs!BG19)</f>
        <v>#NAME?</v>
      </c>
      <c r="BH19" s="729" t="e">
        <f ca="1">stat(calculs!BH19)</f>
        <v>#NAME?</v>
      </c>
      <c r="BI19" s="729" t="e">
        <f ca="1">stat(calculs!BI19)</f>
        <v>#NAME?</v>
      </c>
      <c r="BJ19" s="729" t="e">
        <f ca="1">stat(calculs!BJ19)</f>
        <v>#NAME?</v>
      </c>
      <c r="BK19" s="729" t="e">
        <f ca="1">stat(calculs!BK19)</f>
        <v>#NAME?</v>
      </c>
      <c r="BL19" s="525" t="e">
        <f ca="1">stat(calculs!BL19)</f>
        <v>#NAME?</v>
      </c>
      <c r="BM19" s="525" t="e">
        <f ca="1">stat(calculs!BM19)</f>
        <v>#NAME?</v>
      </c>
      <c r="BN19" s="525" t="e">
        <f ca="1">stat(calculs!BN19)</f>
        <v>#NAME?</v>
      </c>
      <c r="BO19" s="525" t="e">
        <f ca="1">stat(calculs!BO19)</f>
        <v>#NAME?</v>
      </c>
      <c r="BP19" s="525" t="e">
        <f ca="1">stat(calculs!BP19)</f>
        <v>#NAME?</v>
      </c>
      <c r="BQ19" s="525" t="e">
        <f ca="1">stat(calculs!BQ19)</f>
        <v>#NAME?</v>
      </c>
      <c r="BR19" s="525" t="e">
        <f ca="1">stat(calculs!BR19)</f>
        <v>#NAME?</v>
      </c>
    </row>
    <row r="20" spans="1:70" x14ac:dyDescent="0.2">
      <c r="A20" s="222">
        <f>données_step[[#This Row],[Datum]]</f>
        <v>44571</v>
      </c>
      <c r="B20" s="223"/>
      <c r="C20" s="224">
        <f t="shared" si="0"/>
        <v>2</v>
      </c>
      <c r="D20" s="523" t="e">
        <f ca="1">stat(charge_entree[[#This Row],[ch_E_DBO5]])</f>
        <v>#NAME?</v>
      </c>
      <c r="E20" s="523" t="e">
        <f ca="1">stat(charge_entree[[#This Row],[ch_E_DCO]])</f>
        <v>#NAME?</v>
      </c>
      <c r="F20" s="523" t="e">
        <f ca="1">stat(charge_entree[[#This Row],[ch_E_COT]])</f>
        <v>#NAME?</v>
      </c>
      <c r="G20" s="523" t="e">
        <f ca="1">stat(charge_entree[[#This Row],[ch_E_NH4]])</f>
        <v>#NAME?</v>
      </c>
      <c r="H20" s="523" t="e">
        <f ca="1">stat(charge_entree[[#This Row],[ch_E_NTOT]])</f>
        <v>#NAME?</v>
      </c>
      <c r="I20" s="523" t="e">
        <f ca="1">stat(charge_entree[[#This Row],[ch_E_PTOT]])</f>
        <v>#NAME?</v>
      </c>
      <c r="J20" s="523" t="e">
        <f ca="1">stat(charge_entree[[#This Row],[ch_S_DBO]])</f>
        <v>#NAME?</v>
      </c>
      <c r="K20" s="523" t="e">
        <f ca="1">stat(charge_entree[[#This Row],[ch_S-DCO]])</f>
        <v>#NAME?</v>
      </c>
      <c r="L20" s="523" t="e">
        <f ca="1">stat(charge_entree[[#This Row],[ch_S_DOC]])</f>
        <v>#NAME?</v>
      </c>
      <c r="M20" s="523" t="e">
        <f ca="1">stat(charge_entree[[#This Row],[ch_S_NH4]])</f>
        <v>#NAME?</v>
      </c>
      <c r="N20" s="523" t="e">
        <f ca="1">stat(charge_entree[[#This Row],[ch_S_NO2]])</f>
        <v>#NAME?</v>
      </c>
      <c r="O20" s="523" t="e">
        <f ca="1">stat(charge_entree[[#This Row],[ch_S_NO3]])</f>
        <v>#NAME?</v>
      </c>
      <c r="P20" s="523" t="e">
        <f ca="1">stat(charge_entree[[#This Row],[ch_S_PTOT]])</f>
        <v>#NAME?</v>
      </c>
      <c r="Q20" s="523" t="e">
        <f ca="1">stat(charge_entree[[#This Row],[ch_S_SNDT]])</f>
        <v>#NAME?</v>
      </c>
      <c r="R20" s="523">
        <f>calculs!R20</f>
        <v>0</v>
      </c>
      <c r="S20" s="523" t="e">
        <f ca="1">stat(calculs!S20)</f>
        <v>#NAME?</v>
      </c>
      <c r="T20" s="523" t="e">
        <f ca="1">stat(calculs!T20)</f>
        <v>#NAME?</v>
      </c>
      <c r="U20" s="523" t="e">
        <f ca="1">stat(calculs!U20)</f>
        <v>#NAME?</v>
      </c>
      <c r="V20" s="523" t="e">
        <f ca="1">stat(calculs!V20)</f>
        <v>#NAME?</v>
      </c>
      <c r="W20" s="523" t="e">
        <f ca="1">stat(calculs!W20)</f>
        <v>#NAME?</v>
      </c>
      <c r="X20" s="523" t="e">
        <f ca="1">stat(calculs!X20)</f>
        <v>#NAME?</v>
      </c>
      <c r="Y20" s="523" t="e">
        <f ca="1">stat(calculs!Y20)</f>
        <v>#NAME?</v>
      </c>
      <c r="Z20" s="523" t="e">
        <f ca="1">stat(calculs!Z20)</f>
        <v>#NAME?</v>
      </c>
      <c r="AA20" s="523" t="e">
        <f ca="1">stat(calculs!AA20)</f>
        <v>#NAME?</v>
      </c>
      <c r="AB20" s="523" t="e">
        <f ca="1">stat(calculs!AB20)</f>
        <v>#NAME?</v>
      </c>
      <c r="AC20" s="523" t="e">
        <f ca="1">stat(calculs!AC20)</f>
        <v>#NAME?</v>
      </c>
      <c r="AD20" s="523" t="e">
        <f ca="1">stat(calculs!AD20)</f>
        <v>#NAME?</v>
      </c>
      <c r="AE20" s="523" t="e">
        <f ca="1">stat(calculs!AE20)</f>
        <v>#NAME?</v>
      </c>
      <c r="AF20" s="523" t="e">
        <f ca="1">stat(calculs!AF20)</f>
        <v>#NAME?</v>
      </c>
      <c r="AG20" s="523" t="e">
        <f ca="1">stat(calculs!AG20)</f>
        <v>#NAME?</v>
      </c>
      <c r="AH20" s="523" t="e">
        <f ca="1">stat(calculs!AH20)</f>
        <v>#NAME?</v>
      </c>
      <c r="AI20" s="523" t="e">
        <f ca="1">stat(calculs!AI20)</f>
        <v>#NAME?</v>
      </c>
      <c r="AJ20" s="523" t="e">
        <f ca="1">stat(calculs!AJ20)</f>
        <v>#NAME?</v>
      </c>
      <c r="AK20" s="523" t="e">
        <f ca="1">stat(calculs!AK20)</f>
        <v>#NAME?</v>
      </c>
      <c r="AL20" s="523" t="e">
        <f ca="1">stat(calculs!AL20)</f>
        <v>#NAME?</v>
      </c>
      <c r="AM20" s="523" t="e">
        <f ca="1">stat(calculs!AM20)</f>
        <v>#NAME?</v>
      </c>
      <c r="AN20" s="523" t="e">
        <f ca="1">stat(calculs!AN20)</f>
        <v>#NAME?</v>
      </c>
      <c r="AO20" s="523" t="e">
        <f ca="1">stat(calculs!AO20)</f>
        <v>#NAME?</v>
      </c>
      <c r="AP20" s="523" t="e">
        <f ca="1">stat(calculs!AP20)</f>
        <v>#NAME?</v>
      </c>
      <c r="AQ20" s="523" t="e">
        <f ca="1">stat(calculs!AQ20)</f>
        <v>#NAME?</v>
      </c>
      <c r="AT20" s="517"/>
      <c r="AV20" s="525" t="e">
        <f ca="1">stat(calculs!AV20)</f>
        <v>#NAME?</v>
      </c>
      <c r="AW20" s="525" t="e">
        <f ca="1">stat(calculs!AW20)</f>
        <v>#NAME?</v>
      </c>
      <c r="AX20" s="525" t="e">
        <f ca="1">stat(calculs!AX20)</f>
        <v>#NAME?</v>
      </c>
      <c r="AY20" s="525" t="e">
        <f ca="1">stat(calculs!AY20)</f>
        <v>#NAME?</v>
      </c>
      <c r="AZ20" s="525" t="e">
        <f ca="1">stat(calculs!AZ20)</f>
        <v>#NAME?</v>
      </c>
      <c r="BA20" s="525" t="e">
        <f ca="1">stat(calculs!BA20)</f>
        <v>#NAME?</v>
      </c>
      <c r="BB20" s="525" t="e">
        <f ca="1">stat(calculs!BB20)</f>
        <v>#NAME?</v>
      </c>
      <c r="BC20" s="525" t="e">
        <f ca="1">stat(calculs!BC20)</f>
        <v>#NAME?</v>
      </c>
      <c r="BD20" s="525" t="e">
        <f ca="1">stat(calculs!BD20)</f>
        <v>#NAME?</v>
      </c>
      <c r="BE20" s="525" t="e">
        <f ca="1">stat(calculs!BE20)</f>
        <v>#NAME?</v>
      </c>
      <c r="BF20" s="525" t="e">
        <f ca="1">stat(calculs!BF20)</f>
        <v>#NAME?</v>
      </c>
      <c r="BG20" s="729" t="e">
        <f ca="1">stat(calculs!BG20)</f>
        <v>#NAME?</v>
      </c>
      <c r="BH20" s="729" t="e">
        <f ca="1">stat(calculs!BH20)</f>
        <v>#NAME?</v>
      </c>
      <c r="BI20" s="729" t="e">
        <f ca="1">stat(calculs!BI20)</f>
        <v>#NAME?</v>
      </c>
      <c r="BJ20" s="729" t="e">
        <f ca="1">stat(calculs!BJ20)</f>
        <v>#NAME?</v>
      </c>
      <c r="BK20" s="729" t="e">
        <f ca="1">stat(calculs!BK20)</f>
        <v>#NAME?</v>
      </c>
      <c r="BL20" s="525" t="e">
        <f ca="1">stat(calculs!BL20)</f>
        <v>#NAME?</v>
      </c>
      <c r="BM20" s="525" t="e">
        <f ca="1">stat(calculs!BM20)</f>
        <v>#NAME?</v>
      </c>
      <c r="BN20" s="525" t="e">
        <f ca="1">stat(calculs!BN20)</f>
        <v>#NAME?</v>
      </c>
      <c r="BO20" s="525" t="e">
        <f ca="1">stat(calculs!BO20)</f>
        <v>#NAME?</v>
      </c>
      <c r="BP20" s="525" t="e">
        <f ca="1">stat(calculs!BP20)</f>
        <v>#NAME?</v>
      </c>
      <c r="BQ20" s="525" t="e">
        <f ca="1">stat(calculs!BQ20)</f>
        <v>#NAME?</v>
      </c>
      <c r="BR20" s="525" t="e">
        <f ca="1">stat(calculs!BR20)</f>
        <v>#NAME?</v>
      </c>
    </row>
    <row r="21" spans="1:70" x14ac:dyDescent="0.2">
      <c r="A21" s="222">
        <f>données_step[[#This Row],[Datum]]</f>
        <v>44572</v>
      </c>
      <c r="B21" s="223"/>
      <c r="C21" s="224">
        <f t="shared" si="0"/>
        <v>3</v>
      </c>
      <c r="D21" s="523" t="e">
        <f ca="1">stat(charge_entree[[#This Row],[ch_E_DBO5]])</f>
        <v>#NAME?</v>
      </c>
      <c r="E21" s="523" t="e">
        <f ca="1">stat(charge_entree[[#This Row],[ch_E_DCO]])</f>
        <v>#NAME?</v>
      </c>
      <c r="F21" s="523" t="e">
        <f ca="1">stat(charge_entree[[#This Row],[ch_E_COT]])</f>
        <v>#NAME?</v>
      </c>
      <c r="G21" s="523" t="e">
        <f ca="1">stat(charge_entree[[#This Row],[ch_E_NH4]])</f>
        <v>#NAME?</v>
      </c>
      <c r="H21" s="523" t="e">
        <f ca="1">stat(charge_entree[[#This Row],[ch_E_NTOT]])</f>
        <v>#NAME?</v>
      </c>
      <c r="I21" s="523" t="e">
        <f ca="1">stat(charge_entree[[#This Row],[ch_E_PTOT]])</f>
        <v>#NAME?</v>
      </c>
      <c r="J21" s="523" t="e">
        <f ca="1">stat(charge_entree[[#This Row],[ch_S_DBO]])</f>
        <v>#NAME?</v>
      </c>
      <c r="K21" s="523" t="e">
        <f ca="1">stat(charge_entree[[#This Row],[ch_S-DCO]])</f>
        <v>#NAME?</v>
      </c>
      <c r="L21" s="523" t="e">
        <f ca="1">stat(charge_entree[[#This Row],[ch_S_DOC]])</f>
        <v>#NAME?</v>
      </c>
      <c r="M21" s="523" t="e">
        <f ca="1">stat(charge_entree[[#This Row],[ch_S_NH4]])</f>
        <v>#NAME?</v>
      </c>
      <c r="N21" s="523" t="e">
        <f ca="1">stat(charge_entree[[#This Row],[ch_S_NO2]])</f>
        <v>#NAME?</v>
      </c>
      <c r="O21" s="523" t="e">
        <f ca="1">stat(charge_entree[[#This Row],[ch_S_NO3]])</f>
        <v>#NAME?</v>
      </c>
      <c r="P21" s="523" t="e">
        <f ca="1">stat(charge_entree[[#This Row],[ch_S_PTOT]])</f>
        <v>#NAME?</v>
      </c>
      <c r="Q21" s="523" t="e">
        <f ca="1">stat(charge_entree[[#This Row],[ch_S_SNDT]])</f>
        <v>#NAME?</v>
      </c>
      <c r="R21" s="523">
        <f>calculs!R21</f>
        <v>0</v>
      </c>
      <c r="S21" s="523" t="e">
        <f ca="1">stat(calculs!S21)</f>
        <v>#NAME?</v>
      </c>
      <c r="T21" s="523" t="e">
        <f ca="1">stat(calculs!T21)</f>
        <v>#NAME?</v>
      </c>
      <c r="U21" s="523" t="e">
        <f ca="1">stat(calculs!U21)</f>
        <v>#NAME?</v>
      </c>
      <c r="V21" s="523" t="e">
        <f ca="1">stat(calculs!V21)</f>
        <v>#NAME?</v>
      </c>
      <c r="W21" s="523" t="e">
        <f ca="1">stat(calculs!W21)</f>
        <v>#NAME?</v>
      </c>
      <c r="X21" s="523" t="e">
        <f ca="1">stat(calculs!X21)</f>
        <v>#NAME?</v>
      </c>
      <c r="Y21" s="523" t="e">
        <f ca="1">stat(calculs!Y21)</f>
        <v>#NAME?</v>
      </c>
      <c r="Z21" s="523" t="e">
        <f ca="1">stat(calculs!Z21)</f>
        <v>#NAME?</v>
      </c>
      <c r="AA21" s="523" t="e">
        <f ca="1">stat(calculs!AA21)</f>
        <v>#NAME?</v>
      </c>
      <c r="AB21" s="523" t="e">
        <f ca="1">stat(calculs!AB21)</f>
        <v>#NAME?</v>
      </c>
      <c r="AC21" s="523" t="e">
        <f ca="1">stat(calculs!AC21)</f>
        <v>#NAME?</v>
      </c>
      <c r="AD21" s="523" t="e">
        <f ca="1">stat(calculs!AD21)</f>
        <v>#NAME?</v>
      </c>
      <c r="AE21" s="523" t="e">
        <f ca="1">stat(calculs!AE21)</f>
        <v>#NAME?</v>
      </c>
      <c r="AF21" s="523" t="e">
        <f ca="1">stat(calculs!AF21)</f>
        <v>#NAME?</v>
      </c>
      <c r="AG21" s="523" t="e">
        <f ca="1">stat(calculs!AG21)</f>
        <v>#NAME?</v>
      </c>
      <c r="AH21" s="523" t="e">
        <f ca="1">stat(calculs!AH21)</f>
        <v>#NAME?</v>
      </c>
      <c r="AI21" s="523" t="e">
        <f ca="1">stat(calculs!AI21)</f>
        <v>#NAME?</v>
      </c>
      <c r="AJ21" s="523" t="e">
        <f ca="1">stat(calculs!AJ21)</f>
        <v>#NAME?</v>
      </c>
      <c r="AK21" s="523" t="e">
        <f ca="1">stat(calculs!AK21)</f>
        <v>#NAME?</v>
      </c>
      <c r="AL21" s="523" t="e">
        <f ca="1">stat(calculs!AL21)</f>
        <v>#NAME?</v>
      </c>
      <c r="AM21" s="523" t="e">
        <f ca="1">stat(calculs!AM21)</f>
        <v>#NAME?</v>
      </c>
      <c r="AN21" s="523" t="e">
        <f ca="1">stat(calculs!AN21)</f>
        <v>#NAME?</v>
      </c>
      <c r="AO21" s="523" t="e">
        <f ca="1">stat(calculs!AO21)</f>
        <v>#NAME?</v>
      </c>
      <c r="AP21" s="523" t="e">
        <f ca="1">stat(calculs!AP21)</f>
        <v>#NAME?</v>
      </c>
      <c r="AQ21" s="523" t="e">
        <f ca="1">stat(calculs!AQ21)</f>
        <v>#NAME?</v>
      </c>
      <c r="AT21" s="517"/>
      <c r="AV21" s="525" t="e">
        <f ca="1">stat(calculs!AV21)</f>
        <v>#NAME?</v>
      </c>
      <c r="AW21" s="525" t="e">
        <f ca="1">stat(calculs!AW21)</f>
        <v>#NAME?</v>
      </c>
      <c r="AX21" s="525" t="e">
        <f ca="1">stat(calculs!AX21)</f>
        <v>#NAME?</v>
      </c>
      <c r="AY21" s="525" t="e">
        <f ca="1">stat(calculs!AY21)</f>
        <v>#NAME?</v>
      </c>
      <c r="AZ21" s="525" t="e">
        <f ca="1">stat(calculs!AZ21)</f>
        <v>#NAME?</v>
      </c>
      <c r="BA21" s="525" t="e">
        <f ca="1">stat(calculs!BA21)</f>
        <v>#NAME?</v>
      </c>
      <c r="BB21" s="525" t="e">
        <f ca="1">stat(calculs!BB21)</f>
        <v>#NAME?</v>
      </c>
      <c r="BC21" s="525" t="e">
        <f ca="1">stat(calculs!BC21)</f>
        <v>#NAME?</v>
      </c>
      <c r="BD21" s="525" t="e">
        <f ca="1">stat(calculs!BD21)</f>
        <v>#NAME?</v>
      </c>
      <c r="BE21" s="525" t="e">
        <f ca="1">stat(calculs!BE21)</f>
        <v>#NAME?</v>
      </c>
      <c r="BF21" s="525" t="e">
        <f ca="1">stat(calculs!BF21)</f>
        <v>#NAME?</v>
      </c>
      <c r="BG21" s="729" t="e">
        <f ca="1">stat(calculs!BG21)</f>
        <v>#NAME?</v>
      </c>
      <c r="BH21" s="729" t="e">
        <f ca="1">stat(calculs!BH21)</f>
        <v>#NAME?</v>
      </c>
      <c r="BI21" s="729" t="e">
        <f ca="1">stat(calculs!BI21)</f>
        <v>#NAME?</v>
      </c>
      <c r="BJ21" s="729" t="e">
        <f ca="1">stat(calculs!BJ21)</f>
        <v>#NAME?</v>
      </c>
      <c r="BK21" s="729" t="e">
        <f ca="1">stat(calculs!BK21)</f>
        <v>#NAME?</v>
      </c>
      <c r="BL21" s="525" t="e">
        <f ca="1">stat(calculs!BL21)</f>
        <v>#NAME?</v>
      </c>
      <c r="BM21" s="525" t="e">
        <f ca="1">stat(calculs!BM21)</f>
        <v>#NAME?</v>
      </c>
      <c r="BN21" s="525" t="e">
        <f ca="1">stat(calculs!BN21)</f>
        <v>#NAME?</v>
      </c>
      <c r="BO21" s="525" t="e">
        <f ca="1">stat(calculs!BO21)</f>
        <v>#NAME?</v>
      </c>
      <c r="BP21" s="525" t="e">
        <f ca="1">stat(calculs!BP21)</f>
        <v>#NAME?</v>
      </c>
      <c r="BQ21" s="525" t="e">
        <f ca="1">stat(calculs!BQ21)</f>
        <v>#NAME?</v>
      </c>
      <c r="BR21" s="525" t="e">
        <f ca="1">stat(calculs!BR21)</f>
        <v>#NAME?</v>
      </c>
    </row>
    <row r="22" spans="1:70" x14ac:dyDescent="0.2">
      <c r="A22" s="222">
        <f>données_step[[#This Row],[Datum]]</f>
        <v>44573</v>
      </c>
      <c r="B22" s="223"/>
      <c r="C22" s="224">
        <f t="shared" si="0"/>
        <v>4</v>
      </c>
      <c r="D22" s="523" t="e">
        <f ca="1">stat(charge_entree[[#This Row],[ch_E_DBO5]])</f>
        <v>#NAME?</v>
      </c>
      <c r="E22" s="523" t="e">
        <f ca="1">stat(charge_entree[[#This Row],[ch_E_DCO]])</f>
        <v>#NAME?</v>
      </c>
      <c r="F22" s="523" t="e">
        <f ca="1">stat(charge_entree[[#This Row],[ch_E_COT]])</f>
        <v>#NAME?</v>
      </c>
      <c r="G22" s="523" t="e">
        <f ca="1">stat(charge_entree[[#This Row],[ch_E_NH4]])</f>
        <v>#NAME?</v>
      </c>
      <c r="H22" s="523" t="e">
        <f ca="1">stat(charge_entree[[#This Row],[ch_E_NTOT]])</f>
        <v>#NAME?</v>
      </c>
      <c r="I22" s="523" t="e">
        <f ca="1">stat(charge_entree[[#This Row],[ch_E_PTOT]])</f>
        <v>#NAME?</v>
      </c>
      <c r="J22" s="523" t="e">
        <f ca="1">stat(charge_entree[[#This Row],[ch_S_DBO]])</f>
        <v>#NAME?</v>
      </c>
      <c r="K22" s="523" t="e">
        <f ca="1">stat(charge_entree[[#This Row],[ch_S-DCO]])</f>
        <v>#NAME?</v>
      </c>
      <c r="L22" s="523" t="e">
        <f ca="1">stat(charge_entree[[#This Row],[ch_S_DOC]])</f>
        <v>#NAME?</v>
      </c>
      <c r="M22" s="523" t="e">
        <f ca="1">stat(charge_entree[[#This Row],[ch_S_NH4]])</f>
        <v>#NAME?</v>
      </c>
      <c r="N22" s="523" t="e">
        <f ca="1">stat(charge_entree[[#This Row],[ch_S_NO2]])</f>
        <v>#NAME?</v>
      </c>
      <c r="O22" s="523" t="e">
        <f ca="1">stat(charge_entree[[#This Row],[ch_S_NO3]])</f>
        <v>#NAME?</v>
      </c>
      <c r="P22" s="523" t="e">
        <f ca="1">stat(charge_entree[[#This Row],[ch_S_PTOT]])</f>
        <v>#NAME?</v>
      </c>
      <c r="Q22" s="523" t="e">
        <f ca="1">stat(charge_entree[[#This Row],[ch_S_SNDT]])</f>
        <v>#NAME?</v>
      </c>
      <c r="R22" s="523">
        <f>calculs!R22</f>
        <v>0</v>
      </c>
      <c r="S22" s="523" t="e">
        <f ca="1">stat(calculs!S22)</f>
        <v>#NAME?</v>
      </c>
      <c r="T22" s="523" t="e">
        <f ca="1">stat(calculs!T22)</f>
        <v>#NAME?</v>
      </c>
      <c r="U22" s="523" t="e">
        <f ca="1">stat(calculs!U22)</f>
        <v>#NAME?</v>
      </c>
      <c r="V22" s="523" t="e">
        <f ca="1">stat(calculs!V22)</f>
        <v>#NAME?</v>
      </c>
      <c r="W22" s="523" t="e">
        <f ca="1">stat(calculs!W22)</f>
        <v>#NAME?</v>
      </c>
      <c r="X22" s="523" t="e">
        <f ca="1">stat(calculs!X22)</f>
        <v>#NAME?</v>
      </c>
      <c r="Y22" s="523" t="e">
        <f ca="1">stat(calculs!Y22)</f>
        <v>#NAME?</v>
      </c>
      <c r="Z22" s="523" t="e">
        <f ca="1">stat(calculs!Z22)</f>
        <v>#NAME?</v>
      </c>
      <c r="AA22" s="523" t="e">
        <f ca="1">stat(calculs!AA22)</f>
        <v>#NAME?</v>
      </c>
      <c r="AB22" s="523" t="e">
        <f ca="1">stat(calculs!AB22)</f>
        <v>#NAME?</v>
      </c>
      <c r="AC22" s="523" t="e">
        <f ca="1">stat(calculs!AC22)</f>
        <v>#NAME?</v>
      </c>
      <c r="AD22" s="523" t="e">
        <f ca="1">stat(calculs!AD22)</f>
        <v>#NAME?</v>
      </c>
      <c r="AE22" s="523" t="e">
        <f ca="1">stat(calculs!AE22)</f>
        <v>#NAME?</v>
      </c>
      <c r="AF22" s="523" t="e">
        <f ca="1">stat(calculs!AF22)</f>
        <v>#NAME?</v>
      </c>
      <c r="AG22" s="523" t="e">
        <f ca="1">stat(calculs!AG22)</f>
        <v>#NAME?</v>
      </c>
      <c r="AH22" s="523" t="e">
        <f ca="1">stat(calculs!AH22)</f>
        <v>#NAME?</v>
      </c>
      <c r="AI22" s="523" t="e">
        <f ca="1">stat(calculs!AI22)</f>
        <v>#NAME?</v>
      </c>
      <c r="AJ22" s="523" t="e">
        <f ca="1">stat(calculs!AJ22)</f>
        <v>#NAME?</v>
      </c>
      <c r="AK22" s="523" t="e">
        <f ca="1">stat(calculs!AK22)</f>
        <v>#NAME?</v>
      </c>
      <c r="AL22" s="523" t="e">
        <f ca="1">stat(calculs!AL22)</f>
        <v>#NAME?</v>
      </c>
      <c r="AM22" s="523" t="e">
        <f ca="1">stat(calculs!AM22)</f>
        <v>#NAME?</v>
      </c>
      <c r="AN22" s="523" t="e">
        <f ca="1">stat(calculs!AN22)</f>
        <v>#NAME?</v>
      </c>
      <c r="AO22" s="523" t="e">
        <f ca="1">stat(calculs!AO22)</f>
        <v>#NAME?</v>
      </c>
      <c r="AP22" s="523" t="e">
        <f ca="1">stat(calculs!AP22)</f>
        <v>#NAME?</v>
      </c>
      <c r="AQ22" s="523" t="e">
        <f ca="1">stat(calculs!AQ22)</f>
        <v>#NAME?</v>
      </c>
      <c r="AT22" s="517"/>
      <c r="AV22" s="525" t="e">
        <f ca="1">stat(calculs!AV22)</f>
        <v>#NAME?</v>
      </c>
      <c r="AW22" s="525" t="e">
        <f ca="1">stat(calculs!AW22)</f>
        <v>#NAME?</v>
      </c>
      <c r="AX22" s="525" t="e">
        <f ca="1">stat(calculs!AX22)</f>
        <v>#NAME?</v>
      </c>
      <c r="AY22" s="525" t="e">
        <f ca="1">stat(calculs!AY22)</f>
        <v>#NAME?</v>
      </c>
      <c r="AZ22" s="525" t="e">
        <f ca="1">stat(calculs!AZ22)</f>
        <v>#NAME?</v>
      </c>
      <c r="BA22" s="525" t="e">
        <f ca="1">stat(calculs!BA22)</f>
        <v>#NAME?</v>
      </c>
      <c r="BB22" s="525" t="e">
        <f ca="1">stat(calculs!BB22)</f>
        <v>#NAME?</v>
      </c>
      <c r="BC22" s="525" t="e">
        <f ca="1">stat(calculs!BC22)</f>
        <v>#NAME?</v>
      </c>
      <c r="BD22" s="525" t="e">
        <f ca="1">stat(calculs!BD22)</f>
        <v>#NAME?</v>
      </c>
      <c r="BE22" s="525" t="e">
        <f ca="1">stat(calculs!BE22)</f>
        <v>#NAME?</v>
      </c>
      <c r="BF22" s="525" t="e">
        <f ca="1">stat(calculs!BF22)</f>
        <v>#NAME?</v>
      </c>
      <c r="BG22" s="729" t="e">
        <f ca="1">stat(calculs!BG22)</f>
        <v>#NAME?</v>
      </c>
      <c r="BH22" s="729" t="e">
        <f ca="1">stat(calculs!BH22)</f>
        <v>#NAME?</v>
      </c>
      <c r="BI22" s="729" t="e">
        <f ca="1">stat(calculs!BI22)</f>
        <v>#NAME?</v>
      </c>
      <c r="BJ22" s="729" t="e">
        <f ca="1">stat(calculs!BJ22)</f>
        <v>#NAME?</v>
      </c>
      <c r="BK22" s="729" t="e">
        <f ca="1">stat(calculs!BK22)</f>
        <v>#NAME?</v>
      </c>
      <c r="BL22" s="525" t="e">
        <f ca="1">stat(calculs!BL22)</f>
        <v>#NAME?</v>
      </c>
      <c r="BM22" s="525" t="e">
        <f ca="1">stat(calculs!BM22)</f>
        <v>#NAME?</v>
      </c>
      <c r="BN22" s="525" t="e">
        <f ca="1">stat(calculs!BN22)</f>
        <v>#NAME?</v>
      </c>
      <c r="BO22" s="525" t="e">
        <f ca="1">stat(calculs!BO22)</f>
        <v>#NAME?</v>
      </c>
      <c r="BP22" s="525" t="e">
        <f ca="1">stat(calculs!BP22)</f>
        <v>#NAME?</v>
      </c>
      <c r="BQ22" s="525" t="e">
        <f ca="1">stat(calculs!BQ22)</f>
        <v>#NAME?</v>
      </c>
      <c r="BR22" s="525" t="e">
        <f ca="1">stat(calculs!BR22)</f>
        <v>#NAME?</v>
      </c>
    </row>
    <row r="23" spans="1:70" x14ac:dyDescent="0.2">
      <c r="A23" s="222">
        <f>données_step[[#This Row],[Datum]]</f>
        <v>44574</v>
      </c>
      <c r="B23" s="223"/>
      <c r="C23" s="224">
        <f t="shared" si="0"/>
        <v>5</v>
      </c>
      <c r="D23" s="523" t="e">
        <f ca="1">stat(charge_entree[[#This Row],[ch_E_DBO5]])</f>
        <v>#NAME?</v>
      </c>
      <c r="E23" s="523" t="e">
        <f ca="1">stat(charge_entree[[#This Row],[ch_E_DCO]])</f>
        <v>#NAME?</v>
      </c>
      <c r="F23" s="523" t="e">
        <f ca="1">stat(charge_entree[[#This Row],[ch_E_COT]])</f>
        <v>#NAME?</v>
      </c>
      <c r="G23" s="523" t="e">
        <f ca="1">stat(charge_entree[[#This Row],[ch_E_NH4]])</f>
        <v>#NAME?</v>
      </c>
      <c r="H23" s="523" t="e">
        <f ca="1">stat(charge_entree[[#This Row],[ch_E_NTOT]])</f>
        <v>#NAME?</v>
      </c>
      <c r="I23" s="523" t="e">
        <f ca="1">stat(charge_entree[[#This Row],[ch_E_PTOT]])</f>
        <v>#NAME?</v>
      </c>
      <c r="J23" s="523" t="e">
        <f ca="1">stat(charge_entree[[#This Row],[ch_S_DBO]])</f>
        <v>#NAME?</v>
      </c>
      <c r="K23" s="523" t="e">
        <f ca="1">stat(charge_entree[[#This Row],[ch_S-DCO]])</f>
        <v>#NAME?</v>
      </c>
      <c r="L23" s="523" t="e">
        <f ca="1">stat(charge_entree[[#This Row],[ch_S_DOC]])</f>
        <v>#NAME?</v>
      </c>
      <c r="M23" s="523" t="e">
        <f ca="1">stat(charge_entree[[#This Row],[ch_S_NH4]])</f>
        <v>#NAME?</v>
      </c>
      <c r="N23" s="523" t="e">
        <f ca="1">stat(charge_entree[[#This Row],[ch_S_NO2]])</f>
        <v>#NAME?</v>
      </c>
      <c r="O23" s="523" t="e">
        <f ca="1">stat(charge_entree[[#This Row],[ch_S_NO3]])</f>
        <v>#NAME?</v>
      </c>
      <c r="P23" s="523" t="e">
        <f ca="1">stat(charge_entree[[#This Row],[ch_S_PTOT]])</f>
        <v>#NAME?</v>
      </c>
      <c r="Q23" s="523" t="e">
        <f ca="1">stat(charge_entree[[#This Row],[ch_S_SNDT]])</f>
        <v>#NAME?</v>
      </c>
      <c r="R23" s="523">
        <f>calculs!R23</f>
        <v>0</v>
      </c>
      <c r="S23" s="523" t="e">
        <f ca="1">stat(calculs!S23)</f>
        <v>#NAME?</v>
      </c>
      <c r="T23" s="523" t="e">
        <f ca="1">stat(calculs!T23)</f>
        <v>#NAME?</v>
      </c>
      <c r="U23" s="523" t="e">
        <f ca="1">stat(calculs!U23)</f>
        <v>#NAME?</v>
      </c>
      <c r="V23" s="523" t="e">
        <f ca="1">stat(calculs!V23)</f>
        <v>#NAME?</v>
      </c>
      <c r="W23" s="523" t="e">
        <f ca="1">stat(calculs!W23)</f>
        <v>#NAME?</v>
      </c>
      <c r="X23" s="523" t="e">
        <f ca="1">stat(calculs!X23)</f>
        <v>#NAME?</v>
      </c>
      <c r="Y23" s="523" t="e">
        <f ca="1">stat(calculs!Y23)</f>
        <v>#NAME?</v>
      </c>
      <c r="Z23" s="523" t="e">
        <f ca="1">stat(calculs!Z23)</f>
        <v>#NAME?</v>
      </c>
      <c r="AA23" s="523" t="e">
        <f ca="1">stat(calculs!AA23)</f>
        <v>#NAME?</v>
      </c>
      <c r="AB23" s="523" t="e">
        <f ca="1">stat(calculs!AB23)</f>
        <v>#NAME?</v>
      </c>
      <c r="AC23" s="523" t="e">
        <f ca="1">stat(calculs!AC23)</f>
        <v>#NAME?</v>
      </c>
      <c r="AD23" s="523" t="e">
        <f ca="1">stat(calculs!AD23)</f>
        <v>#NAME?</v>
      </c>
      <c r="AE23" s="523" t="e">
        <f ca="1">stat(calculs!AE23)</f>
        <v>#NAME?</v>
      </c>
      <c r="AF23" s="523" t="e">
        <f ca="1">stat(calculs!AF23)</f>
        <v>#NAME?</v>
      </c>
      <c r="AG23" s="523" t="e">
        <f ca="1">stat(calculs!AG23)</f>
        <v>#NAME?</v>
      </c>
      <c r="AH23" s="523" t="e">
        <f ca="1">stat(calculs!AH23)</f>
        <v>#NAME?</v>
      </c>
      <c r="AI23" s="523" t="e">
        <f ca="1">stat(calculs!AI23)</f>
        <v>#NAME?</v>
      </c>
      <c r="AJ23" s="523" t="e">
        <f ca="1">stat(calculs!AJ23)</f>
        <v>#NAME?</v>
      </c>
      <c r="AK23" s="523" t="e">
        <f ca="1">stat(calculs!AK23)</f>
        <v>#NAME?</v>
      </c>
      <c r="AL23" s="523" t="e">
        <f ca="1">stat(calculs!AL23)</f>
        <v>#NAME?</v>
      </c>
      <c r="AM23" s="523" t="e">
        <f ca="1">stat(calculs!AM23)</f>
        <v>#NAME?</v>
      </c>
      <c r="AN23" s="523" t="e">
        <f ca="1">stat(calculs!AN23)</f>
        <v>#NAME?</v>
      </c>
      <c r="AO23" s="523" t="e">
        <f ca="1">stat(calculs!AO23)</f>
        <v>#NAME?</v>
      </c>
      <c r="AP23" s="523" t="e">
        <f ca="1">stat(calculs!AP23)</f>
        <v>#NAME?</v>
      </c>
      <c r="AQ23" s="523" t="e">
        <f ca="1">stat(calculs!AQ23)</f>
        <v>#NAME?</v>
      </c>
      <c r="AT23" s="526"/>
      <c r="AU23" s="14"/>
      <c r="AV23" s="525" t="e">
        <f ca="1">stat(calculs!AV23)</f>
        <v>#NAME?</v>
      </c>
      <c r="AW23" s="525" t="e">
        <f ca="1">stat(calculs!AW23)</f>
        <v>#NAME?</v>
      </c>
      <c r="AX23" s="525" t="e">
        <f ca="1">stat(calculs!AX23)</f>
        <v>#NAME?</v>
      </c>
      <c r="AY23" s="525" t="e">
        <f ca="1">stat(calculs!AY23)</f>
        <v>#NAME?</v>
      </c>
      <c r="AZ23" s="525" t="e">
        <f ca="1">stat(calculs!AZ23)</f>
        <v>#NAME?</v>
      </c>
      <c r="BA23" s="525" t="e">
        <f ca="1">stat(calculs!BA23)</f>
        <v>#NAME?</v>
      </c>
      <c r="BB23" s="525" t="e">
        <f ca="1">stat(calculs!BB23)</f>
        <v>#NAME?</v>
      </c>
      <c r="BC23" s="525" t="e">
        <f ca="1">stat(calculs!BC23)</f>
        <v>#NAME?</v>
      </c>
      <c r="BD23" s="525" t="e">
        <f ca="1">stat(calculs!BD23)</f>
        <v>#NAME?</v>
      </c>
      <c r="BE23" s="525" t="e">
        <f ca="1">stat(calculs!BE23)</f>
        <v>#NAME?</v>
      </c>
      <c r="BF23" s="525" t="e">
        <f ca="1">stat(calculs!BF23)</f>
        <v>#NAME?</v>
      </c>
      <c r="BG23" s="729" t="e">
        <f ca="1">stat(calculs!BG23)</f>
        <v>#NAME?</v>
      </c>
      <c r="BH23" s="729" t="e">
        <f ca="1">stat(calculs!BH23)</f>
        <v>#NAME?</v>
      </c>
      <c r="BI23" s="729" t="e">
        <f ca="1">stat(calculs!BI23)</f>
        <v>#NAME?</v>
      </c>
      <c r="BJ23" s="729" t="e">
        <f ca="1">stat(calculs!BJ23)</f>
        <v>#NAME?</v>
      </c>
      <c r="BK23" s="729" t="e">
        <f ca="1">stat(calculs!BK23)</f>
        <v>#NAME?</v>
      </c>
      <c r="BL23" s="525" t="e">
        <f ca="1">stat(calculs!BL23)</f>
        <v>#NAME?</v>
      </c>
      <c r="BM23" s="525" t="e">
        <f ca="1">stat(calculs!BM23)</f>
        <v>#NAME?</v>
      </c>
      <c r="BN23" s="525" t="e">
        <f ca="1">stat(calculs!BN23)</f>
        <v>#NAME?</v>
      </c>
      <c r="BO23" s="525" t="e">
        <f ca="1">stat(calculs!BO23)</f>
        <v>#NAME?</v>
      </c>
      <c r="BP23" s="525" t="e">
        <f ca="1">stat(calculs!BP23)</f>
        <v>#NAME?</v>
      </c>
      <c r="BQ23" s="525" t="e">
        <f ca="1">stat(calculs!BQ23)</f>
        <v>#NAME?</v>
      </c>
      <c r="BR23" s="525" t="e">
        <f ca="1">stat(calculs!BR23)</f>
        <v>#NAME?</v>
      </c>
    </row>
    <row r="24" spans="1:70" x14ac:dyDescent="0.2">
      <c r="A24" s="222">
        <f>données_step[[#This Row],[Datum]]</f>
        <v>44575</v>
      </c>
      <c r="B24" s="223"/>
      <c r="C24" s="224">
        <f t="shared" si="0"/>
        <v>6</v>
      </c>
      <c r="D24" s="523" t="e">
        <f ca="1">stat(charge_entree[[#This Row],[ch_E_DBO5]])</f>
        <v>#NAME?</v>
      </c>
      <c r="E24" s="523" t="e">
        <f ca="1">stat(charge_entree[[#This Row],[ch_E_DCO]])</f>
        <v>#NAME?</v>
      </c>
      <c r="F24" s="523" t="e">
        <f ca="1">stat(charge_entree[[#This Row],[ch_E_COT]])</f>
        <v>#NAME?</v>
      </c>
      <c r="G24" s="523" t="e">
        <f ca="1">stat(charge_entree[[#This Row],[ch_E_NH4]])</f>
        <v>#NAME?</v>
      </c>
      <c r="H24" s="523" t="e">
        <f ca="1">stat(charge_entree[[#This Row],[ch_E_NTOT]])</f>
        <v>#NAME?</v>
      </c>
      <c r="I24" s="523" t="e">
        <f ca="1">stat(charge_entree[[#This Row],[ch_E_PTOT]])</f>
        <v>#NAME?</v>
      </c>
      <c r="J24" s="523" t="e">
        <f ca="1">stat(charge_entree[[#This Row],[ch_S_DBO]])</f>
        <v>#NAME?</v>
      </c>
      <c r="K24" s="523" t="e">
        <f ca="1">stat(charge_entree[[#This Row],[ch_S-DCO]])</f>
        <v>#NAME?</v>
      </c>
      <c r="L24" s="523" t="e">
        <f ca="1">stat(charge_entree[[#This Row],[ch_S_DOC]])</f>
        <v>#NAME?</v>
      </c>
      <c r="M24" s="523" t="e">
        <f ca="1">stat(charge_entree[[#This Row],[ch_S_NH4]])</f>
        <v>#NAME?</v>
      </c>
      <c r="N24" s="523" t="e">
        <f ca="1">stat(charge_entree[[#This Row],[ch_S_NO2]])</f>
        <v>#NAME?</v>
      </c>
      <c r="O24" s="523" t="e">
        <f ca="1">stat(charge_entree[[#This Row],[ch_S_NO3]])</f>
        <v>#NAME?</v>
      </c>
      <c r="P24" s="523" t="e">
        <f ca="1">stat(charge_entree[[#This Row],[ch_S_PTOT]])</f>
        <v>#NAME?</v>
      </c>
      <c r="Q24" s="523" t="e">
        <f ca="1">stat(charge_entree[[#This Row],[ch_S_SNDT]])</f>
        <v>#NAME?</v>
      </c>
      <c r="R24" s="523">
        <f>calculs!R24</f>
        <v>0</v>
      </c>
      <c r="S24" s="523" t="e">
        <f ca="1">stat(calculs!S24)</f>
        <v>#NAME?</v>
      </c>
      <c r="T24" s="523" t="e">
        <f ca="1">stat(calculs!T24)</f>
        <v>#NAME?</v>
      </c>
      <c r="U24" s="523" t="e">
        <f ca="1">stat(calculs!U24)</f>
        <v>#NAME?</v>
      </c>
      <c r="V24" s="523" t="e">
        <f ca="1">stat(calculs!V24)</f>
        <v>#NAME?</v>
      </c>
      <c r="W24" s="523" t="e">
        <f ca="1">stat(calculs!W24)</f>
        <v>#NAME?</v>
      </c>
      <c r="X24" s="523" t="e">
        <f ca="1">stat(calculs!X24)</f>
        <v>#NAME?</v>
      </c>
      <c r="Y24" s="523" t="e">
        <f ca="1">stat(calculs!Y24)</f>
        <v>#NAME?</v>
      </c>
      <c r="Z24" s="523" t="e">
        <f ca="1">stat(calculs!Z24)</f>
        <v>#NAME?</v>
      </c>
      <c r="AA24" s="523" t="e">
        <f ca="1">stat(calculs!AA24)</f>
        <v>#NAME?</v>
      </c>
      <c r="AB24" s="523" t="e">
        <f ca="1">stat(calculs!AB24)</f>
        <v>#NAME?</v>
      </c>
      <c r="AC24" s="523" t="e">
        <f ca="1">stat(calculs!AC24)</f>
        <v>#NAME?</v>
      </c>
      <c r="AD24" s="523" t="e">
        <f ca="1">stat(calculs!AD24)</f>
        <v>#NAME?</v>
      </c>
      <c r="AE24" s="523" t="e">
        <f ca="1">stat(calculs!AE24)</f>
        <v>#NAME?</v>
      </c>
      <c r="AF24" s="523" t="e">
        <f ca="1">stat(calculs!AF24)</f>
        <v>#NAME?</v>
      </c>
      <c r="AG24" s="523" t="e">
        <f ca="1">stat(calculs!AG24)</f>
        <v>#NAME?</v>
      </c>
      <c r="AH24" s="523" t="e">
        <f ca="1">stat(calculs!AH24)</f>
        <v>#NAME?</v>
      </c>
      <c r="AI24" s="523" t="e">
        <f ca="1">stat(calculs!AI24)</f>
        <v>#NAME?</v>
      </c>
      <c r="AJ24" s="523" t="e">
        <f ca="1">stat(calculs!AJ24)</f>
        <v>#NAME?</v>
      </c>
      <c r="AK24" s="523" t="e">
        <f ca="1">stat(calculs!AK24)</f>
        <v>#NAME?</v>
      </c>
      <c r="AL24" s="523" t="e">
        <f ca="1">stat(calculs!AL24)</f>
        <v>#NAME?</v>
      </c>
      <c r="AM24" s="523" t="e">
        <f ca="1">stat(calculs!AM24)</f>
        <v>#NAME?</v>
      </c>
      <c r="AN24" s="523" t="e">
        <f ca="1">stat(calculs!AN24)</f>
        <v>#NAME?</v>
      </c>
      <c r="AO24" s="523" t="e">
        <f ca="1">stat(calculs!AO24)</f>
        <v>#NAME?</v>
      </c>
      <c r="AP24" s="523" t="e">
        <f ca="1">stat(calculs!AP24)</f>
        <v>#NAME?</v>
      </c>
      <c r="AQ24" s="523" t="e">
        <f ca="1">stat(calculs!AQ24)</f>
        <v>#NAME?</v>
      </c>
      <c r="AT24" s="517"/>
      <c r="AV24" s="525" t="e">
        <f ca="1">stat(calculs!AV24)</f>
        <v>#NAME?</v>
      </c>
      <c r="AW24" s="525" t="e">
        <f ca="1">stat(calculs!AW24)</f>
        <v>#NAME?</v>
      </c>
      <c r="AX24" s="525" t="e">
        <f ca="1">stat(calculs!AX24)</f>
        <v>#NAME?</v>
      </c>
      <c r="AY24" s="525" t="e">
        <f ca="1">stat(calculs!AY24)</f>
        <v>#NAME?</v>
      </c>
      <c r="AZ24" s="525" t="e">
        <f ca="1">stat(calculs!AZ24)</f>
        <v>#NAME?</v>
      </c>
      <c r="BA24" s="525" t="e">
        <f ca="1">stat(calculs!BA24)</f>
        <v>#NAME?</v>
      </c>
      <c r="BB24" s="525" t="e">
        <f ca="1">stat(calculs!BB24)</f>
        <v>#NAME?</v>
      </c>
      <c r="BC24" s="525" t="e">
        <f ca="1">stat(calculs!BC24)</f>
        <v>#NAME?</v>
      </c>
      <c r="BD24" s="525" t="e">
        <f ca="1">stat(calculs!BD24)</f>
        <v>#NAME?</v>
      </c>
      <c r="BE24" s="525" t="e">
        <f ca="1">stat(calculs!BE24)</f>
        <v>#NAME?</v>
      </c>
      <c r="BF24" s="525" t="e">
        <f ca="1">stat(calculs!BF24)</f>
        <v>#NAME?</v>
      </c>
      <c r="BG24" s="729" t="e">
        <f ca="1">stat(calculs!BG24)</f>
        <v>#NAME?</v>
      </c>
      <c r="BH24" s="729" t="e">
        <f ca="1">stat(calculs!BH24)</f>
        <v>#NAME?</v>
      </c>
      <c r="BI24" s="729" t="e">
        <f ca="1">stat(calculs!BI24)</f>
        <v>#NAME?</v>
      </c>
      <c r="BJ24" s="729" t="e">
        <f ca="1">stat(calculs!BJ24)</f>
        <v>#NAME?</v>
      </c>
      <c r="BK24" s="729" t="e">
        <f ca="1">stat(calculs!BK24)</f>
        <v>#NAME?</v>
      </c>
      <c r="BL24" s="525" t="e">
        <f ca="1">stat(calculs!BL24)</f>
        <v>#NAME?</v>
      </c>
      <c r="BM24" s="525" t="e">
        <f ca="1">stat(calculs!BM24)</f>
        <v>#NAME?</v>
      </c>
      <c r="BN24" s="525" t="e">
        <f ca="1">stat(calculs!BN24)</f>
        <v>#NAME?</v>
      </c>
      <c r="BO24" s="525" t="e">
        <f ca="1">stat(calculs!BO24)</f>
        <v>#NAME?</v>
      </c>
      <c r="BP24" s="525" t="e">
        <f ca="1">stat(calculs!BP24)</f>
        <v>#NAME?</v>
      </c>
      <c r="BQ24" s="525" t="e">
        <f ca="1">stat(calculs!BQ24)</f>
        <v>#NAME?</v>
      </c>
      <c r="BR24" s="525" t="e">
        <f ca="1">stat(calculs!BR24)</f>
        <v>#NAME?</v>
      </c>
    </row>
    <row r="25" spans="1:70" x14ac:dyDescent="0.2">
      <c r="A25" s="222">
        <f>données_step[[#This Row],[Datum]]</f>
        <v>44576</v>
      </c>
      <c r="B25" s="223"/>
      <c r="C25" s="224">
        <f t="shared" si="0"/>
        <v>7</v>
      </c>
      <c r="D25" s="523" t="e">
        <f ca="1">stat(charge_entree[[#This Row],[ch_E_DBO5]])</f>
        <v>#NAME?</v>
      </c>
      <c r="E25" s="523" t="e">
        <f ca="1">stat(charge_entree[[#This Row],[ch_E_DCO]])</f>
        <v>#NAME?</v>
      </c>
      <c r="F25" s="523" t="e">
        <f ca="1">stat(charge_entree[[#This Row],[ch_E_COT]])</f>
        <v>#NAME?</v>
      </c>
      <c r="G25" s="523" t="e">
        <f ca="1">stat(charge_entree[[#This Row],[ch_E_NH4]])</f>
        <v>#NAME?</v>
      </c>
      <c r="H25" s="523" t="e">
        <f ca="1">stat(charge_entree[[#This Row],[ch_E_NTOT]])</f>
        <v>#NAME?</v>
      </c>
      <c r="I25" s="523" t="e">
        <f ca="1">stat(charge_entree[[#This Row],[ch_E_PTOT]])</f>
        <v>#NAME?</v>
      </c>
      <c r="J25" s="523" t="e">
        <f ca="1">stat(charge_entree[[#This Row],[ch_S_DBO]])</f>
        <v>#NAME?</v>
      </c>
      <c r="K25" s="523" t="e">
        <f ca="1">stat(charge_entree[[#This Row],[ch_S-DCO]])</f>
        <v>#NAME?</v>
      </c>
      <c r="L25" s="523" t="e">
        <f ca="1">stat(charge_entree[[#This Row],[ch_S_DOC]])</f>
        <v>#NAME?</v>
      </c>
      <c r="M25" s="523" t="e">
        <f ca="1">stat(charge_entree[[#This Row],[ch_S_NH4]])</f>
        <v>#NAME?</v>
      </c>
      <c r="N25" s="523" t="e">
        <f ca="1">stat(charge_entree[[#This Row],[ch_S_NO2]])</f>
        <v>#NAME?</v>
      </c>
      <c r="O25" s="523" t="e">
        <f ca="1">stat(charge_entree[[#This Row],[ch_S_NO3]])</f>
        <v>#NAME?</v>
      </c>
      <c r="P25" s="523" t="e">
        <f ca="1">stat(charge_entree[[#This Row],[ch_S_PTOT]])</f>
        <v>#NAME?</v>
      </c>
      <c r="Q25" s="523" t="e">
        <f ca="1">stat(charge_entree[[#This Row],[ch_S_SNDT]])</f>
        <v>#NAME?</v>
      </c>
      <c r="R25" s="523">
        <f>calculs!R25</f>
        <v>0</v>
      </c>
      <c r="S25" s="523" t="e">
        <f ca="1">stat(calculs!S25)</f>
        <v>#NAME?</v>
      </c>
      <c r="T25" s="523" t="e">
        <f ca="1">stat(calculs!T25)</f>
        <v>#NAME?</v>
      </c>
      <c r="U25" s="523" t="e">
        <f ca="1">stat(calculs!U25)</f>
        <v>#NAME?</v>
      </c>
      <c r="V25" s="523" t="e">
        <f ca="1">stat(calculs!V25)</f>
        <v>#NAME?</v>
      </c>
      <c r="W25" s="523" t="e">
        <f ca="1">stat(calculs!W25)</f>
        <v>#NAME?</v>
      </c>
      <c r="X25" s="523" t="e">
        <f ca="1">stat(calculs!X25)</f>
        <v>#NAME?</v>
      </c>
      <c r="Y25" s="523" t="e">
        <f ca="1">stat(calculs!Y25)</f>
        <v>#NAME?</v>
      </c>
      <c r="Z25" s="523" t="e">
        <f ca="1">stat(calculs!Z25)</f>
        <v>#NAME?</v>
      </c>
      <c r="AA25" s="523" t="e">
        <f ca="1">stat(calculs!AA25)</f>
        <v>#NAME?</v>
      </c>
      <c r="AB25" s="523" t="e">
        <f ca="1">stat(calculs!AB25)</f>
        <v>#NAME?</v>
      </c>
      <c r="AC25" s="523" t="e">
        <f ca="1">stat(calculs!AC25)</f>
        <v>#NAME?</v>
      </c>
      <c r="AD25" s="523" t="e">
        <f ca="1">stat(calculs!AD25)</f>
        <v>#NAME?</v>
      </c>
      <c r="AE25" s="523" t="e">
        <f ca="1">stat(calculs!AE25)</f>
        <v>#NAME?</v>
      </c>
      <c r="AF25" s="523" t="e">
        <f ca="1">stat(calculs!AF25)</f>
        <v>#NAME?</v>
      </c>
      <c r="AG25" s="523" t="e">
        <f ca="1">stat(calculs!AG25)</f>
        <v>#NAME?</v>
      </c>
      <c r="AH25" s="523" t="e">
        <f ca="1">stat(calculs!AH25)</f>
        <v>#NAME?</v>
      </c>
      <c r="AI25" s="523" t="e">
        <f ca="1">stat(calculs!AI25)</f>
        <v>#NAME?</v>
      </c>
      <c r="AJ25" s="523" t="e">
        <f ca="1">stat(calculs!AJ25)</f>
        <v>#NAME?</v>
      </c>
      <c r="AK25" s="523" t="e">
        <f ca="1">stat(calculs!AK25)</f>
        <v>#NAME?</v>
      </c>
      <c r="AL25" s="523" t="e">
        <f ca="1">stat(calculs!AL25)</f>
        <v>#NAME?</v>
      </c>
      <c r="AM25" s="523" t="e">
        <f ca="1">stat(calculs!AM25)</f>
        <v>#NAME?</v>
      </c>
      <c r="AN25" s="523" t="e">
        <f ca="1">stat(calculs!AN25)</f>
        <v>#NAME?</v>
      </c>
      <c r="AO25" s="523" t="e">
        <f ca="1">stat(calculs!AO25)</f>
        <v>#NAME?</v>
      </c>
      <c r="AP25" s="523" t="e">
        <f ca="1">stat(calculs!AP25)</f>
        <v>#NAME?</v>
      </c>
      <c r="AQ25" s="523" t="e">
        <f ca="1">stat(calculs!AQ25)</f>
        <v>#NAME?</v>
      </c>
      <c r="AT25" s="517"/>
      <c r="AV25" s="525" t="e">
        <f ca="1">stat(calculs!AV25)</f>
        <v>#NAME?</v>
      </c>
      <c r="AW25" s="525" t="e">
        <f ca="1">stat(calculs!AW25)</f>
        <v>#NAME?</v>
      </c>
      <c r="AX25" s="525" t="e">
        <f ca="1">stat(calculs!AX25)</f>
        <v>#NAME?</v>
      </c>
      <c r="AY25" s="525" t="e">
        <f ca="1">stat(calculs!AY25)</f>
        <v>#NAME?</v>
      </c>
      <c r="AZ25" s="525" t="e">
        <f ca="1">stat(calculs!AZ25)</f>
        <v>#NAME?</v>
      </c>
      <c r="BA25" s="525" t="e">
        <f ca="1">stat(calculs!BA25)</f>
        <v>#NAME?</v>
      </c>
      <c r="BB25" s="525" t="e">
        <f ca="1">stat(calculs!BB25)</f>
        <v>#NAME?</v>
      </c>
      <c r="BC25" s="525" t="e">
        <f ca="1">stat(calculs!BC25)</f>
        <v>#NAME?</v>
      </c>
      <c r="BD25" s="525" t="e">
        <f ca="1">stat(calculs!BD25)</f>
        <v>#NAME?</v>
      </c>
      <c r="BE25" s="525" t="e">
        <f ca="1">stat(calculs!BE25)</f>
        <v>#NAME?</v>
      </c>
      <c r="BF25" s="525" t="e">
        <f ca="1">stat(calculs!BF25)</f>
        <v>#NAME?</v>
      </c>
      <c r="BG25" s="729" t="e">
        <f ca="1">stat(calculs!BG25)</f>
        <v>#NAME?</v>
      </c>
      <c r="BH25" s="729" t="e">
        <f ca="1">stat(calculs!BH25)</f>
        <v>#NAME?</v>
      </c>
      <c r="BI25" s="729" t="e">
        <f ca="1">stat(calculs!BI25)</f>
        <v>#NAME?</v>
      </c>
      <c r="BJ25" s="729" t="e">
        <f ca="1">stat(calculs!BJ25)</f>
        <v>#NAME?</v>
      </c>
      <c r="BK25" s="729" t="e">
        <f ca="1">stat(calculs!BK25)</f>
        <v>#NAME?</v>
      </c>
      <c r="BL25" s="525" t="e">
        <f ca="1">stat(calculs!BL25)</f>
        <v>#NAME?</v>
      </c>
      <c r="BM25" s="525" t="e">
        <f ca="1">stat(calculs!BM25)</f>
        <v>#NAME?</v>
      </c>
      <c r="BN25" s="525" t="e">
        <f ca="1">stat(calculs!BN25)</f>
        <v>#NAME?</v>
      </c>
      <c r="BO25" s="525" t="e">
        <f ca="1">stat(calculs!BO25)</f>
        <v>#NAME?</v>
      </c>
      <c r="BP25" s="525" t="e">
        <f ca="1">stat(calculs!BP25)</f>
        <v>#NAME?</v>
      </c>
      <c r="BQ25" s="525" t="e">
        <f ca="1">stat(calculs!BQ25)</f>
        <v>#NAME?</v>
      </c>
      <c r="BR25" s="525" t="e">
        <f ca="1">stat(calculs!BR25)</f>
        <v>#NAME?</v>
      </c>
    </row>
    <row r="26" spans="1:70" x14ac:dyDescent="0.2">
      <c r="A26" s="222">
        <f>données_step[[#This Row],[Datum]]</f>
        <v>44577</v>
      </c>
      <c r="B26" s="223"/>
      <c r="C26" s="224">
        <f t="shared" si="0"/>
        <v>1</v>
      </c>
      <c r="D26" s="523" t="e">
        <f ca="1">stat(charge_entree[[#This Row],[ch_E_DBO5]])</f>
        <v>#NAME?</v>
      </c>
      <c r="E26" s="523" t="e">
        <f ca="1">stat(charge_entree[[#This Row],[ch_E_DCO]])</f>
        <v>#NAME?</v>
      </c>
      <c r="F26" s="523" t="e">
        <f ca="1">stat(charge_entree[[#This Row],[ch_E_COT]])</f>
        <v>#NAME?</v>
      </c>
      <c r="G26" s="523" t="e">
        <f ca="1">stat(charge_entree[[#This Row],[ch_E_NH4]])</f>
        <v>#NAME?</v>
      </c>
      <c r="H26" s="523" t="e">
        <f ca="1">stat(charge_entree[[#This Row],[ch_E_NTOT]])</f>
        <v>#NAME?</v>
      </c>
      <c r="I26" s="523" t="e">
        <f ca="1">stat(charge_entree[[#This Row],[ch_E_PTOT]])</f>
        <v>#NAME?</v>
      </c>
      <c r="J26" s="523" t="e">
        <f ca="1">stat(charge_entree[[#This Row],[ch_S_DBO]])</f>
        <v>#NAME?</v>
      </c>
      <c r="K26" s="523" t="e">
        <f ca="1">stat(charge_entree[[#This Row],[ch_S-DCO]])</f>
        <v>#NAME?</v>
      </c>
      <c r="L26" s="523" t="e">
        <f ca="1">stat(charge_entree[[#This Row],[ch_S_DOC]])</f>
        <v>#NAME?</v>
      </c>
      <c r="M26" s="523" t="e">
        <f ca="1">stat(charge_entree[[#This Row],[ch_S_NH4]])</f>
        <v>#NAME?</v>
      </c>
      <c r="N26" s="523" t="e">
        <f ca="1">stat(charge_entree[[#This Row],[ch_S_NO2]])</f>
        <v>#NAME?</v>
      </c>
      <c r="O26" s="523" t="e">
        <f ca="1">stat(charge_entree[[#This Row],[ch_S_NO3]])</f>
        <v>#NAME?</v>
      </c>
      <c r="P26" s="523" t="e">
        <f ca="1">stat(charge_entree[[#This Row],[ch_S_PTOT]])</f>
        <v>#NAME?</v>
      </c>
      <c r="Q26" s="523" t="e">
        <f ca="1">stat(charge_entree[[#This Row],[ch_S_SNDT]])</f>
        <v>#NAME?</v>
      </c>
      <c r="R26" s="523">
        <f>calculs!R26</f>
        <v>0</v>
      </c>
      <c r="S26" s="523" t="e">
        <f ca="1">stat(calculs!S26)</f>
        <v>#NAME?</v>
      </c>
      <c r="T26" s="523" t="e">
        <f ca="1">stat(calculs!T26)</f>
        <v>#NAME?</v>
      </c>
      <c r="U26" s="523" t="e">
        <f ca="1">stat(calculs!U26)</f>
        <v>#NAME?</v>
      </c>
      <c r="V26" s="523" t="e">
        <f ca="1">stat(calculs!V26)</f>
        <v>#NAME?</v>
      </c>
      <c r="W26" s="523" t="e">
        <f ca="1">stat(calculs!W26)</f>
        <v>#NAME?</v>
      </c>
      <c r="X26" s="523" t="e">
        <f ca="1">stat(calculs!X26)</f>
        <v>#NAME?</v>
      </c>
      <c r="Y26" s="523" t="e">
        <f ca="1">stat(calculs!Y26)</f>
        <v>#NAME?</v>
      </c>
      <c r="Z26" s="523" t="e">
        <f ca="1">stat(calculs!Z26)</f>
        <v>#NAME?</v>
      </c>
      <c r="AA26" s="523" t="e">
        <f ca="1">stat(calculs!AA26)</f>
        <v>#NAME?</v>
      </c>
      <c r="AB26" s="523" t="e">
        <f ca="1">stat(calculs!AB26)</f>
        <v>#NAME?</v>
      </c>
      <c r="AC26" s="523" t="e">
        <f ca="1">stat(calculs!AC26)</f>
        <v>#NAME?</v>
      </c>
      <c r="AD26" s="523" t="e">
        <f ca="1">stat(calculs!AD26)</f>
        <v>#NAME?</v>
      </c>
      <c r="AE26" s="523" t="e">
        <f ca="1">stat(calculs!AE26)</f>
        <v>#NAME?</v>
      </c>
      <c r="AF26" s="523" t="e">
        <f ca="1">stat(calculs!AF26)</f>
        <v>#NAME?</v>
      </c>
      <c r="AG26" s="523" t="e">
        <f ca="1">stat(calculs!AG26)</f>
        <v>#NAME?</v>
      </c>
      <c r="AH26" s="523" t="e">
        <f ca="1">stat(calculs!AH26)</f>
        <v>#NAME?</v>
      </c>
      <c r="AI26" s="523" t="e">
        <f ca="1">stat(calculs!AI26)</f>
        <v>#NAME?</v>
      </c>
      <c r="AJ26" s="523" t="e">
        <f ca="1">stat(calculs!AJ26)</f>
        <v>#NAME?</v>
      </c>
      <c r="AK26" s="523" t="e">
        <f ca="1">stat(calculs!AK26)</f>
        <v>#NAME?</v>
      </c>
      <c r="AL26" s="523" t="e">
        <f ca="1">stat(calculs!AL26)</f>
        <v>#NAME?</v>
      </c>
      <c r="AM26" s="523" t="e">
        <f ca="1">stat(calculs!AM26)</f>
        <v>#NAME?</v>
      </c>
      <c r="AN26" s="523" t="e">
        <f ca="1">stat(calculs!AN26)</f>
        <v>#NAME?</v>
      </c>
      <c r="AO26" s="523" t="e">
        <f ca="1">stat(calculs!AO26)</f>
        <v>#NAME?</v>
      </c>
      <c r="AP26" s="523" t="e">
        <f ca="1">stat(calculs!AP26)</f>
        <v>#NAME?</v>
      </c>
      <c r="AQ26" s="523" t="e">
        <f ca="1">stat(calculs!AQ26)</f>
        <v>#NAME?</v>
      </c>
      <c r="AT26" s="517"/>
      <c r="AV26" s="525" t="e">
        <f ca="1">stat(calculs!AV26)</f>
        <v>#NAME?</v>
      </c>
      <c r="AW26" s="525" t="e">
        <f ca="1">stat(calculs!AW26)</f>
        <v>#NAME?</v>
      </c>
      <c r="AX26" s="525" t="e">
        <f ca="1">stat(calculs!AX26)</f>
        <v>#NAME?</v>
      </c>
      <c r="AY26" s="525" t="e">
        <f ca="1">stat(calculs!AY26)</f>
        <v>#NAME?</v>
      </c>
      <c r="AZ26" s="525" t="e">
        <f ca="1">stat(calculs!AZ26)</f>
        <v>#NAME?</v>
      </c>
      <c r="BA26" s="525" t="e">
        <f ca="1">stat(calculs!BA26)</f>
        <v>#NAME?</v>
      </c>
      <c r="BB26" s="525" t="e">
        <f ca="1">stat(calculs!BB26)</f>
        <v>#NAME?</v>
      </c>
      <c r="BC26" s="525" t="e">
        <f ca="1">stat(calculs!BC26)</f>
        <v>#NAME?</v>
      </c>
      <c r="BD26" s="525" t="e">
        <f ca="1">stat(calculs!BD26)</f>
        <v>#NAME?</v>
      </c>
      <c r="BE26" s="525" t="e">
        <f ca="1">stat(calculs!BE26)</f>
        <v>#NAME?</v>
      </c>
      <c r="BF26" s="525" t="e">
        <f ca="1">stat(calculs!BF26)</f>
        <v>#NAME?</v>
      </c>
      <c r="BG26" s="729" t="e">
        <f ca="1">stat(calculs!BG26)</f>
        <v>#NAME?</v>
      </c>
      <c r="BH26" s="729" t="e">
        <f ca="1">stat(calculs!BH26)</f>
        <v>#NAME?</v>
      </c>
      <c r="BI26" s="729" t="e">
        <f ca="1">stat(calculs!BI26)</f>
        <v>#NAME?</v>
      </c>
      <c r="BJ26" s="729" t="e">
        <f ca="1">stat(calculs!BJ26)</f>
        <v>#NAME?</v>
      </c>
      <c r="BK26" s="729" t="e">
        <f ca="1">stat(calculs!BK26)</f>
        <v>#NAME?</v>
      </c>
      <c r="BL26" s="525" t="e">
        <f ca="1">stat(calculs!BL26)</f>
        <v>#NAME?</v>
      </c>
      <c r="BM26" s="525" t="e">
        <f ca="1">stat(calculs!BM26)</f>
        <v>#NAME?</v>
      </c>
      <c r="BN26" s="525" t="e">
        <f ca="1">stat(calculs!BN26)</f>
        <v>#NAME?</v>
      </c>
      <c r="BO26" s="525" t="e">
        <f ca="1">stat(calculs!BO26)</f>
        <v>#NAME?</v>
      </c>
      <c r="BP26" s="525" t="e">
        <f ca="1">stat(calculs!BP26)</f>
        <v>#NAME?</v>
      </c>
      <c r="BQ26" s="525" t="e">
        <f ca="1">stat(calculs!BQ26)</f>
        <v>#NAME?</v>
      </c>
      <c r="BR26" s="525" t="e">
        <f ca="1">stat(calculs!BR26)</f>
        <v>#NAME?</v>
      </c>
    </row>
    <row r="27" spans="1:70" x14ac:dyDescent="0.2">
      <c r="A27" s="222">
        <f>données_step[[#This Row],[Datum]]</f>
        <v>44578</v>
      </c>
      <c r="B27" s="223"/>
      <c r="C27" s="224">
        <f t="shared" si="0"/>
        <v>2</v>
      </c>
      <c r="D27" s="523" t="e">
        <f ca="1">stat(charge_entree[[#This Row],[ch_E_DBO5]])</f>
        <v>#NAME?</v>
      </c>
      <c r="E27" s="523" t="e">
        <f ca="1">stat(charge_entree[[#This Row],[ch_E_DCO]])</f>
        <v>#NAME?</v>
      </c>
      <c r="F27" s="523" t="e">
        <f ca="1">stat(charge_entree[[#This Row],[ch_E_COT]])</f>
        <v>#NAME?</v>
      </c>
      <c r="G27" s="523" t="e">
        <f ca="1">stat(charge_entree[[#This Row],[ch_E_NH4]])</f>
        <v>#NAME?</v>
      </c>
      <c r="H27" s="523" t="e">
        <f ca="1">stat(charge_entree[[#This Row],[ch_E_NTOT]])</f>
        <v>#NAME?</v>
      </c>
      <c r="I27" s="523" t="e">
        <f ca="1">stat(charge_entree[[#This Row],[ch_E_PTOT]])</f>
        <v>#NAME?</v>
      </c>
      <c r="J27" s="523" t="e">
        <f ca="1">stat(charge_entree[[#This Row],[ch_S_DBO]])</f>
        <v>#NAME?</v>
      </c>
      <c r="K27" s="523" t="e">
        <f ca="1">stat(charge_entree[[#This Row],[ch_S-DCO]])</f>
        <v>#NAME?</v>
      </c>
      <c r="L27" s="523" t="e">
        <f ca="1">stat(charge_entree[[#This Row],[ch_S_DOC]])</f>
        <v>#NAME?</v>
      </c>
      <c r="M27" s="523" t="e">
        <f ca="1">stat(charge_entree[[#This Row],[ch_S_NH4]])</f>
        <v>#NAME?</v>
      </c>
      <c r="N27" s="523" t="e">
        <f ca="1">stat(charge_entree[[#This Row],[ch_S_NO2]])</f>
        <v>#NAME?</v>
      </c>
      <c r="O27" s="523" t="e">
        <f ca="1">stat(charge_entree[[#This Row],[ch_S_NO3]])</f>
        <v>#NAME?</v>
      </c>
      <c r="P27" s="523" t="e">
        <f ca="1">stat(charge_entree[[#This Row],[ch_S_PTOT]])</f>
        <v>#NAME?</v>
      </c>
      <c r="Q27" s="523" t="e">
        <f ca="1">stat(charge_entree[[#This Row],[ch_S_SNDT]])</f>
        <v>#NAME?</v>
      </c>
      <c r="R27" s="523">
        <f>calculs!R27</f>
        <v>0</v>
      </c>
      <c r="S27" s="523" t="e">
        <f ca="1">stat(calculs!S27)</f>
        <v>#NAME?</v>
      </c>
      <c r="T27" s="523" t="e">
        <f ca="1">stat(calculs!T27)</f>
        <v>#NAME?</v>
      </c>
      <c r="U27" s="523" t="e">
        <f ca="1">stat(calculs!U27)</f>
        <v>#NAME?</v>
      </c>
      <c r="V27" s="523" t="e">
        <f ca="1">stat(calculs!V27)</f>
        <v>#NAME?</v>
      </c>
      <c r="W27" s="523" t="e">
        <f ca="1">stat(calculs!W27)</f>
        <v>#NAME?</v>
      </c>
      <c r="X27" s="523" t="e">
        <f ca="1">stat(calculs!X27)</f>
        <v>#NAME?</v>
      </c>
      <c r="Y27" s="523" t="e">
        <f ca="1">stat(calculs!Y27)</f>
        <v>#NAME?</v>
      </c>
      <c r="Z27" s="523" t="e">
        <f ca="1">stat(calculs!Z27)</f>
        <v>#NAME?</v>
      </c>
      <c r="AA27" s="523" t="e">
        <f ca="1">stat(calculs!AA27)</f>
        <v>#NAME?</v>
      </c>
      <c r="AB27" s="523" t="e">
        <f ca="1">stat(calculs!AB27)</f>
        <v>#NAME?</v>
      </c>
      <c r="AC27" s="523" t="e">
        <f ca="1">stat(calculs!AC27)</f>
        <v>#NAME?</v>
      </c>
      <c r="AD27" s="523" t="e">
        <f ca="1">stat(calculs!AD27)</f>
        <v>#NAME?</v>
      </c>
      <c r="AE27" s="523" t="e">
        <f ca="1">stat(calculs!AE27)</f>
        <v>#NAME?</v>
      </c>
      <c r="AF27" s="523" t="e">
        <f ca="1">stat(calculs!AF27)</f>
        <v>#NAME?</v>
      </c>
      <c r="AG27" s="523" t="e">
        <f ca="1">stat(calculs!AG27)</f>
        <v>#NAME?</v>
      </c>
      <c r="AH27" s="523" t="e">
        <f ca="1">stat(calculs!AH27)</f>
        <v>#NAME?</v>
      </c>
      <c r="AI27" s="523" t="e">
        <f ca="1">stat(calculs!AI27)</f>
        <v>#NAME?</v>
      </c>
      <c r="AJ27" s="523" t="e">
        <f ca="1">stat(calculs!AJ27)</f>
        <v>#NAME?</v>
      </c>
      <c r="AK27" s="523" t="e">
        <f ca="1">stat(calculs!AK27)</f>
        <v>#NAME?</v>
      </c>
      <c r="AL27" s="523" t="e">
        <f ca="1">stat(calculs!AL27)</f>
        <v>#NAME?</v>
      </c>
      <c r="AM27" s="523" t="e">
        <f ca="1">stat(calculs!AM27)</f>
        <v>#NAME?</v>
      </c>
      <c r="AN27" s="523" t="e">
        <f ca="1">stat(calculs!AN27)</f>
        <v>#NAME?</v>
      </c>
      <c r="AO27" s="523" t="e">
        <f ca="1">stat(calculs!AO27)</f>
        <v>#NAME?</v>
      </c>
      <c r="AP27" s="523" t="e">
        <f ca="1">stat(calculs!AP27)</f>
        <v>#NAME?</v>
      </c>
      <c r="AQ27" s="523" t="e">
        <f ca="1">stat(calculs!AQ27)</f>
        <v>#NAME?</v>
      </c>
      <c r="AT27" s="517"/>
      <c r="AV27" s="525" t="e">
        <f ca="1">stat(calculs!AV27)</f>
        <v>#NAME?</v>
      </c>
      <c r="AW27" s="525" t="e">
        <f ca="1">stat(calculs!AW27)</f>
        <v>#NAME?</v>
      </c>
      <c r="AX27" s="525" t="e">
        <f ca="1">stat(calculs!AX27)</f>
        <v>#NAME?</v>
      </c>
      <c r="AY27" s="525" t="e">
        <f ca="1">stat(calculs!AY27)</f>
        <v>#NAME?</v>
      </c>
      <c r="AZ27" s="525" t="e">
        <f ca="1">stat(calculs!AZ27)</f>
        <v>#NAME?</v>
      </c>
      <c r="BA27" s="525" t="e">
        <f ca="1">stat(calculs!BA27)</f>
        <v>#NAME?</v>
      </c>
      <c r="BB27" s="525" t="e">
        <f ca="1">stat(calculs!BB27)</f>
        <v>#NAME?</v>
      </c>
      <c r="BC27" s="525" t="e">
        <f ca="1">stat(calculs!BC27)</f>
        <v>#NAME?</v>
      </c>
      <c r="BD27" s="525" t="e">
        <f ca="1">stat(calculs!BD27)</f>
        <v>#NAME?</v>
      </c>
      <c r="BE27" s="525" t="e">
        <f ca="1">stat(calculs!BE27)</f>
        <v>#NAME?</v>
      </c>
      <c r="BF27" s="525" t="e">
        <f ca="1">stat(calculs!BF27)</f>
        <v>#NAME?</v>
      </c>
      <c r="BG27" s="729" t="e">
        <f ca="1">stat(calculs!BG27)</f>
        <v>#NAME?</v>
      </c>
      <c r="BH27" s="729" t="e">
        <f ca="1">stat(calculs!BH27)</f>
        <v>#NAME?</v>
      </c>
      <c r="BI27" s="729" t="e">
        <f ca="1">stat(calculs!BI27)</f>
        <v>#NAME?</v>
      </c>
      <c r="BJ27" s="729" t="e">
        <f ca="1">stat(calculs!BJ27)</f>
        <v>#NAME?</v>
      </c>
      <c r="BK27" s="729" t="e">
        <f ca="1">stat(calculs!BK27)</f>
        <v>#NAME?</v>
      </c>
      <c r="BL27" s="525" t="e">
        <f ca="1">stat(calculs!BL27)</f>
        <v>#NAME?</v>
      </c>
      <c r="BM27" s="525" t="e">
        <f ca="1">stat(calculs!BM27)</f>
        <v>#NAME?</v>
      </c>
      <c r="BN27" s="525" t="e">
        <f ca="1">stat(calculs!BN27)</f>
        <v>#NAME?</v>
      </c>
      <c r="BO27" s="525" t="e">
        <f ca="1">stat(calculs!BO27)</f>
        <v>#NAME?</v>
      </c>
      <c r="BP27" s="525" t="e">
        <f ca="1">stat(calculs!BP27)</f>
        <v>#NAME?</v>
      </c>
      <c r="BQ27" s="525" t="e">
        <f ca="1">stat(calculs!BQ27)</f>
        <v>#NAME?</v>
      </c>
      <c r="BR27" s="525" t="e">
        <f ca="1">stat(calculs!BR27)</f>
        <v>#NAME?</v>
      </c>
    </row>
    <row r="28" spans="1:70" x14ac:dyDescent="0.2">
      <c r="A28" s="222">
        <f>données_step[[#This Row],[Datum]]</f>
        <v>44579</v>
      </c>
      <c r="B28" s="223"/>
      <c r="C28" s="224">
        <f t="shared" si="0"/>
        <v>3</v>
      </c>
      <c r="D28" s="523" t="e">
        <f ca="1">stat(charge_entree[[#This Row],[ch_E_DBO5]])</f>
        <v>#NAME?</v>
      </c>
      <c r="E28" s="523" t="e">
        <f ca="1">stat(charge_entree[[#This Row],[ch_E_DCO]])</f>
        <v>#NAME?</v>
      </c>
      <c r="F28" s="523" t="e">
        <f ca="1">stat(charge_entree[[#This Row],[ch_E_COT]])</f>
        <v>#NAME?</v>
      </c>
      <c r="G28" s="523" t="e">
        <f ca="1">stat(charge_entree[[#This Row],[ch_E_NH4]])</f>
        <v>#NAME?</v>
      </c>
      <c r="H28" s="523" t="e">
        <f ca="1">stat(charge_entree[[#This Row],[ch_E_NTOT]])</f>
        <v>#NAME?</v>
      </c>
      <c r="I28" s="523" t="e">
        <f ca="1">stat(charge_entree[[#This Row],[ch_E_PTOT]])</f>
        <v>#NAME?</v>
      </c>
      <c r="J28" s="523" t="e">
        <f ca="1">stat(charge_entree[[#This Row],[ch_S_DBO]])</f>
        <v>#NAME?</v>
      </c>
      <c r="K28" s="523" t="e">
        <f ca="1">stat(charge_entree[[#This Row],[ch_S-DCO]])</f>
        <v>#NAME?</v>
      </c>
      <c r="L28" s="523" t="e">
        <f ca="1">stat(charge_entree[[#This Row],[ch_S_DOC]])</f>
        <v>#NAME?</v>
      </c>
      <c r="M28" s="523" t="e">
        <f ca="1">stat(charge_entree[[#This Row],[ch_S_NH4]])</f>
        <v>#NAME?</v>
      </c>
      <c r="N28" s="523" t="e">
        <f ca="1">stat(charge_entree[[#This Row],[ch_S_NO2]])</f>
        <v>#NAME?</v>
      </c>
      <c r="O28" s="523" t="e">
        <f ca="1">stat(charge_entree[[#This Row],[ch_S_NO3]])</f>
        <v>#NAME?</v>
      </c>
      <c r="P28" s="523" t="e">
        <f ca="1">stat(charge_entree[[#This Row],[ch_S_PTOT]])</f>
        <v>#NAME?</v>
      </c>
      <c r="Q28" s="523" t="e">
        <f ca="1">stat(charge_entree[[#This Row],[ch_S_SNDT]])</f>
        <v>#NAME?</v>
      </c>
      <c r="R28" s="523">
        <f>calculs!R28</f>
        <v>0</v>
      </c>
      <c r="S28" s="523" t="e">
        <f ca="1">stat(calculs!S28)</f>
        <v>#NAME?</v>
      </c>
      <c r="T28" s="523" t="e">
        <f ca="1">stat(calculs!T28)</f>
        <v>#NAME?</v>
      </c>
      <c r="U28" s="523" t="e">
        <f ca="1">stat(calculs!U28)</f>
        <v>#NAME?</v>
      </c>
      <c r="V28" s="523" t="e">
        <f ca="1">stat(calculs!V28)</f>
        <v>#NAME?</v>
      </c>
      <c r="W28" s="523" t="e">
        <f ca="1">stat(calculs!W28)</f>
        <v>#NAME?</v>
      </c>
      <c r="X28" s="523" t="e">
        <f ca="1">stat(calculs!X28)</f>
        <v>#NAME?</v>
      </c>
      <c r="Y28" s="523" t="e">
        <f ca="1">stat(calculs!Y28)</f>
        <v>#NAME?</v>
      </c>
      <c r="Z28" s="523" t="e">
        <f ca="1">stat(calculs!Z28)</f>
        <v>#NAME?</v>
      </c>
      <c r="AA28" s="523" t="e">
        <f ca="1">stat(calculs!AA28)</f>
        <v>#NAME?</v>
      </c>
      <c r="AB28" s="523" t="e">
        <f ca="1">stat(calculs!AB28)</f>
        <v>#NAME?</v>
      </c>
      <c r="AC28" s="523" t="e">
        <f ca="1">stat(calculs!AC28)</f>
        <v>#NAME?</v>
      </c>
      <c r="AD28" s="523" t="e">
        <f ca="1">stat(calculs!AD28)</f>
        <v>#NAME?</v>
      </c>
      <c r="AE28" s="523" t="e">
        <f ca="1">stat(calculs!AE28)</f>
        <v>#NAME?</v>
      </c>
      <c r="AF28" s="523" t="e">
        <f ca="1">stat(calculs!AF28)</f>
        <v>#NAME?</v>
      </c>
      <c r="AG28" s="523" t="e">
        <f ca="1">stat(calculs!AG28)</f>
        <v>#NAME?</v>
      </c>
      <c r="AH28" s="523" t="e">
        <f ca="1">stat(calculs!AH28)</f>
        <v>#NAME?</v>
      </c>
      <c r="AI28" s="523" t="e">
        <f ca="1">stat(calculs!AI28)</f>
        <v>#NAME?</v>
      </c>
      <c r="AJ28" s="523" t="e">
        <f ca="1">stat(calculs!AJ28)</f>
        <v>#NAME?</v>
      </c>
      <c r="AK28" s="523" t="e">
        <f ca="1">stat(calculs!AK28)</f>
        <v>#NAME?</v>
      </c>
      <c r="AL28" s="523" t="e">
        <f ca="1">stat(calculs!AL28)</f>
        <v>#NAME?</v>
      </c>
      <c r="AM28" s="523" t="e">
        <f ca="1">stat(calculs!AM28)</f>
        <v>#NAME?</v>
      </c>
      <c r="AN28" s="523" t="e">
        <f ca="1">stat(calculs!AN28)</f>
        <v>#NAME?</v>
      </c>
      <c r="AO28" s="523" t="e">
        <f ca="1">stat(calculs!AO28)</f>
        <v>#NAME?</v>
      </c>
      <c r="AP28" s="523" t="e">
        <f ca="1">stat(calculs!AP28)</f>
        <v>#NAME?</v>
      </c>
      <c r="AQ28" s="523" t="e">
        <f ca="1">stat(calculs!AQ28)</f>
        <v>#NAME?</v>
      </c>
      <c r="AT28" s="517"/>
      <c r="AV28" s="525" t="e">
        <f ca="1">stat(calculs!AV28)</f>
        <v>#NAME?</v>
      </c>
      <c r="AW28" s="525" t="e">
        <f ca="1">stat(calculs!AW28)</f>
        <v>#NAME?</v>
      </c>
      <c r="AX28" s="525" t="e">
        <f ca="1">stat(calculs!AX28)</f>
        <v>#NAME?</v>
      </c>
      <c r="AY28" s="525" t="e">
        <f ca="1">stat(calculs!AY28)</f>
        <v>#NAME?</v>
      </c>
      <c r="AZ28" s="525" t="e">
        <f ca="1">stat(calculs!AZ28)</f>
        <v>#NAME?</v>
      </c>
      <c r="BA28" s="525" t="e">
        <f ca="1">stat(calculs!BA28)</f>
        <v>#NAME?</v>
      </c>
      <c r="BB28" s="525" t="e">
        <f ca="1">stat(calculs!BB28)</f>
        <v>#NAME?</v>
      </c>
      <c r="BC28" s="525" t="e">
        <f ca="1">stat(calculs!BC28)</f>
        <v>#NAME?</v>
      </c>
      <c r="BD28" s="525" t="e">
        <f ca="1">stat(calculs!BD28)</f>
        <v>#NAME?</v>
      </c>
      <c r="BE28" s="525" t="e">
        <f ca="1">stat(calculs!BE28)</f>
        <v>#NAME?</v>
      </c>
      <c r="BF28" s="525" t="e">
        <f ca="1">stat(calculs!BF28)</f>
        <v>#NAME?</v>
      </c>
      <c r="BG28" s="729" t="e">
        <f ca="1">stat(calculs!BG28)</f>
        <v>#NAME?</v>
      </c>
      <c r="BH28" s="729" t="e">
        <f ca="1">stat(calculs!BH28)</f>
        <v>#NAME?</v>
      </c>
      <c r="BI28" s="729" t="e">
        <f ca="1">stat(calculs!BI28)</f>
        <v>#NAME?</v>
      </c>
      <c r="BJ28" s="729" t="e">
        <f ca="1">stat(calculs!BJ28)</f>
        <v>#NAME?</v>
      </c>
      <c r="BK28" s="729" t="e">
        <f ca="1">stat(calculs!BK28)</f>
        <v>#NAME?</v>
      </c>
      <c r="BL28" s="525" t="e">
        <f ca="1">stat(calculs!BL28)</f>
        <v>#NAME?</v>
      </c>
      <c r="BM28" s="525" t="e">
        <f ca="1">stat(calculs!BM28)</f>
        <v>#NAME?</v>
      </c>
      <c r="BN28" s="525" t="e">
        <f ca="1">stat(calculs!BN28)</f>
        <v>#NAME?</v>
      </c>
      <c r="BO28" s="525" t="e">
        <f ca="1">stat(calculs!BO28)</f>
        <v>#NAME?</v>
      </c>
      <c r="BP28" s="525" t="e">
        <f ca="1">stat(calculs!BP28)</f>
        <v>#NAME?</v>
      </c>
      <c r="BQ28" s="525" t="e">
        <f ca="1">stat(calculs!BQ28)</f>
        <v>#NAME?</v>
      </c>
      <c r="BR28" s="525" t="e">
        <f ca="1">stat(calculs!BR28)</f>
        <v>#NAME?</v>
      </c>
    </row>
    <row r="29" spans="1:70" x14ac:dyDescent="0.2">
      <c r="A29" s="222">
        <f>données_step[[#This Row],[Datum]]</f>
        <v>44580</v>
      </c>
      <c r="B29" s="223"/>
      <c r="C29" s="224">
        <f t="shared" si="0"/>
        <v>4</v>
      </c>
      <c r="D29" s="523" t="e">
        <f ca="1">stat(charge_entree[[#This Row],[ch_E_DBO5]])</f>
        <v>#NAME?</v>
      </c>
      <c r="E29" s="523" t="e">
        <f ca="1">stat(charge_entree[[#This Row],[ch_E_DCO]])</f>
        <v>#NAME?</v>
      </c>
      <c r="F29" s="523" t="e">
        <f ca="1">stat(charge_entree[[#This Row],[ch_E_COT]])</f>
        <v>#NAME?</v>
      </c>
      <c r="G29" s="523" t="e">
        <f ca="1">stat(charge_entree[[#This Row],[ch_E_NH4]])</f>
        <v>#NAME?</v>
      </c>
      <c r="H29" s="523" t="e">
        <f ca="1">stat(charge_entree[[#This Row],[ch_E_NTOT]])</f>
        <v>#NAME?</v>
      </c>
      <c r="I29" s="523" t="e">
        <f ca="1">stat(charge_entree[[#This Row],[ch_E_PTOT]])</f>
        <v>#NAME?</v>
      </c>
      <c r="J29" s="523" t="e">
        <f ca="1">stat(charge_entree[[#This Row],[ch_S_DBO]])</f>
        <v>#NAME?</v>
      </c>
      <c r="K29" s="523" t="e">
        <f ca="1">stat(charge_entree[[#This Row],[ch_S-DCO]])</f>
        <v>#NAME?</v>
      </c>
      <c r="L29" s="523" t="e">
        <f ca="1">stat(charge_entree[[#This Row],[ch_S_DOC]])</f>
        <v>#NAME?</v>
      </c>
      <c r="M29" s="523" t="e">
        <f ca="1">stat(charge_entree[[#This Row],[ch_S_NH4]])</f>
        <v>#NAME?</v>
      </c>
      <c r="N29" s="523" t="e">
        <f ca="1">stat(charge_entree[[#This Row],[ch_S_NO2]])</f>
        <v>#NAME?</v>
      </c>
      <c r="O29" s="523" t="e">
        <f ca="1">stat(charge_entree[[#This Row],[ch_S_NO3]])</f>
        <v>#NAME?</v>
      </c>
      <c r="P29" s="523" t="e">
        <f ca="1">stat(charge_entree[[#This Row],[ch_S_PTOT]])</f>
        <v>#NAME?</v>
      </c>
      <c r="Q29" s="523" t="e">
        <f ca="1">stat(charge_entree[[#This Row],[ch_S_SNDT]])</f>
        <v>#NAME?</v>
      </c>
      <c r="R29" s="523">
        <f>calculs!R29</f>
        <v>0</v>
      </c>
      <c r="S29" s="523" t="e">
        <f ca="1">stat(calculs!S29)</f>
        <v>#NAME?</v>
      </c>
      <c r="T29" s="523" t="e">
        <f ca="1">stat(calculs!T29)</f>
        <v>#NAME?</v>
      </c>
      <c r="U29" s="523" t="e">
        <f ca="1">stat(calculs!U29)</f>
        <v>#NAME?</v>
      </c>
      <c r="V29" s="523" t="e">
        <f ca="1">stat(calculs!V29)</f>
        <v>#NAME?</v>
      </c>
      <c r="W29" s="523" t="e">
        <f ca="1">stat(calculs!W29)</f>
        <v>#NAME?</v>
      </c>
      <c r="X29" s="523" t="e">
        <f ca="1">stat(calculs!X29)</f>
        <v>#NAME?</v>
      </c>
      <c r="Y29" s="523" t="e">
        <f ca="1">stat(calculs!Y29)</f>
        <v>#NAME?</v>
      </c>
      <c r="Z29" s="523" t="e">
        <f ca="1">stat(calculs!Z29)</f>
        <v>#NAME?</v>
      </c>
      <c r="AA29" s="523" t="e">
        <f ca="1">stat(calculs!AA29)</f>
        <v>#NAME?</v>
      </c>
      <c r="AB29" s="523" t="e">
        <f ca="1">stat(calculs!AB29)</f>
        <v>#NAME?</v>
      </c>
      <c r="AC29" s="523" t="e">
        <f ca="1">stat(calculs!AC29)</f>
        <v>#NAME?</v>
      </c>
      <c r="AD29" s="523" t="e">
        <f ca="1">stat(calculs!AD29)</f>
        <v>#NAME?</v>
      </c>
      <c r="AE29" s="523" t="e">
        <f ca="1">stat(calculs!AE29)</f>
        <v>#NAME?</v>
      </c>
      <c r="AF29" s="523" t="e">
        <f ca="1">stat(calculs!AF29)</f>
        <v>#NAME?</v>
      </c>
      <c r="AG29" s="523" t="e">
        <f ca="1">stat(calculs!AG29)</f>
        <v>#NAME?</v>
      </c>
      <c r="AH29" s="523" t="e">
        <f ca="1">stat(calculs!AH29)</f>
        <v>#NAME?</v>
      </c>
      <c r="AI29" s="523" t="e">
        <f ca="1">stat(calculs!AI29)</f>
        <v>#NAME?</v>
      </c>
      <c r="AJ29" s="523" t="e">
        <f ca="1">stat(calculs!AJ29)</f>
        <v>#NAME?</v>
      </c>
      <c r="AK29" s="523" t="e">
        <f ca="1">stat(calculs!AK29)</f>
        <v>#NAME?</v>
      </c>
      <c r="AL29" s="523" t="e">
        <f ca="1">stat(calculs!AL29)</f>
        <v>#NAME?</v>
      </c>
      <c r="AM29" s="523" t="e">
        <f ca="1">stat(calculs!AM29)</f>
        <v>#NAME?</v>
      </c>
      <c r="AN29" s="523" t="e">
        <f ca="1">stat(calculs!AN29)</f>
        <v>#NAME?</v>
      </c>
      <c r="AO29" s="523" t="e">
        <f ca="1">stat(calculs!AO29)</f>
        <v>#NAME?</v>
      </c>
      <c r="AP29" s="523" t="e">
        <f ca="1">stat(calculs!AP29)</f>
        <v>#NAME?</v>
      </c>
      <c r="AQ29" s="523" t="e">
        <f ca="1">stat(calculs!AQ29)</f>
        <v>#NAME?</v>
      </c>
      <c r="AT29" s="517"/>
      <c r="AV29" s="525" t="e">
        <f ca="1">stat(calculs!AV29)</f>
        <v>#NAME?</v>
      </c>
      <c r="AW29" s="525" t="e">
        <f ca="1">stat(calculs!AW29)</f>
        <v>#NAME?</v>
      </c>
      <c r="AX29" s="525" t="e">
        <f ca="1">stat(calculs!AX29)</f>
        <v>#NAME?</v>
      </c>
      <c r="AY29" s="525" t="e">
        <f ca="1">stat(calculs!AY29)</f>
        <v>#NAME?</v>
      </c>
      <c r="AZ29" s="525" t="e">
        <f ca="1">stat(calculs!AZ29)</f>
        <v>#NAME?</v>
      </c>
      <c r="BA29" s="525" t="e">
        <f ca="1">stat(calculs!BA29)</f>
        <v>#NAME?</v>
      </c>
      <c r="BB29" s="525" t="e">
        <f ca="1">stat(calculs!BB29)</f>
        <v>#NAME?</v>
      </c>
      <c r="BC29" s="525" t="e">
        <f ca="1">stat(calculs!BC29)</f>
        <v>#NAME?</v>
      </c>
      <c r="BD29" s="525" t="e">
        <f ca="1">stat(calculs!BD29)</f>
        <v>#NAME?</v>
      </c>
      <c r="BE29" s="525" t="e">
        <f ca="1">stat(calculs!BE29)</f>
        <v>#NAME?</v>
      </c>
      <c r="BF29" s="525" t="e">
        <f ca="1">stat(calculs!BF29)</f>
        <v>#NAME?</v>
      </c>
      <c r="BG29" s="729" t="e">
        <f ca="1">stat(calculs!BG29)</f>
        <v>#NAME?</v>
      </c>
      <c r="BH29" s="729" t="e">
        <f ca="1">stat(calculs!BH29)</f>
        <v>#NAME?</v>
      </c>
      <c r="BI29" s="729" t="e">
        <f ca="1">stat(calculs!BI29)</f>
        <v>#NAME?</v>
      </c>
      <c r="BJ29" s="729" t="e">
        <f ca="1">stat(calculs!BJ29)</f>
        <v>#NAME?</v>
      </c>
      <c r="BK29" s="729" t="e">
        <f ca="1">stat(calculs!BK29)</f>
        <v>#NAME?</v>
      </c>
      <c r="BL29" s="525" t="e">
        <f ca="1">stat(calculs!BL29)</f>
        <v>#NAME?</v>
      </c>
      <c r="BM29" s="525" t="e">
        <f ca="1">stat(calculs!BM29)</f>
        <v>#NAME?</v>
      </c>
      <c r="BN29" s="525" t="e">
        <f ca="1">stat(calculs!BN29)</f>
        <v>#NAME?</v>
      </c>
      <c r="BO29" s="525" t="e">
        <f ca="1">stat(calculs!BO29)</f>
        <v>#NAME?</v>
      </c>
      <c r="BP29" s="525" t="e">
        <f ca="1">stat(calculs!BP29)</f>
        <v>#NAME?</v>
      </c>
      <c r="BQ29" s="525" t="e">
        <f ca="1">stat(calculs!BQ29)</f>
        <v>#NAME?</v>
      </c>
      <c r="BR29" s="525" t="e">
        <f ca="1">stat(calculs!BR29)</f>
        <v>#NAME?</v>
      </c>
    </row>
    <row r="30" spans="1:70" x14ac:dyDescent="0.2">
      <c r="A30" s="222">
        <f>données_step[[#This Row],[Datum]]</f>
        <v>44581</v>
      </c>
      <c r="B30" s="223"/>
      <c r="C30" s="224">
        <f t="shared" si="0"/>
        <v>5</v>
      </c>
      <c r="D30" s="523" t="e">
        <f ca="1">stat(charge_entree[[#This Row],[ch_E_DBO5]])</f>
        <v>#NAME?</v>
      </c>
      <c r="E30" s="523" t="e">
        <f ca="1">stat(charge_entree[[#This Row],[ch_E_DCO]])</f>
        <v>#NAME?</v>
      </c>
      <c r="F30" s="523" t="e">
        <f ca="1">stat(charge_entree[[#This Row],[ch_E_COT]])</f>
        <v>#NAME?</v>
      </c>
      <c r="G30" s="523" t="e">
        <f ca="1">stat(charge_entree[[#This Row],[ch_E_NH4]])</f>
        <v>#NAME?</v>
      </c>
      <c r="H30" s="523" t="e">
        <f ca="1">stat(charge_entree[[#This Row],[ch_E_NTOT]])</f>
        <v>#NAME?</v>
      </c>
      <c r="I30" s="523" t="e">
        <f ca="1">stat(charge_entree[[#This Row],[ch_E_PTOT]])</f>
        <v>#NAME?</v>
      </c>
      <c r="J30" s="523" t="e">
        <f ca="1">stat(charge_entree[[#This Row],[ch_S_DBO]])</f>
        <v>#NAME?</v>
      </c>
      <c r="K30" s="523" t="e">
        <f ca="1">stat(charge_entree[[#This Row],[ch_S-DCO]])</f>
        <v>#NAME?</v>
      </c>
      <c r="L30" s="523" t="e">
        <f ca="1">stat(charge_entree[[#This Row],[ch_S_DOC]])</f>
        <v>#NAME?</v>
      </c>
      <c r="M30" s="523" t="e">
        <f ca="1">stat(charge_entree[[#This Row],[ch_S_NH4]])</f>
        <v>#NAME?</v>
      </c>
      <c r="N30" s="523" t="e">
        <f ca="1">stat(charge_entree[[#This Row],[ch_S_NO2]])</f>
        <v>#NAME?</v>
      </c>
      <c r="O30" s="523" t="e">
        <f ca="1">stat(charge_entree[[#This Row],[ch_S_NO3]])</f>
        <v>#NAME?</v>
      </c>
      <c r="P30" s="523" t="e">
        <f ca="1">stat(charge_entree[[#This Row],[ch_S_PTOT]])</f>
        <v>#NAME?</v>
      </c>
      <c r="Q30" s="523" t="e">
        <f ca="1">stat(charge_entree[[#This Row],[ch_S_SNDT]])</f>
        <v>#NAME?</v>
      </c>
      <c r="R30" s="523">
        <f>calculs!R30</f>
        <v>0</v>
      </c>
      <c r="S30" s="523" t="e">
        <f ca="1">stat(calculs!S30)</f>
        <v>#NAME?</v>
      </c>
      <c r="T30" s="523" t="e">
        <f ca="1">stat(calculs!T30)</f>
        <v>#NAME?</v>
      </c>
      <c r="U30" s="523" t="e">
        <f ca="1">stat(calculs!U30)</f>
        <v>#NAME?</v>
      </c>
      <c r="V30" s="523" t="e">
        <f ca="1">stat(calculs!V30)</f>
        <v>#NAME?</v>
      </c>
      <c r="W30" s="523" t="e">
        <f ca="1">stat(calculs!W30)</f>
        <v>#NAME?</v>
      </c>
      <c r="X30" s="523" t="e">
        <f ca="1">stat(calculs!X30)</f>
        <v>#NAME?</v>
      </c>
      <c r="Y30" s="523" t="e">
        <f ca="1">stat(calculs!Y30)</f>
        <v>#NAME?</v>
      </c>
      <c r="Z30" s="523" t="e">
        <f ca="1">stat(calculs!Z30)</f>
        <v>#NAME?</v>
      </c>
      <c r="AA30" s="523" t="e">
        <f ca="1">stat(calculs!AA30)</f>
        <v>#NAME?</v>
      </c>
      <c r="AB30" s="523" t="e">
        <f ca="1">stat(calculs!AB30)</f>
        <v>#NAME?</v>
      </c>
      <c r="AC30" s="523" t="e">
        <f ca="1">stat(calculs!AC30)</f>
        <v>#NAME?</v>
      </c>
      <c r="AD30" s="523" t="e">
        <f ca="1">stat(calculs!AD30)</f>
        <v>#NAME?</v>
      </c>
      <c r="AE30" s="523" t="e">
        <f ca="1">stat(calculs!AE30)</f>
        <v>#NAME?</v>
      </c>
      <c r="AF30" s="523" t="e">
        <f ca="1">stat(calculs!AF30)</f>
        <v>#NAME?</v>
      </c>
      <c r="AG30" s="523" t="e">
        <f ca="1">stat(calculs!AG30)</f>
        <v>#NAME?</v>
      </c>
      <c r="AH30" s="523" t="e">
        <f ca="1">stat(calculs!AH30)</f>
        <v>#NAME?</v>
      </c>
      <c r="AI30" s="523" t="e">
        <f ca="1">stat(calculs!AI30)</f>
        <v>#NAME?</v>
      </c>
      <c r="AJ30" s="523" t="e">
        <f ca="1">stat(calculs!AJ30)</f>
        <v>#NAME?</v>
      </c>
      <c r="AK30" s="523" t="e">
        <f ca="1">stat(calculs!AK30)</f>
        <v>#NAME?</v>
      </c>
      <c r="AL30" s="523" t="e">
        <f ca="1">stat(calculs!AL30)</f>
        <v>#NAME?</v>
      </c>
      <c r="AM30" s="523" t="e">
        <f ca="1">stat(calculs!AM30)</f>
        <v>#NAME?</v>
      </c>
      <c r="AN30" s="523" t="e">
        <f ca="1">stat(calculs!AN30)</f>
        <v>#NAME?</v>
      </c>
      <c r="AO30" s="523" t="e">
        <f ca="1">stat(calculs!AO30)</f>
        <v>#NAME?</v>
      </c>
      <c r="AP30" s="523" t="e">
        <f ca="1">stat(calculs!AP30)</f>
        <v>#NAME?</v>
      </c>
      <c r="AQ30" s="523" t="e">
        <f ca="1">stat(calculs!AQ30)</f>
        <v>#NAME?</v>
      </c>
      <c r="AT30" s="517"/>
      <c r="AV30" s="525" t="e">
        <f ca="1">stat(calculs!AV30)</f>
        <v>#NAME?</v>
      </c>
      <c r="AW30" s="525" t="e">
        <f ca="1">stat(calculs!AW30)</f>
        <v>#NAME?</v>
      </c>
      <c r="AX30" s="525" t="e">
        <f ca="1">stat(calculs!AX30)</f>
        <v>#NAME?</v>
      </c>
      <c r="AY30" s="525" t="e">
        <f ca="1">stat(calculs!AY30)</f>
        <v>#NAME?</v>
      </c>
      <c r="AZ30" s="525" t="e">
        <f ca="1">stat(calculs!AZ30)</f>
        <v>#NAME?</v>
      </c>
      <c r="BA30" s="525" t="e">
        <f ca="1">stat(calculs!BA30)</f>
        <v>#NAME?</v>
      </c>
      <c r="BB30" s="525" t="e">
        <f ca="1">stat(calculs!BB30)</f>
        <v>#NAME?</v>
      </c>
      <c r="BC30" s="525" t="e">
        <f ca="1">stat(calculs!BC30)</f>
        <v>#NAME?</v>
      </c>
      <c r="BD30" s="525" t="e">
        <f ca="1">stat(calculs!BD30)</f>
        <v>#NAME?</v>
      </c>
      <c r="BE30" s="525" t="e">
        <f ca="1">stat(calculs!BE30)</f>
        <v>#NAME?</v>
      </c>
      <c r="BF30" s="525" t="e">
        <f ca="1">stat(calculs!BF30)</f>
        <v>#NAME?</v>
      </c>
      <c r="BG30" s="729" t="e">
        <f ca="1">stat(calculs!BG30)</f>
        <v>#NAME?</v>
      </c>
      <c r="BH30" s="729" t="e">
        <f ca="1">stat(calculs!BH30)</f>
        <v>#NAME?</v>
      </c>
      <c r="BI30" s="729" t="e">
        <f ca="1">stat(calculs!BI30)</f>
        <v>#NAME?</v>
      </c>
      <c r="BJ30" s="729" t="e">
        <f ca="1">stat(calculs!BJ30)</f>
        <v>#NAME?</v>
      </c>
      <c r="BK30" s="729" t="e">
        <f ca="1">stat(calculs!BK30)</f>
        <v>#NAME?</v>
      </c>
      <c r="BL30" s="525" t="e">
        <f ca="1">stat(calculs!BL30)</f>
        <v>#NAME?</v>
      </c>
      <c r="BM30" s="525" t="e">
        <f ca="1">stat(calculs!BM30)</f>
        <v>#NAME?</v>
      </c>
      <c r="BN30" s="525" t="e">
        <f ca="1">stat(calculs!BN30)</f>
        <v>#NAME?</v>
      </c>
      <c r="BO30" s="525" t="e">
        <f ca="1">stat(calculs!BO30)</f>
        <v>#NAME?</v>
      </c>
      <c r="BP30" s="525" t="e">
        <f ca="1">stat(calculs!BP30)</f>
        <v>#NAME?</v>
      </c>
      <c r="BQ30" s="525" t="e">
        <f ca="1">stat(calculs!BQ30)</f>
        <v>#NAME?</v>
      </c>
      <c r="BR30" s="525" t="e">
        <f ca="1">stat(calculs!BR30)</f>
        <v>#NAME?</v>
      </c>
    </row>
    <row r="31" spans="1:70" x14ac:dyDescent="0.2">
      <c r="A31" s="222">
        <f>données_step[[#This Row],[Datum]]</f>
        <v>44582</v>
      </c>
      <c r="B31" s="223"/>
      <c r="C31" s="224">
        <f t="shared" si="0"/>
        <v>6</v>
      </c>
      <c r="D31" s="523" t="e">
        <f ca="1">stat(charge_entree[[#This Row],[ch_E_DBO5]])</f>
        <v>#NAME?</v>
      </c>
      <c r="E31" s="523" t="e">
        <f ca="1">stat(charge_entree[[#This Row],[ch_E_DCO]])</f>
        <v>#NAME?</v>
      </c>
      <c r="F31" s="523" t="e">
        <f ca="1">stat(charge_entree[[#This Row],[ch_E_COT]])</f>
        <v>#NAME?</v>
      </c>
      <c r="G31" s="523" t="e">
        <f ca="1">stat(charge_entree[[#This Row],[ch_E_NH4]])</f>
        <v>#NAME?</v>
      </c>
      <c r="H31" s="523" t="e">
        <f ca="1">stat(charge_entree[[#This Row],[ch_E_NTOT]])</f>
        <v>#NAME?</v>
      </c>
      <c r="I31" s="523" t="e">
        <f ca="1">stat(charge_entree[[#This Row],[ch_E_PTOT]])</f>
        <v>#NAME?</v>
      </c>
      <c r="J31" s="523" t="e">
        <f ca="1">stat(charge_entree[[#This Row],[ch_S_DBO]])</f>
        <v>#NAME?</v>
      </c>
      <c r="K31" s="523" t="e">
        <f ca="1">stat(charge_entree[[#This Row],[ch_S-DCO]])</f>
        <v>#NAME?</v>
      </c>
      <c r="L31" s="523" t="e">
        <f ca="1">stat(charge_entree[[#This Row],[ch_S_DOC]])</f>
        <v>#NAME?</v>
      </c>
      <c r="M31" s="523" t="e">
        <f ca="1">stat(charge_entree[[#This Row],[ch_S_NH4]])</f>
        <v>#NAME?</v>
      </c>
      <c r="N31" s="523" t="e">
        <f ca="1">stat(charge_entree[[#This Row],[ch_S_NO2]])</f>
        <v>#NAME?</v>
      </c>
      <c r="O31" s="523" t="e">
        <f ca="1">stat(charge_entree[[#This Row],[ch_S_NO3]])</f>
        <v>#NAME?</v>
      </c>
      <c r="P31" s="523" t="e">
        <f ca="1">stat(charge_entree[[#This Row],[ch_S_PTOT]])</f>
        <v>#NAME?</v>
      </c>
      <c r="Q31" s="523" t="e">
        <f ca="1">stat(charge_entree[[#This Row],[ch_S_SNDT]])</f>
        <v>#NAME?</v>
      </c>
      <c r="R31" s="523">
        <f>calculs!R31</f>
        <v>0</v>
      </c>
      <c r="S31" s="523" t="e">
        <f ca="1">stat(calculs!S31)</f>
        <v>#NAME?</v>
      </c>
      <c r="T31" s="523" t="e">
        <f ca="1">stat(calculs!T31)</f>
        <v>#NAME?</v>
      </c>
      <c r="U31" s="523" t="e">
        <f ca="1">stat(calculs!U31)</f>
        <v>#NAME?</v>
      </c>
      <c r="V31" s="523" t="e">
        <f ca="1">stat(calculs!V31)</f>
        <v>#NAME?</v>
      </c>
      <c r="W31" s="523" t="e">
        <f ca="1">stat(calculs!W31)</f>
        <v>#NAME?</v>
      </c>
      <c r="X31" s="523" t="e">
        <f ca="1">stat(calculs!X31)</f>
        <v>#NAME?</v>
      </c>
      <c r="Y31" s="523" t="e">
        <f ca="1">stat(calculs!Y31)</f>
        <v>#NAME?</v>
      </c>
      <c r="Z31" s="523" t="e">
        <f ca="1">stat(calculs!Z31)</f>
        <v>#NAME?</v>
      </c>
      <c r="AA31" s="523" t="e">
        <f ca="1">stat(calculs!AA31)</f>
        <v>#NAME?</v>
      </c>
      <c r="AB31" s="523" t="e">
        <f ca="1">stat(calculs!AB31)</f>
        <v>#NAME?</v>
      </c>
      <c r="AC31" s="523" t="e">
        <f ca="1">stat(calculs!AC31)</f>
        <v>#NAME?</v>
      </c>
      <c r="AD31" s="523" t="e">
        <f ca="1">stat(calculs!AD31)</f>
        <v>#NAME?</v>
      </c>
      <c r="AE31" s="523" t="e">
        <f ca="1">stat(calculs!AE31)</f>
        <v>#NAME?</v>
      </c>
      <c r="AF31" s="523" t="e">
        <f ca="1">stat(calculs!AF31)</f>
        <v>#NAME?</v>
      </c>
      <c r="AG31" s="523" t="e">
        <f ca="1">stat(calculs!AG31)</f>
        <v>#NAME?</v>
      </c>
      <c r="AH31" s="523" t="e">
        <f ca="1">stat(calculs!AH31)</f>
        <v>#NAME?</v>
      </c>
      <c r="AI31" s="523" t="e">
        <f ca="1">stat(calculs!AI31)</f>
        <v>#NAME?</v>
      </c>
      <c r="AJ31" s="523" t="e">
        <f ca="1">stat(calculs!AJ31)</f>
        <v>#NAME?</v>
      </c>
      <c r="AK31" s="523" t="e">
        <f ca="1">stat(calculs!AK31)</f>
        <v>#NAME?</v>
      </c>
      <c r="AL31" s="523" t="e">
        <f ca="1">stat(calculs!AL31)</f>
        <v>#NAME?</v>
      </c>
      <c r="AM31" s="523" t="e">
        <f ca="1">stat(calculs!AM31)</f>
        <v>#NAME?</v>
      </c>
      <c r="AN31" s="523" t="e">
        <f ca="1">stat(calculs!AN31)</f>
        <v>#NAME?</v>
      </c>
      <c r="AO31" s="523" t="e">
        <f ca="1">stat(calculs!AO31)</f>
        <v>#NAME?</v>
      </c>
      <c r="AP31" s="523" t="e">
        <f ca="1">stat(calculs!AP31)</f>
        <v>#NAME?</v>
      </c>
      <c r="AQ31" s="523" t="e">
        <f ca="1">stat(calculs!AQ31)</f>
        <v>#NAME?</v>
      </c>
      <c r="AT31" s="517"/>
      <c r="AV31" s="525" t="e">
        <f ca="1">stat(calculs!AV31)</f>
        <v>#NAME?</v>
      </c>
      <c r="AW31" s="525" t="e">
        <f ca="1">stat(calculs!AW31)</f>
        <v>#NAME?</v>
      </c>
      <c r="AX31" s="525" t="e">
        <f ca="1">stat(calculs!AX31)</f>
        <v>#NAME?</v>
      </c>
      <c r="AY31" s="525" t="e">
        <f ca="1">stat(calculs!AY31)</f>
        <v>#NAME?</v>
      </c>
      <c r="AZ31" s="525" t="e">
        <f ca="1">stat(calculs!AZ31)</f>
        <v>#NAME?</v>
      </c>
      <c r="BA31" s="525" t="e">
        <f ca="1">stat(calculs!BA31)</f>
        <v>#NAME?</v>
      </c>
      <c r="BB31" s="525" t="e">
        <f ca="1">stat(calculs!BB31)</f>
        <v>#NAME?</v>
      </c>
      <c r="BC31" s="525" t="e">
        <f ca="1">stat(calculs!BC31)</f>
        <v>#NAME?</v>
      </c>
      <c r="BD31" s="525" t="e">
        <f ca="1">stat(calculs!BD31)</f>
        <v>#NAME?</v>
      </c>
      <c r="BE31" s="525" t="e">
        <f ca="1">stat(calculs!BE31)</f>
        <v>#NAME?</v>
      </c>
      <c r="BF31" s="525" t="e">
        <f ca="1">stat(calculs!BF31)</f>
        <v>#NAME?</v>
      </c>
      <c r="BG31" s="729" t="e">
        <f ca="1">stat(calculs!BG31)</f>
        <v>#NAME?</v>
      </c>
      <c r="BH31" s="729" t="e">
        <f ca="1">stat(calculs!BH31)</f>
        <v>#NAME?</v>
      </c>
      <c r="BI31" s="729" t="e">
        <f ca="1">stat(calculs!BI31)</f>
        <v>#NAME?</v>
      </c>
      <c r="BJ31" s="729" t="e">
        <f ca="1">stat(calculs!BJ31)</f>
        <v>#NAME?</v>
      </c>
      <c r="BK31" s="729" t="e">
        <f ca="1">stat(calculs!BK31)</f>
        <v>#NAME?</v>
      </c>
      <c r="BL31" s="525" t="e">
        <f ca="1">stat(calculs!BL31)</f>
        <v>#NAME?</v>
      </c>
      <c r="BM31" s="525" t="e">
        <f ca="1">stat(calculs!BM31)</f>
        <v>#NAME?</v>
      </c>
      <c r="BN31" s="525" t="e">
        <f ca="1">stat(calculs!BN31)</f>
        <v>#NAME?</v>
      </c>
      <c r="BO31" s="525" t="e">
        <f ca="1">stat(calculs!BO31)</f>
        <v>#NAME?</v>
      </c>
      <c r="BP31" s="525" t="e">
        <f ca="1">stat(calculs!BP31)</f>
        <v>#NAME?</v>
      </c>
      <c r="BQ31" s="525" t="e">
        <f ca="1">stat(calculs!BQ31)</f>
        <v>#NAME?</v>
      </c>
      <c r="BR31" s="525" t="e">
        <f ca="1">stat(calculs!BR31)</f>
        <v>#NAME?</v>
      </c>
    </row>
    <row r="32" spans="1:70" x14ac:dyDescent="0.2">
      <c r="A32" s="222">
        <f>données_step[[#This Row],[Datum]]</f>
        <v>44583</v>
      </c>
      <c r="B32" s="223"/>
      <c r="C32" s="224">
        <f t="shared" si="0"/>
        <v>7</v>
      </c>
      <c r="D32" s="523" t="e">
        <f ca="1">stat(charge_entree[[#This Row],[ch_E_DBO5]])</f>
        <v>#NAME?</v>
      </c>
      <c r="E32" s="523" t="e">
        <f ca="1">stat(charge_entree[[#This Row],[ch_E_DCO]])</f>
        <v>#NAME?</v>
      </c>
      <c r="F32" s="523" t="e">
        <f ca="1">stat(charge_entree[[#This Row],[ch_E_COT]])</f>
        <v>#NAME?</v>
      </c>
      <c r="G32" s="523" t="e">
        <f ca="1">stat(charge_entree[[#This Row],[ch_E_NH4]])</f>
        <v>#NAME?</v>
      </c>
      <c r="H32" s="523" t="e">
        <f ca="1">stat(charge_entree[[#This Row],[ch_E_NTOT]])</f>
        <v>#NAME?</v>
      </c>
      <c r="I32" s="523" t="e">
        <f ca="1">stat(charge_entree[[#This Row],[ch_E_PTOT]])</f>
        <v>#NAME?</v>
      </c>
      <c r="J32" s="523" t="e">
        <f ca="1">stat(charge_entree[[#This Row],[ch_S_DBO]])</f>
        <v>#NAME?</v>
      </c>
      <c r="K32" s="523" t="e">
        <f ca="1">stat(charge_entree[[#This Row],[ch_S-DCO]])</f>
        <v>#NAME?</v>
      </c>
      <c r="L32" s="523" t="e">
        <f ca="1">stat(charge_entree[[#This Row],[ch_S_DOC]])</f>
        <v>#NAME?</v>
      </c>
      <c r="M32" s="523" t="e">
        <f ca="1">stat(charge_entree[[#This Row],[ch_S_NH4]])</f>
        <v>#NAME?</v>
      </c>
      <c r="N32" s="523" t="e">
        <f ca="1">stat(charge_entree[[#This Row],[ch_S_NO2]])</f>
        <v>#NAME?</v>
      </c>
      <c r="O32" s="523" t="e">
        <f ca="1">stat(charge_entree[[#This Row],[ch_S_NO3]])</f>
        <v>#NAME?</v>
      </c>
      <c r="P32" s="523" t="e">
        <f ca="1">stat(charge_entree[[#This Row],[ch_S_PTOT]])</f>
        <v>#NAME?</v>
      </c>
      <c r="Q32" s="523" t="e">
        <f ca="1">stat(charge_entree[[#This Row],[ch_S_SNDT]])</f>
        <v>#NAME?</v>
      </c>
      <c r="R32" s="523">
        <f>calculs!R32</f>
        <v>0</v>
      </c>
      <c r="S32" s="523" t="e">
        <f ca="1">stat(calculs!S32)</f>
        <v>#NAME?</v>
      </c>
      <c r="T32" s="523" t="e">
        <f ca="1">stat(calculs!T32)</f>
        <v>#NAME?</v>
      </c>
      <c r="U32" s="523" t="e">
        <f ca="1">stat(calculs!U32)</f>
        <v>#NAME?</v>
      </c>
      <c r="V32" s="523" t="e">
        <f ca="1">stat(calculs!V32)</f>
        <v>#NAME?</v>
      </c>
      <c r="W32" s="523" t="e">
        <f ca="1">stat(calculs!W32)</f>
        <v>#NAME?</v>
      </c>
      <c r="X32" s="523" t="e">
        <f ca="1">stat(calculs!X32)</f>
        <v>#NAME?</v>
      </c>
      <c r="Y32" s="523" t="e">
        <f ca="1">stat(calculs!Y32)</f>
        <v>#NAME?</v>
      </c>
      <c r="Z32" s="523" t="e">
        <f ca="1">stat(calculs!Z32)</f>
        <v>#NAME?</v>
      </c>
      <c r="AA32" s="523" t="e">
        <f ca="1">stat(calculs!AA32)</f>
        <v>#NAME?</v>
      </c>
      <c r="AB32" s="523" t="e">
        <f ca="1">stat(calculs!AB32)</f>
        <v>#NAME?</v>
      </c>
      <c r="AC32" s="523" t="e">
        <f ca="1">stat(calculs!AC32)</f>
        <v>#NAME?</v>
      </c>
      <c r="AD32" s="523" t="e">
        <f ca="1">stat(calculs!AD32)</f>
        <v>#NAME?</v>
      </c>
      <c r="AE32" s="523" t="e">
        <f ca="1">stat(calculs!AE32)</f>
        <v>#NAME?</v>
      </c>
      <c r="AF32" s="523" t="e">
        <f ca="1">stat(calculs!AF32)</f>
        <v>#NAME?</v>
      </c>
      <c r="AG32" s="523" t="e">
        <f ca="1">stat(calculs!AG32)</f>
        <v>#NAME?</v>
      </c>
      <c r="AH32" s="523" t="e">
        <f ca="1">stat(calculs!AH32)</f>
        <v>#NAME?</v>
      </c>
      <c r="AI32" s="523" t="e">
        <f ca="1">stat(calculs!AI32)</f>
        <v>#NAME?</v>
      </c>
      <c r="AJ32" s="523" t="e">
        <f ca="1">stat(calculs!AJ32)</f>
        <v>#NAME?</v>
      </c>
      <c r="AK32" s="523" t="e">
        <f ca="1">stat(calculs!AK32)</f>
        <v>#NAME?</v>
      </c>
      <c r="AL32" s="523" t="e">
        <f ca="1">stat(calculs!AL32)</f>
        <v>#NAME?</v>
      </c>
      <c r="AM32" s="523" t="e">
        <f ca="1">stat(calculs!AM32)</f>
        <v>#NAME?</v>
      </c>
      <c r="AN32" s="523" t="e">
        <f ca="1">stat(calculs!AN32)</f>
        <v>#NAME?</v>
      </c>
      <c r="AO32" s="523" t="e">
        <f ca="1">stat(calculs!AO32)</f>
        <v>#NAME?</v>
      </c>
      <c r="AP32" s="523" t="e">
        <f ca="1">stat(calculs!AP32)</f>
        <v>#NAME?</v>
      </c>
      <c r="AQ32" s="523" t="e">
        <f ca="1">stat(calculs!AQ32)</f>
        <v>#NAME?</v>
      </c>
      <c r="AT32" s="517"/>
      <c r="AV32" s="525" t="e">
        <f ca="1">stat(calculs!AV32)</f>
        <v>#NAME?</v>
      </c>
      <c r="AW32" s="525" t="e">
        <f ca="1">stat(calculs!AW32)</f>
        <v>#NAME?</v>
      </c>
      <c r="AX32" s="525" t="e">
        <f ca="1">stat(calculs!AX32)</f>
        <v>#NAME?</v>
      </c>
      <c r="AY32" s="525" t="e">
        <f ca="1">stat(calculs!AY32)</f>
        <v>#NAME?</v>
      </c>
      <c r="AZ32" s="525" t="e">
        <f ca="1">stat(calculs!AZ32)</f>
        <v>#NAME?</v>
      </c>
      <c r="BA32" s="525" t="e">
        <f ca="1">stat(calculs!BA32)</f>
        <v>#NAME?</v>
      </c>
      <c r="BB32" s="525" t="e">
        <f ca="1">stat(calculs!BB32)</f>
        <v>#NAME?</v>
      </c>
      <c r="BC32" s="525" t="e">
        <f ca="1">stat(calculs!BC32)</f>
        <v>#NAME?</v>
      </c>
      <c r="BD32" s="525" t="e">
        <f ca="1">stat(calculs!BD32)</f>
        <v>#NAME?</v>
      </c>
      <c r="BE32" s="525" t="e">
        <f ca="1">stat(calculs!BE32)</f>
        <v>#NAME?</v>
      </c>
      <c r="BF32" s="525" t="e">
        <f ca="1">stat(calculs!BF32)</f>
        <v>#NAME?</v>
      </c>
      <c r="BG32" s="729" t="e">
        <f ca="1">stat(calculs!BG32)</f>
        <v>#NAME?</v>
      </c>
      <c r="BH32" s="729" t="e">
        <f ca="1">stat(calculs!BH32)</f>
        <v>#NAME?</v>
      </c>
      <c r="BI32" s="729" t="e">
        <f ca="1">stat(calculs!BI32)</f>
        <v>#NAME?</v>
      </c>
      <c r="BJ32" s="729" t="e">
        <f ca="1">stat(calculs!BJ32)</f>
        <v>#NAME?</v>
      </c>
      <c r="BK32" s="729" t="e">
        <f ca="1">stat(calculs!BK32)</f>
        <v>#NAME?</v>
      </c>
      <c r="BL32" s="525" t="e">
        <f ca="1">stat(calculs!BL32)</f>
        <v>#NAME?</v>
      </c>
      <c r="BM32" s="525" t="e">
        <f ca="1">stat(calculs!BM32)</f>
        <v>#NAME?</v>
      </c>
      <c r="BN32" s="525" t="e">
        <f ca="1">stat(calculs!BN32)</f>
        <v>#NAME?</v>
      </c>
      <c r="BO32" s="525" t="e">
        <f ca="1">stat(calculs!BO32)</f>
        <v>#NAME?</v>
      </c>
      <c r="BP32" s="525" t="e">
        <f ca="1">stat(calculs!BP32)</f>
        <v>#NAME?</v>
      </c>
      <c r="BQ32" s="525" t="e">
        <f ca="1">stat(calculs!BQ32)</f>
        <v>#NAME?</v>
      </c>
      <c r="BR32" s="525" t="e">
        <f ca="1">stat(calculs!BR32)</f>
        <v>#NAME?</v>
      </c>
    </row>
    <row r="33" spans="1:70" x14ac:dyDescent="0.2">
      <c r="A33" s="222">
        <f>données_step[[#This Row],[Datum]]</f>
        <v>44584</v>
      </c>
      <c r="B33" s="223"/>
      <c r="C33" s="224">
        <f t="shared" si="0"/>
        <v>1</v>
      </c>
      <c r="D33" s="523" t="e">
        <f ca="1">stat(charge_entree[[#This Row],[ch_E_DBO5]])</f>
        <v>#NAME?</v>
      </c>
      <c r="E33" s="523" t="e">
        <f ca="1">stat(charge_entree[[#This Row],[ch_E_DCO]])</f>
        <v>#NAME?</v>
      </c>
      <c r="F33" s="523" t="e">
        <f ca="1">stat(charge_entree[[#This Row],[ch_E_COT]])</f>
        <v>#NAME?</v>
      </c>
      <c r="G33" s="523" t="e">
        <f ca="1">stat(charge_entree[[#This Row],[ch_E_NH4]])</f>
        <v>#NAME?</v>
      </c>
      <c r="H33" s="523" t="e">
        <f ca="1">stat(charge_entree[[#This Row],[ch_E_NTOT]])</f>
        <v>#NAME?</v>
      </c>
      <c r="I33" s="523" t="e">
        <f ca="1">stat(charge_entree[[#This Row],[ch_E_PTOT]])</f>
        <v>#NAME?</v>
      </c>
      <c r="J33" s="523" t="e">
        <f ca="1">stat(charge_entree[[#This Row],[ch_S_DBO]])</f>
        <v>#NAME?</v>
      </c>
      <c r="K33" s="523" t="e">
        <f ca="1">stat(charge_entree[[#This Row],[ch_S-DCO]])</f>
        <v>#NAME?</v>
      </c>
      <c r="L33" s="523" t="e">
        <f ca="1">stat(charge_entree[[#This Row],[ch_S_DOC]])</f>
        <v>#NAME?</v>
      </c>
      <c r="M33" s="523" t="e">
        <f ca="1">stat(charge_entree[[#This Row],[ch_S_NH4]])</f>
        <v>#NAME?</v>
      </c>
      <c r="N33" s="523" t="e">
        <f ca="1">stat(charge_entree[[#This Row],[ch_S_NO2]])</f>
        <v>#NAME?</v>
      </c>
      <c r="O33" s="523" t="e">
        <f ca="1">stat(charge_entree[[#This Row],[ch_S_NO3]])</f>
        <v>#NAME?</v>
      </c>
      <c r="P33" s="523" t="e">
        <f ca="1">stat(charge_entree[[#This Row],[ch_S_PTOT]])</f>
        <v>#NAME?</v>
      </c>
      <c r="Q33" s="523" t="e">
        <f ca="1">stat(charge_entree[[#This Row],[ch_S_SNDT]])</f>
        <v>#NAME?</v>
      </c>
      <c r="R33" s="523">
        <f>calculs!R33</f>
        <v>0</v>
      </c>
      <c r="S33" s="523" t="e">
        <f ca="1">stat(calculs!S33)</f>
        <v>#NAME?</v>
      </c>
      <c r="T33" s="523" t="e">
        <f ca="1">stat(calculs!T33)</f>
        <v>#NAME?</v>
      </c>
      <c r="U33" s="523" t="e">
        <f ca="1">stat(calculs!U33)</f>
        <v>#NAME?</v>
      </c>
      <c r="V33" s="523" t="e">
        <f ca="1">stat(calculs!V33)</f>
        <v>#NAME?</v>
      </c>
      <c r="W33" s="523" t="e">
        <f ca="1">stat(calculs!W33)</f>
        <v>#NAME?</v>
      </c>
      <c r="X33" s="523" t="e">
        <f ca="1">stat(calculs!X33)</f>
        <v>#NAME?</v>
      </c>
      <c r="Y33" s="523" t="e">
        <f ca="1">stat(calculs!Y33)</f>
        <v>#NAME?</v>
      </c>
      <c r="Z33" s="523" t="e">
        <f ca="1">stat(calculs!Z33)</f>
        <v>#NAME?</v>
      </c>
      <c r="AA33" s="523" t="e">
        <f ca="1">stat(calculs!AA33)</f>
        <v>#NAME?</v>
      </c>
      <c r="AB33" s="523" t="e">
        <f ca="1">stat(calculs!AB33)</f>
        <v>#NAME?</v>
      </c>
      <c r="AC33" s="523" t="e">
        <f ca="1">stat(calculs!AC33)</f>
        <v>#NAME?</v>
      </c>
      <c r="AD33" s="523" t="e">
        <f ca="1">stat(calculs!AD33)</f>
        <v>#NAME?</v>
      </c>
      <c r="AE33" s="523" t="e">
        <f ca="1">stat(calculs!AE33)</f>
        <v>#NAME?</v>
      </c>
      <c r="AF33" s="523" t="e">
        <f ca="1">stat(calculs!AF33)</f>
        <v>#NAME?</v>
      </c>
      <c r="AG33" s="523" t="e">
        <f ca="1">stat(calculs!AG33)</f>
        <v>#NAME?</v>
      </c>
      <c r="AH33" s="523" t="e">
        <f ca="1">stat(calculs!AH33)</f>
        <v>#NAME?</v>
      </c>
      <c r="AI33" s="523" t="e">
        <f ca="1">stat(calculs!AI33)</f>
        <v>#NAME?</v>
      </c>
      <c r="AJ33" s="523" t="e">
        <f ca="1">stat(calculs!AJ33)</f>
        <v>#NAME?</v>
      </c>
      <c r="AK33" s="523" t="e">
        <f ca="1">stat(calculs!AK33)</f>
        <v>#NAME?</v>
      </c>
      <c r="AL33" s="523" t="e">
        <f ca="1">stat(calculs!AL33)</f>
        <v>#NAME?</v>
      </c>
      <c r="AM33" s="523" t="e">
        <f ca="1">stat(calculs!AM33)</f>
        <v>#NAME?</v>
      </c>
      <c r="AN33" s="523" t="e">
        <f ca="1">stat(calculs!AN33)</f>
        <v>#NAME?</v>
      </c>
      <c r="AO33" s="523" t="e">
        <f ca="1">stat(calculs!AO33)</f>
        <v>#NAME?</v>
      </c>
      <c r="AP33" s="523" t="e">
        <f ca="1">stat(calculs!AP33)</f>
        <v>#NAME?</v>
      </c>
      <c r="AQ33" s="523" t="e">
        <f ca="1">stat(calculs!AQ33)</f>
        <v>#NAME?</v>
      </c>
      <c r="AT33" s="517"/>
      <c r="AV33" s="525" t="e">
        <f ca="1">stat(calculs!AV33)</f>
        <v>#NAME?</v>
      </c>
      <c r="AW33" s="525" t="e">
        <f ca="1">stat(calculs!AW33)</f>
        <v>#NAME?</v>
      </c>
      <c r="AX33" s="525" t="e">
        <f ca="1">stat(calculs!AX33)</f>
        <v>#NAME?</v>
      </c>
      <c r="AY33" s="525" t="e">
        <f ca="1">stat(calculs!AY33)</f>
        <v>#NAME?</v>
      </c>
      <c r="AZ33" s="525" t="e">
        <f ca="1">stat(calculs!AZ33)</f>
        <v>#NAME?</v>
      </c>
      <c r="BA33" s="525" t="e">
        <f ca="1">stat(calculs!BA33)</f>
        <v>#NAME?</v>
      </c>
      <c r="BB33" s="525" t="e">
        <f ca="1">stat(calculs!BB33)</f>
        <v>#NAME?</v>
      </c>
      <c r="BC33" s="525" t="e">
        <f ca="1">stat(calculs!BC33)</f>
        <v>#NAME?</v>
      </c>
      <c r="BD33" s="525" t="e">
        <f ca="1">stat(calculs!BD33)</f>
        <v>#NAME?</v>
      </c>
      <c r="BE33" s="525" t="e">
        <f ca="1">stat(calculs!BE33)</f>
        <v>#NAME?</v>
      </c>
      <c r="BF33" s="525" t="e">
        <f ca="1">stat(calculs!BF33)</f>
        <v>#NAME?</v>
      </c>
      <c r="BG33" s="729" t="e">
        <f ca="1">stat(calculs!BG33)</f>
        <v>#NAME?</v>
      </c>
      <c r="BH33" s="729" t="e">
        <f ca="1">stat(calculs!BH33)</f>
        <v>#NAME?</v>
      </c>
      <c r="BI33" s="729" t="e">
        <f ca="1">stat(calculs!BI33)</f>
        <v>#NAME?</v>
      </c>
      <c r="BJ33" s="729" t="e">
        <f ca="1">stat(calculs!BJ33)</f>
        <v>#NAME?</v>
      </c>
      <c r="BK33" s="729" t="e">
        <f ca="1">stat(calculs!BK33)</f>
        <v>#NAME?</v>
      </c>
      <c r="BL33" s="525" t="e">
        <f ca="1">stat(calculs!BL33)</f>
        <v>#NAME?</v>
      </c>
      <c r="BM33" s="525" t="e">
        <f ca="1">stat(calculs!BM33)</f>
        <v>#NAME?</v>
      </c>
      <c r="BN33" s="525" t="e">
        <f ca="1">stat(calculs!BN33)</f>
        <v>#NAME?</v>
      </c>
      <c r="BO33" s="525" t="e">
        <f ca="1">stat(calculs!BO33)</f>
        <v>#NAME?</v>
      </c>
      <c r="BP33" s="525" t="e">
        <f ca="1">stat(calculs!BP33)</f>
        <v>#NAME?</v>
      </c>
      <c r="BQ33" s="525" t="e">
        <f ca="1">stat(calculs!BQ33)</f>
        <v>#NAME?</v>
      </c>
      <c r="BR33" s="525" t="e">
        <f ca="1">stat(calculs!BR33)</f>
        <v>#NAME?</v>
      </c>
    </row>
    <row r="34" spans="1:70" ht="12.75" customHeight="1" x14ac:dyDescent="0.2">
      <c r="A34" s="222">
        <f>données_step[[#This Row],[Datum]]</f>
        <v>44585</v>
      </c>
      <c r="B34" s="223"/>
      <c r="C34" s="224">
        <f t="shared" si="0"/>
        <v>2</v>
      </c>
      <c r="D34" s="523" t="e">
        <f ca="1">stat(charge_entree[[#This Row],[ch_E_DBO5]])</f>
        <v>#NAME?</v>
      </c>
      <c r="E34" s="523" t="e">
        <f ca="1">stat(charge_entree[[#This Row],[ch_E_DCO]])</f>
        <v>#NAME?</v>
      </c>
      <c r="F34" s="523" t="e">
        <f ca="1">stat(charge_entree[[#This Row],[ch_E_COT]])</f>
        <v>#NAME?</v>
      </c>
      <c r="G34" s="523" t="e">
        <f ca="1">stat(charge_entree[[#This Row],[ch_E_NH4]])</f>
        <v>#NAME?</v>
      </c>
      <c r="H34" s="523" t="e">
        <f ca="1">stat(charge_entree[[#This Row],[ch_E_NTOT]])</f>
        <v>#NAME?</v>
      </c>
      <c r="I34" s="523" t="e">
        <f ca="1">stat(charge_entree[[#This Row],[ch_E_PTOT]])</f>
        <v>#NAME?</v>
      </c>
      <c r="J34" s="523" t="e">
        <f ca="1">stat(charge_entree[[#This Row],[ch_S_DBO]])</f>
        <v>#NAME?</v>
      </c>
      <c r="K34" s="523" t="e">
        <f ca="1">stat(charge_entree[[#This Row],[ch_S-DCO]])</f>
        <v>#NAME?</v>
      </c>
      <c r="L34" s="523" t="e">
        <f ca="1">stat(charge_entree[[#This Row],[ch_S_DOC]])</f>
        <v>#NAME?</v>
      </c>
      <c r="M34" s="523" t="e">
        <f ca="1">stat(charge_entree[[#This Row],[ch_S_NH4]])</f>
        <v>#NAME?</v>
      </c>
      <c r="N34" s="523" t="e">
        <f ca="1">stat(charge_entree[[#This Row],[ch_S_NO2]])</f>
        <v>#NAME?</v>
      </c>
      <c r="O34" s="523" t="e">
        <f ca="1">stat(charge_entree[[#This Row],[ch_S_NO3]])</f>
        <v>#NAME?</v>
      </c>
      <c r="P34" s="523" t="e">
        <f ca="1">stat(charge_entree[[#This Row],[ch_S_PTOT]])</f>
        <v>#NAME?</v>
      </c>
      <c r="Q34" s="523" t="e">
        <f ca="1">stat(charge_entree[[#This Row],[ch_S_SNDT]])</f>
        <v>#NAME?</v>
      </c>
      <c r="R34" s="523">
        <f>calculs!R34</f>
        <v>0</v>
      </c>
      <c r="S34" s="523" t="e">
        <f ca="1">stat(calculs!S34)</f>
        <v>#NAME?</v>
      </c>
      <c r="T34" s="523" t="e">
        <f ca="1">stat(calculs!T34)</f>
        <v>#NAME?</v>
      </c>
      <c r="U34" s="523" t="e">
        <f ca="1">stat(calculs!U34)</f>
        <v>#NAME?</v>
      </c>
      <c r="V34" s="523" t="e">
        <f ca="1">stat(calculs!V34)</f>
        <v>#NAME?</v>
      </c>
      <c r="W34" s="523" t="e">
        <f ca="1">stat(calculs!W34)</f>
        <v>#NAME?</v>
      </c>
      <c r="X34" s="523" t="e">
        <f ca="1">stat(calculs!X34)</f>
        <v>#NAME?</v>
      </c>
      <c r="Y34" s="523" t="e">
        <f ca="1">stat(calculs!Y34)</f>
        <v>#NAME?</v>
      </c>
      <c r="Z34" s="523" t="e">
        <f ca="1">stat(calculs!Z34)</f>
        <v>#NAME?</v>
      </c>
      <c r="AA34" s="523" t="e">
        <f ca="1">stat(calculs!AA34)</f>
        <v>#NAME?</v>
      </c>
      <c r="AB34" s="523" t="e">
        <f ca="1">stat(calculs!AB34)</f>
        <v>#NAME?</v>
      </c>
      <c r="AC34" s="523" t="e">
        <f ca="1">stat(calculs!AC34)</f>
        <v>#NAME?</v>
      </c>
      <c r="AD34" s="523" t="e">
        <f ca="1">stat(calculs!AD34)</f>
        <v>#NAME?</v>
      </c>
      <c r="AE34" s="523" t="e">
        <f ca="1">stat(calculs!AE34)</f>
        <v>#NAME?</v>
      </c>
      <c r="AF34" s="523" t="e">
        <f ca="1">stat(calculs!AF34)</f>
        <v>#NAME?</v>
      </c>
      <c r="AG34" s="523" t="e">
        <f ca="1">stat(calculs!AG34)</f>
        <v>#NAME?</v>
      </c>
      <c r="AH34" s="523" t="e">
        <f ca="1">stat(calculs!AH34)</f>
        <v>#NAME?</v>
      </c>
      <c r="AI34" s="523" t="e">
        <f ca="1">stat(calculs!AI34)</f>
        <v>#NAME?</v>
      </c>
      <c r="AJ34" s="523" t="e">
        <f ca="1">stat(calculs!AJ34)</f>
        <v>#NAME?</v>
      </c>
      <c r="AK34" s="523" t="e">
        <f ca="1">stat(calculs!AK34)</f>
        <v>#NAME?</v>
      </c>
      <c r="AL34" s="523" t="e">
        <f ca="1">stat(calculs!AL34)</f>
        <v>#NAME?</v>
      </c>
      <c r="AM34" s="523" t="e">
        <f ca="1">stat(calculs!AM34)</f>
        <v>#NAME?</v>
      </c>
      <c r="AN34" s="523" t="e">
        <f ca="1">stat(calculs!AN34)</f>
        <v>#NAME?</v>
      </c>
      <c r="AO34" s="523" t="e">
        <f ca="1">stat(calculs!AO34)</f>
        <v>#NAME?</v>
      </c>
      <c r="AP34" s="523" t="e">
        <f ca="1">stat(calculs!AP34)</f>
        <v>#NAME?</v>
      </c>
      <c r="AQ34" s="523" t="e">
        <f ca="1">stat(calculs!AQ34)</f>
        <v>#NAME?</v>
      </c>
      <c r="AT34" s="517"/>
      <c r="AV34" s="525" t="e">
        <f ca="1">stat(calculs!AV34)</f>
        <v>#NAME?</v>
      </c>
      <c r="AW34" s="525" t="e">
        <f ca="1">stat(calculs!AW34)</f>
        <v>#NAME?</v>
      </c>
      <c r="AX34" s="525" t="e">
        <f ca="1">stat(calculs!AX34)</f>
        <v>#NAME?</v>
      </c>
      <c r="AY34" s="525" t="e">
        <f ca="1">stat(calculs!AY34)</f>
        <v>#NAME?</v>
      </c>
      <c r="AZ34" s="525" t="e">
        <f ca="1">stat(calculs!AZ34)</f>
        <v>#NAME?</v>
      </c>
      <c r="BA34" s="525" t="e">
        <f ca="1">stat(calculs!BA34)</f>
        <v>#NAME?</v>
      </c>
      <c r="BB34" s="525" t="e">
        <f ca="1">stat(calculs!BB34)</f>
        <v>#NAME?</v>
      </c>
      <c r="BC34" s="525" t="e">
        <f ca="1">stat(calculs!BC34)</f>
        <v>#NAME?</v>
      </c>
      <c r="BD34" s="525" t="e">
        <f ca="1">stat(calculs!BD34)</f>
        <v>#NAME?</v>
      </c>
      <c r="BE34" s="525" t="e">
        <f ca="1">stat(calculs!BE34)</f>
        <v>#NAME?</v>
      </c>
      <c r="BF34" s="525" t="e">
        <f ca="1">stat(calculs!BF34)</f>
        <v>#NAME?</v>
      </c>
      <c r="BG34" s="729" t="e">
        <f ca="1">stat(calculs!BG34)</f>
        <v>#NAME?</v>
      </c>
      <c r="BH34" s="729" t="e">
        <f ca="1">stat(calculs!BH34)</f>
        <v>#NAME?</v>
      </c>
      <c r="BI34" s="729" t="e">
        <f ca="1">stat(calculs!BI34)</f>
        <v>#NAME?</v>
      </c>
      <c r="BJ34" s="729" t="e">
        <f ca="1">stat(calculs!BJ34)</f>
        <v>#NAME?</v>
      </c>
      <c r="BK34" s="729" t="e">
        <f ca="1">stat(calculs!BK34)</f>
        <v>#NAME?</v>
      </c>
      <c r="BL34" s="525" t="e">
        <f ca="1">stat(calculs!BL34)</f>
        <v>#NAME?</v>
      </c>
      <c r="BM34" s="525" t="e">
        <f ca="1">stat(calculs!BM34)</f>
        <v>#NAME?</v>
      </c>
      <c r="BN34" s="525" t="e">
        <f ca="1">stat(calculs!BN34)</f>
        <v>#NAME?</v>
      </c>
      <c r="BO34" s="525" t="e">
        <f ca="1">stat(calculs!BO34)</f>
        <v>#NAME?</v>
      </c>
      <c r="BP34" s="525" t="e">
        <f ca="1">stat(calculs!BP34)</f>
        <v>#NAME?</v>
      </c>
      <c r="BQ34" s="525" t="e">
        <f ca="1">stat(calculs!BQ34)</f>
        <v>#NAME?</v>
      </c>
      <c r="BR34" s="525" t="e">
        <f ca="1">stat(calculs!BR34)</f>
        <v>#NAME?</v>
      </c>
    </row>
    <row r="35" spans="1:70" x14ac:dyDescent="0.2">
      <c r="A35" s="222">
        <f>données_step[[#This Row],[Datum]]</f>
        <v>44586</v>
      </c>
      <c r="B35" s="223"/>
      <c r="C35" s="224">
        <f t="shared" si="0"/>
        <v>3</v>
      </c>
      <c r="D35" s="523" t="e">
        <f ca="1">stat(charge_entree[[#This Row],[ch_E_DBO5]])</f>
        <v>#NAME?</v>
      </c>
      <c r="E35" s="523" t="e">
        <f ca="1">stat(charge_entree[[#This Row],[ch_E_DCO]])</f>
        <v>#NAME?</v>
      </c>
      <c r="F35" s="523" t="e">
        <f ca="1">stat(charge_entree[[#This Row],[ch_E_COT]])</f>
        <v>#NAME?</v>
      </c>
      <c r="G35" s="523" t="e">
        <f ca="1">stat(charge_entree[[#This Row],[ch_E_NH4]])</f>
        <v>#NAME?</v>
      </c>
      <c r="H35" s="523" t="e">
        <f ca="1">stat(charge_entree[[#This Row],[ch_E_NTOT]])</f>
        <v>#NAME?</v>
      </c>
      <c r="I35" s="523" t="e">
        <f ca="1">stat(charge_entree[[#This Row],[ch_E_PTOT]])</f>
        <v>#NAME?</v>
      </c>
      <c r="J35" s="523" t="e">
        <f ca="1">stat(charge_entree[[#This Row],[ch_S_DBO]])</f>
        <v>#NAME?</v>
      </c>
      <c r="K35" s="523" t="e">
        <f ca="1">stat(charge_entree[[#This Row],[ch_S-DCO]])</f>
        <v>#NAME?</v>
      </c>
      <c r="L35" s="523" t="e">
        <f ca="1">stat(charge_entree[[#This Row],[ch_S_DOC]])</f>
        <v>#NAME?</v>
      </c>
      <c r="M35" s="523" t="e">
        <f ca="1">stat(charge_entree[[#This Row],[ch_S_NH4]])</f>
        <v>#NAME?</v>
      </c>
      <c r="N35" s="523" t="e">
        <f ca="1">stat(charge_entree[[#This Row],[ch_S_NO2]])</f>
        <v>#NAME?</v>
      </c>
      <c r="O35" s="523" t="e">
        <f ca="1">stat(charge_entree[[#This Row],[ch_S_NO3]])</f>
        <v>#NAME?</v>
      </c>
      <c r="P35" s="523" t="e">
        <f ca="1">stat(charge_entree[[#This Row],[ch_S_PTOT]])</f>
        <v>#NAME?</v>
      </c>
      <c r="Q35" s="523" t="e">
        <f ca="1">stat(charge_entree[[#This Row],[ch_S_SNDT]])</f>
        <v>#NAME?</v>
      </c>
      <c r="R35" s="523">
        <f>calculs!R35</f>
        <v>0</v>
      </c>
      <c r="S35" s="523" t="e">
        <f ca="1">stat(calculs!S35)</f>
        <v>#NAME?</v>
      </c>
      <c r="T35" s="523" t="e">
        <f ca="1">stat(calculs!T35)</f>
        <v>#NAME?</v>
      </c>
      <c r="U35" s="523" t="e">
        <f ca="1">stat(calculs!U35)</f>
        <v>#NAME?</v>
      </c>
      <c r="V35" s="523" t="e">
        <f ca="1">stat(calculs!V35)</f>
        <v>#NAME?</v>
      </c>
      <c r="W35" s="523" t="e">
        <f ca="1">stat(calculs!W35)</f>
        <v>#NAME?</v>
      </c>
      <c r="X35" s="523" t="e">
        <f ca="1">stat(calculs!X35)</f>
        <v>#NAME?</v>
      </c>
      <c r="Y35" s="523" t="e">
        <f ca="1">stat(calculs!Y35)</f>
        <v>#NAME?</v>
      </c>
      <c r="Z35" s="523" t="e">
        <f ca="1">stat(calculs!Z35)</f>
        <v>#NAME?</v>
      </c>
      <c r="AA35" s="523" t="e">
        <f ca="1">stat(calculs!AA35)</f>
        <v>#NAME?</v>
      </c>
      <c r="AB35" s="523" t="e">
        <f ca="1">stat(calculs!AB35)</f>
        <v>#NAME?</v>
      </c>
      <c r="AC35" s="523" t="e">
        <f ca="1">stat(calculs!AC35)</f>
        <v>#NAME?</v>
      </c>
      <c r="AD35" s="523" t="e">
        <f ca="1">stat(calculs!AD35)</f>
        <v>#NAME?</v>
      </c>
      <c r="AE35" s="523" t="e">
        <f ca="1">stat(calculs!AE35)</f>
        <v>#NAME?</v>
      </c>
      <c r="AF35" s="523" t="e">
        <f ca="1">stat(calculs!AF35)</f>
        <v>#NAME?</v>
      </c>
      <c r="AG35" s="523" t="e">
        <f ca="1">stat(calculs!AG35)</f>
        <v>#NAME?</v>
      </c>
      <c r="AH35" s="523" t="e">
        <f ca="1">stat(calculs!AH35)</f>
        <v>#NAME?</v>
      </c>
      <c r="AI35" s="523" t="e">
        <f ca="1">stat(calculs!AI35)</f>
        <v>#NAME?</v>
      </c>
      <c r="AJ35" s="523" t="e">
        <f ca="1">stat(calculs!AJ35)</f>
        <v>#NAME?</v>
      </c>
      <c r="AK35" s="523" t="e">
        <f ca="1">stat(calculs!AK35)</f>
        <v>#NAME?</v>
      </c>
      <c r="AL35" s="523" t="e">
        <f ca="1">stat(calculs!AL35)</f>
        <v>#NAME?</v>
      </c>
      <c r="AM35" s="523" t="e">
        <f ca="1">stat(calculs!AM35)</f>
        <v>#NAME?</v>
      </c>
      <c r="AN35" s="523" t="e">
        <f ca="1">stat(calculs!AN35)</f>
        <v>#NAME?</v>
      </c>
      <c r="AO35" s="523" t="e">
        <f ca="1">stat(calculs!AO35)</f>
        <v>#NAME?</v>
      </c>
      <c r="AP35" s="523" t="e">
        <f ca="1">stat(calculs!AP35)</f>
        <v>#NAME?</v>
      </c>
      <c r="AQ35" s="523" t="e">
        <f ca="1">stat(calculs!AQ35)</f>
        <v>#NAME?</v>
      </c>
      <c r="AT35" s="517"/>
      <c r="AV35" s="525" t="e">
        <f ca="1">stat(calculs!AV35)</f>
        <v>#NAME?</v>
      </c>
      <c r="AW35" s="525" t="e">
        <f ca="1">stat(calculs!AW35)</f>
        <v>#NAME?</v>
      </c>
      <c r="AX35" s="525" t="e">
        <f ca="1">stat(calculs!AX35)</f>
        <v>#NAME?</v>
      </c>
      <c r="AY35" s="525" t="e">
        <f ca="1">stat(calculs!AY35)</f>
        <v>#NAME?</v>
      </c>
      <c r="AZ35" s="525" t="e">
        <f ca="1">stat(calculs!AZ35)</f>
        <v>#NAME?</v>
      </c>
      <c r="BA35" s="525" t="e">
        <f ca="1">stat(calculs!BA35)</f>
        <v>#NAME?</v>
      </c>
      <c r="BB35" s="525" t="e">
        <f ca="1">stat(calculs!BB35)</f>
        <v>#NAME?</v>
      </c>
      <c r="BC35" s="525" t="e">
        <f ca="1">stat(calculs!BC35)</f>
        <v>#NAME?</v>
      </c>
      <c r="BD35" s="525" t="e">
        <f ca="1">stat(calculs!BD35)</f>
        <v>#NAME?</v>
      </c>
      <c r="BE35" s="525" t="e">
        <f ca="1">stat(calculs!BE35)</f>
        <v>#NAME?</v>
      </c>
      <c r="BF35" s="525" t="e">
        <f ca="1">stat(calculs!BF35)</f>
        <v>#NAME?</v>
      </c>
      <c r="BG35" s="729" t="e">
        <f ca="1">stat(calculs!BG35)</f>
        <v>#NAME?</v>
      </c>
      <c r="BH35" s="729" t="e">
        <f ca="1">stat(calculs!BH35)</f>
        <v>#NAME?</v>
      </c>
      <c r="BI35" s="729" t="e">
        <f ca="1">stat(calculs!BI35)</f>
        <v>#NAME?</v>
      </c>
      <c r="BJ35" s="729" t="e">
        <f ca="1">stat(calculs!BJ35)</f>
        <v>#NAME?</v>
      </c>
      <c r="BK35" s="729" t="e">
        <f ca="1">stat(calculs!BK35)</f>
        <v>#NAME?</v>
      </c>
      <c r="BL35" s="525" t="e">
        <f ca="1">stat(calculs!BL35)</f>
        <v>#NAME?</v>
      </c>
      <c r="BM35" s="525" t="e">
        <f ca="1">stat(calculs!BM35)</f>
        <v>#NAME?</v>
      </c>
      <c r="BN35" s="525" t="e">
        <f ca="1">stat(calculs!BN35)</f>
        <v>#NAME?</v>
      </c>
      <c r="BO35" s="525" t="e">
        <f ca="1">stat(calculs!BO35)</f>
        <v>#NAME?</v>
      </c>
      <c r="BP35" s="525" t="e">
        <f ca="1">stat(calculs!BP35)</f>
        <v>#NAME?</v>
      </c>
      <c r="BQ35" s="525" t="e">
        <f ca="1">stat(calculs!BQ35)</f>
        <v>#NAME?</v>
      </c>
      <c r="BR35" s="525" t="e">
        <f ca="1">stat(calculs!BR35)</f>
        <v>#NAME?</v>
      </c>
    </row>
    <row r="36" spans="1:70" x14ac:dyDescent="0.2">
      <c r="A36" s="222">
        <f>données_step[[#This Row],[Datum]]</f>
        <v>44587</v>
      </c>
      <c r="B36" s="223"/>
      <c r="C36" s="224">
        <f t="shared" si="0"/>
        <v>4</v>
      </c>
      <c r="D36" s="523" t="e">
        <f ca="1">stat(charge_entree[[#This Row],[ch_E_DBO5]])</f>
        <v>#NAME?</v>
      </c>
      <c r="E36" s="523" t="e">
        <f ca="1">stat(charge_entree[[#This Row],[ch_E_DCO]])</f>
        <v>#NAME?</v>
      </c>
      <c r="F36" s="523" t="e">
        <f ca="1">stat(charge_entree[[#This Row],[ch_E_COT]])</f>
        <v>#NAME?</v>
      </c>
      <c r="G36" s="523" t="e">
        <f ca="1">stat(charge_entree[[#This Row],[ch_E_NH4]])</f>
        <v>#NAME?</v>
      </c>
      <c r="H36" s="523" t="e">
        <f ca="1">stat(charge_entree[[#This Row],[ch_E_NTOT]])</f>
        <v>#NAME?</v>
      </c>
      <c r="I36" s="523" t="e">
        <f ca="1">stat(charge_entree[[#This Row],[ch_E_PTOT]])</f>
        <v>#NAME?</v>
      </c>
      <c r="J36" s="523" t="e">
        <f ca="1">stat(charge_entree[[#This Row],[ch_S_DBO]])</f>
        <v>#NAME?</v>
      </c>
      <c r="K36" s="523" t="e">
        <f ca="1">stat(charge_entree[[#This Row],[ch_S-DCO]])</f>
        <v>#NAME?</v>
      </c>
      <c r="L36" s="523" t="e">
        <f ca="1">stat(charge_entree[[#This Row],[ch_S_DOC]])</f>
        <v>#NAME?</v>
      </c>
      <c r="M36" s="523" t="e">
        <f ca="1">stat(charge_entree[[#This Row],[ch_S_NH4]])</f>
        <v>#NAME?</v>
      </c>
      <c r="N36" s="523" t="e">
        <f ca="1">stat(charge_entree[[#This Row],[ch_S_NO2]])</f>
        <v>#NAME?</v>
      </c>
      <c r="O36" s="523" t="e">
        <f ca="1">stat(charge_entree[[#This Row],[ch_S_NO3]])</f>
        <v>#NAME?</v>
      </c>
      <c r="P36" s="523" t="e">
        <f ca="1">stat(charge_entree[[#This Row],[ch_S_PTOT]])</f>
        <v>#NAME?</v>
      </c>
      <c r="Q36" s="523" t="e">
        <f ca="1">stat(charge_entree[[#This Row],[ch_S_SNDT]])</f>
        <v>#NAME?</v>
      </c>
      <c r="R36" s="523">
        <f>calculs!R36</f>
        <v>0</v>
      </c>
      <c r="S36" s="523" t="e">
        <f ca="1">stat(calculs!S36)</f>
        <v>#NAME?</v>
      </c>
      <c r="T36" s="523" t="e">
        <f ca="1">stat(calculs!T36)</f>
        <v>#NAME?</v>
      </c>
      <c r="U36" s="523" t="e">
        <f ca="1">stat(calculs!U36)</f>
        <v>#NAME?</v>
      </c>
      <c r="V36" s="523" t="e">
        <f ca="1">stat(calculs!V36)</f>
        <v>#NAME?</v>
      </c>
      <c r="W36" s="523" t="e">
        <f ca="1">stat(calculs!W36)</f>
        <v>#NAME?</v>
      </c>
      <c r="X36" s="523" t="e">
        <f ca="1">stat(calculs!X36)</f>
        <v>#NAME?</v>
      </c>
      <c r="Y36" s="523" t="e">
        <f ca="1">stat(calculs!Y36)</f>
        <v>#NAME?</v>
      </c>
      <c r="Z36" s="523" t="e">
        <f ca="1">stat(calculs!Z36)</f>
        <v>#NAME?</v>
      </c>
      <c r="AA36" s="523" t="e">
        <f ca="1">stat(calculs!AA36)</f>
        <v>#NAME?</v>
      </c>
      <c r="AB36" s="523" t="e">
        <f ca="1">stat(calculs!AB36)</f>
        <v>#NAME?</v>
      </c>
      <c r="AC36" s="523" t="e">
        <f ca="1">stat(calculs!AC36)</f>
        <v>#NAME?</v>
      </c>
      <c r="AD36" s="523" t="e">
        <f ca="1">stat(calculs!AD36)</f>
        <v>#NAME?</v>
      </c>
      <c r="AE36" s="523" t="e">
        <f ca="1">stat(calculs!AE36)</f>
        <v>#NAME?</v>
      </c>
      <c r="AF36" s="523" t="e">
        <f ca="1">stat(calculs!AF36)</f>
        <v>#NAME?</v>
      </c>
      <c r="AG36" s="523" t="e">
        <f ca="1">stat(calculs!AG36)</f>
        <v>#NAME?</v>
      </c>
      <c r="AH36" s="523" t="e">
        <f ca="1">stat(calculs!AH36)</f>
        <v>#NAME?</v>
      </c>
      <c r="AI36" s="523" t="e">
        <f ca="1">stat(calculs!AI36)</f>
        <v>#NAME?</v>
      </c>
      <c r="AJ36" s="523" t="e">
        <f ca="1">stat(calculs!AJ36)</f>
        <v>#NAME?</v>
      </c>
      <c r="AK36" s="523" t="e">
        <f ca="1">stat(calculs!AK36)</f>
        <v>#NAME?</v>
      </c>
      <c r="AL36" s="523" t="e">
        <f ca="1">stat(calculs!AL36)</f>
        <v>#NAME?</v>
      </c>
      <c r="AM36" s="523" t="e">
        <f ca="1">stat(calculs!AM36)</f>
        <v>#NAME?</v>
      </c>
      <c r="AN36" s="523" t="e">
        <f ca="1">stat(calculs!AN36)</f>
        <v>#NAME?</v>
      </c>
      <c r="AO36" s="523" t="e">
        <f ca="1">stat(calculs!AO36)</f>
        <v>#NAME?</v>
      </c>
      <c r="AP36" s="523" t="e">
        <f ca="1">stat(calculs!AP36)</f>
        <v>#NAME?</v>
      </c>
      <c r="AQ36" s="523" t="e">
        <f ca="1">stat(calculs!AQ36)</f>
        <v>#NAME?</v>
      </c>
      <c r="AT36" s="517"/>
      <c r="AV36" s="525" t="e">
        <f ca="1">stat(calculs!AV36)</f>
        <v>#NAME?</v>
      </c>
      <c r="AW36" s="525" t="e">
        <f ca="1">stat(calculs!AW36)</f>
        <v>#NAME?</v>
      </c>
      <c r="AX36" s="525" t="e">
        <f ca="1">stat(calculs!AX36)</f>
        <v>#NAME?</v>
      </c>
      <c r="AY36" s="525" t="e">
        <f ca="1">stat(calculs!AY36)</f>
        <v>#NAME?</v>
      </c>
      <c r="AZ36" s="525" t="e">
        <f ca="1">stat(calculs!AZ36)</f>
        <v>#NAME?</v>
      </c>
      <c r="BA36" s="525" t="e">
        <f ca="1">stat(calculs!BA36)</f>
        <v>#NAME?</v>
      </c>
      <c r="BB36" s="525" t="e">
        <f ca="1">stat(calculs!BB36)</f>
        <v>#NAME?</v>
      </c>
      <c r="BC36" s="525" t="e">
        <f ca="1">stat(calculs!BC36)</f>
        <v>#NAME?</v>
      </c>
      <c r="BD36" s="525" t="e">
        <f ca="1">stat(calculs!BD36)</f>
        <v>#NAME?</v>
      </c>
      <c r="BE36" s="525" t="e">
        <f ca="1">stat(calculs!BE36)</f>
        <v>#NAME?</v>
      </c>
      <c r="BF36" s="525" t="e">
        <f ca="1">stat(calculs!BF36)</f>
        <v>#NAME?</v>
      </c>
      <c r="BG36" s="729" t="e">
        <f ca="1">stat(calculs!BG36)</f>
        <v>#NAME?</v>
      </c>
      <c r="BH36" s="729" t="e">
        <f ca="1">stat(calculs!BH36)</f>
        <v>#NAME?</v>
      </c>
      <c r="BI36" s="729" t="e">
        <f ca="1">stat(calculs!BI36)</f>
        <v>#NAME?</v>
      </c>
      <c r="BJ36" s="729" t="e">
        <f ca="1">stat(calculs!BJ36)</f>
        <v>#NAME?</v>
      </c>
      <c r="BK36" s="729" t="e">
        <f ca="1">stat(calculs!BK36)</f>
        <v>#NAME?</v>
      </c>
      <c r="BL36" s="525" t="e">
        <f ca="1">stat(calculs!BL36)</f>
        <v>#NAME?</v>
      </c>
      <c r="BM36" s="525" t="e">
        <f ca="1">stat(calculs!BM36)</f>
        <v>#NAME?</v>
      </c>
      <c r="BN36" s="525" t="e">
        <f ca="1">stat(calculs!BN36)</f>
        <v>#NAME?</v>
      </c>
      <c r="BO36" s="525" t="e">
        <f ca="1">stat(calculs!BO36)</f>
        <v>#NAME?</v>
      </c>
      <c r="BP36" s="525" t="e">
        <f ca="1">stat(calculs!BP36)</f>
        <v>#NAME?</v>
      </c>
      <c r="BQ36" s="525" t="e">
        <f ca="1">stat(calculs!BQ36)</f>
        <v>#NAME?</v>
      </c>
      <c r="BR36" s="525" t="e">
        <f ca="1">stat(calculs!BR36)</f>
        <v>#NAME?</v>
      </c>
    </row>
    <row r="37" spans="1:70" x14ac:dyDescent="0.2">
      <c r="A37" s="222">
        <f>données_step[[#This Row],[Datum]]</f>
        <v>44588</v>
      </c>
      <c r="B37" s="223"/>
      <c r="C37" s="224">
        <f t="shared" si="0"/>
        <v>5</v>
      </c>
      <c r="D37" s="523" t="e">
        <f ca="1">stat(charge_entree[[#This Row],[ch_E_DBO5]])</f>
        <v>#NAME?</v>
      </c>
      <c r="E37" s="523" t="e">
        <f ca="1">stat(charge_entree[[#This Row],[ch_E_DCO]])</f>
        <v>#NAME?</v>
      </c>
      <c r="F37" s="523" t="e">
        <f ca="1">stat(charge_entree[[#This Row],[ch_E_COT]])</f>
        <v>#NAME?</v>
      </c>
      <c r="G37" s="523" t="e">
        <f ca="1">stat(charge_entree[[#This Row],[ch_E_NH4]])</f>
        <v>#NAME?</v>
      </c>
      <c r="H37" s="523" t="e">
        <f ca="1">stat(charge_entree[[#This Row],[ch_E_NTOT]])</f>
        <v>#NAME?</v>
      </c>
      <c r="I37" s="523" t="e">
        <f ca="1">stat(charge_entree[[#This Row],[ch_E_PTOT]])</f>
        <v>#NAME?</v>
      </c>
      <c r="J37" s="523" t="e">
        <f ca="1">stat(charge_entree[[#This Row],[ch_S_DBO]])</f>
        <v>#NAME?</v>
      </c>
      <c r="K37" s="523" t="e">
        <f ca="1">stat(charge_entree[[#This Row],[ch_S-DCO]])</f>
        <v>#NAME?</v>
      </c>
      <c r="L37" s="523" t="e">
        <f ca="1">stat(charge_entree[[#This Row],[ch_S_DOC]])</f>
        <v>#NAME?</v>
      </c>
      <c r="M37" s="523" t="e">
        <f ca="1">stat(charge_entree[[#This Row],[ch_S_NH4]])</f>
        <v>#NAME?</v>
      </c>
      <c r="N37" s="523" t="e">
        <f ca="1">stat(charge_entree[[#This Row],[ch_S_NO2]])</f>
        <v>#NAME?</v>
      </c>
      <c r="O37" s="523" t="e">
        <f ca="1">stat(charge_entree[[#This Row],[ch_S_NO3]])</f>
        <v>#NAME?</v>
      </c>
      <c r="P37" s="523" t="e">
        <f ca="1">stat(charge_entree[[#This Row],[ch_S_PTOT]])</f>
        <v>#NAME?</v>
      </c>
      <c r="Q37" s="523" t="e">
        <f ca="1">stat(charge_entree[[#This Row],[ch_S_SNDT]])</f>
        <v>#NAME?</v>
      </c>
      <c r="R37" s="523">
        <f>calculs!R37</f>
        <v>0</v>
      </c>
      <c r="S37" s="523" t="e">
        <f ca="1">stat(calculs!S37)</f>
        <v>#NAME?</v>
      </c>
      <c r="T37" s="523" t="e">
        <f ca="1">stat(calculs!T37)</f>
        <v>#NAME?</v>
      </c>
      <c r="U37" s="523" t="e">
        <f ca="1">stat(calculs!U37)</f>
        <v>#NAME?</v>
      </c>
      <c r="V37" s="523" t="e">
        <f ca="1">stat(calculs!V37)</f>
        <v>#NAME?</v>
      </c>
      <c r="W37" s="523" t="e">
        <f ca="1">stat(calculs!W37)</f>
        <v>#NAME?</v>
      </c>
      <c r="X37" s="523" t="e">
        <f ca="1">stat(calculs!X37)</f>
        <v>#NAME?</v>
      </c>
      <c r="Y37" s="523" t="e">
        <f ca="1">stat(calculs!Y37)</f>
        <v>#NAME?</v>
      </c>
      <c r="Z37" s="523" t="e">
        <f ca="1">stat(calculs!Z37)</f>
        <v>#NAME?</v>
      </c>
      <c r="AA37" s="523" t="e">
        <f ca="1">stat(calculs!AA37)</f>
        <v>#NAME?</v>
      </c>
      <c r="AB37" s="523" t="e">
        <f ca="1">stat(calculs!AB37)</f>
        <v>#NAME?</v>
      </c>
      <c r="AC37" s="523" t="e">
        <f ca="1">stat(calculs!AC37)</f>
        <v>#NAME?</v>
      </c>
      <c r="AD37" s="523" t="e">
        <f ca="1">stat(calculs!AD37)</f>
        <v>#NAME?</v>
      </c>
      <c r="AE37" s="523" t="e">
        <f ca="1">stat(calculs!AE37)</f>
        <v>#NAME?</v>
      </c>
      <c r="AF37" s="523" t="e">
        <f ca="1">stat(calculs!AF37)</f>
        <v>#NAME?</v>
      </c>
      <c r="AG37" s="523" t="e">
        <f ca="1">stat(calculs!AG37)</f>
        <v>#NAME?</v>
      </c>
      <c r="AH37" s="523" t="e">
        <f ca="1">stat(calculs!AH37)</f>
        <v>#NAME?</v>
      </c>
      <c r="AI37" s="523" t="e">
        <f ca="1">stat(calculs!AI37)</f>
        <v>#NAME?</v>
      </c>
      <c r="AJ37" s="523" t="e">
        <f ca="1">stat(calculs!AJ37)</f>
        <v>#NAME?</v>
      </c>
      <c r="AK37" s="523" t="e">
        <f ca="1">stat(calculs!AK37)</f>
        <v>#NAME?</v>
      </c>
      <c r="AL37" s="523" t="e">
        <f ca="1">stat(calculs!AL37)</f>
        <v>#NAME?</v>
      </c>
      <c r="AM37" s="523" t="e">
        <f ca="1">stat(calculs!AM37)</f>
        <v>#NAME?</v>
      </c>
      <c r="AN37" s="523" t="e">
        <f ca="1">stat(calculs!AN37)</f>
        <v>#NAME?</v>
      </c>
      <c r="AO37" s="523" t="e">
        <f ca="1">stat(calculs!AO37)</f>
        <v>#NAME?</v>
      </c>
      <c r="AP37" s="523" t="e">
        <f ca="1">stat(calculs!AP37)</f>
        <v>#NAME?</v>
      </c>
      <c r="AQ37" s="523" t="e">
        <f ca="1">stat(calculs!AQ37)</f>
        <v>#NAME?</v>
      </c>
      <c r="AT37" s="517"/>
      <c r="AV37" s="525" t="e">
        <f ca="1">stat(calculs!AV37)</f>
        <v>#NAME?</v>
      </c>
      <c r="AW37" s="525" t="e">
        <f ca="1">stat(calculs!AW37)</f>
        <v>#NAME?</v>
      </c>
      <c r="AX37" s="525" t="e">
        <f ca="1">stat(calculs!AX37)</f>
        <v>#NAME?</v>
      </c>
      <c r="AY37" s="525" t="e">
        <f ca="1">stat(calculs!AY37)</f>
        <v>#NAME?</v>
      </c>
      <c r="AZ37" s="525" t="e">
        <f ca="1">stat(calculs!AZ37)</f>
        <v>#NAME?</v>
      </c>
      <c r="BA37" s="525" t="e">
        <f ca="1">stat(calculs!BA37)</f>
        <v>#NAME?</v>
      </c>
      <c r="BB37" s="525" t="e">
        <f ca="1">stat(calculs!BB37)</f>
        <v>#NAME?</v>
      </c>
      <c r="BC37" s="525" t="e">
        <f ca="1">stat(calculs!BC37)</f>
        <v>#NAME?</v>
      </c>
      <c r="BD37" s="525" t="e">
        <f ca="1">stat(calculs!BD37)</f>
        <v>#NAME?</v>
      </c>
      <c r="BE37" s="525" t="e">
        <f ca="1">stat(calculs!BE37)</f>
        <v>#NAME?</v>
      </c>
      <c r="BF37" s="525" t="e">
        <f ca="1">stat(calculs!BF37)</f>
        <v>#NAME?</v>
      </c>
      <c r="BG37" s="729" t="e">
        <f ca="1">stat(calculs!BG37)</f>
        <v>#NAME?</v>
      </c>
      <c r="BH37" s="729" t="e">
        <f ca="1">stat(calculs!BH37)</f>
        <v>#NAME?</v>
      </c>
      <c r="BI37" s="729" t="e">
        <f ca="1">stat(calculs!BI37)</f>
        <v>#NAME?</v>
      </c>
      <c r="BJ37" s="729" t="e">
        <f ca="1">stat(calculs!BJ37)</f>
        <v>#NAME?</v>
      </c>
      <c r="BK37" s="729" t="e">
        <f ca="1">stat(calculs!BK37)</f>
        <v>#NAME?</v>
      </c>
      <c r="BL37" s="525" t="e">
        <f ca="1">stat(calculs!BL37)</f>
        <v>#NAME?</v>
      </c>
      <c r="BM37" s="525" t="e">
        <f ca="1">stat(calculs!BM37)</f>
        <v>#NAME?</v>
      </c>
      <c r="BN37" s="525" t="e">
        <f ca="1">stat(calculs!BN37)</f>
        <v>#NAME?</v>
      </c>
      <c r="BO37" s="525" t="e">
        <f ca="1">stat(calculs!BO37)</f>
        <v>#NAME?</v>
      </c>
      <c r="BP37" s="525" t="e">
        <f ca="1">stat(calculs!BP37)</f>
        <v>#NAME?</v>
      </c>
      <c r="BQ37" s="525" t="e">
        <f ca="1">stat(calculs!BQ37)</f>
        <v>#NAME?</v>
      </c>
      <c r="BR37" s="525" t="e">
        <f ca="1">stat(calculs!BR37)</f>
        <v>#NAME?</v>
      </c>
    </row>
    <row r="38" spans="1:70" x14ac:dyDescent="0.2">
      <c r="A38" s="222">
        <f>données_step[[#This Row],[Datum]]</f>
        <v>44589</v>
      </c>
      <c r="B38" s="223"/>
      <c r="C38" s="224">
        <f t="shared" si="0"/>
        <v>6</v>
      </c>
      <c r="D38" s="523" t="e">
        <f ca="1">stat(charge_entree[[#This Row],[ch_E_DBO5]])</f>
        <v>#NAME?</v>
      </c>
      <c r="E38" s="523" t="e">
        <f ca="1">stat(charge_entree[[#This Row],[ch_E_DCO]])</f>
        <v>#NAME?</v>
      </c>
      <c r="F38" s="523" t="e">
        <f ca="1">stat(charge_entree[[#This Row],[ch_E_COT]])</f>
        <v>#NAME?</v>
      </c>
      <c r="G38" s="523" t="e">
        <f ca="1">stat(charge_entree[[#This Row],[ch_E_NH4]])</f>
        <v>#NAME?</v>
      </c>
      <c r="H38" s="523" t="e">
        <f ca="1">stat(charge_entree[[#This Row],[ch_E_NTOT]])</f>
        <v>#NAME?</v>
      </c>
      <c r="I38" s="523" t="e">
        <f ca="1">stat(charge_entree[[#This Row],[ch_E_PTOT]])</f>
        <v>#NAME?</v>
      </c>
      <c r="J38" s="523" t="e">
        <f ca="1">stat(charge_entree[[#This Row],[ch_S_DBO]])</f>
        <v>#NAME?</v>
      </c>
      <c r="K38" s="523" t="e">
        <f ca="1">stat(charge_entree[[#This Row],[ch_S-DCO]])</f>
        <v>#NAME?</v>
      </c>
      <c r="L38" s="523" t="e">
        <f ca="1">stat(charge_entree[[#This Row],[ch_S_DOC]])</f>
        <v>#NAME?</v>
      </c>
      <c r="M38" s="523" t="e">
        <f ca="1">stat(charge_entree[[#This Row],[ch_S_NH4]])</f>
        <v>#NAME?</v>
      </c>
      <c r="N38" s="523" t="e">
        <f ca="1">stat(charge_entree[[#This Row],[ch_S_NO2]])</f>
        <v>#NAME?</v>
      </c>
      <c r="O38" s="523" t="e">
        <f ca="1">stat(charge_entree[[#This Row],[ch_S_NO3]])</f>
        <v>#NAME?</v>
      </c>
      <c r="P38" s="523" t="e">
        <f ca="1">stat(charge_entree[[#This Row],[ch_S_PTOT]])</f>
        <v>#NAME?</v>
      </c>
      <c r="Q38" s="523" t="e">
        <f ca="1">stat(charge_entree[[#This Row],[ch_S_SNDT]])</f>
        <v>#NAME?</v>
      </c>
      <c r="R38" s="523">
        <f>calculs!R38</f>
        <v>0</v>
      </c>
      <c r="S38" s="523" t="e">
        <f ca="1">stat(calculs!S38)</f>
        <v>#NAME?</v>
      </c>
      <c r="T38" s="523" t="e">
        <f ca="1">stat(calculs!T38)</f>
        <v>#NAME?</v>
      </c>
      <c r="U38" s="523" t="e">
        <f ca="1">stat(calculs!U38)</f>
        <v>#NAME?</v>
      </c>
      <c r="V38" s="523" t="e">
        <f ca="1">stat(calculs!V38)</f>
        <v>#NAME?</v>
      </c>
      <c r="W38" s="523" t="e">
        <f ca="1">stat(calculs!W38)</f>
        <v>#NAME?</v>
      </c>
      <c r="X38" s="523" t="e">
        <f ca="1">stat(calculs!X38)</f>
        <v>#NAME?</v>
      </c>
      <c r="Y38" s="523" t="e">
        <f ca="1">stat(calculs!Y38)</f>
        <v>#NAME?</v>
      </c>
      <c r="Z38" s="523" t="e">
        <f ca="1">stat(calculs!Z38)</f>
        <v>#NAME?</v>
      </c>
      <c r="AA38" s="523" t="e">
        <f ca="1">stat(calculs!AA38)</f>
        <v>#NAME?</v>
      </c>
      <c r="AB38" s="523" t="e">
        <f ca="1">stat(calculs!AB38)</f>
        <v>#NAME?</v>
      </c>
      <c r="AC38" s="523" t="e">
        <f ca="1">stat(calculs!AC38)</f>
        <v>#NAME?</v>
      </c>
      <c r="AD38" s="523" t="e">
        <f ca="1">stat(calculs!AD38)</f>
        <v>#NAME?</v>
      </c>
      <c r="AE38" s="523" t="e">
        <f ca="1">stat(calculs!AE38)</f>
        <v>#NAME?</v>
      </c>
      <c r="AF38" s="523" t="e">
        <f ca="1">stat(calculs!AF38)</f>
        <v>#NAME?</v>
      </c>
      <c r="AG38" s="523" t="e">
        <f ca="1">stat(calculs!AG38)</f>
        <v>#NAME?</v>
      </c>
      <c r="AH38" s="523" t="e">
        <f ca="1">stat(calculs!AH38)</f>
        <v>#NAME?</v>
      </c>
      <c r="AI38" s="523" t="e">
        <f ca="1">stat(calculs!AI38)</f>
        <v>#NAME?</v>
      </c>
      <c r="AJ38" s="523" t="e">
        <f ca="1">stat(calculs!AJ38)</f>
        <v>#NAME?</v>
      </c>
      <c r="AK38" s="523" t="e">
        <f ca="1">stat(calculs!AK38)</f>
        <v>#NAME?</v>
      </c>
      <c r="AL38" s="523" t="e">
        <f ca="1">stat(calculs!AL38)</f>
        <v>#NAME?</v>
      </c>
      <c r="AM38" s="523" t="e">
        <f ca="1">stat(calculs!AM38)</f>
        <v>#NAME?</v>
      </c>
      <c r="AN38" s="523" t="e">
        <f ca="1">stat(calculs!AN38)</f>
        <v>#NAME?</v>
      </c>
      <c r="AO38" s="523" t="e">
        <f ca="1">stat(calculs!AO38)</f>
        <v>#NAME?</v>
      </c>
      <c r="AP38" s="523" t="e">
        <f ca="1">stat(calculs!AP38)</f>
        <v>#NAME?</v>
      </c>
      <c r="AQ38" s="523" t="e">
        <f ca="1">stat(calculs!AQ38)</f>
        <v>#NAME?</v>
      </c>
      <c r="AT38" s="517"/>
      <c r="AV38" s="525" t="e">
        <f ca="1">stat(calculs!AV38)</f>
        <v>#NAME?</v>
      </c>
      <c r="AW38" s="525" t="e">
        <f ca="1">stat(calculs!AW38)</f>
        <v>#NAME?</v>
      </c>
      <c r="AX38" s="525" t="e">
        <f ca="1">stat(calculs!AX38)</f>
        <v>#NAME?</v>
      </c>
      <c r="AY38" s="525" t="e">
        <f ca="1">stat(calculs!AY38)</f>
        <v>#NAME?</v>
      </c>
      <c r="AZ38" s="525" t="e">
        <f ca="1">stat(calculs!AZ38)</f>
        <v>#NAME?</v>
      </c>
      <c r="BA38" s="525" t="e">
        <f ca="1">stat(calculs!BA38)</f>
        <v>#NAME?</v>
      </c>
      <c r="BB38" s="525" t="e">
        <f ca="1">stat(calculs!BB38)</f>
        <v>#NAME?</v>
      </c>
      <c r="BC38" s="525" t="e">
        <f ca="1">stat(calculs!BC38)</f>
        <v>#NAME?</v>
      </c>
      <c r="BD38" s="525" t="e">
        <f ca="1">stat(calculs!BD38)</f>
        <v>#NAME?</v>
      </c>
      <c r="BE38" s="525" t="e">
        <f ca="1">stat(calculs!BE38)</f>
        <v>#NAME?</v>
      </c>
      <c r="BF38" s="525" t="e">
        <f ca="1">stat(calculs!BF38)</f>
        <v>#NAME?</v>
      </c>
      <c r="BG38" s="729" t="e">
        <f ca="1">stat(calculs!BG38)</f>
        <v>#NAME?</v>
      </c>
      <c r="BH38" s="729" t="e">
        <f ca="1">stat(calculs!BH38)</f>
        <v>#NAME?</v>
      </c>
      <c r="BI38" s="729" t="e">
        <f ca="1">stat(calculs!BI38)</f>
        <v>#NAME?</v>
      </c>
      <c r="BJ38" s="729" t="e">
        <f ca="1">stat(calculs!BJ38)</f>
        <v>#NAME?</v>
      </c>
      <c r="BK38" s="729" t="e">
        <f ca="1">stat(calculs!BK38)</f>
        <v>#NAME?</v>
      </c>
      <c r="BL38" s="525" t="e">
        <f ca="1">stat(calculs!BL38)</f>
        <v>#NAME?</v>
      </c>
      <c r="BM38" s="525" t="e">
        <f ca="1">stat(calculs!BM38)</f>
        <v>#NAME?</v>
      </c>
      <c r="BN38" s="525" t="e">
        <f ca="1">stat(calculs!BN38)</f>
        <v>#NAME?</v>
      </c>
      <c r="BO38" s="525" t="e">
        <f ca="1">stat(calculs!BO38)</f>
        <v>#NAME?</v>
      </c>
      <c r="BP38" s="525" t="e">
        <f ca="1">stat(calculs!BP38)</f>
        <v>#NAME?</v>
      </c>
      <c r="BQ38" s="525" t="e">
        <f ca="1">stat(calculs!BQ38)</f>
        <v>#NAME?</v>
      </c>
      <c r="BR38" s="525" t="e">
        <f ca="1">stat(calculs!BR38)</f>
        <v>#NAME?</v>
      </c>
    </row>
    <row r="39" spans="1:70" ht="26.25" customHeight="1" x14ac:dyDescent="0.2">
      <c r="A39" s="222">
        <f>données_step[[#This Row],[Datum]]</f>
        <v>44590</v>
      </c>
      <c r="B39" s="223"/>
      <c r="C39" s="224">
        <f t="shared" si="0"/>
        <v>7</v>
      </c>
      <c r="D39" s="523" t="e">
        <f ca="1">stat(charge_entree[[#This Row],[ch_E_DBO5]])</f>
        <v>#NAME?</v>
      </c>
      <c r="E39" s="523" t="e">
        <f ca="1">stat(charge_entree[[#This Row],[ch_E_DCO]])</f>
        <v>#NAME?</v>
      </c>
      <c r="F39" s="523" t="e">
        <f ca="1">stat(charge_entree[[#This Row],[ch_E_COT]])</f>
        <v>#NAME?</v>
      </c>
      <c r="G39" s="523" t="e">
        <f ca="1">stat(charge_entree[[#This Row],[ch_E_NH4]])</f>
        <v>#NAME?</v>
      </c>
      <c r="H39" s="523" t="e">
        <f ca="1">stat(charge_entree[[#This Row],[ch_E_NTOT]])</f>
        <v>#NAME?</v>
      </c>
      <c r="I39" s="523" t="e">
        <f ca="1">stat(charge_entree[[#This Row],[ch_E_PTOT]])</f>
        <v>#NAME?</v>
      </c>
      <c r="J39" s="523" t="e">
        <f ca="1">stat(charge_entree[[#This Row],[ch_S_DBO]])</f>
        <v>#NAME?</v>
      </c>
      <c r="K39" s="523" t="e">
        <f ca="1">stat(charge_entree[[#This Row],[ch_S-DCO]])</f>
        <v>#NAME?</v>
      </c>
      <c r="L39" s="523" t="e">
        <f ca="1">stat(charge_entree[[#This Row],[ch_S_DOC]])</f>
        <v>#NAME?</v>
      </c>
      <c r="M39" s="523" t="e">
        <f ca="1">stat(charge_entree[[#This Row],[ch_S_NH4]])</f>
        <v>#NAME?</v>
      </c>
      <c r="N39" s="523" t="e">
        <f ca="1">stat(charge_entree[[#This Row],[ch_S_NO2]])</f>
        <v>#NAME?</v>
      </c>
      <c r="O39" s="523" t="e">
        <f ca="1">stat(charge_entree[[#This Row],[ch_S_NO3]])</f>
        <v>#NAME?</v>
      </c>
      <c r="P39" s="523" t="e">
        <f ca="1">stat(charge_entree[[#This Row],[ch_S_PTOT]])</f>
        <v>#NAME?</v>
      </c>
      <c r="Q39" s="523" t="e">
        <f ca="1">stat(charge_entree[[#This Row],[ch_S_SNDT]])</f>
        <v>#NAME?</v>
      </c>
      <c r="R39" s="523">
        <f>calculs!R39</f>
        <v>0</v>
      </c>
      <c r="S39" s="523" t="e">
        <f ca="1">stat(calculs!S39)</f>
        <v>#NAME?</v>
      </c>
      <c r="T39" s="523" t="e">
        <f ca="1">stat(calculs!T39)</f>
        <v>#NAME?</v>
      </c>
      <c r="U39" s="523" t="e">
        <f ca="1">stat(calculs!U39)</f>
        <v>#NAME?</v>
      </c>
      <c r="V39" s="523" t="e">
        <f ca="1">stat(calculs!V39)</f>
        <v>#NAME?</v>
      </c>
      <c r="W39" s="523" t="e">
        <f ca="1">stat(calculs!W39)</f>
        <v>#NAME?</v>
      </c>
      <c r="X39" s="523" t="e">
        <f ca="1">stat(calculs!X39)</f>
        <v>#NAME?</v>
      </c>
      <c r="Y39" s="523" t="e">
        <f ca="1">stat(calculs!Y39)</f>
        <v>#NAME?</v>
      </c>
      <c r="Z39" s="523" t="e">
        <f ca="1">stat(calculs!Z39)</f>
        <v>#NAME?</v>
      </c>
      <c r="AA39" s="523" t="e">
        <f ca="1">stat(calculs!AA39)</f>
        <v>#NAME?</v>
      </c>
      <c r="AB39" s="523" t="e">
        <f ca="1">stat(calculs!AB39)</f>
        <v>#NAME?</v>
      </c>
      <c r="AC39" s="523" t="e">
        <f ca="1">stat(calculs!AC39)</f>
        <v>#NAME?</v>
      </c>
      <c r="AD39" s="523" t="e">
        <f ca="1">stat(calculs!AD39)</f>
        <v>#NAME?</v>
      </c>
      <c r="AE39" s="523" t="e">
        <f ca="1">stat(calculs!AE39)</f>
        <v>#NAME?</v>
      </c>
      <c r="AF39" s="523" t="e">
        <f ca="1">stat(calculs!AF39)</f>
        <v>#NAME?</v>
      </c>
      <c r="AG39" s="523" t="e">
        <f ca="1">stat(calculs!AG39)</f>
        <v>#NAME?</v>
      </c>
      <c r="AH39" s="523" t="e">
        <f ca="1">stat(calculs!AH39)</f>
        <v>#NAME?</v>
      </c>
      <c r="AI39" s="523" t="e">
        <f ca="1">stat(calculs!AI39)</f>
        <v>#NAME?</v>
      </c>
      <c r="AJ39" s="523" t="e">
        <f ca="1">stat(calculs!AJ39)</f>
        <v>#NAME?</v>
      </c>
      <c r="AK39" s="523" t="e">
        <f ca="1">stat(calculs!AK39)</f>
        <v>#NAME?</v>
      </c>
      <c r="AL39" s="523" t="e">
        <f ca="1">stat(calculs!AL39)</f>
        <v>#NAME?</v>
      </c>
      <c r="AM39" s="523" t="e">
        <f ca="1">stat(calculs!AM39)</f>
        <v>#NAME?</v>
      </c>
      <c r="AN39" s="523" t="e">
        <f ca="1">stat(calculs!AN39)</f>
        <v>#NAME?</v>
      </c>
      <c r="AO39" s="523" t="e">
        <f ca="1">stat(calculs!AO39)</f>
        <v>#NAME?</v>
      </c>
      <c r="AP39" s="523" t="e">
        <f ca="1">stat(calculs!AP39)</f>
        <v>#NAME?</v>
      </c>
      <c r="AQ39" s="523" t="e">
        <f ca="1">stat(calculs!AQ39)</f>
        <v>#NAME?</v>
      </c>
      <c r="AT39" s="517"/>
      <c r="AV39" s="525" t="e">
        <f ca="1">stat(calculs!AV39)</f>
        <v>#NAME?</v>
      </c>
      <c r="AW39" s="525" t="e">
        <f ca="1">stat(calculs!AW39)</f>
        <v>#NAME?</v>
      </c>
      <c r="AX39" s="525" t="e">
        <f ca="1">stat(calculs!AX39)</f>
        <v>#NAME?</v>
      </c>
      <c r="AY39" s="525" t="e">
        <f ca="1">stat(calculs!AY39)</f>
        <v>#NAME?</v>
      </c>
      <c r="AZ39" s="525" t="e">
        <f ca="1">stat(calculs!AZ39)</f>
        <v>#NAME?</v>
      </c>
      <c r="BA39" s="525" t="e">
        <f ca="1">stat(calculs!BA39)</f>
        <v>#NAME?</v>
      </c>
      <c r="BB39" s="525" t="e">
        <f ca="1">stat(calculs!BB39)</f>
        <v>#NAME?</v>
      </c>
      <c r="BC39" s="525" t="e">
        <f ca="1">stat(calculs!BC39)</f>
        <v>#NAME?</v>
      </c>
      <c r="BD39" s="525" t="e">
        <f ca="1">stat(calculs!BD39)</f>
        <v>#NAME?</v>
      </c>
      <c r="BE39" s="525" t="e">
        <f ca="1">stat(calculs!BE39)</f>
        <v>#NAME?</v>
      </c>
      <c r="BF39" s="525" t="e">
        <f ca="1">stat(calculs!BF39)</f>
        <v>#NAME?</v>
      </c>
      <c r="BG39" s="729" t="e">
        <f ca="1">stat(calculs!BG39)</f>
        <v>#NAME?</v>
      </c>
      <c r="BH39" s="729" t="e">
        <f ca="1">stat(calculs!BH39)</f>
        <v>#NAME?</v>
      </c>
      <c r="BI39" s="729" t="e">
        <f ca="1">stat(calculs!BI39)</f>
        <v>#NAME?</v>
      </c>
      <c r="BJ39" s="729" t="e">
        <f ca="1">stat(calculs!BJ39)</f>
        <v>#NAME?</v>
      </c>
      <c r="BK39" s="729" t="e">
        <f ca="1">stat(calculs!BK39)</f>
        <v>#NAME?</v>
      </c>
      <c r="BL39" s="525" t="e">
        <f ca="1">stat(calculs!BL39)</f>
        <v>#NAME?</v>
      </c>
      <c r="BM39" s="525" t="e">
        <f ca="1">stat(calculs!BM39)</f>
        <v>#NAME?</v>
      </c>
      <c r="BN39" s="525" t="e">
        <f ca="1">stat(calculs!BN39)</f>
        <v>#NAME?</v>
      </c>
      <c r="BO39" s="525" t="e">
        <f ca="1">stat(calculs!BO39)</f>
        <v>#NAME?</v>
      </c>
      <c r="BP39" s="525" t="e">
        <f ca="1">stat(calculs!BP39)</f>
        <v>#NAME?</v>
      </c>
      <c r="BQ39" s="525" t="e">
        <f ca="1">stat(calculs!BQ39)</f>
        <v>#NAME?</v>
      </c>
      <c r="BR39" s="525" t="e">
        <f ca="1">stat(calculs!BR39)</f>
        <v>#NAME?</v>
      </c>
    </row>
    <row r="40" spans="1:70" x14ac:dyDescent="0.2">
      <c r="A40" s="222">
        <f>données_step[[#This Row],[Datum]]</f>
        <v>44591</v>
      </c>
      <c r="B40" s="223"/>
      <c r="C40" s="224">
        <f t="shared" si="0"/>
        <v>1</v>
      </c>
      <c r="D40" s="523" t="e">
        <f ca="1">stat(charge_entree[[#This Row],[ch_E_DBO5]])</f>
        <v>#NAME?</v>
      </c>
      <c r="E40" s="523" t="e">
        <f ca="1">stat(charge_entree[[#This Row],[ch_E_DCO]])</f>
        <v>#NAME?</v>
      </c>
      <c r="F40" s="523" t="e">
        <f ca="1">stat(charge_entree[[#This Row],[ch_E_COT]])</f>
        <v>#NAME?</v>
      </c>
      <c r="G40" s="523" t="e">
        <f ca="1">stat(charge_entree[[#This Row],[ch_E_NH4]])</f>
        <v>#NAME?</v>
      </c>
      <c r="H40" s="523" t="e">
        <f ca="1">stat(charge_entree[[#This Row],[ch_E_NTOT]])</f>
        <v>#NAME?</v>
      </c>
      <c r="I40" s="523" t="e">
        <f ca="1">stat(charge_entree[[#This Row],[ch_E_PTOT]])</f>
        <v>#NAME?</v>
      </c>
      <c r="J40" s="523" t="e">
        <f ca="1">stat(charge_entree[[#This Row],[ch_S_DBO]])</f>
        <v>#NAME?</v>
      </c>
      <c r="K40" s="523" t="e">
        <f ca="1">stat(charge_entree[[#This Row],[ch_S-DCO]])</f>
        <v>#NAME?</v>
      </c>
      <c r="L40" s="523" t="e">
        <f ca="1">stat(charge_entree[[#This Row],[ch_S_DOC]])</f>
        <v>#NAME?</v>
      </c>
      <c r="M40" s="523" t="e">
        <f ca="1">stat(charge_entree[[#This Row],[ch_S_NH4]])</f>
        <v>#NAME?</v>
      </c>
      <c r="N40" s="523" t="e">
        <f ca="1">stat(charge_entree[[#This Row],[ch_S_NO2]])</f>
        <v>#NAME?</v>
      </c>
      <c r="O40" s="523" t="e">
        <f ca="1">stat(charge_entree[[#This Row],[ch_S_NO3]])</f>
        <v>#NAME?</v>
      </c>
      <c r="P40" s="523" t="e">
        <f ca="1">stat(charge_entree[[#This Row],[ch_S_PTOT]])</f>
        <v>#NAME?</v>
      </c>
      <c r="Q40" s="523" t="e">
        <f ca="1">stat(charge_entree[[#This Row],[ch_S_SNDT]])</f>
        <v>#NAME?</v>
      </c>
      <c r="R40" s="523">
        <f>calculs!R40</f>
        <v>0</v>
      </c>
      <c r="S40" s="523" t="e">
        <f ca="1">stat(calculs!S40)</f>
        <v>#NAME?</v>
      </c>
      <c r="T40" s="523" t="e">
        <f ca="1">stat(calculs!T40)</f>
        <v>#NAME?</v>
      </c>
      <c r="U40" s="523" t="e">
        <f ca="1">stat(calculs!U40)</f>
        <v>#NAME?</v>
      </c>
      <c r="V40" s="523" t="e">
        <f ca="1">stat(calculs!V40)</f>
        <v>#NAME?</v>
      </c>
      <c r="W40" s="523" t="e">
        <f ca="1">stat(calculs!W40)</f>
        <v>#NAME?</v>
      </c>
      <c r="X40" s="523" t="e">
        <f ca="1">stat(calculs!X40)</f>
        <v>#NAME?</v>
      </c>
      <c r="Y40" s="523" t="e">
        <f ca="1">stat(calculs!Y40)</f>
        <v>#NAME?</v>
      </c>
      <c r="Z40" s="523" t="e">
        <f ca="1">stat(calculs!Z40)</f>
        <v>#NAME?</v>
      </c>
      <c r="AA40" s="523" t="e">
        <f ca="1">stat(calculs!AA40)</f>
        <v>#NAME?</v>
      </c>
      <c r="AB40" s="523" t="e">
        <f ca="1">stat(calculs!AB40)</f>
        <v>#NAME?</v>
      </c>
      <c r="AC40" s="523" t="e">
        <f ca="1">stat(calculs!AC40)</f>
        <v>#NAME?</v>
      </c>
      <c r="AD40" s="523" t="e">
        <f ca="1">stat(calculs!AD40)</f>
        <v>#NAME?</v>
      </c>
      <c r="AE40" s="523" t="e">
        <f ca="1">stat(calculs!AE40)</f>
        <v>#NAME?</v>
      </c>
      <c r="AF40" s="523" t="e">
        <f ca="1">stat(calculs!AF40)</f>
        <v>#NAME?</v>
      </c>
      <c r="AG40" s="523" t="e">
        <f ca="1">stat(calculs!AG40)</f>
        <v>#NAME?</v>
      </c>
      <c r="AH40" s="523" t="e">
        <f ca="1">stat(calculs!AH40)</f>
        <v>#NAME?</v>
      </c>
      <c r="AI40" s="523" t="e">
        <f ca="1">stat(calculs!AI40)</f>
        <v>#NAME?</v>
      </c>
      <c r="AJ40" s="523" t="e">
        <f ca="1">stat(calculs!AJ40)</f>
        <v>#NAME?</v>
      </c>
      <c r="AK40" s="523" t="e">
        <f ca="1">stat(calculs!AK40)</f>
        <v>#NAME?</v>
      </c>
      <c r="AL40" s="523" t="e">
        <f ca="1">stat(calculs!AL40)</f>
        <v>#NAME?</v>
      </c>
      <c r="AM40" s="523" t="e">
        <f ca="1">stat(calculs!AM40)</f>
        <v>#NAME?</v>
      </c>
      <c r="AN40" s="523" t="e">
        <f ca="1">stat(calculs!AN40)</f>
        <v>#NAME?</v>
      </c>
      <c r="AO40" s="523" t="e">
        <f ca="1">stat(calculs!AO40)</f>
        <v>#NAME?</v>
      </c>
      <c r="AP40" s="523" t="e">
        <f ca="1">stat(calculs!AP40)</f>
        <v>#NAME?</v>
      </c>
      <c r="AQ40" s="523" t="e">
        <f ca="1">stat(calculs!AQ40)</f>
        <v>#NAME?</v>
      </c>
      <c r="AT40" s="517"/>
      <c r="AV40" s="525" t="e">
        <f ca="1">stat(calculs!AV40)</f>
        <v>#NAME?</v>
      </c>
      <c r="AW40" s="525" t="e">
        <f ca="1">stat(calculs!AW40)</f>
        <v>#NAME?</v>
      </c>
      <c r="AX40" s="525" t="e">
        <f ca="1">stat(calculs!AX40)</f>
        <v>#NAME?</v>
      </c>
      <c r="AY40" s="525" t="e">
        <f ca="1">stat(calculs!AY40)</f>
        <v>#NAME?</v>
      </c>
      <c r="AZ40" s="525" t="e">
        <f ca="1">stat(calculs!AZ40)</f>
        <v>#NAME?</v>
      </c>
      <c r="BA40" s="525" t="e">
        <f ca="1">stat(calculs!BA40)</f>
        <v>#NAME?</v>
      </c>
      <c r="BB40" s="525" t="e">
        <f ca="1">stat(calculs!BB40)</f>
        <v>#NAME?</v>
      </c>
      <c r="BC40" s="525" t="e">
        <f ca="1">stat(calculs!BC40)</f>
        <v>#NAME?</v>
      </c>
      <c r="BD40" s="525" t="e">
        <f ca="1">stat(calculs!BD40)</f>
        <v>#NAME?</v>
      </c>
      <c r="BE40" s="525" t="e">
        <f ca="1">stat(calculs!BE40)</f>
        <v>#NAME?</v>
      </c>
      <c r="BF40" s="525" t="e">
        <f ca="1">stat(calculs!BF40)</f>
        <v>#NAME?</v>
      </c>
      <c r="BG40" s="729" t="e">
        <f ca="1">stat(calculs!BG40)</f>
        <v>#NAME?</v>
      </c>
      <c r="BH40" s="729" t="e">
        <f ca="1">stat(calculs!BH40)</f>
        <v>#NAME?</v>
      </c>
      <c r="BI40" s="729" t="e">
        <f ca="1">stat(calculs!BI40)</f>
        <v>#NAME?</v>
      </c>
      <c r="BJ40" s="729" t="e">
        <f ca="1">stat(calculs!BJ40)</f>
        <v>#NAME?</v>
      </c>
      <c r="BK40" s="729" t="e">
        <f ca="1">stat(calculs!BK40)</f>
        <v>#NAME?</v>
      </c>
      <c r="BL40" s="525" t="e">
        <f ca="1">stat(calculs!BL40)</f>
        <v>#NAME?</v>
      </c>
      <c r="BM40" s="525" t="e">
        <f ca="1">stat(calculs!BM40)</f>
        <v>#NAME?</v>
      </c>
      <c r="BN40" s="525" t="e">
        <f ca="1">stat(calculs!BN40)</f>
        <v>#NAME?</v>
      </c>
      <c r="BO40" s="525" t="e">
        <f ca="1">stat(calculs!BO40)</f>
        <v>#NAME?</v>
      </c>
      <c r="BP40" s="525" t="e">
        <f ca="1">stat(calculs!BP40)</f>
        <v>#NAME?</v>
      </c>
      <c r="BQ40" s="525" t="e">
        <f ca="1">stat(calculs!BQ40)</f>
        <v>#NAME?</v>
      </c>
      <c r="BR40" s="525" t="e">
        <f ca="1">stat(calculs!BR40)</f>
        <v>#NAME?</v>
      </c>
    </row>
    <row r="41" spans="1:70" x14ac:dyDescent="0.2">
      <c r="A41" s="222">
        <f>données_step[[#This Row],[Datum]]</f>
        <v>44592</v>
      </c>
      <c r="B41" s="223"/>
      <c r="C41" s="224">
        <f t="shared" si="0"/>
        <v>2</v>
      </c>
      <c r="D41" s="523" t="e">
        <f ca="1">stat(charge_entree[[#This Row],[ch_E_DBO5]])</f>
        <v>#NAME?</v>
      </c>
      <c r="E41" s="523" t="e">
        <f ca="1">stat(charge_entree[[#This Row],[ch_E_DCO]])</f>
        <v>#NAME?</v>
      </c>
      <c r="F41" s="523" t="e">
        <f ca="1">stat(charge_entree[[#This Row],[ch_E_COT]])</f>
        <v>#NAME?</v>
      </c>
      <c r="G41" s="523" t="e">
        <f ca="1">stat(charge_entree[[#This Row],[ch_E_NH4]])</f>
        <v>#NAME?</v>
      </c>
      <c r="H41" s="523" t="e">
        <f ca="1">stat(charge_entree[[#This Row],[ch_E_NTOT]])</f>
        <v>#NAME?</v>
      </c>
      <c r="I41" s="523" t="e">
        <f ca="1">stat(charge_entree[[#This Row],[ch_E_PTOT]])</f>
        <v>#NAME?</v>
      </c>
      <c r="J41" s="523" t="e">
        <f ca="1">stat(charge_entree[[#This Row],[ch_S_DBO]])</f>
        <v>#NAME?</v>
      </c>
      <c r="K41" s="523" t="e">
        <f ca="1">stat(charge_entree[[#This Row],[ch_S-DCO]])</f>
        <v>#NAME?</v>
      </c>
      <c r="L41" s="523" t="e">
        <f ca="1">stat(charge_entree[[#This Row],[ch_S_DOC]])</f>
        <v>#NAME?</v>
      </c>
      <c r="M41" s="523" t="e">
        <f ca="1">stat(charge_entree[[#This Row],[ch_S_NH4]])</f>
        <v>#NAME?</v>
      </c>
      <c r="N41" s="523" t="e">
        <f ca="1">stat(charge_entree[[#This Row],[ch_S_NO2]])</f>
        <v>#NAME?</v>
      </c>
      <c r="O41" s="523" t="e">
        <f ca="1">stat(charge_entree[[#This Row],[ch_S_NO3]])</f>
        <v>#NAME?</v>
      </c>
      <c r="P41" s="523" t="e">
        <f ca="1">stat(charge_entree[[#This Row],[ch_S_PTOT]])</f>
        <v>#NAME?</v>
      </c>
      <c r="Q41" s="523" t="e">
        <f ca="1">stat(charge_entree[[#This Row],[ch_S_SNDT]])</f>
        <v>#NAME?</v>
      </c>
      <c r="R41" s="523">
        <f>calculs!R41</f>
        <v>0</v>
      </c>
      <c r="S41" s="523" t="e">
        <f ca="1">stat(calculs!S41)</f>
        <v>#NAME?</v>
      </c>
      <c r="T41" s="523" t="e">
        <f ca="1">stat(calculs!T41)</f>
        <v>#NAME?</v>
      </c>
      <c r="U41" s="523" t="e">
        <f ca="1">stat(calculs!U41)</f>
        <v>#NAME?</v>
      </c>
      <c r="V41" s="523" t="e">
        <f ca="1">stat(calculs!V41)</f>
        <v>#NAME?</v>
      </c>
      <c r="W41" s="523" t="e">
        <f ca="1">stat(calculs!W41)</f>
        <v>#NAME?</v>
      </c>
      <c r="X41" s="523" t="e">
        <f ca="1">stat(calculs!X41)</f>
        <v>#NAME?</v>
      </c>
      <c r="Y41" s="523" t="e">
        <f ca="1">stat(calculs!Y41)</f>
        <v>#NAME?</v>
      </c>
      <c r="Z41" s="523" t="e">
        <f ca="1">stat(calculs!Z41)</f>
        <v>#NAME?</v>
      </c>
      <c r="AA41" s="523" t="e">
        <f ca="1">stat(calculs!AA41)</f>
        <v>#NAME?</v>
      </c>
      <c r="AB41" s="523" t="e">
        <f ca="1">stat(calculs!AB41)</f>
        <v>#NAME?</v>
      </c>
      <c r="AC41" s="523" t="e">
        <f ca="1">stat(calculs!AC41)</f>
        <v>#NAME?</v>
      </c>
      <c r="AD41" s="523" t="e">
        <f ca="1">stat(calculs!AD41)</f>
        <v>#NAME?</v>
      </c>
      <c r="AE41" s="523" t="e">
        <f ca="1">stat(calculs!AE41)</f>
        <v>#NAME?</v>
      </c>
      <c r="AF41" s="523" t="e">
        <f ca="1">stat(calculs!AF41)</f>
        <v>#NAME?</v>
      </c>
      <c r="AG41" s="523" t="e">
        <f ca="1">stat(calculs!AG41)</f>
        <v>#NAME?</v>
      </c>
      <c r="AH41" s="523" t="e">
        <f ca="1">stat(calculs!AH41)</f>
        <v>#NAME?</v>
      </c>
      <c r="AI41" s="523" t="e">
        <f ca="1">stat(calculs!AI41)</f>
        <v>#NAME?</v>
      </c>
      <c r="AJ41" s="523" t="e">
        <f ca="1">stat(calculs!AJ41)</f>
        <v>#NAME?</v>
      </c>
      <c r="AK41" s="523" t="e">
        <f ca="1">stat(calculs!AK41)</f>
        <v>#NAME?</v>
      </c>
      <c r="AL41" s="523" t="e">
        <f ca="1">stat(calculs!AL41)</f>
        <v>#NAME?</v>
      </c>
      <c r="AM41" s="523" t="e">
        <f ca="1">stat(calculs!AM41)</f>
        <v>#NAME?</v>
      </c>
      <c r="AN41" s="523" t="e">
        <f ca="1">stat(calculs!AN41)</f>
        <v>#NAME?</v>
      </c>
      <c r="AO41" s="523" t="e">
        <f ca="1">stat(calculs!AO41)</f>
        <v>#NAME?</v>
      </c>
      <c r="AP41" s="523" t="e">
        <f ca="1">stat(calculs!AP41)</f>
        <v>#NAME?</v>
      </c>
      <c r="AQ41" s="523" t="e">
        <f ca="1">stat(calculs!AQ41)</f>
        <v>#NAME?</v>
      </c>
      <c r="AT41" s="517"/>
      <c r="AV41" s="525" t="e">
        <f ca="1">stat(calculs!AV41)</f>
        <v>#NAME?</v>
      </c>
      <c r="AW41" s="525" t="e">
        <f ca="1">stat(calculs!AW41)</f>
        <v>#NAME?</v>
      </c>
      <c r="AX41" s="525" t="e">
        <f ca="1">stat(calculs!AX41)</f>
        <v>#NAME?</v>
      </c>
      <c r="AY41" s="525" t="e">
        <f ca="1">stat(calculs!AY41)</f>
        <v>#NAME?</v>
      </c>
      <c r="AZ41" s="525" t="e">
        <f ca="1">stat(calculs!AZ41)</f>
        <v>#NAME?</v>
      </c>
      <c r="BA41" s="525" t="e">
        <f ca="1">stat(calculs!BA41)</f>
        <v>#NAME?</v>
      </c>
      <c r="BB41" s="525" t="e">
        <f ca="1">stat(calculs!BB41)</f>
        <v>#NAME?</v>
      </c>
      <c r="BC41" s="525" t="e">
        <f ca="1">stat(calculs!BC41)</f>
        <v>#NAME?</v>
      </c>
      <c r="BD41" s="525" t="e">
        <f ca="1">stat(calculs!BD41)</f>
        <v>#NAME?</v>
      </c>
      <c r="BE41" s="525" t="e">
        <f ca="1">stat(calculs!BE41)</f>
        <v>#NAME?</v>
      </c>
      <c r="BF41" s="525" t="e">
        <f ca="1">stat(calculs!BF41)</f>
        <v>#NAME?</v>
      </c>
      <c r="BG41" s="729" t="e">
        <f ca="1">stat(calculs!BG41)</f>
        <v>#NAME?</v>
      </c>
      <c r="BH41" s="729" t="e">
        <f ca="1">stat(calculs!BH41)</f>
        <v>#NAME?</v>
      </c>
      <c r="BI41" s="729" t="e">
        <f ca="1">stat(calculs!BI41)</f>
        <v>#NAME?</v>
      </c>
      <c r="BJ41" s="729" t="e">
        <f ca="1">stat(calculs!BJ41)</f>
        <v>#NAME?</v>
      </c>
      <c r="BK41" s="729" t="e">
        <f ca="1">stat(calculs!BK41)</f>
        <v>#NAME?</v>
      </c>
      <c r="BL41" s="525" t="e">
        <f ca="1">stat(calculs!BL41)</f>
        <v>#NAME?</v>
      </c>
      <c r="BM41" s="525" t="e">
        <f ca="1">stat(calculs!BM41)</f>
        <v>#NAME?</v>
      </c>
      <c r="BN41" s="525" t="e">
        <f ca="1">stat(calculs!BN41)</f>
        <v>#NAME?</v>
      </c>
      <c r="BO41" s="525" t="e">
        <f ca="1">stat(calculs!BO41)</f>
        <v>#NAME?</v>
      </c>
      <c r="BP41" s="525" t="e">
        <f ca="1">stat(calculs!BP41)</f>
        <v>#NAME?</v>
      </c>
      <c r="BQ41" s="525" t="e">
        <f ca="1">stat(calculs!BQ41)</f>
        <v>#NAME?</v>
      </c>
      <c r="BR41" s="525" t="e">
        <f ca="1">stat(calculs!BR41)</f>
        <v>#NAME?</v>
      </c>
    </row>
    <row r="42" spans="1:70" x14ac:dyDescent="0.2">
      <c r="A42" s="222">
        <f>données_step[[#This Row],[Datum]]</f>
        <v>44593</v>
      </c>
      <c r="B42" s="223"/>
      <c r="C42" s="224">
        <f t="shared" si="0"/>
        <v>3</v>
      </c>
      <c r="D42" s="523" t="e">
        <f ca="1">stat(charge_entree[[#This Row],[ch_E_DBO5]])</f>
        <v>#NAME?</v>
      </c>
      <c r="E42" s="523" t="e">
        <f ca="1">stat(charge_entree[[#This Row],[ch_E_DCO]])</f>
        <v>#NAME?</v>
      </c>
      <c r="F42" s="523" t="e">
        <f ca="1">stat(charge_entree[[#This Row],[ch_E_COT]])</f>
        <v>#NAME?</v>
      </c>
      <c r="G42" s="523" t="e">
        <f ca="1">stat(charge_entree[[#This Row],[ch_E_NH4]])</f>
        <v>#NAME?</v>
      </c>
      <c r="H42" s="523" t="e">
        <f ca="1">stat(charge_entree[[#This Row],[ch_E_NTOT]])</f>
        <v>#NAME?</v>
      </c>
      <c r="I42" s="523" t="e">
        <f ca="1">stat(charge_entree[[#This Row],[ch_E_PTOT]])</f>
        <v>#NAME?</v>
      </c>
      <c r="J42" s="523" t="e">
        <f ca="1">stat(charge_entree[[#This Row],[ch_S_DBO]])</f>
        <v>#NAME?</v>
      </c>
      <c r="K42" s="523" t="e">
        <f ca="1">stat(charge_entree[[#This Row],[ch_S-DCO]])</f>
        <v>#NAME?</v>
      </c>
      <c r="L42" s="523" t="e">
        <f ca="1">stat(charge_entree[[#This Row],[ch_S_DOC]])</f>
        <v>#NAME?</v>
      </c>
      <c r="M42" s="523" t="e">
        <f ca="1">stat(charge_entree[[#This Row],[ch_S_NH4]])</f>
        <v>#NAME?</v>
      </c>
      <c r="N42" s="523" t="e">
        <f ca="1">stat(charge_entree[[#This Row],[ch_S_NO2]])</f>
        <v>#NAME?</v>
      </c>
      <c r="O42" s="523" t="e">
        <f ca="1">stat(charge_entree[[#This Row],[ch_S_NO3]])</f>
        <v>#NAME?</v>
      </c>
      <c r="P42" s="523" t="e">
        <f ca="1">stat(charge_entree[[#This Row],[ch_S_PTOT]])</f>
        <v>#NAME?</v>
      </c>
      <c r="Q42" s="523" t="e">
        <f ca="1">stat(charge_entree[[#This Row],[ch_S_SNDT]])</f>
        <v>#NAME?</v>
      </c>
      <c r="R42" s="523">
        <f>calculs!R42</f>
        <v>0</v>
      </c>
      <c r="S42" s="523" t="e">
        <f ca="1">stat(calculs!S42)</f>
        <v>#NAME?</v>
      </c>
      <c r="T42" s="523" t="e">
        <f ca="1">stat(calculs!T42)</f>
        <v>#NAME?</v>
      </c>
      <c r="U42" s="523" t="e">
        <f ca="1">stat(calculs!U42)</f>
        <v>#NAME?</v>
      </c>
      <c r="V42" s="523" t="e">
        <f ca="1">stat(calculs!V42)</f>
        <v>#NAME?</v>
      </c>
      <c r="W42" s="523" t="e">
        <f ca="1">stat(calculs!W42)</f>
        <v>#NAME?</v>
      </c>
      <c r="X42" s="523" t="e">
        <f ca="1">stat(calculs!X42)</f>
        <v>#NAME?</v>
      </c>
      <c r="Y42" s="523" t="e">
        <f ca="1">stat(calculs!Y42)</f>
        <v>#NAME?</v>
      </c>
      <c r="Z42" s="523" t="e">
        <f ca="1">stat(calculs!Z42)</f>
        <v>#NAME?</v>
      </c>
      <c r="AA42" s="523" t="e">
        <f ca="1">stat(calculs!AA42)</f>
        <v>#NAME?</v>
      </c>
      <c r="AB42" s="523" t="e">
        <f ca="1">stat(calculs!AB42)</f>
        <v>#NAME?</v>
      </c>
      <c r="AC42" s="523" t="e">
        <f ca="1">stat(calculs!AC42)</f>
        <v>#NAME?</v>
      </c>
      <c r="AD42" s="523" t="e">
        <f ca="1">stat(calculs!AD42)</f>
        <v>#NAME?</v>
      </c>
      <c r="AE42" s="523" t="e">
        <f ca="1">stat(calculs!AE42)</f>
        <v>#NAME?</v>
      </c>
      <c r="AF42" s="523" t="e">
        <f ca="1">stat(calculs!AF42)</f>
        <v>#NAME?</v>
      </c>
      <c r="AG42" s="523" t="e">
        <f ca="1">stat(calculs!AG42)</f>
        <v>#NAME?</v>
      </c>
      <c r="AH42" s="523" t="e">
        <f ca="1">stat(calculs!AH42)</f>
        <v>#NAME?</v>
      </c>
      <c r="AI42" s="523" t="e">
        <f ca="1">stat(calculs!AI42)</f>
        <v>#NAME?</v>
      </c>
      <c r="AJ42" s="523" t="e">
        <f ca="1">stat(calculs!AJ42)</f>
        <v>#NAME?</v>
      </c>
      <c r="AK42" s="523" t="e">
        <f ca="1">stat(calculs!AK42)</f>
        <v>#NAME?</v>
      </c>
      <c r="AL42" s="523" t="e">
        <f ca="1">stat(calculs!AL42)</f>
        <v>#NAME?</v>
      </c>
      <c r="AM42" s="523" t="e">
        <f ca="1">stat(calculs!AM42)</f>
        <v>#NAME?</v>
      </c>
      <c r="AN42" s="523" t="e">
        <f ca="1">stat(calculs!AN42)</f>
        <v>#NAME?</v>
      </c>
      <c r="AO42" s="523" t="e">
        <f ca="1">stat(calculs!AO42)</f>
        <v>#NAME?</v>
      </c>
      <c r="AP42" s="523" t="e">
        <f ca="1">stat(calculs!AP42)</f>
        <v>#NAME?</v>
      </c>
      <c r="AQ42" s="523" t="e">
        <f ca="1">stat(calculs!AQ42)</f>
        <v>#NAME?</v>
      </c>
      <c r="AT42" s="517"/>
      <c r="AV42" s="525" t="e">
        <f ca="1">stat(calculs!AV42)</f>
        <v>#NAME?</v>
      </c>
      <c r="AW42" s="525" t="e">
        <f ca="1">stat(calculs!AW42)</f>
        <v>#NAME?</v>
      </c>
      <c r="AX42" s="525" t="e">
        <f ca="1">stat(calculs!AX42)</f>
        <v>#NAME?</v>
      </c>
      <c r="AY42" s="525" t="e">
        <f ca="1">stat(calculs!AY42)</f>
        <v>#NAME?</v>
      </c>
      <c r="AZ42" s="525" t="e">
        <f ca="1">stat(calculs!AZ42)</f>
        <v>#NAME?</v>
      </c>
      <c r="BA42" s="525" t="e">
        <f ca="1">stat(calculs!BA42)</f>
        <v>#NAME?</v>
      </c>
      <c r="BB42" s="525" t="e">
        <f ca="1">stat(calculs!BB42)</f>
        <v>#NAME?</v>
      </c>
      <c r="BC42" s="525" t="e">
        <f ca="1">stat(calculs!BC42)</f>
        <v>#NAME?</v>
      </c>
      <c r="BD42" s="525" t="e">
        <f ca="1">stat(calculs!BD42)</f>
        <v>#NAME?</v>
      </c>
      <c r="BE42" s="525" t="e">
        <f ca="1">stat(calculs!BE42)</f>
        <v>#NAME?</v>
      </c>
      <c r="BF42" s="525" t="e">
        <f ca="1">stat(calculs!BF42)</f>
        <v>#NAME?</v>
      </c>
      <c r="BG42" s="729" t="e">
        <f ca="1">stat(calculs!BG42)</f>
        <v>#NAME?</v>
      </c>
      <c r="BH42" s="729" t="e">
        <f ca="1">stat(calculs!BH42)</f>
        <v>#NAME?</v>
      </c>
      <c r="BI42" s="729" t="e">
        <f ca="1">stat(calculs!BI42)</f>
        <v>#NAME?</v>
      </c>
      <c r="BJ42" s="729" t="e">
        <f ca="1">stat(calculs!BJ42)</f>
        <v>#NAME?</v>
      </c>
      <c r="BK42" s="729" t="e">
        <f ca="1">stat(calculs!BK42)</f>
        <v>#NAME?</v>
      </c>
      <c r="BL42" s="525" t="e">
        <f ca="1">stat(calculs!BL42)</f>
        <v>#NAME?</v>
      </c>
      <c r="BM42" s="525" t="e">
        <f ca="1">stat(calculs!BM42)</f>
        <v>#NAME?</v>
      </c>
      <c r="BN42" s="525" t="e">
        <f ca="1">stat(calculs!BN42)</f>
        <v>#NAME?</v>
      </c>
      <c r="BO42" s="525" t="e">
        <f ca="1">stat(calculs!BO42)</f>
        <v>#NAME?</v>
      </c>
      <c r="BP42" s="525" t="e">
        <f ca="1">stat(calculs!BP42)</f>
        <v>#NAME?</v>
      </c>
      <c r="BQ42" s="525" t="e">
        <f ca="1">stat(calculs!BQ42)</f>
        <v>#NAME?</v>
      </c>
      <c r="BR42" s="525" t="e">
        <f ca="1">stat(calculs!BR42)</f>
        <v>#NAME?</v>
      </c>
    </row>
    <row r="43" spans="1:70" x14ac:dyDescent="0.2">
      <c r="A43" s="222">
        <f>données_step[[#This Row],[Datum]]</f>
        <v>44594</v>
      </c>
      <c r="B43" s="223"/>
      <c r="C43" s="224">
        <f t="shared" si="0"/>
        <v>4</v>
      </c>
      <c r="D43" s="523" t="e">
        <f ca="1">stat(charge_entree[[#This Row],[ch_E_DBO5]])</f>
        <v>#NAME?</v>
      </c>
      <c r="E43" s="523" t="e">
        <f ca="1">stat(charge_entree[[#This Row],[ch_E_DCO]])</f>
        <v>#NAME?</v>
      </c>
      <c r="F43" s="523" t="e">
        <f ca="1">stat(charge_entree[[#This Row],[ch_E_COT]])</f>
        <v>#NAME?</v>
      </c>
      <c r="G43" s="523" t="e">
        <f ca="1">stat(charge_entree[[#This Row],[ch_E_NH4]])</f>
        <v>#NAME?</v>
      </c>
      <c r="H43" s="523" t="e">
        <f ca="1">stat(charge_entree[[#This Row],[ch_E_NTOT]])</f>
        <v>#NAME?</v>
      </c>
      <c r="I43" s="523" t="e">
        <f ca="1">stat(charge_entree[[#This Row],[ch_E_PTOT]])</f>
        <v>#NAME?</v>
      </c>
      <c r="J43" s="523" t="e">
        <f ca="1">stat(charge_entree[[#This Row],[ch_S_DBO]])</f>
        <v>#NAME?</v>
      </c>
      <c r="K43" s="523" t="e">
        <f ca="1">stat(charge_entree[[#This Row],[ch_S-DCO]])</f>
        <v>#NAME?</v>
      </c>
      <c r="L43" s="523" t="e">
        <f ca="1">stat(charge_entree[[#This Row],[ch_S_DOC]])</f>
        <v>#NAME?</v>
      </c>
      <c r="M43" s="523" t="e">
        <f ca="1">stat(charge_entree[[#This Row],[ch_S_NH4]])</f>
        <v>#NAME?</v>
      </c>
      <c r="N43" s="523" t="e">
        <f ca="1">stat(charge_entree[[#This Row],[ch_S_NO2]])</f>
        <v>#NAME?</v>
      </c>
      <c r="O43" s="523" t="e">
        <f ca="1">stat(charge_entree[[#This Row],[ch_S_NO3]])</f>
        <v>#NAME?</v>
      </c>
      <c r="P43" s="523" t="e">
        <f ca="1">stat(charge_entree[[#This Row],[ch_S_PTOT]])</f>
        <v>#NAME?</v>
      </c>
      <c r="Q43" s="523" t="e">
        <f ca="1">stat(charge_entree[[#This Row],[ch_S_SNDT]])</f>
        <v>#NAME?</v>
      </c>
      <c r="R43" s="523">
        <f>calculs!R43</f>
        <v>0</v>
      </c>
      <c r="S43" s="523" t="e">
        <f ca="1">stat(calculs!S43)</f>
        <v>#NAME?</v>
      </c>
      <c r="T43" s="523" t="e">
        <f ca="1">stat(calculs!T43)</f>
        <v>#NAME?</v>
      </c>
      <c r="U43" s="523" t="e">
        <f ca="1">stat(calculs!U43)</f>
        <v>#NAME?</v>
      </c>
      <c r="V43" s="523" t="e">
        <f ca="1">stat(calculs!V43)</f>
        <v>#NAME?</v>
      </c>
      <c r="W43" s="523" t="e">
        <f ca="1">stat(calculs!W43)</f>
        <v>#NAME?</v>
      </c>
      <c r="X43" s="523" t="e">
        <f ca="1">stat(calculs!X43)</f>
        <v>#NAME?</v>
      </c>
      <c r="Y43" s="523" t="e">
        <f ca="1">stat(calculs!Y43)</f>
        <v>#NAME?</v>
      </c>
      <c r="Z43" s="523" t="e">
        <f ca="1">stat(calculs!Z43)</f>
        <v>#NAME?</v>
      </c>
      <c r="AA43" s="523" t="e">
        <f ca="1">stat(calculs!AA43)</f>
        <v>#NAME?</v>
      </c>
      <c r="AB43" s="523" t="e">
        <f ca="1">stat(calculs!AB43)</f>
        <v>#NAME?</v>
      </c>
      <c r="AC43" s="523" t="e">
        <f ca="1">stat(calculs!AC43)</f>
        <v>#NAME?</v>
      </c>
      <c r="AD43" s="523" t="e">
        <f ca="1">stat(calculs!AD43)</f>
        <v>#NAME?</v>
      </c>
      <c r="AE43" s="523" t="e">
        <f ca="1">stat(calculs!AE43)</f>
        <v>#NAME?</v>
      </c>
      <c r="AF43" s="523" t="e">
        <f ca="1">stat(calculs!AF43)</f>
        <v>#NAME?</v>
      </c>
      <c r="AG43" s="523" t="e">
        <f ca="1">stat(calculs!AG43)</f>
        <v>#NAME?</v>
      </c>
      <c r="AH43" s="523" t="e">
        <f ca="1">stat(calculs!AH43)</f>
        <v>#NAME?</v>
      </c>
      <c r="AI43" s="523" t="e">
        <f ca="1">stat(calculs!AI43)</f>
        <v>#NAME?</v>
      </c>
      <c r="AJ43" s="523" t="e">
        <f ca="1">stat(calculs!AJ43)</f>
        <v>#NAME?</v>
      </c>
      <c r="AK43" s="523" t="e">
        <f ca="1">stat(calculs!AK43)</f>
        <v>#NAME?</v>
      </c>
      <c r="AL43" s="523" t="e">
        <f ca="1">stat(calculs!AL43)</f>
        <v>#NAME?</v>
      </c>
      <c r="AM43" s="523" t="e">
        <f ca="1">stat(calculs!AM43)</f>
        <v>#NAME?</v>
      </c>
      <c r="AN43" s="523" t="e">
        <f ca="1">stat(calculs!AN43)</f>
        <v>#NAME?</v>
      </c>
      <c r="AO43" s="523" t="e">
        <f ca="1">stat(calculs!AO43)</f>
        <v>#NAME?</v>
      </c>
      <c r="AP43" s="523" t="e">
        <f ca="1">stat(calculs!AP43)</f>
        <v>#NAME?</v>
      </c>
      <c r="AQ43" s="523" t="e">
        <f ca="1">stat(calculs!AQ43)</f>
        <v>#NAME?</v>
      </c>
      <c r="AT43" s="517"/>
      <c r="AV43" s="525" t="e">
        <f ca="1">stat(calculs!AV43)</f>
        <v>#NAME?</v>
      </c>
      <c r="AW43" s="525" t="e">
        <f ca="1">stat(calculs!AW43)</f>
        <v>#NAME?</v>
      </c>
      <c r="AX43" s="525" t="e">
        <f ca="1">stat(calculs!AX43)</f>
        <v>#NAME?</v>
      </c>
      <c r="AY43" s="525" t="e">
        <f ca="1">stat(calculs!AY43)</f>
        <v>#NAME?</v>
      </c>
      <c r="AZ43" s="525" t="e">
        <f ca="1">stat(calculs!AZ43)</f>
        <v>#NAME?</v>
      </c>
      <c r="BA43" s="525" t="e">
        <f ca="1">stat(calculs!BA43)</f>
        <v>#NAME?</v>
      </c>
      <c r="BB43" s="525" t="e">
        <f ca="1">stat(calculs!BB43)</f>
        <v>#NAME?</v>
      </c>
      <c r="BC43" s="525" t="e">
        <f ca="1">stat(calculs!BC43)</f>
        <v>#NAME?</v>
      </c>
      <c r="BD43" s="525" t="e">
        <f ca="1">stat(calculs!BD43)</f>
        <v>#NAME?</v>
      </c>
      <c r="BE43" s="525" t="e">
        <f ca="1">stat(calculs!BE43)</f>
        <v>#NAME?</v>
      </c>
      <c r="BF43" s="525" t="e">
        <f ca="1">stat(calculs!BF43)</f>
        <v>#NAME?</v>
      </c>
      <c r="BG43" s="729" t="e">
        <f ca="1">stat(calculs!BG43)</f>
        <v>#NAME?</v>
      </c>
      <c r="BH43" s="729" t="e">
        <f ca="1">stat(calculs!BH43)</f>
        <v>#NAME?</v>
      </c>
      <c r="BI43" s="729" t="e">
        <f ca="1">stat(calculs!BI43)</f>
        <v>#NAME?</v>
      </c>
      <c r="BJ43" s="729" t="e">
        <f ca="1">stat(calculs!BJ43)</f>
        <v>#NAME?</v>
      </c>
      <c r="BK43" s="729" t="e">
        <f ca="1">stat(calculs!BK43)</f>
        <v>#NAME?</v>
      </c>
      <c r="BL43" s="525" t="e">
        <f ca="1">stat(calculs!BL43)</f>
        <v>#NAME?</v>
      </c>
      <c r="BM43" s="525" t="e">
        <f ca="1">stat(calculs!BM43)</f>
        <v>#NAME?</v>
      </c>
      <c r="BN43" s="525" t="e">
        <f ca="1">stat(calculs!BN43)</f>
        <v>#NAME?</v>
      </c>
      <c r="BO43" s="525" t="e">
        <f ca="1">stat(calculs!BO43)</f>
        <v>#NAME?</v>
      </c>
      <c r="BP43" s="525" t="e">
        <f ca="1">stat(calculs!BP43)</f>
        <v>#NAME?</v>
      </c>
      <c r="BQ43" s="525" t="e">
        <f ca="1">stat(calculs!BQ43)</f>
        <v>#NAME?</v>
      </c>
      <c r="BR43" s="525" t="e">
        <f ca="1">stat(calculs!BR43)</f>
        <v>#NAME?</v>
      </c>
    </row>
    <row r="44" spans="1:70" x14ac:dyDescent="0.2">
      <c r="A44" s="222">
        <f>données_step[[#This Row],[Datum]]</f>
        <v>44595</v>
      </c>
      <c r="B44" s="223"/>
      <c r="C44" s="224">
        <f t="shared" si="0"/>
        <v>5</v>
      </c>
      <c r="D44" s="523" t="e">
        <f ca="1">stat(charge_entree[[#This Row],[ch_E_DBO5]])</f>
        <v>#NAME?</v>
      </c>
      <c r="E44" s="523" t="e">
        <f ca="1">stat(charge_entree[[#This Row],[ch_E_DCO]])</f>
        <v>#NAME?</v>
      </c>
      <c r="F44" s="523" t="e">
        <f ca="1">stat(charge_entree[[#This Row],[ch_E_COT]])</f>
        <v>#NAME?</v>
      </c>
      <c r="G44" s="523" t="e">
        <f ca="1">stat(charge_entree[[#This Row],[ch_E_NH4]])</f>
        <v>#NAME?</v>
      </c>
      <c r="H44" s="523" t="e">
        <f ca="1">stat(charge_entree[[#This Row],[ch_E_NTOT]])</f>
        <v>#NAME?</v>
      </c>
      <c r="I44" s="523" t="e">
        <f ca="1">stat(charge_entree[[#This Row],[ch_E_PTOT]])</f>
        <v>#NAME?</v>
      </c>
      <c r="J44" s="523" t="e">
        <f ca="1">stat(charge_entree[[#This Row],[ch_S_DBO]])</f>
        <v>#NAME?</v>
      </c>
      <c r="K44" s="523" t="e">
        <f ca="1">stat(charge_entree[[#This Row],[ch_S-DCO]])</f>
        <v>#NAME?</v>
      </c>
      <c r="L44" s="523" t="e">
        <f ca="1">stat(charge_entree[[#This Row],[ch_S_DOC]])</f>
        <v>#NAME?</v>
      </c>
      <c r="M44" s="523" t="e">
        <f ca="1">stat(charge_entree[[#This Row],[ch_S_NH4]])</f>
        <v>#NAME?</v>
      </c>
      <c r="N44" s="523" t="e">
        <f ca="1">stat(charge_entree[[#This Row],[ch_S_NO2]])</f>
        <v>#NAME?</v>
      </c>
      <c r="O44" s="523" t="e">
        <f ca="1">stat(charge_entree[[#This Row],[ch_S_NO3]])</f>
        <v>#NAME?</v>
      </c>
      <c r="P44" s="523" t="e">
        <f ca="1">stat(charge_entree[[#This Row],[ch_S_PTOT]])</f>
        <v>#NAME?</v>
      </c>
      <c r="Q44" s="523" t="e">
        <f ca="1">stat(charge_entree[[#This Row],[ch_S_SNDT]])</f>
        <v>#NAME?</v>
      </c>
      <c r="R44" s="523">
        <f>calculs!R44</f>
        <v>0</v>
      </c>
      <c r="S44" s="523" t="e">
        <f ca="1">stat(calculs!S44)</f>
        <v>#NAME?</v>
      </c>
      <c r="T44" s="523" t="e">
        <f ca="1">stat(calculs!T44)</f>
        <v>#NAME?</v>
      </c>
      <c r="U44" s="523" t="e">
        <f ca="1">stat(calculs!U44)</f>
        <v>#NAME?</v>
      </c>
      <c r="V44" s="523" t="e">
        <f ca="1">stat(calculs!V44)</f>
        <v>#NAME?</v>
      </c>
      <c r="W44" s="523" t="e">
        <f ca="1">stat(calculs!W44)</f>
        <v>#NAME?</v>
      </c>
      <c r="X44" s="523" t="e">
        <f ca="1">stat(calculs!X44)</f>
        <v>#NAME?</v>
      </c>
      <c r="Y44" s="523" t="e">
        <f ca="1">stat(calculs!Y44)</f>
        <v>#NAME?</v>
      </c>
      <c r="Z44" s="523" t="e">
        <f ca="1">stat(calculs!Z44)</f>
        <v>#NAME?</v>
      </c>
      <c r="AA44" s="523" t="e">
        <f ca="1">stat(calculs!AA44)</f>
        <v>#NAME?</v>
      </c>
      <c r="AB44" s="523" t="e">
        <f ca="1">stat(calculs!AB44)</f>
        <v>#NAME?</v>
      </c>
      <c r="AC44" s="523" t="e">
        <f ca="1">stat(calculs!AC44)</f>
        <v>#NAME?</v>
      </c>
      <c r="AD44" s="523" t="e">
        <f ca="1">stat(calculs!AD44)</f>
        <v>#NAME?</v>
      </c>
      <c r="AE44" s="523" t="e">
        <f ca="1">stat(calculs!AE44)</f>
        <v>#NAME?</v>
      </c>
      <c r="AF44" s="523" t="e">
        <f ca="1">stat(calculs!AF44)</f>
        <v>#NAME?</v>
      </c>
      <c r="AG44" s="523" t="e">
        <f ca="1">stat(calculs!AG44)</f>
        <v>#NAME?</v>
      </c>
      <c r="AH44" s="523" t="e">
        <f ca="1">stat(calculs!AH44)</f>
        <v>#NAME?</v>
      </c>
      <c r="AI44" s="523" t="e">
        <f ca="1">stat(calculs!AI44)</f>
        <v>#NAME?</v>
      </c>
      <c r="AJ44" s="523" t="e">
        <f ca="1">stat(calculs!AJ44)</f>
        <v>#NAME?</v>
      </c>
      <c r="AK44" s="523" t="e">
        <f ca="1">stat(calculs!AK44)</f>
        <v>#NAME?</v>
      </c>
      <c r="AL44" s="523" t="e">
        <f ca="1">stat(calculs!AL44)</f>
        <v>#NAME?</v>
      </c>
      <c r="AM44" s="523" t="e">
        <f ca="1">stat(calculs!AM44)</f>
        <v>#NAME?</v>
      </c>
      <c r="AN44" s="523" t="e">
        <f ca="1">stat(calculs!AN44)</f>
        <v>#NAME?</v>
      </c>
      <c r="AO44" s="523" t="e">
        <f ca="1">stat(calculs!AO44)</f>
        <v>#NAME?</v>
      </c>
      <c r="AP44" s="523" t="e">
        <f ca="1">stat(calculs!AP44)</f>
        <v>#NAME?</v>
      </c>
      <c r="AQ44" s="523" t="e">
        <f ca="1">stat(calculs!AQ44)</f>
        <v>#NAME?</v>
      </c>
      <c r="AT44" s="517"/>
      <c r="AV44" s="525" t="e">
        <f ca="1">stat(calculs!AV44)</f>
        <v>#NAME?</v>
      </c>
      <c r="AW44" s="525" t="e">
        <f ca="1">stat(calculs!AW44)</f>
        <v>#NAME?</v>
      </c>
      <c r="AX44" s="525" t="e">
        <f ca="1">stat(calculs!AX44)</f>
        <v>#NAME?</v>
      </c>
      <c r="AY44" s="525" t="e">
        <f ca="1">stat(calculs!AY44)</f>
        <v>#NAME?</v>
      </c>
      <c r="AZ44" s="525" t="e">
        <f ca="1">stat(calculs!AZ44)</f>
        <v>#NAME?</v>
      </c>
      <c r="BA44" s="525" t="e">
        <f ca="1">stat(calculs!BA44)</f>
        <v>#NAME?</v>
      </c>
      <c r="BB44" s="525" t="e">
        <f ca="1">stat(calculs!BB44)</f>
        <v>#NAME?</v>
      </c>
      <c r="BC44" s="525" t="e">
        <f ca="1">stat(calculs!BC44)</f>
        <v>#NAME?</v>
      </c>
      <c r="BD44" s="525" t="e">
        <f ca="1">stat(calculs!BD44)</f>
        <v>#NAME?</v>
      </c>
      <c r="BE44" s="525" t="e">
        <f ca="1">stat(calculs!BE44)</f>
        <v>#NAME?</v>
      </c>
      <c r="BF44" s="525" t="e">
        <f ca="1">stat(calculs!BF44)</f>
        <v>#NAME?</v>
      </c>
      <c r="BG44" s="729" t="e">
        <f ca="1">stat(calculs!BG44)</f>
        <v>#NAME?</v>
      </c>
      <c r="BH44" s="729" t="e">
        <f ca="1">stat(calculs!BH44)</f>
        <v>#NAME?</v>
      </c>
      <c r="BI44" s="729" t="e">
        <f ca="1">stat(calculs!BI44)</f>
        <v>#NAME?</v>
      </c>
      <c r="BJ44" s="729" t="e">
        <f ca="1">stat(calculs!BJ44)</f>
        <v>#NAME?</v>
      </c>
      <c r="BK44" s="729" t="e">
        <f ca="1">stat(calculs!BK44)</f>
        <v>#NAME?</v>
      </c>
      <c r="BL44" s="525" t="e">
        <f ca="1">stat(calculs!BL44)</f>
        <v>#NAME?</v>
      </c>
      <c r="BM44" s="525" t="e">
        <f ca="1">stat(calculs!BM44)</f>
        <v>#NAME?</v>
      </c>
      <c r="BN44" s="525" t="e">
        <f ca="1">stat(calculs!BN44)</f>
        <v>#NAME?</v>
      </c>
      <c r="BO44" s="525" t="e">
        <f ca="1">stat(calculs!BO44)</f>
        <v>#NAME?</v>
      </c>
      <c r="BP44" s="525" t="e">
        <f ca="1">stat(calculs!BP44)</f>
        <v>#NAME?</v>
      </c>
      <c r="BQ44" s="525" t="e">
        <f ca="1">stat(calculs!BQ44)</f>
        <v>#NAME?</v>
      </c>
      <c r="BR44" s="525" t="e">
        <f ca="1">stat(calculs!BR44)</f>
        <v>#NAME?</v>
      </c>
    </row>
    <row r="45" spans="1:70" x14ac:dyDescent="0.2">
      <c r="A45" s="222">
        <f>données_step[[#This Row],[Datum]]</f>
        <v>44596</v>
      </c>
      <c r="B45" s="223"/>
      <c r="C45" s="224">
        <f t="shared" si="0"/>
        <v>6</v>
      </c>
      <c r="D45" s="523" t="e">
        <f ca="1">stat(charge_entree[[#This Row],[ch_E_DBO5]])</f>
        <v>#NAME?</v>
      </c>
      <c r="E45" s="523" t="e">
        <f ca="1">stat(charge_entree[[#This Row],[ch_E_DCO]])</f>
        <v>#NAME?</v>
      </c>
      <c r="F45" s="523" t="e">
        <f ca="1">stat(charge_entree[[#This Row],[ch_E_COT]])</f>
        <v>#NAME?</v>
      </c>
      <c r="G45" s="523" t="e">
        <f ca="1">stat(charge_entree[[#This Row],[ch_E_NH4]])</f>
        <v>#NAME?</v>
      </c>
      <c r="H45" s="523" t="e">
        <f ca="1">stat(charge_entree[[#This Row],[ch_E_NTOT]])</f>
        <v>#NAME?</v>
      </c>
      <c r="I45" s="523" t="e">
        <f ca="1">stat(charge_entree[[#This Row],[ch_E_PTOT]])</f>
        <v>#NAME?</v>
      </c>
      <c r="J45" s="523" t="e">
        <f ca="1">stat(charge_entree[[#This Row],[ch_S_DBO]])</f>
        <v>#NAME?</v>
      </c>
      <c r="K45" s="523" t="e">
        <f ca="1">stat(charge_entree[[#This Row],[ch_S-DCO]])</f>
        <v>#NAME?</v>
      </c>
      <c r="L45" s="523" t="e">
        <f ca="1">stat(charge_entree[[#This Row],[ch_S_DOC]])</f>
        <v>#NAME?</v>
      </c>
      <c r="M45" s="523" t="e">
        <f ca="1">stat(charge_entree[[#This Row],[ch_S_NH4]])</f>
        <v>#NAME?</v>
      </c>
      <c r="N45" s="523" t="e">
        <f ca="1">stat(charge_entree[[#This Row],[ch_S_NO2]])</f>
        <v>#NAME?</v>
      </c>
      <c r="O45" s="523" t="e">
        <f ca="1">stat(charge_entree[[#This Row],[ch_S_NO3]])</f>
        <v>#NAME?</v>
      </c>
      <c r="P45" s="523" t="e">
        <f ca="1">stat(charge_entree[[#This Row],[ch_S_PTOT]])</f>
        <v>#NAME?</v>
      </c>
      <c r="Q45" s="523" t="e">
        <f ca="1">stat(charge_entree[[#This Row],[ch_S_SNDT]])</f>
        <v>#NAME?</v>
      </c>
      <c r="R45" s="523">
        <f>calculs!R45</f>
        <v>0</v>
      </c>
      <c r="S45" s="523" t="e">
        <f ca="1">stat(calculs!S45)</f>
        <v>#NAME?</v>
      </c>
      <c r="T45" s="523" t="e">
        <f ca="1">stat(calculs!T45)</f>
        <v>#NAME?</v>
      </c>
      <c r="U45" s="523" t="e">
        <f ca="1">stat(calculs!U45)</f>
        <v>#NAME?</v>
      </c>
      <c r="V45" s="523" t="e">
        <f ca="1">stat(calculs!V45)</f>
        <v>#NAME?</v>
      </c>
      <c r="W45" s="523" t="e">
        <f ca="1">stat(calculs!W45)</f>
        <v>#NAME?</v>
      </c>
      <c r="X45" s="523" t="e">
        <f ca="1">stat(calculs!X45)</f>
        <v>#NAME?</v>
      </c>
      <c r="Y45" s="523" t="e">
        <f ca="1">stat(calculs!Y45)</f>
        <v>#NAME?</v>
      </c>
      <c r="Z45" s="523" t="e">
        <f ca="1">stat(calculs!Z45)</f>
        <v>#NAME?</v>
      </c>
      <c r="AA45" s="523" t="e">
        <f ca="1">stat(calculs!AA45)</f>
        <v>#NAME?</v>
      </c>
      <c r="AB45" s="523" t="e">
        <f ca="1">stat(calculs!AB45)</f>
        <v>#NAME?</v>
      </c>
      <c r="AC45" s="523" t="e">
        <f ca="1">stat(calculs!AC45)</f>
        <v>#NAME?</v>
      </c>
      <c r="AD45" s="523" t="e">
        <f ca="1">stat(calculs!AD45)</f>
        <v>#NAME?</v>
      </c>
      <c r="AE45" s="523" t="e">
        <f ca="1">stat(calculs!AE45)</f>
        <v>#NAME?</v>
      </c>
      <c r="AF45" s="523" t="e">
        <f ca="1">stat(calculs!AF45)</f>
        <v>#NAME?</v>
      </c>
      <c r="AG45" s="523" t="e">
        <f ca="1">stat(calculs!AG45)</f>
        <v>#NAME?</v>
      </c>
      <c r="AH45" s="523" t="e">
        <f ca="1">stat(calculs!AH45)</f>
        <v>#NAME?</v>
      </c>
      <c r="AI45" s="523" t="e">
        <f ca="1">stat(calculs!AI45)</f>
        <v>#NAME?</v>
      </c>
      <c r="AJ45" s="523" t="e">
        <f ca="1">stat(calculs!AJ45)</f>
        <v>#NAME?</v>
      </c>
      <c r="AK45" s="523" t="e">
        <f ca="1">stat(calculs!AK45)</f>
        <v>#NAME?</v>
      </c>
      <c r="AL45" s="523" t="e">
        <f ca="1">stat(calculs!AL45)</f>
        <v>#NAME?</v>
      </c>
      <c r="AM45" s="523" t="e">
        <f ca="1">stat(calculs!AM45)</f>
        <v>#NAME?</v>
      </c>
      <c r="AN45" s="523" t="e">
        <f ca="1">stat(calculs!AN45)</f>
        <v>#NAME?</v>
      </c>
      <c r="AO45" s="523" t="e">
        <f ca="1">stat(calculs!AO45)</f>
        <v>#NAME?</v>
      </c>
      <c r="AP45" s="523" t="e">
        <f ca="1">stat(calculs!AP45)</f>
        <v>#NAME?</v>
      </c>
      <c r="AQ45" s="523" t="e">
        <f ca="1">stat(calculs!AQ45)</f>
        <v>#NAME?</v>
      </c>
      <c r="AT45" s="517"/>
      <c r="AV45" s="525" t="e">
        <f ca="1">stat(calculs!AV45)</f>
        <v>#NAME?</v>
      </c>
      <c r="AW45" s="525" t="e">
        <f ca="1">stat(calculs!AW45)</f>
        <v>#NAME?</v>
      </c>
      <c r="AX45" s="525" t="e">
        <f ca="1">stat(calculs!AX45)</f>
        <v>#NAME?</v>
      </c>
      <c r="AY45" s="525" t="e">
        <f ca="1">stat(calculs!AY45)</f>
        <v>#NAME?</v>
      </c>
      <c r="AZ45" s="525" t="e">
        <f ca="1">stat(calculs!AZ45)</f>
        <v>#NAME?</v>
      </c>
      <c r="BA45" s="525" t="e">
        <f ca="1">stat(calculs!BA45)</f>
        <v>#NAME?</v>
      </c>
      <c r="BB45" s="525" t="e">
        <f ca="1">stat(calculs!BB45)</f>
        <v>#NAME?</v>
      </c>
      <c r="BC45" s="525" t="e">
        <f ca="1">stat(calculs!BC45)</f>
        <v>#NAME?</v>
      </c>
      <c r="BD45" s="525" t="e">
        <f ca="1">stat(calculs!BD45)</f>
        <v>#NAME?</v>
      </c>
      <c r="BE45" s="525" t="e">
        <f ca="1">stat(calculs!BE45)</f>
        <v>#NAME?</v>
      </c>
      <c r="BF45" s="525" t="e">
        <f ca="1">stat(calculs!BF45)</f>
        <v>#NAME?</v>
      </c>
      <c r="BG45" s="729" t="e">
        <f ca="1">stat(calculs!BG45)</f>
        <v>#NAME?</v>
      </c>
      <c r="BH45" s="729" t="e">
        <f ca="1">stat(calculs!BH45)</f>
        <v>#NAME?</v>
      </c>
      <c r="BI45" s="729" t="e">
        <f ca="1">stat(calculs!BI45)</f>
        <v>#NAME?</v>
      </c>
      <c r="BJ45" s="729" t="e">
        <f ca="1">stat(calculs!BJ45)</f>
        <v>#NAME?</v>
      </c>
      <c r="BK45" s="729" t="e">
        <f ca="1">stat(calculs!BK45)</f>
        <v>#NAME?</v>
      </c>
      <c r="BL45" s="525" t="e">
        <f ca="1">stat(calculs!BL45)</f>
        <v>#NAME?</v>
      </c>
      <c r="BM45" s="525" t="e">
        <f ca="1">stat(calculs!BM45)</f>
        <v>#NAME?</v>
      </c>
      <c r="BN45" s="525" t="e">
        <f ca="1">stat(calculs!BN45)</f>
        <v>#NAME?</v>
      </c>
      <c r="BO45" s="525" t="e">
        <f ca="1">stat(calculs!BO45)</f>
        <v>#NAME?</v>
      </c>
      <c r="BP45" s="525" t="e">
        <f ca="1">stat(calculs!BP45)</f>
        <v>#NAME?</v>
      </c>
      <c r="BQ45" s="525" t="e">
        <f ca="1">stat(calculs!BQ45)</f>
        <v>#NAME?</v>
      </c>
      <c r="BR45" s="525" t="e">
        <f ca="1">stat(calculs!BR45)</f>
        <v>#NAME?</v>
      </c>
    </row>
    <row r="46" spans="1:70" x14ac:dyDescent="0.2">
      <c r="A46" s="222">
        <f>données_step[[#This Row],[Datum]]</f>
        <v>44597</v>
      </c>
      <c r="B46" s="223"/>
      <c r="C46" s="224">
        <f t="shared" si="0"/>
        <v>7</v>
      </c>
      <c r="D46" s="523" t="e">
        <f ca="1">stat(charge_entree[[#This Row],[ch_E_DBO5]])</f>
        <v>#NAME?</v>
      </c>
      <c r="E46" s="523" t="e">
        <f ca="1">stat(charge_entree[[#This Row],[ch_E_DCO]])</f>
        <v>#NAME?</v>
      </c>
      <c r="F46" s="523" t="e">
        <f ca="1">stat(charge_entree[[#This Row],[ch_E_COT]])</f>
        <v>#NAME?</v>
      </c>
      <c r="G46" s="523" t="e">
        <f ca="1">stat(charge_entree[[#This Row],[ch_E_NH4]])</f>
        <v>#NAME?</v>
      </c>
      <c r="H46" s="523" t="e">
        <f ca="1">stat(charge_entree[[#This Row],[ch_E_NTOT]])</f>
        <v>#NAME?</v>
      </c>
      <c r="I46" s="523" t="e">
        <f ca="1">stat(charge_entree[[#This Row],[ch_E_PTOT]])</f>
        <v>#NAME?</v>
      </c>
      <c r="J46" s="523" t="e">
        <f ca="1">stat(charge_entree[[#This Row],[ch_S_DBO]])</f>
        <v>#NAME?</v>
      </c>
      <c r="K46" s="523" t="e">
        <f ca="1">stat(charge_entree[[#This Row],[ch_S-DCO]])</f>
        <v>#NAME?</v>
      </c>
      <c r="L46" s="523" t="e">
        <f ca="1">stat(charge_entree[[#This Row],[ch_S_DOC]])</f>
        <v>#NAME?</v>
      </c>
      <c r="M46" s="523" t="e">
        <f ca="1">stat(charge_entree[[#This Row],[ch_S_NH4]])</f>
        <v>#NAME?</v>
      </c>
      <c r="N46" s="523" t="e">
        <f ca="1">stat(charge_entree[[#This Row],[ch_S_NO2]])</f>
        <v>#NAME?</v>
      </c>
      <c r="O46" s="523" t="e">
        <f ca="1">stat(charge_entree[[#This Row],[ch_S_NO3]])</f>
        <v>#NAME?</v>
      </c>
      <c r="P46" s="523" t="e">
        <f ca="1">stat(charge_entree[[#This Row],[ch_S_PTOT]])</f>
        <v>#NAME?</v>
      </c>
      <c r="Q46" s="523" t="e">
        <f ca="1">stat(charge_entree[[#This Row],[ch_S_SNDT]])</f>
        <v>#NAME?</v>
      </c>
      <c r="R46" s="523">
        <f>calculs!R46</f>
        <v>0</v>
      </c>
      <c r="S46" s="523" t="e">
        <f ca="1">stat(calculs!S46)</f>
        <v>#NAME?</v>
      </c>
      <c r="T46" s="523" t="e">
        <f ca="1">stat(calculs!T46)</f>
        <v>#NAME?</v>
      </c>
      <c r="U46" s="523" t="e">
        <f ca="1">stat(calculs!U46)</f>
        <v>#NAME?</v>
      </c>
      <c r="V46" s="523" t="e">
        <f ca="1">stat(calculs!V46)</f>
        <v>#NAME?</v>
      </c>
      <c r="W46" s="523" t="e">
        <f ca="1">stat(calculs!W46)</f>
        <v>#NAME?</v>
      </c>
      <c r="X46" s="523" t="e">
        <f ca="1">stat(calculs!X46)</f>
        <v>#NAME?</v>
      </c>
      <c r="Y46" s="523" t="e">
        <f ca="1">stat(calculs!Y46)</f>
        <v>#NAME?</v>
      </c>
      <c r="Z46" s="523" t="e">
        <f ca="1">stat(calculs!Z46)</f>
        <v>#NAME?</v>
      </c>
      <c r="AA46" s="523" t="e">
        <f ca="1">stat(calculs!AA46)</f>
        <v>#NAME?</v>
      </c>
      <c r="AB46" s="523" t="e">
        <f ca="1">stat(calculs!AB46)</f>
        <v>#NAME?</v>
      </c>
      <c r="AC46" s="523" t="e">
        <f ca="1">stat(calculs!AC46)</f>
        <v>#NAME?</v>
      </c>
      <c r="AD46" s="523" t="e">
        <f ca="1">stat(calculs!AD46)</f>
        <v>#NAME?</v>
      </c>
      <c r="AE46" s="523" t="e">
        <f ca="1">stat(calculs!AE46)</f>
        <v>#NAME?</v>
      </c>
      <c r="AF46" s="523" t="e">
        <f ca="1">stat(calculs!AF46)</f>
        <v>#NAME?</v>
      </c>
      <c r="AG46" s="523" t="e">
        <f ca="1">stat(calculs!AG46)</f>
        <v>#NAME?</v>
      </c>
      <c r="AH46" s="523" t="e">
        <f ca="1">stat(calculs!AH46)</f>
        <v>#NAME?</v>
      </c>
      <c r="AI46" s="523" t="e">
        <f ca="1">stat(calculs!AI46)</f>
        <v>#NAME?</v>
      </c>
      <c r="AJ46" s="523" t="e">
        <f ca="1">stat(calculs!AJ46)</f>
        <v>#NAME?</v>
      </c>
      <c r="AK46" s="523" t="e">
        <f ca="1">stat(calculs!AK46)</f>
        <v>#NAME?</v>
      </c>
      <c r="AL46" s="523" t="e">
        <f ca="1">stat(calculs!AL46)</f>
        <v>#NAME?</v>
      </c>
      <c r="AM46" s="523" t="e">
        <f ca="1">stat(calculs!AM46)</f>
        <v>#NAME?</v>
      </c>
      <c r="AN46" s="523" t="e">
        <f ca="1">stat(calculs!AN46)</f>
        <v>#NAME?</v>
      </c>
      <c r="AO46" s="523" t="e">
        <f ca="1">stat(calculs!AO46)</f>
        <v>#NAME?</v>
      </c>
      <c r="AP46" s="523" t="e">
        <f ca="1">stat(calculs!AP46)</f>
        <v>#NAME?</v>
      </c>
      <c r="AQ46" s="523" t="e">
        <f ca="1">stat(calculs!AQ46)</f>
        <v>#NAME?</v>
      </c>
      <c r="AT46" s="517"/>
      <c r="AV46" s="525" t="e">
        <f ca="1">stat(calculs!AV46)</f>
        <v>#NAME?</v>
      </c>
      <c r="AW46" s="525" t="e">
        <f ca="1">stat(calculs!AW46)</f>
        <v>#NAME?</v>
      </c>
      <c r="AX46" s="525" t="e">
        <f ca="1">stat(calculs!AX46)</f>
        <v>#NAME?</v>
      </c>
      <c r="AY46" s="525" t="e">
        <f ca="1">stat(calculs!AY46)</f>
        <v>#NAME?</v>
      </c>
      <c r="AZ46" s="525" t="e">
        <f ca="1">stat(calculs!AZ46)</f>
        <v>#NAME?</v>
      </c>
      <c r="BA46" s="525" t="e">
        <f ca="1">stat(calculs!BA46)</f>
        <v>#NAME?</v>
      </c>
      <c r="BB46" s="525" t="e">
        <f ca="1">stat(calculs!BB46)</f>
        <v>#NAME?</v>
      </c>
      <c r="BC46" s="525" t="e">
        <f ca="1">stat(calculs!BC46)</f>
        <v>#NAME?</v>
      </c>
      <c r="BD46" s="525" t="e">
        <f ca="1">stat(calculs!BD46)</f>
        <v>#NAME?</v>
      </c>
      <c r="BE46" s="525" t="e">
        <f ca="1">stat(calculs!BE46)</f>
        <v>#NAME?</v>
      </c>
      <c r="BF46" s="525" t="e">
        <f ca="1">stat(calculs!BF46)</f>
        <v>#NAME?</v>
      </c>
      <c r="BG46" s="729" t="e">
        <f ca="1">stat(calculs!BG46)</f>
        <v>#NAME?</v>
      </c>
      <c r="BH46" s="729" t="e">
        <f ca="1">stat(calculs!BH46)</f>
        <v>#NAME?</v>
      </c>
      <c r="BI46" s="729" t="e">
        <f ca="1">stat(calculs!BI46)</f>
        <v>#NAME?</v>
      </c>
      <c r="BJ46" s="729" t="e">
        <f ca="1">stat(calculs!BJ46)</f>
        <v>#NAME?</v>
      </c>
      <c r="BK46" s="729" t="e">
        <f ca="1">stat(calculs!BK46)</f>
        <v>#NAME?</v>
      </c>
      <c r="BL46" s="525" t="e">
        <f ca="1">stat(calculs!BL46)</f>
        <v>#NAME?</v>
      </c>
      <c r="BM46" s="525" t="e">
        <f ca="1">stat(calculs!BM46)</f>
        <v>#NAME?</v>
      </c>
      <c r="BN46" s="525" t="e">
        <f ca="1">stat(calculs!BN46)</f>
        <v>#NAME?</v>
      </c>
      <c r="BO46" s="525" t="e">
        <f ca="1">stat(calculs!BO46)</f>
        <v>#NAME?</v>
      </c>
      <c r="BP46" s="525" t="e">
        <f ca="1">stat(calculs!BP46)</f>
        <v>#NAME?</v>
      </c>
      <c r="BQ46" s="525" t="e">
        <f ca="1">stat(calculs!BQ46)</f>
        <v>#NAME?</v>
      </c>
      <c r="BR46" s="525" t="e">
        <f ca="1">stat(calculs!BR46)</f>
        <v>#NAME?</v>
      </c>
    </row>
    <row r="47" spans="1:70" x14ac:dyDescent="0.2">
      <c r="A47" s="222">
        <f>données_step[[#This Row],[Datum]]</f>
        <v>44598</v>
      </c>
      <c r="B47" s="223"/>
      <c r="C47" s="224">
        <f t="shared" si="0"/>
        <v>1</v>
      </c>
      <c r="D47" s="523" t="e">
        <f ca="1">stat(charge_entree[[#This Row],[ch_E_DBO5]])</f>
        <v>#NAME?</v>
      </c>
      <c r="E47" s="523" t="e">
        <f ca="1">stat(charge_entree[[#This Row],[ch_E_DCO]])</f>
        <v>#NAME?</v>
      </c>
      <c r="F47" s="523" t="e">
        <f ca="1">stat(charge_entree[[#This Row],[ch_E_COT]])</f>
        <v>#NAME?</v>
      </c>
      <c r="G47" s="523" t="e">
        <f ca="1">stat(charge_entree[[#This Row],[ch_E_NH4]])</f>
        <v>#NAME?</v>
      </c>
      <c r="H47" s="523" t="e">
        <f ca="1">stat(charge_entree[[#This Row],[ch_E_NTOT]])</f>
        <v>#NAME?</v>
      </c>
      <c r="I47" s="523" t="e">
        <f ca="1">stat(charge_entree[[#This Row],[ch_E_PTOT]])</f>
        <v>#NAME?</v>
      </c>
      <c r="J47" s="523" t="e">
        <f ca="1">stat(charge_entree[[#This Row],[ch_S_DBO]])</f>
        <v>#NAME?</v>
      </c>
      <c r="K47" s="523" t="e">
        <f ca="1">stat(charge_entree[[#This Row],[ch_S-DCO]])</f>
        <v>#NAME?</v>
      </c>
      <c r="L47" s="523" t="e">
        <f ca="1">stat(charge_entree[[#This Row],[ch_S_DOC]])</f>
        <v>#NAME?</v>
      </c>
      <c r="M47" s="523" t="e">
        <f ca="1">stat(charge_entree[[#This Row],[ch_S_NH4]])</f>
        <v>#NAME?</v>
      </c>
      <c r="N47" s="523" t="e">
        <f ca="1">stat(charge_entree[[#This Row],[ch_S_NO2]])</f>
        <v>#NAME?</v>
      </c>
      <c r="O47" s="523" t="e">
        <f ca="1">stat(charge_entree[[#This Row],[ch_S_NO3]])</f>
        <v>#NAME?</v>
      </c>
      <c r="P47" s="523" t="e">
        <f ca="1">stat(charge_entree[[#This Row],[ch_S_PTOT]])</f>
        <v>#NAME?</v>
      </c>
      <c r="Q47" s="523" t="e">
        <f ca="1">stat(charge_entree[[#This Row],[ch_S_SNDT]])</f>
        <v>#NAME?</v>
      </c>
      <c r="R47" s="523">
        <f>calculs!R47</f>
        <v>0</v>
      </c>
      <c r="S47" s="523" t="e">
        <f ca="1">stat(calculs!S47)</f>
        <v>#NAME?</v>
      </c>
      <c r="T47" s="523" t="e">
        <f ca="1">stat(calculs!T47)</f>
        <v>#NAME?</v>
      </c>
      <c r="U47" s="523" t="e">
        <f ca="1">stat(calculs!U47)</f>
        <v>#NAME?</v>
      </c>
      <c r="V47" s="523" t="e">
        <f ca="1">stat(calculs!V47)</f>
        <v>#NAME?</v>
      </c>
      <c r="W47" s="523" t="e">
        <f ca="1">stat(calculs!W47)</f>
        <v>#NAME?</v>
      </c>
      <c r="X47" s="523" t="e">
        <f ca="1">stat(calculs!X47)</f>
        <v>#NAME?</v>
      </c>
      <c r="Y47" s="523" t="e">
        <f ca="1">stat(calculs!Y47)</f>
        <v>#NAME?</v>
      </c>
      <c r="Z47" s="523" t="e">
        <f ca="1">stat(calculs!Z47)</f>
        <v>#NAME?</v>
      </c>
      <c r="AA47" s="523" t="e">
        <f ca="1">stat(calculs!AA47)</f>
        <v>#NAME?</v>
      </c>
      <c r="AB47" s="523" t="e">
        <f ca="1">stat(calculs!AB47)</f>
        <v>#NAME?</v>
      </c>
      <c r="AC47" s="523" t="e">
        <f ca="1">stat(calculs!AC47)</f>
        <v>#NAME?</v>
      </c>
      <c r="AD47" s="523" t="e">
        <f ca="1">stat(calculs!AD47)</f>
        <v>#NAME?</v>
      </c>
      <c r="AE47" s="523" t="e">
        <f ca="1">stat(calculs!AE47)</f>
        <v>#NAME?</v>
      </c>
      <c r="AF47" s="523" t="e">
        <f ca="1">stat(calculs!AF47)</f>
        <v>#NAME?</v>
      </c>
      <c r="AG47" s="523" t="e">
        <f ca="1">stat(calculs!AG47)</f>
        <v>#NAME?</v>
      </c>
      <c r="AH47" s="523" t="e">
        <f ca="1">stat(calculs!AH47)</f>
        <v>#NAME?</v>
      </c>
      <c r="AI47" s="523" t="e">
        <f ca="1">stat(calculs!AI47)</f>
        <v>#NAME?</v>
      </c>
      <c r="AJ47" s="523" t="e">
        <f ca="1">stat(calculs!AJ47)</f>
        <v>#NAME?</v>
      </c>
      <c r="AK47" s="523" t="e">
        <f ca="1">stat(calculs!AK47)</f>
        <v>#NAME?</v>
      </c>
      <c r="AL47" s="523" t="e">
        <f ca="1">stat(calculs!AL47)</f>
        <v>#NAME?</v>
      </c>
      <c r="AM47" s="523" t="e">
        <f ca="1">stat(calculs!AM47)</f>
        <v>#NAME?</v>
      </c>
      <c r="AN47" s="523" t="e">
        <f ca="1">stat(calculs!AN47)</f>
        <v>#NAME?</v>
      </c>
      <c r="AO47" s="523" t="e">
        <f ca="1">stat(calculs!AO47)</f>
        <v>#NAME?</v>
      </c>
      <c r="AP47" s="523" t="e">
        <f ca="1">stat(calculs!AP47)</f>
        <v>#NAME?</v>
      </c>
      <c r="AQ47" s="523" t="e">
        <f ca="1">stat(calculs!AQ47)</f>
        <v>#NAME?</v>
      </c>
      <c r="AT47" s="517"/>
      <c r="AV47" s="525" t="e">
        <f ca="1">stat(calculs!AV47)</f>
        <v>#NAME?</v>
      </c>
      <c r="AW47" s="525" t="e">
        <f ca="1">stat(calculs!AW47)</f>
        <v>#NAME?</v>
      </c>
      <c r="AX47" s="525" t="e">
        <f ca="1">stat(calculs!AX47)</f>
        <v>#NAME?</v>
      </c>
      <c r="AY47" s="525" t="e">
        <f ca="1">stat(calculs!AY47)</f>
        <v>#NAME?</v>
      </c>
      <c r="AZ47" s="525" t="e">
        <f ca="1">stat(calculs!AZ47)</f>
        <v>#NAME?</v>
      </c>
      <c r="BA47" s="525" t="e">
        <f ca="1">stat(calculs!BA47)</f>
        <v>#NAME?</v>
      </c>
      <c r="BB47" s="525" t="e">
        <f ca="1">stat(calculs!BB47)</f>
        <v>#NAME?</v>
      </c>
      <c r="BC47" s="525" t="e">
        <f ca="1">stat(calculs!BC47)</f>
        <v>#NAME?</v>
      </c>
      <c r="BD47" s="525" t="e">
        <f ca="1">stat(calculs!BD47)</f>
        <v>#NAME?</v>
      </c>
      <c r="BE47" s="525" t="e">
        <f ca="1">stat(calculs!BE47)</f>
        <v>#NAME?</v>
      </c>
      <c r="BF47" s="525" t="e">
        <f ca="1">stat(calculs!BF47)</f>
        <v>#NAME?</v>
      </c>
      <c r="BG47" s="729" t="e">
        <f ca="1">stat(calculs!BG47)</f>
        <v>#NAME?</v>
      </c>
      <c r="BH47" s="729" t="e">
        <f ca="1">stat(calculs!BH47)</f>
        <v>#NAME?</v>
      </c>
      <c r="BI47" s="729" t="e">
        <f ca="1">stat(calculs!BI47)</f>
        <v>#NAME?</v>
      </c>
      <c r="BJ47" s="729" t="e">
        <f ca="1">stat(calculs!BJ47)</f>
        <v>#NAME?</v>
      </c>
      <c r="BK47" s="729" t="e">
        <f ca="1">stat(calculs!BK47)</f>
        <v>#NAME?</v>
      </c>
      <c r="BL47" s="525" t="e">
        <f ca="1">stat(calculs!BL47)</f>
        <v>#NAME?</v>
      </c>
      <c r="BM47" s="525" t="e">
        <f ca="1">stat(calculs!BM47)</f>
        <v>#NAME?</v>
      </c>
      <c r="BN47" s="525" t="e">
        <f ca="1">stat(calculs!BN47)</f>
        <v>#NAME?</v>
      </c>
      <c r="BO47" s="525" t="e">
        <f ca="1">stat(calculs!BO47)</f>
        <v>#NAME?</v>
      </c>
      <c r="BP47" s="525" t="e">
        <f ca="1">stat(calculs!BP47)</f>
        <v>#NAME?</v>
      </c>
      <c r="BQ47" s="525" t="e">
        <f ca="1">stat(calculs!BQ47)</f>
        <v>#NAME?</v>
      </c>
      <c r="BR47" s="525" t="e">
        <f ca="1">stat(calculs!BR47)</f>
        <v>#NAME?</v>
      </c>
    </row>
    <row r="48" spans="1:70" x14ac:dyDescent="0.2">
      <c r="A48" s="222">
        <f>données_step[[#This Row],[Datum]]</f>
        <v>44599</v>
      </c>
      <c r="B48" s="223"/>
      <c r="C48" s="224">
        <f t="shared" si="0"/>
        <v>2</v>
      </c>
      <c r="D48" s="523" t="e">
        <f ca="1">stat(charge_entree[[#This Row],[ch_E_DBO5]])</f>
        <v>#NAME?</v>
      </c>
      <c r="E48" s="523" t="e">
        <f ca="1">stat(charge_entree[[#This Row],[ch_E_DCO]])</f>
        <v>#NAME?</v>
      </c>
      <c r="F48" s="523" t="e">
        <f ca="1">stat(charge_entree[[#This Row],[ch_E_COT]])</f>
        <v>#NAME?</v>
      </c>
      <c r="G48" s="523" t="e">
        <f ca="1">stat(charge_entree[[#This Row],[ch_E_NH4]])</f>
        <v>#NAME?</v>
      </c>
      <c r="H48" s="523" t="e">
        <f ca="1">stat(charge_entree[[#This Row],[ch_E_NTOT]])</f>
        <v>#NAME?</v>
      </c>
      <c r="I48" s="523" t="e">
        <f ca="1">stat(charge_entree[[#This Row],[ch_E_PTOT]])</f>
        <v>#NAME?</v>
      </c>
      <c r="J48" s="523" t="e">
        <f ca="1">stat(charge_entree[[#This Row],[ch_S_DBO]])</f>
        <v>#NAME?</v>
      </c>
      <c r="K48" s="523" t="e">
        <f ca="1">stat(charge_entree[[#This Row],[ch_S-DCO]])</f>
        <v>#NAME?</v>
      </c>
      <c r="L48" s="523" t="e">
        <f ca="1">stat(charge_entree[[#This Row],[ch_S_DOC]])</f>
        <v>#NAME?</v>
      </c>
      <c r="M48" s="523" t="e">
        <f ca="1">stat(charge_entree[[#This Row],[ch_S_NH4]])</f>
        <v>#NAME?</v>
      </c>
      <c r="N48" s="523" t="e">
        <f ca="1">stat(charge_entree[[#This Row],[ch_S_NO2]])</f>
        <v>#NAME?</v>
      </c>
      <c r="O48" s="523" t="e">
        <f ca="1">stat(charge_entree[[#This Row],[ch_S_NO3]])</f>
        <v>#NAME?</v>
      </c>
      <c r="P48" s="523" t="e">
        <f ca="1">stat(charge_entree[[#This Row],[ch_S_PTOT]])</f>
        <v>#NAME?</v>
      </c>
      <c r="Q48" s="523" t="e">
        <f ca="1">stat(charge_entree[[#This Row],[ch_S_SNDT]])</f>
        <v>#NAME?</v>
      </c>
      <c r="R48" s="523">
        <f>calculs!R48</f>
        <v>0</v>
      </c>
      <c r="S48" s="523" t="e">
        <f ca="1">stat(calculs!S48)</f>
        <v>#NAME?</v>
      </c>
      <c r="T48" s="523" t="e">
        <f ca="1">stat(calculs!T48)</f>
        <v>#NAME?</v>
      </c>
      <c r="U48" s="523" t="e">
        <f ca="1">stat(calculs!U48)</f>
        <v>#NAME?</v>
      </c>
      <c r="V48" s="523" t="e">
        <f ca="1">stat(calculs!V48)</f>
        <v>#NAME?</v>
      </c>
      <c r="W48" s="523" t="e">
        <f ca="1">stat(calculs!W48)</f>
        <v>#NAME?</v>
      </c>
      <c r="X48" s="523" t="e">
        <f ca="1">stat(calculs!X48)</f>
        <v>#NAME?</v>
      </c>
      <c r="Y48" s="523" t="e">
        <f ca="1">stat(calculs!Y48)</f>
        <v>#NAME?</v>
      </c>
      <c r="Z48" s="523" t="e">
        <f ca="1">stat(calculs!Z48)</f>
        <v>#NAME?</v>
      </c>
      <c r="AA48" s="523" t="e">
        <f ca="1">stat(calculs!AA48)</f>
        <v>#NAME?</v>
      </c>
      <c r="AB48" s="523" t="e">
        <f ca="1">stat(calculs!AB48)</f>
        <v>#NAME?</v>
      </c>
      <c r="AC48" s="523" t="e">
        <f ca="1">stat(calculs!AC48)</f>
        <v>#NAME?</v>
      </c>
      <c r="AD48" s="523" t="e">
        <f ca="1">stat(calculs!AD48)</f>
        <v>#NAME?</v>
      </c>
      <c r="AE48" s="523" t="e">
        <f ca="1">stat(calculs!AE48)</f>
        <v>#NAME?</v>
      </c>
      <c r="AF48" s="523" t="e">
        <f ca="1">stat(calculs!AF48)</f>
        <v>#NAME?</v>
      </c>
      <c r="AG48" s="523" t="e">
        <f ca="1">stat(calculs!AG48)</f>
        <v>#NAME?</v>
      </c>
      <c r="AH48" s="523" t="e">
        <f ca="1">stat(calculs!AH48)</f>
        <v>#NAME?</v>
      </c>
      <c r="AI48" s="523" t="e">
        <f ca="1">stat(calculs!AI48)</f>
        <v>#NAME?</v>
      </c>
      <c r="AJ48" s="523" t="e">
        <f ca="1">stat(calculs!AJ48)</f>
        <v>#NAME?</v>
      </c>
      <c r="AK48" s="523" t="e">
        <f ca="1">stat(calculs!AK48)</f>
        <v>#NAME?</v>
      </c>
      <c r="AL48" s="523" t="e">
        <f ca="1">stat(calculs!AL48)</f>
        <v>#NAME?</v>
      </c>
      <c r="AM48" s="523" t="e">
        <f ca="1">stat(calculs!AM48)</f>
        <v>#NAME?</v>
      </c>
      <c r="AN48" s="523" t="e">
        <f ca="1">stat(calculs!AN48)</f>
        <v>#NAME?</v>
      </c>
      <c r="AO48" s="523" t="e">
        <f ca="1">stat(calculs!AO48)</f>
        <v>#NAME?</v>
      </c>
      <c r="AP48" s="523" t="e">
        <f ca="1">stat(calculs!AP48)</f>
        <v>#NAME?</v>
      </c>
      <c r="AQ48" s="523" t="e">
        <f ca="1">stat(calculs!AQ48)</f>
        <v>#NAME?</v>
      </c>
      <c r="AT48" s="517"/>
      <c r="AV48" s="525" t="e">
        <f ca="1">stat(calculs!AV48)</f>
        <v>#NAME?</v>
      </c>
      <c r="AW48" s="525" t="e">
        <f ca="1">stat(calculs!AW48)</f>
        <v>#NAME?</v>
      </c>
      <c r="AX48" s="525" t="e">
        <f ca="1">stat(calculs!AX48)</f>
        <v>#NAME?</v>
      </c>
      <c r="AY48" s="525" t="e">
        <f ca="1">stat(calculs!AY48)</f>
        <v>#NAME?</v>
      </c>
      <c r="AZ48" s="525" t="e">
        <f ca="1">stat(calculs!AZ48)</f>
        <v>#NAME?</v>
      </c>
      <c r="BA48" s="525" t="e">
        <f ca="1">stat(calculs!BA48)</f>
        <v>#NAME?</v>
      </c>
      <c r="BB48" s="525" t="e">
        <f ca="1">stat(calculs!BB48)</f>
        <v>#NAME?</v>
      </c>
      <c r="BC48" s="525" t="e">
        <f ca="1">stat(calculs!BC48)</f>
        <v>#NAME?</v>
      </c>
      <c r="BD48" s="525" t="e">
        <f ca="1">stat(calculs!BD48)</f>
        <v>#NAME?</v>
      </c>
      <c r="BE48" s="525" t="e">
        <f ca="1">stat(calculs!BE48)</f>
        <v>#NAME?</v>
      </c>
      <c r="BF48" s="525" t="e">
        <f ca="1">stat(calculs!BF48)</f>
        <v>#NAME?</v>
      </c>
      <c r="BG48" s="729" t="e">
        <f ca="1">stat(calculs!BG48)</f>
        <v>#NAME?</v>
      </c>
      <c r="BH48" s="729" t="e">
        <f ca="1">stat(calculs!BH48)</f>
        <v>#NAME?</v>
      </c>
      <c r="BI48" s="729" t="e">
        <f ca="1">stat(calculs!BI48)</f>
        <v>#NAME?</v>
      </c>
      <c r="BJ48" s="729" t="e">
        <f ca="1">stat(calculs!BJ48)</f>
        <v>#NAME?</v>
      </c>
      <c r="BK48" s="729" t="e">
        <f ca="1">stat(calculs!BK48)</f>
        <v>#NAME?</v>
      </c>
      <c r="BL48" s="525" t="e">
        <f ca="1">stat(calculs!BL48)</f>
        <v>#NAME?</v>
      </c>
      <c r="BM48" s="525" t="e">
        <f ca="1">stat(calculs!BM48)</f>
        <v>#NAME?</v>
      </c>
      <c r="BN48" s="525" t="e">
        <f ca="1">stat(calculs!BN48)</f>
        <v>#NAME?</v>
      </c>
      <c r="BO48" s="525" t="e">
        <f ca="1">stat(calculs!BO48)</f>
        <v>#NAME?</v>
      </c>
      <c r="BP48" s="525" t="e">
        <f ca="1">stat(calculs!BP48)</f>
        <v>#NAME?</v>
      </c>
      <c r="BQ48" s="525" t="e">
        <f ca="1">stat(calculs!BQ48)</f>
        <v>#NAME?</v>
      </c>
      <c r="BR48" s="525" t="e">
        <f ca="1">stat(calculs!BR48)</f>
        <v>#NAME?</v>
      </c>
    </row>
    <row r="49" spans="1:70" x14ac:dyDescent="0.2">
      <c r="A49" s="222">
        <f>données_step[[#This Row],[Datum]]</f>
        <v>44600</v>
      </c>
      <c r="B49" s="223"/>
      <c r="C49" s="224">
        <f t="shared" si="0"/>
        <v>3</v>
      </c>
      <c r="D49" s="523" t="e">
        <f ca="1">stat(charge_entree[[#This Row],[ch_E_DBO5]])</f>
        <v>#NAME?</v>
      </c>
      <c r="E49" s="523" t="e">
        <f ca="1">stat(charge_entree[[#This Row],[ch_E_DCO]])</f>
        <v>#NAME?</v>
      </c>
      <c r="F49" s="523" t="e">
        <f ca="1">stat(charge_entree[[#This Row],[ch_E_COT]])</f>
        <v>#NAME?</v>
      </c>
      <c r="G49" s="523" t="e">
        <f ca="1">stat(charge_entree[[#This Row],[ch_E_NH4]])</f>
        <v>#NAME?</v>
      </c>
      <c r="H49" s="523" t="e">
        <f ca="1">stat(charge_entree[[#This Row],[ch_E_NTOT]])</f>
        <v>#NAME?</v>
      </c>
      <c r="I49" s="523" t="e">
        <f ca="1">stat(charge_entree[[#This Row],[ch_E_PTOT]])</f>
        <v>#NAME?</v>
      </c>
      <c r="J49" s="523" t="e">
        <f ca="1">stat(charge_entree[[#This Row],[ch_S_DBO]])</f>
        <v>#NAME?</v>
      </c>
      <c r="K49" s="523" t="e">
        <f ca="1">stat(charge_entree[[#This Row],[ch_S-DCO]])</f>
        <v>#NAME?</v>
      </c>
      <c r="L49" s="523" t="e">
        <f ca="1">stat(charge_entree[[#This Row],[ch_S_DOC]])</f>
        <v>#NAME?</v>
      </c>
      <c r="M49" s="523" t="e">
        <f ca="1">stat(charge_entree[[#This Row],[ch_S_NH4]])</f>
        <v>#NAME?</v>
      </c>
      <c r="N49" s="523" t="e">
        <f ca="1">stat(charge_entree[[#This Row],[ch_S_NO2]])</f>
        <v>#NAME?</v>
      </c>
      <c r="O49" s="523" t="e">
        <f ca="1">stat(charge_entree[[#This Row],[ch_S_NO3]])</f>
        <v>#NAME?</v>
      </c>
      <c r="P49" s="523" t="e">
        <f ca="1">stat(charge_entree[[#This Row],[ch_S_PTOT]])</f>
        <v>#NAME?</v>
      </c>
      <c r="Q49" s="523" t="e">
        <f ca="1">stat(charge_entree[[#This Row],[ch_S_SNDT]])</f>
        <v>#NAME?</v>
      </c>
      <c r="R49" s="523">
        <f>calculs!R49</f>
        <v>0</v>
      </c>
      <c r="S49" s="523" t="e">
        <f ca="1">stat(calculs!S49)</f>
        <v>#NAME?</v>
      </c>
      <c r="T49" s="523" t="e">
        <f ca="1">stat(calculs!T49)</f>
        <v>#NAME?</v>
      </c>
      <c r="U49" s="523" t="e">
        <f ca="1">stat(calculs!U49)</f>
        <v>#NAME?</v>
      </c>
      <c r="V49" s="523" t="e">
        <f ca="1">stat(calculs!V49)</f>
        <v>#NAME?</v>
      </c>
      <c r="W49" s="523" t="e">
        <f ca="1">stat(calculs!W49)</f>
        <v>#NAME?</v>
      </c>
      <c r="X49" s="523" t="e">
        <f ca="1">stat(calculs!X49)</f>
        <v>#NAME?</v>
      </c>
      <c r="Y49" s="523" t="e">
        <f ca="1">stat(calculs!Y49)</f>
        <v>#NAME?</v>
      </c>
      <c r="Z49" s="523" t="e">
        <f ca="1">stat(calculs!Z49)</f>
        <v>#NAME?</v>
      </c>
      <c r="AA49" s="523" t="e">
        <f ca="1">stat(calculs!AA49)</f>
        <v>#NAME?</v>
      </c>
      <c r="AB49" s="523" t="e">
        <f ca="1">stat(calculs!AB49)</f>
        <v>#NAME?</v>
      </c>
      <c r="AC49" s="523" t="e">
        <f ca="1">stat(calculs!AC49)</f>
        <v>#NAME?</v>
      </c>
      <c r="AD49" s="523" t="e">
        <f ca="1">stat(calculs!AD49)</f>
        <v>#NAME?</v>
      </c>
      <c r="AE49" s="523" t="e">
        <f ca="1">stat(calculs!AE49)</f>
        <v>#NAME?</v>
      </c>
      <c r="AF49" s="523" t="e">
        <f ca="1">stat(calculs!AF49)</f>
        <v>#NAME?</v>
      </c>
      <c r="AG49" s="523" t="e">
        <f ca="1">stat(calculs!AG49)</f>
        <v>#NAME?</v>
      </c>
      <c r="AH49" s="523" t="e">
        <f ca="1">stat(calculs!AH49)</f>
        <v>#NAME?</v>
      </c>
      <c r="AI49" s="523" t="e">
        <f ca="1">stat(calculs!AI49)</f>
        <v>#NAME?</v>
      </c>
      <c r="AJ49" s="523" t="e">
        <f ca="1">stat(calculs!AJ49)</f>
        <v>#NAME?</v>
      </c>
      <c r="AK49" s="523" t="e">
        <f ca="1">stat(calculs!AK49)</f>
        <v>#NAME?</v>
      </c>
      <c r="AL49" s="523" t="e">
        <f ca="1">stat(calculs!AL49)</f>
        <v>#NAME?</v>
      </c>
      <c r="AM49" s="523" t="e">
        <f ca="1">stat(calculs!AM49)</f>
        <v>#NAME?</v>
      </c>
      <c r="AN49" s="523" t="e">
        <f ca="1">stat(calculs!AN49)</f>
        <v>#NAME?</v>
      </c>
      <c r="AO49" s="523" t="e">
        <f ca="1">stat(calculs!AO49)</f>
        <v>#NAME?</v>
      </c>
      <c r="AP49" s="523" t="e">
        <f ca="1">stat(calculs!AP49)</f>
        <v>#NAME?</v>
      </c>
      <c r="AQ49" s="523" t="e">
        <f ca="1">stat(calculs!AQ49)</f>
        <v>#NAME?</v>
      </c>
      <c r="AT49" s="517"/>
      <c r="AV49" s="525" t="e">
        <f ca="1">stat(calculs!AV49)</f>
        <v>#NAME?</v>
      </c>
      <c r="AW49" s="525" t="e">
        <f ca="1">stat(calculs!AW49)</f>
        <v>#NAME?</v>
      </c>
      <c r="AX49" s="525" t="e">
        <f ca="1">stat(calculs!AX49)</f>
        <v>#NAME?</v>
      </c>
      <c r="AY49" s="525" t="e">
        <f ca="1">stat(calculs!AY49)</f>
        <v>#NAME?</v>
      </c>
      <c r="AZ49" s="525" t="e">
        <f ca="1">stat(calculs!AZ49)</f>
        <v>#NAME?</v>
      </c>
      <c r="BA49" s="525" t="e">
        <f ca="1">stat(calculs!BA49)</f>
        <v>#NAME?</v>
      </c>
      <c r="BB49" s="525" t="e">
        <f ca="1">stat(calculs!BB49)</f>
        <v>#NAME?</v>
      </c>
      <c r="BC49" s="525" t="e">
        <f ca="1">stat(calculs!BC49)</f>
        <v>#NAME?</v>
      </c>
      <c r="BD49" s="525" t="e">
        <f ca="1">stat(calculs!BD49)</f>
        <v>#NAME?</v>
      </c>
      <c r="BE49" s="525" t="e">
        <f ca="1">stat(calculs!BE49)</f>
        <v>#NAME?</v>
      </c>
      <c r="BF49" s="525" t="e">
        <f ca="1">stat(calculs!BF49)</f>
        <v>#NAME?</v>
      </c>
      <c r="BG49" s="729" t="e">
        <f ca="1">stat(calculs!BG49)</f>
        <v>#NAME?</v>
      </c>
      <c r="BH49" s="729" t="e">
        <f ca="1">stat(calculs!BH49)</f>
        <v>#NAME?</v>
      </c>
      <c r="BI49" s="729" t="e">
        <f ca="1">stat(calculs!BI49)</f>
        <v>#NAME?</v>
      </c>
      <c r="BJ49" s="729" t="e">
        <f ca="1">stat(calculs!BJ49)</f>
        <v>#NAME?</v>
      </c>
      <c r="BK49" s="729" t="e">
        <f ca="1">stat(calculs!BK49)</f>
        <v>#NAME?</v>
      </c>
      <c r="BL49" s="525" t="e">
        <f ca="1">stat(calculs!BL49)</f>
        <v>#NAME?</v>
      </c>
      <c r="BM49" s="525" t="e">
        <f ca="1">stat(calculs!BM49)</f>
        <v>#NAME?</v>
      </c>
      <c r="BN49" s="525" t="e">
        <f ca="1">stat(calculs!BN49)</f>
        <v>#NAME?</v>
      </c>
      <c r="BO49" s="525" t="e">
        <f ca="1">stat(calculs!BO49)</f>
        <v>#NAME?</v>
      </c>
      <c r="BP49" s="525" t="e">
        <f ca="1">stat(calculs!BP49)</f>
        <v>#NAME?</v>
      </c>
      <c r="BQ49" s="525" t="e">
        <f ca="1">stat(calculs!BQ49)</f>
        <v>#NAME?</v>
      </c>
      <c r="BR49" s="525" t="e">
        <f ca="1">stat(calculs!BR49)</f>
        <v>#NAME?</v>
      </c>
    </row>
    <row r="50" spans="1:70" x14ac:dyDescent="0.2">
      <c r="A50" s="222">
        <f>données_step[[#This Row],[Datum]]</f>
        <v>44601</v>
      </c>
      <c r="B50" s="223"/>
      <c r="C50" s="224">
        <f t="shared" si="0"/>
        <v>4</v>
      </c>
      <c r="D50" s="523" t="e">
        <f ca="1">stat(charge_entree[[#This Row],[ch_E_DBO5]])</f>
        <v>#NAME?</v>
      </c>
      <c r="E50" s="523" t="e">
        <f ca="1">stat(charge_entree[[#This Row],[ch_E_DCO]])</f>
        <v>#NAME?</v>
      </c>
      <c r="F50" s="523" t="e">
        <f ca="1">stat(charge_entree[[#This Row],[ch_E_COT]])</f>
        <v>#NAME?</v>
      </c>
      <c r="G50" s="523" t="e">
        <f ca="1">stat(charge_entree[[#This Row],[ch_E_NH4]])</f>
        <v>#NAME?</v>
      </c>
      <c r="H50" s="523" t="e">
        <f ca="1">stat(charge_entree[[#This Row],[ch_E_NTOT]])</f>
        <v>#NAME?</v>
      </c>
      <c r="I50" s="523" t="e">
        <f ca="1">stat(charge_entree[[#This Row],[ch_E_PTOT]])</f>
        <v>#NAME?</v>
      </c>
      <c r="J50" s="523" t="e">
        <f ca="1">stat(charge_entree[[#This Row],[ch_S_DBO]])</f>
        <v>#NAME?</v>
      </c>
      <c r="K50" s="523" t="e">
        <f ca="1">stat(charge_entree[[#This Row],[ch_S-DCO]])</f>
        <v>#NAME?</v>
      </c>
      <c r="L50" s="523" t="e">
        <f ca="1">stat(charge_entree[[#This Row],[ch_S_DOC]])</f>
        <v>#NAME?</v>
      </c>
      <c r="M50" s="523" t="e">
        <f ca="1">stat(charge_entree[[#This Row],[ch_S_NH4]])</f>
        <v>#NAME?</v>
      </c>
      <c r="N50" s="523" t="e">
        <f ca="1">stat(charge_entree[[#This Row],[ch_S_NO2]])</f>
        <v>#NAME?</v>
      </c>
      <c r="O50" s="523" t="e">
        <f ca="1">stat(charge_entree[[#This Row],[ch_S_NO3]])</f>
        <v>#NAME?</v>
      </c>
      <c r="P50" s="523" t="e">
        <f ca="1">stat(charge_entree[[#This Row],[ch_S_PTOT]])</f>
        <v>#NAME?</v>
      </c>
      <c r="Q50" s="523" t="e">
        <f ca="1">stat(charge_entree[[#This Row],[ch_S_SNDT]])</f>
        <v>#NAME?</v>
      </c>
      <c r="R50" s="523">
        <f>calculs!R50</f>
        <v>0</v>
      </c>
      <c r="S50" s="523" t="e">
        <f ca="1">stat(calculs!S50)</f>
        <v>#NAME?</v>
      </c>
      <c r="T50" s="523" t="e">
        <f ca="1">stat(calculs!T50)</f>
        <v>#NAME?</v>
      </c>
      <c r="U50" s="523" t="e">
        <f ca="1">stat(calculs!U50)</f>
        <v>#NAME?</v>
      </c>
      <c r="V50" s="523" t="e">
        <f ca="1">stat(calculs!V50)</f>
        <v>#NAME?</v>
      </c>
      <c r="W50" s="523" t="e">
        <f ca="1">stat(calculs!W50)</f>
        <v>#NAME?</v>
      </c>
      <c r="X50" s="523" t="e">
        <f ca="1">stat(calculs!X50)</f>
        <v>#NAME?</v>
      </c>
      <c r="Y50" s="523" t="e">
        <f ca="1">stat(calculs!Y50)</f>
        <v>#NAME?</v>
      </c>
      <c r="Z50" s="523" t="e">
        <f ca="1">stat(calculs!Z50)</f>
        <v>#NAME?</v>
      </c>
      <c r="AA50" s="523" t="e">
        <f ca="1">stat(calculs!AA50)</f>
        <v>#NAME?</v>
      </c>
      <c r="AB50" s="523" t="e">
        <f ca="1">stat(calculs!AB50)</f>
        <v>#NAME?</v>
      </c>
      <c r="AC50" s="523" t="e">
        <f ca="1">stat(calculs!AC50)</f>
        <v>#NAME?</v>
      </c>
      <c r="AD50" s="523" t="e">
        <f ca="1">stat(calculs!AD50)</f>
        <v>#NAME?</v>
      </c>
      <c r="AE50" s="523" t="e">
        <f ca="1">stat(calculs!AE50)</f>
        <v>#NAME?</v>
      </c>
      <c r="AF50" s="523" t="e">
        <f ca="1">stat(calculs!AF50)</f>
        <v>#NAME?</v>
      </c>
      <c r="AG50" s="523" t="e">
        <f ca="1">stat(calculs!AG50)</f>
        <v>#NAME?</v>
      </c>
      <c r="AH50" s="523" t="e">
        <f ca="1">stat(calculs!AH50)</f>
        <v>#NAME?</v>
      </c>
      <c r="AI50" s="523" t="e">
        <f ca="1">stat(calculs!AI50)</f>
        <v>#NAME?</v>
      </c>
      <c r="AJ50" s="523" t="e">
        <f ca="1">stat(calculs!AJ50)</f>
        <v>#NAME?</v>
      </c>
      <c r="AK50" s="523" t="e">
        <f ca="1">stat(calculs!AK50)</f>
        <v>#NAME?</v>
      </c>
      <c r="AL50" s="523" t="e">
        <f ca="1">stat(calculs!AL50)</f>
        <v>#NAME?</v>
      </c>
      <c r="AM50" s="523" t="e">
        <f ca="1">stat(calculs!AM50)</f>
        <v>#NAME?</v>
      </c>
      <c r="AN50" s="523" t="e">
        <f ca="1">stat(calculs!AN50)</f>
        <v>#NAME?</v>
      </c>
      <c r="AO50" s="523" t="e">
        <f ca="1">stat(calculs!AO50)</f>
        <v>#NAME?</v>
      </c>
      <c r="AP50" s="523" t="e">
        <f ca="1">stat(calculs!AP50)</f>
        <v>#NAME?</v>
      </c>
      <c r="AQ50" s="523" t="e">
        <f ca="1">stat(calculs!AQ50)</f>
        <v>#NAME?</v>
      </c>
      <c r="AT50" s="517"/>
      <c r="AV50" s="525" t="e">
        <f ca="1">stat(calculs!AV50)</f>
        <v>#NAME?</v>
      </c>
      <c r="AW50" s="525" t="e">
        <f ca="1">stat(calculs!AW50)</f>
        <v>#NAME?</v>
      </c>
      <c r="AX50" s="525" t="e">
        <f ca="1">stat(calculs!AX50)</f>
        <v>#NAME?</v>
      </c>
      <c r="AY50" s="525" t="e">
        <f ca="1">stat(calculs!AY50)</f>
        <v>#NAME?</v>
      </c>
      <c r="AZ50" s="525" t="e">
        <f ca="1">stat(calculs!AZ50)</f>
        <v>#NAME?</v>
      </c>
      <c r="BA50" s="525" t="e">
        <f ca="1">stat(calculs!BA50)</f>
        <v>#NAME?</v>
      </c>
      <c r="BB50" s="525" t="e">
        <f ca="1">stat(calculs!BB50)</f>
        <v>#NAME?</v>
      </c>
      <c r="BC50" s="525" t="e">
        <f ca="1">stat(calculs!BC50)</f>
        <v>#NAME?</v>
      </c>
      <c r="BD50" s="525" t="e">
        <f ca="1">stat(calculs!BD50)</f>
        <v>#NAME?</v>
      </c>
      <c r="BE50" s="525" t="e">
        <f ca="1">stat(calculs!BE50)</f>
        <v>#NAME?</v>
      </c>
      <c r="BF50" s="525" t="e">
        <f ca="1">stat(calculs!BF50)</f>
        <v>#NAME?</v>
      </c>
      <c r="BG50" s="729" t="e">
        <f ca="1">stat(calculs!BG50)</f>
        <v>#NAME?</v>
      </c>
      <c r="BH50" s="729" t="e">
        <f ca="1">stat(calculs!BH50)</f>
        <v>#NAME?</v>
      </c>
      <c r="BI50" s="729" t="e">
        <f ca="1">stat(calculs!BI50)</f>
        <v>#NAME?</v>
      </c>
      <c r="BJ50" s="729" t="e">
        <f ca="1">stat(calculs!BJ50)</f>
        <v>#NAME?</v>
      </c>
      <c r="BK50" s="729" t="e">
        <f ca="1">stat(calculs!BK50)</f>
        <v>#NAME?</v>
      </c>
      <c r="BL50" s="525" t="e">
        <f ca="1">stat(calculs!BL50)</f>
        <v>#NAME?</v>
      </c>
      <c r="BM50" s="525" t="e">
        <f ca="1">stat(calculs!BM50)</f>
        <v>#NAME?</v>
      </c>
      <c r="BN50" s="525" t="e">
        <f ca="1">stat(calculs!BN50)</f>
        <v>#NAME?</v>
      </c>
      <c r="BO50" s="525" t="e">
        <f ca="1">stat(calculs!BO50)</f>
        <v>#NAME?</v>
      </c>
      <c r="BP50" s="525" t="e">
        <f ca="1">stat(calculs!BP50)</f>
        <v>#NAME?</v>
      </c>
      <c r="BQ50" s="525" t="e">
        <f ca="1">stat(calculs!BQ50)</f>
        <v>#NAME?</v>
      </c>
      <c r="BR50" s="525" t="e">
        <f ca="1">stat(calculs!BR50)</f>
        <v>#NAME?</v>
      </c>
    </row>
    <row r="51" spans="1:70" x14ac:dyDescent="0.2">
      <c r="A51" s="222">
        <f>données_step[[#This Row],[Datum]]</f>
        <v>44602</v>
      </c>
      <c r="B51" s="223"/>
      <c r="C51" s="224">
        <f t="shared" si="0"/>
        <v>5</v>
      </c>
      <c r="D51" s="523" t="e">
        <f ca="1">stat(charge_entree[[#This Row],[ch_E_DBO5]])</f>
        <v>#NAME?</v>
      </c>
      <c r="E51" s="523" t="e">
        <f ca="1">stat(charge_entree[[#This Row],[ch_E_DCO]])</f>
        <v>#NAME?</v>
      </c>
      <c r="F51" s="523" t="e">
        <f ca="1">stat(charge_entree[[#This Row],[ch_E_COT]])</f>
        <v>#NAME?</v>
      </c>
      <c r="G51" s="523" t="e">
        <f ca="1">stat(charge_entree[[#This Row],[ch_E_NH4]])</f>
        <v>#NAME?</v>
      </c>
      <c r="H51" s="523" t="e">
        <f ca="1">stat(charge_entree[[#This Row],[ch_E_NTOT]])</f>
        <v>#NAME?</v>
      </c>
      <c r="I51" s="523" t="e">
        <f ca="1">stat(charge_entree[[#This Row],[ch_E_PTOT]])</f>
        <v>#NAME?</v>
      </c>
      <c r="J51" s="523" t="e">
        <f ca="1">stat(charge_entree[[#This Row],[ch_S_DBO]])</f>
        <v>#NAME?</v>
      </c>
      <c r="K51" s="523" t="e">
        <f ca="1">stat(charge_entree[[#This Row],[ch_S-DCO]])</f>
        <v>#NAME?</v>
      </c>
      <c r="L51" s="523" t="e">
        <f ca="1">stat(charge_entree[[#This Row],[ch_S_DOC]])</f>
        <v>#NAME?</v>
      </c>
      <c r="M51" s="523" t="e">
        <f ca="1">stat(charge_entree[[#This Row],[ch_S_NH4]])</f>
        <v>#NAME?</v>
      </c>
      <c r="N51" s="523" t="e">
        <f ca="1">stat(charge_entree[[#This Row],[ch_S_NO2]])</f>
        <v>#NAME?</v>
      </c>
      <c r="O51" s="523" t="e">
        <f ca="1">stat(charge_entree[[#This Row],[ch_S_NO3]])</f>
        <v>#NAME?</v>
      </c>
      <c r="P51" s="523" t="e">
        <f ca="1">stat(charge_entree[[#This Row],[ch_S_PTOT]])</f>
        <v>#NAME?</v>
      </c>
      <c r="Q51" s="523" t="e">
        <f ca="1">stat(charge_entree[[#This Row],[ch_S_SNDT]])</f>
        <v>#NAME?</v>
      </c>
      <c r="R51" s="523">
        <f>calculs!R51</f>
        <v>0</v>
      </c>
      <c r="S51" s="523" t="e">
        <f ca="1">stat(calculs!S51)</f>
        <v>#NAME?</v>
      </c>
      <c r="T51" s="523" t="e">
        <f ca="1">stat(calculs!T51)</f>
        <v>#NAME?</v>
      </c>
      <c r="U51" s="523" t="e">
        <f ca="1">stat(calculs!U51)</f>
        <v>#NAME?</v>
      </c>
      <c r="V51" s="523" t="e">
        <f ca="1">stat(calculs!V51)</f>
        <v>#NAME?</v>
      </c>
      <c r="W51" s="523" t="e">
        <f ca="1">stat(calculs!W51)</f>
        <v>#NAME?</v>
      </c>
      <c r="X51" s="523" t="e">
        <f ca="1">stat(calculs!X51)</f>
        <v>#NAME?</v>
      </c>
      <c r="Y51" s="523" t="e">
        <f ca="1">stat(calculs!Y51)</f>
        <v>#NAME?</v>
      </c>
      <c r="Z51" s="523" t="e">
        <f ca="1">stat(calculs!Z51)</f>
        <v>#NAME?</v>
      </c>
      <c r="AA51" s="523" t="e">
        <f ca="1">stat(calculs!AA51)</f>
        <v>#NAME?</v>
      </c>
      <c r="AB51" s="523" t="e">
        <f ca="1">stat(calculs!AB51)</f>
        <v>#NAME?</v>
      </c>
      <c r="AC51" s="523" t="e">
        <f ca="1">stat(calculs!AC51)</f>
        <v>#NAME?</v>
      </c>
      <c r="AD51" s="523" t="e">
        <f ca="1">stat(calculs!AD51)</f>
        <v>#NAME?</v>
      </c>
      <c r="AE51" s="523" t="e">
        <f ca="1">stat(calculs!AE51)</f>
        <v>#NAME?</v>
      </c>
      <c r="AF51" s="523" t="e">
        <f ca="1">stat(calculs!AF51)</f>
        <v>#NAME?</v>
      </c>
      <c r="AG51" s="523" t="e">
        <f ca="1">stat(calculs!AG51)</f>
        <v>#NAME?</v>
      </c>
      <c r="AH51" s="523" t="e">
        <f ca="1">stat(calculs!AH51)</f>
        <v>#NAME?</v>
      </c>
      <c r="AI51" s="523" t="e">
        <f ca="1">stat(calculs!AI51)</f>
        <v>#NAME?</v>
      </c>
      <c r="AJ51" s="523" t="e">
        <f ca="1">stat(calculs!AJ51)</f>
        <v>#NAME?</v>
      </c>
      <c r="AK51" s="523" t="e">
        <f ca="1">stat(calculs!AK51)</f>
        <v>#NAME?</v>
      </c>
      <c r="AL51" s="523" t="e">
        <f ca="1">stat(calculs!AL51)</f>
        <v>#NAME?</v>
      </c>
      <c r="AM51" s="523" t="e">
        <f ca="1">stat(calculs!AM51)</f>
        <v>#NAME?</v>
      </c>
      <c r="AN51" s="523" t="e">
        <f ca="1">stat(calculs!AN51)</f>
        <v>#NAME?</v>
      </c>
      <c r="AO51" s="523" t="e">
        <f ca="1">stat(calculs!AO51)</f>
        <v>#NAME?</v>
      </c>
      <c r="AP51" s="523" t="e">
        <f ca="1">stat(calculs!AP51)</f>
        <v>#NAME?</v>
      </c>
      <c r="AQ51" s="523" t="e">
        <f ca="1">stat(calculs!AQ51)</f>
        <v>#NAME?</v>
      </c>
      <c r="AT51" s="517"/>
      <c r="AV51" s="525" t="e">
        <f ca="1">stat(calculs!AV51)</f>
        <v>#NAME?</v>
      </c>
      <c r="AW51" s="525" t="e">
        <f ca="1">stat(calculs!AW51)</f>
        <v>#NAME?</v>
      </c>
      <c r="AX51" s="525" t="e">
        <f ca="1">stat(calculs!AX51)</f>
        <v>#NAME?</v>
      </c>
      <c r="AY51" s="525" t="e">
        <f ca="1">stat(calculs!AY51)</f>
        <v>#NAME?</v>
      </c>
      <c r="AZ51" s="525" t="e">
        <f ca="1">stat(calculs!AZ51)</f>
        <v>#NAME?</v>
      </c>
      <c r="BA51" s="525" t="e">
        <f ca="1">stat(calculs!BA51)</f>
        <v>#NAME?</v>
      </c>
      <c r="BB51" s="525" t="e">
        <f ca="1">stat(calculs!BB51)</f>
        <v>#NAME?</v>
      </c>
      <c r="BC51" s="525" t="e">
        <f ca="1">stat(calculs!BC51)</f>
        <v>#NAME?</v>
      </c>
      <c r="BD51" s="525" t="e">
        <f ca="1">stat(calculs!BD51)</f>
        <v>#NAME?</v>
      </c>
      <c r="BE51" s="525" t="e">
        <f ca="1">stat(calculs!BE51)</f>
        <v>#NAME?</v>
      </c>
      <c r="BF51" s="525" t="e">
        <f ca="1">stat(calculs!BF51)</f>
        <v>#NAME?</v>
      </c>
      <c r="BG51" s="729" t="e">
        <f ca="1">stat(calculs!BG51)</f>
        <v>#NAME?</v>
      </c>
      <c r="BH51" s="729" t="e">
        <f ca="1">stat(calculs!BH51)</f>
        <v>#NAME?</v>
      </c>
      <c r="BI51" s="729" t="e">
        <f ca="1">stat(calculs!BI51)</f>
        <v>#NAME?</v>
      </c>
      <c r="BJ51" s="729" t="e">
        <f ca="1">stat(calculs!BJ51)</f>
        <v>#NAME?</v>
      </c>
      <c r="BK51" s="729" t="e">
        <f ca="1">stat(calculs!BK51)</f>
        <v>#NAME?</v>
      </c>
      <c r="BL51" s="525" t="e">
        <f ca="1">stat(calculs!BL51)</f>
        <v>#NAME?</v>
      </c>
      <c r="BM51" s="525" t="e">
        <f ca="1">stat(calculs!BM51)</f>
        <v>#NAME?</v>
      </c>
      <c r="BN51" s="525" t="e">
        <f ca="1">stat(calculs!BN51)</f>
        <v>#NAME?</v>
      </c>
      <c r="BO51" s="525" t="e">
        <f ca="1">stat(calculs!BO51)</f>
        <v>#NAME?</v>
      </c>
      <c r="BP51" s="525" t="e">
        <f ca="1">stat(calculs!BP51)</f>
        <v>#NAME?</v>
      </c>
      <c r="BQ51" s="525" t="e">
        <f ca="1">stat(calculs!BQ51)</f>
        <v>#NAME?</v>
      </c>
      <c r="BR51" s="525" t="e">
        <f ca="1">stat(calculs!BR51)</f>
        <v>#NAME?</v>
      </c>
    </row>
    <row r="52" spans="1:70" x14ac:dyDescent="0.2">
      <c r="A52" s="222">
        <f>données_step[[#This Row],[Datum]]</f>
        <v>44603</v>
      </c>
      <c r="B52" s="223"/>
      <c r="C52" s="224">
        <f t="shared" si="0"/>
        <v>6</v>
      </c>
      <c r="D52" s="523" t="e">
        <f ca="1">stat(charge_entree[[#This Row],[ch_E_DBO5]])</f>
        <v>#NAME?</v>
      </c>
      <c r="E52" s="523" t="e">
        <f ca="1">stat(charge_entree[[#This Row],[ch_E_DCO]])</f>
        <v>#NAME?</v>
      </c>
      <c r="F52" s="523" t="e">
        <f ca="1">stat(charge_entree[[#This Row],[ch_E_COT]])</f>
        <v>#NAME?</v>
      </c>
      <c r="G52" s="523" t="e">
        <f ca="1">stat(charge_entree[[#This Row],[ch_E_NH4]])</f>
        <v>#NAME?</v>
      </c>
      <c r="H52" s="523" t="e">
        <f ca="1">stat(charge_entree[[#This Row],[ch_E_NTOT]])</f>
        <v>#NAME?</v>
      </c>
      <c r="I52" s="523" t="e">
        <f ca="1">stat(charge_entree[[#This Row],[ch_E_PTOT]])</f>
        <v>#NAME?</v>
      </c>
      <c r="J52" s="523" t="e">
        <f ca="1">stat(charge_entree[[#This Row],[ch_S_DBO]])</f>
        <v>#NAME?</v>
      </c>
      <c r="K52" s="523" t="e">
        <f ca="1">stat(charge_entree[[#This Row],[ch_S-DCO]])</f>
        <v>#NAME?</v>
      </c>
      <c r="L52" s="523" t="e">
        <f ca="1">stat(charge_entree[[#This Row],[ch_S_DOC]])</f>
        <v>#NAME?</v>
      </c>
      <c r="M52" s="523" t="e">
        <f ca="1">stat(charge_entree[[#This Row],[ch_S_NH4]])</f>
        <v>#NAME?</v>
      </c>
      <c r="N52" s="523" t="e">
        <f ca="1">stat(charge_entree[[#This Row],[ch_S_NO2]])</f>
        <v>#NAME?</v>
      </c>
      <c r="O52" s="523" t="e">
        <f ca="1">stat(charge_entree[[#This Row],[ch_S_NO3]])</f>
        <v>#NAME?</v>
      </c>
      <c r="P52" s="523" t="e">
        <f ca="1">stat(charge_entree[[#This Row],[ch_S_PTOT]])</f>
        <v>#NAME?</v>
      </c>
      <c r="Q52" s="523" t="e">
        <f ca="1">stat(charge_entree[[#This Row],[ch_S_SNDT]])</f>
        <v>#NAME?</v>
      </c>
      <c r="R52" s="523">
        <f>calculs!R52</f>
        <v>0</v>
      </c>
      <c r="S52" s="523" t="e">
        <f ca="1">stat(calculs!S52)</f>
        <v>#NAME?</v>
      </c>
      <c r="T52" s="523" t="e">
        <f ca="1">stat(calculs!T52)</f>
        <v>#NAME?</v>
      </c>
      <c r="U52" s="523" t="e">
        <f ca="1">stat(calculs!U52)</f>
        <v>#NAME?</v>
      </c>
      <c r="V52" s="523" t="e">
        <f ca="1">stat(calculs!V52)</f>
        <v>#NAME?</v>
      </c>
      <c r="W52" s="523" t="e">
        <f ca="1">stat(calculs!W52)</f>
        <v>#NAME?</v>
      </c>
      <c r="X52" s="523" t="e">
        <f ca="1">stat(calculs!X52)</f>
        <v>#NAME?</v>
      </c>
      <c r="Y52" s="523" t="e">
        <f ca="1">stat(calculs!Y52)</f>
        <v>#NAME?</v>
      </c>
      <c r="Z52" s="523" t="e">
        <f ca="1">stat(calculs!Z52)</f>
        <v>#NAME?</v>
      </c>
      <c r="AA52" s="523" t="e">
        <f ca="1">stat(calculs!AA52)</f>
        <v>#NAME?</v>
      </c>
      <c r="AB52" s="523" t="e">
        <f ca="1">stat(calculs!AB52)</f>
        <v>#NAME?</v>
      </c>
      <c r="AC52" s="523" t="e">
        <f ca="1">stat(calculs!AC52)</f>
        <v>#NAME?</v>
      </c>
      <c r="AD52" s="523" t="e">
        <f ca="1">stat(calculs!AD52)</f>
        <v>#NAME?</v>
      </c>
      <c r="AE52" s="523" t="e">
        <f ca="1">stat(calculs!AE52)</f>
        <v>#NAME?</v>
      </c>
      <c r="AF52" s="523" t="e">
        <f ca="1">stat(calculs!AF52)</f>
        <v>#NAME?</v>
      </c>
      <c r="AG52" s="523" t="e">
        <f ca="1">stat(calculs!AG52)</f>
        <v>#NAME?</v>
      </c>
      <c r="AH52" s="523" t="e">
        <f ca="1">stat(calculs!AH52)</f>
        <v>#NAME?</v>
      </c>
      <c r="AI52" s="523" t="e">
        <f ca="1">stat(calculs!AI52)</f>
        <v>#NAME?</v>
      </c>
      <c r="AJ52" s="523" t="e">
        <f ca="1">stat(calculs!AJ52)</f>
        <v>#NAME?</v>
      </c>
      <c r="AK52" s="523" t="e">
        <f ca="1">stat(calculs!AK52)</f>
        <v>#NAME?</v>
      </c>
      <c r="AL52" s="523" t="e">
        <f ca="1">stat(calculs!AL52)</f>
        <v>#NAME?</v>
      </c>
      <c r="AM52" s="523" t="e">
        <f ca="1">stat(calculs!AM52)</f>
        <v>#NAME?</v>
      </c>
      <c r="AN52" s="523" t="e">
        <f ca="1">stat(calculs!AN52)</f>
        <v>#NAME?</v>
      </c>
      <c r="AO52" s="523" t="e">
        <f ca="1">stat(calculs!AO52)</f>
        <v>#NAME?</v>
      </c>
      <c r="AP52" s="523" t="e">
        <f ca="1">stat(calculs!AP52)</f>
        <v>#NAME?</v>
      </c>
      <c r="AQ52" s="523" t="e">
        <f ca="1">stat(calculs!AQ52)</f>
        <v>#NAME?</v>
      </c>
      <c r="AT52" s="517"/>
      <c r="AV52" s="525" t="e">
        <f ca="1">stat(calculs!AV52)</f>
        <v>#NAME?</v>
      </c>
      <c r="AW52" s="525" t="e">
        <f ca="1">stat(calculs!AW52)</f>
        <v>#NAME?</v>
      </c>
      <c r="AX52" s="525" t="e">
        <f ca="1">stat(calculs!AX52)</f>
        <v>#NAME?</v>
      </c>
      <c r="AY52" s="525" t="e">
        <f ca="1">stat(calculs!AY52)</f>
        <v>#NAME?</v>
      </c>
      <c r="AZ52" s="525" t="e">
        <f ca="1">stat(calculs!AZ52)</f>
        <v>#NAME?</v>
      </c>
      <c r="BA52" s="525" t="e">
        <f ca="1">stat(calculs!BA52)</f>
        <v>#NAME?</v>
      </c>
      <c r="BB52" s="525" t="e">
        <f ca="1">stat(calculs!BB52)</f>
        <v>#NAME?</v>
      </c>
      <c r="BC52" s="525" t="e">
        <f ca="1">stat(calculs!BC52)</f>
        <v>#NAME?</v>
      </c>
      <c r="BD52" s="525" t="e">
        <f ca="1">stat(calculs!BD52)</f>
        <v>#NAME?</v>
      </c>
      <c r="BE52" s="525" t="e">
        <f ca="1">stat(calculs!BE52)</f>
        <v>#NAME?</v>
      </c>
      <c r="BF52" s="525" t="e">
        <f ca="1">stat(calculs!BF52)</f>
        <v>#NAME?</v>
      </c>
      <c r="BG52" s="729" t="e">
        <f ca="1">stat(calculs!BG52)</f>
        <v>#NAME?</v>
      </c>
      <c r="BH52" s="729" t="e">
        <f ca="1">stat(calculs!BH52)</f>
        <v>#NAME?</v>
      </c>
      <c r="BI52" s="729" t="e">
        <f ca="1">stat(calculs!BI52)</f>
        <v>#NAME?</v>
      </c>
      <c r="BJ52" s="729" t="e">
        <f ca="1">stat(calculs!BJ52)</f>
        <v>#NAME?</v>
      </c>
      <c r="BK52" s="729" t="e">
        <f ca="1">stat(calculs!BK52)</f>
        <v>#NAME?</v>
      </c>
      <c r="BL52" s="525" t="e">
        <f ca="1">stat(calculs!BL52)</f>
        <v>#NAME?</v>
      </c>
      <c r="BM52" s="525" t="e">
        <f ca="1">stat(calculs!BM52)</f>
        <v>#NAME?</v>
      </c>
      <c r="BN52" s="525" t="e">
        <f ca="1">stat(calculs!BN52)</f>
        <v>#NAME?</v>
      </c>
      <c r="BO52" s="525" t="e">
        <f ca="1">stat(calculs!BO52)</f>
        <v>#NAME?</v>
      </c>
      <c r="BP52" s="525" t="e">
        <f ca="1">stat(calculs!BP52)</f>
        <v>#NAME?</v>
      </c>
      <c r="BQ52" s="525" t="e">
        <f ca="1">stat(calculs!BQ52)</f>
        <v>#NAME?</v>
      </c>
      <c r="BR52" s="525" t="e">
        <f ca="1">stat(calculs!BR52)</f>
        <v>#NAME?</v>
      </c>
    </row>
    <row r="53" spans="1:70" x14ac:dyDescent="0.2">
      <c r="A53" s="222">
        <f>données_step[[#This Row],[Datum]]</f>
        <v>44604</v>
      </c>
      <c r="B53" s="223"/>
      <c r="C53" s="224">
        <f t="shared" si="0"/>
        <v>7</v>
      </c>
      <c r="D53" s="523" t="e">
        <f ca="1">stat(charge_entree[[#This Row],[ch_E_DBO5]])</f>
        <v>#NAME?</v>
      </c>
      <c r="E53" s="523" t="e">
        <f ca="1">stat(charge_entree[[#This Row],[ch_E_DCO]])</f>
        <v>#NAME?</v>
      </c>
      <c r="F53" s="523" t="e">
        <f ca="1">stat(charge_entree[[#This Row],[ch_E_COT]])</f>
        <v>#NAME?</v>
      </c>
      <c r="G53" s="523" t="e">
        <f ca="1">stat(charge_entree[[#This Row],[ch_E_NH4]])</f>
        <v>#NAME?</v>
      </c>
      <c r="H53" s="523" t="e">
        <f ca="1">stat(charge_entree[[#This Row],[ch_E_NTOT]])</f>
        <v>#NAME?</v>
      </c>
      <c r="I53" s="523" t="e">
        <f ca="1">stat(charge_entree[[#This Row],[ch_E_PTOT]])</f>
        <v>#NAME?</v>
      </c>
      <c r="J53" s="523" t="e">
        <f ca="1">stat(charge_entree[[#This Row],[ch_S_DBO]])</f>
        <v>#NAME?</v>
      </c>
      <c r="K53" s="523" t="e">
        <f ca="1">stat(charge_entree[[#This Row],[ch_S-DCO]])</f>
        <v>#NAME?</v>
      </c>
      <c r="L53" s="523" t="e">
        <f ca="1">stat(charge_entree[[#This Row],[ch_S_DOC]])</f>
        <v>#NAME?</v>
      </c>
      <c r="M53" s="523" t="e">
        <f ca="1">stat(charge_entree[[#This Row],[ch_S_NH4]])</f>
        <v>#NAME?</v>
      </c>
      <c r="N53" s="523" t="e">
        <f ca="1">stat(charge_entree[[#This Row],[ch_S_NO2]])</f>
        <v>#NAME?</v>
      </c>
      <c r="O53" s="523" t="e">
        <f ca="1">stat(charge_entree[[#This Row],[ch_S_NO3]])</f>
        <v>#NAME?</v>
      </c>
      <c r="P53" s="523" t="e">
        <f ca="1">stat(charge_entree[[#This Row],[ch_S_PTOT]])</f>
        <v>#NAME?</v>
      </c>
      <c r="Q53" s="523" t="e">
        <f ca="1">stat(charge_entree[[#This Row],[ch_S_SNDT]])</f>
        <v>#NAME?</v>
      </c>
      <c r="R53" s="523">
        <f>calculs!R53</f>
        <v>0</v>
      </c>
      <c r="S53" s="523" t="e">
        <f ca="1">stat(calculs!S53)</f>
        <v>#NAME?</v>
      </c>
      <c r="T53" s="523" t="e">
        <f ca="1">stat(calculs!T53)</f>
        <v>#NAME?</v>
      </c>
      <c r="U53" s="523" t="e">
        <f ca="1">stat(calculs!U53)</f>
        <v>#NAME?</v>
      </c>
      <c r="V53" s="523" t="e">
        <f ca="1">stat(calculs!V53)</f>
        <v>#NAME?</v>
      </c>
      <c r="W53" s="523" t="e">
        <f ca="1">stat(calculs!W53)</f>
        <v>#NAME?</v>
      </c>
      <c r="X53" s="523" t="e">
        <f ca="1">stat(calculs!X53)</f>
        <v>#NAME?</v>
      </c>
      <c r="Y53" s="523" t="e">
        <f ca="1">stat(calculs!Y53)</f>
        <v>#NAME?</v>
      </c>
      <c r="Z53" s="523" t="e">
        <f ca="1">stat(calculs!Z53)</f>
        <v>#NAME?</v>
      </c>
      <c r="AA53" s="523" t="e">
        <f ca="1">stat(calculs!AA53)</f>
        <v>#NAME?</v>
      </c>
      <c r="AB53" s="523" t="e">
        <f ca="1">stat(calculs!AB53)</f>
        <v>#NAME?</v>
      </c>
      <c r="AC53" s="523" t="e">
        <f ca="1">stat(calculs!AC53)</f>
        <v>#NAME?</v>
      </c>
      <c r="AD53" s="523" t="e">
        <f ca="1">stat(calculs!AD53)</f>
        <v>#NAME?</v>
      </c>
      <c r="AE53" s="523" t="e">
        <f ca="1">stat(calculs!AE53)</f>
        <v>#NAME?</v>
      </c>
      <c r="AF53" s="523" t="e">
        <f ca="1">stat(calculs!AF53)</f>
        <v>#NAME?</v>
      </c>
      <c r="AG53" s="523" t="e">
        <f ca="1">stat(calculs!AG53)</f>
        <v>#NAME?</v>
      </c>
      <c r="AH53" s="523" t="e">
        <f ca="1">stat(calculs!AH53)</f>
        <v>#NAME?</v>
      </c>
      <c r="AI53" s="523" t="e">
        <f ca="1">stat(calculs!AI53)</f>
        <v>#NAME?</v>
      </c>
      <c r="AJ53" s="523" t="e">
        <f ca="1">stat(calculs!AJ53)</f>
        <v>#NAME?</v>
      </c>
      <c r="AK53" s="523" t="e">
        <f ca="1">stat(calculs!AK53)</f>
        <v>#NAME?</v>
      </c>
      <c r="AL53" s="523" t="e">
        <f ca="1">stat(calculs!AL53)</f>
        <v>#NAME?</v>
      </c>
      <c r="AM53" s="523" t="e">
        <f ca="1">stat(calculs!AM53)</f>
        <v>#NAME?</v>
      </c>
      <c r="AN53" s="523" t="e">
        <f ca="1">stat(calculs!AN53)</f>
        <v>#NAME?</v>
      </c>
      <c r="AO53" s="523" t="e">
        <f ca="1">stat(calculs!AO53)</f>
        <v>#NAME?</v>
      </c>
      <c r="AP53" s="523" t="e">
        <f ca="1">stat(calculs!AP53)</f>
        <v>#NAME?</v>
      </c>
      <c r="AQ53" s="523" t="e">
        <f ca="1">stat(calculs!AQ53)</f>
        <v>#NAME?</v>
      </c>
      <c r="AT53" s="517"/>
      <c r="AV53" s="525" t="e">
        <f ca="1">stat(calculs!AV53)</f>
        <v>#NAME?</v>
      </c>
      <c r="AW53" s="525" t="e">
        <f ca="1">stat(calculs!AW53)</f>
        <v>#NAME?</v>
      </c>
      <c r="AX53" s="525" t="e">
        <f ca="1">stat(calculs!AX53)</f>
        <v>#NAME?</v>
      </c>
      <c r="AY53" s="525" t="e">
        <f ca="1">stat(calculs!AY53)</f>
        <v>#NAME?</v>
      </c>
      <c r="AZ53" s="525" t="e">
        <f ca="1">stat(calculs!AZ53)</f>
        <v>#NAME?</v>
      </c>
      <c r="BA53" s="525" t="e">
        <f ca="1">stat(calculs!BA53)</f>
        <v>#NAME?</v>
      </c>
      <c r="BB53" s="525" t="e">
        <f ca="1">stat(calculs!BB53)</f>
        <v>#NAME?</v>
      </c>
      <c r="BC53" s="525" t="e">
        <f ca="1">stat(calculs!BC53)</f>
        <v>#NAME?</v>
      </c>
      <c r="BD53" s="525" t="e">
        <f ca="1">stat(calculs!BD53)</f>
        <v>#NAME?</v>
      </c>
      <c r="BE53" s="525" t="e">
        <f ca="1">stat(calculs!BE53)</f>
        <v>#NAME?</v>
      </c>
      <c r="BF53" s="525" t="e">
        <f ca="1">stat(calculs!BF53)</f>
        <v>#NAME?</v>
      </c>
      <c r="BG53" s="729" t="e">
        <f ca="1">stat(calculs!BG53)</f>
        <v>#NAME?</v>
      </c>
      <c r="BH53" s="729" t="e">
        <f ca="1">stat(calculs!BH53)</f>
        <v>#NAME?</v>
      </c>
      <c r="BI53" s="729" t="e">
        <f ca="1">stat(calculs!BI53)</f>
        <v>#NAME?</v>
      </c>
      <c r="BJ53" s="729" t="e">
        <f ca="1">stat(calculs!BJ53)</f>
        <v>#NAME?</v>
      </c>
      <c r="BK53" s="729" t="e">
        <f ca="1">stat(calculs!BK53)</f>
        <v>#NAME?</v>
      </c>
      <c r="BL53" s="525" t="e">
        <f ca="1">stat(calculs!BL53)</f>
        <v>#NAME?</v>
      </c>
      <c r="BM53" s="525" t="e">
        <f ca="1">stat(calculs!BM53)</f>
        <v>#NAME?</v>
      </c>
      <c r="BN53" s="525" t="e">
        <f ca="1">stat(calculs!BN53)</f>
        <v>#NAME?</v>
      </c>
      <c r="BO53" s="525" t="e">
        <f ca="1">stat(calculs!BO53)</f>
        <v>#NAME?</v>
      </c>
      <c r="BP53" s="525" t="e">
        <f ca="1">stat(calculs!BP53)</f>
        <v>#NAME?</v>
      </c>
      <c r="BQ53" s="525" t="e">
        <f ca="1">stat(calculs!BQ53)</f>
        <v>#NAME?</v>
      </c>
      <c r="BR53" s="525" t="e">
        <f ca="1">stat(calculs!BR53)</f>
        <v>#NAME?</v>
      </c>
    </row>
    <row r="54" spans="1:70" x14ac:dyDescent="0.2">
      <c r="A54" s="222">
        <f>données_step[[#This Row],[Datum]]</f>
        <v>44605</v>
      </c>
      <c r="B54" s="223"/>
      <c r="C54" s="224">
        <f t="shared" si="0"/>
        <v>1</v>
      </c>
      <c r="D54" s="523" t="e">
        <f ca="1">stat(charge_entree[[#This Row],[ch_E_DBO5]])</f>
        <v>#NAME?</v>
      </c>
      <c r="E54" s="523" t="e">
        <f ca="1">stat(charge_entree[[#This Row],[ch_E_DCO]])</f>
        <v>#NAME?</v>
      </c>
      <c r="F54" s="523" t="e">
        <f ca="1">stat(charge_entree[[#This Row],[ch_E_COT]])</f>
        <v>#NAME?</v>
      </c>
      <c r="G54" s="523" t="e">
        <f ca="1">stat(charge_entree[[#This Row],[ch_E_NH4]])</f>
        <v>#NAME?</v>
      </c>
      <c r="H54" s="523" t="e">
        <f ca="1">stat(charge_entree[[#This Row],[ch_E_NTOT]])</f>
        <v>#NAME?</v>
      </c>
      <c r="I54" s="523" t="e">
        <f ca="1">stat(charge_entree[[#This Row],[ch_E_PTOT]])</f>
        <v>#NAME?</v>
      </c>
      <c r="J54" s="523" t="e">
        <f ca="1">stat(charge_entree[[#This Row],[ch_S_DBO]])</f>
        <v>#NAME?</v>
      </c>
      <c r="K54" s="523" t="e">
        <f ca="1">stat(charge_entree[[#This Row],[ch_S-DCO]])</f>
        <v>#NAME?</v>
      </c>
      <c r="L54" s="523" t="e">
        <f ca="1">stat(charge_entree[[#This Row],[ch_S_DOC]])</f>
        <v>#NAME?</v>
      </c>
      <c r="M54" s="523" t="e">
        <f ca="1">stat(charge_entree[[#This Row],[ch_S_NH4]])</f>
        <v>#NAME?</v>
      </c>
      <c r="N54" s="523" t="e">
        <f ca="1">stat(charge_entree[[#This Row],[ch_S_NO2]])</f>
        <v>#NAME?</v>
      </c>
      <c r="O54" s="523" t="e">
        <f ca="1">stat(charge_entree[[#This Row],[ch_S_NO3]])</f>
        <v>#NAME?</v>
      </c>
      <c r="P54" s="523" t="e">
        <f ca="1">stat(charge_entree[[#This Row],[ch_S_PTOT]])</f>
        <v>#NAME?</v>
      </c>
      <c r="Q54" s="523" t="e">
        <f ca="1">stat(charge_entree[[#This Row],[ch_S_SNDT]])</f>
        <v>#NAME?</v>
      </c>
      <c r="R54" s="523">
        <f>calculs!R54</f>
        <v>0</v>
      </c>
      <c r="S54" s="523" t="e">
        <f ca="1">stat(calculs!S54)</f>
        <v>#NAME?</v>
      </c>
      <c r="T54" s="523" t="e">
        <f ca="1">stat(calculs!T54)</f>
        <v>#NAME?</v>
      </c>
      <c r="U54" s="523" t="e">
        <f ca="1">stat(calculs!U54)</f>
        <v>#NAME?</v>
      </c>
      <c r="V54" s="523" t="e">
        <f ca="1">stat(calculs!V54)</f>
        <v>#NAME?</v>
      </c>
      <c r="W54" s="523" t="e">
        <f ca="1">stat(calculs!W54)</f>
        <v>#NAME?</v>
      </c>
      <c r="X54" s="523" t="e">
        <f ca="1">stat(calculs!X54)</f>
        <v>#NAME?</v>
      </c>
      <c r="Y54" s="523" t="e">
        <f ca="1">stat(calculs!Y54)</f>
        <v>#NAME?</v>
      </c>
      <c r="Z54" s="523" t="e">
        <f ca="1">stat(calculs!Z54)</f>
        <v>#NAME?</v>
      </c>
      <c r="AA54" s="523" t="e">
        <f ca="1">stat(calculs!AA54)</f>
        <v>#NAME?</v>
      </c>
      <c r="AB54" s="523" t="e">
        <f ca="1">stat(calculs!AB54)</f>
        <v>#NAME?</v>
      </c>
      <c r="AC54" s="523" t="e">
        <f ca="1">stat(calculs!AC54)</f>
        <v>#NAME?</v>
      </c>
      <c r="AD54" s="523" t="e">
        <f ca="1">stat(calculs!AD54)</f>
        <v>#NAME?</v>
      </c>
      <c r="AE54" s="523" t="e">
        <f ca="1">stat(calculs!AE54)</f>
        <v>#NAME?</v>
      </c>
      <c r="AF54" s="523" t="e">
        <f ca="1">stat(calculs!AF54)</f>
        <v>#NAME?</v>
      </c>
      <c r="AG54" s="523" t="e">
        <f ca="1">stat(calculs!AG54)</f>
        <v>#NAME?</v>
      </c>
      <c r="AH54" s="523" t="e">
        <f ca="1">stat(calculs!AH54)</f>
        <v>#NAME?</v>
      </c>
      <c r="AI54" s="523" t="e">
        <f ca="1">stat(calculs!AI54)</f>
        <v>#NAME?</v>
      </c>
      <c r="AJ54" s="523" t="e">
        <f ca="1">stat(calculs!AJ54)</f>
        <v>#NAME?</v>
      </c>
      <c r="AK54" s="523" t="e">
        <f ca="1">stat(calculs!AK54)</f>
        <v>#NAME?</v>
      </c>
      <c r="AL54" s="523" t="e">
        <f ca="1">stat(calculs!AL54)</f>
        <v>#NAME?</v>
      </c>
      <c r="AM54" s="523" t="e">
        <f ca="1">stat(calculs!AM54)</f>
        <v>#NAME?</v>
      </c>
      <c r="AN54" s="523" t="e">
        <f ca="1">stat(calculs!AN54)</f>
        <v>#NAME?</v>
      </c>
      <c r="AO54" s="523" t="e">
        <f ca="1">stat(calculs!AO54)</f>
        <v>#NAME?</v>
      </c>
      <c r="AP54" s="523" t="e">
        <f ca="1">stat(calculs!AP54)</f>
        <v>#NAME?</v>
      </c>
      <c r="AQ54" s="523" t="e">
        <f ca="1">stat(calculs!AQ54)</f>
        <v>#NAME?</v>
      </c>
      <c r="AT54" s="517"/>
      <c r="AV54" s="525" t="e">
        <f ca="1">stat(calculs!AV54)</f>
        <v>#NAME?</v>
      </c>
      <c r="AW54" s="525" t="e">
        <f ca="1">stat(calculs!AW54)</f>
        <v>#NAME?</v>
      </c>
      <c r="AX54" s="525" t="e">
        <f ca="1">stat(calculs!AX54)</f>
        <v>#NAME?</v>
      </c>
      <c r="AY54" s="525" t="e">
        <f ca="1">stat(calculs!AY54)</f>
        <v>#NAME?</v>
      </c>
      <c r="AZ54" s="525" t="e">
        <f ca="1">stat(calculs!AZ54)</f>
        <v>#NAME?</v>
      </c>
      <c r="BA54" s="525" t="e">
        <f ca="1">stat(calculs!BA54)</f>
        <v>#NAME?</v>
      </c>
      <c r="BB54" s="525" t="e">
        <f ca="1">stat(calculs!BB54)</f>
        <v>#NAME?</v>
      </c>
      <c r="BC54" s="525" t="e">
        <f ca="1">stat(calculs!BC54)</f>
        <v>#NAME?</v>
      </c>
      <c r="BD54" s="525" t="e">
        <f ca="1">stat(calculs!BD54)</f>
        <v>#NAME?</v>
      </c>
      <c r="BE54" s="525" t="e">
        <f ca="1">stat(calculs!BE54)</f>
        <v>#NAME?</v>
      </c>
      <c r="BF54" s="525" t="e">
        <f ca="1">stat(calculs!BF54)</f>
        <v>#NAME?</v>
      </c>
      <c r="BG54" s="729" t="e">
        <f ca="1">stat(calculs!BG54)</f>
        <v>#NAME?</v>
      </c>
      <c r="BH54" s="729" t="e">
        <f ca="1">stat(calculs!BH54)</f>
        <v>#NAME?</v>
      </c>
      <c r="BI54" s="729" t="e">
        <f ca="1">stat(calculs!BI54)</f>
        <v>#NAME?</v>
      </c>
      <c r="BJ54" s="729" t="e">
        <f ca="1">stat(calculs!BJ54)</f>
        <v>#NAME?</v>
      </c>
      <c r="BK54" s="729" t="e">
        <f ca="1">stat(calculs!BK54)</f>
        <v>#NAME?</v>
      </c>
      <c r="BL54" s="525" t="e">
        <f ca="1">stat(calculs!BL54)</f>
        <v>#NAME?</v>
      </c>
      <c r="BM54" s="525" t="e">
        <f ca="1">stat(calculs!BM54)</f>
        <v>#NAME?</v>
      </c>
      <c r="BN54" s="525" t="e">
        <f ca="1">stat(calculs!BN54)</f>
        <v>#NAME?</v>
      </c>
      <c r="BO54" s="525" t="e">
        <f ca="1">stat(calculs!BO54)</f>
        <v>#NAME?</v>
      </c>
      <c r="BP54" s="525" t="e">
        <f ca="1">stat(calculs!BP54)</f>
        <v>#NAME?</v>
      </c>
      <c r="BQ54" s="525" t="e">
        <f ca="1">stat(calculs!BQ54)</f>
        <v>#NAME?</v>
      </c>
      <c r="BR54" s="525" t="e">
        <f ca="1">stat(calculs!BR54)</f>
        <v>#NAME?</v>
      </c>
    </row>
    <row r="55" spans="1:70" x14ac:dyDescent="0.2">
      <c r="A55" s="222">
        <f>données_step[[#This Row],[Datum]]</f>
        <v>44606</v>
      </c>
      <c r="B55" s="223"/>
      <c r="C55" s="224">
        <f t="shared" si="0"/>
        <v>2</v>
      </c>
      <c r="D55" s="523" t="e">
        <f ca="1">stat(charge_entree[[#This Row],[ch_E_DBO5]])</f>
        <v>#NAME?</v>
      </c>
      <c r="E55" s="523" t="e">
        <f ca="1">stat(charge_entree[[#This Row],[ch_E_DCO]])</f>
        <v>#NAME?</v>
      </c>
      <c r="F55" s="523" t="e">
        <f ca="1">stat(charge_entree[[#This Row],[ch_E_COT]])</f>
        <v>#NAME?</v>
      </c>
      <c r="G55" s="523" t="e">
        <f ca="1">stat(charge_entree[[#This Row],[ch_E_NH4]])</f>
        <v>#NAME?</v>
      </c>
      <c r="H55" s="523" t="e">
        <f ca="1">stat(charge_entree[[#This Row],[ch_E_NTOT]])</f>
        <v>#NAME?</v>
      </c>
      <c r="I55" s="523" t="e">
        <f ca="1">stat(charge_entree[[#This Row],[ch_E_PTOT]])</f>
        <v>#NAME?</v>
      </c>
      <c r="J55" s="523" t="e">
        <f ca="1">stat(charge_entree[[#This Row],[ch_S_DBO]])</f>
        <v>#NAME?</v>
      </c>
      <c r="K55" s="523" t="e">
        <f ca="1">stat(charge_entree[[#This Row],[ch_S-DCO]])</f>
        <v>#NAME?</v>
      </c>
      <c r="L55" s="523" t="e">
        <f ca="1">stat(charge_entree[[#This Row],[ch_S_DOC]])</f>
        <v>#NAME?</v>
      </c>
      <c r="M55" s="523" t="e">
        <f ca="1">stat(charge_entree[[#This Row],[ch_S_NH4]])</f>
        <v>#NAME?</v>
      </c>
      <c r="N55" s="523" t="e">
        <f ca="1">stat(charge_entree[[#This Row],[ch_S_NO2]])</f>
        <v>#NAME?</v>
      </c>
      <c r="O55" s="523" t="e">
        <f ca="1">stat(charge_entree[[#This Row],[ch_S_NO3]])</f>
        <v>#NAME?</v>
      </c>
      <c r="P55" s="523" t="e">
        <f ca="1">stat(charge_entree[[#This Row],[ch_S_PTOT]])</f>
        <v>#NAME?</v>
      </c>
      <c r="Q55" s="523" t="e">
        <f ca="1">stat(charge_entree[[#This Row],[ch_S_SNDT]])</f>
        <v>#NAME?</v>
      </c>
      <c r="R55" s="523">
        <f>calculs!R55</f>
        <v>0</v>
      </c>
      <c r="S55" s="523" t="e">
        <f ca="1">stat(calculs!S55)</f>
        <v>#NAME?</v>
      </c>
      <c r="T55" s="523" t="e">
        <f ca="1">stat(calculs!T55)</f>
        <v>#NAME?</v>
      </c>
      <c r="U55" s="523" t="e">
        <f ca="1">stat(calculs!U55)</f>
        <v>#NAME?</v>
      </c>
      <c r="V55" s="523" t="e">
        <f ca="1">stat(calculs!V55)</f>
        <v>#NAME?</v>
      </c>
      <c r="W55" s="523" t="e">
        <f ca="1">stat(calculs!W55)</f>
        <v>#NAME?</v>
      </c>
      <c r="X55" s="523" t="e">
        <f ca="1">stat(calculs!X55)</f>
        <v>#NAME?</v>
      </c>
      <c r="Y55" s="523" t="e">
        <f ca="1">stat(calculs!Y55)</f>
        <v>#NAME?</v>
      </c>
      <c r="Z55" s="523" t="e">
        <f ca="1">stat(calculs!Z55)</f>
        <v>#NAME?</v>
      </c>
      <c r="AA55" s="523" t="e">
        <f ca="1">stat(calculs!AA55)</f>
        <v>#NAME?</v>
      </c>
      <c r="AB55" s="523" t="e">
        <f ca="1">stat(calculs!AB55)</f>
        <v>#NAME?</v>
      </c>
      <c r="AC55" s="523" t="e">
        <f ca="1">stat(calculs!AC55)</f>
        <v>#NAME?</v>
      </c>
      <c r="AD55" s="523" t="e">
        <f ca="1">stat(calculs!AD55)</f>
        <v>#NAME?</v>
      </c>
      <c r="AE55" s="523" t="e">
        <f ca="1">stat(calculs!AE55)</f>
        <v>#NAME?</v>
      </c>
      <c r="AF55" s="523" t="e">
        <f ca="1">stat(calculs!AF55)</f>
        <v>#NAME?</v>
      </c>
      <c r="AG55" s="523" t="e">
        <f ca="1">stat(calculs!AG55)</f>
        <v>#NAME?</v>
      </c>
      <c r="AH55" s="523" t="e">
        <f ca="1">stat(calculs!AH55)</f>
        <v>#NAME?</v>
      </c>
      <c r="AI55" s="523" t="e">
        <f ca="1">stat(calculs!AI55)</f>
        <v>#NAME?</v>
      </c>
      <c r="AJ55" s="523" t="e">
        <f ca="1">stat(calculs!AJ55)</f>
        <v>#NAME?</v>
      </c>
      <c r="AK55" s="523" t="e">
        <f ca="1">stat(calculs!AK55)</f>
        <v>#NAME?</v>
      </c>
      <c r="AL55" s="523" t="e">
        <f ca="1">stat(calculs!AL55)</f>
        <v>#NAME?</v>
      </c>
      <c r="AM55" s="523" t="e">
        <f ca="1">stat(calculs!AM55)</f>
        <v>#NAME?</v>
      </c>
      <c r="AN55" s="523" t="e">
        <f ca="1">stat(calculs!AN55)</f>
        <v>#NAME?</v>
      </c>
      <c r="AO55" s="523" t="e">
        <f ca="1">stat(calculs!AO55)</f>
        <v>#NAME?</v>
      </c>
      <c r="AP55" s="523" t="e">
        <f ca="1">stat(calculs!AP55)</f>
        <v>#NAME?</v>
      </c>
      <c r="AQ55" s="523" t="e">
        <f ca="1">stat(calculs!AQ55)</f>
        <v>#NAME?</v>
      </c>
      <c r="AT55" s="517"/>
      <c r="AV55" s="525" t="e">
        <f ca="1">stat(calculs!AV55)</f>
        <v>#NAME?</v>
      </c>
      <c r="AW55" s="525" t="e">
        <f ca="1">stat(calculs!AW55)</f>
        <v>#NAME?</v>
      </c>
      <c r="AX55" s="525" t="e">
        <f ca="1">stat(calculs!AX55)</f>
        <v>#NAME?</v>
      </c>
      <c r="AY55" s="525" t="e">
        <f ca="1">stat(calculs!AY55)</f>
        <v>#NAME?</v>
      </c>
      <c r="AZ55" s="525" t="e">
        <f ca="1">stat(calculs!AZ55)</f>
        <v>#NAME?</v>
      </c>
      <c r="BA55" s="525" t="e">
        <f ca="1">stat(calculs!BA55)</f>
        <v>#NAME?</v>
      </c>
      <c r="BB55" s="525" t="e">
        <f ca="1">stat(calculs!BB55)</f>
        <v>#NAME?</v>
      </c>
      <c r="BC55" s="525" t="e">
        <f ca="1">stat(calculs!BC55)</f>
        <v>#NAME?</v>
      </c>
      <c r="BD55" s="525" t="e">
        <f ca="1">stat(calculs!BD55)</f>
        <v>#NAME?</v>
      </c>
      <c r="BE55" s="525" t="e">
        <f ca="1">stat(calculs!BE55)</f>
        <v>#NAME?</v>
      </c>
      <c r="BF55" s="525" t="e">
        <f ca="1">stat(calculs!BF55)</f>
        <v>#NAME?</v>
      </c>
      <c r="BG55" s="729" t="e">
        <f ca="1">stat(calculs!BG55)</f>
        <v>#NAME?</v>
      </c>
      <c r="BH55" s="729" t="e">
        <f ca="1">stat(calculs!BH55)</f>
        <v>#NAME?</v>
      </c>
      <c r="BI55" s="729" t="e">
        <f ca="1">stat(calculs!BI55)</f>
        <v>#NAME?</v>
      </c>
      <c r="BJ55" s="729" t="e">
        <f ca="1">stat(calculs!BJ55)</f>
        <v>#NAME?</v>
      </c>
      <c r="BK55" s="729" t="e">
        <f ca="1">stat(calculs!BK55)</f>
        <v>#NAME?</v>
      </c>
      <c r="BL55" s="525" t="e">
        <f ca="1">stat(calculs!BL55)</f>
        <v>#NAME?</v>
      </c>
      <c r="BM55" s="525" t="e">
        <f ca="1">stat(calculs!BM55)</f>
        <v>#NAME?</v>
      </c>
      <c r="BN55" s="525" t="e">
        <f ca="1">stat(calculs!BN55)</f>
        <v>#NAME?</v>
      </c>
      <c r="BO55" s="525" t="e">
        <f ca="1">stat(calculs!BO55)</f>
        <v>#NAME?</v>
      </c>
      <c r="BP55" s="525" t="e">
        <f ca="1">stat(calculs!BP55)</f>
        <v>#NAME?</v>
      </c>
      <c r="BQ55" s="525" t="e">
        <f ca="1">stat(calculs!BQ55)</f>
        <v>#NAME?</v>
      </c>
      <c r="BR55" s="525" t="e">
        <f ca="1">stat(calculs!BR55)</f>
        <v>#NAME?</v>
      </c>
    </row>
    <row r="56" spans="1:70" x14ac:dyDescent="0.2">
      <c r="A56" s="222">
        <f>données_step[[#This Row],[Datum]]</f>
        <v>44607</v>
      </c>
      <c r="B56" s="223"/>
      <c r="C56" s="224">
        <f t="shared" si="0"/>
        <v>3</v>
      </c>
      <c r="D56" s="523" t="e">
        <f ca="1">stat(charge_entree[[#This Row],[ch_E_DBO5]])</f>
        <v>#NAME?</v>
      </c>
      <c r="E56" s="523" t="e">
        <f ca="1">stat(charge_entree[[#This Row],[ch_E_DCO]])</f>
        <v>#NAME?</v>
      </c>
      <c r="F56" s="523" t="e">
        <f ca="1">stat(charge_entree[[#This Row],[ch_E_COT]])</f>
        <v>#NAME?</v>
      </c>
      <c r="G56" s="523" t="e">
        <f ca="1">stat(charge_entree[[#This Row],[ch_E_NH4]])</f>
        <v>#NAME?</v>
      </c>
      <c r="H56" s="523" t="e">
        <f ca="1">stat(charge_entree[[#This Row],[ch_E_NTOT]])</f>
        <v>#NAME?</v>
      </c>
      <c r="I56" s="523" t="e">
        <f ca="1">stat(charge_entree[[#This Row],[ch_E_PTOT]])</f>
        <v>#NAME?</v>
      </c>
      <c r="J56" s="523" t="e">
        <f ca="1">stat(charge_entree[[#This Row],[ch_S_DBO]])</f>
        <v>#NAME?</v>
      </c>
      <c r="K56" s="523" t="e">
        <f ca="1">stat(charge_entree[[#This Row],[ch_S-DCO]])</f>
        <v>#NAME?</v>
      </c>
      <c r="L56" s="523" t="e">
        <f ca="1">stat(charge_entree[[#This Row],[ch_S_DOC]])</f>
        <v>#NAME?</v>
      </c>
      <c r="M56" s="523" t="e">
        <f ca="1">stat(charge_entree[[#This Row],[ch_S_NH4]])</f>
        <v>#NAME?</v>
      </c>
      <c r="N56" s="523" t="e">
        <f ca="1">stat(charge_entree[[#This Row],[ch_S_NO2]])</f>
        <v>#NAME?</v>
      </c>
      <c r="O56" s="523" t="e">
        <f ca="1">stat(charge_entree[[#This Row],[ch_S_NO3]])</f>
        <v>#NAME?</v>
      </c>
      <c r="P56" s="523" t="e">
        <f ca="1">stat(charge_entree[[#This Row],[ch_S_PTOT]])</f>
        <v>#NAME?</v>
      </c>
      <c r="Q56" s="523" t="e">
        <f ca="1">stat(charge_entree[[#This Row],[ch_S_SNDT]])</f>
        <v>#NAME?</v>
      </c>
      <c r="R56" s="523">
        <f>calculs!R56</f>
        <v>0</v>
      </c>
      <c r="S56" s="523" t="e">
        <f ca="1">stat(calculs!S56)</f>
        <v>#NAME?</v>
      </c>
      <c r="T56" s="523" t="e">
        <f ca="1">stat(calculs!T56)</f>
        <v>#NAME?</v>
      </c>
      <c r="U56" s="523" t="e">
        <f ca="1">stat(calculs!U56)</f>
        <v>#NAME?</v>
      </c>
      <c r="V56" s="523" t="e">
        <f ca="1">stat(calculs!V56)</f>
        <v>#NAME?</v>
      </c>
      <c r="W56" s="523" t="e">
        <f ca="1">stat(calculs!W56)</f>
        <v>#NAME?</v>
      </c>
      <c r="X56" s="523" t="e">
        <f ca="1">stat(calculs!X56)</f>
        <v>#NAME?</v>
      </c>
      <c r="Y56" s="523" t="e">
        <f ca="1">stat(calculs!Y56)</f>
        <v>#NAME?</v>
      </c>
      <c r="Z56" s="523" t="e">
        <f ca="1">stat(calculs!Z56)</f>
        <v>#NAME?</v>
      </c>
      <c r="AA56" s="523" t="e">
        <f ca="1">stat(calculs!AA56)</f>
        <v>#NAME?</v>
      </c>
      <c r="AB56" s="523" t="e">
        <f ca="1">stat(calculs!AB56)</f>
        <v>#NAME?</v>
      </c>
      <c r="AC56" s="523" t="e">
        <f ca="1">stat(calculs!AC56)</f>
        <v>#NAME?</v>
      </c>
      <c r="AD56" s="523" t="e">
        <f ca="1">stat(calculs!AD56)</f>
        <v>#NAME?</v>
      </c>
      <c r="AE56" s="523" t="e">
        <f ca="1">stat(calculs!AE56)</f>
        <v>#NAME?</v>
      </c>
      <c r="AF56" s="523" t="e">
        <f ca="1">stat(calculs!AF56)</f>
        <v>#NAME?</v>
      </c>
      <c r="AG56" s="523" t="e">
        <f ca="1">stat(calculs!AG56)</f>
        <v>#NAME?</v>
      </c>
      <c r="AH56" s="523" t="e">
        <f ca="1">stat(calculs!AH56)</f>
        <v>#NAME?</v>
      </c>
      <c r="AI56" s="523" t="e">
        <f ca="1">stat(calculs!AI56)</f>
        <v>#NAME?</v>
      </c>
      <c r="AJ56" s="523" t="e">
        <f ca="1">stat(calculs!AJ56)</f>
        <v>#NAME?</v>
      </c>
      <c r="AK56" s="523" t="e">
        <f ca="1">stat(calculs!AK56)</f>
        <v>#NAME?</v>
      </c>
      <c r="AL56" s="523" t="e">
        <f ca="1">stat(calculs!AL56)</f>
        <v>#NAME?</v>
      </c>
      <c r="AM56" s="523" t="e">
        <f ca="1">stat(calculs!AM56)</f>
        <v>#NAME?</v>
      </c>
      <c r="AN56" s="523" t="e">
        <f ca="1">stat(calculs!AN56)</f>
        <v>#NAME?</v>
      </c>
      <c r="AO56" s="523" t="e">
        <f ca="1">stat(calculs!AO56)</f>
        <v>#NAME?</v>
      </c>
      <c r="AP56" s="523" t="e">
        <f ca="1">stat(calculs!AP56)</f>
        <v>#NAME?</v>
      </c>
      <c r="AQ56" s="523" t="e">
        <f ca="1">stat(calculs!AQ56)</f>
        <v>#NAME?</v>
      </c>
      <c r="AT56" s="517"/>
      <c r="AV56" s="525" t="e">
        <f ca="1">stat(calculs!AV56)</f>
        <v>#NAME?</v>
      </c>
      <c r="AW56" s="525" t="e">
        <f ca="1">stat(calculs!AW56)</f>
        <v>#NAME?</v>
      </c>
      <c r="AX56" s="525" t="e">
        <f ca="1">stat(calculs!AX56)</f>
        <v>#NAME?</v>
      </c>
      <c r="AY56" s="525" t="e">
        <f ca="1">stat(calculs!AY56)</f>
        <v>#NAME?</v>
      </c>
      <c r="AZ56" s="525" t="e">
        <f ca="1">stat(calculs!AZ56)</f>
        <v>#NAME?</v>
      </c>
      <c r="BA56" s="525" t="e">
        <f ca="1">stat(calculs!BA56)</f>
        <v>#NAME?</v>
      </c>
      <c r="BB56" s="525" t="e">
        <f ca="1">stat(calculs!BB56)</f>
        <v>#NAME?</v>
      </c>
      <c r="BC56" s="525" t="e">
        <f ca="1">stat(calculs!BC56)</f>
        <v>#NAME?</v>
      </c>
      <c r="BD56" s="525" t="e">
        <f ca="1">stat(calculs!BD56)</f>
        <v>#NAME?</v>
      </c>
      <c r="BE56" s="525" t="e">
        <f ca="1">stat(calculs!BE56)</f>
        <v>#NAME?</v>
      </c>
      <c r="BF56" s="525" t="e">
        <f ca="1">stat(calculs!BF56)</f>
        <v>#NAME?</v>
      </c>
      <c r="BG56" s="729" t="e">
        <f ca="1">stat(calculs!BG56)</f>
        <v>#NAME?</v>
      </c>
      <c r="BH56" s="729" t="e">
        <f ca="1">stat(calculs!BH56)</f>
        <v>#NAME?</v>
      </c>
      <c r="BI56" s="729" t="e">
        <f ca="1">stat(calculs!BI56)</f>
        <v>#NAME?</v>
      </c>
      <c r="BJ56" s="729" t="e">
        <f ca="1">stat(calculs!BJ56)</f>
        <v>#NAME?</v>
      </c>
      <c r="BK56" s="729" t="e">
        <f ca="1">stat(calculs!BK56)</f>
        <v>#NAME?</v>
      </c>
      <c r="BL56" s="525" t="e">
        <f ca="1">stat(calculs!BL56)</f>
        <v>#NAME?</v>
      </c>
      <c r="BM56" s="525" t="e">
        <f ca="1">stat(calculs!BM56)</f>
        <v>#NAME?</v>
      </c>
      <c r="BN56" s="525" t="e">
        <f ca="1">stat(calculs!BN56)</f>
        <v>#NAME?</v>
      </c>
      <c r="BO56" s="525" t="e">
        <f ca="1">stat(calculs!BO56)</f>
        <v>#NAME?</v>
      </c>
      <c r="BP56" s="525" t="e">
        <f ca="1">stat(calculs!BP56)</f>
        <v>#NAME?</v>
      </c>
      <c r="BQ56" s="525" t="e">
        <f ca="1">stat(calculs!BQ56)</f>
        <v>#NAME?</v>
      </c>
      <c r="BR56" s="525" t="e">
        <f ca="1">stat(calculs!BR56)</f>
        <v>#NAME?</v>
      </c>
    </row>
    <row r="57" spans="1:70" x14ac:dyDescent="0.2">
      <c r="A57" s="222">
        <f>données_step[[#This Row],[Datum]]</f>
        <v>44608</v>
      </c>
      <c r="B57" s="223"/>
      <c r="C57" s="224">
        <f t="shared" si="0"/>
        <v>4</v>
      </c>
      <c r="D57" s="523" t="e">
        <f ca="1">stat(charge_entree[[#This Row],[ch_E_DBO5]])</f>
        <v>#NAME?</v>
      </c>
      <c r="E57" s="523" t="e">
        <f ca="1">stat(charge_entree[[#This Row],[ch_E_DCO]])</f>
        <v>#NAME?</v>
      </c>
      <c r="F57" s="523" t="e">
        <f ca="1">stat(charge_entree[[#This Row],[ch_E_COT]])</f>
        <v>#NAME?</v>
      </c>
      <c r="G57" s="523" t="e">
        <f ca="1">stat(charge_entree[[#This Row],[ch_E_NH4]])</f>
        <v>#NAME?</v>
      </c>
      <c r="H57" s="523" t="e">
        <f ca="1">stat(charge_entree[[#This Row],[ch_E_NTOT]])</f>
        <v>#NAME?</v>
      </c>
      <c r="I57" s="523" t="e">
        <f ca="1">stat(charge_entree[[#This Row],[ch_E_PTOT]])</f>
        <v>#NAME?</v>
      </c>
      <c r="J57" s="523" t="e">
        <f ca="1">stat(charge_entree[[#This Row],[ch_S_DBO]])</f>
        <v>#NAME?</v>
      </c>
      <c r="K57" s="523" t="e">
        <f ca="1">stat(charge_entree[[#This Row],[ch_S-DCO]])</f>
        <v>#NAME?</v>
      </c>
      <c r="L57" s="523" t="e">
        <f ca="1">stat(charge_entree[[#This Row],[ch_S_DOC]])</f>
        <v>#NAME?</v>
      </c>
      <c r="M57" s="523" t="e">
        <f ca="1">stat(charge_entree[[#This Row],[ch_S_NH4]])</f>
        <v>#NAME?</v>
      </c>
      <c r="N57" s="523" t="e">
        <f ca="1">stat(charge_entree[[#This Row],[ch_S_NO2]])</f>
        <v>#NAME?</v>
      </c>
      <c r="O57" s="523" t="e">
        <f ca="1">stat(charge_entree[[#This Row],[ch_S_NO3]])</f>
        <v>#NAME?</v>
      </c>
      <c r="P57" s="523" t="e">
        <f ca="1">stat(charge_entree[[#This Row],[ch_S_PTOT]])</f>
        <v>#NAME?</v>
      </c>
      <c r="Q57" s="523" t="e">
        <f ca="1">stat(charge_entree[[#This Row],[ch_S_SNDT]])</f>
        <v>#NAME?</v>
      </c>
      <c r="R57" s="523">
        <f>calculs!R57</f>
        <v>0</v>
      </c>
      <c r="S57" s="523" t="e">
        <f ca="1">stat(calculs!S57)</f>
        <v>#NAME?</v>
      </c>
      <c r="T57" s="523" t="e">
        <f ca="1">stat(calculs!T57)</f>
        <v>#NAME?</v>
      </c>
      <c r="U57" s="523" t="e">
        <f ca="1">stat(calculs!U57)</f>
        <v>#NAME?</v>
      </c>
      <c r="V57" s="523" t="e">
        <f ca="1">stat(calculs!V57)</f>
        <v>#NAME?</v>
      </c>
      <c r="W57" s="523" t="e">
        <f ca="1">stat(calculs!W57)</f>
        <v>#NAME?</v>
      </c>
      <c r="X57" s="523" t="e">
        <f ca="1">stat(calculs!X57)</f>
        <v>#NAME?</v>
      </c>
      <c r="Y57" s="523" t="e">
        <f ca="1">stat(calculs!Y57)</f>
        <v>#NAME?</v>
      </c>
      <c r="Z57" s="523" t="e">
        <f ca="1">stat(calculs!Z57)</f>
        <v>#NAME?</v>
      </c>
      <c r="AA57" s="523" t="e">
        <f ca="1">stat(calculs!AA57)</f>
        <v>#NAME?</v>
      </c>
      <c r="AB57" s="523" t="e">
        <f ca="1">stat(calculs!AB57)</f>
        <v>#NAME?</v>
      </c>
      <c r="AC57" s="523" t="e">
        <f ca="1">stat(calculs!AC57)</f>
        <v>#NAME?</v>
      </c>
      <c r="AD57" s="523" t="e">
        <f ca="1">stat(calculs!AD57)</f>
        <v>#NAME?</v>
      </c>
      <c r="AE57" s="523" t="e">
        <f ca="1">stat(calculs!AE57)</f>
        <v>#NAME?</v>
      </c>
      <c r="AF57" s="523" t="e">
        <f ca="1">stat(calculs!AF57)</f>
        <v>#NAME?</v>
      </c>
      <c r="AG57" s="523" t="e">
        <f ca="1">stat(calculs!AG57)</f>
        <v>#NAME?</v>
      </c>
      <c r="AH57" s="523" t="e">
        <f ca="1">stat(calculs!AH57)</f>
        <v>#NAME?</v>
      </c>
      <c r="AI57" s="523" t="e">
        <f ca="1">stat(calculs!AI57)</f>
        <v>#NAME?</v>
      </c>
      <c r="AJ57" s="523" t="e">
        <f ca="1">stat(calculs!AJ57)</f>
        <v>#NAME?</v>
      </c>
      <c r="AK57" s="523" t="e">
        <f ca="1">stat(calculs!AK57)</f>
        <v>#NAME?</v>
      </c>
      <c r="AL57" s="523" t="e">
        <f ca="1">stat(calculs!AL57)</f>
        <v>#NAME?</v>
      </c>
      <c r="AM57" s="523" t="e">
        <f ca="1">stat(calculs!AM57)</f>
        <v>#NAME?</v>
      </c>
      <c r="AN57" s="523" t="e">
        <f ca="1">stat(calculs!AN57)</f>
        <v>#NAME?</v>
      </c>
      <c r="AO57" s="523" t="e">
        <f ca="1">stat(calculs!AO57)</f>
        <v>#NAME?</v>
      </c>
      <c r="AP57" s="523" t="e">
        <f ca="1">stat(calculs!AP57)</f>
        <v>#NAME?</v>
      </c>
      <c r="AQ57" s="523" t="e">
        <f ca="1">stat(calculs!AQ57)</f>
        <v>#NAME?</v>
      </c>
      <c r="AT57" s="517"/>
      <c r="AV57" s="525" t="e">
        <f ca="1">stat(calculs!AV57)</f>
        <v>#NAME?</v>
      </c>
      <c r="AW57" s="525" t="e">
        <f ca="1">stat(calculs!AW57)</f>
        <v>#NAME?</v>
      </c>
      <c r="AX57" s="525" t="e">
        <f ca="1">stat(calculs!AX57)</f>
        <v>#NAME?</v>
      </c>
      <c r="AY57" s="525" t="e">
        <f ca="1">stat(calculs!AY57)</f>
        <v>#NAME?</v>
      </c>
      <c r="AZ57" s="525" t="e">
        <f ca="1">stat(calculs!AZ57)</f>
        <v>#NAME?</v>
      </c>
      <c r="BA57" s="525" t="e">
        <f ca="1">stat(calculs!BA57)</f>
        <v>#NAME?</v>
      </c>
      <c r="BB57" s="525" t="e">
        <f ca="1">stat(calculs!BB57)</f>
        <v>#NAME?</v>
      </c>
      <c r="BC57" s="525" t="e">
        <f ca="1">stat(calculs!BC57)</f>
        <v>#NAME?</v>
      </c>
      <c r="BD57" s="525" t="e">
        <f ca="1">stat(calculs!BD57)</f>
        <v>#NAME?</v>
      </c>
      <c r="BE57" s="525" t="e">
        <f ca="1">stat(calculs!BE57)</f>
        <v>#NAME?</v>
      </c>
      <c r="BF57" s="525" t="e">
        <f ca="1">stat(calculs!BF57)</f>
        <v>#NAME?</v>
      </c>
      <c r="BG57" s="729" t="e">
        <f ca="1">stat(calculs!BG57)</f>
        <v>#NAME?</v>
      </c>
      <c r="BH57" s="729" t="e">
        <f ca="1">stat(calculs!BH57)</f>
        <v>#NAME?</v>
      </c>
      <c r="BI57" s="729" t="e">
        <f ca="1">stat(calculs!BI57)</f>
        <v>#NAME?</v>
      </c>
      <c r="BJ57" s="729" t="e">
        <f ca="1">stat(calculs!BJ57)</f>
        <v>#NAME?</v>
      </c>
      <c r="BK57" s="729" t="e">
        <f ca="1">stat(calculs!BK57)</f>
        <v>#NAME?</v>
      </c>
      <c r="BL57" s="525" t="e">
        <f ca="1">stat(calculs!BL57)</f>
        <v>#NAME?</v>
      </c>
      <c r="BM57" s="525" t="e">
        <f ca="1">stat(calculs!BM57)</f>
        <v>#NAME?</v>
      </c>
      <c r="BN57" s="525" t="e">
        <f ca="1">stat(calculs!BN57)</f>
        <v>#NAME?</v>
      </c>
      <c r="BO57" s="525" t="e">
        <f ca="1">stat(calculs!BO57)</f>
        <v>#NAME?</v>
      </c>
      <c r="BP57" s="525" t="e">
        <f ca="1">stat(calculs!BP57)</f>
        <v>#NAME?</v>
      </c>
      <c r="BQ57" s="525" t="e">
        <f ca="1">stat(calculs!BQ57)</f>
        <v>#NAME?</v>
      </c>
      <c r="BR57" s="525" t="e">
        <f ca="1">stat(calculs!BR57)</f>
        <v>#NAME?</v>
      </c>
    </row>
    <row r="58" spans="1:70" x14ac:dyDescent="0.2">
      <c r="A58" s="222">
        <f>données_step[[#This Row],[Datum]]</f>
        <v>44609</v>
      </c>
      <c r="B58" s="223"/>
      <c r="C58" s="224">
        <f t="shared" si="0"/>
        <v>5</v>
      </c>
      <c r="D58" s="523" t="e">
        <f ca="1">stat(charge_entree[[#This Row],[ch_E_DBO5]])</f>
        <v>#NAME?</v>
      </c>
      <c r="E58" s="523" t="e">
        <f ca="1">stat(charge_entree[[#This Row],[ch_E_DCO]])</f>
        <v>#NAME?</v>
      </c>
      <c r="F58" s="523" t="e">
        <f ca="1">stat(charge_entree[[#This Row],[ch_E_COT]])</f>
        <v>#NAME?</v>
      </c>
      <c r="G58" s="523" t="e">
        <f ca="1">stat(charge_entree[[#This Row],[ch_E_NH4]])</f>
        <v>#NAME?</v>
      </c>
      <c r="H58" s="523" t="e">
        <f ca="1">stat(charge_entree[[#This Row],[ch_E_NTOT]])</f>
        <v>#NAME?</v>
      </c>
      <c r="I58" s="523" t="e">
        <f ca="1">stat(charge_entree[[#This Row],[ch_E_PTOT]])</f>
        <v>#NAME?</v>
      </c>
      <c r="J58" s="523" t="e">
        <f ca="1">stat(charge_entree[[#This Row],[ch_S_DBO]])</f>
        <v>#NAME?</v>
      </c>
      <c r="K58" s="523" t="e">
        <f ca="1">stat(charge_entree[[#This Row],[ch_S-DCO]])</f>
        <v>#NAME?</v>
      </c>
      <c r="L58" s="523" t="e">
        <f ca="1">stat(charge_entree[[#This Row],[ch_S_DOC]])</f>
        <v>#NAME?</v>
      </c>
      <c r="M58" s="523" t="e">
        <f ca="1">stat(charge_entree[[#This Row],[ch_S_NH4]])</f>
        <v>#NAME?</v>
      </c>
      <c r="N58" s="523" t="e">
        <f ca="1">stat(charge_entree[[#This Row],[ch_S_NO2]])</f>
        <v>#NAME?</v>
      </c>
      <c r="O58" s="523" t="e">
        <f ca="1">stat(charge_entree[[#This Row],[ch_S_NO3]])</f>
        <v>#NAME?</v>
      </c>
      <c r="P58" s="523" t="e">
        <f ca="1">stat(charge_entree[[#This Row],[ch_S_PTOT]])</f>
        <v>#NAME?</v>
      </c>
      <c r="Q58" s="523" t="e">
        <f ca="1">stat(charge_entree[[#This Row],[ch_S_SNDT]])</f>
        <v>#NAME?</v>
      </c>
      <c r="R58" s="523">
        <f>calculs!R58</f>
        <v>0</v>
      </c>
      <c r="S58" s="523" t="e">
        <f ca="1">stat(calculs!S58)</f>
        <v>#NAME?</v>
      </c>
      <c r="T58" s="523" t="e">
        <f ca="1">stat(calculs!T58)</f>
        <v>#NAME?</v>
      </c>
      <c r="U58" s="523" t="e">
        <f ca="1">stat(calculs!U58)</f>
        <v>#NAME?</v>
      </c>
      <c r="V58" s="523" t="e">
        <f ca="1">stat(calculs!V58)</f>
        <v>#NAME?</v>
      </c>
      <c r="W58" s="523" t="e">
        <f ca="1">stat(calculs!W58)</f>
        <v>#NAME?</v>
      </c>
      <c r="X58" s="523" t="e">
        <f ca="1">stat(calculs!X58)</f>
        <v>#NAME?</v>
      </c>
      <c r="Y58" s="523" t="e">
        <f ca="1">stat(calculs!Y58)</f>
        <v>#NAME?</v>
      </c>
      <c r="Z58" s="523" t="e">
        <f ca="1">stat(calculs!Z58)</f>
        <v>#NAME?</v>
      </c>
      <c r="AA58" s="523" t="e">
        <f ca="1">stat(calculs!AA58)</f>
        <v>#NAME?</v>
      </c>
      <c r="AB58" s="523" t="e">
        <f ca="1">stat(calculs!AB58)</f>
        <v>#NAME?</v>
      </c>
      <c r="AC58" s="523" t="e">
        <f ca="1">stat(calculs!AC58)</f>
        <v>#NAME?</v>
      </c>
      <c r="AD58" s="523" t="e">
        <f ca="1">stat(calculs!AD58)</f>
        <v>#NAME?</v>
      </c>
      <c r="AE58" s="523" t="e">
        <f ca="1">stat(calculs!AE58)</f>
        <v>#NAME?</v>
      </c>
      <c r="AF58" s="523" t="e">
        <f ca="1">stat(calculs!AF58)</f>
        <v>#NAME?</v>
      </c>
      <c r="AG58" s="523" t="e">
        <f ca="1">stat(calculs!AG58)</f>
        <v>#NAME?</v>
      </c>
      <c r="AH58" s="523" t="e">
        <f ca="1">stat(calculs!AH58)</f>
        <v>#NAME?</v>
      </c>
      <c r="AI58" s="523" t="e">
        <f ca="1">stat(calculs!AI58)</f>
        <v>#NAME?</v>
      </c>
      <c r="AJ58" s="523" t="e">
        <f ca="1">stat(calculs!AJ58)</f>
        <v>#NAME?</v>
      </c>
      <c r="AK58" s="523" t="e">
        <f ca="1">stat(calculs!AK58)</f>
        <v>#NAME?</v>
      </c>
      <c r="AL58" s="523" t="e">
        <f ca="1">stat(calculs!AL58)</f>
        <v>#NAME?</v>
      </c>
      <c r="AM58" s="523" t="e">
        <f ca="1">stat(calculs!AM58)</f>
        <v>#NAME?</v>
      </c>
      <c r="AN58" s="523" t="e">
        <f ca="1">stat(calculs!AN58)</f>
        <v>#NAME?</v>
      </c>
      <c r="AO58" s="523" t="e">
        <f ca="1">stat(calculs!AO58)</f>
        <v>#NAME?</v>
      </c>
      <c r="AP58" s="523" t="e">
        <f ca="1">stat(calculs!AP58)</f>
        <v>#NAME?</v>
      </c>
      <c r="AQ58" s="523" t="e">
        <f ca="1">stat(calculs!AQ58)</f>
        <v>#NAME?</v>
      </c>
      <c r="AT58" s="517"/>
      <c r="AV58" s="525" t="e">
        <f ca="1">stat(calculs!AV58)</f>
        <v>#NAME?</v>
      </c>
      <c r="AW58" s="525" t="e">
        <f ca="1">stat(calculs!AW58)</f>
        <v>#NAME?</v>
      </c>
      <c r="AX58" s="525" t="e">
        <f ca="1">stat(calculs!AX58)</f>
        <v>#NAME?</v>
      </c>
      <c r="AY58" s="525" t="e">
        <f ca="1">stat(calculs!AY58)</f>
        <v>#NAME?</v>
      </c>
      <c r="AZ58" s="525" t="e">
        <f ca="1">stat(calculs!AZ58)</f>
        <v>#NAME?</v>
      </c>
      <c r="BA58" s="525" t="e">
        <f ca="1">stat(calculs!BA58)</f>
        <v>#NAME?</v>
      </c>
      <c r="BB58" s="525" t="e">
        <f ca="1">stat(calculs!BB58)</f>
        <v>#NAME?</v>
      </c>
      <c r="BC58" s="525" t="e">
        <f ca="1">stat(calculs!BC58)</f>
        <v>#NAME?</v>
      </c>
      <c r="BD58" s="525" t="e">
        <f ca="1">stat(calculs!BD58)</f>
        <v>#NAME?</v>
      </c>
      <c r="BE58" s="525" t="e">
        <f ca="1">stat(calculs!BE58)</f>
        <v>#NAME?</v>
      </c>
      <c r="BF58" s="525" t="e">
        <f ca="1">stat(calculs!BF58)</f>
        <v>#NAME?</v>
      </c>
      <c r="BG58" s="729" t="e">
        <f ca="1">stat(calculs!BG58)</f>
        <v>#NAME?</v>
      </c>
      <c r="BH58" s="729" t="e">
        <f ca="1">stat(calculs!BH58)</f>
        <v>#NAME?</v>
      </c>
      <c r="BI58" s="729" t="e">
        <f ca="1">stat(calculs!BI58)</f>
        <v>#NAME?</v>
      </c>
      <c r="BJ58" s="729" t="e">
        <f ca="1">stat(calculs!BJ58)</f>
        <v>#NAME?</v>
      </c>
      <c r="BK58" s="729" t="e">
        <f ca="1">stat(calculs!BK58)</f>
        <v>#NAME?</v>
      </c>
      <c r="BL58" s="525" t="e">
        <f ca="1">stat(calculs!BL58)</f>
        <v>#NAME?</v>
      </c>
      <c r="BM58" s="525" t="e">
        <f ca="1">stat(calculs!BM58)</f>
        <v>#NAME?</v>
      </c>
      <c r="BN58" s="525" t="e">
        <f ca="1">stat(calculs!BN58)</f>
        <v>#NAME?</v>
      </c>
      <c r="BO58" s="525" t="e">
        <f ca="1">stat(calculs!BO58)</f>
        <v>#NAME?</v>
      </c>
      <c r="BP58" s="525" t="e">
        <f ca="1">stat(calculs!BP58)</f>
        <v>#NAME?</v>
      </c>
      <c r="BQ58" s="525" t="e">
        <f ca="1">stat(calculs!BQ58)</f>
        <v>#NAME?</v>
      </c>
      <c r="BR58" s="525" t="e">
        <f ca="1">stat(calculs!BR58)</f>
        <v>#NAME?</v>
      </c>
    </row>
    <row r="59" spans="1:70" x14ac:dyDescent="0.2">
      <c r="A59" s="222">
        <f>données_step[[#This Row],[Datum]]</f>
        <v>44610</v>
      </c>
      <c r="B59" s="223"/>
      <c r="C59" s="224">
        <f t="shared" si="0"/>
        <v>6</v>
      </c>
      <c r="D59" s="523" t="e">
        <f ca="1">stat(charge_entree[[#This Row],[ch_E_DBO5]])</f>
        <v>#NAME?</v>
      </c>
      <c r="E59" s="523" t="e">
        <f ca="1">stat(charge_entree[[#This Row],[ch_E_DCO]])</f>
        <v>#NAME?</v>
      </c>
      <c r="F59" s="523" t="e">
        <f ca="1">stat(charge_entree[[#This Row],[ch_E_COT]])</f>
        <v>#NAME?</v>
      </c>
      <c r="G59" s="523" t="e">
        <f ca="1">stat(charge_entree[[#This Row],[ch_E_NH4]])</f>
        <v>#NAME?</v>
      </c>
      <c r="H59" s="523" t="e">
        <f ca="1">stat(charge_entree[[#This Row],[ch_E_NTOT]])</f>
        <v>#NAME?</v>
      </c>
      <c r="I59" s="523" t="e">
        <f ca="1">stat(charge_entree[[#This Row],[ch_E_PTOT]])</f>
        <v>#NAME?</v>
      </c>
      <c r="J59" s="523" t="e">
        <f ca="1">stat(charge_entree[[#This Row],[ch_S_DBO]])</f>
        <v>#NAME?</v>
      </c>
      <c r="K59" s="523" t="e">
        <f ca="1">stat(charge_entree[[#This Row],[ch_S-DCO]])</f>
        <v>#NAME?</v>
      </c>
      <c r="L59" s="523" t="e">
        <f ca="1">stat(charge_entree[[#This Row],[ch_S_DOC]])</f>
        <v>#NAME?</v>
      </c>
      <c r="M59" s="523" t="e">
        <f ca="1">stat(charge_entree[[#This Row],[ch_S_NH4]])</f>
        <v>#NAME?</v>
      </c>
      <c r="N59" s="523" t="e">
        <f ca="1">stat(charge_entree[[#This Row],[ch_S_NO2]])</f>
        <v>#NAME?</v>
      </c>
      <c r="O59" s="523" t="e">
        <f ca="1">stat(charge_entree[[#This Row],[ch_S_NO3]])</f>
        <v>#NAME?</v>
      </c>
      <c r="P59" s="523" t="e">
        <f ca="1">stat(charge_entree[[#This Row],[ch_S_PTOT]])</f>
        <v>#NAME?</v>
      </c>
      <c r="Q59" s="523" t="e">
        <f ca="1">stat(charge_entree[[#This Row],[ch_S_SNDT]])</f>
        <v>#NAME?</v>
      </c>
      <c r="R59" s="523">
        <f>calculs!R59</f>
        <v>0</v>
      </c>
      <c r="S59" s="523" t="e">
        <f ca="1">stat(calculs!S59)</f>
        <v>#NAME?</v>
      </c>
      <c r="T59" s="523" t="e">
        <f ca="1">stat(calculs!T59)</f>
        <v>#NAME?</v>
      </c>
      <c r="U59" s="523" t="e">
        <f ca="1">stat(calculs!U59)</f>
        <v>#NAME?</v>
      </c>
      <c r="V59" s="523" t="e">
        <f ca="1">stat(calculs!V59)</f>
        <v>#NAME?</v>
      </c>
      <c r="W59" s="523" t="e">
        <f ca="1">stat(calculs!W59)</f>
        <v>#NAME?</v>
      </c>
      <c r="X59" s="523" t="e">
        <f ca="1">stat(calculs!X59)</f>
        <v>#NAME?</v>
      </c>
      <c r="Y59" s="523" t="e">
        <f ca="1">stat(calculs!Y59)</f>
        <v>#NAME?</v>
      </c>
      <c r="Z59" s="523" t="e">
        <f ca="1">stat(calculs!Z59)</f>
        <v>#NAME?</v>
      </c>
      <c r="AA59" s="523" t="e">
        <f ca="1">stat(calculs!AA59)</f>
        <v>#NAME?</v>
      </c>
      <c r="AB59" s="523" t="e">
        <f ca="1">stat(calculs!AB59)</f>
        <v>#NAME?</v>
      </c>
      <c r="AC59" s="523" t="e">
        <f ca="1">stat(calculs!AC59)</f>
        <v>#NAME?</v>
      </c>
      <c r="AD59" s="523" t="e">
        <f ca="1">stat(calculs!AD59)</f>
        <v>#NAME?</v>
      </c>
      <c r="AE59" s="523" t="e">
        <f ca="1">stat(calculs!AE59)</f>
        <v>#NAME?</v>
      </c>
      <c r="AF59" s="523" t="e">
        <f ca="1">stat(calculs!AF59)</f>
        <v>#NAME?</v>
      </c>
      <c r="AG59" s="523" t="e">
        <f ca="1">stat(calculs!AG59)</f>
        <v>#NAME?</v>
      </c>
      <c r="AH59" s="523" t="e">
        <f ca="1">stat(calculs!AH59)</f>
        <v>#NAME?</v>
      </c>
      <c r="AI59" s="523" t="e">
        <f ca="1">stat(calculs!AI59)</f>
        <v>#NAME?</v>
      </c>
      <c r="AJ59" s="523" t="e">
        <f ca="1">stat(calculs!AJ59)</f>
        <v>#NAME?</v>
      </c>
      <c r="AK59" s="523" t="e">
        <f ca="1">stat(calculs!AK59)</f>
        <v>#NAME?</v>
      </c>
      <c r="AL59" s="523" t="e">
        <f ca="1">stat(calculs!AL59)</f>
        <v>#NAME?</v>
      </c>
      <c r="AM59" s="523" t="e">
        <f ca="1">stat(calculs!AM59)</f>
        <v>#NAME?</v>
      </c>
      <c r="AN59" s="523" t="e">
        <f ca="1">stat(calculs!AN59)</f>
        <v>#NAME?</v>
      </c>
      <c r="AO59" s="523" t="e">
        <f ca="1">stat(calculs!AO59)</f>
        <v>#NAME?</v>
      </c>
      <c r="AP59" s="523" t="e">
        <f ca="1">stat(calculs!AP59)</f>
        <v>#NAME?</v>
      </c>
      <c r="AQ59" s="523" t="e">
        <f ca="1">stat(calculs!AQ59)</f>
        <v>#NAME?</v>
      </c>
      <c r="AT59" s="517"/>
      <c r="AV59" s="525" t="e">
        <f ca="1">stat(calculs!AV59)</f>
        <v>#NAME?</v>
      </c>
      <c r="AW59" s="525" t="e">
        <f ca="1">stat(calculs!AW59)</f>
        <v>#NAME?</v>
      </c>
      <c r="AX59" s="525" t="e">
        <f ca="1">stat(calculs!AX59)</f>
        <v>#NAME?</v>
      </c>
      <c r="AY59" s="525" t="e">
        <f ca="1">stat(calculs!AY59)</f>
        <v>#NAME?</v>
      </c>
      <c r="AZ59" s="525" t="e">
        <f ca="1">stat(calculs!AZ59)</f>
        <v>#NAME?</v>
      </c>
      <c r="BA59" s="525" t="e">
        <f ca="1">stat(calculs!BA59)</f>
        <v>#NAME?</v>
      </c>
      <c r="BB59" s="525" t="e">
        <f ca="1">stat(calculs!BB59)</f>
        <v>#NAME?</v>
      </c>
      <c r="BC59" s="525" t="e">
        <f ca="1">stat(calculs!BC59)</f>
        <v>#NAME?</v>
      </c>
      <c r="BD59" s="525" t="e">
        <f ca="1">stat(calculs!BD59)</f>
        <v>#NAME?</v>
      </c>
      <c r="BE59" s="525" t="e">
        <f ca="1">stat(calculs!BE59)</f>
        <v>#NAME?</v>
      </c>
      <c r="BF59" s="525" t="e">
        <f ca="1">stat(calculs!BF59)</f>
        <v>#NAME?</v>
      </c>
      <c r="BG59" s="729" t="e">
        <f ca="1">stat(calculs!BG59)</f>
        <v>#NAME?</v>
      </c>
      <c r="BH59" s="729" t="e">
        <f ca="1">stat(calculs!BH59)</f>
        <v>#NAME?</v>
      </c>
      <c r="BI59" s="729" t="e">
        <f ca="1">stat(calculs!BI59)</f>
        <v>#NAME?</v>
      </c>
      <c r="BJ59" s="729" t="e">
        <f ca="1">stat(calculs!BJ59)</f>
        <v>#NAME?</v>
      </c>
      <c r="BK59" s="729" t="e">
        <f ca="1">stat(calculs!BK59)</f>
        <v>#NAME?</v>
      </c>
      <c r="BL59" s="525" t="e">
        <f ca="1">stat(calculs!BL59)</f>
        <v>#NAME?</v>
      </c>
      <c r="BM59" s="525" t="e">
        <f ca="1">stat(calculs!BM59)</f>
        <v>#NAME?</v>
      </c>
      <c r="BN59" s="525" t="e">
        <f ca="1">stat(calculs!BN59)</f>
        <v>#NAME?</v>
      </c>
      <c r="BO59" s="525" t="e">
        <f ca="1">stat(calculs!BO59)</f>
        <v>#NAME?</v>
      </c>
      <c r="BP59" s="525" t="e">
        <f ca="1">stat(calculs!BP59)</f>
        <v>#NAME?</v>
      </c>
      <c r="BQ59" s="525" t="e">
        <f ca="1">stat(calculs!BQ59)</f>
        <v>#NAME?</v>
      </c>
      <c r="BR59" s="525" t="e">
        <f ca="1">stat(calculs!BR59)</f>
        <v>#NAME?</v>
      </c>
    </row>
    <row r="60" spans="1:70" x14ac:dyDescent="0.2">
      <c r="A60" s="222">
        <f>données_step[[#This Row],[Datum]]</f>
        <v>44611</v>
      </c>
      <c r="B60" s="223"/>
      <c r="C60" s="224">
        <f t="shared" si="0"/>
        <v>7</v>
      </c>
      <c r="D60" s="523" t="e">
        <f ca="1">stat(charge_entree[[#This Row],[ch_E_DBO5]])</f>
        <v>#NAME?</v>
      </c>
      <c r="E60" s="523" t="e">
        <f ca="1">stat(charge_entree[[#This Row],[ch_E_DCO]])</f>
        <v>#NAME?</v>
      </c>
      <c r="F60" s="523" t="e">
        <f ca="1">stat(charge_entree[[#This Row],[ch_E_COT]])</f>
        <v>#NAME?</v>
      </c>
      <c r="G60" s="523" t="e">
        <f ca="1">stat(charge_entree[[#This Row],[ch_E_NH4]])</f>
        <v>#NAME?</v>
      </c>
      <c r="H60" s="523" t="e">
        <f ca="1">stat(charge_entree[[#This Row],[ch_E_NTOT]])</f>
        <v>#NAME?</v>
      </c>
      <c r="I60" s="523" t="e">
        <f ca="1">stat(charge_entree[[#This Row],[ch_E_PTOT]])</f>
        <v>#NAME?</v>
      </c>
      <c r="J60" s="523" t="e">
        <f ca="1">stat(charge_entree[[#This Row],[ch_S_DBO]])</f>
        <v>#NAME?</v>
      </c>
      <c r="K60" s="523" t="e">
        <f ca="1">stat(charge_entree[[#This Row],[ch_S-DCO]])</f>
        <v>#NAME?</v>
      </c>
      <c r="L60" s="523" t="e">
        <f ca="1">stat(charge_entree[[#This Row],[ch_S_DOC]])</f>
        <v>#NAME?</v>
      </c>
      <c r="M60" s="523" t="e">
        <f ca="1">stat(charge_entree[[#This Row],[ch_S_NH4]])</f>
        <v>#NAME?</v>
      </c>
      <c r="N60" s="523" t="e">
        <f ca="1">stat(charge_entree[[#This Row],[ch_S_NO2]])</f>
        <v>#NAME?</v>
      </c>
      <c r="O60" s="523" t="e">
        <f ca="1">stat(charge_entree[[#This Row],[ch_S_NO3]])</f>
        <v>#NAME?</v>
      </c>
      <c r="P60" s="523" t="e">
        <f ca="1">stat(charge_entree[[#This Row],[ch_S_PTOT]])</f>
        <v>#NAME?</v>
      </c>
      <c r="Q60" s="523" t="e">
        <f ca="1">stat(charge_entree[[#This Row],[ch_S_SNDT]])</f>
        <v>#NAME?</v>
      </c>
      <c r="R60" s="523">
        <f>calculs!R60</f>
        <v>0</v>
      </c>
      <c r="S60" s="523" t="e">
        <f ca="1">stat(calculs!S60)</f>
        <v>#NAME?</v>
      </c>
      <c r="T60" s="523" t="e">
        <f ca="1">stat(calculs!T60)</f>
        <v>#NAME?</v>
      </c>
      <c r="U60" s="523" t="e">
        <f ca="1">stat(calculs!U60)</f>
        <v>#NAME?</v>
      </c>
      <c r="V60" s="523" t="e">
        <f ca="1">stat(calculs!V60)</f>
        <v>#NAME?</v>
      </c>
      <c r="W60" s="523" t="e">
        <f ca="1">stat(calculs!W60)</f>
        <v>#NAME?</v>
      </c>
      <c r="X60" s="523" t="e">
        <f ca="1">stat(calculs!X60)</f>
        <v>#NAME?</v>
      </c>
      <c r="Y60" s="523" t="e">
        <f ca="1">stat(calculs!Y60)</f>
        <v>#NAME?</v>
      </c>
      <c r="Z60" s="523" t="e">
        <f ca="1">stat(calculs!Z60)</f>
        <v>#NAME?</v>
      </c>
      <c r="AA60" s="523" t="e">
        <f ca="1">stat(calculs!AA60)</f>
        <v>#NAME?</v>
      </c>
      <c r="AB60" s="523" t="e">
        <f ca="1">stat(calculs!AB60)</f>
        <v>#NAME?</v>
      </c>
      <c r="AC60" s="523" t="e">
        <f ca="1">stat(calculs!AC60)</f>
        <v>#NAME?</v>
      </c>
      <c r="AD60" s="523" t="e">
        <f ca="1">stat(calculs!AD60)</f>
        <v>#NAME?</v>
      </c>
      <c r="AE60" s="523" t="e">
        <f ca="1">stat(calculs!AE60)</f>
        <v>#NAME?</v>
      </c>
      <c r="AF60" s="523" t="e">
        <f ca="1">stat(calculs!AF60)</f>
        <v>#NAME?</v>
      </c>
      <c r="AG60" s="523" t="e">
        <f ca="1">stat(calculs!AG60)</f>
        <v>#NAME?</v>
      </c>
      <c r="AH60" s="523" t="e">
        <f ca="1">stat(calculs!AH60)</f>
        <v>#NAME?</v>
      </c>
      <c r="AI60" s="523" t="e">
        <f ca="1">stat(calculs!AI60)</f>
        <v>#NAME?</v>
      </c>
      <c r="AJ60" s="523" t="e">
        <f ca="1">stat(calculs!AJ60)</f>
        <v>#NAME?</v>
      </c>
      <c r="AK60" s="523" t="e">
        <f ca="1">stat(calculs!AK60)</f>
        <v>#NAME?</v>
      </c>
      <c r="AL60" s="523" t="e">
        <f ca="1">stat(calculs!AL60)</f>
        <v>#NAME?</v>
      </c>
      <c r="AM60" s="523" t="e">
        <f ca="1">stat(calculs!AM60)</f>
        <v>#NAME?</v>
      </c>
      <c r="AN60" s="523" t="e">
        <f ca="1">stat(calculs!AN60)</f>
        <v>#NAME?</v>
      </c>
      <c r="AO60" s="523" t="e">
        <f ca="1">stat(calculs!AO60)</f>
        <v>#NAME?</v>
      </c>
      <c r="AP60" s="523" t="e">
        <f ca="1">stat(calculs!AP60)</f>
        <v>#NAME?</v>
      </c>
      <c r="AQ60" s="523" t="e">
        <f ca="1">stat(calculs!AQ60)</f>
        <v>#NAME?</v>
      </c>
      <c r="AT60" s="517"/>
      <c r="AV60" s="525" t="e">
        <f ca="1">stat(calculs!AV60)</f>
        <v>#NAME?</v>
      </c>
      <c r="AW60" s="525" t="e">
        <f ca="1">stat(calculs!AW60)</f>
        <v>#NAME?</v>
      </c>
      <c r="AX60" s="525" t="e">
        <f ca="1">stat(calculs!AX60)</f>
        <v>#NAME?</v>
      </c>
      <c r="AY60" s="525" t="e">
        <f ca="1">stat(calculs!AY60)</f>
        <v>#NAME?</v>
      </c>
      <c r="AZ60" s="525" t="e">
        <f ca="1">stat(calculs!AZ60)</f>
        <v>#NAME?</v>
      </c>
      <c r="BA60" s="525" t="e">
        <f ca="1">stat(calculs!BA60)</f>
        <v>#NAME?</v>
      </c>
      <c r="BB60" s="525" t="e">
        <f ca="1">stat(calculs!BB60)</f>
        <v>#NAME?</v>
      </c>
      <c r="BC60" s="525" t="e">
        <f ca="1">stat(calculs!BC60)</f>
        <v>#NAME?</v>
      </c>
      <c r="BD60" s="525" t="e">
        <f ca="1">stat(calculs!BD60)</f>
        <v>#NAME?</v>
      </c>
      <c r="BE60" s="525" t="e">
        <f ca="1">stat(calculs!BE60)</f>
        <v>#NAME?</v>
      </c>
      <c r="BF60" s="525" t="e">
        <f ca="1">stat(calculs!BF60)</f>
        <v>#NAME?</v>
      </c>
      <c r="BG60" s="729" t="e">
        <f ca="1">stat(calculs!BG60)</f>
        <v>#NAME?</v>
      </c>
      <c r="BH60" s="729" t="e">
        <f ca="1">stat(calculs!BH60)</f>
        <v>#NAME?</v>
      </c>
      <c r="BI60" s="729" t="e">
        <f ca="1">stat(calculs!BI60)</f>
        <v>#NAME?</v>
      </c>
      <c r="BJ60" s="729" t="e">
        <f ca="1">stat(calculs!BJ60)</f>
        <v>#NAME?</v>
      </c>
      <c r="BK60" s="729" t="e">
        <f ca="1">stat(calculs!BK60)</f>
        <v>#NAME?</v>
      </c>
      <c r="BL60" s="525" t="e">
        <f ca="1">stat(calculs!BL60)</f>
        <v>#NAME?</v>
      </c>
      <c r="BM60" s="525" t="e">
        <f ca="1">stat(calculs!BM60)</f>
        <v>#NAME?</v>
      </c>
      <c r="BN60" s="525" t="e">
        <f ca="1">stat(calculs!BN60)</f>
        <v>#NAME?</v>
      </c>
      <c r="BO60" s="525" t="e">
        <f ca="1">stat(calculs!BO60)</f>
        <v>#NAME?</v>
      </c>
      <c r="BP60" s="525" t="e">
        <f ca="1">stat(calculs!BP60)</f>
        <v>#NAME?</v>
      </c>
      <c r="BQ60" s="525" t="e">
        <f ca="1">stat(calculs!BQ60)</f>
        <v>#NAME?</v>
      </c>
      <c r="BR60" s="525" t="e">
        <f ca="1">stat(calculs!BR60)</f>
        <v>#NAME?</v>
      </c>
    </row>
    <row r="61" spans="1:70" x14ac:dyDescent="0.2">
      <c r="A61" s="222">
        <f>données_step[[#This Row],[Datum]]</f>
        <v>44612</v>
      </c>
      <c r="B61" s="223"/>
      <c r="C61" s="224">
        <f t="shared" si="0"/>
        <v>1</v>
      </c>
      <c r="D61" s="523" t="e">
        <f ca="1">stat(charge_entree[[#This Row],[ch_E_DBO5]])</f>
        <v>#NAME?</v>
      </c>
      <c r="E61" s="523" t="e">
        <f ca="1">stat(charge_entree[[#This Row],[ch_E_DCO]])</f>
        <v>#NAME?</v>
      </c>
      <c r="F61" s="523" t="e">
        <f ca="1">stat(charge_entree[[#This Row],[ch_E_COT]])</f>
        <v>#NAME?</v>
      </c>
      <c r="G61" s="523" t="e">
        <f ca="1">stat(charge_entree[[#This Row],[ch_E_NH4]])</f>
        <v>#NAME?</v>
      </c>
      <c r="H61" s="523" t="e">
        <f ca="1">stat(charge_entree[[#This Row],[ch_E_NTOT]])</f>
        <v>#NAME?</v>
      </c>
      <c r="I61" s="523" t="e">
        <f ca="1">stat(charge_entree[[#This Row],[ch_E_PTOT]])</f>
        <v>#NAME?</v>
      </c>
      <c r="J61" s="523" t="e">
        <f ca="1">stat(charge_entree[[#This Row],[ch_S_DBO]])</f>
        <v>#NAME?</v>
      </c>
      <c r="K61" s="523" t="e">
        <f ca="1">stat(charge_entree[[#This Row],[ch_S-DCO]])</f>
        <v>#NAME?</v>
      </c>
      <c r="L61" s="523" t="e">
        <f ca="1">stat(charge_entree[[#This Row],[ch_S_DOC]])</f>
        <v>#NAME?</v>
      </c>
      <c r="M61" s="523" t="e">
        <f ca="1">stat(charge_entree[[#This Row],[ch_S_NH4]])</f>
        <v>#NAME?</v>
      </c>
      <c r="N61" s="523" t="e">
        <f ca="1">stat(charge_entree[[#This Row],[ch_S_NO2]])</f>
        <v>#NAME?</v>
      </c>
      <c r="O61" s="523" t="e">
        <f ca="1">stat(charge_entree[[#This Row],[ch_S_NO3]])</f>
        <v>#NAME?</v>
      </c>
      <c r="P61" s="523" t="e">
        <f ca="1">stat(charge_entree[[#This Row],[ch_S_PTOT]])</f>
        <v>#NAME?</v>
      </c>
      <c r="Q61" s="523" t="e">
        <f ca="1">stat(charge_entree[[#This Row],[ch_S_SNDT]])</f>
        <v>#NAME?</v>
      </c>
      <c r="R61" s="523">
        <f>calculs!R61</f>
        <v>0</v>
      </c>
      <c r="S61" s="523" t="e">
        <f ca="1">stat(calculs!S61)</f>
        <v>#NAME?</v>
      </c>
      <c r="T61" s="523" t="e">
        <f ca="1">stat(calculs!T61)</f>
        <v>#NAME?</v>
      </c>
      <c r="U61" s="523" t="e">
        <f ca="1">stat(calculs!U61)</f>
        <v>#NAME?</v>
      </c>
      <c r="V61" s="523" t="e">
        <f ca="1">stat(calculs!V61)</f>
        <v>#NAME?</v>
      </c>
      <c r="W61" s="523" t="e">
        <f ca="1">stat(calculs!W61)</f>
        <v>#NAME?</v>
      </c>
      <c r="X61" s="523" t="e">
        <f ca="1">stat(calculs!X61)</f>
        <v>#NAME?</v>
      </c>
      <c r="Y61" s="523" t="e">
        <f ca="1">stat(calculs!Y61)</f>
        <v>#NAME?</v>
      </c>
      <c r="Z61" s="523" t="e">
        <f ca="1">stat(calculs!Z61)</f>
        <v>#NAME?</v>
      </c>
      <c r="AA61" s="523" t="e">
        <f ca="1">stat(calculs!AA61)</f>
        <v>#NAME?</v>
      </c>
      <c r="AB61" s="523" t="e">
        <f ca="1">stat(calculs!AB61)</f>
        <v>#NAME?</v>
      </c>
      <c r="AC61" s="523" t="e">
        <f ca="1">stat(calculs!AC61)</f>
        <v>#NAME?</v>
      </c>
      <c r="AD61" s="523" t="e">
        <f ca="1">stat(calculs!AD61)</f>
        <v>#NAME?</v>
      </c>
      <c r="AE61" s="523" t="e">
        <f ca="1">stat(calculs!AE61)</f>
        <v>#NAME?</v>
      </c>
      <c r="AF61" s="523" t="e">
        <f ca="1">stat(calculs!AF61)</f>
        <v>#NAME?</v>
      </c>
      <c r="AG61" s="523" t="e">
        <f ca="1">stat(calculs!AG61)</f>
        <v>#NAME?</v>
      </c>
      <c r="AH61" s="523" t="e">
        <f ca="1">stat(calculs!AH61)</f>
        <v>#NAME?</v>
      </c>
      <c r="AI61" s="523" t="e">
        <f ca="1">stat(calculs!AI61)</f>
        <v>#NAME?</v>
      </c>
      <c r="AJ61" s="523" t="e">
        <f ca="1">stat(calculs!AJ61)</f>
        <v>#NAME?</v>
      </c>
      <c r="AK61" s="523" t="e">
        <f ca="1">stat(calculs!AK61)</f>
        <v>#NAME?</v>
      </c>
      <c r="AL61" s="523" t="e">
        <f ca="1">stat(calculs!AL61)</f>
        <v>#NAME?</v>
      </c>
      <c r="AM61" s="523" t="e">
        <f ca="1">stat(calculs!AM61)</f>
        <v>#NAME?</v>
      </c>
      <c r="AN61" s="523" t="e">
        <f ca="1">stat(calculs!AN61)</f>
        <v>#NAME?</v>
      </c>
      <c r="AO61" s="523" t="e">
        <f ca="1">stat(calculs!AO61)</f>
        <v>#NAME?</v>
      </c>
      <c r="AP61" s="523" t="e">
        <f ca="1">stat(calculs!AP61)</f>
        <v>#NAME?</v>
      </c>
      <c r="AQ61" s="523" t="e">
        <f ca="1">stat(calculs!AQ61)</f>
        <v>#NAME?</v>
      </c>
      <c r="AT61" s="517"/>
      <c r="AV61" s="525" t="e">
        <f ca="1">stat(calculs!AV61)</f>
        <v>#NAME?</v>
      </c>
      <c r="AW61" s="525" t="e">
        <f ca="1">stat(calculs!AW61)</f>
        <v>#NAME?</v>
      </c>
      <c r="AX61" s="525" t="e">
        <f ca="1">stat(calculs!AX61)</f>
        <v>#NAME?</v>
      </c>
      <c r="AY61" s="525" t="e">
        <f ca="1">stat(calculs!AY61)</f>
        <v>#NAME?</v>
      </c>
      <c r="AZ61" s="525" t="e">
        <f ca="1">stat(calculs!AZ61)</f>
        <v>#NAME?</v>
      </c>
      <c r="BA61" s="525" t="e">
        <f ca="1">stat(calculs!BA61)</f>
        <v>#NAME?</v>
      </c>
      <c r="BB61" s="525" t="e">
        <f ca="1">stat(calculs!BB61)</f>
        <v>#NAME?</v>
      </c>
      <c r="BC61" s="525" t="e">
        <f ca="1">stat(calculs!BC61)</f>
        <v>#NAME?</v>
      </c>
      <c r="BD61" s="525" t="e">
        <f ca="1">stat(calculs!BD61)</f>
        <v>#NAME?</v>
      </c>
      <c r="BE61" s="525" t="e">
        <f ca="1">stat(calculs!BE61)</f>
        <v>#NAME?</v>
      </c>
      <c r="BF61" s="525" t="e">
        <f ca="1">stat(calculs!BF61)</f>
        <v>#NAME?</v>
      </c>
      <c r="BG61" s="729" t="e">
        <f ca="1">stat(calculs!BG61)</f>
        <v>#NAME?</v>
      </c>
      <c r="BH61" s="729" t="e">
        <f ca="1">stat(calculs!BH61)</f>
        <v>#NAME?</v>
      </c>
      <c r="BI61" s="729" t="e">
        <f ca="1">stat(calculs!BI61)</f>
        <v>#NAME?</v>
      </c>
      <c r="BJ61" s="729" t="e">
        <f ca="1">stat(calculs!BJ61)</f>
        <v>#NAME?</v>
      </c>
      <c r="BK61" s="729" t="e">
        <f ca="1">stat(calculs!BK61)</f>
        <v>#NAME?</v>
      </c>
      <c r="BL61" s="525" t="e">
        <f ca="1">stat(calculs!BL61)</f>
        <v>#NAME?</v>
      </c>
      <c r="BM61" s="525" t="e">
        <f ca="1">stat(calculs!BM61)</f>
        <v>#NAME?</v>
      </c>
      <c r="BN61" s="525" t="e">
        <f ca="1">stat(calculs!BN61)</f>
        <v>#NAME?</v>
      </c>
      <c r="BO61" s="525" t="e">
        <f ca="1">stat(calculs!BO61)</f>
        <v>#NAME?</v>
      </c>
      <c r="BP61" s="525" t="e">
        <f ca="1">stat(calculs!BP61)</f>
        <v>#NAME?</v>
      </c>
      <c r="BQ61" s="525" t="e">
        <f ca="1">stat(calculs!BQ61)</f>
        <v>#NAME?</v>
      </c>
      <c r="BR61" s="525" t="e">
        <f ca="1">stat(calculs!BR61)</f>
        <v>#NAME?</v>
      </c>
    </row>
    <row r="62" spans="1:70" x14ac:dyDescent="0.2">
      <c r="A62" s="222">
        <f>données_step[[#This Row],[Datum]]</f>
        <v>44613</v>
      </c>
      <c r="B62" s="223"/>
      <c r="C62" s="224">
        <f t="shared" si="0"/>
        <v>2</v>
      </c>
      <c r="D62" s="523" t="e">
        <f ca="1">stat(charge_entree[[#This Row],[ch_E_DBO5]])</f>
        <v>#NAME?</v>
      </c>
      <c r="E62" s="523" t="e">
        <f ca="1">stat(charge_entree[[#This Row],[ch_E_DCO]])</f>
        <v>#NAME?</v>
      </c>
      <c r="F62" s="523" t="e">
        <f ca="1">stat(charge_entree[[#This Row],[ch_E_COT]])</f>
        <v>#NAME?</v>
      </c>
      <c r="G62" s="523" t="e">
        <f ca="1">stat(charge_entree[[#This Row],[ch_E_NH4]])</f>
        <v>#NAME?</v>
      </c>
      <c r="H62" s="523" t="e">
        <f ca="1">stat(charge_entree[[#This Row],[ch_E_NTOT]])</f>
        <v>#NAME?</v>
      </c>
      <c r="I62" s="523" t="e">
        <f ca="1">stat(charge_entree[[#This Row],[ch_E_PTOT]])</f>
        <v>#NAME?</v>
      </c>
      <c r="J62" s="523" t="e">
        <f ca="1">stat(charge_entree[[#This Row],[ch_S_DBO]])</f>
        <v>#NAME?</v>
      </c>
      <c r="K62" s="523" t="e">
        <f ca="1">stat(charge_entree[[#This Row],[ch_S-DCO]])</f>
        <v>#NAME?</v>
      </c>
      <c r="L62" s="523" t="e">
        <f ca="1">stat(charge_entree[[#This Row],[ch_S_DOC]])</f>
        <v>#NAME?</v>
      </c>
      <c r="M62" s="523" t="e">
        <f ca="1">stat(charge_entree[[#This Row],[ch_S_NH4]])</f>
        <v>#NAME?</v>
      </c>
      <c r="N62" s="523" t="e">
        <f ca="1">stat(charge_entree[[#This Row],[ch_S_NO2]])</f>
        <v>#NAME?</v>
      </c>
      <c r="O62" s="523" t="e">
        <f ca="1">stat(charge_entree[[#This Row],[ch_S_NO3]])</f>
        <v>#NAME?</v>
      </c>
      <c r="P62" s="523" t="e">
        <f ca="1">stat(charge_entree[[#This Row],[ch_S_PTOT]])</f>
        <v>#NAME?</v>
      </c>
      <c r="Q62" s="523" t="e">
        <f ca="1">stat(charge_entree[[#This Row],[ch_S_SNDT]])</f>
        <v>#NAME?</v>
      </c>
      <c r="R62" s="523">
        <f>calculs!R62</f>
        <v>0</v>
      </c>
      <c r="S62" s="523" t="e">
        <f ca="1">stat(calculs!S62)</f>
        <v>#NAME?</v>
      </c>
      <c r="T62" s="523" t="e">
        <f ca="1">stat(calculs!T62)</f>
        <v>#NAME?</v>
      </c>
      <c r="U62" s="523" t="e">
        <f ca="1">stat(calculs!U62)</f>
        <v>#NAME?</v>
      </c>
      <c r="V62" s="523" t="e">
        <f ca="1">stat(calculs!V62)</f>
        <v>#NAME?</v>
      </c>
      <c r="W62" s="523" t="e">
        <f ca="1">stat(calculs!W62)</f>
        <v>#NAME?</v>
      </c>
      <c r="X62" s="523" t="e">
        <f ca="1">stat(calculs!X62)</f>
        <v>#NAME?</v>
      </c>
      <c r="Y62" s="523" t="e">
        <f ca="1">stat(calculs!Y62)</f>
        <v>#NAME?</v>
      </c>
      <c r="Z62" s="523" t="e">
        <f ca="1">stat(calculs!Z62)</f>
        <v>#NAME?</v>
      </c>
      <c r="AA62" s="523" t="e">
        <f ca="1">stat(calculs!AA62)</f>
        <v>#NAME?</v>
      </c>
      <c r="AB62" s="523" t="e">
        <f ca="1">stat(calculs!AB62)</f>
        <v>#NAME?</v>
      </c>
      <c r="AC62" s="523" t="e">
        <f ca="1">stat(calculs!AC62)</f>
        <v>#NAME?</v>
      </c>
      <c r="AD62" s="523" t="e">
        <f ca="1">stat(calculs!AD62)</f>
        <v>#NAME?</v>
      </c>
      <c r="AE62" s="523" t="e">
        <f ca="1">stat(calculs!AE62)</f>
        <v>#NAME?</v>
      </c>
      <c r="AF62" s="523" t="e">
        <f ca="1">stat(calculs!AF62)</f>
        <v>#NAME?</v>
      </c>
      <c r="AG62" s="523" t="e">
        <f ca="1">stat(calculs!AG62)</f>
        <v>#NAME?</v>
      </c>
      <c r="AH62" s="523" t="e">
        <f ca="1">stat(calculs!AH62)</f>
        <v>#NAME?</v>
      </c>
      <c r="AI62" s="523" t="e">
        <f ca="1">stat(calculs!AI62)</f>
        <v>#NAME?</v>
      </c>
      <c r="AJ62" s="523" t="e">
        <f ca="1">stat(calculs!AJ62)</f>
        <v>#NAME?</v>
      </c>
      <c r="AK62" s="523" t="e">
        <f ca="1">stat(calculs!AK62)</f>
        <v>#NAME?</v>
      </c>
      <c r="AL62" s="523" t="e">
        <f ca="1">stat(calculs!AL62)</f>
        <v>#NAME?</v>
      </c>
      <c r="AM62" s="523" t="e">
        <f ca="1">stat(calculs!AM62)</f>
        <v>#NAME?</v>
      </c>
      <c r="AN62" s="523" t="e">
        <f ca="1">stat(calculs!AN62)</f>
        <v>#NAME?</v>
      </c>
      <c r="AO62" s="523" t="e">
        <f ca="1">stat(calculs!AO62)</f>
        <v>#NAME?</v>
      </c>
      <c r="AP62" s="523" t="e">
        <f ca="1">stat(calculs!AP62)</f>
        <v>#NAME?</v>
      </c>
      <c r="AQ62" s="523" t="e">
        <f ca="1">stat(calculs!AQ62)</f>
        <v>#NAME?</v>
      </c>
      <c r="AT62" s="517"/>
      <c r="AV62" s="525" t="e">
        <f ca="1">stat(calculs!AV62)</f>
        <v>#NAME?</v>
      </c>
      <c r="AW62" s="525" t="e">
        <f ca="1">stat(calculs!AW62)</f>
        <v>#NAME?</v>
      </c>
      <c r="AX62" s="525" t="e">
        <f ca="1">stat(calculs!AX62)</f>
        <v>#NAME?</v>
      </c>
      <c r="AY62" s="525" t="e">
        <f ca="1">stat(calculs!AY62)</f>
        <v>#NAME?</v>
      </c>
      <c r="AZ62" s="525" t="e">
        <f ca="1">stat(calculs!AZ62)</f>
        <v>#NAME?</v>
      </c>
      <c r="BA62" s="525" t="e">
        <f ca="1">stat(calculs!BA62)</f>
        <v>#NAME?</v>
      </c>
      <c r="BB62" s="525" t="e">
        <f ca="1">stat(calculs!BB62)</f>
        <v>#NAME?</v>
      </c>
      <c r="BC62" s="525" t="e">
        <f ca="1">stat(calculs!BC62)</f>
        <v>#NAME?</v>
      </c>
      <c r="BD62" s="525" t="e">
        <f ca="1">stat(calculs!BD62)</f>
        <v>#NAME?</v>
      </c>
      <c r="BE62" s="525" t="e">
        <f ca="1">stat(calculs!BE62)</f>
        <v>#NAME?</v>
      </c>
      <c r="BF62" s="525" t="e">
        <f ca="1">stat(calculs!BF62)</f>
        <v>#NAME?</v>
      </c>
      <c r="BG62" s="729" t="e">
        <f ca="1">stat(calculs!BG62)</f>
        <v>#NAME?</v>
      </c>
      <c r="BH62" s="729" t="e">
        <f ca="1">stat(calculs!BH62)</f>
        <v>#NAME?</v>
      </c>
      <c r="BI62" s="729" t="e">
        <f ca="1">stat(calculs!BI62)</f>
        <v>#NAME?</v>
      </c>
      <c r="BJ62" s="729" t="e">
        <f ca="1">stat(calculs!BJ62)</f>
        <v>#NAME?</v>
      </c>
      <c r="BK62" s="729" t="e">
        <f ca="1">stat(calculs!BK62)</f>
        <v>#NAME?</v>
      </c>
      <c r="BL62" s="525" t="e">
        <f ca="1">stat(calculs!BL62)</f>
        <v>#NAME?</v>
      </c>
      <c r="BM62" s="525" t="e">
        <f ca="1">stat(calculs!BM62)</f>
        <v>#NAME?</v>
      </c>
      <c r="BN62" s="525" t="e">
        <f ca="1">stat(calculs!BN62)</f>
        <v>#NAME?</v>
      </c>
      <c r="BO62" s="525" t="e">
        <f ca="1">stat(calculs!BO62)</f>
        <v>#NAME?</v>
      </c>
      <c r="BP62" s="525" t="e">
        <f ca="1">stat(calculs!BP62)</f>
        <v>#NAME?</v>
      </c>
      <c r="BQ62" s="525" t="e">
        <f ca="1">stat(calculs!BQ62)</f>
        <v>#NAME?</v>
      </c>
      <c r="BR62" s="525" t="e">
        <f ca="1">stat(calculs!BR62)</f>
        <v>#NAME?</v>
      </c>
    </row>
    <row r="63" spans="1:70" x14ac:dyDescent="0.2">
      <c r="A63" s="222">
        <f>données_step[[#This Row],[Datum]]</f>
        <v>44614</v>
      </c>
      <c r="B63" s="223"/>
      <c r="C63" s="224">
        <f t="shared" si="0"/>
        <v>3</v>
      </c>
      <c r="D63" s="523" t="e">
        <f ca="1">stat(charge_entree[[#This Row],[ch_E_DBO5]])</f>
        <v>#NAME?</v>
      </c>
      <c r="E63" s="523" t="e">
        <f ca="1">stat(charge_entree[[#This Row],[ch_E_DCO]])</f>
        <v>#NAME?</v>
      </c>
      <c r="F63" s="523" t="e">
        <f ca="1">stat(charge_entree[[#This Row],[ch_E_COT]])</f>
        <v>#NAME?</v>
      </c>
      <c r="G63" s="523" t="e">
        <f ca="1">stat(charge_entree[[#This Row],[ch_E_NH4]])</f>
        <v>#NAME?</v>
      </c>
      <c r="H63" s="523" t="e">
        <f ca="1">stat(charge_entree[[#This Row],[ch_E_NTOT]])</f>
        <v>#NAME?</v>
      </c>
      <c r="I63" s="523" t="e">
        <f ca="1">stat(charge_entree[[#This Row],[ch_E_PTOT]])</f>
        <v>#NAME?</v>
      </c>
      <c r="J63" s="523" t="e">
        <f ca="1">stat(charge_entree[[#This Row],[ch_S_DBO]])</f>
        <v>#NAME?</v>
      </c>
      <c r="K63" s="523" t="e">
        <f ca="1">stat(charge_entree[[#This Row],[ch_S-DCO]])</f>
        <v>#NAME?</v>
      </c>
      <c r="L63" s="523" t="e">
        <f ca="1">stat(charge_entree[[#This Row],[ch_S_DOC]])</f>
        <v>#NAME?</v>
      </c>
      <c r="M63" s="523" t="e">
        <f ca="1">stat(charge_entree[[#This Row],[ch_S_NH4]])</f>
        <v>#NAME?</v>
      </c>
      <c r="N63" s="523" t="e">
        <f ca="1">stat(charge_entree[[#This Row],[ch_S_NO2]])</f>
        <v>#NAME?</v>
      </c>
      <c r="O63" s="523" t="e">
        <f ca="1">stat(charge_entree[[#This Row],[ch_S_NO3]])</f>
        <v>#NAME?</v>
      </c>
      <c r="P63" s="523" t="e">
        <f ca="1">stat(charge_entree[[#This Row],[ch_S_PTOT]])</f>
        <v>#NAME?</v>
      </c>
      <c r="Q63" s="523" t="e">
        <f ca="1">stat(charge_entree[[#This Row],[ch_S_SNDT]])</f>
        <v>#NAME?</v>
      </c>
      <c r="R63" s="523">
        <f>calculs!R63</f>
        <v>0</v>
      </c>
      <c r="S63" s="523" t="e">
        <f ca="1">stat(calculs!S63)</f>
        <v>#NAME?</v>
      </c>
      <c r="T63" s="523" t="e">
        <f ca="1">stat(calculs!T63)</f>
        <v>#NAME?</v>
      </c>
      <c r="U63" s="523" t="e">
        <f ca="1">stat(calculs!U63)</f>
        <v>#NAME?</v>
      </c>
      <c r="V63" s="523" t="e">
        <f ca="1">stat(calculs!V63)</f>
        <v>#NAME?</v>
      </c>
      <c r="W63" s="523" t="e">
        <f ca="1">stat(calculs!W63)</f>
        <v>#NAME?</v>
      </c>
      <c r="X63" s="523" t="e">
        <f ca="1">stat(calculs!X63)</f>
        <v>#NAME?</v>
      </c>
      <c r="Y63" s="523" t="e">
        <f ca="1">stat(calculs!Y63)</f>
        <v>#NAME?</v>
      </c>
      <c r="Z63" s="523" t="e">
        <f ca="1">stat(calculs!Z63)</f>
        <v>#NAME?</v>
      </c>
      <c r="AA63" s="523" t="e">
        <f ca="1">stat(calculs!AA63)</f>
        <v>#NAME?</v>
      </c>
      <c r="AB63" s="523" t="e">
        <f ca="1">stat(calculs!AB63)</f>
        <v>#NAME?</v>
      </c>
      <c r="AC63" s="523" t="e">
        <f ca="1">stat(calculs!AC63)</f>
        <v>#NAME?</v>
      </c>
      <c r="AD63" s="523" t="e">
        <f ca="1">stat(calculs!AD63)</f>
        <v>#NAME?</v>
      </c>
      <c r="AE63" s="523" t="e">
        <f ca="1">stat(calculs!AE63)</f>
        <v>#NAME?</v>
      </c>
      <c r="AF63" s="523" t="e">
        <f ca="1">stat(calculs!AF63)</f>
        <v>#NAME?</v>
      </c>
      <c r="AG63" s="523" t="e">
        <f ca="1">stat(calculs!AG63)</f>
        <v>#NAME?</v>
      </c>
      <c r="AH63" s="523" t="e">
        <f ca="1">stat(calculs!AH63)</f>
        <v>#NAME?</v>
      </c>
      <c r="AI63" s="523" t="e">
        <f ca="1">stat(calculs!AI63)</f>
        <v>#NAME?</v>
      </c>
      <c r="AJ63" s="523" t="e">
        <f ca="1">stat(calculs!AJ63)</f>
        <v>#NAME?</v>
      </c>
      <c r="AK63" s="523" t="e">
        <f ca="1">stat(calculs!AK63)</f>
        <v>#NAME?</v>
      </c>
      <c r="AL63" s="523" t="e">
        <f ca="1">stat(calculs!AL63)</f>
        <v>#NAME?</v>
      </c>
      <c r="AM63" s="523" t="e">
        <f ca="1">stat(calculs!AM63)</f>
        <v>#NAME?</v>
      </c>
      <c r="AN63" s="523" t="e">
        <f ca="1">stat(calculs!AN63)</f>
        <v>#NAME?</v>
      </c>
      <c r="AO63" s="523" t="e">
        <f ca="1">stat(calculs!AO63)</f>
        <v>#NAME?</v>
      </c>
      <c r="AP63" s="523" t="e">
        <f ca="1">stat(calculs!AP63)</f>
        <v>#NAME?</v>
      </c>
      <c r="AQ63" s="523" t="e">
        <f ca="1">stat(calculs!AQ63)</f>
        <v>#NAME?</v>
      </c>
      <c r="AT63" s="517"/>
      <c r="AV63" s="525" t="e">
        <f ca="1">stat(calculs!AV63)</f>
        <v>#NAME?</v>
      </c>
      <c r="AW63" s="525" t="e">
        <f ca="1">stat(calculs!AW63)</f>
        <v>#NAME?</v>
      </c>
      <c r="AX63" s="525" t="e">
        <f ca="1">stat(calculs!AX63)</f>
        <v>#NAME?</v>
      </c>
      <c r="AY63" s="525" t="e">
        <f ca="1">stat(calculs!AY63)</f>
        <v>#NAME?</v>
      </c>
      <c r="AZ63" s="525" t="e">
        <f ca="1">stat(calculs!AZ63)</f>
        <v>#NAME?</v>
      </c>
      <c r="BA63" s="525" t="e">
        <f ca="1">stat(calculs!BA63)</f>
        <v>#NAME?</v>
      </c>
      <c r="BB63" s="525" t="e">
        <f ca="1">stat(calculs!BB63)</f>
        <v>#NAME?</v>
      </c>
      <c r="BC63" s="525" t="e">
        <f ca="1">stat(calculs!BC63)</f>
        <v>#NAME?</v>
      </c>
      <c r="BD63" s="525" t="e">
        <f ca="1">stat(calculs!BD63)</f>
        <v>#NAME?</v>
      </c>
      <c r="BE63" s="525" t="e">
        <f ca="1">stat(calculs!BE63)</f>
        <v>#NAME?</v>
      </c>
      <c r="BF63" s="525" t="e">
        <f ca="1">stat(calculs!BF63)</f>
        <v>#NAME?</v>
      </c>
      <c r="BG63" s="729" t="e">
        <f ca="1">stat(calculs!BG63)</f>
        <v>#NAME?</v>
      </c>
      <c r="BH63" s="729" t="e">
        <f ca="1">stat(calculs!BH63)</f>
        <v>#NAME?</v>
      </c>
      <c r="BI63" s="729" t="e">
        <f ca="1">stat(calculs!BI63)</f>
        <v>#NAME?</v>
      </c>
      <c r="BJ63" s="729" t="e">
        <f ca="1">stat(calculs!BJ63)</f>
        <v>#NAME?</v>
      </c>
      <c r="BK63" s="729" t="e">
        <f ca="1">stat(calculs!BK63)</f>
        <v>#NAME?</v>
      </c>
      <c r="BL63" s="525" t="e">
        <f ca="1">stat(calculs!BL63)</f>
        <v>#NAME?</v>
      </c>
      <c r="BM63" s="525" t="e">
        <f ca="1">stat(calculs!BM63)</f>
        <v>#NAME?</v>
      </c>
      <c r="BN63" s="525" t="e">
        <f ca="1">stat(calculs!BN63)</f>
        <v>#NAME?</v>
      </c>
      <c r="BO63" s="525" t="e">
        <f ca="1">stat(calculs!BO63)</f>
        <v>#NAME?</v>
      </c>
      <c r="BP63" s="525" t="e">
        <f ca="1">stat(calculs!BP63)</f>
        <v>#NAME?</v>
      </c>
      <c r="BQ63" s="525" t="e">
        <f ca="1">stat(calculs!BQ63)</f>
        <v>#NAME?</v>
      </c>
      <c r="BR63" s="525" t="e">
        <f ca="1">stat(calculs!BR63)</f>
        <v>#NAME?</v>
      </c>
    </row>
    <row r="64" spans="1:70" x14ac:dyDescent="0.2">
      <c r="A64" s="222">
        <f>données_step[[#This Row],[Datum]]</f>
        <v>44615</v>
      </c>
      <c r="B64" s="223"/>
      <c r="C64" s="224">
        <f t="shared" si="0"/>
        <v>4</v>
      </c>
      <c r="D64" s="523" t="e">
        <f ca="1">stat(charge_entree[[#This Row],[ch_E_DBO5]])</f>
        <v>#NAME?</v>
      </c>
      <c r="E64" s="523" t="e">
        <f ca="1">stat(charge_entree[[#This Row],[ch_E_DCO]])</f>
        <v>#NAME?</v>
      </c>
      <c r="F64" s="523" t="e">
        <f ca="1">stat(charge_entree[[#This Row],[ch_E_COT]])</f>
        <v>#NAME?</v>
      </c>
      <c r="G64" s="523" t="e">
        <f ca="1">stat(charge_entree[[#This Row],[ch_E_NH4]])</f>
        <v>#NAME?</v>
      </c>
      <c r="H64" s="523" t="e">
        <f ca="1">stat(charge_entree[[#This Row],[ch_E_NTOT]])</f>
        <v>#NAME?</v>
      </c>
      <c r="I64" s="523" t="e">
        <f ca="1">stat(charge_entree[[#This Row],[ch_E_PTOT]])</f>
        <v>#NAME?</v>
      </c>
      <c r="J64" s="523" t="e">
        <f ca="1">stat(charge_entree[[#This Row],[ch_S_DBO]])</f>
        <v>#NAME?</v>
      </c>
      <c r="K64" s="523" t="e">
        <f ca="1">stat(charge_entree[[#This Row],[ch_S-DCO]])</f>
        <v>#NAME?</v>
      </c>
      <c r="L64" s="523" t="e">
        <f ca="1">stat(charge_entree[[#This Row],[ch_S_DOC]])</f>
        <v>#NAME?</v>
      </c>
      <c r="M64" s="523" t="e">
        <f ca="1">stat(charge_entree[[#This Row],[ch_S_NH4]])</f>
        <v>#NAME?</v>
      </c>
      <c r="N64" s="523" t="e">
        <f ca="1">stat(charge_entree[[#This Row],[ch_S_NO2]])</f>
        <v>#NAME?</v>
      </c>
      <c r="O64" s="523" t="e">
        <f ca="1">stat(charge_entree[[#This Row],[ch_S_NO3]])</f>
        <v>#NAME?</v>
      </c>
      <c r="P64" s="523" t="e">
        <f ca="1">stat(charge_entree[[#This Row],[ch_S_PTOT]])</f>
        <v>#NAME?</v>
      </c>
      <c r="Q64" s="523" t="e">
        <f ca="1">stat(charge_entree[[#This Row],[ch_S_SNDT]])</f>
        <v>#NAME?</v>
      </c>
      <c r="R64" s="523">
        <f>calculs!R64</f>
        <v>0</v>
      </c>
      <c r="S64" s="523" t="e">
        <f ca="1">stat(calculs!S64)</f>
        <v>#NAME?</v>
      </c>
      <c r="T64" s="523" t="e">
        <f ca="1">stat(calculs!T64)</f>
        <v>#NAME?</v>
      </c>
      <c r="U64" s="523" t="e">
        <f ca="1">stat(calculs!U64)</f>
        <v>#NAME?</v>
      </c>
      <c r="V64" s="523" t="e">
        <f ca="1">stat(calculs!V64)</f>
        <v>#NAME?</v>
      </c>
      <c r="W64" s="523" t="e">
        <f ca="1">stat(calculs!W64)</f>
        <v>#NAME?</v>
      </c>
      <c r="X64" s="523" t="e">
        <f ca="1">stat(calculs!X64)</f>
        <v>#NAME?</v>
      </c>
      <c r="Y64" s="523" t="e">
        <f ca="1">stat(calculs!Y64)</f>
        <v>#NAME?</v>
      </c>
      <c r="Z64" s="523" t="e">
        <f ca="1">stat(calculs!Z64)</f>
        <v>#NAME?</v>
      </c>
      <c r="AA64" s="523" t="e">
        <f ca="1">stat(calculs!AA64)</f>
        <v>#NAME?</v>
      </c>
      <c r="AB64" s="523" t="e">
        <f ca="1">stat(calculs!AB64)</f>
        <v>#NAME?</v>
      </c>
      <c r="AC64" s="523" t="e">
        <f ca="1">stat(calculs!AC64)</f>
        <v>#NAME?</v>
      </c>
      <c r="AD64" s="523" t="e">
        <f ca="1">stat(calculs!AD64)</f>
        <v>#NAME?</v>
      </c>
      <c r="AE64" s="523" t="e">
        <f ca="1">stat(calculs!AE64)</f>
        <v>#NAME?</v>
      </c>
      <c r="AF64" s="523" t="e">
        <f ca="1">stat(calculs!AF64)</f>
        <v>#NAME?</v>
      </c>
      <c r="AG64" s="523" t="e">
        <f ca="1">stat(calculs!AG64)</f>
        <v>#NAME?</v>
      </c>
      <c r="AH64" s="523" t="e">
        <f ca="1">stat(calculs!AH64)</f>
        <v>#NAME?</v>
      </c>
      <c r="AI64" s="523" t="e">
        <f ca="1">stat(calculs!AI64)</f>
        <v>#NAME?</v>
      </c>
      <c r="AJ64" s="523" t="e">
        <f ca="1">stat(calculs!AJ64)</f>
        <v>#NAME?</v>
      </c>
      <c r="AK64" s="523" t="e">
        <f ca="1">stat(calculs!AK64)</f>
        <v>#NAME?</v>
      </c>
      <c r="AL64" s="523" t="e">
        <f ca="1">stat(calculs!AL64)</f>
        <v>#NAME?</v>
      </c>
      <c r="AM64" s="523" t="e">
        <f ca="1">stat(calculs!AM64)</f>
        <v>#NAME?</v>
      </c>
      <c r="AN64" s="523" t="e">
        <f ca="1">stat(calculs!AN64)</f>
        <v>#NAME?</v>
      </c>
      <c r="AO64" s="523" t="e">
        <f ca="1">stat(calculs!AO64)</f>
        <v>#NAME?</v>
      </c>
      <c r="AP64" s="523" t="e">
        <f ca="1">stat(calculs!AP64)</f>
        <v>#NAME?</v>
      </c>
      <c r="AQ64" s="523" t="e">
        <f ca="1">stat(calculs!AQ64)</f>
        <v>#NAME?</v>
      </c>
      <c r="AT64" s="517"/>
      <c r="AV64" s="525" t="e">
        <f ca="1">stat(calculs!AV64)</f>
        <v>#NAME?</v>
      </c>
      <c r="AW64" s="525" t="e">
        <f ca="1">stat(calculs!AW64)</f>
        <v>#NAME?</v>
      </c>
      <c r="AX64" s="525" t="e">
        <f ca="1">stat(calculs!AX64)</f>
        <v>#NAME?</v>
      </c>
      <c r="AY64" s="525" t="e">
        <f ca="1">stat(calculs!AY64)</f>
        <v>#NAME?</v>
      </c>
      <c r="AZ64" s="525" t="e">
        <f ca="1">stat(calculs!AZ64)</f>
        <v>#NAME?</v>
      </c>
      <c r="BA64" s="525" t="e">
        <f ca="1">stat(calculs!BA64)</f>
        <v>#NAME?</v>
      </c>
      <c r="BB64" s="525" t="e">
        <f ca="1">stat(calculs!BB64)</f>
        <v>#NAME?</v>
      </c>
      <c r="BC64" s="525" t="e">
        <f ca="1">stat(calculs!BC64)</f>
        <v>#NAME?</v>
      </c>
      <c r="BD64" s="525" t="e">
        <f ca="1">stat(calculs!BD64)</f>
        <v>#NAME?</v>
      </c>
      <c r="BE64" s="525" t="e">
        <f ca="1">stat(calculs!BE64)</f>
        <v>#NAME?</v>
      </c>
      <c r="BF64" s="525" t="e">
        <f ca="1">stat(calculs!BF64)</f>
        <v>#NAME?</v>
      </c>
      <c r="BG64" s="729" t="e">
        <f ca="1">stat(calculs!BG64)</f>
        <v>#NAME?</v>
      </c>
      <c r="BH64" s="729" t="e">
        <f ca="1">stat(calculs!BH64)</f>
        <v>#NAME?</v>
      </c>
      <c r="BI64" s="729" t="e">
        <f ca="1">stat(calculs!BI64)</f>
        <v>#NAME?</v>
      </c>
      <c r="BJ64" s="729" t="e">
        <f ca="1">stat(calculs!BJ64)</f>
        <v>#NAME?</v>
      </c>
      <c r="BK64" s="729" t="e">
        <f ca="1">stat(calculs!BK64)</f>
        <v>#NAME?</v>
      </c>
      <c r="BL64" s="525" t="e">
        <f ca="1">stat(calculs!BL64)</f>
        <v>#NAME?</v>
      </c>
      <c r="BM64" s="525" t="e">
        <f ca="1">stat(calculs!BM64)</f>
        <v>#NAME?</v>
      </c>
      <c r="BN64" s="525" t="e">
        <f ca="1">stat(calculs!BN64)</f>
        <v>#NAME?</v>
      </c>
      <c r="BO64" s="525" t="e">
        <f ca="1">stat(calculs!BO64)</f>
        <v>#NAME?</v>
      </c>
      <c r="BP64" s="525" t="e">
        <f ca="1">stat(calculs!BP64)</f>
        <v>#NAME?</v>
      </c>
      <c r="BQ64" s="525" t="e">
        <f ca="1">stat(calculs!BQ64)</f>
        <v>#NAME?</v>
      </c>
      <c r="BR64" s="525" t="e">
        <f ca="1">stat(calculs!BR64)</f>
        <v>#NAME?</v>
      </c>
    </row>
    <row r="65" spans="1:70" x14ac:dyDescent="0.2">
      <c r="A65" s="222">
        <f>données_step[[#This Row],[Datum]]</f>
        <v>44616</v>
      </c>
      <c r="B65" s="223"/>
      <c r="C65" s="224">
        <f t="shared" si="0"/>
        <v>5</v>
      </c>
      <c r="D65" s="523" t="e">
        <f ca="1">stat(charge_entree[[#This Row],[ch_E_DBO5]])</f>
        <v>#NAME?</v>
      </c>
      <c r="E65" s="523" t="e">
        <f ca="1">stat(charge_entree[[#This Row],[ch_E_DCO]])</f>
        <v>#NAME?</v>
      </c>
      <c r="F65" s="523" t="e">
        <f ca="1">stat(charge_entree[[#This Row],[ch_E_COT]])</f>
        <v>#NAME?</v>
      </c>
      <c r="G65" s="523" t="e">
        <f ca="1">stat(charge_entree[[#This Row],[ch_E_NH4]])</f>
        <v>#NAME?</v>
      </c>
      <c r="H65" s="523" t="e">
        <f ca="1">stat(charge_entree[[#This Row],[ch_E_NTOT]])</f>
        <v>#NAME?</v>
      </c>
      <c r="I65" s="523" t="e">
        <f ca="1">stat(charge_entree[[#This Row],[ch_E_PTOT]])</f>
        <v>#NAME?</v>
      </c>
      <c r="J65" s="523" t="e">
        <f ca="1">stat(charge_entree[[#This Row],[ch_S_DBO]])</f>
        <v>#NAME?</v>
      </c>
      <c r="K65" s="523" t="e">
        <f ca="1">stat(charge_entree[[#This Row],[ch_S-DCO]])</f>
        <v>#NAME?</v>
      </c>
      <c r="L65" s="523" t="e">
        <f ca="1">stat(charge_entree[[#This Row],[ch_S_DOC]])</f>
        <v>#NAME?</v>
      </c>
      <c r="M65" s="523" t="e">
        <f ca="1">stat(charge_entree[[#This Row],[ch_S_NH4]])</f>
        <v>#NAME?</v>
      </c>
      <c r="N65" s="523" t="e">
        <f ca="1">stat(charge_entree[[#This Row],[ch_S_NO2]])</f>
        <v>#NAME?</v>
      </c>
      <c r="O65" s="523" t="e">
        <f ca="1">stat(charge_entree[[#This Row],[ch_S_NO3]])</f>
        <v>#NAME?</v>
      </c>
      <c r="P65" s="523" t="e">
        <f ca="1">stat(charge_entree[[#This Row],[ch_S_PTOT]])</f>
        <v>#NAME?</v>
      </c>
      <c r="Q65" s="523" t="e">
        <f ca="1">stat(charge_entree[[#This Row],[ch_S_SNDT]])</f>
        <v>#NAME?</v>
      </c>
      <c r="R65" s="523">
        <f>calculs!R65</f>
        <v>0</v>
      </c>
      <c r="S65" s="523" t="e">
        <f ca="1">stat(calculs!S65)</f>
        <v>#NAME?</v>
      </c>
      <c r="T65" s="523" t="e">
        <f ca="1">stat(calculs!T65)</f>
        <v>#NAME?</v>
      </c>
      <c r="U65" s="523" t="e">
        <f ca="1">stat(calculs!U65)</f>
        <v>#NAME?</v>
      </c>
      <c r="V65" s="523" t="e">
        <f ca="1">stat(calculs!V65)</f>
        <v>#NAME?</v>
      </c>
      <c r="W65" s="523" t="e">
        <f ca="1">stat(calculs!W65)</f>
        <v>#NAME?</v>
      </c>
      <c r="X65" s="523" t="e">
        <f ca="1">stat(calculs!X65)</f>
        <v>#NAME?</v>
      </c>
      <c r="Y65" s="523" t="e">
        <f ca="1">stat(calculs!Y65)</f>
        <v>#NAME?</v>
      </c>
      <c r="Z65" s="523" t="e">
        <f ca="1">stat(calculs!Z65)</f>
        <v>#NAME?</v>
      </c>
      <c r="AA65" s="523" t="e">
        <f ca="1">stat(calculs!AA65)</f>
        <v>#NAME?</v>
      </c>
      <c r="AB65" s="523" t="e">
        <f ca="1">stat(calculs!AB65)</f>
        <v>#NAME?</v>
      </c>
      <c r="AC65" s="523" t="e">
        <f ca="1">stat(calculs!AC65)</f>
        <v>#NAME?</v>
      </c>
      <c r="AD65" s="523" t="e">
        <f ca="1">stat(calculs!AD65)</f>
        <v>#NAME?</v>
      </c>
      <c r="AE65" s="523" t="e">
        <f ca="1">stat(calculs!AE65)</f>
        <v>#NAME?</v>
      </c>
      <c r="AF65" s="523" t="e">
        <f ca="1">stat(calculs!AF65)</f>
        <v>#NAME?</v>
      </c>
      <c r="AG65" s="523" t="e">
        <f ca="1">stat(calculs!AG65)</f>
        <v>#NAME?</v>
      </c>
      <c r="AH65" s="523" t="e">
        <f ca="1">stat(calculs!AH65)</f>
        <v>#NAME?</v>
      </c>
      <c r="AI65" s="523" t="e">
        <f ca="1">stat(calculs!AI65)</f>
        <v>#NAME?</v>
      </c>
      <c r="AJ65" s="523" t="e">
        <f ca="1">stat(calculs!AJ65)</f>
        <v>#NAME?</v>
      </c>
      <c r="AK65" s="523" t="e">
        <f ca="1">stat(calculs!AK65)</f>
        <v>#NAME?</v>
      </c>
      <c r="AL65" s="523" t="e">
        <f ca="1">stat(calculs!AL65)</f>
        <v>#NAME?</v>
      </c>
      <c r="AM65" s="523" t="e">
        <f ca="1">stat(calculs!AM65)</f>
        <v>#NAME?</v>
      </c>
      <c r="AN65" s="523" t="e">
        <f ca="1">stat(calculs!AN65)</f>
        <v>#NAME?</v>
      </c>
      <c r="AO65" s="523" t="e">
        <f ca="1">stat(calculs!AO65)</f>
        <v>#NAME?</v>
      </c>
      <c r="AP65" s="523" t="e">
        <f ca="1">stat(calculs!AP65)</f>
        <v>#NAME?</v>
      </c>
      <c r="AQ65" s="523" t="e">
        <f ca="1">stat(calculs!AQ65)</f>
        <v>#NAME?</v>
      </c>
      <c r="AT65" s="517"/>
      <c r="AV65" s="525" t="e">
        <f ca="1">stat(calculs!AV65)</f>
        <v>#NAME?</v>
      </c>
      <c r="AW65" s="525" t="e">
        <f ca="1">stat(calculs!AW65)</f>
        <v>#NAME?</v>
      </c>
      <c r="AX65" s="525" t="e">
        <f ca="1">stat(calculs!AX65)</f>
        <v>#NAME?</v>
      </c>
      <c r="AY65" s="525" t="e">
        <f ca="1">stat(calculs!AY65)</f>
        <v>#NAME?</v>
      </c>
      <c r="AZ65" s="525" t="e">
        <f ca="1">stat(calculs!AZ65)</f>
        <v>#NAME?</v>
      </c>
      <c r="BA65" s="525" t="e">
        <f ca="1">stat(calculs!BA65)</f>
        <v>#NAME?</v>
      </c>
      <c r="BB65" s="525" t="e">
        <f ca="1">stat(calculs!BB65)</f>
        <v>#NAME?</v>
      </c>
      <c r="BC65" s="525" t="e">
        <f ca="1">stat(calculs!BC65)</f>
        <v>#NAME?</v>
      </c>
      <c r="BD65" s="525" t="e">
        <f ca="1">stat(calculs!BD65)</f>
        <v>#NAME?</v>
      </c>
      <c r="BE65" s="525" t="e">
        <f ca="1">stat(calculs!BE65)</f>
        <v>#NAME?</v>
      </c>
      <c r="BF65" s="525" t="e">
        <f ca="1">stat(calculs!BF65)</f>
        <v>#NAME?</v>
      </c>
      <c r="BG65" s="729" t="e">
        <f ca="1">stat(calculs!BG65)</f>
        <v>#NAME?</v>
      </c>
      <c r="BH65" s="729" t="e">
        <f ca="1">stat(calculs!BH65)</f>
        <v>#NAME?</v>
      </c>
      <c r="BI65" s="729" t="e">
        <f ca="1">stat(calculs!BI65)</f>
        <v>#NAME?</v>
      </c>
      <c r="BJ65" s="729" t="e">
        <f ca="1">stat(calculs!BJ65)</f>
        <v>#NAME?</v>
      </c>
      <c r="BK65" s="729" t="e">
        <f ca="1">stat(calculs!BK65)</f>
        <v>#NAME?</v>
      </c>
      <c r="BL65" s="525" t="e">
        <f ca="1">stat(calculs!BL65)</f>
        <v>#NAME?</v>
      </c>
      <c r="BM65" s="525" t="e">
        <f ca="1">stat(calculs!BM65)</f>
        <v>#NAME?</v>
      </c>
      <c r="BN65" s="525" t="e">
        <f ca="1">stat(calculs!BN65)</f>
        <v>#NAME?</v>
      </c>
      <c r="BO65" s="525" t="e">
        <f ca="1">stat(calculs!BO65)</f>
        <v>#NAME?</v>
      </c>
      <c r="BP65" s="525" t="e">
        <f ca="1">stat(calculs!BP65)</f>
        <v>#NAME?</v>
      </c>
      <c r="BQ65" s="525" t="e">
        <f ca="1">stat(calculs!BQ65)</f>
        <v>#NAME?</v>
      </c>
      <c r="BR65" s="525" t="e">
        <f ca="1">stat(calculs!BR65)</f>
        <v>#NAME?</v>
      </c>
    </row>
    <row r="66" spans="1:70" x14ac:dyDescent="0.2">
      <c r="A66" s="222">
        <f>données_step[[#This Row],[Datum]]</f>
        <v>44617</v>
      </c>
      <c r="B66" s="223"/>
      <c r="C66" s="224">
        <f t="shared" si="0"/>
        <v>6</v>
      </c>
      <c r="D66" s="523" t="e">
        <f ca="1">stat(charge_entree[[#This Row],[ch_E_DBO5]])</f>
        <v>#NAME?</v>
      </c>
      <c r="E66" s="523" t="e">
        <f ca="1">stat(charge_entree[[#This Row],[ch_E_DCO]])</f>
        <v>#NAME?</v>
      </c>
      <c r="F66" s="523" t="e">
        <f ca="1">stat(charge_entree[[#This Row],[ch_E_COT]])</f>
        <v>#NAME?</v>
      </c>
      <c r="G66" s="523" t="e">
        <f ca="1">stat(charge_entree[[#This Row],[ch_E_NH4]])</f>
        <v>#NAME?</v>
      </c>
      <c r="H66" s="523" t="e">
        <f ca="1">stat(charge_entree[[#This Row],[ch_E_NTOT]])</f>
        <v>#NAME?</v>
      </c>
      <c r="I66" s="523" t="e">
        <f ca="1">stat(charge_entree[[#This Row],[ch_E_PTOT]])</f>
        <v>#NAME?</v>
      </c>
      <c r="J66" s="523" t="e">
        <f ca="1">stat(charge_entree[[#This Row],[ch_S_DBO]])</f>
        <v>#NAME?</v>
      </c>
      <c r="K66" s="523" t="e">
        <f ca="1">stat(charge_entree[[#This Row],[ch_S-DCO]])</f>
        <v>#NAME?</v>
      </c>
      <c r="L66" s="523" t="e">
        <f ca="1">stat(charge_entree[[#This Row],[ch_S_DOC]])</f>
        <v>#NAME?</v>
      </c>
      <c r="M66" s="523" t="e">
        <f ca="1">stat(charge_entree[[#This Row],[ch_S_NH4]])</f>
        <v>#NAME?</v>
      </c>
      <c r="N66" s="523" t="e">
        <f ca="1">stat(charge_entree[[#This Row],[ch_S_NO2]])</f>
        <v>#NAME?</v>
      </c>
      <c r="O66" s="523" t="e">
        <f ca="1">stat(charge_entree[[#This Row],[ch_S_NO3]])</f>
        <v>#NAME?</v>
      </c>
      <c r="P66" s="523" t="e">
        <f ca="1">stat(charge_entree[[#This Row],[ch_S_PTOT]])</f>
        <v>#NAME?</v>
      </c>
      <c r="Q66" s="523" t="e">
        <f ca="1">stat(charge_entree[[#This Row],[ch_S_SNDT]])</f>
        <v>#NAME?</v>
      </c>
      <c r="R66" s="523">
        <f>calculs!R66</f>
        <v>0</v>
      </c>
      <c r="S66" s="523" t="e">
        <f ca="1">stat(calculs!S66)</f>
        <v>#NAME?</v>
      </c>
      <c r="T66" s="523" t="e">
        <f ca="1">stat(calculs!T66)</f>
        <v>#NAME?</v>
      </c>
      <c r="U66" s="523" t="e">
        <f ca="1">stat(calculs!U66)</f>
        <v>#NAME?</v>
      </c>
      <c r="V66" s="523" t="e">
        <f ca="1">stat(calculs!V66)</f>
        <v>#NAME?</v>
      </c>
      <c r="W66" s="523" t="e">
        <f ca="1">stat(calculs!W66)</f>
        <v>#NAME?</v>
      </c>
      <c r="X66" s="523" t="e">
        <f ca="1">stat(calculs!X66)</f>
        <v>#NAME?</v>
      </c>
      <c r="Y66" s="523" t="e">
        <f ca="1">stat(calculs!Y66)</f>
        <v>#NAME?</v>
      </c>
      <c r="Z66" s="523" t="e">
        <f ca="1">stat(calculs!Z66)</f>
        <v>#NAME?</v>
      </c>
      <c r="AA66" s="523" t="e">
        <f ca="1">stat(calculs!AA66)</f>
        <v>#NAME?</v>
      </c>
      <c r="AB66" s="523" t="e">
        <f ca="1">stat(calculs!AB66)</f>
        <v>#NAME?</v>
      </c>
      <c r="AC66" s="523" t="e">
        <f ca="1">stat(calculs!AC66)</f>
        <v>#NAME?</v>
      </c>
      <c r="AD66" s="523" t="e">
        <f ca="1">stat(calculs!AD66)</f>
        <v>#NAME?</v>
      </c>
      <c r="AE66" s="523" t="e">
        <f ca="1">stat(calculs!AE66)</f>
        <v>#NAME?</v>
      </c>
      <c r="AF66" s="523" t="e">
        <f ca="1">stat(calculs!AF66)</f>
        <v>#NAME?</v>
      </c>
      <c r="AG66" s="523" t="e">
        <f ca="1">stat(calculs!AG66)</f>
        <v>#NAME?</v>
      </c>
      <c r="AH66" s="523" t="e">
        <f ca="1">stat(calculs!AH66)</f>
        <v>#NAME?</v>
      </c>
      <c r="AI66" s="523" t="e">
        <f ca="1">stat(calculs!AI66)</f>
        <v>#NAME?</v>
      </c>
      <c r="AJ66" s="523" t="e">
        <f ca="1">stat(calculs!AJ66)</f>
        <v>#NAME?</v>
      </c>
      <c r="AK66" s="523" t="e">
        <f ca="1">stat(calculs!AK66)</f>
        <v>#NAME?</v>
      </c>
      <c r="AL66" s="523" t="e">
        <f ca="1">stat(calculs!AL66)</f>
        <v>#NAME?</v>
      </c>
      <c r="AM66" s="523" t="e">
        <f ca="1">stat(calculs!AM66)</f>
        <v>#NAME?</v>
      </c>
      <c r="AN66" s="523" t="e">
        <f ca="1">stat(calculs!AN66)</f>
        <v>#NAME?</v>
      </c>
      <c r="AO66" s="523" t="e">
        <f ca="1">stat(calculs!AO66)</f>
        <v>#NAME?</v>
      </c>
      <c r="AP66" s="523" t="e">
        <f ca="1">stat(calculs!AP66)</f>
        <v>#NAME?</v>
      </c>
      <c r="AQ66" s="523" t="e">
        <f ca="1">stat(calculs!AQ66)</f>
        <v>#NAME?</v>
      </c>
      <c r="AT66" s="517"/>
      <c r="AV66" s="525" t="e">
        <f ca="1">stat(calculs!AV66)</f>
        <v>#NAME?</v>
      </c>
      <c r="AW66" s="525" t="e">
        <f ca="1">stat(calculs!AW66)</f>
        <v>#NAME?</v>
      </c>
      <c r="AX66" s="525" t="e">
        <f ca="1">stat(calculs!AX66)</f>
        <v>#NAME?</v>
      </c>
      <c r="AY66" s="525" t="e">
        <f ca="1">stat(calculs!AY66)</f>
        <v>#NAME?</v>
      </c>
      <c r="AZ66" s="525" t="e">
        <f ca="1">stat(calculs!AZ66)</f>
        <v>#NAME?</v>
      </c>
      <c r="BA66" s="525" t="e">
        <f ca="1">stat(calculs!BA66)</f>
        <v>#NAME?</v>
      </c>
      <c r="BB66" s="525" t="e">
        <f ca="1">stat(calculs!BB66)</f>
        <v>#NAME?</v>
      </c>
      <c r="BC66" s="525" t="e">
        <f ca="1">stat(calculs!BC66)</f>
        <v>#NAME?</v>
      </c>
      <c r="BD66" s="525" t="e">
        <f ca="1">stat(calculs!BD66)</f>
        <v>#NAME?</v>
      </c>
      <c r="BE66" s="525" t="e">
        <f ca="1">stat(calculs!BE66)</f>
        <v>#NAME?</v>
      </c>
      <c r="BF66" s="525" t="e">
        <f ca="1">stat(calculs!BF66)</f>
        <v>#NAME?</v>
      </c>
      <c r="BG66" s="729" t="e">
        <f ca="1">stat(calculs!BG66)</f>
        <v>#NAME?</v>
      </c>
      <c r="BH66" s="729" t="e">
        <f ca="1">stat(calculs!BH66)</f>
        <v>#NAME?</v>
      </c>
      <c r="BI66" s="729" t="e">
        <f ca="1">stat(calculs!BI66)</f>
        <v>#NAME?</v>
      </c>
      <c r="BJ66" s="729" t="e">
        <f ca="1">stat(calculs!BJ66)</f>
        <v>#NAME?</v>
      </c>
      <c r="BK66" s="729" t="e">
        <f ca="1">stat(calculs!BK66)</f>
        <v>#NAME?</v>
      </c>
      <c r="BL66" s="525" t="e">
        <f ca="1">stat(calculs!BL66)</f>
        <v>#NAME?</v>
      </c>
      <c r="BM66" s="525" t="e">
        <f ca="1">stat(calculs!BM66)</f>
        <v>#NAME?</v>
      </c>
      <c r="BN66" s="525" t="e">
        <f ca="1">stat(calculs!BN66)</f>
        <v>#NAME?</v>
      </c>
      <c r="BO66" s="525" t="e">
        <f ca="1">stat(calculs!BO66)</f>
        <v>#NAME?</v>
      </c>
      <c r="BP66" s="525" t="e">
        <f ca="1">stat(calculs!BP66)</f>
        <v>#NAME?</v>
      </c>
      <c r="BQ66" s="525" t="e">
        <f ca="1">stat(calculs!BQ66)</f>
        <v>#NAME?</v>
      </c>
      <c r="BR66" s="525" t="e">
        <f ca="1">stat(calculs!BR66)</f>
        <v>#NAME?</v>
      </c>
    </row>
    <row r="67" spans="1:70" x14ac:dyDescent="0.2">
      <c r="A67" s="222">
        <f>données_step[[#This Row],[Datum]]</f>
        <v>44618</v>
      </c>
      <c r="B67" s="223"/>
      <c r="C67" s="224">
        <f t="shared" si="0"/>
        <v>7</v>
      </c>
      <c r="D67" s="523" t="e">
        <f ca="1">stat(charge_entree[[#This Row],[ch_E_DBO5]])</f>
        <v>#NAME?</v>
      </c>
      <c r="E67" s="523" t="e">
        <f ca="1">stat(charge_entree[[#This Row],[ch_E_DCO]])</f>
        <v>#NAME?</v>
      </c>
      <c r="F67" s="523" t="e">
        <f ca="1">stat(charge_entree[[#This Row],[ch_E_COT]])</f>
        <v>#NAME?</v>
      </c>
      <c r="G67" s="523" t="e">
        <f ca="1">stat(charge_entree[[#This Row],[ch_E_NH4]])</f>
        <v>#NAME?</v>
      </c>
      <c r="H67" s="523" t="e">
        <f ca="1">stat(charge_entree[[#This Row],[ch_E_NTOT]])</f>
        <v>#NAME?</v>
      </c>
      <c r="I67" s="523" t="e">
        <f ca="1">stat(charge_entree[[#This Row],[ch_E_PTOT]])</f>
        <v>#NAME?</v>
      </c>
      <c r="J67" s="523" t="e">
        <f ca="1">stat(charge_entree[[#This Row],[ch_S_DBO]])</f>
        <v>#NAME?</v>
      </c>
      <c r="K67" s="523" t="e">
        <f ca="1">stat(charge_entree[[#This Row],[ch_S-DCO]])</f>
        <v>#NAME?</v>
      </c>
      <c r="L67" s="523" t="e">
        <f ca="1">stat(charge_entree[[#This Row],[ch_S_DOC]])</f>
        <v>#NAME?</v>
      </c>
      <c r="M67" s="523" t="e">
        <f ca="1">stat(charge_entree[[#This Row],[ch_S_NH4]])</f>
        <v>#NAME?</v>
      </c>
      <c r="N67" s="523" t="e">
        <f ca="1">stat(charge_entree[[#This Row],[ch_S_NO2]])</f>
        <v>#NAME?</v>
      </c>
      <c r="O67" s="523" t="e">
        <f ca="1">stat(charge_entree[[#This Row],[ch_S_NO3]])</f>
        <v>#NAME?</v>
      </c>
      <c r="P67" s="523" t="e">
        <f ca="1">stat(charge_entree[[#This Row],[ch_S_PTOT]])</f>
        <v>#NAME?</v>
      </c>
      <c r="Q67" s="523" t="e">
        <f ca="1">stat(charge_entree[[#This Row],[ch_S_SNDT]])</f>
        <v>#NAME?</v>
      </c>
      <c r="R67" s="523">
        <f>calculs!R67</f>
        <v>0</v>
      </c>
      <c r="S67" s="523" t="e">
        <f ca="1">stat(calculs!S67)</f>
        <v>#NAME?</v>
      </c>
      <c r="T67" s="523" t="e">
        <f ca="1">stat(calculs!T67)</f>
        <v>#NAME?</v>
      </c>
      <c r="U67" s="523" t="e">
        <f ca="1">stat(calculs!U67)</f>
        <v>#NAME?</v>
      </c>
      <c r="V67" s="523" t="e">
        <f ca="1">stat(calculs!V67)</f>
        <v>#NAME?</v>
      </c>
      <c r="W67" s="523" t="e">
        <f ca="1">stat(calculs!W67)</f>
        <v>#NAME?</v>
      </c>
      <c r="X67" s="523" t="e">
        <f ca="1">stat(calculs!X67)</f>
        <v>#NAME?</v>
      </c>
      <c r="Y67" s="523" t="e">
        <f ca="1">stat(calculs!Y67)</f>
        <v>#NAME?</v>
      </c>
      <c r="Z67" s="523" t="e">
        <f ca="1">stat(calculs!Z67)</f>
        <v>#NAME?</v>
      </c>
      <c r="AA67" s="523" t="e">
        <f ca="1">stat(calculs!AA67)</f>
        <v>#NAME?</v>
      </c>
      <c r="AB67" s="523" t="e">
        <f ca="1">stat(calculs!AB67)</f>
        <v>#NAME?</v>
      </c>
      <c r="AC67" s="523" t="e">
        <f ca="1">stat(calculs!AC67)</f>
        <v>#NAME?</v>
      </c>
      <c r="AD67" s="523" t="e">
        <f ca="1">stat(calculs!AD67)</f>
        <v>#NAME?</v>
      </c>
      <c r="AE67" s="523" t="e">
        <f ca="1">stat(calculs!AE67)</f>
        <v>#NAME?</v>
      </c>
      <c r="AF67" s="523" t="e">
        <f ca="1">stat(calculs!AF67)</f>
        <v>#NAME?</v>
      </c>
      <c r="AG67" s="523" t="e">
        <f ca="1">stat(calculs!AG67)</f>
        <v>#NAME?</v>
      </c>
      <c r="AH67" s="523" t="e">
        <f ca="1">stat(calculs!AH67)</f>
        <v>#NAME?</v>
      </c>
      <c r="AI67" s="523" t="e">
        <f ca="1">stat(calculs!AI67)</f>
        <v>#NAME?</v>
      </c>
      <c r="AJ67" s="523" t="e">
        <f ca="1">stat(calculs!AJ67)</f>
        <v>#NAME?</v>
      </c>
      <c r="AK67" s="523" t="e">
        <f ca="1">stat(calculs!AK67)</f>
        <v>#NAME?</v>
      </c>
      <c r="AL67" s="523" t="e">
        <f ca="1">stat(calculs!AL67)</f>
        <v>#NAME?</v>
      </c>
      <c r="AM67" s="523" t="e">
        <f ca="1">stat(calculs!AM67)</f>
        <v>#NAME?</v>
      </c>
      <c r="AN67" s="523" t="e">
        <f ca="1">stat(calculs!AN67)</f>
        <v>#NAME?</v>
      </c>
      <c r="AO67" s="523" t="e">
        <f ca="1">stat(calculs!AO67)</f>
        <v>#NAME?</v>
      </c>
      <c r="AP67" s="523" t="e">
        <f ca="1">stat(calculs!AP67)</f>
        <v>#NAME?</v>
      </c>
      <c r="AQ67" s="523" t="e">
        <f ca="1">stat(calculs!AQ67)</f>
        <v>#NAME?</v>
      </c>
      <c r="AT67" s="517"/>
      <c r="AV67" s="525" t="e">
        <f ca="1">stat(calculs!AV67)</f>
        <v>#NAME?</v>
      </c>
      <c r="AW67" s="525" t="e">
        <f ca="1">stat(calculs!AW67)</f>
        <v>#NAME?</v>
      </c>
      <c r="AX67" s="525" t="e">
        <f ca="1">stat(calculs!AX67)</f>
        <v>#NAME?</v>
      </c>
      <c r="AY67" s="525" t="e">
        <f ca="1">stat(calculs!AY67)</f>
        <v>#NAME?</v>
      </c>
      <c r="AZ67" s="525" t="e">
        <f ca="1">stat(calculs!AZ67)</f>
        <v>#NAME?</v>
      </c>
      <c r="BA67" s="525" t="e">
        <f ca="1">stat(calculs!BA67)</f>
        <v>#NAME?</v>
      </c>
      <c r="BB67" s="525" t="e">
        <f ca="1">stat(calculs!BB67)</f>
        <v>#NAME?</v>
      </c>
      <c r="BC67" s="525" t="e">
        <f ca="1">stat(calculs!BC67)</f>
        <v>#NAME?</v>
      </c>
      <c r="BD67" s="525" t="e">
        <f ca="1">stat(calculs!BD67)</f>
        <v>#NAME?</v>
      </c>
      <c r="BE67" s="525" t="e">
        <f ca="1">stat(calculs!BE67)</f>
        <v>#NAME?</v>
      </c>
      <c r="BF67" s="525" t="e">
        <f ca="1">stat(calculs!BF67)</f>
        <v>#NAME?</v>
      </c>
      <c r="BG67" s="729" t="e">
        <f ca="1">stat(calculs!BG67)</f>
        <v>#NAME?</v>
      </c>
      <c r="BH67" s="729" t="e">
        <f ca="1">stat(calculs!BH67)</f>
        <v>#NAME?</v>
      </c>
      <c r="BI67" s="729" t="e">
        <f ca="1">stat(calculs!BI67)</f>
        <v>#NAME?</v>
      </c>
      <c r="BJ67" s="729" t="e">
        <f ca="1">stat(calculs!BJ67)</f>
        <v>#NAME?</v>
      </c>
      <c r="BK67" s="729" t="e">
        <f ca="1">stat(calculs!BK67)</f>
        <v>#NAME?</v>
      </c>
      <c r="BL67" s="525" t="e">
        <f ca="1">stat(calculs!BL67)</f>
        <v>#NAME?</v>
      </c>
      <c r="BM67" s="525" t="e">
        <f ca="1">stat(calculs!BM67)</f>
        <v>#NAME?</v>
      </c>
      <c r="BN67" s="525" t="e">
        <f ca="1">stat(calculs!BN67)</f>
        <v>#NAME?</v>
      </c>
      <c r="BO67" s="525" t="e">
        <f ca="1">stat(calculs!BO67)</f>
        <v>#NAME?</v>
      </c>
      <c r="BP67" s="525" t="e">
        <f ca="1">stat(calculs!BP67)</f>
        <v>#NAME?</v>
      </c>
      <c r="BQ67" s="525" t="e">
        <f ca="1">stat(calculs!BQ67)</f>
        <v>#NAME?</v>
      </c>
      <c r="BR67" s="525" t="e">
        <f ca="1">stat(calculs!BR67)</f>
        <v>#NAME?</v>
      </c>
    </row>
    <row r="68" spans="1:70" x14ac:dyDescent="0.2">
      <c r="A68" s="222">
        <f>données_step[[#This Row],[Datum]]</f>
        <v>44619</v>
      </c>
      <c r="B68" s="223"/>
      <c r="C68" s="224">
        <f t="shared" si="0"/>
        <v>1</v>
      </c>
      <c r="D68" s="523" t="e">
        <f ca="1">stat(charge_entree[[#This Row],[ch_E_DBO5]])</f>
        <v>#NAME?</v>
      </c>
      <c r="E68" s="523" t="e">
        <f ca="1">stat(charge_entree[[#This Row],[ch_E_DCO]])</f>
        <v>#NAME?</v>
      </c>
      <c r="F68" s="523" t="e">
        <f ca="1">stat(charge_entree[[#This Row],[ch_E_COT]])</f>
        <v>#NAME?</v>
      </c>
      <c r="G68" s="523" t="e">
        <f ca="1">stat(charge_entree[[#This Row],[ch_E_NH4]])</f>
        <v>#NAME?</v>
      </c>
      <c r="H68" s="523" t="e">
        <f ca="1">stat(charge_entree[[#This Row],[ch_E_NTOT]])</f>
        <v>#NAME?</v>
      </c>
      <c r="I68" s="523" t="e">
        <f ca="1">stat(charge_entree[[#This Row],[ch_E_PTOT]])</f>
        <v>#NAME?</v>
      </c>
      <c r="J68" s="523" t="e">
        <f ca="1">stat(charge_entree[[#This Row],[ch_S_DBO]])</f>
        <v>#NAME?</v>
      </c>
      <c r="K68" s="523" t="e">
        <f ca="1">stat(charge_entree[[#This Row],[ch_S-DCO]])</f>
        <v>#NAME?</v>
      </c>
      <c r="L68" s="523" t="e">
        <f ca="1">stat(charge_entree[[#This Row],[ch_S_DOC]])</f>
        <v>#NAME?</v>
      </c>
      <c r="M68" s="523" t="e">
        <f ca="1">stat(charge_entree[[#This Row],[ch_S_NH4]])</f>
        <v>#NAME?</v>
      </c>
      <c r="N68" s="523" t="e">
        <f ca="1">stat(charge_entree[[#This Row],[ch_S_NO2]])</f>
        <v>#NAME?</v>
      </c>
      <c r="O68" s="523" t="e">
        <f ca="1">stat(charge_entree[[#This Row],[ch_S_NO3]])</f>
        <v>#NAME?</v>
      </c>
      <c r="P68" s="523" t="e">
        <f ca="1">stat(charge_entree[[#This Row],[ch_S_PTOT]])</f>
        <v>#NAME?</v>
      </c>
      <c r="Q68" s="523" t="e">
        <f ca="1">stat(charge_entree[[#This Row],[ch_S_SNDT]])</f>
        <v>#NAME?</v>
      </c>
      <c r="R68" s="523">
        <f>calculs!R68</f>
        <v>0</v>
      </c>
      <c r="S68" s="523" t="e">
        <f ca="1">stat(calculs!S68)</f>
        <v>#NAME?</v>
      </c>
      <c r="T68" s="523" t="e">
        <f ca="1">stat(calculs!T68)</f>
        <v>#NAME?</v>
      </c>
      <c r="U68" s="523" t="e">
        <f ca="1">stat(calculs!U68)</f>
        <v>#NAME?</v>
      </c>
      <c r="V68" s="523" t="e">
        <f ca="1">stat(calculs!V68)</f>
        <v>#NAME?</v>
      </c>
      <c r="W68" s="523" t="e">
        <f ca="1">stat(calculs!W68)</f>
        <v>#NAME?</v>
      </c>
      <c r="X68" s="523" t="e">
        <f ca="1">stat(calculs!X68)</f>
        <v>#NAME?</v>
      </c>
      <c r="Y68" s="523" t="e">
        <f ca="1">stat(calculs!Y68)</f>
        <v>#NAME?</v>
      </c>
      <c r="Z68" s="523" t="e">
        <f ca="1">stat(calculs!Z68)</f>
        <v>#NAME?</v>
      </c>
      <c r="AA68" s="523" t="e">
        <f ca="1">stat(calculs!AA68)</f>
        <v>#NAME?</v>
      </c>
      <c r="AB68" s="523" t="e">
        <f ca="1">stat(calculs!AB68)</f>
        <v>#NAME?</v>
      </c>
      <c r="AC68" s="523" t="e">
        <f ca="1">stat(calculs!AC68)</f>
        <v>#NAME?</v>
      </c>
      <c r="AD68" s="523" t="e">
        <f ca="1">stat(calculs!AD68)</f>
        <v>#NAME?</v>
      </c>
      <c r="AE68" s="523" t="e">
        <f ca="1">stat(calculs!AE68)</f>
        <v>#NAME?</v>
      </c>
      <c r="AF68" s="523" t="e">
        <f ca="1">stat(calculs!AF68)</f>
        <v>#NAME?</v>
      </c>
      <c r="AG68" s="523" t="e">
        <f ca="1">stat(calculs!AG68)</f>
        <v>#NAME?</v>
      </c>
      <c r="AH68" s="523" t="e">
        <f ca="1">stat(calculs!AH68)</f>
        <v>#NAME?</v>
      </c>
      <c r="AI68" s="523" t="e">
        <f ca="1">stat(calculs!AI68)</f>
        <v>#NAME?</v>
      </c>
      <c r="AJ68" s="523" t="e">
        <f ca="1">stat(calculs!AJ68)</f>
        <v>#NAME?</v>
      </c>
      <c r="AK68" s="523" t="e">
        <f ca="1">stat(calculs!AK68)</f>
        <v>#NAME?</v>
      </c>
      <c r="AL68" s="523" t="e">
        <f ca="1">stat(calculs!AL68)</f>
        <v>#NAME?</v>
      </c>
      <c r="AM68" s="523" t="e">
        <f ca="1">stat(calculs!AM68)</f>
        <v>#NAME?</v>
      </c>
      <c r="AN68" s="523" t="e">
        <f ca="1">stat(calculs!AN68)</f>
        <v>#NAME?</v>
      </c>
      <c r="AO68" s="523" t="e">
        <f ca="1">stat(calculs!AO68)</f>
        <v>#NAME?</v>
      </c>
      <c r="AP68" s="523" t="e">
        <f ca="1">stat(calculs!AP68)</f>
        <v>#NAME?</v>
      </c>
      <c r="AQ68" s="523" t="e">
        <f ca="1">stat(calculs!AQ68)</f>
        <v>#NAME?</v>
      </c>
      <c r="AT68" s="517"/>
      <c r="AV68" s="525" t="e">
        <f ca="1">stat(calculs!AV68)</f>
        <v>#NAME?</v>
      </c>
      <c r="AW68" s="525" t="e">
        <f ca="1">stat(calculs!AW68)</f>
        <v>#NAME?</v>
      </c>
      <c r="AX68" s="525" t="e">
        <f ca="1">stat(calculs!AX68)</f>
        <v>#NAME?</v>
      </c>
      <c r="AY68" s="525" t="e">
        <f ca="1">stat(calculs!AY68)</f>
        <v>#NAME?</v>
      </c>
      <c r="AZ68" s="525" t="e">
        <f ca="1">stat(calculs!AZ68)</f>
        <v>#NAME?</v>
      </c>
      <c r="BA68" s="525" t="e">
        <f ca="1">stat(calculs!BA68)</f>
        <v>#NAME?</v>
      </c>
      <c r="BB68" s="525" t="e">
        <f ca="1">stat(calculs!BB68)</f>
        <v>#NAME?</v>
      </c>
      <c r="BC68" s="525" t="e">
        <f ca="1">stat(calculs!BC68)</f>
        <v>#NAME?</v>
      </c>
      <c r="BD68" s="525" t="e">
        <f ca="1">stat(calculs!BD68)</f>
        <v>#NAME?</v>
      </c>
      <c r="BE68" s="525" t="e">
        <f ca="1">stat(calculs!BE68)</f>
        <v>#NAME?</v>
      </c>
      <c r="BF68" s="525" t="e">
        <f ca="1">stat(calculs!BF68)</f>
        <v>#NAME?</v>
      </c>
      <c r="BG68" s="729" t="e">
        <f ca="1">stat(calculs!BG68)</f>
        <v>#NAME?</v>
      </c>
      <c r="BH68" s="729" t="e">
        <f ca="1">stat(calculs!BH68)</f>
        <v>#NAME?</v>
      </c>
      <c r="BI68" s="729" t="e">
        <f ca="1">stat(calculs!BI68)</f>
        <v>#NAME?</v>
      </c>
      <c r="BJ68" s="729" t="e">
        <f ca="1">stat(calculs!BJ68)</f>
        <v>#NAME?</v>
      </c>
      <c r="BK68" s="729" t="e">
        <f ca="1">stat(calculs!BK68)</f>
        <v>#NAME?</v>
      </c>
      <c r="BL68" s="525" t="e">
        <f ca="1">stat(calculs!BL68)</f>
        <v>#NAME?</v>
      </c>
      <c r="BM68" s="525" t="e">
        <f ca="1">stat(calculs!BM68)</f>
        <v>#NAME?</v>
      </c>
      <c r="BN68" s="525" t="e">
        <f ca="1">stat(calculs!BN68)</f>
        <v>#NAME?</v>
      </c>
      <c r="BO68" s="525" t="e">
        <f ca="1">stat(calculs!BO68)</f>
        <v>#NAME?</v>
      </c>
      <c r="BP68" s="525" t="e">
        <f ca="1">stat(calculs!BP68)</f>
        <v>#NAME?</v>
      </c>
      <c r="BQ68" s="525" t="e">
        <f ca="1">stat(calculs!BQ68)</f>
        <v>#NAME?</v>
      </c>
      <c r="BR68" s="525" t="e">
        <f ca="1">stat(calculs!BR68)</f>
        <v>#NAME?</v>
      </c>
    </row>
    <row r="69" spans="1:70" x14ac:dyDescent="0.2">
      <c r="A69" s="222">
        <f>données_step[[#This Row],[Datum]]</f>
        <v>44620</v>
      </c>
      <c r="B69" s="223"/>
      <c r="C69" s="224">
        <f t="shared" si="0"/>
        <v>2</v>
      </c>
      <c r="D69" s="523" t="e">
        <f ca="1">stat(charge_entree[[#This Row],[ch_E_DBO5]])</f>
        <v>#NAME?</v>
      </c>
      <c r="E69" s="523" t="e">
        <f ca="1">stat(charge_entree[[#This Row],[ch_E_DCO]])</f>
        <v>#NAME?</v>
      </c>
      <c r="F69" s="523" t="e">
        <f ca="1">stat(charge_entree[[#This Row],[ch_E_COT]])</f>
        <v>#NAME?</v>
      </c>
      <c r="G69" s="523" t="e">
        <f ca="1">stat(charge_entree[[#This Row],[ch_E_NH4]])</f>
        <v>#NAME?</v>
      </c>
      <c r="H69" s="523" t="e">
        <f ca="1">stat(charge_entree[[#This Row],[ch_E_NTOT]])</f>
        <v>#NAME?</v>
      </c>
      <c r="I69" s="523" t="e">
        <f ca="1">stat(charge_entree[[#This Row],[ch_E_PTOT]])</f>
        <v>#NAME?</v>
      </c>
      <c r="J69" s="523" t="e">
        <f ca="1">stat(charge_entree[[#This Row],[ch_S_DBO]])</f>
        <v>#NAME?</v>
      </c>
      <c r="K69" s="523" t="e">
        <f ca="1">stat(charge_entree[[#This Row],[ch_S-DCO]])</f>
        <v>#NAME?</v>
      </c>
      <c r="L69" s="523" t="e">
        <f ca="1">stat(charge_entree[[#This Row],[ch_S_DOC]])</f>
        <v>#NAME?</v>
      </c>
      <c r="M69" s="523" t="e">
        <f ca="1">stat(charge_entree[[#This Row],[ch_S_NH4]])</f>
        <v>#NAME?</v>
      </c>
      <c r="N69" s="523" t="e">
        <f ca="1">stat(charge_entree[[#This Row],[ch_S_NO2]])</f>
        <v>#NAME?</v>
      </c>
      <c r="O69" s="523" t="e">
        <f ca="1">stat(charge_entree[[#This Row],[ch_S_NO3]])</f>
        <v>#NAME?</v>
      </c>
      <c r="P69" s="523" t="e">
        <f ca="1">stat(charge_entree[[#This Row],[ch_S_PTOT]])</f>
        <v>#NAME?</v>
      </c>
      <c r="Q69" s="523" t="e">
        <f ca="1">stat(charge_entree[[#This Row],[ch_S_SNDT]])</f>
        <v>#NAME?</v>
      </c>
      <c r="R69" s="523">
        <f>calculs!R69</f>
        <v>0</v>
      </c>
      <c r="S69" s="523" t="e">
        <f ca="1">stat(calculs!S69)</f>
        <v>#NAME?</v>
      </c>
      <c r="T69" s="523" t="e">
        <f ca="1">stat(calculs!T69)</f>
        <v>#NAME?</v>
      </c>
      <c r="U69" s="523" t="e">
        <f ca="1">stat(calculs!U69)</f>
        <v>#NAME?</v>
      </c>
      <c r="V69" s="523" t="e">
        <f ca="1">stat(calculs!V69)</f>
        <v>#NAME?</v>
      </c>
      <c r="W69" s="523" t="e">
        <f ca="1">stat(calculs!W69)</f>
        <v>#NAME?</v>
      </c>
      <c r="X69" s="523" t="e">
        <f ca="1">stat(calculs!X69)</f>
        <v>#NAME?</v>
      </c>
      <c r="Y69" s="523" t="e">
        <f ca="1">stat(calculs!Y69)</f>
        <v>#NAME?</v>
      </c>
      <c r="Z69" s="523" t="e">
        <f ca="1">stat(calculs!Z69)</f>
        <v>#NAME?</v>
      </c>
      <c r="AA69" s="523" t="e">
        <f ca="1">stat(calculs!AA69)</f>
        <v>#NAME?</v>
      </c>
      <c r="AB69" s="523" t="e">
        <f ca="1">stat(calculs!AB69)</f>
        <v>#NAME?</v>
      </c>
      <c r="AC69" s="523" t="e">
        <f ca="1">stat(calculs!AC69)</f>
        <v>#NAME?</v>
      </c>
      <c r="AD69" s="523" t="e">
        <f ca="1">stat(calculs!AD69)</f>
        <v>#NAME?</v>
      </c>
      <c r="AE69" s="523" t="e">
        <f ca="1">stat(calculs!AE69)</f>
        <v>#NAME?</v>
      </c>
      <c r="AF69" s="523" t="e">
        <f ca="1">stat(calculs!AF69)</f>
        <v>#NAME?</v>
      </c>
      <c r="AG69" s="523" t="e">
        <f ca="1">stat(calculs!AG69)</f>
        <v>#NAME?</v>
      </c>
      <c r="AH69" s="523" t="e">
        <f ca="1">stat(calculs!AH69)</f>
        <v>#NAME?</v>
      </c>
      <c r="AI69" s="523" t="e">
        <f ca="1">stat(calculs!AI69)</f>
        <v>#NAME?</v>
      </c>
      <c r="AJ69" s="523" t="e">
        <f ca="1">stat(calculs!AJ69)</f>
        <v>#NAME?</v>
      </c>
      <c r="AK69" s="523" t="e">
        <f ca="1">stat(calculs!AK69)</f>
        <v>#NAME?</v>
      </c>
      <c r="AL69" s="523" t="e">
        <f ca="1">stat(calculs!AL69)</f>
        <v>#NAME?</v>
      </c>
      <c r="AM69" s="523" t="e">
        <f ca="1">stat(calculs!AM69)</f>
        <v>#NAME?</v>
      </c>
      <c r="AN69" s="523" t="e">
        <f ca="1">stat(calculs!AN69)</f>
        <v>#NAME?</v>
      </c>
      <c r="AO69" s="523" t="e">
        <f ca="1">stat(calculs!AO69)</f>
        <v>#NAME?</v>
      </c>
      <c r="AP69" s="523" t="e">
        <f ca="1">stat(calculs!AP69)</f>
        <v>#NAME?</v>
      </c>
      <c r="AQ69" s="523" t="e">
        <f ca="1">stat(calculs!AQ69)</f>
        <v>#NAME?</v>
      </c>
      <c r="AT69" s="517"/>
      <c r="AV69" s="525" t="e">
        <f ca="1">stat(calculs!AV69)</f>
        <v>#NAME?</v>
      </c>
      <c r="AW69" s="525" t="e">
        <f ca="1">stat(calculs!AW69)</f>
        <v>#NAME?</v>
      </c>
      <c r="AX69" s="525" t="e">
        <f ca="1">stat(calculs!AX69)</f>
        <v>#NAME?</v>
      </c>
      <c r="AY69" s="525" t="e">
        <f ca="1">stat(calculs!AY69)</f>
        <v>#NAME?</v>
      </c>
      <c r="AZ69" s="525" t="e">
        <f ca="1">stat(calculs!AZ69)</f>
        <v>#NAME?</v>
      </c>
      <c r="BA69" s="525" t="e">
        <f ca="1">stat(calculs!BA69)</f>
        <v>#NAME?</v>
      </c>
      <c r="BB69" s="525" t="e">
        <f ca="1">stat(calculs!BB69)</f>
        <v>#NAME?</v>
      </c>
      <c r="BC69" s="525" t="e">
        <f ca="1">stat(calculs!BC69)</f>
        <v>#NAME?</v>
      </c>
      <c r="BD69" s="525" t="e">
        <f ca="1">stat(calculs!BD69)</f>
        <v>#NAME?</v>
      </c>
      <c r="BE69" s="525" t="e">
        <f ca="1">stat(calculs!BE69)</f>
        <v>#NAME?</v>
      </c>
      <c r="BF69" s="525" t="e">
        <f ca="1">stat(calculs!BF69)</f>
        <v>#NAME?</v>
      </c>
      <c r="BG69" s="729" t="e">
        <f ca="1">stat(calculs!BG69)</f>
        <v>#NAME?</v>
      </c>
      <c r="BH69" s="729" t="e">
        <f ca="1">stat(calculs!BH69)</f>
        <v>#NAME?</v>
      </c>
      <c r="BI69" s="729" t="e">
        <f ca="1">stat(calculs!BI69)</f>
        <v>#NAME?</v>
      </c>
      <c r="BJ69" s="729" t="e">
        <f ca="1">stat(calculs!BJ69)</f>
        <v>#NAME?</v>
      </c>
      <c r="BK69" s="729" t="e">
        <f ca="1">stat(calculs!BK69)</f>
        <v>#NAME?</v>
      </c>
      <c r="BL69" s="525" t="e">
        <f ca="1">stat(calculs!BL69)</f>
        <v>#NAME?</v>
      </c>
      <c r="BM69" s="525" t="e">
        <f ca="1">stat(calculs!BM69)</f>
        <v>#NAME?</v>
      </c>
      <c r="BN69" s="525" t="e">
        <f ca="1">stat(calculs!BN69)</f>
        <v>#NAME?</v>
      </c>
      <c r="BO69" s="525" t="e">
        <f ca="1">stat(calculs!BO69)</f>
        <v>#NAME?</v>
      </c>
      <c r="BP69" s="525" t="e">
        <f ca="1">stat(calculs!BP69)</f>
        <v>#NAME?</v>
      </c>
      <c r="BQ69" s="525" t="e">
        <f ca="1">stat(calculs!BQ69)</f>
        <v>#NAME?</v>
      </c>
      <c r="BR69" s="525" t="e">
        <f ca="1">stat(calculs!BR69)</f>
        <v>#NAME?</v>
      </c>
    </row>
    <row r="70" spans="1:70" x14ac:dyDescent="0.2">
      <c r="A70" s="222">
        <f>données_step[[#This Row],[Datum]]</f>
        <v>44621</v>
      </c>
      <c r="B70" s="223"/>
      <c r="C70" s="224">
        <f t="shared" si="0"/>
        <v>3</v>
      </c>
      <c r="D70" s="523" t="e">
        <f ca="1">stat(charge_entree[[#This Row],[ch_E_DBO5]])</f>
        <v>#NAME?</v>
      </c>
      <c r="E70" s="523" t="e">
        <f ca="1">stat(charge_entree[[#This Row],[ch_E_DCO]])</f>
        <v>#NAME?</v>
      </c>
      <c r="F70" s="523" t="e">
        <f ca="1">stat(charge_entree[[#This Row],[ch_E_COT]])</f>
        <v>#NAME?</v>
      </c>
      <c r="G70" s="523" t="e">
        <f ca="1">stat(charge_entree[[#This Row],[ch_E_NH4]])</f>
        <v>#NAME?</v>
      </c>
      <c r="H70" s="523" t="e">
        <f ca="1">stat(charge_entree[[#This Row],[ch_E_NTOT]])</f>
        <v>#NAME?</v>
      </c>
      <c r="I70" s="523" t="e">
        <f ca="1">stat(charge_entree[[#This Row],[ch_E_PTOT]])</f>
        <v>#NAME?</v>
      </c>
      <c r="J70" s="523" t="e">
        <f ca="1">stat(charge_entree[[#This Row],[ch_S_DBO]])</f>
        <v>#NAME?</v>
      </c>
      <c r="K70" s="523" t="e">
        <f ca="1">stat(charge_entree[[#This Row],[ch_S-DCO]])</f>
        <v>#NAME?</v>
      </c>
      <c r="L70" s="523" t="e">
        <f ca="1">stat(charge_entree[[#This Row],[ch_S_DOC]])</f>
        <v>#NAME?</v>
      </c>
      <c r="M70" s="523" t="e">
        <f ca="1">stat(charge_entree[[#This Row],[ch_S_NH4]])</f>
        <v>#NAME?</v>
      </c>
      <c r="N70" s="523" t="e">
        <f ca="1">stat(charge_entree[[#This Row],[ch_S_NO2]])</f>
        <v>#NAME?</v>
      </c>
      <c r="O70" s="523" t="e">
        <f ca="1">stat(charge_entree[[#This Row],[ch_S_NO3]])</f>
        <v>#NAME?</v>
      </c>
      <c r="P70" s="523" t="e">
        <f ca="1">stat(charge_entree[[#This Row],[ch_S_PTOT]])</f>
        <v>#NAME?</v>
      </c>
      <c r="Q70" s="523" t="e">
        <f ca="1">stat(charge_entree[[#This Row],[ch_S_SNDT]])</f>
        <v>#NAME?</v>
      </c>
      <c r="R70" s="523">
        <f>calculs!R70</f>
        <v>0</v>
      </c>
      <c r="S70" s="523" t="e">
        <f ca="1">stat(calculs!S70)</f>
        <v>#NAME?</v>
      </c>
      <c r="T70" s="523" t="e">
        <f ca="1">stat(calculs!T70)</f>
        <v>#NAME?</v>
      </c>
      <c r="U70" s="523" t="e">
        <f ca="1">stat(calculs!U70)</f>
        <v>#NAME?</v>
      </c>
      <c r="V70" s="523" t="e">
        <f ca="1">stat(calculs!V70)</f>
        <v>#NAME?</v>
      </c>
      <c r="W70" s="523" t="e">
        <f ca="1">stat(calculs!W70)</f>
        <v>#NAME?</v>
      </c>
      <c r="X70" s="523" t="e">
        <f ca="1">stat(calculs!X70)</f>
        <v>#NAME?</v>
      </c>
      <c r="Y70" s="523" t="e">
        <f ca="1">stat(calculs!Y70)</f>
        <v>#NAME?</v>
      </c>
      <c r="Z70" s="523" t="e">
        <f ca="1">stat(calculs!Z70)</f>
        <v>#NAME?</v>
      </c>
      <c r="AA70" s="523" t="e">
        <f ca="1">stat(calculs!AA70)</f>
        <v>#NAME?</v>
      </c>
      <c r="AB70" s="523" t="e">
        <f ca="1">stat(calculs!AB70)</f>
        <v>#NAME?</v>
      </c>
      <c r="AC70" s="523" t="e">
        <f ca="1">stat(calculs!AC70)</f>
        <v>#NAME?</v>
      </c>
      <c r="AD70" s="523" t="e">
        <f ca="1">stat(calculs!AD70)</f>
        <v>#NAME?</v>
      </c>
      <c r="AE70" s="523" t="e">
        <f ca="1">stat(calculs!AE70)</f>
        <v>#NAME?</v>
      </c>
      <c r="AF70" s="523" t="e">
        <f ca="1">stat(calculs!AF70)</f>
        <v>#NAME?</v>
      </c>
      <c r="AG70" s="523" t="e">
        <f ca="1">stat(calculs!AG70)</f>
        <v>#NAME?</v>
      </c>
      <c r="AH70" s="523" t="e">
        <f ca="1">stat(calculs!AH70)</f>
        <v>#NAME?</v>
      </c>
      <c r="AI70" s="523" t="e">
        <f ca="1">stat(calculs!AI70)</f>
        <v>#NAME?</v>
      </c>
      <c r="AJ70" s="523" t="e">
        <f ca="1">stat(calculs!AJ70)</f>
        <v>#NAME?</v>
      </c>
      <c r="AK70" s="523" t="e">
        <f ca="1">stat(calculs!AK70)</f>
        <v>#NAME?</v>
      </c>
      <c r="AL70" s="523" t="e">
        <f ca="1">stat(calculs!AL70)</f>
        <v>#NAME?</v>
      </c>
      <c r="AM70" s="523" t="e">
        <f ca="1">stat(calculs!AM70)</f>
        <v>#NAME?</v>
      </c>
      <c r="AN70" s="523" t="e">
        <f ca="1">stat(calculs!AN70)</f>
        <v>#NAME?</v>
      </c>
      <c r="AO70" s="523" t="e">
        <f ca="1">stat(calculs!AO70)</f>
        <v>#NAME?</v>
      </c>
      <c r="AP70" s="523" t="e">
        <f ca="1">stat(calculs!AP70)</f>
        <v>#NAME?</v>
      </c>
      <c r="AQ70" s="523" t="e">
        <f ca="1">stat(calculs!AQ70)</f>
        <v>#NAME?</v>
      </c>
      <c r="AT70" s="517"/>
      <c r="AV70" s="525" t="e">
        <f ca="1">stat(calculs!AV70)</f>
        <v>#NAME?</v>
      </c>
      <c r="AW70" s="525" t="e">
        <f ca="1">stat(calculs!AW70)</f>
        <v>#NAME?</v>
      </c>
      <c r="AX70" s="525" t="e">
        <f ca="1">stat(calculs!AX70)</f>
        <v>#NAME?</v>
      </c>
      <c r="AY70" s="525" t="e">
        <f ca="1">stat(calculs!AY70)</f>
        <v>#NAME?</v>
      </c>
      <c r="AZ70" s="525" t="e">
        <f ca="1">stat(calculs!AZ70)</f>
        <v>#NAME?</v>
      </c>
      <c r="BA70" s="525" t="e">
        <f ca="1">stat(calculs!BA70)</f>
        <v>#NAME?</v>
      </c>
      <c r="BB70" s="525" t="e">
        <f ca="1">stat(calculs!BB70)</f>
        <v>#NAME?</v>
      </c>
      <c r="BC70" s="525" t="e">
        <f ca="1">stat(calculs!BC70)</f>
        <v>#NAME?</v>
      </c>
      <c r="BD70" s="525" t="e">
        <f ca="1">stat(calculs!BD70)</f>
        <v>#NAME?</v>
      </c>
      <c r="BE70" s="525" t="e">
        <f ca="1">stat(calculs!BE70)</f>
        <v>#NAME?</v>
      </c>
      <c r="BF70" s="525" t="e">
        <f ca="1">stat(calculs!BF70)</f>
        <v>#NAME?</v>
      </c>
      <c r="BG70" s="729" t="e">
        <f ca="1">stat(calculs!BG70)</f>
        <v>#NAME?</v>
      </c>
      <c r="BH70" s="729" t="e">
        <f ca="1">stat(calculs!BH70)</f>
        <v>#NAME?</v>
      </c>
      <c r="BI70" s="729" t="e">
        <f ca="1">stat(calculs!BI70)</f>
        <v>#NAME?</v>
      </c>
      <c r="BJ70" s="729" t="e">
        <f ca="1">stat(calculs!BJ70)</f>
        <v>#NAME?</v>
      </c>
      <c r="BK70" s="729" t="e">
        <f ca="1">stat(calculs!BK70)</f>
        <v>#NAME?</v>
      </c>
      <c r="BL70" s="525" t="e">
        <f ca="1">stat(calculs!BL70)</f>
        <v>#NAME?</v>
      </c>
      <c r="BM70" s="525" t="e">
        <f ca="1">stat(calculs!BM70)</f>
        <v>#NAME?</v>
      </c>
      <c r="BN70" s="525" t="e">
        <f ca="1">stat(calculs!BN70)</f>
        <v>#NAME?</v>
      </c>
      <c r="BO70" s="525" t="e">
        <f ca="1">stat(calculs!BO70)</f>
        <v>#NAME?</v>
      </c>
      <c r="BP70" s="525" t="e">
        <f ca="1">stat(calculs!BP70)</f>
        <v>#NAME?</v>
      </c>
      <c r="BQ70" s="525" t="e">
        <f ca="1">stat(calculs!BQ70)</f>
        <v>#NAME?</v>
      </c>
      <c r="BR70" s="525" t="e">
        <f ca="1">stat(calculs!BR70)</f>
        <v>#NAME?</v>
      </c>
    </row>
    <row r="71" spans="1:70" x14ac:dyDescent="0.2">
      <c r="A71" s="222">
        <f>données_step[[#This Row],[Datum]]</f>
        <v>44622</v>
      </c>
      <c r="B71" s="223"/>
      <c r="C71" s="224">
        <f t="shared" si="0"/>
        <v>4</v>
      </c>
      <c r="D71" s="523" t="e">
        <f ca="1">stat(charge_entree[[#This Row],[ch_E_DBO5]])</f>
        <v>#NAME?</v>
      </c>
      <c r="E71" s="523" t="e">
        <f ca="1">stat(charge_entree[[#This Row],[ch_E_DCO]])</f>
        <v>#NAME?</v>
      </c>
      <c r="F71" s="523" t="e">
        <f ca="1">stat(charge_entree[[#This Row],[ch_E_COT]])</f>
        <v>#NAME?</v>
      </c>
      <c r="G71" s="523" t="e">
        <f ca="1">stat(charge_entree[[#This Row],[ch_E_NH4]])</f>
        <v>#NAME?</v>
      </c>
      <c r="H71" s="523" t="e">
        <f ca="1">stat(charge_entree[[#This Row],[ch_E_NTOT]])</f>
        <v>#NAME?</v>
      </c>
      <c r="I71" s="523" t="e">
        <f ca="1">stat(charge_entree[[#This Row],[ch_E_PTOT]])</f>
        <v>#NAME?</v>
      </c>
      <c r="J71" s="523" t="e">
        <f ca="1">stat(charge_entree[[#This Row],[ch_S_DBO]])</f>
        <v>#NAME?</v>
      </c>
      <c r="K71" s="523" t="e">
        <f ca="1">stat(charge_entree[[#This Row],[ch_S-DCO]])</f>
        <v>#NAME?</v>
      </c>
      <c r="L71" s="523" t="e">
        <f ca="1">stat(charge_entree[[#This Row],[ch_S_DOC]])</f>
        <v>#NAME?</v>
      </c>
      <c r="M71" s="523" t="e">
        <f ca="1">stat(charge_entree[[#This Row],[ch_S_NH4]])</f>
        <v>#NAME?</v>
      </c>
      <c r="N71" s="523" t="e">
        <f ca="1">stat(charge_entree[[#This Row],[ch_S_NO2]])</f>
        <v>#NAME?</v>
      </c>
      <c r="O71" s="523" t="e">
        <f ca="1">stat(charge_entree[[#This Row],[ch_S_NO3]])</f>
        <v>#NAME?</v>
      </c>
      <c r="P71" s="523" t="e">
        <f ca="1">stat(charge_entree[[#This Row],[ch_S_PTOT]])</f>
        <v>#NAME?</v>
      </c>
      <c r="Q71" s="523" t="e">
        <f ca="1">stat(charge_entree[[#This Row],[ch_S_SNDT]])</f>
        <v>#NAME?</v>
      </c>
      <c r="R71" s="523">
        <f>calculs!R71</f>
        <v>0</v>
      </c>
      <c r="S71" s="523" t="e">
        <f ca="1">stat(calculs!S71)</f>
        <v>#NAME?</v>
      </c>
      <c r="T71" s="523" t="e">
        <f ca="1">stat(calculs!T71)</f>
        <v>#NAME?</v>
      </c>
      <c r="U71" s="523" t="e">
        <f ca="1">stat(calculs!U71)</f>
        <v>#NAME?</v>
      </c>
      <c r="V71" s="523" t="e">
        <f ca="1">stat(calculs!V71)</f>
        <v>#NAME?</v>
      </c>
      <c r="W71" s="523" t="e">
        <f ca="1">stat(calculs!W71)</f>
        <v>#NAME?</v>
      </c>
      <c r="X71" s="523" t="e">
        <f ca="1">stat(calculs!X71)</f>
        <v>#NAME?</v>
      </c>
      <c r="Y71" s="523" t="e">
        <f ca="1">stat(calculs!Y71)</f>
        <v>#NAME?</v>
      </c>
      <c r="Z71" s="523" t="e">
        <f ca="1">stat(calculs!Z71)</f>
        <v>#NAME?</v>
      </c>
      <c r="AA71" s="523" t="e">
        <f ca="1">stat(calculs!AA71)</f>
        <v>#NAME?</v>
      </c>
      <c r="AB71" s="523" t="e">
        <f ca="1">stat(calculs!AB71)</f>
        <v>#NAME?</v>
      </c>
      <c r="AC71" s="523" t="e">
        <f ca="1">stat(calculs!AC71)</f>
        <v>#NAME?</v>
      </c>
      <c r="AD71" s="523" t="e">
        <f ca="1">stat(calculs!AD71)</f>
        <v>#NAME?</v>
      </c>
      <c r="AE71" s="523" t="e">
        <f ca="1">stat(calculs!AE71)</f>
        <v>#NAME?</v>
      </c>
      <c r="AF71" s="523" t="e">
        <f ca="1">stat(calculs!AF71)</f>
        <v>#NAME?</v>
      </c>
      <c r="AG71" s="523" t="e">
        <f ca="1">stat(calculs!AG71)</f>
        <v>#NAME?</v>
      </c>
      <c r="AH71" s="523" t="e">
        <f ca="1">stat(calculs!AH71)</f>
        <v>#NAME?</v>
      </c>
      <c r="AI71" s="523" t="e">
        <f ca="1">stat(calculs!AI71)</f>
        <v>#NAME?</v>
      </c>
      <c r="AJ71" s="523" t="e">
        <f ca="1">stat(calculs!AJ71)</f>
        <v>#NAME?</v>
      </c>
      <c r="AK71" s="523" t="e">
        <f ca="1">stat(calculs!AK71)</f>
        <v>#NAME?</v>
      </c>
      <c r="AL71" s="523" t="e">
        <f ca="1">stat(calculs!AL71)</f>
        <v>#NAME?</v>
      </c>
      <c r="AM71" s="523" t="e">
        <f ca="1">stat(calculs!AM71)</f>
        <v>#NAME?</v>
      </c>
      <c r="AN71" s="523" t="e">
        <f ca="1">stat(calculs!AN71)</f>
        <v>#NAME?</v>
      </c>
      <c r="AO71" s="523" t="e">
        <f ca="1">stat(calculs!AO71)</f>
        <v>#NAME?</v>
      </c>
      <c r="AP71" s="523" t="e">
        <f ca="1">stat(calculs!AP71)</f>
        <v>#NAME?</v>
      </c>
      <c r="AQ71" s="523" t="e">
        <f ca="1">stat(calculs!AQ71)</f>
        <v>#NAME?</v>
      </c>
      <c r="AT71" s="517"/>
      <c r="AV71" s="525" t="e">
        <f ca="1">stat(calculs!AV71)</f>
        <v>#NAME?</v>
      </c>
      <c r="AW71" s="525" t="e">
        <f ca="1">stat(calculs!AW71)</f>
        <v>#NAME?</v>
      </c>
      <c r="AX71" s="525" t="e">
        <f ca="1">stat(calculs!AX71)</f>
        <v>#NAME?</v>
      </c>
      <c r="AY71" s="525" t="e">
        <f ca="1">stat(calculs!AY71)</f>
        <v>#NAME?</v>
      </c>
      <c r="AZ71" s="525" t="e">
        <f ca="1">stat(calculs!AZ71)</f>
        <v>#NAME?</v>
      </c>
      <c r="BA71" s="525" t="e">
        <f ca="1">stat(calculs!BA71)</f>
        <v>#NAME?</v>
      </c>
      <c r="BB71" s="525" t="e">
        <f ca="1">stat(calculs!BB71)</f>
        <v>#NAME?</v>
      </c>
      <c r="BC71" s="525" t="e">
        <f ca="1">stat(calculs!BC71)</f>
        <v>#NAME?</v>
      </c>
      <c r="BD71" s="525" t="e">
        <f ca="1">stat(calculs!BD71)</f>
        <v>#NAME?</v>
      </c>
      <c r="BE71" s="525" t="e">
        <f ca="1">stat(calculs!BE71)</f>
        <v>#NAME?</v>
      </c>
      <c r="BF71" s="525" t="e">
        <f ca="1">stat(calculs!BF71)</f>
        <v>#NAME?</v>
      </c>
      <c r="BG71" s="729" t="e">
        <f ca="1">stat(calculs!BG71)</f>
        <v>#NAME?</v>
      </c>
      <c r="BH71" s="729" t="e">
        <f ca="1">stat(calculs!BH71)</f>
        <v>#NAME?</v>
      </c>
      <c r="BI71" s="729" t="e">
        <f ca="1">stat(calculs!BI71)</f>
        <v>#NAME?</v>
      </c>
      <c r="BJ71" s="729" t="e">
        <f ca="1">stat(calculs!BJ71)</f>
        <v>#NAME?</v>
      </c>
      <c r="BK71" s="729" t="e">
        <f ca="1">stat(calculs!BK71)</f>
        <v>#NAME?</v>
      </c>
      <c r="BL71" s="525" t="e">
        <f ca="1">stat(calculs!BL71)</f>
        <v>#NAME?</v>
      </c>
      <c r="BM71" s="525" t="e">
        <f ca="1">stat(calculs!BM71)</f>
        <v>#NAME?</v>
      </c>
      <c r="BN71" s="525" t="e">
        <f ca="1">stat(calculs!BN71)</f>
        <v>#NAME?</v>
      </c>
      <c r="BO71" s="525" t="e">
        <f ca="1">stat(calculs!BO71)</f>
        <v>#NAME?</v>
      </c>
      <c r="BP71" s="525" t="e">
        <f ca="1">stat(calculs!BP71)</f>
        <v>#NAME?</v>
      </c>
      <c r="BQ71" s="525" t="e">
        <f ca="1">stat(calculs!BQ71)</f>
        <v>#NAME?</v>
      </c>
      <c r="BR71" s="525" t="e">
        <f ca="1">stat(calculs!BR71)</f>
        <v>#NAME?</v>
      </c>
    </row>
    <row r="72" spans="1:70" x14ac:dyDescent="0.2">
      <c r="A72" s="222">
        <f>données_step[[#This Row],[Datum]]</f>
        <v>44623</v>
      </c>
      <c r="B72" s="223"/>
      <c r="C72" s="224">
        <f t="shared" si="0"/>
        <v>5</v>
      </c>
      <c r="D72" s="523" t="e">
        <f ca="1">stat(charge_entree[[#This Row],[ch_E_DBO5]])</f>
        <v>#NAME?</v>
      </c>
      <c r="E72" s="523" t="e">
        <f ca="1">stat(charge_entree[[#This Row],[ch_E_DCO]])</f>
        <v>#NAME?</v>
      </c>
      <c r="F72" s="523" t="e">
        <f ca="1">stat(charge_entree[[#This Row],[ch_E_COT]])</f>
        <v>#NAME?</v>
      </c>
      <c r="G72" s="523" t="e">
        <f ca="1">stat(charge_entree[[#This Row],[ch_E_NH4]])</f>
        <v>#NAME?</v>
      </c>
      <c r="H72" s="523" t="e">
        <f ca="1">stat(charge_entree[[#This Row],[ch_E_NTOT]])</f>
        <v>#NAME?</v>
      </c>
      <c r="I72" s="523" t="e">
        <f ca="1">stat(charge_entree[[#This Row],[ch_E_PTOT]])</f>
        <v>#NAME?</v>
      </c>
      <c r="J72" s="523" t="e">
        <f ca="1">stat(charge_entree[[#This Row],[ch_S_DBO]])</f>
        <v>#NAME?</v>
      </c>
      <c r="K72" s="523" t="e">
        <f ca="1">stat(charge_entree[[#This Row],[ch_S-DCO]])</f>
        <v>#NAME?</v>
      </c>
      <c r="L72" s="523" t="e">
        <f ca="1">stat(charge_entree[[#This Row],[ch_S_DOC]])</f>
        <v>#NAME?</v>
      </c>
      <c r="M72" s="523" t="e">
        <f ca="1">stat(charge_entree[[#This Row],[ch_S_NH4]])</f>
        <v>#NAME?</v>
      </c>
      <c r="N72" s="523" t="e">
        <f ca="1">stat(charge_entree[[#This Row],[ch_S_NO2]])</f>
        <v>#NAME?</v>
      </c>
      <c r="O72" s="523" t="e">
        <f ca="1">stat(charge_entree[[#This Row],[ch_S_NO3]])</f>
        <v>#NAME?</v>
      </c>
      <c r="P72" s="523" t="e">
        <f ca="1">stat(charge_entree[[#This Row],[ch_S_PTOT]])</f>
        <v>#NAME?</v>
      </c>
      <c r="Q72" s="523" t="e">
        <f ca="1">stat(charge_entree[[#This Row],[ch_S_SNDT]])</f>
        <v>#NAME?</v>
      </c>
      <c r="R72" s="523">
        <f>calculs!R72</f>
        <v>0</v>
      </c>
      <c r="S72" s="523" t="e">
        <f ca="1">stat(calculs!S72)</f>
        <v>#NAME?</v>
      </c>
      <c r="T72" s="523" t="e">
        <f ca="1">stat(calculs!T72)</f>
        <v>#NAME?</v>
      </c>
      <c r="U72" s="523" t="e">
        <f ca="1">stat(calculs!U72)</f>
        <v>#NAME?</v>
      </c>
      <c r="V72" s="523" t="e">
        <f ca="1">stat(calculs!V72)</f>
        <v>#NAME?</v>
      </c>
      <c r="W72" s="523" t="e">
        <f ca="1">stat(calculs!W72)</f>
        <v>#NAME?</v>
      </c>
      <c r="X72" s="523" t="e">
        <f ca="1">stat(calculs!X72)</f>
        <v>#NAME?</v>
      </c>
      <c r="Y72" s="523" t="e">
        <f ca="1">stat(calculs!Y72)</f>
        <v>#NAME?</v>
      </c>
      <c r="Z72" s="523" t="e">
        <f ca="1">stat(calculs!Z72)</f>
        <v>#NAME?</v>
      </c>
      <c r="AA72" s="523" t="e">
        <f ca="1">stat(calculs!AA72)</f>
        <v>#NAME?</v>
      </c>
      <c r="AB72" s="523" t="e">
        <f ca="1">stat(calculs!AB72)</f>
        <v>#NAME?</v>
      </c>
      <c r="AC72" s="523" t="e">
        <f ca="1">stat(calculs!AC72)</f>
        <v>#NAME?</v>
      </c>
      <c r="AD72" s="523" t="e">
        <f ca="1">stat(calculs!AD72)</f>
        <v>#NAME?</v>
      </c>
      <c r="AE72" s="523" t="e">
        <f ca="1">stat(calculs!AE72)</f>
        <v>#NAME?</v>
      </c>
      <c r="AF72" s="523" t="e">
        <f ca="1">stat(calculs!AF72)</f>
        <v>#NAME?</v>
      </c>
      <c r="AG72" s="523" t="e">
        <f ca="1">stat(calculs!AG72)</f>
        <v>#NAME?</v>
      </c>
      <c r="AH72" s="523" t="e">
        <f ca="1">stat(calculs!AH72)</f>
        <v>#NAME?</v>
      </c>
      <c r="AI72" s="523" t="e">
        <f ca="1">stat(calculs!AI72)</f>
        <v>#NAME?</v>
      </c>
      <c r="AJ72" s="523" t="e">
        <f ca="1">stat(calculs!AJ72)</f>
        <v>#NAME?</v>
      </c>
      <c r="AK72" s="523" t="e">
        <f ca="1">stat(calculs!AK72)</f>
        <v>#NAME?</v>
      </c>
      <c r="AL72" s="523" t="e">
        <f ca="1">stat(calculs!AL72)</f>
        <v>#NAME?</v>
      </c>
      <c r="AM72" s="523" t="e">
        <f ca="1">stat(calculs!AM72)</f>
        <v>#NAME?</v>
      </c>
      <c r="AN72" s="523" t="e">
        <f ca="1">stat(calculs!AN72)</f>
        <v>#NAME?</v>
      </c>
      <c r="AO72" s="523" t="e">
        <f ca="1">stat(calculs!AO72)</f>
        <v>#NAME?</v>
      </c>
      <c r="AP72" s="523" t="e">
        <f ca="1">stat(calculs!AP72)</f>
        <v>#NAME?</v>
      </c>
      <c r="AQ72" s="523" t="e">
        <f ca="1">stat(calculs!AQ72)</f>
        <v>#NAME?</v>
      </c>
      <c r="AT72" s="517"/>
      <c r="AV72" s="525" t="e">
        <f ca="1">stat(calculs!AV72)</f>
        <v>#NAME?</v>
      </c>
      <c r="AW72" s="525" t="e">
        <f ca="1">stat(calculs!AW72)</f>
        <v>#NAME?</v>
      </c>
      <c r="AX72" s="525" t="e">
        <f ca="1">stat(calculs!AX72)</f>
        <v>#NAME?</v>
      </c>
      <c r="AY72" s="525" t="e">
        <f ca="1">stat(calculs!AY72)</f>
        <v>#NAME?</v>
      </c>
      <c r="AZ72" s="525" t="e">
        <f ca="1">stat(calculs!AZ72)</f>
        <v>#NAME?</v>
      </c>
      <c r="BA72" s="525" t="e">
        <f ca="1">stat(calculs!BA72)</f>
        <v>#NAME?</v>
      </c>
      <c r="BB72" s="525" t="e">
        <f ca="1">stat(calculs!BB72)</f>
        <v>#NAME?</v>
      </c>
      <c r="BC72" s="525" t="e">
        <f ca="1">stat(calculs!BC72)</f>
        <v>#NAME?</v>
      </c>
      <c r="BD72" s="525" t="e">
        <f ca="1">stat(calculs!BD72)</f>
        <v>#NAME?</v>
      </c>
      <c r="BE72" s="525" t="e">
        <f ca="1">stat(calculs!BE72)</f>
        <v>#NAME?</v>
      </c>
      <c r="BF72" s="525" t="e">
        <f ca="1">stat(calculs!BF72)</f>
        <v>#NAME?</v>
      </c>
      <c r="BG72" s="729" t="e">
        <f ca="1">stat(calculs!BG72)</f>
        <v>#NAME?</v>
      </c>
      <c r="BH72" s="729" t="e">
        <f ca="1">stat(calculs!BH72)</f>
        <v>#NAME?</v>
      </c>
      <c r="BI72" s="729" t="e">
        <f ca="1">stat(calculs!BI72)</f>
        <v>#NAME?</v>
      </c>
      <c r="BJ72" s="729" t="e">
        <f ca="1">stat(calculs!BJ72)</f>
        <v>#NAME?</v>
      </c>
      <c r="BK72" s="729" t="e">
        <f ca="1">stat(calculs!BK72)</f>
        <v>#NAME?</v>
      </c>
      <c r="BL72" s="525" t="e">
        <f ca="1">stat(calculs!BL72)</f>
        <v>#NAME?</v>
      </c>
      <c r="BM72" s="525" t="e">
        <f ca="1">stat(calculs!BM72)</f>
        <v>#NAME?</v>
      </c>
      <c r="BN72" s="525" t="e">
        <f ca="1">stat(calculs!BN72)</f>
        <v>#NAME?</v>
      </c>
      <c r="BO72" s="525" t="e">
        <f ca="1">stat(calculs!BO72)</f>
        <v>#NAME?</v>
      </c>
      <c r="BP72" s="525" t="e">
        <f ca="1">stat(calculs!BP72)</f>
        <v>#NAME?</v>
      </c>
      <c r="BQ72" s="525" t="e">
        <f ca="1">stat(calculs!BQ72)</f>
        <v>#NAME?</v>
      </c>
      <c r="BR72" s="525" t="e">
        <f ca="1">stat(calculs!BR72)</f>
        <v>#NAME?</v>
      </c>
    </row>
    <row r="73" spans="1:70" x14ac:dyDescent="0.2">
      <c r="A73" s="222">
        <f>données_step[[#This Row],[Datum]]</f>
        <v>44624</v>
      </c>
      <c r="B73" s="223"/>
      <c r="C73" s="224">
        <f t="shared" si="0"/>
        <v>6</v>
      </c>
      <c r="D73" s="523" t="e">
        <f ca="1">stat(charge_entree[[#This Row],[ch_E_DBO5]])</f>
        <v>#NAME?</v>
      </c>
      <c r="E73" s="523" t="e">
        <f ca="1">stat(charge_entree[[#This Row],[ch_E_DCO]])</f>
        <v>#NAME?</v>
      </c>
      <c r="F73" s="523" t="e">
        <f ca="1">stat(charge_entree[[#This Row],[ch_E_COT]])</f>
        <v>#NAME?</v>
      </c>
      <c r="G73" s="523" t="e">
        <f ca="1">stat(charge_entree[[#This Row],[ch_E_NH4]])</f>
        <v>#NAME?</v>
      </c>
      <c r="H73" s="523" t="e">
        <f ca="1">stat(charge_entree[[#This Row],[ch_E_NTOT]])</f>
        <v>#NAME?</v>
      </c>
      <c r="I73" s="523" t="e">
        <f ca="1">stat(charge_entree[[#This Row],[ch_E_PTOT]])</f>
        <v>#NAME?</v>
      </c>
      <c r="J73" s="523" t="e">
        <f ca="1">stat(charge_entree[[#This Row],[ch_S_DBO]])</f>
        <v>#NAME?</v>
      </c>
      <c r="K73" s="523" t="e">
        <f ca="1">stat(charge_entree[[#This Row],[ch_S-DCO]])</f>
        <v>#NAME?</v>
      </c>
      <c r="L73" s="523" t="e">
        <f ca="1">stat(charge_entree[[#This Row],[ch_S_DOC]])</f>
        <v>#NAME?</v>
      </c>
      <c r="M73" s="523" t="e">
        <f ca="1">stat(charge_entree[[#This Row],[ch_S_NH4]])</f>
        <v>#NAME?</v>
      </c>
      <c r="N73" s="523" t="e">
        <f ca="1">stat(charge_entree[[#This Row],[ch_S_NO2]])</f>
        <v>#NAME?</v>
      </c>
      <c r="O73" s="523" t="e">
        <f ca="1">stat(charge_entree[[#This Row],[ch_S_NO3]])</f>
        <v>#NAME?</v>
      </c>
      <c r="P73" s="523" t="e">
        <f ca="1">stat(charge_entree[[#This Row],[ch_S_PTOT]])</f>
        <v>#NAME?</v>
      </c>
      <c r="Q73" s="523" t="e">
        <f ca="1">stat(charge_entree[[#This Row],[ch_S_SNDT]])</f>
        <v>#NAME?</v>
      </c>
      <c r="R73" s="523">
        <f>calculs!R73</f>
        <v>0</v>
      </c>
      <c r="S73" s="523" t="e">
        <f ca="1">stat(calculs!S73)</f>
        <v>#NAME?</v>
      </c>
      <c r="T73" s="523" t="e">
        <f ca="1">stat(calculs!T73)</f>
        <v>#NAME?</v>
      </c>
      <c r="U73" s="523" t="e">
        <f ca="1">stat(calculs!U73)</f>
        <v>#NAME?</v>
      </c>
      <c r="V73" s="523" t="e">
        <f ca="1">stat(calculs!V73)</f>
        <v>#NAME?</v>
      </c>
      <c r="W73" s="523" t="e">
        <f ca="1">stat(calculs!W73)</f>
        <v>#NAME?</v>
      </c>
      <c r="X73" s="523" t="e">
        <f ca="1">stat(calculs!X73)</f>
        <v>#NAME?</v>
      </c>
      <c r="Y73" s="523" t="e">
        <f ca="1">stat(calculs!Y73)</f>
        <v>#NAME?</v>
      </c>
      <c r="Z73" s="523" t="e">
        <f ca="1">stat(calculs!Z73)</f>
        <v>#NAME?</v>
      </c>
      <c r="AA73" s="523" t="e">
        <f ca="1">stat(calculs!AA73)</f>
        <v>#NAME?</v>
      </c>
      <c r="AB73" s="523" t="e">
        <f ca="1">stat(calculs!AB73)</f>
        <v>#NAME?</v>
      </c>
      <c r="AC73" s="523" t="e">
        <f ca="1">stat(calculs!AC73)</f>
        <v>#NAME?</v>
      </c>
      <c r="AD73" s="523" t="e">
        <f ca="1">stat(calculs!AD73)</f>
        <v>#NAME?</v>
      </c>
      <c r="AE73" s="523" t="e">
        <f ca="1">stat(calculs!AE73)</f>
        <v>#NAME?</v>
      </c>
      <c r="AF73" s="523" t="e">
        <f ca="1">stat(calculs!AF73)</f>
        <v>#NAME?</v>
      </c>
      <c r="AG73" s="523" t="e">
        <f ca="1">stat(calculs!AG73)</f>
        <v>#NAME?</v>
      </c>
      <c r="AH73" s="523" t="e">
        <f ca="1">stat(calculs!AH73)</f>
        <v>#NAME?</v>
      </c>
      <c r="AI73" s="523" t="e">
        <f ca="1">stat(calculs!AI73)</f>
        <v>#NAME?</v>
      </c>
      <c r="AJ73" s="523" t="e">
        <f ca="1">stat(calculs!AJ73)</f>
        <v>#NAME?</v>
      </c>
      <c r="AK73" s="523" t="e">
        <f ca="1">stat(calculs!AK73)</f>
        <v>#NAME?</v>
      </c>
      <c r="AL73" s="523" t="e">
        <f ca="1">stat(calculs!AL73)</f>
        <v>#NAME?</v>
      </c>
      <c r="AM73" s="523" t="e">
        <f ca="1">stat(calculs!AM73)</f>
        <v>#NAME?</v>
      </c>
      <c r="AN73" s="523" t="e">
        <f ca="1">stat(calculs!AN73)</f>
        <v>#NAME?</v>
      </c>
      <c r="AO73" s="523" t="e">
        <f ca="1">stat(calculs!AO73)</f>
        <v>#NAME?</v>
      </c>
      <c r="AP73" s="523" t="e">
        <f ca="1">stat(calculs!AP73)</f>
        <v>#NAME?</v>
      </c>
      <c r="AQ73" s="523" t="e">
        <f ca="1">stat(calculs!AQ73)</f>
        <v>#NAME?</v>
      </c>
      <c r="AT73" s="517"/>
      <c r="AV73" s="525" t="e">
        <f ca="1">stat(calculs!AV73)</f>
        <v>#NAME?</v>
      </c>
      <c r="AW73" s="525" t="e">
        <f ca="1">stat(calculs!AW73)</f>
        <v>#NAME?</v>
      </c>
      <c r="AX73" s="525" t="e">
        <f ca="1">stat(calculs!AX73)</f>
        <v>#NAME?</v>
      </c>
      <c r="AY73" s="525" t="e">
        <f ca="1">stat(calculs!AY73)</f>
        <v>#NAME?</v>
      </c>
      <c r="AZ73" s="525" t="e">
        <f ca="1">stat(calculs!AZ73)</f>
        <v>#NAME?</v>
      </c>
      <c r="BA73" s="525" t="e">
        <f ca="1">stat(calculs!BA73)</f>
        <v>#NAME?</v>
      </c>
      <c r="BB73" s="525" t="e">
        <f ca="1">stat(calculs!BB73)</f>
        <v>#NAME?</v>
      </c>
      <c r="BC73" s="525" t="e">
        <f ca="1">stat(calculs!BC73)</f>
        <v>#NAME?</v>
      </c>
      <c r="BD73" s="525" t="e">
        <f ca="1">stat(calculs!BD73)</f>
        <v>#NAME?</v>
      </c>
      <c r="BE73" s="525" t="e">
        <f ca="1">stat(calculs!BE73)</f>
        <v>#NAME?</v>
      </c>
      <c r="BF73" s="525" t="e">
        <f ca="1">stat(calculs!BF73)</f>
        <v>#NAME?</v>
      </c>
      <c r="BG73" s="729" t="e">
        <f ca="1">stat(calculs!BG73)</f>
        <v>#NAME?</v>
      </c>
      <c r="BH73" s="729" t="e">
        <f ca="1">stat(calculs!BH73)</f>
        <v>#NAME?</v>
      </c>
      <c r="BI73" s="729" t="e">
        <f ca="1">stat(calculs!BI73)</f>
        <v>#NAME?</v>
      </c>
      <c r="BJ73" s="729" t="e">
        <f ca="1">stat(calculs!BJ73)</f>
        <v>#NAME?</v>
      </c>
      <c r="BK73" s="729" t="e">
        <f ca="1">stat(calculs!BK73)</f>
        <v>#NAME?</v>
      </c>
      <c r="BL73" s="525" t="e">
        <f ca="1">stat(calculs!BL73)</f>
        <v>#NAME?</v>
      </c>
      <c r="BM73" s="525" t="e">
        <f ca="1">stat(calculs!BM73)</f>
        <v>#NAME?</v>
      </c>
      <c r="BN73" s="525" t="e">
        <f ca="1">stat(calculs!BN73)</f>
        <v>#NAME?</v>
      </c>
      <c r="BO73" s="525" t="e">
        <f ca="1">stat(calculs!BO73)</f>
        <v>#NAME?</v>
      </c>
      <c r="BP73" s="525" t="e">
        <f ca="1">stat(calculs!BP73)</f>
        <v>#NAME?</v>
      </c>
      <c r="BQ73" s="525" t="e">
        <f ca="1">stat(calculs!BQ73)</f>
        <v>#NAME?</v>
      </c>
      <c r="BR73" s="525" t="e">
        <f ca="1">stat(calculs!BR73)</f>
        <v>#NAME?</v>
      </c>
    </row>
    <row r="74" spans="1:70" x14ac:dyDescent="0.2">
      <c r="A74" s="222">
        <f>données_step[[#This Row],[Datum]]</f>
        <v>44625</v>
      </c>
      <c r="B74" s="223"/>
      <c r="C74" s="224">
        <f t="shared" si="0"/>
        <v>7</v>
      </c>
      <c r="D74" s="523" t="e">
        <f ca="1">stat(charge_entree[[#This Row],[ch_E_DBO5]])</f>
        <v>#NAME?</v>
      </c>
      <c r="E74" s="523" t="e">
        <f ca="1">stat(charge_entree[[#This Row],[ch_E_DCO]])</f>
        <v>#NAME?</v>
      </c>
      <c r="F74" s="523" t="e">
        <f ca="1">stat(charge_entree[[#This Row],[ch_E_COT]])</f>
        <v>#NAME?</v>
      </c>
      <c r="G74" s="523" t="e">
        <f ca="1">stat(charge_entree[[#This Row],[ch_E_NH4]])</f>
        <v>#NAME?</v>
      </c>
      <c r="H74" s="523" t="e">
        <f ca="1">stat(charge_entree[[#This Row],[ch_E_NTOT]])</f>
        <v>#NAME?</v>
      </c>
      <c r="I74" s="523" t="e">
        <f ca="1">stat(charge_entree[[#This Row],[ch_E_PTOT]])</f>
        <v>#NAME?</v>
      </c>
      <c r="J74" s="523" t="e">
        <f ca="1">stat(charge_entree[[#This Row],[ch_S_DBO]])</f>
        <v>#NAME?</v>
      </c>
      <c r="K74" s="523" t="e">
        <f ca="1">stat(charge_entree[[#This Row],[ch_S-DCO]])</f>
        <v>#NAME?</v>
      </c>
      <c r="L74" s="523" t="e">
        <f ca="1">stat(charge_entree[[#This Row],[ch_S_DOC]])</f>
        <v>#NAME?</v>
      </c>
      <c r="M74" s="523" t="e">
        <f ca="1">stat(charge_entree[[#This Row],[ch_S_NH4]])</f>
        <v>#NAME?</v>
      </c>
      <c r="N74" s="523" t="e">
        <f ca="1">stat(charge_entree[[#This Row],[ch_S_NO2]])</f>
        <v>#NAME?</v>
      </c>
      <c r="O74" s="523" t="e">
        <f ca="1">stat(charge_entree[[#This Row],[ch_S_NO3]])</f>
        <v>#NAME?</v>
      </c>
      <c r="P74" s="523" t="e">
        <f ca="1">stat(charge_entree[[#This Row],[ch_S_PTOT]])</f>
        <v>#NAME?</v>
      </c>
      <c r="Q74" s="523" t="e">
        <f ca="1">stat(charge_entree[[#This Row],[ch_S_SNDT]])</f>
        <v>#NAME?</v>
      </c>
      <c r="R74" s="523">
        <f>calculs!R74</f>
        <v>0</v>
      </c>
      <c r="S74" s="523" t="e">
        <f ca="1">stat(calculs!S74)</f>
        <v>#NAME?</v>
      </c>
      <c r="T74" s="523" t="e">
        <f ca="1">stat(calculs!T74)</f>
        <v>#NAME?</v>
      </c>
      <c r="U74" s="523" t="e">
        <f ca="1">stat(calculs!U74)</f>
        <v>#NAME?</v>
      </c>
      <c r="V74" s="523" t="e">
        <f ca="1">stat(calculs!V74)</f>
        <v>#NAME?</v>
      </c>
      <c r="W74" s="523" t="e">
        <f ca="1">stat(calculs!W74)</f>
        <v>#NAME?</v>
      </c>
      <c r="X74" s="523" t="e">
        <f ca="1">stat(calculs!X74)</f>
        <v>#NAME?</v>
      </c>
      <c r="Y74" s="523" t="e">
        <f ca="1">stat(calculs!Y74)</f>
        <v>#NAME?</v>
      </c>
      <c r="Z74" s="523" t="e">
        <f ca="1">stat(calculs!Z74)</f>
        <v>#NAME?</v>
      </c>
      <c r="AA74" s="523" t="e">
        <f ca="1">stat(calculs!AA74)</f>
        <v>#NAME?</v>
      </c>
      <c r="AB74" s="523" t="e">
        <f ca="1">stat(calculs!AB74)</f>
        <v>#NAME?</v>
      </c>
      <c r="AC74" s="523" t="e">
        <f ca="1">stat(calculs!AC74)</f>
        <v>#NAME?</v>
      </c>
      <c r="AD74" s="523" t="e">
        <f ca="1">stat(calculs!AD74)</f>
        <v>#NAME?</v>
      </c>
      <c r="AE74" s="523" t="e">
        <f ca="1">stat(calculs!AE74)</f>
        <v>#NAME?</v>
      </c>
      <c r="AF74" s="523" t="e">
        <f ca="1">stat(calculs!AF74)</f>
        <v>#NAME?</v>
      </c>
      <c r="AG74" s="523" t="e">
        <f ca="1">stat(calculs!AG74)</f>
        <v>#NAME?</v>
      </c>
      <c r="AH74" s="523" t="e">
        <f ca="1">stat(calculs!AH74)</f>
        <v>#NAME?</v>
      </c>
      <c r="AI74" s="523" t="e">
        <f ca="1">stat(calculs!AI74)</f>
        <v>#NAME?</v>
      </c>
      <c r="AJ74" s="523" t="e">
        <f ca="1">stat(calculs!AJ74)</f>
        <v>#NAME?</v>
      </c>
      <c r="AK74" s="523" t="e">
        <f ca="1">stat(calculs!AK74)</f>
        <v>#NAME?</v>
      </c>
      <c r="AL74" s="523" t="e">
        <f ca="1">stat(calculs!AL74)</f>
        <v>#NAME?</v>
      </c>
      <c r="AM74" s="523" t="e">
        <f ca="1">stat(calculs!AM74)</f>
        <v>#NAME?</v>
      </c>
      <c r="AN74" s="523" t="e">
        <f ca="1">stat(calculs!AN74)</f>
        <v>#NAME?</v>
      </c>
      <c r="AO74" s="523" t="e">
        <f ca="1">stat(calculs!AO74)</f>
        <v>#NAME?</v>
      </c>
      <c r="AP74" s="523" t="e">
        <f ca="1">stat(calculs!AP74)</f>
        <v>#NAME?</v>
      </c>
      <c r="AQ74" s="523" t="e">
        <f ca="1">stat(calculs!AQ74)</f>
        <v>#NAME?</v>
      </c>
      <c r="AT74" s="517"/>
      <c r="AV74" s="525" t="e">
        <f ca="1">stat(calculs!AV74)</f>
        <v>#NAME?</v>
      </c>
      <c r="AW74" s="525" t="e">
        <f ca="1">stat(calculs!AW74)</f>
        <v>#NAME?</v>
      </c>
      <c r="AX74" s="525" t="e">
        <f ca="1">stat(calculs!AX74)</f>
        <v>#NAME?</v>
      </c>
      <c r="AY74" s="525" t="e">
        <f ca="1">stat(calculs!AY74)</f>
        <v>#NAME?</v>
      </c>
      <c r="AZ74" s="525" t="e">
        <f ca="1">stat(calculs!AZ74)</f>
        <v>#NAME?</v>
      </c>
      <c r="BA74" s="525" t="e">
        <f ca="1">stat(calculs!BA74)</f>
        <v>#NAME?</v>
      </c>
      <c r="BB74" s="525" t="e">
        <f ca="1">stat(calculs!BB74)</f>
        <v>#NAME?</v>
      </c>
      <c r="BC74" s="525" t="e">
        <f ca="1">stat(calculs!BC74)</f>
        <v>#NAME?</v>
      </c>
      <c r="BD74" s="525" t="e">
        <f ca="1">stat(calculs!BD74)</f>
        <v>#NAME?</v>
      </c>
      <c r="BE74" s="525" t="e">
        <f ca="1">stat(calculs!BE74)</f>
        <v>#NAME?</v>
      </c>
      <c r="BF74" s="525" t="e">
        <f ca="1">stat(calculs!BF74)</f>
        <v>#NAME?</v>
      </c>
      <c r="BG74" s="729" t="e">
        <f ca="1">stat(calculs!BG74)</f>
        <v>#NAME?</v>
      </c>
      <c r="BH74" s="729" t="e">
        <f ca="1">stat(calculs!BH74)</f>
        <v>#NAME?</v>
      </c>
      <c r="BI74" s="729" t="e">
        <f ca="1">stat(calculs!BI74)</f>
        <v>#NAME?</v>
      </c>
      <c r="BJ74" s="729" t="e">
        <f ca="1">stat(calculs!BJ74)</f>
        <v>#NAME?</v>
      </c>
      <c r="BK74" s="729" t="e">
        <f ca="1">stat(calculs!BK74)</f>
        <v>#NAME?</v>
      </c>
      <c r="BL74" s="525" t="e">
        <f ca="1">stat(calculs!BL74)</f>
        <v>#NAME?</v>
      </c>
      <c r="BM74" s="525" t="e">
        <f ca="1">stat(calculs!BM74)</f>
        <v>#NAME?</v>
      </c>
      <c r="BN74" s="525" t="e">
        <f ca="1">stat(calculs!BN74)</f>
        <v>#NAME?</v>
      </c>
      <c r="BO74" s="525" t="e">
        <f ca="1">stat(calculs!BO74)</f>
        <v>#NAME?</v>
      </c>
      <c r="BP74" s="525" t="e">
        <f ca="1">stat(calculs!BP74)</f>
        <v>#NAME?</v>
      </c>
      <c r="BQ74" s="525" t="e">
        <f ca="1">stat(calculs!BQ74)</f>
        <v>#NAME?</v>
      </c>
      <c r="BR74" s="525" t="e">
        <f ca="1">stat(calculs!BR74)</f>
        <v>#NAME?</v>
      </c>
    </row>
    <row r="75" spans="1:70" x14ac:dyDescent="0.2">
      <c r="A75" s="222">
        <f>données_step[[#This Row],[Datum]]</f>
        <v>44626</v>
      </c>
      <c r="B75" s="223"/>
      <c r="C75" s="224">
        <f t="shared" si="0"/>
        <v>1</v>
      </c>
      <c r="D75" s="523" t="e">
        <f ca="1">stat(charge_entree[[#This Row],[ch_E_DBO5]])</f>
        <v>#NAME?</v>
      </c>
      <c r="E75" s="523" t="e">
        <f ca="1">stat(charge_entree[[#This Row],[ch_E_DCO]])</f>
        <v>#NAME?</v>
      </c>
      <c r="F75" s="523" t="e">
        <f ca="1">stat(charge_entree[[#This Row],[ch_E_COT]])</f>
        <v>#NAME?</v>
      </c>
      <c r="G75" s="523" t="e">
        <f ca="1">stat(charge_entree[[#This Row],[ch_E_NH4]])</f>
        <v>#NAME?</v>
      </c>
      <c r="H75" s="523" t="e">
        <f ca="1">stat(charge_entree[[#This Row],[ch_E_NTOT]])</f>
        <v>#NAME?</v>
      </c>
      <c r="I75" s="523" t="e">
        <f ca="1">stat(charge_entree[[#This Row],[ch_E_PTOT]])</f>
        <v>#NAME?</v>
      </c>
      <c r="J75" s="523" t="e">
        <f ca="1">stat(charge_entree[[#This Row],[ch_S_DBO]])</f>
        <v>#NAME?</v>
      </c>
      <c r="K75" s="523" t="e">
        <f ca="1">stat(charge_entree[[#This Row],[ch_S-DCO]])</f>
        <v>#NAME?</v>
      </c>
      <c r="L75" s="523" t="e">
        <f ca="1">stat(charge_entree[[#This Row],[ch_S_DOC]])</f>
        <v>#NAME?</v>
      </c>
      <c r="M75" s="523" t="e">
        <f ca="1">stat(charge_entree[[#This Row],[ch_S_NH4]])</f>
        <v>#NAME?</v>
      </c>
      <c r="N75" s="523" t="e">
        <f ca="1">stat(charge_entree[[#This Row],[ch_S_NO2]])</f>
        <v>#NAME?</v>
      </c>
      <c r="O75" s="523" t="e">
        <f ca="1">stat(charge_entree[[#This Row],[ch_S_NO3]])</f>
        <v>#NAME?</v>
      </c>
      <c r="P75" s="523" t="e">
        <f ca="1">stat(charge_entree[[#This Row],[ch_S_PTOT]])</f>
        <v>#NAME?</v>
      </c>
      <c r="Q75" s="523" t="e">
        <f ca="1">stat(charge_entree[[#This Row],[ch_S_SNDT]])</f>
        <v>#NAME?</v>
      </c>
      <c r="R75" s="523">
        <f>calculs!R75</f>
        <v>0</v>
      </c>
      <c r="S75" s="523" t="e">
        <f ca="1">stat(calculs!S75)</f>
        <v>#NAME?</v>
      </c>
      <c r="T75" s="523" t="e">
        <f ca="1">stat(calculs!T75)</f>
        <v>#NAME?</v>
      </c>
      <c r="U75" s="523" t="e">
        <f ca="1">stat(calculs!U75)</f>
        <v>#NAME?</v>
      </c>
      <c r="V75" s="523" t="e">
        <f ca="1">stat(calculs!V75)</f>
        <v>#NAME?</v>
      </c>
      <c r="W75" s="523" t="e">
        <f ca="1">stat(calculs!W75)</f>
        <v>#NAME?</v>
      </c>
      <c r="X75" s="523" t="e">
        <f ca="1">stat(calculs!X75)</f>
        <v>#NAME?</v>
      </c>
      <c r="Y75" s="523" t="e">
        <f ca="1">stat(calculs!Y75)</f>
        <v>#NAME?</v>
      </c>
      <c r="Z75" s="523" t="e">
        <f ca="1">stat(calculs!Z75)</f>
        <v>#NAME?</v>
      </c>
      <c r="AA75" s="523" t="e">
        <f ca="1">stat(calculs!AA75)</f>
        <v>#NAME?</v>
      </c>
      <c r="AB75" s="523" t="e">
        <f ca="1">stat(calculs!AB75)</f>
        <v>#NAME?</v>
      </c>
      <c r="AC75" s="523" t="e">
        <f ca="1">stat(calculs!AC75)</f>
        <v>#NAME?</v>
      </c>
      <c r="AD75" s="523" t="e">
        <f ca="1">stat(calculs!AD75)</f>
        <v>#NAME?</v>
      </c>
      <c r="AE75" s="523" t="e">
        <f ca="1">stat(calculs!AE75)</f>
        <v>#NAME?</v>
      </c>
      <c r="AF75" s="523" t="e">
        <f ca="1">stat(calculs!AF75)</f>
        <v>#NAME?</v>
      </c>
      <c r="AG75" s="523" t="e">
        <f ca="1">stat(calculs!AG75)</f>
        <v>#NAME?</v>
      </c>
      <c r="AH75" s="523" t="e">
        <f ca="1">stat(calculs!AH75)</f>
        <v>#NAME?</v>
      </c>
      <c r="AI75" s="523" t="e">
        <f ca="1">stat(calculs!AI75)</f>
        <v>#NAME?</v>
      </c>
      <c r="AJ75" s="523" t="e">
        <f ca="1">stat(calculs!AJ75)</f>
        <v>#NAME?</v>
      </c>
      <c r="AK75" s="523" t="e">
        <f ca="1">stat(calculs!AK75)</f>
        <v>#NAME?</v>
      </c>
      <c r="AL75" s="523" t="e">
        <f ca="1">stat(calculs!AL75)</f>
        <v>#NAME?</v>
      </c>
      <c r="AM75" s="523" t="e">
        <f ca="1">stat(calculs!AM75)</f>
        <v>#NAME?</v>
      </c>
      <c r="AN75" s="523" t="e">
        <f ca="1">stat(calculs!AN75)</f>
        <v>#NAME?</v>
      </c>
      <c r="AO75" s="523" t="e">
        <f ca="1">stat(calculs!AO75)</f>
        <v>#NAME?</v>
      </c>
      <c r="AP75" s="523" t="e">
        <f ca="1">stat(calculs!AP75)</f>
        <v>#NAME?</v>
      </c>
      <c r="AQ75" s="523" t="e">
        <f ca="1">stat(calculs!AQ75)</f>
        <v>#NAME?</v>
      </c>
      <c r="AT75" s="517"/>
      <c r="AV75" s="525" t="e">
        <f ca="1">stat(calculs!AV75)</f>
        <v>#NAME?</v>
      </c>
      <c r="AW75" s="525" t="e">
        <f ca="1">stat(calculs!AW75)</f>
        <v>#NAME?</v>
      </c>
      <c r="AX75" s="525" t="e">
        <f ca="1">stat(calculs!AX75)</f>
        <v>#NAME?</v>
      </c>
      <c r="AY75" s="525" t="e">
        <f ca="1">stat(calculs!AY75)</f>
        <v>#NAME?</v>
      </c>
      <c r="AZ75" s="525" t="e">
        <f ca="1">stat(calculs!AZ75)</f>
        <v>#NAME?</v>
      </c>
      <c r="BA75" s="525" t="e">
        <f ca="1">stat(calculs!BA75)</f>
        <v>#NAME?</v>
      </c>
      <c r="BB75" s="525" t="e">
        <f ca="1">stat(calculs!BB75)</f>
        <v>#NAME?</v>
      </c>
      <c r="BC75" s="525" t="e">
        <f ca="1">stat(calculs!BC75)</f>
        <v>#NAME?</v>
      </c>
      <c r="BD75" s="525" t="e">
        <f ca="1">stat(calculs!BD75)</f>
        <v>#NAME?</v>
      </c>
      <c r="BE75" s="525" t="e">
        <f ca="1">stat(calculs!BE75)</f>
        <v>#NAME?</v>
      </c>
      <c r="BF75" s="525" t="e">
        <f ca="1">stat(calculs!BF75)</f>
        <v>#NAME?</v>
      </c>
      <c r="BG75" s="729" t="e">
        <f ca="1">stat(calculs!BG75)</f>
        <v>#NAME?</v>
      </c>
      <c r="BH75" s="729" t="e">
        <f ca="1">stat(calculs!BH75)</f>
        <v>#NAME?</v>
      </c>
      <c r="BI75" s="729" t="e">
        <f ca="1">stat(calculs!BI75)</f>
        <v>#NAME?</v>
      </c>
      <c r="BJ75" s="729" t="e">
        <f ca="1">stat(calculs!BJ75)</f>
        <v>#NAME?</v>
      </c>
      <c r="BK75" s="729" t="e">
        <f ca="1">stat(calculs!BK75)</f>
        <v>#NAME?</v>
      </c>
      <c r="BL75" s="525" t="e">
        <f ca="1">stat(calculs!BL75)</f>
        <v>#NAME?</v>
      </c>
      <c r="BM75" s="525" t="e">
        <f ca="1">stat(calculs!BM75)</f>
        <v>#NAME?</v>
      </c>
      <c r="BN75" s="525" t="e">
        <f ca="1">stat(calculs!BN75)</f>
        <v>#NAME?</v>
      </c>
      <c r="BO75" s="525" t="e">
        <f ca="1">stat(calculs!BO75)</f>
        <v>#NAME?</v>
      </c>
      <c r="BP75" s="525" t="e">
        <f ca="1">stat(calculs!BP75)</f>
        <v>#NAME?</v>
      </c>
      <c r="BQ75" s="525" t="e">
        <f ca="1">stat(calculs!BQ75)</f>
        <v>#NAME?</v>
      </c>
      <c r="BR75" s="525" t="e">
        <f ca="1">stat(calculs!BR75)</f>
        <v>#NAME?</v>
      </c>
    </row>
    <row r="76" spans="1:70" x14ac:dyDescent="0.2">
      <c r="A76" s="222">
        <f>données_step[[#This Row],[Datum]]</f>
        <v>44627</v>
      </c>
      <c r="B76" s="223"/>
      <c r="C76" s="224">
        <f t="shared" ref="C76:C139" si="1">WEEKDAY(A76)</f>
        <v>2</v>
      </c>
      <c r="D76" s="523" t="e">
        <f ca="1">stat(charge_entree[[#This Row],[ch_E_DBO5]])</f>
        <v>#NAME?</v>
      </c>
      <c r="E76" s="523" t="e">
        <f ca="1">stat(charge_entree[[#This Row],[ch_E_DCO]])</f>
        <v>#NAME?</v>
      </c>
      <c r="F76" s="523" t="e">
        <f ca="1">stat(charge_entree[[#This Row],[ch_E_COT]])</f>
        <v>#NAME?</v>
      </c>
      <c r="G76" s="523" t="e">
        <f ca="1">stat(charge_entree[[#This Row],[ch_E_NH4]])</f>
        <v>#NAME?</v>
      </c>
      <c r="H76" s="523" t="e">
        <f ca="1">stat(charge_entree[[#This Row],[ch_E_NTOT]])</f>
        <v>#NAME?</v>
      </c>
      <c r="I76" s="523" t="e">
        <f ca="1">stat(charge_entree[[#This Row],[ch_E_PTOT]])</f>
        <v>#NAME?</v>
      </c>
      <c r="J76" s="523" t="e">
        <f ca="1">stat(charge_entree[[#This Row],[ch_S_DBO]])</f>
        <v>#NAME?</v>
      </c>
      <c r="K76" s="523" t="e">
        <f ca="1">stat(charge_entree[[#This Row],[ch_S-DCO]])</f>
        <v>#NAME?</v>
      </c>
      <c r="L76" s="523" t="e">
        <f ca="1">stat(charge_entree[[#This Row],[ch_S_DOC]])</f>
        <v>#NAME?</v>
      </c>
      <c r="M76" s="523" t="e">
        <f ca="1">stat(charge_entree[[#This Row],[ch_S_NH4]])</f>
        <v>#NAME?</v>
      </c>
      <c r="N76" s="523" t="e">
        <f ca="1">stat(charge_entree[[#This Row],[ch_S_NO2]])</f>
        <v>#NAME?</v>
      </c>
      <c r="O76" s="523" t="e">
        <f ca="1">stat(charge_entree[[#This Row],[ch_S_NO3]])</f>
        <v>#NAME?</v>
      </c>
      <c r="P76" s="523" t="e">
        <f ca="1">stat(charge_entree[[#This Row],[ch_S_PTOT]])</f>
        <v>#NAME?</v>
      </c>
      <c r="Q76" s="523" t="e">
        <f ca="1">stat(charge_entree[[#This Row],[ch_S_SNDT]])</f>
        <v>#NAME?</v>
      </c>
      <c r="R76" s="523">
        <f>calculs!R76</f>
        <v>0</v>
      </c>
      <c r="S76" s="523" t="e">
        <f ca="1">stat(calculs!S76)</f>
        <v>#NAME?</v>
      </c>
      <c r="T76" s="523" t="e">
        <f ca="1">stat(calculs!T76)</f>
        <v>#NAME?</v>
      </c>
      <c r="U76" s="523" t="e">
        <f ca="1">stat(calculs!U76)</f>
        <v>#NAME?</v>
      </c>
      <c r="V76" s="523" t="e">
        <f ca="1">stat(calculs!V76)</f>
        <v>#NAME?</v>
      </c>
      <c r="W76" s="523" t="e">
        <f ca="1">stat(calculs!W76)</f>
        <v>#NAME?</v>
      </c>
      <c r="X76" s="523" t="e">
        <f ca="1">stat(calculs!X76)</f>
        <v>#NAME?</v>
      </c>
      <c r="Y76" s="523" t="e">
        <f ca="1">stat(calculs!Y76)</f>
        <v>#NAME?</v>
      </c>
      <c r="Z76" s="523" t="e">
        <f ca="1">stat(calculs!Z76)</f>
        <v>#NAME?</v>
      </c>
      <c r="AA76" s="523" t="e">
        <f ca="1">stat(calculs!AA76)</f>
        <v>#NAME?</v>
      </c>
      <c r="AB76" s="523" t="e">
        <f ca="1">stat(calculs!AB76)</f>
        <v>#NAME?</v>
      </c>
      <c r="AC76" s="523" t="e">
        <f ca="1">stat(calculs!AC76)</f>
        <v>#NAME?</v>
      </c>
      <c r="AD76" s="523" t="e">
        <f ca="1">stat(calculs!AD76)</f>
        <v>#NAME?</v>
      </c>
      <c r="AE76" s="523" t="e">
        <f ca="1">stat(calculs!AE76)</f>
        <v>#NAME?</v>
      </c>
      <c r="AF76" s="523" t="e">
        <f ca="1">stat(calculs!AF76)</f>
        <v>#NAME?</v>
      </c>
      <c r="AG76" s="523" t="e">
        <f ca="1">stat(calculs!AG76)</f>
        <v>#NAME?</v>
      </c>
      <c r="AH76" s="523" t="e">
        <f ca="1">stat(calculs!AH76)</f>
        <v>#NAME?</v>
      </c>
      <c r="AI76" s="523" t="e">
        <f ca="1">stat(calculs!AI76)</f>
        <v>#NAME?</v>
      </c>
      <c r="AJ76" s="523" t="e">
        <f ca="1">stat(calculs!AJ76)</f>
        <v>#NAME?</v>
      </c>
      <c r="AK76" s="523" t="e">
        <f ca="1">stat(calculs!AK76)</f>
        <v>#NAME?</v>
      </c>
      <c r="AL76" s="523" t="e">
        <f ca="1">stat(calculs!AL76)</f>
        <v>#NAME?</v>
      </c>
      <c r="AM76" s="523" t="e">
        <f ca="1">stat(calculs!AM76)</f>
        <v>#NAME?</v>
      </c>
      <c r="AN76" s="523" t="e">
        <f ca="1">stat(calculs!AN76)</f>
        <v>#NAME?</v>
      </c>
      <c r="AO76" s="523" t="e">
        <f ca="1">stat(calculs!AO76)</f>
        <v>#NAME?</v>
      </c>
      <c r="AP76" s="523" t="e">
        <f ca="1">stat(calculs!AP76)</f>
        <v>#NAME?</v>
      </c>
      <c r="AQ76" s="523" t="e">
        <f ca="1">stat(calculs!AQ76)</f>
        <v>#NAME?</v>
      </c>
      <c r="AT76" s="517"/>
      <c r="AV76" s="525" t="e">
        <f ca="1">stat(calculs!AV76)</f>
        <v>#NAME?</v>
      </c>
      <c r="AW76" s="525" t="e">
        <f ca="1">stat(calculs!AW76)</f>
        <v>#NAME?</v>
      </c>
      <c r="AX76" s="525" t="e">
        <f ca="1">stat(calculs!AX76)</f>
        <v>#NAME?</v>
      </c>
      <c r="AY76" s="525" t="e">
        <f ca="1">stat(calculs!AY76)</f>
        <v>#NAME?</v>
      </c>
      <c r="AZ76" s="525" t="e">
        <f ca="1">stat(calculs!AZ76)</f>
        <v>#NAME?</v>
      </c>
      <c r="BA76" s="525" t="e">
        <f ca="1">stat(calculs!BA76)</f>
        <v>#NAME?</v>
      </c>
      <c r="BB76" s="525" t="e">
        <f ca="1">stat(calculs!BB76)</f>
        <v>#NAME?</v>
      </c>
      <c r="BC76" s="525" t="e">
        <f ca="1">stat(calculs!BC76)</f>
        <v>#NAME?</v>
      </c>
      <c r="BD76" s="525" t="e">
        <f ca="1">stat(calculs!BD76)</f>
        <v>#NAME?</v>
      </c>
      <c r="BE76" s="525" t="e">
        <f ca="1">stat(calculs!BE76)</f>
        <v>#NAME?</v>
      </c>
      <c r="BF76" s="525" t="e">
        <f ca="1">stat(calculs!BF76)</f>
        <v>#NAME?</v>
      </c>
      <c r="BG76" s="729" t="e">
        <f ca="1">stat(calculs!BG76)</f>
        <v>#NAME?</v>
      </c>
      <c r="BH76" s="729" t="e">
        <f ca="1">stat(calculs!BH76)</f>
        <v>#NAME?</v>
      </c>
      <c r="BI76" s="729" t="e">
        <f ca="1">stat(calculs!BI76)</f>
        <v>#NAME?</v>
      </c>
      <c r="BJ76" s="729" t="e">
        <f ca="1">stat(calculs!BJ76)</f>
        <v>#NAME?</v>
      </c>
      <c r="BK76" s="729" t="e">
        <f ca="1">stat(calculs!BK76)</f>
        <v>#NAME?</v>
      </c>
      <c r="BL76" s="525" t="e">
        <f ca="1">stat(calculs!BL76)</f>
        <v>#NAME?</v>
      </c>
      <c r="BM76" s="525" t="e">
        <f ca="1">stat(calculs!BM76)</f>
        <v>#NAME?</v>
      </c>
      <c r="BN76" s="525" t="e">
        <f ca="1">stat(calculs!BN76)</f>
        <v>#NAME?</v>
      </c>
      <c r="BO76" s="525" t="e">
        <f ca="1">stat(calculs!BO76)</f>
        <v>#NAME?</v>
      </c>
      <c r="BP76" s="525" t="e">
        <f ca="1">stat(calculs!BP76)</f>
        <v>#NAME?</v>
      </c>
      <c r="BQ76" s="525" t="e">
        <f ca="1">stat(calculs!BQ76)</f>
        <v>#NAME?</v>
      </c>
      <c r="BR76" s="525" t="e">
        <f ca="1">stat(calculs!BR76)</f>
        <v>#NAME?</v>
      </c>
    </row>
    <row r="77" spans="1:70" x14ac:dyDescent="0.2">
      <c r="A77" s="222">
        <f>données_step[[#This Row],[Datum]]</f>
        <v>44628</v>
      </c>
      <c r="B77" s="223"/>
      <c r="C77" s="224">
        <f t="shared" si="1"/>
        <v>3</v>
      </c>
      <c r="D77" s="523" t="e">
        <f ca="1">stat(charge_entree[[#This Row],[ch_E_DBO5]])</f>
        <v>#NAME?</v>
      </c>
      <c r="E77" s="523" t="e">
        <f ca="1">stat(charge_entree[[#This Row],[ch_E_DCO]])</f>
        <v>#NAME?</v>
      </c>
      <c r="F77" s="523" t="e">
        <f ca="1">stat(charge_entree[[#This Row],[ch_E_COT]])</f>
        <v>#NAME?</v>
      </c>
      <c r="G77" s="523" t="e">
        <f ca="1">stat(charge_entree[[#This Row],[ch_E_NH4]])</f>
        <v>#NAME?</v>
      </c>
      <c r="H77" s="523" t="e">
        <f ca="1">stat(charge_entree[[#This Row],[ch_E_NTOT]])</f>
        <v>#NAME?</v>
      </c>
      <c r="I77" s="523" t="e">
        <f ca="1">stat(charge_entree[[#This Row],[ch_E_PTOT]])</f>
        <v>#NAME?</v>
      </c>
      <c r="J77" s="523" t="e">
        <f ca="1">stat(charge_entree[[#This Row],[ch_S_DBO]])</f>
        <v>#NAME?</v>
      </c>
      <c r="K77" s="523" t="e">
        <f ca="1">stat(charge_entree[[#This Row],[ch_S-DCO]])</f>
        <v>#NAME?</v>
      </c>
      <c r="L77" s="523" t="e">
        <f ca="1">stat(charge_entree[[#This Row],[ch_S_DOC]])</f>
        <v>#NAME?</v>
      </c>
      <c r="M77" s="523" t="e">
        <f ca="1">stat(charge_entree[[#This Row],[ch_S_NH4]])</f>
        <v>#NAME?</v>
      </c>
      <c r="N77" s="523" t="e">
        <f ca="1">stat(charge_entree[[#This Row],[ch_S_NO2]])</f>
        <v>#NAME?</v>
      </c>
      <c r="O77" s="523" t="e">
        <f ca="1">stat(charge_entree[[#This Row],[ch_S_NO3]])</f>
        <v>#NAME?</v>
      </c>
      <c r="P77" s="523" t="e">
        <f ca="1">stat(charge_entree[[#This Row],[ch_S_PTOT]])</f>
        <v>#NAME?</v>
      </c>
      <c r="Q77" s="523" t="e">
        <f ca="1">stat(charge_entree[[#This Row],[ch_S_SNDT]])</f>
        <v>#NAME?</v>
      </c>
      <c r="R77" s="523">
        <f>calculs!R77</f>
        <v>0</v>
      </c>
      <c r="S77" s="523" t="e">
        <f ca="1">stat(calculs!S77)</f>
        <v>#NAME?</v>
      </c>
      <c r="T77" s="523" t="e">
        <f ca="1">stat(calculs!T77)</f>
        <v>#NAME?</v>
      </c>
      <c r="U77" s="523" t="e">
        <f ca="1">stat(calculs!U77)</f>
        <v>#NAME?</v>
      </c>
      <c r="V77" s="523" t="e">
        <f ca="1">stat(calculs!V77)</f>
        <v>#NAME?</v>
      </c>
      <c r="W77" s="523" t="e">
        <f ca="1">stat(calculs!W77)</f>
        <v>#NAME?</v>
      </c>
      <c r="X77" s="523" t="e">
        <f ca="1">stat(calculs!X77)</f>
        <v>#NAME?</v>
      </c>
      <c r="Y77" s="523" t="e">
        <f ca="1">stat(calculs!Y77)</f>
        <v>#NAME?</v>
      </c>
      <c r="Z77" s="523" t="e">
        <f ca="1">stat(calculs!Z77)</f>
        <v>#NAME?</v>
      </c>
      <c r="AA77" s="523" t="e">
        <f ca="1">stat(calculs!AA77)</f>
        <v>#NAME?</v>
      </c>
      <c r="AB77" s="523" t="e">
        <f ca="1">stat(calculs!AB77)</f>
        <v>#NAME?</v>
      </c>
      <c r="AC77" s="523" t="e">
        <f ca="1">stat(calculs!AC77)</f>
        <v>#NAME?</v>
      </c>
      <c r="AD77" s="523" t="e">
        <f ca="1">stat(calculs!AD77)</f>
        <v>#NAME?</v>
      </c>
      <c r="AE77" s="523" t="e">
        <f ca="1">stat(calculs!AE77)</f>
        <v>#NAME?</v>
      </c>
      <c r="AF77" s="523" t="e">
        <f ca="1">stat(calculs!AF77)</f>
        <v>#NAME?</v>
      </c>
      <c r="AG77" s="523" t="e">
        <f ca="1">stat(calculs!AG77)</f>
        <v>#NAME?</v>
      </c>
      <c r="AH77" s="523" t="e">
        <f ca="1">stat(calculs!AH77)</f>
        <v>#NAME?</v>
      </c>
      <c r="AI77" s="523" t="e">
        <f ca="1">stat(calculs!AI77)</f>
        <v>#NAME?</v>
      </c>
      <c r="AJ77" s="523" t="e">
        <f ca="1">stat(calculs!AJ77)</f>
        <v>#NAME?</v>
      </c>
      <c r="AK77" s="523" t="e">
        <f ca="1">stat(calculs!AK77)</f>
        <v>#NAME?</v>
      </c>
      <c r="AL77" s="523" t="e">
        <f ca="1">stat(calculs!AL77)</f>
        <v>#NAME?</v>
      </c>
      <c r="AM77" s="523" t="e">
        <f ca="1">stat(calculs!AM77)</f>
        <v>#NAME?</v>
      </c>
      <c r="AN77" s="523" t="e">
        <f ca="1">stat(calculs!AN77)</f>
        <v>#NAME?</v>
      </c>
      <c r="AO77" s="523" t="e">
        <f ca="1">stat(calculs!AO77)</f>
        <v>#NAME?</v>
      </c>
      <c r="AP77" s="523" t="e">
        <f ca="1">stat(calculs!AP77)</f>
        <v>#NAME?</v>
      </c>
      <c r="AQ77" s="523" t="e">
        <f ca="1">stat(calculs!AQ77)</f>
        <v>#NAME?</v>
      </c>
      <c r="AT77" s="517"/>
      <c r="AV77" s="525" t="e">
        <f ca="1">stat(calculs!AV77)</f>
        <v>#NAME?</v>
      </c>
      <c r="AW77" s="525" t="e">
        <f ca="1">stat(calculs!AW77)</f>
        <v>#NAME?</v>
      </c>
      <c r="AX77" s="525" t="e">
        <f ca="1">stat(calculs!AX77)</f>
        <v>#NAME?</v>
      </c>
      <c r="AY77" s="525" t="e">
        <f ca="1">stat(calculs!AY77)</f>
        <v>#NAME?</v>
      </c>
      <c r="AZ77" s="525" t="e">
        <f ca="1">stat(calculs!AZ77)</f>
        <v>#NAME?</v>
      </c>
      <c r="BA77" s="525" t="e">
        <f ca="1">stat(calculs!BA77)</f>
        <v>#NAME?</v>
      </c>
      <c r="BB77" s="525" t="e">
        <f ca="1">stat(calculs!BB77)</f>
        <v>#NAME?</v>
      </c>
      <c r="BC77" s="525" t="e">
        <f ca="1">stat(calculs!BC77)</f>
        <v>#NAME?</v>
      </c>
      <c r="BD77" s="525" t="e">
        <f ca="1">stat(calculs!BD77)</f>
        <v>#NAME?</v>
      </c>
      <c r="BE77" s="525" t="e">
        <f ca="1">stat(calculs!BE77)</f>
        <v>#NAME?</v>
      </c>
      <c r="BF77" s="525" t="e">
        <f ca="1">stat(calculs!BF77)</f>
        <v>#NAME?</v>
      </c>
      <c r="BG77" s="729" t="e">
        <f ca="1">stat(calculs!BG77)</f>
        <v>#NAME?</v>
      </c>
      <c r="BH77" s="729" t="e">
        <f ca="1">stat(calculs!BH77)</f>
        <v>#NAME?</v>
      </c>
      <c r="BI77" s="729" t="e">
        <f ca="1">stat(calculs!BI77)</f>
        <v>#NAME?</v>
      </c>
      <c r="BJ77" s="729" t="e">
        <f ca="1">stat(calculs!BJ77)</f>
        <v>#NAME?</v>
      </c>
      <c r="BK77" s="729" t="e">
        <f ca="1">stat(calculs!BK77)</f>
        <v>#NAME?</v>
      </c>
      <c r="BL77" s="525" t="e">
        <f ca="1">stat(calculs!BL77)</f>
        <v>#NAME?</v>
      </c>
      <c r="BM77" s="525" t="e">
        <f ca="1">stat(calculs!BM77)</f>
        <v>#NAME?</v>
      </c>
      <c r="BN77" s="525" t="e">
        <f ca="1">stat(calculs!BN77)</f>
        <v>#NAME?</v>
      </c>
      <c r="BO77" s="525" t="e">
        <f ca="1">stat(calculs!BO77)</f>
        <v>#NAME?</v>
      </c>
      <c r="BP77" s="525" t="e">
        <f ca="1">stat(calculs!BP77)</f>
        <v>#NAME?</v>
      </c>
      <c r="BQ77" s="525" t="e">
        <f ca="1">stat(calculs!BQ77)</f>
        <v>#NAME?</v>
      </c>
      <c r="BR77" s="525" t="e">
        <f ca="1">stat(calculs!BR77)</f>
        <v>#NAME?</v>
      </c>
    </row>
    <row r="78" spans="1:70" x14ac:dyDescent="0.2">
      <c r="A78" s="222">
        <f>données_step[[#This Row],[Datum]]</f>
        <v>44629</v>
      </c>
      <c r="B78" s="223"/>
      <c r="C78" s="224">
        <f t="shared" si="1"/>
        <v>4</v>
      </c>
      <c r="D78" s="523" t="e">
        <f ca="1">stat(charge_entree[[#This Row],[ch_E_DBO5]])</f>
        <v>#NAME?</v>
      </c>
      <c r="E78" s="523" t="e">
        <f ca="1">stat(charge_entree[[#This Row],[ch_E_DCO]])</f>
        <v>#NAME?</v>
      </c>
      <c r="F78" s="523" t="e">
        <f ca="1">stat(charge_entree[[#This Row],[ch_E_COT]])</f>
        <v>#NAME?</v>
      </c>
      <c r="G78" s="523" t="e">
        <f ca="1">stat(charge_entree[[#This Row],[ch_E_NH4]])</f>
        <v>#NAME?</v>
      </c>
      <c r="H78" s="523" t="e">
        <f ca="1">stat(charge_entree[[#This Row],[ch_E_NTOT]])</f>
        <v>#NAME?</v>
      </c>
      <c r="I78" s="523" t="e">
        <f ca="1">stat(charge_entree[[#This Row],[ch_E_PTOT]])</f>
        <v>#NAME?</v>
      </c>
      <c r="J78" s="523" t="e">
        <f ca="1">stat(charge_entree[[#This Row],[ch_S_DBO]])</f>
        <v>#NAME?</v>
      </c>
      <c r="K78" s="523" t="e">
        <f ca="1">stat(charge_entree[[#This Row],[ch_S-DCO]])</f>
        <v>#NAME?</v>
      </c>
      <c r="L78" s="523" t="e">
        <f ca="1">stat(charge_entree[[#This Row],[ch_S_DOC]])</f>
        <v>#NAME?</v>
      </c>
      <c r="M78" s="523" t="e">
        <f ca="1">stat(charge_entree[[#This Row],[ch_S_NH4]])</f>
        <v>#NAME?</v>
      </c>
      <c r="N78" s="523" t="e">
        <f ca="1">stat(charge_entree[[#This Row],[ch_S_NO2]])</f>
        <v>#NAME?</v>
      </c>
      <c r="O78" s="523" t="e">
        <f ca="1">stat(charge_entree[[#This Row],[ch_S_NO3]])</f>
        <v>#NAME?</v>
      </c>
      <c r="P78" s="523" t="e">
        <f ca="1">stat(charge_entree[[#This Row],[ch_S_PTOT]])</f>
        <v>#NAME?</v>
      </c>
      <c r="Q78" s="523" t="e">
        <f ca="1">stat(charge_entree[[#This Row],[ch_S_SNDT]])</f>
        <v>#NAME?</v>
      </c>
      <c r="R78" s="523">
        <f>calculs!R78</f>
        <v>0</v>
      </c>
      <c r="S78" s="523" t="e">
        <f ca="1">stat(calculs!S78)</f>
        <v>#NAME?</v>
      </c>
      <c r="T78" s="523" t="e">
        <f ca="1">stat(calculs!T78)</f>
        <v>#NAME?</v>
      </c>
      <c r="U78" s="523" t="e">
        <f ca="1">stat(calculs!U78)</f>
        <v>#NAME?</v>
      </c>
      <c r="V78" s="523" t="e">
        <f ca="1">stat(calculs!V78)</f>
        <v>#NAME?</v>
      </c>
      <c r="W78" s="523" t="e">
        <f ca="1">stat(calculs!W78)</f>
        <v>#NAME?</v>
      </c>
      <c r="X78" s="523" t="e">
        <f ca="1">stat(calculs!X78)</f>
        <v>#NAME?</v>
      </c>
      <c r="Y78" s="523" t="e">
        <f ca="1">stat(calculs!Y78)</f>
        <v>#NAME?</v>
      </c>
      <c r="Z78" s="523" t="e">
        <f ca="1">stat(calculs!Z78)</f>
        <v>#NAME?</v>
      </c>
      <c r="AA78" s="523" t="e">
        <f ca="1">stat(calculs!AA78)</f>
        <v>#NAME?</v>
      </c>
      <c r="AB78" s="523" t="e">
        <f ca="1">stat(calculs!AB78)</f>
        <v>#NAME?</v>
      </c>
      <c r="AC78" s="523" t="e">
        <f ca="1">stat(calculs!AC78)</f>
        <v>#NAME?</v>
      </c>
      <c r="AD78" s="523" t="e">
        <f ca="1">stat(calculs!AD78)</f>
        <v>#NAME?</v>
      </c>
      <c r="AE78" s="523" t="e">
        <f ca="1">stat(calculs!AE78)</f>
        <v>#NAME?</v>
      </c>
      <c r="AF78" s="523" t="e">
        <f ca="1">stat(calculs!AF78)</f>
        <v>#NAME?</v>
      </c>
      <c r="AG78" s="523" t="e">
        <f ca="1">stat(calculs!AG78)</f>
        <v>#NAME?</v>
      </c>
      <c r="AH78" s="523" t="e">
        <f ca="1">stat(calculs!AH78)</f>
        <v>#NAME?</v>
      </c>
      <c r="AI78" s="523" t="e">
        <f ca="1">stat(calculs!AI78)</f>
        <v>#NAME?</v>
      </c>
      <c r="AJ78" s="523" t="e">
        <f ca="1">stat(calculs!AJ78)</f>
        <v>#NAME?</v>
      </c>
      <c r="AK78" s="523" t="e">
        <f ca="1">stat(calculs!AK78)</f>
        <v>#NAME?</v>
      </c>
      <c r="AL78" s="523" t="e">
        <f ca="1">stat(calculs!AL78)</f>
        <v>#NAME?</v>
      </c>
      <c r="AM78" s="523" t="e">
        <f ca="1">stat(calculs!AM78)</f>
        <v>#NAME?</v>
      </c>
      <c r="AN78" s="523" t="e">
        <f ca="1">stat(calculs!AN78)</f>
        <v>#NAME?</v>
      </c>
      <c r="AO78" s="523" t="e">
        <f ca="1">stat(calculs!AO78)</f>
        <v>#NAME?</v>
      </c>
      <c r="AP78" s="523" t="e">
        <f ca="1">stat(calculs!AP78)</f>
        <v>#NAME?</v>
      </c>
      <c r="AQ78" s="523" t="e">
        <f ca="1">stat(calculs!AQ78)</f>
        <v>#NAME?</v>
      </c>
      <c r="AT78" s="517"/>
      <c r="AV78" s="525" t="e">
        <f ca="1">stat(calculs!AV78)</f>
        <v>#NAME?</v>
      </c>
      <c r="AW78" s="525" t="e">
        <f ca="1">stat(calculs!AW78)</f>
        <v>#NAME?</v>
      </c>
      <c r="AX78" s="525" t="e">
        <f ca="1">stat(calculs!AX78)</f>
        <v>#NAME?</v>
      </c>
      <c r="AY78" s="525" t="e">
        <f ca="1">stat(calculs!AY78)</f>
        <v>#NAME?</v>
      </c>
      <c r="AZ78" s="525" t="e">
        <f ca="1">stat(calculs!AZ78)</f>
        <v>#NAME?</v>
      </c>
      <c r="BA78" s="525" t="e">
        <f ca="1">stat(calculs!BA78)</f>
        <v>#NAME?</v>
      </c>
      <c r="BB78" s="525" t="e">
        <f ca="1">stat(calculs!BB78)</f>
        <v>#NAME?</v>
      </c>
      <c r="BC78" s="525" t="e">
        <f ca="1">stat(calculs!BC78)</f>
        <v>#NAME?</v>
      </c>
      <c r="BD78" s="525" t="e">
        <f ca="1">stat(calculs!BD78)</f>
        <v>#NAME?</v>
      </c>
      <c r="BE78" s="525" t="e">
        <f ca="1">stat(calculs!BE78)</f>
        <v>#NAME?</v>
      </c>
      <c r="BF78" s="525" t="e">
        <f ca="1">stat(calculs!BF78)</f>
        <v>#NAME?</v>
      </c>
      <c r="BG78" s="729" t="e">
        <f ca="1">stat(calculs!BG78)</f>
        <v>#NAME?</v>
      </c>
      <c r="BH78" s="729" t="e">
        <f ca="1">stat(calculs!BH78)</f>
        <v>#NAME?</v>
      </c>
      <c r="BI78" s="729" t="e">
        <f ca="1">stat(calculs!BI78)</f>
        <v>#NAME?</v>
      </c>
      <c r="BJ78" s="729" t="e">
        <f ca="1">stat(calculs!BJ78)</f>
        <v>#NAME?</v>
      </c>
      <c r="BK78" s="729" t="e">
        <f ca="1">stat(calculs!BK78)</f>
        <v>#NAME?</v>
      </c>
      <c r="BL78" s="525" t="e">
        <f ca="1">stat(calculs!BL78)</f>
        <v>#NAME?</v>
      </c>
      <c r="BM78" s="525" t="e">
        <f ca="1">stat(calculs!BM78)</f>
        <v>#NAME?</v>
      </c>
      <c r="BN78" s="525" t="e">
        <f ca="1">stat(calculs!BN78)</f>
        <v>#NAME?</v>
      </c>
      <c r="BO78" s="525" t="e">
        <f ca="1">stat(calculs!BO78)</f>
        <v>#NAME?</v>
      </c>
      <c r="BP78" s="525" t="e">
        <f ca="1">stat(calculs!BP78)</f>
        <v>#NAME?</v>
      </c>
      <c r="BQ78" s="525" t="e">
        <f ca="1">stat(calculs!BQ78)</f>
        <v>#NAME?</v>
      </c>
      <c r="BR78" s="525" t="e">
        <f ca="1">stat(calculs!BR78)</f>
        <v>#NAME?</v>
      </c>
    </row>
    <row r="79" spans="1:70" x14ac:dyDescent="0.2">
      <c r="A79" s="222">
        <f>données_step[[#This Row],[Datum]]</f>
        <v>44630</v>
      </c>
      <c r="B79" s="223"/>
      <c r="C79" s="224">
        <f t="shared" si="1"/>
        <v>5</v>
      </c>
      <c r="D79" s="523" t="e">
        <f ca="1">stat(charge_entree[[#This Row],[ch_E_DBO5]])</f>
        <v>#NAME?</v>
      </c>
      <c r="E79" s="523" t="e">
        <f ca="1">stat(charge_entree[[#This Row],[ch_E_DCO]])</f>
        <v>#NAME?</v>
      </c>
      <c r="F79" s="523" t="e">
        <f ca="1">stat(charge_entree[[#This Row],[ch_E_COT]])</f>
        <v>#NAME?</v>
      </c>
      <c r="G79" s="523" t="e">
        <f ca="1">stat(charge_entree[[#This Row],[ch_E_NH4]])</f>
        <v>#NAME?</v>
      </c>
      <c r="H79" s="523" t="e">
        <f ca="1">stat(charge_entree[[#This Row],[ch_E_NTOT]])</f>
        <v>#NAME?</v>
      </c>
      <c r="I79" s="523" t="e">
        <f ca="1">stat(charge_entree[[#This Row],[ch_E_PTOT]])</f>
        <v>#NAME?</v>
      </c>
      <c r="J79" s="523" t="e">
        <f ca="1">stat(charge_entree[[#This Row],[ch_S_DBO]])</f>
        <v>#NAME?</v>
      </c>
      <c r="K79" s="523" t="e">
        <f ca="1">stat(charge_entree[[#This Row],[ch_S-DCO]])</f>
        <v>#NAME?</v>
      </c>
      <c r="L79" s="523" t="e">
        <f ca="1">stat(charge_entree[[#This Row],[ch_S_DOC]])</f>
        <v>#NAME?</v>
      </c>
      <c r="M79" s="523" t="e">
        <f ca="1">stat(charge_entree[[#This Row],[ch_S_NH4]])</f>
        <v>#NAME?</v>
      </c>
      <c r="N79" s="523" t="e">
        <f ca="1">stat(charge_entree[[#This Row],[ch_S_NO2]])</f>
        <v>#NAME?</v>
      </c>
      <c r="O79" s="523" t="e">
        <f ca="1">stat(charge_entree[[#This Row],[ch_S_NO3]])</f>
        <v>#NAME?</v>
      </c>
      <c r="P79" s="523" t="e">
        <f ca="1">stat(charge_entree[[#This Row],[ch_S_PTOT]])</f>
        <v>#NAME?</v>
      </c>
      <c r="Q79" s="523" t="e">
        <f ca="1">stat(charge_entree[[#This Row],[ch_S_SNDT]])</f>
        <v>#NAME?</v>
      </c>
      <c r="R79" s="523">
        <f>calculs!R79</f>
        <v>0</v>
      </c>
      <c r="S79" s="523" t="e">
        <f ca="1">stat(calculs!S79)</f>
        <v>#NAME?</v>
      </c>
      <c r="T79" s="523" t="e">
        <f ca="1">stat(calculs!T79)</f>
        <v>#NAME?</v>
      </c>
      <c r="U79" s="523" t="e">
        <f ca="1">stat(calculs!U79)</f>
        <v>#NAME?</v>
      </c>
      <c r="V79" s="523" t="e">
        <f ca="1">stat(calculs!V79)</f>
        <v>#NAME?</v>
      </c>
      <c r="W79" s="523" t="e">
        <f ca="1">stat(calculs!W79)</f>
        <v>#NAME?</v>
      </c>
      <c r="X79" s="523" t="e">
        <f ca="1">stat(calculs!X79)</f>
        <v>#NAME?</v>
      </c>
      <c r="Y79" s="523" t="e">
        <f ca="1">stat(calculs!Y79)</f>
        <v>#NAME?</v>
      </c>
      <c r="Z79" s="523" t="e">
        <f ca="1">stat(calculs!Z79)</f>
        <v>#NAME?</v>
      </c>
      <c r="AA79" s="523" t="e">
        <f ca="1">stat(calculs!AA79)</f>
        <v>#NAME?</v>
      </c>
      <c r="AB79" s="523" t="e">
        <f ca="1">stat(calculs!AB79)</f>
        <v>#NAME?</v>
      </c>
      <c r="AC79" s="523" t="e">
        <f ca="1">stat(calculs!AC79)</f>
        <v>#NAME?</v>
      </c>
      <c r="AD79" s="523" t="e">
        <f ca="1">stat(calculs!AD79)</f>
        <v>#NAME?</v>
      </c>
      <c r="AE79" s="523" t="e">
        <f ca="1">stat(calculs!AE79)</f>
        <v>#NAME?</v>
      </c>
      <c r="AF79" s="523" t="e">
        <f ca="1">stat(calculs!AF79)</f>
        <v>#NAME?</v>
      </c>
      <c r="AG79" s="523" t="e">
        <f ca="1">stat(calculs!AG79)</f>
        <v>#NAME?</v>
      </c>
      <c r="AH79" s="523" t="e">
        <f ca="1">stat(calculs!AH79)</f>
        <v>#NAME?</v>
      </c>
      <c r="AI79" s="523" t="e">
        <f ca="1">stat(calculs!AI79)</f>
        <v>#NAME?</v>
      </c>
      <c r="AJ79" s="523" t="e">
        <f ca="1">stat(calculs!AJ79)</f>
        <v>#NAME?</v>
      </c>
      <c r="AK79" s="523" t="e">
        <f ca="1">stat(calculs!AK79)</f>
        <v>#NAME?</v>
      </c>
      <c r="AL79" s="523" t="e">
        <f ca="1">stat(calculs!AL79)</f>
        <v>#NAME?</v>
      </c>
      <c r="AM79" s="523" t="e">
        <f ca="1">stat(calculs!AM79)</f>
        <v>#NAME?</v>
      </c>
      <c r="AN79" s="523" t="e">
        <f ca="1">stat(calculs!AN79)</f>
        <v>#NAME?</v>
      </c>
      <c r="AO79" s="523" t="e">
        <f ca="1">stat(calculs!AO79)</f>
        <v>#NAME?</v>
      </c>
      <c r="AP79" s="523" t="e">
        <f ca="1">stat(calculs!AP79)</f>
        <v>#NAME?</v>
      </c>
      <c r="AQ79" s="523" t="e">
        <f ca="1">stat(calculs!AQ79)</f>
        <v>#NAME?</v>
      </c>
      <c r="AT79" s="517"/>
      <c r="AV79" s="525" t="e">
        <f ca="1">stat(calculs!AV79)</f>
        <v>#NAME?</v>
      </c>
      <c r="AW79" s="525" t="e">
        <f ca="1">stat(calculs!AW79)</f>
        <v>#NAME?</v>
      </c>
      <c r="AX79" s="525" t="e">
        <f ca="1">stat(calculs!AX79)</f>
        <v>#NAME?</v>
      </c>
      <c r="AY79" s="525" t="e">
        <f ca="1">stat(calculs!AY79)</f>
        <v>#NAME?</v>
      </c>
      <c r="AZ79" s="525" t="e">
        <f ca="1">stat(calculs!AZ79)</f>
        <v>#NAME?</v>
      </c>
      <c r="BA79" s="525" t="e">
        <f ca="1">stat(calculs!BA79)</f>
        <v>#NAME?</v>
      </c>
      <c r="BB79" s="525" t="e">
        <f ca="1">stat(calculs!BB79)</f>
        <v>#NAME?</v>
      </c>
      <c r="BC79" s="525" t="e">
        <f ca="1">stat(calculs!BC79)</f>
        <v>#NAME?</v>
      </c>
      <c r="BD79" s="525" t="e">
        <f ca="1">stat(calculs!BD79)</f>
        <v>#NAME?</v>
      </c>
      <c r="BE79" s="525" t="e">
        <f ca="1">stat(calculs!BE79)</f>
        <v>#NAME?</v>
      </c>
      <c r="BF79" s="525" t="e">
        <f ca="1">stat(calculs!BF79)</f>
        <v>#NAME?</v>
      </c>
      <c r="BG79" s="729" t="e">
        <f ca="1">stat(calculs!BG79)</f>
        <v>#NAME?</v>
      </c>
      <c r="BH79" s="729" t="e">
        <f ca="1">stat(calculs!BH79)</f>
        <v>#NAME?</v>
      </c>
      <c r="BI79" s="729" t="e">
        <f ca="1">stat(calculs!BI79)</f>
        <v>#NAME?</v>
      </c>
      <c r="BJ79" s="729" t="e">
        <f ca="1">stat(calculs!BJ79)</f>
        <v>#NAME?</v>
      </c>
      <c r="BK79" s="729" t="e">
        <f ca="1">stat(calculs!BK79)</f>
        <v>#NAME?</v>
      </c>
      <c r="BL79" s="525" t="e">
        <f ca="1">stat(calculs!BL79)</f>
        <v>#NAME?</v>
      </c>
      <c r="BM79" s="525" t="e">
        <f ca="1">stat(calculs!BM79)</f>
        <v>#NAME?</v>
      </c>
      <c r="BN79" s="525" t="e">
        <f ca="1">stat(calculs!BN79)</f>
        <v>#NAME?</v>
      </c>
      <c r="BO79" s="525" t="e">
        <f ca="1">stat(calculs!BO79)</f>
        <v>#NAME?</v>
      </c>
      <c r="BP79" s="525" t="e">
        <f ca="1">stat(calculs!BP79)</f>
        <v>#NAME?</v>
      </c>
      <c r="BQ79" s="525" t="e">
        <f ca="1">stat(calculs!BQ79)</f>
        <v>#NAME?</v>
      </c>
      <c r="BR79" s="525" t="e">
        <f ca="1">stat(calculs!BR79)</f>
        <v>#NAME?</v>
      </c>
    </row>
    <row r="80" spans="1:70" x14ac:dyDescent="0.2">
      <c r="A80" s="222">
        <f>données_step[[#This Row],[Datum]]</f>
        <v>44631</v>
      </c>
      <c r="B80" s="223"/>
      <c r="C80" s="224">
        <f t="shared" si="1"/>
        <v>6</v>
      </c>
      <c r="D80" s="523" t="e">
        <f ca="1">stat(charge_entree[[#This Row],[ch_E_DBO5]])</f>
        <v>#NAME?</v>
      </c>
      <c r="E80" s="523" t="e">
        <f ca="1">stat(charge_entree[[#This Row],[ch_E_DCO]])</f>
        <v>#NAME?</v>
      </c>
      <c r="F80" s="523" t="e">
        <f ca="1">stat(charge_entree[[#This Row],[ch_E_COT]])</f>
        <v>#NAME?</v>
      </c>
      <c r="G80" s="523" t="e">
        <f ca="1">stat(charge_entree[[#This Row],[ch_E_NH4]])</f>
        <v>#NAME?</v>
      </c>
      <c r="H80" s="523" t="e">
        <f ca="1">stat(charge_entree[[#This Row],[ch_E_NTOT]])</f>
        <v>#NAME?</v>
      </c>
      <c r="I80" s="523" t="e">
        <f ca="1">stat(charge_entree[[#This Row],[ch_E_PTOT]])</f>
        <v>#NAME?</v>
      </c>
      <c r="J80" s="523" t="e">
        <f ca="1">stat(charge_entree[[#This Row],[ch_S_DBO]])</f>
        <v>#NAME?</v>
      </c>
      <c r="K80" s="523" t="e">
        <f ca="1">stat(charge_entree[[#This Row],[ch_S-DCO]])</f>
        <v>#NAME?</v>
      </c>
      <c r="L80" s="523" t="e">
        <f ca="1">stat(charge_entree[[#This Row],[ch_S_DOC]])</f>
        <v>#NAME?</v>
      </c>
      <c r="M80" s="523" t="e">
        <f ca="1">stat(charge_entree[[#This Row],[ch_S_NH4]])</f>
        <v>#NAME?</v>
      </c>
      <c r="N80" s="523" t="e">
        <f ca="1">stat(charge_entree[[#This Row],[ch_S_NO2]])</f>
        <v>#NAME?</v>
      </c>
      <c r="O80" s="523" t="e">
        <f ca="1">stat(charge_entree[[#This Row],[ch_S_NO3]])</f>
        <v>#NAME?</v>
      </c>
      <c r="P80" s="523" t="e">
        <f ca="1">stat(charge_entree[[#This Row],[ch_S_PTOT]])</f>
        <v>#NAME?</v>
      </c>
      <c r="Q80" s="523" t="e">
        <f ca="1">stat(charge_entree[[#This Row],[ch_S_SNDT]])</f>
        <v>#NAME?</v>
      </c>
      <c r="R80" s="523">
        <f>calculs!R80</f>
        <v>0</v>
      </c>
      <c r="S80" s="523" t="e">
        <f ca="1">stat(calculs!S80)</f>
        <v>#NAME?</v>
      </c>
      <c r="T80" s="523" t="e">
        <f ca="1">stat(calculs!T80)</f>
        <v>#NAME?</v>
      </c>
      <c r="U80" s="523" t="e">
        <f ca="1">stat(calculs!U80)</f>
        <v>#NAME?</v>
      </c>
      <c r="V80" s="523" t="e">
        <f ca="1">stat(calculs!V80)</f>
        <v>#NAME?</v>
      </c>
      <c r="W80" s="523" t="e">
        <f ca="1">stat(calculs!W80)</f>
        <v>#NAME?</v>
      </c>
      <c r="X80" s="523" t="e">
        <f ca="1">stat(calculs!X80)</f>
        <v>#NAME?</v>
      </c>
      <c r="Y80" s="523" t="e">
        <f ca="1">stat(calculs!Y80)</f>
        <v>#NAME?</v>
      </c>
      <c r="Z80" s="523" t="e">
        <f ca="1">stat(calculs!Z80)</f>
        <v>#NAME?</v>
      </c>
      <c r="AA80" s="523" t="e">
        <f ca="1">stat(calculs!AA80)</f>
        <v>#NAME?</v>
      </c>
      <c r="AB80" s="523" t="e">
        <f ca="1">stat(calculs!AB80)</f>
        <v>#NAME?</v>
      </c>
      <c r="AC80" s="523" t="e">
        <f ca="1">stat(calculs!AC80)</f>
        <v>#NAME?</v>
      </c>
      <c r="AD80" s="523" t="e">
        <f ca="1">stat(calculs!AD80)</f>
        <v>#NAME?</v>
      </c>
      <c r="AE80" s="523" t="e">
        <f ca="1">stat(calculs!AE80)</f>
        <v>#NAME?</v>
      </c>
      <c r="AF80" s="523" t="e">
        <f ca="1">stat(calculs!AF80)</f>
        <v>#NAME?</v>
      </c>
      <c r="AG80" s="523" t="e">
        <f ca="1">stat(calculs!AG80)</f>
        <v>#NAME?</v>
      </c>
      <c r="AH80" s="523" t="e">
        <f ca="1">stat(calculs!AH80)</f>
        <v>#NAME?</v>
      </c>
      <c r="AI80" s="523" t="e">
        <f ca="1">stat(calculs!AI80)</f>
        <v>#NAME?</v>
      </c>
      <c r="AJ80" s="523" t="e">
        <f ca="1">stat(calculs!AJ80)</f>
        <v>#NAME?</v>
      </c>
      <c r="AK80" s="523" t="e">
        <f ca="1">stat(calculs!AK80)</f>
        <v>#NAME?</v>
      </c>
      <c r="AL80" s="523" t="e">
        <f ca="1">stat(calculs!AL80)</f>
        <v>#NAME?</v>
      </c>
      <c r="AM80" s="523" t="e">
        <f ca="1">stat(calculs!AM80)</f>
        <v>#NAME?</v>
      </c>
      <c r="AN80" s="523" t="e">
        <f ca="1">stat(calculs!AN80)</f>
        <v>#NAME?</v>
      </c>
      <c r="AO80" s="523" t="e">
        <f ca="1">stat(calculs!AO80)</f>
        <v>#NAME?</v>
      </c>
      <c r="AP80" s="523" t="e">
        <f ca="1">stat(calculs!AP80)</f>
        <v>#NAME?</v>
      </c>
      <c r="AQ80" s="523" t="e">
        <f ca="1">stat(calculs!AQ80)</f>
        <v>#NAME?</v>
      </c>
      <c r="AT80" s="517"/>
      <c r="AV80" s="525" t="e">
        <f ca="1">stat(calculs!AV80)</f>
        <v>#NAME?</v>
      </c>
      <c r="AW80" s="525" t="e">
        <f ca="1">stat(calculs!AW80)</f>
        <v>#NAME?</v>
      </c>
      <c r="AX80" s="525" t="e">
        <f ca="1">stat(calculs!AX80)</f>
        <v>#NAME?</v>
      </c>
      <c r="AY80" s="525" t="e">
        <f ca="1">stat(calculs!AY80)</f>
        <v>#NAME?</v>
      </c>
      <c r="AZ80" s="525" t="e">
        <f ca="1">stat(calculs!AZ80)</f>
        <v>#NAME?</v>
      </c>
      <c r="BA80" s="525" t="e">
        <f ca="1">stat(calculs!BA80)</f>
        <v>#NAME?</v>
      </c>
      <c r="BB80" s="525" t="e">
        <f ca="1">stat(calculs!BB80)</f>
        <v>#NAME?</v>
      </c>
      <c r="BC80" s="525" t="e">
        <f ca="1">stat(calculs!BC80)</f>
        <v>#NAME?</v>
      </c>
      <c r="BD80" s="525" t="e">
        <f ca="1">stat(calculs!BD80)</f>
        <v>#NAME?</v>
      </c>
      <c r="BE80" s="525" t="e">
        <f ca="1">stat(calculs!BE80)</f>
        <v>#NAME?</v>
      </c>
      <c r="BF80" s="525" t="e">
        <f ca="1">stat(calculs!BF80)</f>
        <v>#NAME?</v>
      </c>
      <c r="BG80" s="729" t="e">
        <f ca="1">stat(calculs!BG80)</f>
        <v>#NAME?</v>
      </c>
      <c r="BH80" s="729" t="e">
        <f ca="1">stat(calculs!BH80)</f>
        <v>#NAME?</v>
      </c>
      <c r="BI80" s="729" t="e">
        <f ca="1">stat(calculs!BI80)</f>
        <v>#NAME?</v>
      </c>
      <c r="BJ80" s="729" t="e">
        <f ca="1">stat(calculs!BJ80)</f>
        <v>#NAME?</v>
      </c>
      <c r="BK80" s="729" t="e">
        <f ca="1">stat(calculs!BK80)</f>
        <v>#NAME?</v>
      </c>
      <c r="BL80" s="525" t="e">
        <f ca="1">stat(calculs!BL80)</f>
        <v>#NAME?</v>
      </c>
      <c r="BM80" s="525" t="e">
        <f ca="1">stat(calculs!BM80)</f>
        <v>#NAME?</v>
      </c>
      <c r="BN80" s="525" t="e">
        <f ca="1">stat(calculs!BN80)</f>
        <v>#NAME?</v>
      </c>
      <c r="BO80" s="525" t="e">
        <f ca="1">stat(calculs!BO80)</f>
        <v>#NAME?</v>
      </c>
      <c r="BP80" s="525" t="e">
        <f ca="1">stat(calculs!BP80)</f>
        <v>#NAME?</v>
      </c>
      <c r="BQ80" s="525" t="e">
        <f ca="1">stat(calculs!BQ80)</f>
        <v>#NAME?</v>
      </c>
      <c r="BR80" s="525" t="e">
        <f ca="1">stat(calculs!BR80)</f>
        <v>#NAME?</v>
      </c>
    </row>
    <row r="81" spans="1:70" x14ac:dyDescent="0.2">
      <c r="A81" s="222">
        <f>données_step[[#This Row],[Datum]]</f>
        <v>44632</v>
      </c>
      <c r="B81" s="223"/>
      <c r="C81" s="224">
        <f t="shared" si="1"/>
        <v>7</v>
      </c>
      <c r="D81" s="523" t="e">
        <f ca="1">stat(charge_entree[[#This Row],[ch_E_DBO5]])</f>
        <v>#NAME?</v>
      </c>
      <c r="E81" s="523" t="e">
        <f ca="1">stat(charge_entree[[#This Row],[ch_E_DCO]])</f>
        <v>#NAME?</v>
      </c>
      <c r="F81" s="523" t="e">
        <f ca="1">stat(charge_entree[[#This Row],[ch_E_COT]])</f>
        <v>#NAME?</v>
      </c>
      <c r="G81" s="523" t="e">
        <f ca="1">stat(charge_entree[[#This Row],[ch_E_NH4]])</f>
        <v>#NAME?</v>
      </c>
      <c r="H81" s="523" t="e">
        <f ca="1">stat(charge_entree[[#This Row],[ch_E_NTOT]])</f>
        <v>#NAME?</v>
      </c>
      <c r="I81" s="523" t="e">
        <f ca="1">stat(charge_entree[[#This Row],[ch_E_PTOT]])</f>
        <v>#NAME?</v>
      </c>
      <c r="J81" s="523" t="e">
        <f ca="1">stat(charge_entree[[#This Row],[ch_S_DBO]])</f>
        <v>#NAME?</v>
      </c>
      <c r="K81" s="523" t="e">
        <f ca="1">stat(charge_entree[[#This Row],[ch_S-DCO]])</f>
        <v>#NAME?</v>
      </c>
      <c r="L81" s="523" t="e">
        <f ca="1">stat(charge_entree[[#This Row],[ch_S_DOC]])</f>
        <v>#NAME?</v>
      </c>
      <c r="M81" s="523" t="e">
        <f ca="1">stat(charge_entree[[#This Row],[ch_S_NH4]])</f>
        <v>#NAME?</v>
      </c>
      <c r="N81" s="523" t="e">
        <f ca="1">stat(charge_entree[[#This Row],[ch_S_NO2]])</f>
        <v>#NAME?</v>
      </c>
      <c r="O81" s="523" t="e">
        <f ca="1">stat(charge_entree[[#This Row],[ch_S_NO3]])</f>
        <v>#NAME?</v>
      </c>
      <c r="P81" s="523" t="e">
        <f ca="1">stat(charge_entree[[#This Row],[ch_S_PTOT]])</f>
        <v>#NAME?</v>
      </c>
      <c r="Q81" s="523" t="e">
        <f ca="1">stat(charge_entree[[#This Row],[ch_S_SNDT]])</f>
        <v>#NAME?</v>
      </c>
      <c r="R81" s="523">
        <f>calculs!R81</f>
        <v>0</v>
      </c>
      <c r="S81" s="523" t="e">
        <f ca="1">stat(calculs!S81)</f>
        <v>#NAME?</v>
      </c>
      <c r="T81" s="523" t="e">
        <f ca="1">stat(calculs!T81)</f>
        <v>#NAME?</v>
      </c>
      <c r="U81" s="523" t="e">
        <f ca="1">stat(calculs!U81)</f>
        <v>#NAME?</v>
      </c>
      <c r="V81" s="523" t="e">
        <f ca="1">stat(calculs!V81)</f>
        <v>#NAME?</v>
      </c>
      <c r="W81" s="523" t="e">
        <f ca="1">stat(calculs!W81)</f>
        <v>#NAME?</v>
      </c>
      <c r="X81" s="523" t="e">
        <f ca="1">stat(calculs!X81)</f>
        <v>#NAME?</v>
      </c>
      <c r="Y81" s="523" t="e">
        <f ca="1">stat(calculs!Y81)</f>
        <v>#NAME?</v>
      </c>
      <c r="Z81" s="523" t="e">
        <f ca="1">stat(calculs!Z81)</f>
        <v>#NAME?</v>
      </c>
      <c r="AA81" s="523" t="e">
        <f ca="1">stat(calculs!AA81)</f>
        <v>#NAME?</v>
      </c>
      <c r="AB81" s="523" t="e">
        <f ca="1">stat(calculs!AB81)</f>
        <v>#NAME?</v>
      </c>
      <c r="AC81" s="523" t="e">
        <f ca="1">stat(calculs!AC81)</f>
        <v>#NAME?</v>
      </c>
      <c r="AD81" s="523" t="e">
        <f ca="1">stat(calculs!AD81)</f>
        <v>#NAME?</v>
      </c>
      <c r="AE81" s="523" t="e">
        <f ca="1">stat(calculs!AE81)</f>
        <v>#NAME?</v>
      </c>
      <c r="AF81" s="523" t="e">
        <f ca="1">stat(calculs!AF81)</f>
        <v>#NAME?</v>
      </c>
      <c r="AG81" s="523" t="e">
        <f ca="1">stat(calculs!AG81)</f>
        <v>#NAME?</v>
      </c>
      <c r="AH81" s="523" t="e">
        <f ca="1">stat(calculs!AH81)</f>
        <v>#NAME?</v>
      </c>
      <c r="AI81" s="523" t="e">
        <f ca="1">stat(calculs!AI81)</f>
        <v>#NAME?</v>
      </c>
      <c r="AJ81" s="523" t="e">
        <f ca="1">stat(calculs!AJ81)</f>
        <v>#NAME?</v>
      </c>
      <c r="AK81" s="523" t="e">
        <f ca="1">stat(calculs!AK81)</f>
        <v>#NAME?</v>
      </c>
      <c r="AL81" s="523" t="e">
        <f ca="1">stat(calculs!AL81)</f>
        <v>#NAME?</v>
      </c>
      <c r="AM81" s="523" t="e">
        <f ca="1">stat(calculs!AM81)</f>
        <v>#NAME?</v>
      </c>
      <c r="AN81" s="523" t="e">
        <f ca="1">stat(calculs!AN81)</f>
        <v>#NAME?</v>
      </c>
      <c r="AO81" s="523" t="e">
        <f ca="1">stat(calculs!AO81)</f>
        <v>#NAME?</v>
      </c>
      <c r="AP81" s="523" t="e">
        <f ca="1">stat(calculs!AP81)</f>
        <v>#NAME?</v>
      </c>
      <c r="AQ81" s="523" t="e">
        <f ca="1">stat(calculs!AQ81)</f>
        <v>#NAME?</v>
      </c>
      <c r="AT81" s="517"/>
      <c r="AV81" s="525" t="e">
        <f ca="1">stat(calculs!AV81)</f>
        <v>#NAME?</v>
      </c>
      <c r="AW81" s="525" t="e">
        <f ca="1">stat(calculs!AW81)</f>
        <v>#NAME?</v>
      </c>
      <c r="AX81" s="525" t="e">
        <f ca="1">stat(calculs!AX81)</f>
        <v>#NAME?</v>
      </c>
      <c r="AY81" s="525" t="e">
        <f ca="1">stat(calculs!AY81)</f>
        <v>#NAME?</v>
      </c>
      <c r="AZ81" s="525" t="e">
        <f ca="1">stat(calculs!AZ81)</f>
        <v>#NAME?</v>
      </c>
      <c r="BA81" s="525" t="e">
        <f ca="1">stat(calculs!BA81)</f>
        <v>#NAME?</v>
      </c>
      <c r="BB81" s="525" t="e">
        <f ca="1">stat(calculs!BB81)</f>
        <v>#NAME?</v>
      </c>
      <c r="BC81" s="525" t="e">
        <f ca="1">stat(calculs!BC81)</f>
        <v>#NAME?</v>
      </c>
      <c r="BD81" s="525" t="e">
        <f ca="1">stat(calculs!BD81)</f>
        <v>#NAME?</v>
      </c>
      <c r="BE81" s="525" t="e">
        <f ca="1">stat(calculs!BE81)</f>
        <v>#NAME?</v>
      </c>
      <c r="BF81" s="525" t="e">
        <f ca="1">stat(calculs!BF81)</f>
        <v>#NAME?</v>
      </c>
      <c r="BG81" s="729" t="e">
        <f ca="1">stat(calculs!BG81)</f>
        <v>#NAME?</v>
      </c>
      <c r="BH81" s="729" t="e">
        <f ca="1">stat(calculs!BH81)</f>
        <v>#NAME?</v>
      </c>
      <c r="BI81" s="729" t="e">
        <f ca="1">stat(calculs!BI81)</f>
        <v>#NAME?</v>
      </c>
      <c r="BJ81" s="729" t="e">
        <f ca="1">stat(calculs!BJ81)</f>
        <v>#NAME?</v>
      </c>
      <c r="BK81" s="729" t="e">
        <f ca="1">stat(calculs!BK81)</f>
        <v>#NAME?</v>
      </c>
      <c r="BL81" s="525" t="e">
        <f ca="1">stat(calculs!BL81)</f>
        <v>#NAME?</v>
      </c>
      <c r="BM81" s="525" t="e">
        <f ca="1">stat(calculs!BM81)</f>
        <v>#NAME?</v>
      </c>
      <c r="BN81" s="525" t="e">
        <f ca="1">stat(calculs!BN81)</f>
        <v>#NAME?</v>
      </c>
      <c r="BO81" s="525" t="e">
        <f ca="1">stat(calculs!BO81)</f>
        <v>#NAME?</v>
      </c>
      <c r="BP81" s="525" t="e">
        <f ca="1">stat(calculs!BP81)</f>
        <v>#NAME?</v>
      </c>
      <c r="BQ81" s="525" t="e">
        <f ca="1">stat(calculs!BQ81)</f>
        <v>#NAME?</v>
      </c>
      <c r="BR81" s="525" t="e">
        <f ca="1">stat(calculs!BR81)</f>
        <v>#NAME?</v>
      </c>
    </row>
    <row r="82" spans="1:70" x14ac:dyDescent="0.2">
      <c r="A82" s="222">
        <f>données_step[[#This Row],[Datum]]</f>
        <v>44633</v>
      </c>
      <c r="B82" s="223"/>
      <c r="C82" s="224">
        <f t="shared" si="1"/>
        <v>1</v>
      </c>
      <c r="D82" s="523" t="e">
        <f ca="1">stat(charge_entree[[#This Row],[ch_E_DBO5]])</f>
        <v>#NAME?</v>
      </c>
      <c r="E82" s="523" t="e">
        <f ca="1">stat(charge_entree[[#This Row],[ch_E_DCO]])</f>
        <v>#NAME?</v>
      </c>
      <c r="F82" s="523" t="e">
        <f ca="1">stat(charge_entree[[#This Row],[ch_E_COT]])</f>
        <v>#NAME?</v>
      </c>
      <c r="G82" s="523" t="e">
        <f ca="1">stat(charge_entree[[#This Row],[ch_E_NH4]])</f>
        <v>#NAME?</v>
      </c>
      <c r="H82" s="523" t="e">
        <f ca="1">stat(charge_entree[[#This Row],[ch_E_NTOT]])</f>
        <v>#NAME?</v>
      </c>
      <c r="I82" s="523" t="e">
        <f ca="1">stat(charge_entree[[#This Row],[ch_E_PTOT]])</f>
        <v>#NAME?</v>
      </c>
      <c r="J82" s="523" t="e">
        <f ca="1">stat(charge_entree[[#This Row],[ch_S_DBO]])</f>
        <v>#NAME?</v>
      </c>
      <c r="K82" s="523" t="e">
        <f ca="1">stat(charge_entree[[#This Row],[ch_S-DCO]])</f>
        <v>#NAME?</v>
      </c>
      <c r="L82" s="523" t="e">
        <f ca="1">stat(charge_entree[[#This Row],[ch_S_DOC]])</f>
        <v>#NAME?</v>
      </c>
      <c r="M82" s="523" t="e">
        <f ca="1">stat(charge_entree[[#This Row],[ch_S_NH4]])</f>
        <v>#NAME?</v>
      </c>
      <c r="N82" s="523" t="e">
        <f ca="1">stat(charge_entree[[#This Row],[ch_S_NO2]])</f>
        <v>#NAME?</v>
      </c>
      <c r="O82" s="523" t="e">
        <f ca="1">stat(charge_entree[[#This Row],[ch_S_NO3]])</f>
        <v>#NAME?</v>
      </c>
      <c r="P82" s="523" t="e">
        <f ca="1">stat(charge_entree[[#This Row],[ch_S_PTOT]])</f>
        <v>#NAME?</v>
      </c>
      <c r="Q82" s="523" t="e">
        <f ca="1">stat(charge_entree[[#This Row],[ch_S_SNDT]])</f>
        <v>#NAME?</v>
      </c>
      <c r="R82" s="523">
        <f>calculs!R82</f>
        <v>0</v>
      </c>
      <c r="S82" s="523" t="e">
        <f ca="1">stat(calculs!S82)</f>
        <v>#NAME?</v>
      </c>
      <c r="T82" s="523" t="e">
        <f ca="1">stat(calculs!T82)</f>
        <v>#NAME?</v>
      </c>
      <c r="U82" s="523" t="e">
        <f ca="1">stat(calculs!U82)</f>
        <v>#NAME?</v>
      </c>
      <c r="V82" s="523" t="e">
        <f ca="1">stat(calculs!V82)</f>
        <v>#NAME?</v>
      </c>
      <c r="W82" s="523" t="e">
        <f ca="1">stat(calculs!W82)</f>
        <v>#NAME?</v>
      </c>
      <c r="X82" s="523" t="e">
        <f ca="1">stat(calculs!X82)</f>
        <v>#NAME?</v>
      </c>
      <c r="Y82" s="523" t="e">
        <f ca="1">stat(calculs!Y82)</f>
        <v>#NAME?</v>
      </c>
      <c r="Z82" s="523" t="e">
        <f ca="1">stat(calculs!Z82)</f>
        <v>#NAME?</v>
      </c>
      <c r="AA82" s="523" t="e">
        <f ca="1">stat(calculs!AA82)</f>
        <v>#NAME?</v>
      </c>
      <c r="AB82" s="523" t="e">
        <f ca="1">stat(calculs!AB82)</f>
        <v>#NAME?</v>
      </c>
      <c r="AC82" s="523" t="e">
        <f ca="1">stat(calculs!AC82)</f>
        <v>#NAME?</v>
      </c>
      <c r="AD82" s="523" t="e">
        <f ca="1">stat(calculs!AD82)</f>
        <v>#NAME?</v>
      </c>
      <c r="AE82" s="523" t="e">
        <f ca="1">stat(calculs!AE82)</f>
        <v>#NAME?</v>
      </c>
      <c r="AF82" s="523" t="e">
        <f ca="1">stat(calculs!AF82)</f>
        <v>#NAME?</v>
      </c>
      <c r="AG82" s="523" t="e">
        <f ca="1">stat(calculs!AG82)</f>
        <v>#NAME?</v>
      </c>
      <c r="AH82" s="523" t="e">
        <f ca="1">stat(calculs!AH82)</f>
        <v>#NAME?</v>
      </c>
      <c r="AI82" s="523" t="e">
        <f ca="1">stat(calculs!AI82)</f>
        <v>#NAME?</v>
      </c>
      <c r="AJ82" s="523" t="e">
        <f ca="1">stat(calculs!AJ82)</f>
        <v>#NAME?</v>
      </c>
      <c r="AK82" s="523" t="e">
        <f ca="1">stat(calculs!AK82)</f>
        <v>#NAME?</v>
      </c>
      <c r="AL82" s="523" t="e">
        <f ca="1">stat(calculs!AL82)</f>
        <v>#NAME?</v>
      </c>
      <c r="AM82" s="523" t="e">
        <f ca="1">stat(calculs!AM82)</f>
        <v>#NAME?</v>
      </c>
      <c r="AN82" s="523" t="e">
        <f ca="1">stat(calculs!AN82)</f>
        <v>#NAME?</v>
      </c>
      <c r="AO82" s="523" t="e">
        <f ca="1">stat(calculs!AO82)</f>
        <v>#NAME?</v>
      </c>
      <c r="AP82" s="523" t="e">
        <f ca="1">stat(calculs!AP82)</f>
        <v>#NAME?</v>
      </c>
      <c r="AQ82" s="523" t="e">
        <f ca="1">stat(calculs!AQ82)</f>
        <v>#NAME?</v>
      </c>
      <c r="AT82" s="517"/>
      <c r="AV82" s="525" t="e">
        <f ca="1">stat(calculs!AV82)</f>
        <v>#NAME?</v>
      </c>
      <c r="AW82" s="525" t="e">
        <f ca="1">stat(calculs!AW82)</f>
        <v>#NAME?</v>
      </c>
      <c r="AX82" s="525" t="e">
        <f ca="1">stat(calculs!AX82)</f>
        <v>#NAME?</v>
      </c>
      <c r="AY82" s="525" t="e">
        <f ca="1">stat(calculs!AY82)</f>
        <v>#NAME?</v>
      </c>
      <c r="AZ82" s="525" t="e">
        <f ca="1">stat(calculs!AZ82)</f>
        <v>#NAME?</v>
      </c>
      <c r="BA82" s="525" t="e">
        <f ca="1">stat(calculs!BA82)</f>
        <v>#NAME?</v>
      </c>
      <c r="BB82" s="525" t="e">
        <f ca="1">stat(calculs!BB82)</f>
        <v>#NAME?</v>
      </c>
      <c r="BC82" s="525" t="e">
        <f ca="1">stat(calculs!BC82)</f>
        <v>#NAME?</v>
      </c>
      <c r="BD82" s="525" t="e">
        <f ca="1">stat(calculs!BD82)</f>
        <v>#NAME?</v>
      </c>
      <c r="BE82" s="525" t="e">
        <f ca="1">stat(calculs!BE82)</f>
        <v>#NAME?</v>
      </c>
      <c r="BF82" s="525" t="e">
        <f ca="1">stat(calculs!BF82)</f>
        <v>#NAME?</v>
      </c>
      <c r="BG82" s="729" t="e">
        <f ca="1">stat(calculs!BG82)</f>
        <v>#NAME?</v>
      </c>
      <c r="BH82" s="729" t="e">
        <f ca="1">stat(calculs!BH82)</f>
        <v>#NAME?</v>
      </c>
      <c r="BI82" s="729" t="e">
        <f ca="1">stat(calculs!BI82)</f>
        <v>#NAME?</v>
      </c>
      <c r="BJ82" s="729" t="e">
        <f ca="1">stat(calculs!BJ82)</f>
        <v>#NAME?</v>
      </c>
      <c r="BK82" s="729" t="e">
        <f ca="1">stat(calculs!BK82)</f>
        <v>#NAME?</v>
      </c>
      <c r="BL82" s="525" t="e">
        <f ca="1">stat(calculs!BL82)</f>
        <v>#NAME?</v>
      </c>
      <c r="BM82" s="525" t="e">
        <f ca="1">stat(calculs!BM82)</f>
        <v>#NAME?</v>
      </c>
      <c r="BN82" s="525" t="e">
        <f ca="1">stat(calculs!BN82)</f>
        <v>#NAME?</v>
      </c>
      <c r="BO82" s="525" t="e">
        <f ca="1">stat(calculs!BO82)</f>
        <v>#NAME?</v>
      </c>
      <c r="BP82" s="525" t="e">
        <f ca="1">stat(calculs!BP82)</f>
        <v>#NAME?</v>
      </c>
      <c r="BQ82" s="525" t="e">
        <f ca="1">stat(calculs!BQ82)</f>
        <v>#NAME?</v>
      </c>
      <c r="BR82" s="525" t="e">
        <f ca="1">stat(calculs!BR82)</f>
        <v>#NAME?</v>
      </c>
    </row>
    <row r="83" spans="1:70" x14ac:dyDescent="0.2">
      <c r="A83" s="222">
        <f>données_step[[#This Row],[Datum]]</f>
        <v>44634</v>
      </c>
      <c r="B83" s="223"/>
      <c r="C83" s="224">
        <f t="shared" si="1"/>
        <v>2</v>
      </c>
      <c r="D83" s="523" t="e">
        <f ca="1">stat(charge_entree[[#This Row],[ch_E_DBO5]])</f>
        <v>#NAME?</v>
      </c>
      <c r="E83" s="523" t="e">
        <f ca="1">stat(charge_entree[[#This Row],[ch_E_DCO]])</f>
        <v>#NAME?</v>
      </c>
      <c r="F83" s="523" t="e">
        <f ca="1">stat(charge_entree[[#This Row],[ch_E_COT]])</f>
        <v>#NAME?</v>
      </c>
      <c r="G83" s="523" t="e">
        <f ca="1">stat(charge_entree[[#This Row],[ch_E_NH4]])</f>
        <v>#NAME?</v>
      </c>
      <c r="H83" s="523" t="e">
        <f ca="1">stat(charge_entree[[#This Row],[ch_E_NTOT]])</f>
        <v>#NAME?</v>
      </c>
      <c r="I83" s="523" t="e">
        <f ca="1">stat(charge_entree[[#This Row],[ch_E_PTOT]])</f>
        <v>#NAME?</v>
      </c>
      <c r="J83" s="523" t="e">
        <f ca="1">stat(charge_entree[[#This Row],[ch_S_DBO]])</f>
        <v>#NAME?</v>
      </c>
      <c r="K83" s="523" t="e">
        <f ca="1">stat(charge_entree[[#This Row],[ch_S-DCO]])</f>
        <v>#NAME?</v>
      </c>
      <c r="L83" s="523" t="e">
        <f ca="1">stat(charge_entree[[#This Row],[ch_S_DOC]])</f>
        <v>#NAME?</v>
      </c>
      <c r="M83" s="523" t="e">
        <f ca="1">stat(charge_entree[[#This Row],[ch_S_NH4]])</f>
        <v>#NAME?</v>
      </c>
      <c r="N83" s="523" t="e">
        <f ca="1">stat(charge_entree[[#This Row],[ch_S_NO2]])</f>
        <v>#NAME?</v>
      </c>
      <c r="O83" s="523" t="e">
        <f ca="1">stat(charge_entree[[#This Row],[ch_S_NO3]])</f>
        <v>#NAME?</v>
      </c>
      <c r="P83" s="523" t="e">
        <f ca="1">stat(charge_entree[[#This Row],[ch_S_PTOT]])</f>
        <v>#NAME?</v>
      </c>
      <c r="Q83" s="523" t="e">
        <f ca="1">stat(charge_entree[[#This Row],[ch_S_SNDT]])</f>
        <v>#NAME?</v>
      </c>
      <c r="R83" s="523">
        <f>calculs!R83</f>
        <v>0</v>
      </c>
      <c r="S83" s="523" t="e">
        <f ca="1">stat(calculs!S83)</f>
        <v>#NAME?</v>
      </c>
      <c r="T83" s="523" t="e">
        <f ca="1">stat(calculs!T83)</f>
        <v>#NAME?</v>
      </c>
      <c r="U83" s="523" t="e">
        <f ca="1">stat(calculs!U83)</f>
        <v>#NAME?</v>
      </c>
      <c r="V83" s="523" t="e">
        <f ca="1">stat(calculs!V83)</f>
        <v>#NAME?</v>
      </c>
      <c r="W83" s="523" t="e">
        <f ca="1">stat(calculs!W83)</f>
        <v>#NAME?</v>
      </c>
      <c r="X83" s="523" t="e">
        <f ca="1">stat(calculs!X83)</f>
        <v>#NAME?</v>
      </c>
      <c r="Y83" s="523" t="e">
        <f ca="1">stat(calculs!Y83)</f>
        <v>#NAME?</v>
      </c>
      <c r="Z83" s="523" t="e">
        <f ca="1">stat(calculs!Z83)</f>
        <v>#NAME?</v>
      </c>
      <c r="AA83" s="523" t="e">
        <f ca="1">stat(calculs!AA83)</f>
        <v>#NAME?</v>
      </c>
      <c r="AB83" s="523" t="e">
        <f ca="1">stat(calculs!AB83)</f>
        <v>#NAME?</v>
      </c>
      <c r="AC83" s="523" t="e">
        <f ca="1">stat(calculs!AC83)</f>
        <v>#NAME?</v>
      </c>
      <c r="AD83" s="523" t="e">
        <f ca="1">stat(calculs!AD83)</f>
        <v>#NAME?</v>
      </c>
      <c r="AE83" s="523" t="e">
        <f ca="1">stat(calculs!AE83)</f>
        <v>#NAME?</v>
      </c>
      <c r="AF83" s="523" t="e">
        <f ca="1">stat(calculs!AF83)</f>
        <v>#NAME?</v>
      </c>
      <c r="AG83" s="523" t="e">
        <f ca="1">stat(calculs!AG83)</f>
        <v>#NAME?</v>
      </c>
      <c r="AH83" s="523" t="e">
        <f ca="1">stat(calculs!AH83)</f>
        <v>#NAME?</v>
      </c>
      <c r="AI83" s="523" t="e">
        <f ca="1">stat(calculs!AI83)</f>
        <v>#NAME?</v>
      </c>
      <c r="AJ83" s="523" t="e">
        <f ca="1">stat(calculs!AJ83)</f>
        <v>#NAME?</v>
      </c>
      <c r="AK83" s="523" t="e">
        <f ca="1">stat(calculs!AK83)</f>
        <v>#NAME?</v>
      </c>
      <c r="AL83" s="523" t="e">
        <f ca="1">stat(calculs!AL83)</f>
        <v>#NAME?</v>
      </c>
      <c r="AM83" s="523" t="e">
        <f ca="1">stat(calculs!AM83)</f>
        <v>#NAME?</v>
      </c>
      <c r="AN83" s="523" t="e">
        <f ca="1">stat(calculs!AN83)</f>
        <v>#NAME?</v>
      </c>
      <c r="AO83" s="523" t="e">
        <f ca="1">stat(calculs!AO83)</f>
        <v>#NAME?</v>
      </c>
      <c r="AP83" s="523" t="e">
        <f ca="1">stat(calculs!AP83)</f>
        <v>#NAME?</v>
      </c>
      <c r="AQ83" s="523" t="e">
        <f ca="1">stat(calculs!AQ83)</f>
        <v>#NAME?</v>
      </c>
      <c r="AT83" s="517"/>
      <c r="AV83" s="525" t="e">
        <f ca="1">stat(calculs!AV83)</f>
        <v>#NAME?</v>
      </c>
      <c r="AW83" s="525" t="e">
        <f ca="1">stat(calculs!AW83)</f>
        <v>#NAME?</v>
      </c>
      <c r="AX83" s="525" t="e">
        <f ca="1">stat(calculs!AX83)</f>
        <v>#NAME?</v>
      </c>
      <c r="AY83" s="525" t="e">
        <f ca="1">stat(calculs!AY83)</f>
        <v>#NAME?</v>
      </c>
      <c r="AZ83" s="525" t="e">
        <f ca="1">stat(calculs!AZ83)</f>
        <v>#NAME?</v>
      </c>
      <c r="BA83" s="525" t="e">
        <f ca="1">stat(calculs!BA83)</f>
        <v>#NAME?</v>
      </c>
      <c r="BB83" s="525" t="e">
        <f ca="1">stat(calculs!BB83)</f>
        <v>#NAME?</v>
      </c>
      <c r="BC83" s="525" t="e">
        <f ca="1">stat(calculs!BC83)</f>
        <v>#NAME?</v>
      </c>
      <c r="BD83" s="525" t="e">
        <f ca="1">stat(calculs!BD83)</f>
        <v>#NAME?</v>
      </c>
      <c r="BE83" s="525" t="e">
        <f ca="1">stat(calculs!BE83)</f>
        <v>#NAME?</v>
      </c>
      <c r="BF83" s="525" t="e">
        <f ca="1">stat(calculs!BF83)</f>
        <v>#NAME?</v>
      </c>
      <c r="BG83" s="729" t="e">
        <f ca="1">stat(calculs!BG83)</f>
        <v>#NAME?</v>
      </c>
      <c r="BH83" s="729" t="e">
        <f ca="1">stat(calculs!BH83)</f>
        <v>#NAME?</v>
      </c>
      <c r="BI83" s="729" t="e">
        <f ca="1">stat(calculs!BI83)</f>
        <v>#NAME?</v>
      </c>
      <c r="BJ83" s="729" t="e">
        <f ca="1">stat(calculs!BJ83)</f>
        <v>#NAME?</v>
      </c>
      <c r="BK83" s="729" t="e">
        <f ca="1">stat(calculs!BK83)</f>
        <v>#NAME?</v>
      </c>
      <c r="BL83" s="525" t="e">
        <f ca="1">stat(calculs!BL83)</f>
        <v>#NAME?</v>
      </c>
      <c r="BM83" s="525" t="e">
        <f ca="1">stat(calculs!BM83)</f>
        <v>#NAME?</v>
      </c>
      <c r="BN83" s="525" t="e">
        <f ca="1">stat(calculs!BN83)</f>
        <v>#NAME?</v>
      </c>
      <c r="BO83" s="525" t="e">
        <f ca="1">stat(calculs!BO83)</f>
        <v>#NAME?</v>
      </c>
      <c r="BP83" s="525" t="e">
        <f ca="1">stat(calculs!BP83)</f>
        <v>#NAME?</v>
      </c>
      <c r="BQ83" s="525" t="e">
        <f ca="1">stat(calculs!BQ83)</f>
        <v>#NAME?</v>
      </c>
      <c r="BR83" s="525" t="e">
        <f ca="1">stat(calculs!BR83)</f>
        <v>#NAME?</v>
      </c>
    </row>
    <row r="84" spans="1:70" x14ac:dyDescent="0.2">
      <c r="A84" s="222">
        <f>données_step[[#This Row],[Datum]]</f>
        <v>44635</v>
      </c>
      <c r="B84" s="223"/>
      <c r="C84" s="224">
        <f t="shared" si="1"/>
        <v>3</v>
      </c>
      <c r="D84" s="523" t="e">
        <f ca="1">stat(charge_entree[[#This Row],[ch_E_DBO5]])</f>
        <v>#NAME?</v>
      </c>
      <c r="E84" s="523" t="e">
        <f ca="1">stat(charge_entree[[#This Row],[ch_E_DCO]])</f>
        <v>#NAME?</v>
      </c>
      <c r="F84" s="523" t="e">
        <f ca="1">stat(charge_entree[[#This Row],[ch_E_COT]])</f>
        <v>#NAME?</v>
      </c>
      <c r="G84" s="523" t="e">
        <f ca="1">stat(charge_entree[[#This Row],[ch_E_NH4]])</f>
        <v>#NAME?</v>
      </c>
      <c r="H84" s="523" t="e">
        <f ca="1">stat(charge_entree[[#This Row],[ch_E_NTOT]])</f>
        <v>#NAME?</v>
      </c>
      <c r="I84" s="523" t="e">
        <f ca="1">stat(charge_entree[[#This Row],[ch_E_PTOT]])</f>
        <v>#NAME?</v>
      </c>
      <c r="J84" s="523" t="e">
        <f ca="1">stat(charge_entree[[#This Row],[ch_S_DBO]])</f>
        <v>#NAME?</v>
      </c>
      <c r="K84" s="523" t="e">
        <f ca="1">stat(charge_entree[[#This Row],[ch_S-DCO]])</f>
        <v>#NAME?</v>
      </c>
      <c r="L84" s="523" t="e">
        <f ca="1">stat(charge_entree[[#This Row],[ch_S_DOC]])</f>
        <v>#NAME?</v>
      </c>
      <c r="M84" s="523" t="e">
        <f ca="1">stat(charge_entree[[#This Row],[ch_S_NH4]])</f>
        <v>#NAME?</v>
      </c>
      <c r="N84" s="523" t="e">
        <f ca="1">stat(charge_entree[[#This Row],[ch_S_NO2]])</f>
        <v>#NAME?</v>
      </c>
      <c r="O84" s="523" t="e">
        <f ca="1">stat(charge_entree[[#This Row],[ch_S_NO3]])</f>
        <v>#NAME?</v>
      </c>
      <c r="P84" s="523" t="e">
        <f ca="1">stat(charge_entree[[#This Row],[ch_S_PTOT]])</f>
        <v>#NAME?</v>
      </c>
      <c r="Q84" s="523" t="e">
        <f ca="1">stat(charge_entree[[#This Row],[ch_S_SNDT]])</f>
        <v>#NAME?</v>
      </c>
      <c r="R84" s="523">
        <f>calculs!R84</f>
        <v>0</v>
      </c>
      <c r="S84" s="523" t="e">
        <f ca="1">stat(calculs!S84)</f>
        <v>#NAME?</v>
      </c>
      <c r="T84" s="523" t="e">
        <f ca="1">stat(calculs!T84)</f>
        <v>#NAME?</v>
      </c>
      <c r="U84" s="523" t="e">
        <f ca="1">stat(calculs!U84)</f>
        <v>#NAME?</v>
      </c>
      <c r="V84" s="523" t="e">
        <f ca="1">stat(calculs!V84)</f>
        <v>#NAME?</v>
      </c>
      <c r="W84" s="523" t="e">
        <f ca="1">stat(calculs!W84)</f>
        <v>#NAME?</v>
      </c>
      <c r="X84" s="523" t="e">
        <f ca="1">stat(calculs!X84)</f>
        <v>#NAME?</v>
      </c>
      <c r="Y84" s="523" t="e">
        <f ca="1">stat(calculs!Y84)</f>
        <v>#NAME?</v>
      </c>
      <c r="Z84" s="523" t="e">
        <f ca="1">stat(calculs!Z84)</f>
        <v>#NAME?</v>
      </c>
      <c r="AA84" s="523" t="e">
        <f ca="1">stat(calculs!AA84)</f>
        <v>#NAME?</v>
      </c>
      <c r="AB84" s="523" t="e">
        <f ca="1">stat(calculs!AB84)</f>
        <v>#NAME?</v>
      </c>
      <c r="AC84" s="523" t="e">
        <f ca="1">stat(calculs!AC84)</f>
        <v>#NAME?</v>
      </c>
      <c r="AD84" s="523" t="e">
        <f ca="1">stat(calculs!AD84)</f>
        <v>#NAME?</v>
      </c>
      <c r="AE84" s="523" t="e">
        <f ca="1">stat(calculs!AE84)</f>
        <v>#NAME?</v>
      </c>
      <c r="AF84" s="523" t="e">
        <f ca="1">stat(calculs!AF84)</f>
        <v>#NAME?</v>
      </c>
      <c r="AG84" s="523" t="e">
        <f ca="1">stat(calculs!AG84)</f>
        <v>#NAME?</v>
      </c>
      <c r="AH84" s="523" t="e">
        <f ca="1">stat(calculs!AH84)</f>
        <v>#NAME?</v>
      </c>
      <c r="AI84" s="523" t="e">
        <f ca="1">stat(calculs!AI84)</f>
        <v>#NAME?</v>
      </c>
      <c r="AJ84" s="523" t="e">
        <f ca="1">stat(calculs!AJ84)</f>
        <v>#NAME?</v>
      </c>
      <c r="AK84" s="523" t="e">
        <f ca="1">stat(calculs!AK84)</f>
        <v>#NAME?</v>
      </c>
      <c r="AL84" s="523" t="e">
        <f ca="1">stat(calculs!AL84)</f>
        <v>#NAME?</v>
      </c>
      <c r="AM84" s="523" t="e">
        <f ca="1">stat(calculs!AM84)</f>
        <v>#NAME?</v>
      </c>
      <c r="AN84" s="523" t="e">
        <f ca="1">stat(calculs!AN84)</f>
        <v>#NAME?</v>
      </c>
      <c r="AO84" s="523" t="e">
        <f ca="1">stat(calculs!AO84)</f>
        <v>#NAME?</v>
      </c>
      <c r="AP84" s="523" t="e">
        <f ca="1">stat(calculs!AP84)</f>
        <v>#NAME?</v>
      </c>
      <c r="AQ84" s="523" t="e">
        <f ca="1">stat(calculs!AQ84)</f>
        <v>#NAME?</v>
      </c>
      <c r="AT84" s="517"/>
      <c r="AV84" s="525" t="e">
        <f ca="1">stat(calculs!AV84)</f>
        <v>#NAME?</v>
      </c>
      <c r="AW84" s="525" t="e">
        <f ca="1">stat(calculs!AW84)</f>
        <v>#NAME?</v>
      </c>
      <c r="AX84" s="525" t="e">
        <f ca="1">stat(calculs!AX84)</f>
        <v>#NAME?</v>
      </c>
      <c r="AY84" s="525" t="e">
        <f ca="1">stat(calculs!AY84)</f>
        <v>#NAME?</v>
      </c>
      <c r="AZ84" s="525" t="e">
        <f ca="1">stat(calculs!AZ84)</f>
        <v>#NAME?</v>
      </c>
      <c r="BA84" s="525" t="e">
        <f ca="1">stat(calculs!BA84)</f>
        <v>#NAME?</v>
      </c>
      <c r="BB84" s="525" t="e">
        <f ca="1">stat(calculs!BB84)</f>
        <v>#NAME?</v>
      </c>
      <c r="BC84" s="525" t="e">
        <f ca="1">stat(calculs!BC84)</f>
        <v>#NAME?</v>
      </c>
      <c r="BD84" s="525" t="e">
        <f ca="1">stat(calculs!BD84)</f>
        <v>#NAME?</v>
      </c>
      <c r="BE84" s="525" t="e">
        <f ca="1">stat(calculs!BE84)</f>
        <v>#NAME?</v>
      </c>
      <c r="BF84" s="525" t="e">
        <f ca="1">stat(calculs!BF84)</f>
        <v>#NAME?</v>
      </c>
      <c r="BG84" s="729" t="e">
        <f ca="1">stat(calculs!BG84)</f>
        <v>#NAME?</v>
      </c>
      <c r="BH84" s="729" t="e">
        <f ca="1">stat(calculs!BH84)</f>
        <v>#NAME?</v>
      </c>
      <c r="BI84" s="729" t="e">
        <f ca="1">stat(calculs!BI84)</f>
        <v>#NAME?</v>
      </c>
      <c r="BJ84" s="729" t="e">
        <f ca="1">stat(calculs!BJ84)</f>
        <v>#NAME?</v>
      </c>
      <c r="BK84" s="729" t="e">
        <f ca="1">stat(calculs!BK84)</f>
        <v>#NAME?</v>
      </c>
      <c r="BL84" s="525" t="e">
        <f ca="1">stat(calculs!BL84)</f>
        <v>#NAME?</v>
      </c>
      <c r="BM84" s="525" t="e">
        <f ca="1">stat(calculs!BM84)</f>
        <v>#NAME?</v>
      </c>
      <c r="BN84" s="525" t="e">
        <f ca="1">stat(calculs!BN84)</f>
        <v>#NAME?</v>
      </c>
      <c r="BO84" s="525" t="e">
        <f ca="1">stat(calculs!BO84)</f>
        <v>#NAME?</v>
      </c>
      <c r="BP84" s="525" t="e">
        <f ca="1">stat(calculs!BP84)</f>
        <v>#NAME?</v>
      </c>
      <c r="BQ84" s="525" t="e">
        <f ca="1">stat(calculs!BQ84)</f>
        <v>#NAME?</v>
      </c>
      <c r="BR84" s="525" t="e">
        <f ca="1">stat(calculs!BR84)</f>
        <v>#NAME?</v>
      </c>
    </row>
    <row r="85" spans="1:70" x14ac:dyDescent="0.2">
      <c r="A85" s="222">
        <f>données_step[[#This Row],[Datum]]</f>
        <v>44636</v>
      </c>
      <c r="B85" s="223"/>
      <c r="C85" s="224">
        <f t="shared" si="1"/>
        <v>4</v>
      </c>
      <c r="D85" s="523" t="e">
        <f ca="1">stat(charge_entree[[#This Row],[ch_E_DBO5]])</f>
        <v>#NAME?</v>
      </c>
      <c r="E85" s="523" t="e">
        <f ca="1">stat(charge_entree[[#This Row],[ch_E_DCO]])</f>
        <v>#NAME?</v>
      </c>
      <c r="F85" s="523" t="e">
        <f ca="1">stat(charge_entree[[#This Row],[ch_E_COT]])</f>
        <v>#NAME?</v>
      </c>
      <c r="G85" s="523" t="e">
        <f ca="1">stat(charge_entree[[#This Row],[ch_E_NH4]])</f>
        <v>#NAME?</v>
      </c>
      <c r="H85" s="523" t="e">
        <f ca="1">stat(charge_entree[[#This Row],[ch_E_NTOT]])</f>
        <v>#NAME?</v>
      </c>
      <c r="I85" s="523" t="e">
        <f ca="1">stat(charge_entree[[#This Row],[ch_E_PTOT]])</f>
        <v>#NAME?</v>
      </c>
      <c r="J85" s="523" t="e">
        <f ca="1">stat(charge_entree[[#This Row],[ch_S_DBO]])</f>
        <v>#NAME?</v>
      </c>
      <c r="K85" s="523" t="e">
        <f ca="1">stat(charge_entree[[#This Row],[ch_S-DCO]])</f>
        <v>#NAME?</v>
      </c>
      <c r="L85" s="523" t="e">
        <f ca="1">stat(charge_entree[[#This Row],[ch_S_DOC]])</f>
        <v>#NAME?</v>
      </c>
      <c r="M85" s="523" t="e">
        <f ca="1">stat(charge_entree[[#This Row],[ch_S_NH4]])</f>
        <v>#NAME?</v>
      </c>
      <c r="N85" s="523" t="e">
        <f ca="1">stat(charge_entree[[#This Row],[ch_S_NO2]])</f>
        <v>#NAME?</v>
      </c>
      <c r="O85" s="523" t="e">
        <f ca="1">stat(charge_entree[[#This Row],[ch_S_NO3]])</f>
        <v>#NAME?</v>
      </c>
      <c r="P85" s="523" t="e">
        <f ca="1">stat(charge_entree[[#This Row],[ch_S_PTOT]])</f>
        <v>#NAME?</v>
      </c>
      <c r="Q85" s="523" t="e">
        <f ca="1">stat(charge_entree[[#This Row],[ch_S_SNDT]])</f>
        <v>#NAME?</v>
      </c>
      <c r="R85" s="523">
        <f>calculs!R85</f>
        <v>0</v>
      </c>
      <c r="S85" s="523" t="e">
        <f ca="1">stat(calculs!S85)</f>
        <v>#NAME?</v>
      </c>
      <c r="T85" s="523" t="e">
        <f ca="1">stat(calculs!T85)</f>
        <v>#NAME?</v>
      </c>
      <c r="U85" s="523" t="e">
        <f ca="1">stat(calculs!U85)</f>
        <v>#NAME?</v>
      </c>
      <c r="V85" s="523" t="e">
        <f ca="1">stat(calculs!V85)</f>
        <v>#NAME?</v>
      </c>
      <c r="W85" s="523" t="e">
        <f ca="1">stat(calculs!W85)</f>
        <v>#NAME?</v>
      </c>
      <c r="X85" s="523" t="e">
        <f ca="1">stat(calculs!X85)</f>
        <v>#NAME?</v>
      </c>
      <c r="Y85" s="523" t="e">
        <f ca="1">stat(calculs!Y85)</f>
        <v>#NAME?</v>
      </c>
      <c r="Z85" s="523" t="e">
        <f ca="1">stat(calculs!Z85)</f>
        <v>#NAME?</v>
      </c>
      <c r="AA85" s="523" t="e">
        <f ca="1">stat(calculs!AA85)</f>
        <v>#NAME?</v>
      </c>
      <c r="AB85" s="523" t="e">
        <f ca="1">stat(calculs!AB85)</f>
        <v>#NAME?</v>
      </c>
      <c r="AC85" s="523" t="e">
        <f ca="1">stat(calculs!AC85)</f>
        <v>#NAME?</v>
      </c>
      <c r="AD85" s="523" t="e">
        <f ca="1">stat(calculs!AD85)</f>
        <v>#NAME?</v>
      </c>
      <c r="AE85" s="523" t="e">
        <f ca="1">stat(calculs!AE85)</f>
        <v>#NAME?</v>
      </c>
      <c r="AF85" s="523" t="e">
        <f ca="1">stat(calculs!AF85)</f>
        <v>#NAME?</v>
      </c>
      <c r="AG85" s="523" t="e">
        <f ca="1">stat(calculs!AG85)</f>
        <v>#NAME?</v>
      </c>
      <c r="AH85" s="523" t="e">
        <f ca="1">stat(calculs!AH85)</f>
        <v>#NAME?</v>
      </c>
      <c r="AI85" s="523" t="e">
        <f ca="1">stat(calculs!AI85)</f>
        <v>#NAME?</v>
      </c>
      <c r="AJ85" s="523" t="e">
        <f ca="1">stat(calculs!AJ85)</f>
        <v>#NAME?</v>
      </c>
      <c r="AK85" s="523" t="e">
        <f ca="1">stat(calculs!AK85)</f>
        <v>#NAME?</v>
      </c>
      <c r="AL85" s="523" t="e">
        <f ca="1">stat(calculs!AL85)</f>
        <v>#NAME?</v>
      </c>
      <c r="AM85" s="523" t="e">
        <f ca="1">stat(calculs!AM85)</f>
        <v>#NAME?</v>
      </c>
      <c r="AN85" s="523" t="e">
        <f ca="1">stat(calculs!AN85)</f>
        <v>#NAME?</v>
      </c>
      <c r="AO85" s="523" t="e">
        <f ca="1">stat(calculs!AO85)</f>
        <v>#NAME?</v>
      </c>
      <c r="AP85" s="523" t="e">
        <f ca="1">stat(calculs!AP85)</f>
        <v>#NAME?</v>
      </c>
      <c r="AQ85" s="523" t="e">
        <f ca="1">stat(calculs!AQ85)</f>
        <v>#NAME?</v>
      </c>
      <c r="AT85" s="517"/>
      <c r="AV85" s="525" t="e">
        <f ca="1">stat(calculs!AV85)</f>
        <v>#NAME?</v>
      </c>
      <c r="AW85" s="525" t="e">
        <f ca="1">stat(calculs!AW85)</f>
        <v>#NAME?</v>
      </c>
      <c r="AX85" s="525" t="e">
        <f ca="1">stat(calculs!AX85)</f>
        <v>#NAME?</v>
      </c>
      <c r="AY85" s="525" t="e">
        <f ca="1">stat(calculs!AY85)</f>
        <v>#NAME?</v>
      </c>
      <c r="AZ85" s="525" t="e">
        <f ca="1">stat(calculs!AZ85)</f>
        <v>#NAME?</v>
      </c>
      <c r="BA85" s="525" t="e">
        <f ca="1">stat(calculs!BA85)</f>
        <v>#NAME?</v>
      </c>
      <c r="BB85" s="525" t="e">
        <f ca="1">stat(calculs!BB85)</f>
        <v>#NAME?</v>
      </c>
      <c r="BC85" s="525" t="e">
        <f ca="1">stat(calculs!BC85)</f>
        <v>#NAME?</v>
      </c>
      <c r="BD85" s="525" t="e">
        <f ca="1">stat(calculs!BD85)</f>
        <v>#NAME?</v>
      </c>
      <c r="BE85" s="525" t="e">
        <f ca="1">stat(calculs!BE85)</f>
        <v>#NAME?</v>
      </c>
      <c r="BF85" s="525" t="e">
        <f ca="1">stat(calculs!BF85)</f>
        <v>#NAME?</v>
      </c>
      <c r="BG85" s="729" t="e">
        <f ca="1">stat(calculs!BG85)</f>
        <v>#NAME?</v>
      </c>
      <c r="BH85" s="729" t="e">
        <f ca="1">stat(calculs!BH85)</f>
        <v>#NAME?</v>
      </c>
      <c r="BI85" s="729" t="e">
        <f ca="1">stat(calculs!BI85)</f>
        <v>#NAME?</v>
      </c>
      <c r="BJ85" s="729" t="e">
        <f ca="1">stat(calculs!BJ85)</f>
        <v>#NAME?</v>
      </c>
      <c r="BK85" s="729" t="e">
        <f ca="1">stat(calculs!BK85)</f>
        <v>#NAME?</v>
      </c>
      <c r="BL85" s="525" t="e">
        <f ca="1">stat(calculs!BL85)</f>
        <v>#NAME?</v>
      </c>
      <c r="BM85" s="525" t="e">
        <f ca="1">stat(calculs!BM85)</f>
        <v>#NAME?</v>
      </c>
      <c r="BN85" s="525" t="e">
        <f ca="1">stat(calculs!BN85)</f>
        <v>#NAME?</v>
      </c>
      <c r="BO85" s="525" t="e">
        <f ca="1">stat(calculs!BO85)</f>
        <v>#NAME?</v>
      </c>
      <c r="BP85" s="525" t="e">
        <f ca="1">stat(calculs!BP85)</f>
        <v>#NAME?</v>
      </c>
      <c r="BQ85" s="525" t="e">
        <f ca="1">stat(calculs!BQ85)</f>
        <v>#NAME?</v>
      </c>
      <c r="BR85" s="525" t="e">
        <f ca="1">stat(calculs!BR85)</f>
        <v>#NAME?</v>
      </c>
    </row>
    <row r="86" spans="1:70" x14ac:dyDescent="0.2">
      <c r="A86" s="222">
        <f>données_step[[#This Row],[Datum]]</f>
        <v>44637</v>
      </c>
      <c r="B86" s="223"/>
      <c r="C86" s="224">
        <f t="shared" si="1"/>
        <v>5</v>
      </c>
      <c r="D86" s="523" t="e">
        <f ca="1">stat(charge_entree[[#This Row],[ch_E_DBO5]])</f>
        <v>#NAME?</v>
      </c>
      <c r="E86" s="523" t="e">
        <f ca="1">stat(charge_entree[[#This Row],[ch_E_DCO]])</f>
        <v>#NAME?</v>
      </c>
      <c r="F86" s="523" t="e">
        <f ca="1">stat(charge_entree[[#This Row],[ch_E_COT]])</f>
        <v>#NAME?</v>
      </c>
      <c r="G86" s="523" t="e">
        <f ca="1">stat(charge_entree[[#This Row],[ch_E_NH4]])</f>
        <v>#NAME?</v>
      </c>
      <c r="H86" s="523" t="e">
        <f ca="1">stat(charge_entree[[#This Row],[ch_E_NTOT]])</f>
        <v>#NAME?</v>
      </c>
      <c r="I86" s="523" t="e">
        <f ca="1">stat(charge_entree[[#This Row],[ch_E_PTOT]])</f>
        <v>#NAME?</v>
      </c>
      <c r="J86" s="523" t="e">
        <f ca="1">stat(charge_entree[[#This Row],[ch_S_DBO]])</f>
        <v>#NAME?</v>
      </c>
      <c r="K86" s="523" t="e">
        <f ca="1">stat(charge_entree[[#This Row],[ch_S-DCO]])</f>
        <v>#NAME?</v>
      </c>
      <c r="L86" s="523" t="e">
        <f ca="1">stat(charge_entree[[#This Row],[ch_S_DOC]])</f>
        <v>#NAME?</v>
      </c>
      <c r="M86" s="523" t="e">
        <f ca="1">stat(charge_entree[[#This Row],[ch_S_NH4]])</f>
        <v>#NAME?</v>
      </c>
      <c r="N86" s="523" t="e">
        <f ca="1">stat(charge_entree[[#This Row],[ch_S_NO2]])</f>
        <v>#NAME?</v>
      </c>
      <c r="O86" s="523" t="e">
        <f ca="1">stat(charge_entree[[#This Row],[ch_S_NO3]])</f>
        <v>#NAME?</v>
      </c>
      <c r="P86" s="523" t="e">
        <f ca="1">stat(charge_entree[[#This Row],[ch_S_PTOT]])</f>
        <v>#NAME?</v>
      </c>
      <c r="Q86" s="523" t="e">
        <f ca="1">stat(charge_entree[[#This Row],[ch_S_SNDT]])</f>
        <v>#NAME?</v>
      </c>
      <c r="R86" s="523">
        <f>calculs!R86</f>
        <v>0</v>
      </c>
      <c r="S86" s="523" t="e">
        <f ca="1">stat(calculs!S86)</f>
        <v>#NAME?</v>
      </c>
      <c r="T86" s="523" t="e">
        <f ca="1">stat(calculs!T86)</f>
        <v>#NAME?</v>
      </c>
      <c r="U86" s="523" t="e">
        <f ca="1">stat(calculs!U86)</f>
        <v>#NAME?</v>
      </c>
      <c r="V86" s="523" t="e">
        <f ca="1">stat(calculs!V86)</f>
        <v>#NAME?</v>
      </c>
      <c r="W86" s="523" t="e">
        <f ca="1">stat(calculs!W86)</f>
        <v>#NAME?</v>
      </c>
      <c r="X86" s="523" t="e">
        <f ca="1">stat(calculs!X86)</f>
        <v>#NAME?</v>
      </c>
      <c r="Y86" s="523" t="e">
        <f ca="1">stat(calculs!Y86)</f>
        <v>#NAME?</v>
      </c>
      <c r="Z86" s="523" t="e">
        <f ca="1">stat(calculs!Z86)</f>
        <v>#NAME?</v>
      </c>
      <c r="AA86" s="523" t="e">
        <f ca="1">stat(calculs!AA86)</f>
        <v>#NAME?</v>
      </c>
      <c r="AB86" s="523" t="e">
        <f ca="1">stat(calculs!AB86)</f>
        <v>#NAME?</v>
      </c>
      <c r="AC86" s="523" t="e">
        <f ca="1">stat(calculs!AC86)</f>
        <v>#NAME?</v>
      </c>
      <c r="AD86" s="523" t="e">
        <f ca="1">stat(calculs!AD86)</f>
        <v>#NAME?</v>
      </c>
      <c r="AE86" s="523" t="e">
        <f ca="1">stat(calculs!AE86)</f>
        <v>#NAME?</v>
      </c>
      <c r="AF86" s="523" t="e">
        <f ca="1">stat(calculs!AF86)</f>
        <v>#NAME?</v>
      </c>
      <c r="AG86" s="523" t="e">
        <f ca="1">stat(calculs!AG86)</f>
        <v>#NAME?</v>
      </c>
      <c r="AH86" s="523" t="e">
        <f ca="1">stat(calculs!AH86)</f>
        <v>#NAME?</v>
      </c>
      <c r="AI86" s="523" t="e">
        <f ca="1">stat(calculs!AI86)</f>
        <v>#NAME?</v>
      </c>
      <c r="AJ86" s="523" t="e">
        <f ca="1">stat(calculs!AJ86)</f>
        <v>#NAME?</v>
      </c>
      <c r="AK86" s="523" t="e">
        <f ca="1">stat(calculs!AK86)</f>
        <v>#NAME?</v>
      </c>
      <c r="AL86" s="523" t="e">
        <f ca="1">stat(calculs!AL86)</f>
        <v>#NAME?</v>
      </c>
      <c r="AM86" s="523" t="e">
        <f ca="1">stat(calculs!AM86)</f>
        <v>#NAME?</v>
      </c>
      <c r="AN86" s="523" t="e">
        <f ca="1">stat(calculs!AN86)</f>
        <v>#NAME?</v>
      </c>
      <c r="AO86" s="523" t="e">
        <f ca="1">stat(calculs!AO86)</f>
        <v>#NAME?</v>
      </c>
      <c r="AP86" s="523" t="e">
        <f ca="1">stat(calculs!AP86)</f>
        <v>#NAME?</v>
      </c>
      <c r="AQ86" s="523" t="e">
        <f ca="1">stat(calculs!AQ86)</f>
        <v>#NAME?</v>
      </c>
      <c r="AT86" s="517"/>
      <c r="AV86" s="525" t="e">
        <f ca="1">stat(calculs!AV86)</f>
        <v>#NAME?</v>
      </c>
      <c r="AW86" s="525" t="e">
        <f ca="1">stat(calculs!AW86)</f>
        <v>#NAME?</v>
      </c>
      <c r="AX86" s="525" t="e">
        <f ca="1">stat(calculs!AX86)</f>
        <v>#NAME?</v>
      </c>
      <c r="AY86" s="525" t="e">
        <f ca="1">stat(calculs!AY86)</f>
        <v>#NAME?</v>
      </c>
      <c r="AZ86" s="525" t="e">
        <f ca="1">stat(calculs!AZ86)</f>
        <v>#NAME?</v>
      </c>
      <c r="BA86" s="525" t="e">
        <f ca="1">stat(calculs!BA86)</f>
        <v>#NAME?</v>
      </c>
      <c r="BB86" s="525" t="e">
        <f ca="1">stat(calculs!BB86)</f>
        <v>#NAME?</v>
      </c>
      <c r="BC86" s="525" t="e">
        <f ca="1">stat(calculs!BC86)</f>
        <v>#NAME?</v>
      </c>
      <c r="BD86" s="525" t="e">
        <f ca="1">stat(calculs!BD86)</f>
        <v>#NAME?</v>
      </c>
      <c r="BE86" s="525" t="e">
        <f ca="1">stat(calculs!BE86)</f>
        <v>#NAME?</v>
      </c>
      <c r="BF86" s="525" t="e">
        <f ca="1">stat(calculs!BF86)</f>
        <v>#NAME?</v>
      </c>
      <c r="BG86" s="729" t="e">
        <f ca="1">stat(calculs!BG86)</f>
        <v>#NAME?</v>
      </c>
      <c r="BH86" s="729" t="e">
        <f ca="1">stat(calculs!BH86)</f>
        <v>#NAME?</v>
      </c>
      <c r="BI86" s="729" t="e">
        <f ca="1">stat(calculs!BI86)</f>
        <v>#NAME?</v>
      </c>
      <c r="BJ86" s="729" t="e">
        <f ca="1">stat(calculs!BJ86)</f>
        <v>#NAME?</v>
      </c>
      <c r="BK86" s="729" t="e">
        <f ca="1">stat(calculs!BK86)</f>
        <v>#NAME?</v>
      </c>
      <c r="BL86" s="525" t="e">
        <f ca="1">stat(calculs!BL86)</f>
        <v>#NAME?</v>
      </c>
      <c r="BM86" s="525" t="e">
        <f ca="1">stat(calculs!BM86)</f>
        <v>#NAME?</v>
      </c>
      <c r="BN86" s="525" t="e">
        <f ca="1">stat(calculs!BN86)</f>
        <v>#NAME?</v>
      </c>
      <c r="BO86" s="525" t="e">
        <f ca="1">stat(calculs!BO86)</f>
        <v>#NAME?</v>
      </c>
      <c r="BP86" s="525" t="e">
        <f ca="1">stat(calculs!BP86)</f>
        <v>#NAME?</v>
      </c>
      <c r="BQ86" s="525" t="e">
        <f ca="1">stat(calculs!BQ86)</f>
        <v>#NAME?</v>
      </c>
      <c r="BR86" s="525" t="e">
        <f ca="1">stat(calculs!BR86)</f>
        <v>#NAME?</v>
      </c>
    </row>
    <row r="87" spans="1:70" x14ac:dyDescent="0.2">
      <c r="A87" s="222">
        <f>données_step[[#This Row],[Datum]]</f>
        <v>44638</v>
      </c>
      <c r="B87" s="223"/>
      <c r="C87" s="224">
        <f t="shared" si="1"/>
        <v>6</v>
      </c>
      <c r="D87" s="523" t="e">
        <f ca="1">stat(charge_entree[[#This Row],[ch_E_DBO5]])</f>
        <v>#NAME?</v>
      </c>
      <c r="E87" s="523" t="e">
        <f ca="1">stat(charge_entree[[#This Row],[ch_E_DCO]])</f>
        <v>#NAME?</v>
      </c>
      <c r="F87" s="523" t="e">
        <f ca="1">stat(charge_entree[[#This Row],[ch_E_COT]])</f>
        <v>#NAME?</v>
      </c>
      <c r="G87" s="523" t="e">
        <f ca="1">stat(charge_entree[[#This Row],[ch_E_NH4]])</f>
        <v>#NAME?</v>
      </c>
      <c r="H87" s="523" t="e">
        <f ca="1">stat(charge_entree[[#This Row],[ch_E_NTOT]])</f>
        <v>#NAME?</v>
      </c>
      <c r="I87" s="523" t="e">
        <f ca="1">stat(charge_entree[[#This Row],[ch_E_PTOT]])</f>
        <v>#NAME?</v>
      </c>
      <c r="J87" s="523" t="e">
        <f ca="1">stat(charge_entree[[#This Row],[ch_S_DBO]])</f>
        <v>#NAME?</v>
      </c>
      <c r="K87" s="523" t="e">
        <f ca="1">stat(charge_entree[[#This Row],[ch_S-DCO]])</f>
        <v>#NAME?</v>
      </c>
      <c r="L87" s="523" t="e">
        <f ca="1">stat(charge_entree[[#This Row],[ch_S_DOC]])</f>
        <v>#NAME?</v>
      </c>
      <c r="M87" s="523" t="e">
        <f ca="1">stat(charge_entree[[#This Row],[ch_S_NH4]])</f>
        <v>#NAME?</v>
      </c>
      <c r="N87" s="523" t="e">
        <f ca="1">stat(charge_entree[[#This Row],[ch_S_NO2]])</f>
        <v>#NAME?</v>
      </c>
      <c r="O87" s="523" t="e">
        <f ca="1">stat(charge_entree[[#This Row],[ch_S_NO3]])</f>
        <v>#NAME?</v>
      </c>
      <c r="P87" s="523" t="e">
        <f ca="1">stat(charge_entree[[#This Row],[ch_S_PTOT]])</f>
        <v>#NAME?</v>
      </c>
      <c r="Q87" s="523" t="e">
        <f ca="1">stat(charge_entree[[#This Row],[ch_S_SNDT]])</f>
        <v>#NAME?</v>
      </c>
      <c r="R87" s="523">
        <f>calculs!R87</f>
        <v>0</v>
      </c>
      <c r="S87" s="523" t="e">
        <f ca="1">stat(calculs!S87)</f>
        <v>#NAME?</v>
      </c>
      <c r="T87" s="523" t="e">
        <f ca="1">stat(calculs!T87)</f>
        <v>#NAME?</v>
      </c>
      <c r="U87" s="523" t="e">
        <f ca="1">stat(calculs!U87)</f>
        <v>#NAME?</v>
      </c>
      <c r="V87" s="523" t="e">
        <f ca="1">stat(calculs!V87)</f>
        <v>#NAME?</v>
      </c>
      <c r="W87" s="523" t="e">
        <f ca="1">stat(calculs!W87)</f>
        <v>#NAME?</v>
      </c>
      <c r="X87" s="523" t="e">
        <f ca="1">stat(calculs!X87)</f>
        <v>#NAME?</v>
      </c>
      <c r="Y87" s="523" t="e">
        <f ca="1">stat(calculs!Y87)</f>
        <v>#NAME?</v>
      </c>
      <c r="Z87" s="523" t="e">
        <f ca="1">stat(calculs!Z87)</f>
        <v>#NAME?</v>
      </c>
      <c r="AA87" s="523" t="e">
        <f ca="1">stat(calculs!AA87)</f>
        <v>#NAME?</v>
      </c>
      <c r="AB87" s="523" t="e">
        <f ca="1">stat(calculs!AB87)</f>
        <v>#NAME?</v>
      </c>
      <c r="AC87" s="523" t="e">
        <f ca="1">stat(calculs!AC87)</f>
        <v>#NAME?</v>
      </c>
      <c r="AD87" s="523" t="e">
        <f ca="1">stat(calculs!AD87)</f>
        <v>#NAME?</v>
      </c>
      <c r="AE87" s="523" t="e">
        <f ca="1">stat(calculs!AE87)</f>
        <v>#NAME?</v>
      </c>
      <c r="AF87" s="523" t="e">
        <f ca="1">stat(calculs!AF87)</f>
        <v>#NAME?</v>
      </c>
      <c r="AG87" s="523" t="e">
        <f ca="1">stat(calculs!AG87)</f>
        <v>#NAME?</v>
      </c>
      <c r="AH87" s="523" t="e">
        <f ca="1">stat(calculs!AH87)</f>
        <v>#NAME?</v>
      </c>
      <c r="AI87" s="523" t="e">
        <f ca="1">stat(calculs!AI87)</f>
        <v>#NAME?</v>
      </c>
      <c r="AJ87" s="523" t="e">
        <f ca="1">stat(calculs!AJ87)</f>
        <v>#NAME?</v>
      </c>
      <c r="AK87" s="523" t="e">
        <f ca="1">stat(calculs!AK87)</f>
        <v>#NAME?</v>
      </c>
      <c r="AL87" s="523" t="e">
        <f ca="1">stat(calculs!AL87)</f>
        <v>#NAME?</v>
      </c>
      <c r="AM87" s="523" t="e">
        <f ca="1">stat(calculs!AM87)</f>
        <v>#NAME?</v>
      </c>
      <c r="AN87" s="523" t="e">
        <f ca="1">stat(calculs!AN87)</f>
        <v>#NAME?</v>
      </c>
      <c r="AO87" s="523" t="e">
        <f ca="1">stat(calculs!AO87)</f>
        <v>#NAME?</v>
      </c>
      <c r="AP87" s="523" t="e">
        <f ca="1">stat(calculs!AP87)</f>
        <v>#NAME?</v>
      </c>
      <c r="AQ87" s="523" t="e">
        <f ca="1">stat(calculs!AQ87)</f>
        <v>#NAME?</v>
      </c>
      <c r="AT87" s="517"/>
      <c r="AV87" s="525" t="e">
        <f ca="1">stat(calculs!AV87)</f>
        <v>#NAME?</v>
      </c>
      <c r="AW87" s="525" t="e">
        <f ca="1">stat(calculs!AW87)</f>
        <v>#NAME?</v>
      </c>
      <c r="AX87" s="525" t="e">
        <f ca="1">stat(calculs!AX87)</f>
        <v>#NAME?</v>
      </c>
      <c r="AY87" s="525" t="e">
        <f ca="1">stat(calculs!AY87)</f>
        <v>#NAME?</v>
      </c>
      <c r="AZ87" s="525" t="e">
        <f ca="1">stat(calculs!AZ87)</f>
        <v>#NAME?</v>
      </c>
      <c r="BA87" s="525" t="e">
        <f ca="1">stat(calculs!BA87)</f>
        <v>#NAME?</v>
      </c>
      <c r="BB87" s="525" t="e">
        <f ca="1">stat(calculs!BB87)</f>
        <v>#NAME?</v>
      </c>
      <c r="BC87" s="525" t="e">
        <f ca="1">stat(calculs!BC87)</f>
        <v>#NAME?</v>
      </c>
      <c r="BD87" s="525" t="e">
        <f ca="1">stat(calculs!BD87)</f>
        <v>#NAME?</v>
      </c>
      <c r="BE87" s="525" t="e">
        <f ca="1">stat(calculs!BE87)</f>
        <v>#NAME?</v>
      </c>
      <c r="BF87" s="525" t="e">
        <f ca="1">stat(calculs!BF87)</f>
        <v>#NAME?</v>
      </c>
      <c r="BG87" s="729" t="e">
        <f ca="1">stat(calculs!BG87)</f>
        <v>#NAME?</v>
      </c>
      <c r="BH87" s="729" t="e">
        <f ca="1">stat(calculs!BH87)</f>
        <v>#NAME?</v>
      </c>
      <c r="BI87" s="729" t="e">
        <f ca="1">stat(calculs!BI87)</f>
        <v>#NAME?</v>
      </c>
      <c r="BJ87" s="729" t="e">
        <f ca="1">stat(calculs!BJ87)</f>
        <v>#NAME?</v>
      </c>
      <c r="BK87" s="729" t="e">
        <f ca="1">stat(calculs!BK87)</f>
        <v>#NAME?</v>
      </c>
      <c r="BL87" s="525" t="e">
        <f ca="1">stat(calculs!BL87)</f>
        <v>#NAME?</v>
      </c>
      <c r="BM87" s="525" t="e">
        <f ca="1">stat(calculs!BM87)</f>
        <v>#NAME?</v>
      </c>
      <c r="BN87" s="525" t="e">
        <f ca="1">stat(calculs!BN87)</f>
        <v>#NAME?</v>
      </c>
      <c r="BO87" s="525" t="e">
        <f ca="1">stat(calculs!BO87)</f>
        <v>#NAME?</v>
      </c>
      <c r="BP87" s="525" t="e">
        <f ca="1">stat(calculs!BP87)</f>
        <v>#NAME?</v>
      </c>
      <c r="BQ87" s="525" t="e">
        <f ca="1">stat(calculs!BQ87)</f>
        <v>#NAME?</v>
      </c>
      <c r="BR87" s="525" t="e">
        <f ca="1">stat(calculs!BR87)</f>
        <v>#NAME?</v>
      </c>
    </row>
    <row r="88" spans="1:70" x14ac:dyDescent="0.2">
      <c r="A88" s="222">
        <f>données_step[[#This Row],[Datum]]</f>
        <v>44639</v>
      </c>
      <c r="B88" s="223"/>
      <c r="C88" s="224">
        <f t="shared" si="1"/>
        <v>7</v>
      </c>
      <c r="D88" s="523" t="e">
        <f ca="1">stat(charge_entree[[#This Row],[ch_E_DBO5]])</f>
        <v>#NAME?</v>
      </c>
      <c r="E88" s="523" t="e">
        <f ca="1">stat(charge_entree[[#This Row],[ch_E_DCO]])</f>
        <v>#NAME?</v>
      </c>
      <c r="F88" s="523" t="e">
        <f ca="1">stat(charge_entree[[#This Row],[ch_E_COT]])</f>
        <v>#NAME?</v>
      </c>
      <c r="G88" s="523" t="e">
        <f ca="1">stat(charge_entree[[#This Row],[ch_E_NH4]])</f>
        <v>#NAME?</v>
      </c>
      <c r="H88" s="523" t="e">
        <f ca="1">stat(charge_entree[[#This Row],[ch_E_NTOT]])</f>
        <v>#NAME?</v>
      </c>
      <c r="I88" s="523" t="e">
        <f ca="1">stat(charge_entree[[#This Row],[ch_E_PTOT]])</f>
        <v>#NAME?</v>
      </c>
      <c r="J88" s="523" t="e">
        <f ca="1">stat(charge_entree[[#This Row],[ch_S_DBO]])</f>
        <v>#NAME?</v>
      </c>
      <c r="K88" s="523" t="e">
        <f ca="1">stat(charge_entree[[#This Row],[ch_S-DCO]])</f>
        <v>#NAME?</v>
      </c>
      <c r="L88" s="523" t="e">
        <f ca="1">stat(charge_entree[[#This Row],[ch_S_DOC]])</f>
        <v>#NAME?</v>
      </c>
      <c r="M88" s="523" t="e">
        <f ca="1">stat(charge_entree[[#This Row],[ch_S_NH4]])</f>
        <v>#NAME?</v>
      </c>
      <c r="N88" s="523" t="e">
        <f ca="1">stat(charge_entree[[#This Row],[ch_S_NO2]])</f>
        <v>#NAME?</v>
      </c>
      <c r="O88" s="523" t="e">
        <f ca="1">stat(charge_entree[[#This Row],[ch_S_NO3]])</f>
        <v>#NAME?</v>
      </c>
      <c r="P88" s="523" t="e">
        <f ca="1">stat(charge_entree[[#This Row],[ch_S_PTOT]])</f>
        <v>#NAME?</v>
      </c>
      <c r="Q88" s="523" t="e">
        <f ca="1">stat(charge_entree[[#This Row],[ch_S_SNDT]])</f>
        <v>#NAME?</v>
      </c>
      <c r="R88" s="523">
        <f>calculs!R88</f>
        <v>0</v>
      </c>
      <c r="S88" s="523" t="e">
        <f ca="1">stat(calculs!S88)</f>
        <v>#NAME?</v>
      </c>
      <c r="T88" s="523" t="e">
        <f ca="1">stat(calculs!T88)</f>
        <v>#NAME?</v>
      </c>
      <c r="U88" s="523" t="e">
        <f ca="1">stat(calculs!U88)</f>
        <v>#NAME?</v>
      </c>
      <c r="V88" s="523" t="e">
        <f ca="1">stat(calculs!V88)</f>
        <v>#NAME?</v>
      </c>
      <c r="W88" s="523" t="e">
        <f ca="1">stat(calculs!W88)</f>
        <v>#NAME?</v>
      </c>
      <c r="X88" s="523" t="e">
        <f ca="1">stat(calculs!X88)</f>
        <v>#NAME?</v>
      </c>
      <c r="Y88" s="523" t="e">
        <f ca="1">stat(calculs!Y88)</f>
        <v>#NAME?</v>
      </c>
      <c r="Z88" s="523" t="e">
        <f ca="1">stat(calculs!Z88)</f>
        <v>#NAME?</v>
      </c>
      <c r="AA88" s="523" t="e">
        <f ca="1">stat(calculs!AA88)</f>
        <v>#NAME?</v>
      </c>
      <c r="AB88" s="523" t="e">
        <f ca="1">stat(calculs!AB88)</f>
        <v>#NAME?</v>
      </c>
      <c r="AC88" s="523" t="e">
        <f ca="1">stat(calculs!AC88)</f>
        <v>#NAME?</v>
      </c>
      <c r="AD88" s="523" t="e">
        <f ca="1">stat(calculs!AD88)</f>
        <v>#NAME?</v>
      </c>
      <c r="AE88" s="523" t="e">
        <f ca="1">stat(calculs!AE88)</f>
        <v>#NAME?</v>
      </c>
      <c r="AF88" s="523" t="e">
        <f ca="1">stat(calculs!AF88)</f>
        <v>#NAME?</v>
      </c>
      <c r="AG88" s="523" t="e">
        <f ca="1">stat(calculs!AG88)</f>
        <v>#NAME?</v>
      </c>
      <c r="AH88" s="523" t="e">
        <f ca="1">stat(calculs!AH88)</f>
        <v>#NAME?</v>
      </c>
      <c r="AI88" s="523" t="e">
        <f ca="1">stat(calculs!AI88)</f>
        <v>#NAME?</v>
      </c>
      <c r="AJ88" s="523" t="e">
        <f ca="1">stat(calculs!AJ88)</f>
        <v>#NAME?</v>
      </c>
      <c r="AK88" s="523" t="e">
        <f ca="1">stat(calculs!AK88)</f>
        <v>#NAME?</v>
      </c>
      <c r="AL88" s="523" t="e">
        <f ca="1">stat(calculs!AL88)</f>
        <v>#NAME?</v>
      </c>
      <c r="AM88" s="523" t="e">
        <f ca="1">stat(calculs!AM88)</f>
        <v>#NAME?</v>
      </c>
      <c r="AN88" s="523" t="e">
        <f ca="1">stat(calculs!AN88)</f>
        <v>#NAME?</v>
      </c>
      <c r="AO88" s="523" t="e">
        <f ca="1">stat(calculs!AO88)</f>
        <v>#NAME?</v>
      </c>
      <c r="AP88" s="523" t="e">
        <f ca="1">stat(calculs!AP88)</f>
        <v>#NAME?</v>
      </c>
      <c r="AQ88" s="523" t="e">
        <f ca="1">stat(calculs!AQ88)</f>
        <v>#NAME?</v>
      </c>
      <c r="AT88" s="517"/>
      <c r="AV88" s="525" t="e">
        <f ca="1">stat(calculs!AV88)</f>
        <v>#NAME?</v>
      </c>
      <c r="AW88" s="525" t="e">
        <f ca="1">stat(calculs!AW88)</f>
        <v>#NAME?</v>
      </c>
      <c r="AX88" s="525" t="e">
        <f ca="1">stat(calculs!AX88)</f>
        <v>#NAME?</v>
      </c>
      <c r="AY88" s="525" t="e">
        <f ca="1">stat(calculs!AY88)</f>
        <v>#NAME?</v>
      </c>
      <c r="AZ88" s="525" t="e">
        <f ca="1">stat(calculs!AZ88)</f>
        <v>#NAME?</v>
      </c>
      <c r="BA88" s="525" t="e">
        <f ca="1">stat(calculs!BA88)</f>
        <v>#NAME?</v>
      </c>
      <c r="BB88" s="525" t="e">
        <f ca="1">stat(calculs!BB88)</f>
        <v>#NAME?</v>
      </c>
      <c r="BC88" s="525" t="e">
        <f ca="1">stat(calculs!BC88)</f>
        <v>#NAME?</v>
      </c>
      <c r="BD88" s="525" t="e">
        <f ca="1">stat(calculs!BD88)</f>
        <v>#NAME?</v>
      </c>
      <c r="BE88" s="525" t="e">
        <f ca="1">stat(calculs!BE88)</f>
        <v>#NAME?</v>
      </c>
      <c r="BF88" s="525" t="e">
        <f ca="1">stat(calculs!BF88)</f>
        <v>#NAME?</v>
      </c>
      <c r="BG88" s="729" t="e">
        <f ca="1">stat(calculs!BG88)</f>
        <v>#NAME?</v>
      </c>
      <c r="BH88" s="729" t="e">
        <f ca="1">stat(calculs!BH88)</f>
        <v>#NAME?</v>
      </c>
      <c r="BI88" s="729" t="e">
        <f ca="1">stat(calculs!BI88)</f>
        <v>#NAME?</v>
      </c>
      <c r="BJ88" s="729" t="e">
        <f ca="1">stat(calculs!BJ88)</f>
        <v>#NAME?</v>
      </c>
      <c r="BK88" s="729" t="e">
        <f ca="1">stat(calculs!BK88)</f>
        <v>#NAME?</v>
      </c>
      <c r="BL88" s="525" t="e">
        <f ca="1">stat(calculs!BL88)</f>
        <v>#NAME?</v>
      </c>
      <c r="BM88" s="525" t="e">
        <f ca="1">stat(calculs!BM88)</f>
        <v>#NAME?</v>
      </c>
      <c r="BN88" s="525" t="e">
        <f ca="1">stat(calculs!BN88)</f>
        <v>#NAME?</v>
      </c>
      <c r="BO88" s="525" t="e">
        <f ca="1">stat(calculs!BO88)</f>
        <v>#NAME?</v>
      </c>
      <c r="BP88" s="525" t="e">
        <f ca="1">stat(calculs!BP88)</f>
        <v>#NAME?</v>
      </c>
      <c r="BQ88" s="525" t="e">
        <f ca="1">stat(calculs!BQ88)</f>
        <v>#NAME?</v>
      </c>
      <c r="BR88" s="525" t="e">
        <f ca="1">stat(calculs!BR88)</f>
        <v>#NAME?</v>
      </c>
    </row>
    <row r="89" spans="1:70" x14ac:dyDescent="0.2">
      <c r="A89" s="222">
        <f>données_step[[#This Row],[Datum]]</f>
        <v>44640</v>
      </c>
      <c r="B89" s="223"/>
      <c r="C89" s="224">
        <f t="shared" si="1"/>
        <v>1</v>
      </c>
      <c r="D89" s="523" t="e">
        <f ca="1">stat(charge_entree[[#This Row],[ch_E_DBO5]])</f>
        <v>#NAME?</v>
      </c>
      <c r="E89" s="523" t="e">
        <f ca="1">stat(charge_entree[[#This Row],[ch_E_DCO]])</f>
        <v>#NAME?</v>
      </c>
      <c r="F89" s="523" t="e">
        <f ca="1">stat(charge_entree[[#This Row],[ch_E_COT]])</f>
        <v>#NAME?</v>
      </c>
      <c r="G89" s="523" t="e">
        <f ca="1">stat(charge_entree[[#This Row],[ch_E_NH4]])</f>
        <v>#NAME?</v>
      </c>
      <c r="H89" s="523" t="e">
        <f ca="1">stat(charge_entree[[#This Row],[ch_E_NTOT]])</f>
        <v>#NAME?</v>
      </c>
      <c r="I89" s="523" t="e">
        <f ca="1">stat(charge_entree[[#This Row],[ch_E_PTOT]])</f>
        <v>#NAME?</v>
      </c>
      <c r="J89" s="523" t="e">
        <f ca="1">stat(charge_entree[[#This Row],[ch_S_DBO]])</f>
        <v>#NAME?</v>
      </c>
      <c r="K89" s="523" t="e">
        <f ca="1">stat(charge_entree[[#This Row],[ch_S-DCO]])</f>
        <v>#NAME?</v>
      </c>
      <c r="L89" s="523" t="e">
        <f ca="1">stat(charge_entree[[#This Row],[ch_S_DOC]])</f>
        <v>#NAME?</v>
      </c>
      <c r="M89" s="523" t="e">
        <f ca="1">stat(charge_entree[[#This Row],[ch_S_NH4]])</f>
        <v>#NAME?</v>
      </c>
      <c r="N89" s="523" t="e">
        <f ca="1">stat(charge_entree[[#This Row],[ch_S_NO2]])</f>
        <v>#NAME?</v>
      </c>
      <c r="O89" s="523" t="e">
        <f ca="1">stat(charge_entree[[#This Row],[ch_S_NO3]])</f>
        <v>#NAME?</v>
      </c>
      <c r="P89" s="523" t="e">
        <f ca="1">stat(charge_entree[[#This Row],[ch_S_PTOT]])</f>
        <v>#NAME?</v>
      </c>
      <c r="Q89" s="523" t="e">
        <f ca="1">stat(charge_entree[[#This Row],[ch_S_SNDT]])</f>
        <v>#NAME?</v>
      </c>
      <c r="R89" s="523">
        <f>calculs!R89</f>
        <v>0</v>
      </c>
      <c r="S89" s="523" t="e">
        <f ca="1">stat(calculs!S89)</f>
        <v>#NAME?</v>
      </c>
      <c r="T89" s="523" t="e">
        <f ca="1">stat(calculs!T89)</f>
        <v>#NAME?</v>
      </c>
      <c r="U89" s="523" t="e">
        <f ca="1">stat(calculs!U89)</f>
        <v>#NAME?</v>
      </c>
      <c r="V89" s="523" t="e">
        <f ca="1">stat(calculs!V89)</f>
        <v>#NAME?</v>
      </c>
      <c r="W89" s="523" t="e">
        <f ca="1">stat(calculs!W89)</f>
        <v>#NAME?</v>
      </c>
      <c r="X89" s="523" t="e">
        <f ca="1">stat(calculs!X89)</f>
        <v>#NAME?</v>
      </c>
      <c r="Y89" s="523" t="e">
        <f ca="1">stat(calculs!Y89)</f>
        <v>#NAME?</v>
      </c>
      <c r="Z89" s="523" t="e">
        <f ca="1">stat(calculs!Z89)</f>
        <v>#NAME?</v>
      </c>
      <c r="AA89" s="523" t="e">
        <f ca="1">stat(calculs!AA89)</f>
        <v>#NAME?</v>
      </c>
      <c r="AB89" s="523" t="e">
        <f ca="1">stat(calculs!AB89)</f>
        <v>#NAME?</v>
      </c>
      <c r="AC89" s="523" t="e">
        <f ca="1">stat(calculs!AC89)</f>
        <v>#NAME?</v>
      </c>
      <c r="AD89" s="523" t="e">
        <f ca="1">stat(calculs!AD89)</f>
        <v>#NAME?</v>
      </c>
      <c r="AE89" s="523" t="e">
        <f ca="1">stat(calculs!AE89)</f>
        <v>#NAME?</v>
      </c>
      <c r="AF89" s="523" t="e">
        <f ca="1">stat(calculs!AF89)</f>
        <v>#NAME?</v>
      </c>
      <c r="AG89" s="523" t="e">
        <f ca="1">stat(calculs!AG89)</f>
        <v>#NAME?</v>
      </c>
      <c r="AH89" s="523" t="e">
        <f ca="1">stat(calculs!AH89)</f>
        <v>#NAME?</v>
      </c>
      <c r="AI89" s="523" t="e">
        <f ca="1">stat(calculs!AI89)</f>
        <v>#NAME?</v>
      </c>
      <c r="AJ89" s="523" t="e">
        <f ca="1">stat(calculs!AJ89)</f>
        <v>#NAME?</v>
      </c>
      <c r="AK89" s="523" t="e">
        <f ca="1">stat(calculs!AK89)</f>
        <v>#NAME?</v>
      </c>
      <c r="AL89" s="523" t="e">
        <f ca="1">stat(calculs!AL89)</f>
        <v>#NAME?</v>
      </c>
      <c r="AM89" s="523" t="e">
        <f ca="1">stat(calculs!AM89)</f>
        <v>#NAME?</v>
      </c>
      <c r="AN89" s="523" t="e">
        <f ca="1">stat(calculs!AN89)</f>
        <v>#NAME?</v>
      </c>
      <c r="AO89" s="523" t="e">
        <f ca="1">stat(calculs!AO89)</f>
        <v>#NAME?</v>
      </c>
      <c r="AP89" s="523" t="e">
        <f ca="1">stat(calculs!AP89)</f>
        <v>#NAME?</v>
      </c>
      <c r="AQ89" s="523" t="e">
        <f ca="1">stat(calculs!AQ89)</f>
        <v>#NAME?</v>
      </c>
      <c r="AT89" s="517"/>
      <c r="AV89" s="525" t="e">
        <f ca="1">stat(calculs!AV89)</f>
        <v>#NAME?</v>
      </c>
      <c r="AW89" s="525" t="e">
        <f ca="1">stat(calculs!AW89)</f>
        <v>#NAME?</v>
      </c>
      <c r="AX89" s="525" t="e">
        <f ca="1">stat(calculs!AX89)</f>
        <v>#NAME?</v>
      </c>
      <c r="AY89" s="525" t="e">
        <f ca="1">stat(calculs!AY89)</f>
        <v>#NAME?</v>
      </c>
      <c r="AZ89" s="525" t="e">
        <f ca="1">stat(calculs!AZ89)</f>
        <v>#NAME?</v>
      </c>
      <c r="BA89" s="525" t="e">
        <f ca="1">stat(calculs!BA89)</f>
        <v>#NAME?</v>
      </c>
      <c r="BB89" s="525" t="e">
        <f ca="1">stat(calculs!BB89)</f>
        <v>#NAME?</v>
      </c>
      <c r="BC89" s="525" t="e">
        <f ca="1">stat(calculs!BC89)</f>
        <v>#NAME?</v>
      </c>
      <c r="BD89" s="525" t="e">
        <f ca="1">stat(calculs!BD89)</f>
        <v>#NAME?</v>
      </c>
      <c r="BE89" s="525" t="e">
        <f ca="1">stat(calculs!BE89)</f>
        <v>#NAME?</v>
      </c>
      <c r="BF89" s="525" t="e">
        <f ca="1">stat(calculs!BF89)</f>
        <v>#NAME?</v>
      </c>
      <c r="BG89" s="729" t="e">
        <f ca="1">stat(calculs!BG89)</f>
        <v>#NAME?</v>
      </c>
      <c r="BH89" s="729" t="e">
        <f ca="1">stat(calculs!BH89)</f>
        <v>#NAME?</v>
      </c>
      <c r="BI89" s="729" t="e">
        <f ca="1">stat(calculs!BI89)</f>
        <v>#NAME?</v>
      </c>
      <c r="BJ89" s="729" t="e">
        <f ca="1">stat(calculs!BJ89)</f>
        <v>#NAME?</v>
      </c>
      <c r="BK89" s="729" t="e">
        <f ca="1">stat(calculs!BK89)</f>
        <v>#NAME?</v>
      </c>
      <c r="BL89" s="525" t="e">
        <f ca="1">stat(calculs!BL89)</f>
        <v>#NAME?</v>
      </c>
      <c r="BM89" s="525" t="e">
        <f ca="1">stat(calculs!BM89)</f>
        <v>#NAME?</v>
      </c>
      <c r="BN89" s="525" t="e">
        <f ca="1">stat(calculs!BN89)</f>
        <v>#NAME?</v>
      </c>
      <c r="BO89" s="525" t="e">
        <f ca="1">stat(calculs!BO89)</f>
        <v>#NAME?</v>
      </c>
      <c r="BP89" s="525" t="e">
        <f ca="1">stat(calculs!BP89)</f>
        <v>#NAME?</v>
      </c>
      <c r="BQ89" s="525" t="e">
        <f ca="1">stat(calculs!BQ89)</f>
        <v>#NAME?</v>
      </c>
      <c r="BR89" s="525" t="e">
        <f ca="1">stat(calculs!BR89)</f>
        <v>#NAME?</v>
      </c>
    </row>
    <row r="90" spans="1:70" x14ac:dyDescent="0.2">
      <c r="A90" s="222">
        <f>données_step[[#This Row],[Datum]]</f>
        <v>44641</v>
      </c>
      <c r="B90" s="223"/>
      <c r="C90" s="224">
        <f t="shared" si="1"/>
        <v>2</v>
      </c>
      <c r="D90" s="523" t="e">
        <f ca="1">stat(charge_entree[[#This Row],[ch_E_DBO5]])</f>
        <v>#NAME?</v>
      </c>
      <c r="E90" s="523" t="e">
        <f ca="1">stat(charge_entree[[#This Row],[ch_E_DCO]])</f>
        <v>#NAME?</v>
      </c>
      <c r="F90" s="523" t="e">
        <f ca="1">stat(charge_entree[[#This Row],[ch_E_COT]])</f>
        <v>#NAME?</v>
      </c>
      <c r="G90" s="523" t="e">
        <f ca="1">stat(charge_entree[[#This Row],[ch_E_NH4]])</f>
        <v>#NAME?</v>
      </c>
      <c r="H90" s="523" t="e">
        <f ca="1">stat(charge_entree[[#This Row],[ch_E_NTOT]])</f>
        <v>#NAME?</v>
      </c>
      <c r="I90" s="523" t="e">
        <f ca="1">stat(charge_entree[[#This Row],[ch_E_PTOT]])</f>
        <v>#NAME?</v>
      </c>
      <c r="J90" s="523" t="e">
        <f ca="1">stat(charge_entree[[#This Row],[ch_S_DBO]])</f>
        <v>#NAME?</v>
      </c>
      <c r="K90" s="523" t="e">
        <f ca="1">stat(charge_entree[[#This Row],[ch_S-DCO]])</f>
        <v>#NAME?</v>
      </c>
      <c r="L90" s="523" t="e">
        <f ca="1">stat(charge_entree[[#This Row],[ch_S_DOC]])</f>
        <v>#NAME?</v>
      </c>
      <c r="M90" s="523" t="e">
        <f ca="1">stat(charge_entree[[#This Row],[ch_S_NH4]])</f>
        <v>#NAME?</v>
      </c>
      <c r="N90" s="523" t="e">
        <f ca="1">stat(charge_entree[[#This Row],[ch_S_NO2]])</f>
        <v>#NAME?</v>
      </c>
      <c r="O90" s="523" t="e">
        <f ca="1">stat(charge_entree[[#This Row],[ch_S_NO3]])</f>
        <v>#NAME?</v>
      </c>
      <c r="P90" s="523" t="e">
        <f ca="1">stat(charge_entree[[#This Row],[ch_S_PTOT]])</f>
        <v>#NAME?</v>
      </c>
      <c r="Q90" s="523" t="e">
        <f ca="1">stat(charge_entree[[#This Row],[ch_S_SNDT]])</f>
        <v>#NAME?</v>
      </c>
      <c r="R90" s="523">
        <f>calculs!R90</f>
        <v>0</v>
      </c>
      <c r="S90" s="523" t="e">
        <f ca="1">stat(calculs!S90)</f>
        <v>#NAME?</v>
      </c>
      <c r="T90" s="523" t="e">
        <f ca="1">stat(calculs!T90)</f>
        <v>#NAME?</v>
      </c>
      <c r="U90" s="523" t="e">
        <f ca="1">stat(calculs!U90)</f>
        <v>#NAME?</v>
      </c>
      <c r="V90" s="523" t="e">
        <f ca="1">stat(calculs!V90)</f>
        <v>#NAME?</v>
      </c>
      <c r="W90" s="523" t="e">
        <f ca="1">stat(calculs!W90)</f>
        <v>#NAME?</v>
      </c>
      <c r="X90" s="523" t="e">
        <f ca="1">stat(calculs!X90)</f>
        <v>#NAME?</v>
      </c>
      <c r="Y90" s="523" t="e">
        <f ca="1">stat(calculs!Y90)</f>
        <v>#NAME?</v>
      </c>
      <c r="Z90" s="523" t="e">
        <f ca="1">stat(calculs!Z90)</f>
        <v>#NAME?</v>
      </c>
      <c r="AA90" s="523" t="e">
        <f ca="1">stat(calculs!AA90)</f>
        <v>#NAME?</v>
      </c>
      <c r="AB90" s="523" t="e">
        <f ca="1">stat(calculs!AB90)</f>
        <v>#NAME?</v>
      </c>
      <c r="AC90" s="523" t="e">
        <f ca="1">stat(calculs!AC90)</f>
        <v>#NAME?</v>
      </c>
      <c r="AD90" s="523" t="e">
        <f ca="1">stat(calculs!AD90)</f>
        <v>#NAME?</v>
      </c>
      <c r="AE90" s="523" t="e">
        <f ca="1">stat(calculs!AE90)</f>
        <v>#NAME?</v>
      </c>
      <c r="AF90" s="523" t="e">
        <f ca="1">stat(calculs!AF90)</f>
        <v>#NAME?</v>
      </c>
      <c r="AG90" s="523" t="e">
        <f ca="1">stat(calculs!AG90)</f>
        <v>#NAME?</v>
      </c>
      <c r="AH90" s="523" t="e">
        <f ca="1">stat(calculs!AH90)</f>
        <v>#NAME?</v>
      </c>
      <c r="AI90" s="523" t="e">
        <f ca="1">stat(calculs!AI90)</f>
        <v>#NAME?</v>
      </c>
      <c r="AJ90" s="523" t="e">
        <f ca="1">stat(calculs!AJ90)</f>
        <v>#NAME?</v>
      </c>
      <c r="AK90" s="523" t="e">
        <f ca="1">stat(calculs!AK90)</f>
        <v>#NAME?</v>
      </c>
      <c r="AL90" s="523" t="e">
        <f ca="1">stat(calculs!AL90)</f>
        <v>#NAME?</v>
      </c>
      <c r="AM90" s="523" t="e">
        <f ca="1">stat(calculs!AM90)</f>
        <v>#NAME?</v>
      </c>
      <c r="AN90" s="523" t="e">
        <f ca="1">stat(calculs!AN90)</f>
        <v>#NAME?</v>
      </c>
      <c r="AO90" s="523" t="e">
        <f ca="1">stat(calculs!AO90)</f>
        <v>#NAME?</v>
      </c>
      <c r="AP90" s="523" t="e">
        <f ca="1">stat(calculs!AP90)</f>
        <v>#NAME?</v>
      </c>
      <c r="AQ90" s="523" t="e">
        <f ca="1">stat(calculs!AQ90)</f>
        <v>#NAME?</v>
      </c>
      <c r="AT90" s="517"/>
      <c r="AV90" s="525" t="e">
        <f ca="1">stat(calculs!AV90)</f>
        <v>#NAME?</v>
      </c>
      <c r="AW90" s="525" t="e">
        <f ca="1">stat(calculs!AW90)</f>
        <v>#NAME?</v>
      </c>
      <c r="AX90" s="525" t="e">
        <f ca="1">stat(calculs!AX90)</f>
        <v>#NAME?</v>
      </c>
      <c r="AY90" s="525" t="e">
        <f ca="1">stat(calculs!AY90)</f>
        <v>#NAME?</v>
      </c>
      <c r="AZ90" s="525" t="e">
        <f ca="1">stat(calculs!AZ90)</f>
        <v>#NAME?</v>
      </c>
      <c r="BA90" s="525" t="e">
        <f ca="1">stat(calculs!BA90)</f>
        <v>#NAME?</v>
      </c>
      <c r="BB90" s="525" t="e">
        <f ca="1">stat(calculs!BB90)</f>
        <v>#NAME?</v>
      </c>
      <c r="BC90" s="525" t="e">
        <f ca="1">stat(calculs!BC90)</f>
        <v>#NAME?</v>
      </c>
      <c r="BD90" s="525" t="e">
        <f ca="1">stat(calculs!BD90)</f>
        <v>#NAME?</v>
      </c>
      <c r="BE90" s="525" t="e">
        <f ca="1">stat(calculs!BE90)</f>
        <v>#NAME?</v>
      </c>
      <c r="BF90" s="525" t="e">
        <f ca="1">stat(calculs!BF90)</f>
        <v>#NAME?</v>
      </c>
      <c r="BG90" s="729" t="e">
        <f ca="1">stat(calculs!BG90)</f>
        <v>#NAME?</v>
      </c>
      <c r="BH90" s="729" t="e">
        <f ca="1">stat(calculs!BH90)</f>
        <v>#NAME?</v>
      </c>
      <c r="BI90" s="729" t="e">
        <f ca="1">stat(calculs!BI90)</f>
        <v>#NAME?</v>
      </c>
      <c r="BJ90" s="729" t="e">
        <f ca="1">stat(calculs!BJ90)</f>
        <v>#NAME?</v>
      </c>
      <c r="BK90" s="729" t="e">
        <f ca="1">stat(calculs!BK90)</f>
        <v>#NAME?</v>
      </c>
      <c r="BL90" s="525" t="e">
        <f ca="1">stat(calculs!BL90)</f>
        <v>#NAME?</v>
      </c>
      <c r="BM90" s="525" t="e">
        <f ca="1">stat(calculs!BM90)</f>
        <v>#NAME?</v>
      </c>
      <c r="BN90" s="525" t="e">
        <f ca="1">stat(calculs!BN90)</f>
        <v>#NAME?</v>
      </c>
      <c r="BO90" s="525" t="e">
        <f ca="1">stat(calculs!BO90)</f>
        <v>#NAME?</v>
      </c>
      <c r="BP90" s="525" t="e">
        <f ca="1">stat(calculs!BP90)</f>
        <v>#NAME?</v>
      </c>
      <c r="BQ90" s="525" t="e">
        <f ca="1">stat(calculs!BQ90)</f>
        <v>#NAME?</v>
      </c>
      <c r="BR90" s="525" t="e">
        <f ca="1">stat(calculs!BR90)</f>
        <v>#NAME?</v>
      </c>
    </row>
    <row r="91" spans="1:70" x14ac:dyDescent="0.2">
      <c r="A91" s="222">
        <f>données_step[[#This Row],[Datum]]</f>
        <v>44642</v>
      </c>
      <c r="B91" s="223"/>
      <c r="C91" s="224">
        <f t="shared" si="1"/>
        <v>3</v>
      </c>
      <c r="D91" s="523" t="e">
        <f ca="1">stat(charge_entree[[#This Row],[ch_E_DBO5]])</f>
        <v>#NAME?</v>
      </c>
      <c r="E91" s="523" t="e">
        <f ca="1">stat(charge_entree[[#This Row],[ch_E_DCO]])</f>
        <v>#NAME?</v>
      </c>
      <c r="F91" s="523" t="e">
        <f ca="1">stat(charge_entree[[#This Row],[ch_E_COT]])</f>
        <v>#NAME?</v>
      </c>
      <c r="G91" s="523" t="e">
        <f ca="1">stat(charge_entree[[#This Row],[ch_E_NH4]])</f>
        <v>#NAME?</v>
      </c>
      <c r="H91" s="523" t="e">
        <f ca="1">stat(charge_entree[[#This Row],[ch_E_NTOT]])</f>
        <v>#NAME?</v>
      </c>
      <c r="I91" s="523" t="e">
        <f ca="1">stat(charge_entree[[#This Row],[ch_E_PTOT]])</f>
        <v>#NAME?</v>
      </c>
      <c r="J91" s="523" t="e">
        <f ca="1">stat(charge_entree[[#This Row],[ch_S_DBO]])</f>
        <v>#NAME?</v>
      </c>
      <c r="K91" s="523" t="e">
        <f ca="1">stat(charge_entree[[#This Row],[ch_S-DCO]])</f>
        <v>#NAME?</v>
      </c>
      <c r="L91" s="523" t="e">
        <f ca="1">stat(charge_entree[[#This Row],[ch_S_DOC]])</f>
        <v>#NAME?</v>
      </c>
      <c r="M91" s="523" t="e">
        <f ca="1">stat(charge_entree[[#This Row],[ch_S_NH4]])</f>
        <v>#NAME?</v>
      </c>
      <c r="N91" s="523" t="e">
        <f ca="1">stat(charge_entree[[#This Row],[ch_S_NO2]])</f>
        <v>#NAME?</v>
      </c>
      <c r="O91" s="523" t="e">
        <f ca="1">stat(charge_entree[[#This Row],[ch_S_NO3]])</f>
        <v>#NAME?</v>
      </c>
      <c r="P91" s="523" t="e">
        <f ca="1">stat(charge_entree[[#This Row],[ch_S_PTOT]])</f>
        <v>#NAME?</v>
      </c>
      <c r="Q91" s="523" t="e">
        <f ca="1">stat(charge_entree[[#This Row],[ch_S_SNDT]])</f>
        <v>#NAME?</v>
      </c>
      <c r="R91" s="523">
        <f>calculs!R91</f>
        <v>0</v>
      </c>
      <c r="S91" s="523" t="e">
        <f ca="1">stat(calculs!S91)</f>
        <v>#NAME?</v>
      </c>
      <c r="T91" s="523" t="e">
        <f ca="1">stat(calculs!T91)</f>
        <v>#NAME?</v>
      </c>
      <c r="U91" s="523" t="e">
        <f ca="1">stat(calculs!U91)</f>
        <v>#NAME?</v>
      </c>
      <c r="V91" s="523" t="e">
        <f ca="1">stat(calculs!V91)</f>
        <v>#NAME?</v>
      </c>
      <c r="W91" s="523" t="e">
        <f ca="1">stat(calculs!W91)</f>
        <v>#NAME?</v>
      </c>
      <c r="X91" s="523" t="e">
        <f ca="1">stat(calculs!X91)</f>
        <v>#NAME?</v>
      </c>
      <c r="Y91" s="523" t="e">
        <f ca="1">stat(calculs!Y91)</f>
        <v>#NAME?</v>
      </c>
      <c r="Z91" s="523" t="e">
        <f ca="1">stat(calculs!Z91)</f>
        <v>#NAME?</v>
      </c>
      <c r="AA91" s="523" t="e">
        <f ca="1">stat(calculs!AA91)</f>
        <v>#NAME?</v>
      </c>
      <c r="AB91" s="523" t="e">
        <f ca="1">stat(calculs!AB91)</f>
        <v>#NAME?</v>
      </c>
      <c r="AC91" s="523" t="e">
        <f ca="1">stat(calculs!AC91)</f>
        <v>#NAME?</v>
      </c>
      <c r="AD91" s="523" t="e">
        <f ca="1">stat(calculs!AD91)</f>
        <v>#NAME?</v>
      </c>
      <c r="AE91" s="523" t="e">
        <f ca="1">stat(calculs!AE91)</f>
        <v>#NAME?</v>
      </c>
      <c r="AF91" s="523" t="e">
        <f ca="1">stat(calculs!AF91)</f>
        <v>#NAME?</v>
      </c>
      <c r="AG91" s="523" t="e">
        <f ca="1">stat(calculs!AG91)</f>
        <v>#NAME?</v>
      </c>
      <c r="AH91" s="523" t="e">
        <f ca="1">stat(calculs!AH91)</f>
        <v>#NAME?</v>
      </c>
      <c r="AI91" s="523" t="e">
        <f ca="1">stat(calculs!AI91)</f>
        <v>#NAME?</v>
      </c>
      <c r="AJ91" s="523" t="e">
        <f ca="1">stat(calculs!AJ91)</f>
        <v>#NAME?</v>
      </c>
      <c r="AK91" s="523" t="e">
        <f ca="1">stat(calculs!AK91)</f>
        <v>#NAME?</v>
      </c>
      <c r="AL91" s="523" t="e">
        <f ca="1">stat(calculs!AL91)</f>
        <v>#NAME?</v>
      </c>
      <c r="AM91" s="523" t="e">
        <f ca="1">stat(calculs!AM91)</f>
        <v>#NAME?</v>
      </c>
      <c r="AN91" s="523" t="e">
        <f ca="1">stat(calculs!AN91)</f>
        <v>#NAME?</v>
      </c>
      <c r="AO91" s="523" t="e">
        <f ca="1">stat(calculs!AO91)</f>
        <v>#NAME?</v>
      </c>
      <c r="AP91" s="523" t="e">
        <f ca="1">stat(calculs!AP91)</f>
        <v>#NAME?</v>
      </c>
      <c r="AQ91" s="523" t="e">
        <f ca="1">stat(calculs!AQ91)</f>
        <v>#NAME?</v>
      </c>
      <c r="AT91" s="517"/>
      <c r="AV91" s="525" t="e">
        <f ca="1">stat(calculs!AV91)</f>
        <v>#NAME?</v>
      </c>
      <c r="AW91" s="525" t="e">
        <f ca="1">stat(calculs!AW91)</f>
        <v>#NAME?</v>
      </c>
      <c r="AX91" s="525" t="e">
        <f ca="1">stat(calculs!AX91)</f>
        <v>#NAME?</v>
      </c>
      <c r="AY91" s="525" t="e">
        <f ca="1">stat(calculs!AY91)</f>
        <v>#NAME?</v>
      </c>
      <c r="AZ91" s="525" t="e">
        <f ca="1">stat(calculs!AZ91)</f>
        <v>#NAME?</v>
      </c>
      <c r="BA91" s="525" t="e">
        <f ca="1">stat(calculs!BA91)</f>
        <v>#NAME?</v>
      </c>
      <c r="BB91" s="525" t="e">
        <f ca="1">stat(calculs!BB91)</f>
        <v>#NAME?</v>
      </c>
      <c r="BC91" s="525" t="e">
        <f ca="1">stat(calculs!BC91)</f>
        <v>#NAME?</v>
      </c>
      <c r="BD91" s="525" t="e">
        <f ca="1">stat(calculs!BD91)</f>
        <v>#NAME?</v>
      </c>
      <c r="BE91" s="525" t="e">
        <f ca="1">stat(calculs!BE91)</f>
        <v>#NAME?</v>
      </c>
      <c r="BF91" s="525" t="e">
        <f ca="1">stat(calculs!BF91)</f>
        <v>#NAME?</v>
      </c>
      <c r="BG91" s="729" t="e">
        <f ca="1">stat(calculs!BG91)</f>
        <v>#NAME?</v>
      </c>
      <c r="BH91" s="729" t="e">
        <f ca="1">stat(calculs!BH91)</f>
        <v>#NAME?</v>
      </c>
      <c r="BI91" s="729" t="e">
        <f ca="1">stat(calculs!BI91)</f>
        <v>#NAME?</v>
      </c>
      <c r="BJ91" s="729" t="e">
        <f ca="1">stat(calculs!BJ91)</f>
        <v>#NAME?</v>
      </c>
      <c r="BK91" s="729" t="e">
        <f ca="1">stat(calculs!BK91)</f>
        <v>#NAME?</v>
      </c>
      <c r="BL91" s="525" t="e">
        <f ca="1">stat(calculs!BL91)</f>
        <v>#NAME?</v>
      </c>
      <c r="BM91" s="525" t="e">
        <f ca="1">stat(calculs!BM91)</f>
        <v>#NAME?</v>
      </c>
      <c r="BN91" s="525" t="e">
        <f ca="1">stat(calculs!BN91)</f>
        <v>#NAME?</v>
      </c>
      <c r="BO91" s="525" t="e">
        <f ca="1">stat(calculs!BO91)</f>
        <v>#NAME?</v>
      </c>
      <c r="BP91" s="525" t="e">
        <f ca="1">stat(calculs!BP91)</f>
        <v>#NAME?</v>
      </c>
      <c r="BQ91" s="525" t="e">
        <f ca="1">stat(calculs!BQ91)</f>
        <v>#NAME?</v>
      </c>
      <c r="BR91" s="525" t="e">
        <f ca="1">stat(calculs!BR91)</f>
        <v>#NAME?</v>
      </c>
    </row>
    <row r="92" spans="1:70" x14ac:dyDescent="0.2">
      <c r="A92" s="222">
        <f>données_step[[#This Row],[Datum]]</f>
        <v>44643</v>
      </c>
      <c r="B92" s="223"/>
      <c r="C92" s="224">
        <f t="shared" si="1"/>
        <v>4</v>
      </c>
      <c r="D92" s="523" t="e">
        <f ca="1">stat(charge_entree[[#This Row],[ch_E_DBO5]])</f>
        <v>#NAME?</v>
      </c>
      <c r="E92" s="523" t="e">
        <f ca="1">stat(charge_entree[[#This Row],[ch_E_DCO]])</f>
        <v>#NAME?</v>
      </c>
      <c r="F92" s="523" t="e">
        <f ca="1">stat(charge_entree[[#This Row],[ch_E_COT]])</f>
        <v>#NAME?</v>
      </c>
      <c r="G92" s="523" t="e">
        <f ca="1">stat(charge_entree[[#This Row],[ch_E_NH4]])</f>
        <v>#NAME?</v>
      </c>
      <c r="H92" s="523" t="e">
        <f ca="1">stat(charge_entree[[#This Row],[ch_E_NTOT]])</f>
        <v>#NAME?</v>
      </c>
      <c r="I92" s="523" t="e">
        <f ca="1">stat(charge_entree[[#This Row],[ch_E_PTOT]])</f>
        <v>#NAME?</v>
      </c>
      <c r="J92" s="523" t="e">
        <f ca="1">stat(charge_entree[[#This Row],[ch_S_DBO]])</f>
        <v>#NAME?</v>
      </c>
      <c r="K92" s="523" t="e">
        <f ca="1">stat(charge_entree[[#This Row],[ch_S-DCO]])</f>
        <v>#NAME?</v>
      </c>
      <c r="L92" s="523" t="e">
        <f ca="1">stat(charge_entree[[#This Row],[ch_S_DOC]])</f>
        <v>#NAME?</v>
      </c>
      <c r="M92" s="523" t="e">
        <f ca="1">stat(charge_entree[[#This Row],[ch_S_NH4]])</f>
        <v>#NAME?</v>
      </c>
      <c r="N92" s="523" t="e">
        <f ca="1">stat(charge_entree[[#This Row],[ch_S_NO2]])</f>
        <v>#NAME?</v>
      </c>
      <c r="O92" s="523" t="e">
        <f ca="1">stat(charge_entree[[#This Row],[ch_S_NO3]])</f>
        <v>#NAME?</v>
      </c>
      <c r="P92" s="523" t="e">
        <f ca="1">stat(charge_entree[[#This Row],[ch_S_PTOT]])</f>
        <v>#NAME?</v>
      </c>
      <c r="Q92" s="523" t="e">
        <f ca="1">stat(charge_entree[[#This Row],[ch_S_SNDT]])</f>
        <v>#NAME?</v>
      </c>
      <c r="R92" s="523">
        <f>calculs!R92</f>
        <v>0</v>
      </c>
      <c r="S92" s="523" t="e">
        <f ca="1">stat(calculs!S92)</f>
        <v>#NAME?</v>
      </c>
      <c r="T92" s="523" t="e">
        <f ca="1">stat(calculs!T92)</f>
        <v>#NAME?</v>
      </c>
      <c r="U92" s="523" t="e">
        <f ca="1">stat(calculs!U92)</f>
        <v>#NAME?</v>
      </c>
      <c r="V92" s="523" t="e">
        <f ca="1">stat(calculs!V92)</f>
        <v>#NAME?</v>
      </c>
      <c r="W92" s="523" t="e">
        <f ca="1">stat(calculs!W92)</f>
        <v>#NAME?</v>
      </c>
      <c r="X92" s="523" t="e">
        <f ca="1">stat(calculs!X92)</f>
        <v>#NAME?</v>
      </c>
      <c r="Y92" s="523" t="e">
        <f ca="1">stat(calculs!Y92)</f>
        <v>#NAME?</v>
      </c>
      <c r="Z92" s="523" t="e">
        <f ca="1">stat(calculs!Z92)</f>
        <v>#NAME?</v>
      </c>
      <c r="AA92" s="523" t="e">
        <f ca="1">stat(calculs!AA92)</f>
        <v>#NAME?</v>
      </c>
      <c r="AB92" s="523" t="e">
        <f ca="1">stat(calculs!AB92)</f>
        <v>#NAME?</v>
      </c>
      <c r="AC92" s="523" t="e">
        <f ca="1">stat(calculs!AC92)</f>
        <v>#NAME?</v>
      </c>
      <c r="AD92" s="523" t="e">
        <f ca="1">stat(calculs!AD92)</f>
        <v>#NAME?</v>
      </c>
      <c r="AE92" s="523" t="e">
        <f ca="1">stat(calculs!AE92)</f>
        <v>#NAME?</v>
      </c>
      <c r="AF92" s="523" t="e">
        <f ca="1">stat(calculs!AF92)</f>
        <v>#NAME?</v>
      </c>
      <c r="AG92" s="523" t="e">
        <f ca="1">stat(calculs!AG92)</f>
        <v>#NAME?</v>
      </c>
      <c r="AH92" s="523" t="e">
        <f ca="1">stat(calculs!AH92)</f>
        <v>#NAME?</v>
      </c>
      <c r="AI92" s="523" t="e">
        <f ca="1">stat(calculs!AI92)</f>
        <v>#NAME?</v>
      </c>
      <c r="AJ92" s="523" t="e">
        <f ca="1">stat(calculs!AJ92)</f>
        <v>#NAME?</v>
      </c>
      <c r="AK92" s="523" t="e">
        <f ca="1">stat(calculs!AK92)</f>
        <v>#NAME?</v>
      </c>
      <c r="AL92" s="523" t="e">
        <f ca="1">stat(calculs!AL92)</f>
        <v>#NAME?</v>
      </c>
      <c r="AM92" s="523" t="e">
        <f ca="1">stat(calculs!AM92)</f>
        <v>#NAME?</v>
      </c>
      <c r="AN92" s="523" t="e">
        <f ca="1">stat(calculs!AN92)</f>
        <v>#NAME?</v>
      </c>
      <c r="AO92" s="523" t="e">
        <f ca="1">stat(calculs!AO92)</f>
        <v>#NAME?</v>
      </c>
      <c r="AP92" s="523" t="e">
        <f ca="1">stat(calculs!AP92)</f>
        <v>#NAME?</v>
      </c>
      <c r="AQ92" s="523" t="e">
        <f ca="1">stat(calculs!AQ92)</f>
        <v>#NAME?</v>
      </c>
      <c r="AT92" s="517"/>
      <c r="AV92" s="525" t="e">
        <f ca="1">stat(calculs!AV92)</f>
        <v>#NAME?</v>
      </c>
      <c r="AW92" s="525" t="e">
        <f ca="1">stat(calculs!AW92)</f>
        <v>#NAME?</v>
      </c>
      <c r="AX92" s="525" t="e">
        <f ca="1">stat(calculs!AX92)</f>
        <v>#NAME?</v>
      </c>
      <c r="AY92" s="525" t="e">
        <f ca="1">stat(calculs!AY92)</f>
        <v>#NAME?</v>
      </c>
      <c r="AZ92" s="525" t="e">
        <f ca="1">stat(calculs!AZ92)</f>
        <v>#NAME?</v>
      </c>
      <c r="BA92" s="525" t="e">
        <f ca="1">stat(calculs!BA92)</f>
        <v>#NAME?</v>
      </c>
      <c r="BB92" s="525" t="e">
        <f ca="1">stat(calculs!BB92)</f>
        <v>#NAME?</v>
      </c>
      <c r="BC92" s="525" t="e">
        <f ca="1">stat(calculs!BC92)</f>
        <v>#NAME?</v>
      </c>
      <c r="BD92" s="525" t="e">
        <f ca="1">stat(calculs!BD92)</f>
        <v>#NAME?</v>
      </c>
      <c r="BE92" s="525" t="e">
        <f ca="1">stat(calculs!BE92)</f>
        <v>#NAME?</v>
      </c>
      <c r="BF92" s="525" t="e">
        <f ca="1">stat(calculs!BF92)</f>
        <v>#NAME?</v>
      </c>
      <c r="BG92" s="729" t="e">
        <f ca="1">stat(calculs!BG92)</f>
        <v>#NAME?</v>
      </c>
      <c r="BH92" s="729" t="e">
        <f ca="1">stat(calculs!BH92)</f>
        <v>#NAME?</v>
      </c>
      <c r="BI92" s="729" t="e">
        <f ca="1">stat(calculs!BI92)</f>
        <v>#NAME?</v>
      </c>
      <c r="BJ92" s="729" t="e">
        <f ca="1">stat(calculs!BJ92)</f>
        <v>#NAME?</v>
      </c>
      <c r="BK92" s="729" t="e">
        <f ca="1">stat(calculs!BK92)</f>
        <v>#NAME?</v>
      </c>
      <c r="BL92" s="525" t="e">
        <f ca="1">stat(calculs!BL92)</f>
        <v>#NAME?</v>
      </c>
      <c r="BM92" s="525" t="e">
        <f ca="1">stat(calculs!BM92)</f>
        <v>#NAME?</v>
      </c>
      <c r="BN92" s="525" t="e">
        <f ca="1">stat(calculs!BN92)</f>
        <v>#NAME?</v>
      </c>
      <c r="BO92" s="525" t="e">
        <f ca="1">stat(calculs!BO92)</f>
        <v>#NAME?</v>
      </c>
      <c r="BP92" s="525" t="e">
        <f ca="1">stat(calculs!BP92)</f>
        <v>#NAME?</v>
      </c>
      <c r="BQ92" s="525" t="e">
        <f ca="1">stat(calculs!BQ92)</f>
        <v>#NAME?</v>
      </c>
      <c r="BR92" s="525" t="e">
        <f ca="1">stat(calculs!BR92)</f>
        <v>#NAME?</v>
      </c>
    </row>
    <row r="93" spans="1:70" x14ac:dyDescent="0.2">
      <c r="A93" s="222">
        <f>données_step[[#This Row],[Datum]]</f>
        <v>44644</v>
      </c>
      <c r="B93" s="223"/>
      <c r="C93" s="224">
        <f t="shared" si="1"/>
        <v>5</v>
      </c>
      <c r="D93" s="523" t="e">
        <f ca="1">stat(charge_entree[[#This Row],[ch_E_DBO5]])</f>
        <v>#NAME?</v>
      </c>
      <c r="E93" s="523" t="e">
        <f ca="1">stat(charge_entree[[#This Row],[ch_E_DCO]])</f>
        <v>#NAME?</v>
      </c>
      <c r="F93" s="523" t="e">
        <f ca="1">stat(charge_entree[[#This Row],[ch_E_COT]])</f>
        <v>#NAME?</v>
      </c>
      <c r="G93" s="523" t="e">
        <f ca="1">stat(charge_entree[[#This Row],[ch_E_NH4]])</f>
        <v>#NAME?</v>
      </c>
      <c r="H93" s="523" t="e">
        <f ca="1">stat(charge_entree[[#This Row],[ch_E_NTOT]])</f>
        <v>#NAME?</v>
      </c>
      <c r="I93" s="523" t="e">
        <f ca="1">stat(charge_entree[[#This Row],[ch_E_PTOT]])</f>
        <v>#NAME?</v>
      </c>
      <c r="J93" s="523" t="e">
        <f ca="1">stat(charge_entree[[#This Row],[ch_S_DBO]])</f>
        <v>#NAME?</v>
      </c>
      <c r="K93" s="523" t="e">
        <f ca="1">stat(charge_entree[[#This Row],[ch_S-DCO]])</f>
        <v>#NAME?</v>
      </c>
      <c r="L93" s="523" t="e">
        <f ca="1">stat(charge_entree[[#This Row],[ch_S_DOC]])</f>
        <v>#NAME?</v>
      </c>
      <c r="M93" s="523" t="e">
        <f ca="1">stat(charge_entree[[#This Row],[ch_S_NH4]])</f>
        <v>#NAME?</v>
      </c>
      <c r="N93" s="523" t="e">
        <f ca="1">stat(charge_entree[[#This Row],[ch_S_NO2]])</f>
        <v>#NAME?</v>
      </c>
      <c r="O93" s="523" t="e">
        <f ca="1">stat(charge_entree[[#This Row],[ch_S_NO3]])</f>
        <v>#NAME?</v>
      </c>
      <c r="P93" s="523" t="e">
        <f ca="1">stat(charge_entree[[#This Row],[ch_S_PTOT]])</f>
        <v>#NAME?</v>
      </c>
      <c r="Q93" s="523" t="e">
        <f ca="1">stat(charge_entree[[#This Row],[ch_S_SNDT]])</f>
        <v>#NAME?</v>
      </c>
      <c r="R93" s="523">
        <f>calculs!R93</f>
        <v>0</v>
      </c>
      <c r="S93" s="523" t="e">
        <f ca="1">stat(calculs!S93)</f>
        <v>#NAME?</v>
      </c>
      <c r="T93" s="523" t="e">
        <f ca="1">stat(calculs!T93)</f>
        <v>#NAME?</v>
      </c>
      <c r="U93" s="523" t="e">
        <f ca="1">stat(calculs!U93)</f>
        <v>#NAME?</v>
      </c>
      <c r="V93" s="523" t="e">
        <f ca="1">stat(calculs!V93)</f>
        <v>#NAME?</v>
      </c>
      <c r="W93" s="523" t="e">
        <f ca="1">stat(calculs!W93)</f>
        <v>#NAME?</v>
      </c>
      <c r="X93" s="523" t="e">
        <f ca="1">stat(calculs!X93)</f>
        <v>#NAME?</v>
      </c>
      <c r="Y93" s="523" t="e">
        <f ca="1">stat(calculs!Y93)</f>
        <v>#NAME?</v>
      </c>
      <c r="Z93" s="523" t="e">
        <f ca="1">stat(calculs!Z93)</f>
        <v>#NAME?</v>
      </c>
      <c r="AA93" s="523" t="e">
        <f ca="1">stat(calculs!AA93)</f>
        <v>#NAME?</v>
      </c>
      <c r="AB93" s="523" t="e">
        <f ca="1">stat(calculs!AB93)</f>
        <v>#NAME?</v>
      </c>
      <c r="AC93" s="523" t="e">
        <f ca="1">stat(calculs!AC93)</f>
        <v>#NAME?</v>
      </c>
      <c r="AD93" s="523" t="e">
        <f ca="1">stat(calculs!AD93)</f>
        <v>#NAME?</v>
      </c>
      <c r="AE93" s="523" t="e">
        <f ca="1">stat(calculs!AE93)</f>
        <v>#NAME?</v>
      </c>
      <c r="AF93" s="523" t="e">
        <f ca="1">stat(calculs!AF93)</f>
        <v>#NAME?</v>
      </c>
      <c r="AG93" s="523" t="e">
        <f ca="1">stat(calculs!AG93)</f>
        <v>#NAME?</v>
      </c>
      <c r="AH93" s="523" t="e">
        <f ca="1">stat(calculs!AH93)</f>
        <v>#NAME?</v>
      </c>
      <c r="AI93" s="523" t="e">
        <f ca="1">stat(calculs!AI93)</f>
        <v>#NAME?</v>
      </c>
      <c r="AJ93" s="523" t="e">
        <f ca="1">stat(calculs!AJ93)</f>
        <v>#NAME?</v>
      </c>
      <c r="AK93" s="523" t="e">
        <f ca="1">stat(calculs!AK93)</f>
        <v>#NAME?</v>
      </c>
      <c r="AL93" s="523" t="e">
        <f ca="1">stat(calculs!AL93)</f>
        <v>#NAME?</v>
      </c>
      <c r="AM93" s="523" t="e">
        <f ca="1">stat(calculs!AM93)</f>
        <v>#NAME?</v>
      </c>
      <c r="AN93" s="523" t="e">
        <f ca="1">stat(calculs!AN93)</f>
        <v>#NAME?</v>
      </c>
      <c r="AO93" s="523" t="e">
        <f ca="1">stat(calculs!AO93)</f>
        <v>#NAME?</v>
      </c>
      <c r="AP93" s="523" t="e">
        <f ca="1">stat(calculs!AP93)</f>
        <v>#NAME?</v>
      </c>
      <c r="AQ93" s="523" t="e">
        <f ca="1">stat(calculs!AQ93)</f>
        <v>#NAME?</v>
      </c>
      <c r="AT93" s="517"/>
      <c r="AV93" s="525" t="e">
        <f ca="1">stat(calculs!AV93)</f>
        <v>#NAME?</v>
      </c>
      <c r="AW93" s="525" t="e">
        <f ca="1">stat(calculs!AW93)</f>
        <v>#NAME?</v>
      </c>
      <c r="AX93" s="525" t="e">
        <f ca="1">stat(calculs!AX93)</f>
        <v>#NAME?</v>
      </c>
      <c r="AY93" s="525" t="e">
        <f ca="1">stat(calculs!AY93)</f>
        <v>#NAME?</v>
      </c>
      <c r="AZ93" s="525" t="e">
        <f ca="1">stat(calculs!AZ93)</f>
        <v>#NAME?</v>
      </c>
      <c r="BA93" s="525" t="e">
        <f ca="1">stat(calculs!BA93)</f>
        <v>#NAME?</v>
      </c>
      <c r="BB93" s="525" t="e">
        <f ca="1">stat(calculs!BB93)</f>
        <v>#NAME?</v>
      </c>
      <c r="BC93" s="525" t="e">
        <f ca="1">stat(calculs!BC93)</f>
        <v>#NAME?</v>
      </c>
      <c r="BD93" s="525" t="e">
        <f ca="1">stat(calculs!BD93)</f>
        <v>#NAME?</v>
      </c>
      <c r="BE93" s="525" t="e">
        <f ca="1">stat(calculs!BE93)</f>
        <v>#NAME?</v>
      </c>
      <c r="BF93" s="525" t="e">
        <f ca="1">stat(calculs!BF93)</f>
        <v>#NAME?</v>
      </c>
      <c r="BG93" s="729" t="e">
        <f ca="1">stat(calculs!BG93)</f>
        <v>#NAME?</v>
      </c>
      <c r="BH93" s="729" t="e">
        <f ca="1">stat(calculs!BH93)</f>
        <v>#NAME?</v>
      </c>
      <c r="BI93" s="729" t="e">
        <f ca="1">stat(calculs!BI93)</f>
        <v>#NAME?</v>
      </c>
      <c r="BJ93" s="729" t="e">
        <f ca="1">stat(calculs!BJ93)</f>
        <v>#NAME?</v>
      </c>
      <c r="BK93" s="729" t="e">
        <f ca="1">stat(calculs!BK93)</f>
        <v>#NAME?</v>
      </c>
      <c r="BL93" s="525" t="e">
        <f ca="1">stat(calculs!BL93)</f>
        <v>#NAME?</v>
      </c>
      <c r="BM93" s="525" t="e">
        <f ca="1">stat(calculs!BM93)</f>
        <v>#NAME?</v>
      </c>
      <c r="BN93" s="525" t="e">
        <f ca="1">stat(calculs!BN93)</f>
        <v>#NAME?</v>
      </c>
      <c r="BO93" s="525" t="e">
        <f ca="1">stat(calculs!BO93)</f>
        <v>#NAME?</v>
      </c>
      <c r="BP93" s="525" t="e">
        <f ca="1">stat(calculs!BP93)</f>
        <v>#NAME?</v>
      </c>
      <c r="BQ93" s="525" t="e">
        <f ca="1">stat(calculs!BQ93)</f>
        <v>#NAME?</v>
      </c>
      <c r="BR93" s="525" t="e">
        <f ca="1">stat(calculs!BR93)</f>
        <v>#NAME?</v>
      </c>
    </row>
    <row r="94" spans="1:70" x14ac:dyDescent="0.2">
      <c r="A94" s="222">
        <f>données_step[[#This Row],[Datum]]</f>
        <v>44645</v>
      </c>
      <c r="B94" s="223"/>
      <c r="C94" s="224">
        <f t="shared" si="1"/>
        <v>6</v>
      </c>
      <c r="D94" s="523" t="e">
        <f ca="1">stat(charge_entree[[#This Row],[ch_E_DBO5]])</f>
        <v>#NAME?</v>
      </c>
      <c r="E94" s="523" t="e">
        <f ca="1">stat(charge_entree[[#This Row],[ch_E_DCO]])</f>
        <v>#NAME?</v>
      </c>
      <c r="F94" s="523" t="e">
        <f ca="1">stat(charge_entree[[#This Row],[ch_E_COT]])</f>
        <v>#NAME?</v>
      </c>
      <c r="G94" s="523" t="e">
        <f ca="1">stat(charge_entree[[#This Row],[ch_E_NH4]])</f>
        <v>#NAME?</v>
      </c>
      <c r="H94" s="523" t="e">
        <f ca="1">stat(charge_entree[[#This Row],[ch_E_NTOT]])</f>
        <v>#NAME?</v>
      </c>
      <c r="I94" s="523" t="e">
        <f ca="1">stat(charge_entree[[#This Row],[ch_E_PTOT]])</f>
        <v>#NAME?</v>
      </c>
      <c r="J94" s="523" t="e">
        <f ca="1">stat(charge_entree[[#This Row],[ch_S_DBO]])</f>
        <v>#NAME?</v>
      </c>
      <c r="K94" s="523" t="e">
        <f ca="1">stat(charge_entree[[#This Row],[ch_S-DCO]])</f>
        <v>#NAME?</v>
      </c>
      <c r="L94" s="523" t="e">
        <f ca="1">stat(charge_entree[[#This Row],[ch_S_DOC]])</f>
        <v>#NAME?</v>
      </c>
      <c r="M94" s="523" t="e">
        <f ca="1">stat(charge_entree[[#This Row],[ch_S_NH4]])</f>
        <v>#NAME?</v>
      </c>
      <c r="N94" s="523" t="e">
        <f ca="1">stat(charge_entree[[#This Row],[ch_S_NO2]])</f>
        <v>#NAME?</v>
      </c>
      <c r="O94" s="523" t="e">
        <f ca="1">stat(charge_entree[[#This Row],[ch_S_NO3]])</f>
        <v>#NAME?</v>
      </c>
      <c r="P94" s="523" t="e">
        <f ca="1">stat(charge_entree[[#This Row],[ch_S_PTOT]])</f>
        <v>#NAME?</v>
      </c>
      <c r="Q94" s="523" t="e">
        <f ca="1">stat(charge_entree[[#This Row],[ch_S_SNDT]])</f>
        <v>#NAME?</v>
      </c>
      <c r="R94" s="523">
        <f>calculs!R94</f>
        <v>0</v>
      </c>
      <c r="S94" s="523" t="e">
        <f ca="1">stat(calculs!S94)</f>
        <v>#NAME?</v>
      </c>
      <c r="T94" s="523" t="e">
        <f ca="1">stat(calculs!T94)</f>
        <v>#NAME?</v>
      </c>
      <c r="U94" s="523" t="e">
        <f ca="1">stat(calculs!U94)</f>
        <v>#NAME?</v>
      </c>
      <c r="V94" s="523" t="e">
        <f ca="1">stat(calculs!V94)</f>
        <v>#NAME?</v>
      </c>
      <c r="W94" s="523" t="e">
        <f ca="1">stat(calculs!W94)</f>
        <v>#NAME?</v>
      </c>
      <c r="X94" s="523" t="e">
        <f ca="1">stat(calculs!X94)</f>
        <v>#NAME?</v>
      </c>
      <c r="Y94" s="523" t="e">
        <f ca="1">stat(calculs!Y94)</f>
        <v>#NAME?</v>
      </c>
      <c r="Z94" s="523" t="e">
        <f ca="1">stat(calculs!Z94)</f>
        <v>#NAME?</v>
      </c>
      <c r="AA94" s="523" t="e">
        <f ca="1">stat(calculs!AA94)</f>
        <v>#NAME?</v>
      </c>
      <c r="AB94" s="523" t="e">
        <f ca="1">stat(calculs!AB94)</f>
        <v>#NAME?</v>
      </c>
      <c r="AC94" s="523" t="e">
        <f ca="1">stat(calculs!AC94)</f>
        <v>#NAME?</v>
      </c>
      <c r="AD94" s="523" t="e">
        <f ca="1">stat(calculs!AD94)</f>
        <v>#NAME?</v>
      </c>
      <c r="AE94" s="523" t="e">
        <f ca="1">stat(calculs!AE94)</f>
        <v>#NAME?</v>
      </c>
      <c r="AF94" s="523" t="e">
        <f ca="1">stat(calculs!AF94)</f>
        <v>#NAME?</v>
      </c>
      <c r="AG94" s="523" t="e">
        <f ca="1">stat(calculs!AG94)</f>
        <v>#NAME?</v>
      </c>
      <c r="AH94" s="523" t="e">
        <f ca="1">stat(calculs!AH94)</f>
        <v>#NAME?</v>
      </c>
      <c r="AI94" s="523" t="e">
        <f ca="1">stat(calculs!AI94)</f>
        <v>#NAME?</v>
      </c>
      <c r="AJ94" s="523" t="e">
        <f ca="1">stat(calculs!AJ94)</f>
        <v>#NAME?</v>
      </c>
      <c r="AK94" s="523" t="e">
        <f ca="1">stat(calculs!AK94)</f>
        <v>#NAME?</v>
      </c>
      <c r="AL94" s="523" t="e">
        <f ca="1">stat(calculs!AL94)</f>
        <v>#NAME?</v>
      </c>
      <c r="AM94" s="523" t="e">
        <f ca="1">stat(calculs!AM94)</f>
        <v>#NAME?</v>
      </c>
      <c r="AN94" s="523" t="e">
        <f ca="1">stat(calculs!AN94)</f>
        <v>#NAME?</v>
      </c>
      <c r="AO94" s="523" t="e">
        <f ca="1">stat(calculs!AO94)</f>
        <v>#NAME?</v>
      </c>
      <c r="AP94" s="523" t="e">
        <f ca="1">stat(calculs!AP94)</f>
        <v>#NAME?</v>
      </c>
      <c r="AQ94" s="523" t="e">
        <f ca="1">stat(calculs!AQ94)</f>
        <v>#NAME?</v>
      </c>
      <c r="AT94" s="517"/>
      <c r="AV94" s="525" t="e">
        <f ca="1">stat(calculs!AV94)</f>
        <v>#NAME?</v>
      </c>
      <c r="AW94" s="525" t="e">
        <f ca="1">stat(calculs!AW94)</f>
        <v>#NAME?</v>
      </c>
      <c r="AX94" s="525" t="e">
        <f ca="1">stat(calculs!AX94)</f>
        <v>#NAME?</v>
      </c>
      <c r="AY94" s="525" t="e">
        <f ca="1">stat(calculs!AY94)</f>
        <v>#NAME?</v>
      </c>
      <c r="AZ94" s="525" t="e">
        <f ca="1">stat(calculs!AZ94)</f>
        <v>#NAME?</v>
      </c>
      <c r="BA94" s="525" t="e">
        <f ca="1">stat(calculs!BA94)</f>
        <v>#NAME?</v>
      </c>
      <c r="BB94" s="525" t="e">
        <f ca="1">stat(calculs!BB94)</f>
        <v>#NAME?</v>
      </c>
      <c r="BC94" s="525" t="e">
        <f ca="1">stat(calculs!BC94)</f>
        <v>#NAME?</v>
      </c>
      <c r="BD94" s="525" t="e">
        <f ca="1">stat(calculs!BD94)</f>
        <v>#NAME?</v>
      </c>
      <c r="BE94" s="525" t="e">
        <f ca="1">stat(calculs!BE94)</f>
        <v>#NAME?</v>
      </c>
      <c r="BF94" s="525" t="e">
        <f ca="1">stat(calculs!BF94)</f>
        <v>#NAME?</v>
      </c>
      <c r="BG94" s="729" t="e">
        <f ca="1">stat(calculs!BG94)</f>
        <v>#NAME?</v>
      </c>
      <c r="BH94" s="729" t="e">
        <f ca="1">stat(calculs!BH94)</f>
        <v>#NAME?</v>
      </c>
      <c r="BI94" s="729" t="e">
        <f ca="1">stat(calculs!BI94)</f>
        <v>#NAME?</v>
      </c>
      <c r="BJ94" s="729" t="e">
        <f ca="1">stat(calculs!BJ94)</f>
        <v>#NAME?</v>
      </c>
      <c r="BK94" s="729" t="e">
        <f ca="1">stat(calculs!BK94)</f>
        <v>#NAME?</v>
      </c>
      <c r="BL94" s="525" t="e">
        <f ca="1">stat(calculs!BL94)</f>
        <v>#NAME?</v>
      </c>
      <c r="BM94" s="525" t="e">
        <f ca="1">stat(calculs!BM94)</f>
        <v>#NAME?</v>
      </c>
      <c r="BN94" s="525" t="e">
        <f ca="1">stat(calculs!BN94)</f>
        <v>#NAME?</v>
      </c>
      <c r="BO94" s="525" t="e">
        <f ca="1">stat(calculs!BO94)</f>
        <v>#NAME?</v>
      </c>
      <c r="BP94" s="525" t="e">
        <f ca="1">stat(calculs!BP94)</f>
        <v>#NAME?</v>
      </c>
      <c r="BQ94" s="525" t="e">
        <f ca="1">stat(calculs!BQ94)</f>
        <v>#NAME?</v>
      </c>
      <c r="BR94" s="525" t="e">
        <f ca="1">stat(calculs!BR94)</f>
        <v>#NAME?</v>
      </c>
    </row>
    <row r="95" spans="1:70" x14ac:dyDescent="0.2">
      <c r="A95" s="222">
        <f>données_step[[#This Row],[Datum]]</f>
        <v>44646</v>
      </c>
      <c r="B95" s="223"/>
      <c r="C95" s="224">
        <f t="shared" si="1"/>
        <v>7</v>
      </c>
      <c r="D95" s="523" t="e">
        <f ca="1">stat(charge_entree[[#This Row],[ch_E_DBO5]])</f>
        <v>#NAME?</v>
      </c>
      <c r="E95" s="523" t="e">
        <f ca="1">stat(charge_entree[[#This Row],[ch_E_DCO]])</f>
        <v>#NAME?</v>
      </c>
      <c r="F95" s="523" t="e">
        <f ca="1">stat(charge_entree[[#This Row],[ch_E_COT]])</f>
        <v>#NAME?</v>
      </c>
      <c r="G95" s="523" t="e">
        <f ca="1">stat(charge_entree[[#This Row],[ch_E_NH4]])</f>
        <v>#NAME?</v>
      </c>
      <c r="H95" s="523" t="e">
        <f ca="1">stat(charge_entree[[#This Row],[ch_E_NTOT]])</f>
        <v>#NAME?</v>
      </c>
      <c r="I95" s="523" t="e">
        <f ca="1">stat(charge_entree[[#This Row],[ch_E_PTOT]])</f>
        <v>#NAME?</v>
      </c>
      <c r="J95" s="523" t="e">
        <f ca="1">stat(charge_entree[[#This Row],[ch_S_DBO]])</f>
        <v>#NAME?</v>
      </c>
      <c r="K95" s="523" t="e">
        <f ca="1">stat(charge_entree[[#This Row],[ch_S-DCO]])</f>
        <v>#NAME?</v>
      </c>
      <c r="L95" s="523" t="e">
        <f ca="1">stat(charge_entree[[#This Row],[ch_S_DOC]])</f>
        <v>#NAME?</v>
      </c>
      <c r="M95" s="523" t="e">
        <f ca="1">stat(charge_entree[[#This Row],[ch_S_NH4]])</f>
        <v>#NAME?</v>
      </c>
      <c r="N95" s="523" t="e">
        <f ca="1">stat(charge_entree[[#This Row],[ch_S_NO2]])</f>
        <v>#NAME?</v>
      </c>
      <c r="O95" s="523" t="e">
        <f ca="1">stat(charge_entree[[#This Row],[ch_S_NO3]])</f>
        <v>#NAME?</v>
      </c>
      <c r="P95" s="523" t="e">
        <f ca="1">stat(charge_entree[[#This Row],[ch_S_PTOT]])</f>
        <v>#NAME?</v>
      </c>
      <c r="Q95" s="523" t="e">
        <f ca="1">stat(charge_entree[[#This Row],[ch_S_SNDT]])</f>
        <v>#NAME?</v>
      </c>
      <c r="R95" s="523">
        <f>calculs!R95</f>
        <v>0</v>
      </c>
      <c r="S95" s="523" t="e">
        <f ca="1">stat(calculs!S95)</f>
        <v>#NAME?</v>
      </c>
      <c r="T95" s="523" t="e">
        <f ca="1">stat(calculs!T95)</f>
        <v>#NAME?</v>
      </c>
      <c r="U95" s="523" t="e">
        <f ca="1">stat(calculs!U95)</f>
        <v>#NAME?</v>
      </c>
      <c r="V95" s="523" t="e">
        <f ca="1">stat(calculs!V95)</f>
        <v>#NAME?</v>
      </c>
      <c r="W95" s="523" t="e">
        <f ca="1">stat(calculs!W95)</f>
        <v>#NAME?</v>
      </c>
      <c r="X95" s="523" t="e">
        <f ca="1">stat(calculs!X95)</f>
        <v>#NAME?</v>
      </c>
      <c r="Y95" s="523" t="e">
        <f ca="1">stat(calculs!Y95)</f>
        <v>#NAME?</v>
      </c>
      <c r="Z95" s="523" t="e">
        <f ca="1">stat(calculs!Z95)</f>
        <v>#NAME?</v>
      </c>
      <c r="AA95" s="523" t="e">
        <f ca="1">stat(calculs!AA95)</f>
        <v>#NAME?</v>
      </c>
      <c r="AB95" s="523" t="e">
        <f ca="1">stat(calculs!AB95)</f>
        <v>#NAME?</v>
      </c>
      <c r="AC95" s="523" t="e">
        <f ca="1">stat(calculs!AC95)</f>
        <v>#NAME?</v>
      </c>
      <c r="AD95" s="523" t="e">
        <f ca="1">stat(calculs!AD95)</f>
        <v>#NAME?</v>
      </c>
      <c r="AE95" s="523" t="e">
        <f ca="1">stat(calculs!AE95)</f>
        <v>#NAME?</v>
      </c>
      <c r="AF95" s="523" t="e">
        <f ca="1">stat(calculs!AF95)</f>
        <v>#NAME?</v>
      </c>
      <c r="AG95" s="523" t="e">
        <f ca="1">stat(calculs!AG95)</f>
        <v>#NAME?</v>
      </c>
      <c r="AH95" s="523" t="e">
        <f ca="1">stat(calculs!AH95)</f>
        <v>#NAME?</v>
      </c>
      <c r="AI95" s="523" t="e">
        <f ca="1">stat(calculs!AI95)</f>
        <v>#NAME?</v>
      </c>
      <c r="AJ95" s="523" t="e">
        <f ca="1">stat(calculs!AJ95)</f>
        <v>#NAME?</v>
      </c>
      <c r="AK95" s="523" t="e">
        <f ca="1">stat(calculs!AK95)</f>
        <v>#NAME?</v>
      </c>
      <c r="AL95" s="523" t="e">
        <f ca="1">stat(calculs!AL95)</f>
        <v>#NAME?</v>
      </c>
      <c r="AM95" s="523" t="e">
        <f ca="1">stat(calculs!AM95)</f>
        <v>#NAME?</v>
      </c>
      <c r="AN95" s="523" t="e">
        <f ca="1">stat(calculs!AN95)</f>
        <v>#NAME?</v>
      </c>
      <c r="AO95" s="523" t="e">
        <f ca="1">stat(calculs!AO95)</f>
        <v>#NAME?</v>
      </c>
      <c r="AP95" s="523" t="e">
        <f ca="1">stat(calculs!AP95)</f>
        <v>#NAME?</v>
      </c>
      <c r="AQ95" s="523" t="e">
        <f ca="1">stat(calculs!AQ95)</f>
        <v>#NAME?</v>
      </c>
      <c r="AT95" s="517"/>
      <c r="AV95" s="525" t="e">
        <f ca="1">stat(calculs!AV95)</f>
        <v>#NAME?</v>
      </c>
      <c r="AW95" s="525" t="e">
        <f ca="1">stat(calculs!AW95)</f>
        <v>#NAME?</v>
      </c>
      <c r="AX95" s="525" t="e">
        <f ca="1">stat(calculs!AX95)</f>
        <v>#NAME?</v>
      </c>
      <c r="AY95" s="525" t="e">
        <f ca="1">stat(calculs!AY95)</f>
        <v>#NAME?</v>
      </c>
      <c r="AZ95" s="525" t="e">
        <f ca="1">stat(calculs!AZ95)</f>
        <v>#NAME?</v>
      </c>
      <c r="BA95" s="525" t="e">
        <f ca="1">stat(calculs!BA95)</f>
        <v>#NAME?</v>
      </c>
      <c r="BB95" s="525" t="e">
        <f ca="1">stat(calculs!BB95)</f>
        <v>#NAME?</v>
      </c>
      <c r="BC95" s="525" t="e">
        <f ca="1">stat(calculs!BC95)</f>
        <v>#NAME?</v>
      </c>
      <c r="BD95" s="525" t="e">
        <f ca="1">stat(calculs!BD95)</f>
        <v>#NAME?</v>
      </c>
      <c r="BE95" s="525" t="e">
        <f ca="1">stat(calculs!BE95)</f>
        <v>#NAME?</v>
      </c>
      <c r="BF95" s="525" t="e">
        <f ca="1">stat(calculs!BF95)</f>
        <v>#NAME?</v>
      </c>
      <c r="BG95" s="729" t="e">
        <f ca="1">stat(calculs!BG95)</f>
        <v>#NAME?</v>
      </c>
      <c r="BH95" s="729" t="e">
        <f ca="1">stat(calculs!BH95)</f>
        <v>#NAME?</v>
      </c>
      <c r="BI95" s="729" t="e">
        <f ca="1">stat(calculs!BI95)</f>
        <v>#NAME?</v>
      </c>
      <c r="BJ95" s="729" t="e">
        <f ca="1">stat(calculs!BJ95)</f>
        <v>#NAME?</v>
      </c>
      <c r="BK95" s="729" t="e">
        <f ca="1">stat(calculs!BK95)</f>
        <v>#NAME?</v>
      </c>
      <c r="BL95" s="525" t="e">
        <f ca="1">stat(calculs!BL95)</f>
        <v>#NAME?</v>
      </c>
      <c r="BM95" s="525" t="e">
        <f ca="1">stat(calculs!BM95)</f>
        <v>#NAME?</v>
      </c>
      <c r="BN95" s="525" t="e">
        <f ca="1">stat(calculs!BN95)</f>
        <v>#NAME?</v>
      </c>
      <c r="BO95" s="525" t="e">
        <f ca="1">stat(calculs!BO95)</f>
        <v>#NAME?</v>
      </c>
      <c r="BP95" s="525" t="e">
        <f ca="1">stat(calculs!BP95)</f>
        <v>#NAME?</v>
      </c>
      <c r="BQ95" s="525" t="e">
        <f ca="1">stat(calculs!BQ95)</f>
        <v>#NAME?</v>
      </c>
      <c r="BR95" s="525" t="e">
        <f ca="1">stat(calculs!BR95)</f>
        <v>#NAME?</v>
      </c>
    </row>
    <row r="96" spans="1:70" x14ac:dyDescent="0.2">
      <c r="A96" s="222">
        <f>données_step[[#This Row],[Datum]]</f>
        <v>44647</v>
      </c>
      <c r="B96" s="223"/>
      <c r="C96" s="224">
        <f t="shared" si="1"/>
        <v>1</v>
      </c>
      <c r="D96" s="523" t="e">
        <f ca="1">stat(charge_entree[[#This Row],[ch_E_DBO5]])</f>
        <v>#NAME?</v>
      </c>
      <c r="E96" s="523" t="e">
        <f ca="1">stat(charge_entree[[#This Row],[ch_E_DCO]])</f>
        <v>#NAME?</v>
      </c>
      <c r="F96" s="523" t="e">
        <f ca="1">stat(charge_entree[[#This Row],[ch_E_COT]])</f>
        <v>#NAME?</v>
      </c>
      <c r="G96" s="523" t="e">
        <f ca="1">stat(charge_entree[[#This Row],[ch_E_NH4]])</f>
        <v>#NAME?</v>
      </c>
      <c r="H96" s="523" t="e">
        <f ca="1">stat(charge_entree[[#This Row],[ch_E_NTOT]])</f>
        <v>#NAME?</v>
      </c>
      <c r="I96" s="523" t="e">
        <f ca="1">stat(charge_entree[[#This Row],[ch_E_PTOT]])</f>
        <v>#NAME?</v>
      </c>
      <c r="J96" s="523" t="e">
        <f ca="1">stat(charge_entree[[#This Row],[ch_S_DBO]])</f>
        <v>#NAME?</v>
      </c>
      <c r="K96" s="523" t="e">
        <f ca="1">stat(charge_entree[[#This Row],[ch_S-DCO]])</f>
        <v>#NAME?</v>
      </c>
      <c r="L96" s="523" t="e">
        <f ca="1">stat(charge_entree[[#This Row],[ch_S_DOC]])</f>
        <v>#NAME?</v>
      </c>
      <c r="M96" s="523" t="e">
        <f ca="1">stat(charge_entree[[#This Row],[ch_S_NH4]])</f>
        <v>#NAME?</v>
      </c>
      <c r="N96" s="523" t="e">
        <f ca="1">stat(charge_entree[[#This Row],[ch_S_NO2]])</f>
        <v>#NAME?</v>
      </c>
      <c r="O96" s="523" t="e">
        <f ca="1">stat(charge_entree[[#This Row],[ch_S_NO3]])</f>
        <v>#NAME?</v>
      </c>
      <c r="P96" s="523" t="e">
        <f ca="1">stat(charge_entree[[#This Row],[ch_S_PTOT]])</f>
        <v>#NAME?</v>
      </c>
      <c r="Q96" s="523" t="e">
        <f ca="1">stat(charge_entree[[#This Row],[ch_S_SNDT]])</f>
        <v>#NAME?</v>
      </c>
      <c r="R96" s="523">
        <f>calculs!R96</f>
        <v>0</v>
      </c>
      <c r="S96" s="523" t="e">
        <f ca="1">stat(calculs!S96)</f>
        <v>#NAME?</v>
      </c>
      <c r="T96" s="523" t="e">
        <f ca="1">stat(calculs!T96)</f>
        <v>#NAME?</v>
      </c>
      <c r="U96" s="523" t="e">
        <f ca="1">stat(calculs!U96)</f>
        <v>#NAME?</v>
      </c>
      <c r="V96" s="523" t="e">
        <f ca="1">stat(calculs!V96)</f>
        <v>#NAME?</v>
      </c>
      <c r="W96" s="523" t="e">
        <f ca="1">stat(calculs!W96)</f>
        <v>#NAME?</v>
      </c>
      <c r="X96" s="523" t="e">
        <f ca="1">stat(calculs!X96)</f>
        <v>#NAME?</v>
      </c>
      <c r="Y96" s="523" t="e">
        <f ca="1">stat(calculs!Y96)</f>
        <v>#NAME?</v>
      </c>
      <c r="Z96" s="523" t="e">
        <f ca="1">stat(calculs!Z96)</f>
        <v>#NAME?</v>
      </c>
      <c r="AA96" s="523" t="e">
        <f ca="1">stat(calculs!AA96)</f>
        <v>#NAME?</v>
      </c>
      <c r="AB96" s="523" t="e">
        <f ca="1">stat(calculs!AB96)</f>
        <v>#NAME?</v>
      </c>
      <c r="AC96" s="523" t="e">
        <f ca="1">stat(calculs!AC96)</f>
        <v>#NAME?</v>
      </c>
      <c r="AD96" s="523" t="e">
        <f ca="1">stat(calculs!AD96)</f>
        <v>#NAME?</v>
      </c>
      <c r="AE96" s="523" t="e">
        <f ca="1">stat(calculs!AE96)</f>
        <v>#NAME?</v>
      </c>
      <c r="AF96" s="523" t="e">
        <f ca="1">stat(calculs!AF96)</f>
        <v>#NAME?</v>
      </c>
      <c r="AG96" s="523" t="e">
        <f ca="1">stat(calculs!AG96)</f>
        <v>#NAME?</v>
      </c>
      <c r="AH96" s="523" t="e">
        <f ca="1">stat(calculs!AH96)</f>
        <v>#NAME?</v>
      </c>
      <c r="AI96" s="523" t="e">
        <f ca="1">stat(calculs!AI96)</f>
        <v>#NAME?</v>
      </c>
      <c r="AJ96" s="523" t="e">
        <f ca="1">stat(calculs!AJ96)</f>
        <v>#NAME?</v>
      </c>
      <c r="AK96" s="523" t="e">
        <f ca="1">stat(calculs!AK96)</f>
        <v>#NAME?</v>
      </c>
      <c r="AL96" s="523" t="e">
        <f ca="1">stat(calculs!AL96)</f>
        <v>#NAME?</v>
      </c>
      <c r="AM96" s="523" t="e">
        <f ca="1">stat(calculs!AM96)</f>
        <v>#NAME?</v>
      </c>
      <c r="AN96" s="523" t="e">
        <f ca="1">stat(calculs!AN96)</f>
        <v>#NAME?</v>
      </c>
      <c r="AO96" s="523" t="e">
        <f ca="1">stat(calculs!AO96)</f>
        <v>#NAME?</v>
      </c>
      <c r="AP96" s="523" t="e">
        <f ca="1">stat(calculs!AP96)</f>
        <v>#NAME?</v>
      </c>
      <c r="AQ96" s="523" t="e">
        <f ca="1">stat(calculs!AQ96)</f>
        <v>#NAME?</v>
      </c>
      <c r="AT96" s="517"/>
      <c r="AV96" s="525" t="e">
        <f ca="1">stat(calculs!AV96)</f>
        <v>#NAME?</v>
      </c>
      <c r="AW96" s="525" t="e">
        <f ca="1">stat(calculs!AW96)</f>
        <v>#NAME?</v>
      </c>
      <c r="AX96" s="525" t="e">
        <f ca="1">stat(calculs!AX96)</f>
        <v>#NAME?</v>
      </c>
      <c r="AY96" s="525" t="e">
        <f ca="1">stat(calculs!AY96)</f>
        <v>#NAME?</v>
      </c>
      <c r="AZ96" s="525" t="e">
        <f ca="1">stat(calculs!AZ96)</f>
        <v>#NAME?</v>
      </c>
      <c r="BA96" s="525" t="e">
        <f ca="1">stat(calculs!BA96)</f>
        <v>#NAME?</v>
      </c>
      <c r="BB96" s="525" t="e">
        <f ca="1">stat(calculs!BB96)</f>
        <v>#NAME?</v>
      </c>
      <c r="BC96" s="525" t="e">
        <f ca="1">stat(calculs!BC96)</f>
        <v>#NAME?</v>
      </c>
      <c r="BD96" s="525" t="e">
        <f ca="1">stat(calculs!BD96)</f>
        <v>#NAME?</v>
      </c>
      <c r="BE96" s="525" t="e">
        <f ca="1">stat(calculs!BE96)</f>
        <v>#NAME?</v>
      </c>
      <c r="BF96" s="525" t="e">
        <f ca="1">stat(calculs!BF96)</f>
        <v>#NAME?</v>
      </c>
      <c r="BG96" s="729" t="e">
        <f ca="1">stat(calculs!BG96)</f>
        <v>#NAME?</v>
      </c>
      <c r="BH96" s="729" t="e">
        <f ca="1">stat(calculs!BH96)</f>
        <v>#NAME?</v>
      </c>
      <c r="BI96" s="729" t="e">
        <f ca="1">stat(calculs!BI96)</f>
        <v>#NAME?</v>
      </c>
      <c r="BJ96" s="729" t="e">
        <f ca="1">stat(calculs!BJ96)</f>
        <v>#NAME?</v>
      </c>
      <c r="BK96" s="729" t="e">
        <f ca="1">stat(calculs!BK96)</f>
        <v>#NAME?</v>
      </c>
      <c r="BL96" s="525" t="e">
        <f ca="1">stat(calculs!BL96)</f>
        <v>#NAME?</v>
      </c>
      <c r="BM96" s="525" t="e">
        <f ca="1">stat(calculs!BM96)</f>
        <v>#NAME?</v>
      </c>
      <c r="BN96" s="525" t="e">
        <f ca="1">stat(calculs!BN96)</f>
        <v>#NAME?</v>
      </c>
      <c r="BO96" s="525" t="e">
        <f ca="1">stat(calculs!BO96)</f>
        <v>#NAME?</v>
      </c>
      <c r="BP96" s="525" t="e">
        <f ca="1">stat(calculs!BP96)</f>
        <v>#NAME?</v>
      </c>
      <c r="BQ96" s="525" t="e">
        <f ca="1">stat(calculs!BQ96)</f>
        <v>#NAME?</v>
      </c>
      <c r="BR96" s="525" t="e">
        <f ca="1">stat(calculs!BR96)</f>
        <v>#NAME?</v>
      </c>
    </row>
    <row r="97" spans="1:70" x14ac:dyDescent="0.2">
      <c r="A97" s="222">
        <f>données_step[[#This Row],[Datum]]</f>
        <v>44648</v>
      </c>
      <c r="B97" s="223"/>
      <c r="C97" s="224">
        <f t="shared" si="1"/>
        <v>2</v>
      </c>
      <c r="D97" s="523" t="e">
        <f ca="1">stat(charge_entree[[#This Row],[ch_E_DBO5]])</f>
        <v>#NAME?</v>
      </c>
      <c r="E97" s="523" t="e">
        <f ca="1">stat(charge_entree[[#This Row],[ch_E_DCO]])</f>
        <v>#NAME?</v>
      </c>
      <c r="F97" s="523" t="e">
        <f ca="1">stat(charge_entree[[#This Row],[ch_E_COT]])</f>
        <v>#NAME?</v>
      </c>
      <c r="G97" s="523" t="e">
        <f ca="1">stat(charge_entree[[#This Row],[ch_E_NH4]])</f>
        <v>#NAME?</v>
      </c>
      <c r="H97" s="523" t="e">
        <f ca="1">stat(charge_entree[[#This Row],[ch_E_NTOT]])</f>
        <v>#NAME?</v>
      </c>
      <c r="I97" s="523" t="e">
        <f ca="1">stat(charge_entree[[#This Row],[ch_E_PTOT]])</f>
        <v>#NAME?</v>
      </c>
      <c r="J97" s="523" t="e">
        <f ca="1">stat(charge_entree[[#This Row],[ch_S_DBO]])</f>
        <v>#NAME?</v>
      </c>
      <c r="K97" s="523" t="e">
        <f ca="1">stat(charge_entree[[#This Row],[ch_S-DCO]])</f>
        <v>#NAME?</v>
      </c>
      <c r="L97" s="523" t="e">
        <f ca="1">stat(charge_entree[[#This Row],[ch_S_DOC]])</f>
        <v>#NAME?</v>
      </c>
      <c r="M97" s="523" t="e">
        <f ca="1">stat(charge_entree[[#This Row],[ch_S_NH4]])</f>
        <v>#NAME?</v>
      </c>
      <c r="N97" s="523" t="e">
        <f ca="1">stat(charge_entree[[#This Row],[ch_S_NO2]])</f>
        <v>#NAME?</v>
      </c>
      <c r="O97" s="523" t="e">
        <f ca="1">stat(charge_entree[[#This Row],[ch_S_NO3]])</f>
        <v>#NAME?</v>
      </c>
      <c r="P97" s="523" t="e">
        <f ca="1">stat(charge_entree[[#This Row],[ch_S_PTOT]])</f>
        <v>#NAME?</v>
      </c>
      <c r="Q97" s="523" t="e">
        <f ca="1">stat(charge_entree[[#This Row],[ch_S_SNDT]])</f>
        <v>#NAME?</v>
      </c>
      <c r="R97" s="523">
        <f>calculs!R97</f>
        <v>0</v>
      </c>
      <c r="S97" s="523" t="e">
        <f ca="1">stat(calculs!S97)</f>
        <v>#NAME?</v>
      </c>
      <c r="T97" s="523" t="e">
        <f ca="1">stat(calculs!T97)</f>
        <v>#NAME?</v>
      </c>
      <c r="U97" s="523" t="e">
        <f ca="1">stat(calculs!U97)</f>
        <v>#NAME?</v>
      </c>
      <c r="V97" s="523" t="e">
        <f ca="1">stat(calculs!V97)</f>
        <v>#NAME?</v>
      </c>
      <c r="W97" s="523" t="e">
        <f ca="1">stat(calculs!W97)</f>
        <v>#NAME?</v>
      </c>
      <c r="X97" s="523" t="e">
        <f ca="1">stat(calculs!X97)</f>
        <v>#NAME?</v>
      </c>
      <c r="Y97" s="523" t="e">
        <f ca="1">stat(calculs!Y97)</f>
        <v>#NAME?</v>
      </c>
      <c r="Z97" s="523" t="e">
        <f ca="1">stat(calculs!Z97)</f>
        <v>#NAME?</v>
      </c>
      <c r="AA97" s="523" t="e">
        <f ca="1">stat(calculs!AA97)</f>
        <v>#NAME?</v>
      </c>
      <c r="AB97" s="523" t="e">
        <f ca="1">stat(calculs!AB97)</f>
        <v>#NAME?</v>
      </c>
      <c r="AC97" s="523" t="e">
        <f ca="1">stat(calculs!AC97)</f>
        <v>#NAME?</v>
      </c>
      <c r="AD97" s="523" t="e">
        <f ca="1">stat(calculs!AD97)</f>
        <v>#NAME?</v>
      </c>
      <c r="AE97" s="523" t="e">
        <f ca="1">stat(calculs!AE97)</f>
        <v>#NAME?</v>
      </c>
      <c r="AF97" s="523" t="e">
        <f ca="1">stat(calculs!AF97)</f>
        <v>#NAME?</v>
      </c>
      <c r="AG97" s="523" t="e">
        <f ca="1">stat(calculs!AG97)</f>
        <v>#NAME?</v>
      </c>
      <c r="AH97" s="523" t="e">
        <f ca="1">stat(calculs!AH97)</f>
        <v>#NAME?</v>
      </c>
      <c r="AI97" s="523" t="e">
        <f ca="1">stat(calculs!AI97)</f>
        <v>#NAME?</v>
      </c>
      <c r="AJ97" s="523" t="e">
        <f ca="1">stat(calculs!AJ97)</f>
        <v>#NAME?</v>
      </c>
      <c r="AK97" s="523" t="e">
        <f ca="1">stat(calculs!AK97)</f>
        <v>#NAME?</v>
      </c>
      <c r="AL97" s="523" t="e">
        <f ca="1">stat(calculs!AL97)</f>
        <v>#NAME?</v>
      </c>
      <c r="AM97" s="523" t="e">
        <f ca="1">stat(calculs!AM97)</f>
        <v>#NAME?</v>
      </c>
      <c r="AN97" s="523" t="e">
        <f ca="1">stat(calculs!AN97)</f>
        <v>#NAME?</v>
      </c>
      <c r="AO97" s="523" t="e">
        <f ca="1">stat(calculs!AO97)</f>
        <v>#NAME?</v>
      </c>
      <c r="AP97" s="523" t="e">
        <f ca="1">stat(calculs!AP97)</f>
        <v>#NAME?</v>
      </c>
      <c r="AQ97" s="523" t="e">
        <f ca="1">stat(calculs!AQ97)</f>
        <v>#NAME?</v>
      </c>
      <c r="AT97" s="517"/>
      <c r="AV97" s="525" t="e">
        <f ca="1">stat(calculs!AV97)</f>
        <v>#NAME?</v>
      </c>
      <c r="AW97" s="525" t="e">
        <f ca="1">stat(calculs!AW97)</f>
        <v>#NAME?</v>
      </c>
      <c r="AX97" s="525" t="e">
        <f ca="1">stat(calculs!AX97)</f>
        <v>#NAME?</v>
      </c>
      <c r="AY97" s="525" t="e">
        <f ca="1">stat(calculs!AY97)</f>
        <v>#NAME?</v>
      </c>
      <c r="AZ97" s="525" t="e">
        <f ca="1">stat(calculs!AZ97)</f>
        <v>#NAME?</v>
      </c>
      <c r="BA97" s="525" t="e">
        <f ca="1">stat(calculs!BA97)</f>
        <v>#NAME?</v>
      </c>
      <c r="BB97" s="525" t="e">
        <f ca="1">stat(calculs!BB97)</f>
        <v>#NAME?</v>
      </c>
      <c r="BC97" s="525" t="e">
        <f ca="1">stat(calculs!BC97)</f>
        <v>#NAME?</v>
      </c>
      <c r="BD97" s="525" t="e">
        <f ca="1">stat(calculs!BD97)</f>
        <v>#NAME?</v>
      </c>
      <c r="BE97" s="525" t="e">
        <f ca="1">stat(calculs!BE97)</f>
        <v>#NAME?</v>
      </c>
      <c r="BF97" s="525" t="e">
        <f ca="1">stat(calculs!BF97)</f>
        <v>#NAME?</v>
      </c>
      <c r="BG97" s="729" t="e">
        <f ca="1">stat(calculs!BG97)</f>
        <v>#NAME?</v>
      </c>
      <c r="BH97" s="729" t="e">
        <f ca="1">stat(calculs!BH97)</f>
        <v>#NAME?</v>
      </c>
      <c r="BI97" s="729" t="e">
        <f ca="1">stat(calculs!BI97)</f>
        <v>#NAME?</v>
      </c>
      <c r="BJ97" s="729" t="e">
        <f ca="1">stat(calculs!BJ97)</f>
        <v>#NAME?</v>
      </c>
      <c r="BK97" s="729" t="e">
        <f ca="1">stat(calculs!BK97)</f>
        <v>#NAME?</v>
      </c>
      <c r="BL97" s="525" t="e">
        <f ca="1">stat(calculs!BL97)</f>
        <v>#NAME?</v>
      </c>
      <c r="BM97" s="525" t="e">
        <f ca="1">stat(calculs!BM97)</f>
        <v>#NAME?</v>
      </c>
      <c r="BN97" s="525" t="e">
        <f ca="1">stat(calculs!BN97)</f>
        <v>#NAME?</v>
      </c>
      <c r="BO97" s="525" t="e">
        <f ca="1">stat(calculs!BO97)</f>
        <v>#NAME?</v>
      </c>
      <c r="BP97" s="525" t="e">
        <f ca="1">stat(calculs!BP97)</f>
        <v>#NAME?</v>
      </c>
      <c r="BQ97" s="525" t="e">
        <f ca="1">stat(calculs!BQ97)</f>
        <v>#NAME?</v>
      </c>
      <c r="BR97" s="525" t="e">
        <f ca="1">stat(calculs!BR97)</f>
        <v>#NAME?</v>
      </c>
    </row>
    <row r="98" spans="1:70" x14ac:dyDescent="0.2">
      <c r="A98" s="222">
        <f>données_step[[#This Row],[Datum]]</f>
        <v>44649</v>
      </c>
      <c r="B98" s="223"/>
      <c r="C98" s="224">
        <f t="shared" si="1"/>
        <v>3</v>
      </c>
      <c r="D98" s="523" t="e">
        <f ca="1">stat(charge_entree[[#This Row],[ch_E_DBO5]])</f>
        <v>#NAME?</v>
      </c>
      <c r="E98" s="523" t="e">
        <f ca="1">stat(charge_entree[[#This Row],[ch_E_DCO]])</f>
        <v>#NAME?</v>
      </c>
      <c r="F98" s="523" t="e">
        <f ca="1">stat(charge_entree[[#This Row],[ch_E_COT]])</f>
        <v>#NAME?</v>
      </c>
      <c r="G98" s="523" t="e">
        <f ca="1">stat(charge_entree[[#This Row],[ch_E_NH4]])</f>
        <v>#NAME?</v>
      </c>
      <c r="H98" s="523" t="e">
        <f ca="1">stat(charge_entree[[#This Row],[ch_E_NTOT]])</f>
        <v>#NAME?</v>
      </c>
      <c r="I98" s="523" t="e">
        <f ca="1">stat(charge_entree[[#This Row],[ch_E_PTOT]])</f>
        <v>#NAME?</v>
      </c>
      <c r="J98" s="523" t="e">
        <f ca="1">stat(charge_entree[[#This Row],[ch_S_DBO]])</f>
        <v>#NAME?</v>
      </c>
      <c r="K98" s="523" t="e">
        <f ca="1">stat(charge_entree[[#This Row],[ch_S-DCO]])</f>
        <v>#NAME?</v>
      </c>
      <c r="L98" s="523" t="e">
        <f ca="1">stat(charge_entree[[#This Row],[ch_S_DOC]])</f>
        <v>#NAME?</v>
      </c>
      <c r="M98" s="523" t="e">
        <f ca="1">stat(charge_entree[[#This Row],[ch_S_NH4]])</f>
        <v>#NAME?</v>
      </c>
      <c r="N98" s="523" t="e">
        <f ca="1">stat(charge_entree[[#This Row],[ch_S_NO2]])</f>
        <v>#NAME?</v>
      </c>
      <c r="O98" s="523" t="e">
        <f ca="1">stat(charge_entree[[#This Row],[ch_S_NO3]])</f>
        <v>#NAME?</v>
      </c>
      <c r="P98" s="523" t="e">
        <f ca="1">stat(charge_entree[[#This Row],[ch_S_PTOT]])</f>
        <v>#NAME?</v>
      </c>
      <c r="Q98" s="523" t="e">
        <f ca="1">stat(charge_entree[[#This Row],[ch_S_SNDT]])</f>
        <v>#NAME?</v>
      </c>
      <c r="R98" s="523">
        <f>calculs!R98</f>
        <v>0</v>
      </c>
      <c r="S98" s="523" t="e">
        <f ca="1">stat(calculs!S98)</f>
        <v>#NAME?</v>
      </c>
      <c r="T98" s="523" t="e">
        <f ca="1">stat(calculs!T98)</f>
        <v>#NAME?</v>
      </c>
      <c r="U98" s="523" t="e">
        <f ca="1">stat(calculs!U98)</f>
        <v>#NAME?</v>
      </c>
      <c r="V98" s="523" t="e">
        <f ca="1">stat(calculs!V98)</f>
        <v>#NAME?</v>
      </c>
      <c r="W98" s="523" t="e">
        <f ca="1">stat(calculs!W98)</f>
        <v>#NAME?</v>
      </c>
      <c r="X98" s="523" t="e">
        <f ca="1">stat(calculs!X98)</f>
        <v>#NAME?</v>
      </c>
      <c r="Y98" s="523" t="e">
        <f ca="1">stat(calculs!Y98)</f>
        <v>#NAME?</v>
      </c>
      <c r="Z98" s="523" t="e">
        <f ca="1">stat(calculs!Z98)</f>
        <v>#NAME?</v>
      </c>
      <c r="AA98" s="523" t="e">
        <f ca="1">stat(calculs!AA98)</f>
        <v>#NAME?</v>
      </c>
      <c r="AB98" s="523" t="e">
        <f ca="1">stat(calculs!AB98)</f>
        <v>#NAME?</v>
      </c>
      <c r="AC98" s="523" t="e">
        <f ca="1">stat(calculs!AC98)</f>
        <v>#NAME?</v>
      </c>
      <c r="AD98" s="523" t="e">
        <f ca="1">stat(calculs!AD98)</f>
        <v>#NAME?</v>
      </c>
      <c r="AE98" s="523" t="e">
        <f ca="1">stat(calculs!AE98)</f>
        <v>#NAME?</v>
      </c>
      <c r="AF98" s="523" t="e">
        <f ca="1">stat(calculs!AF98)</f>
        <v>#NAME?</v>
      </c>
      <c r="AG98" s="523" t="e">
        <f ca="1">stat(calculs!AG98)</f>
        <v>#NAME?</v>
      </c>
      <c r="AH98" s="523" t="e">
        <f ca="1">stat(calculs!AH98)</f>
        <v>#NAME?</v>
      </c>
      <c r="AI98" s="523" t="e">
        <f ca="1">stat(calculs!AI98)</f>
        <v>#NAME?</v>
      </c>
      <c r="AJ98" s="523" t="e">
        <f ca="1">stat(calculs!AJ98)</f>
        <v>#NAME?</v>
      </c>
      <c r="AK98" s="523" t="e">
        <f ca="1">stat(calculs!AK98)</f>
        <v>#NAME?</v>
      </c>
      <c r="AL98" s="523" t="e">
        <f ca="1">stat(calculs!AL98)</f>
        <v>#NAME?</v>
      </c>
      <c r="AM98" s="523" t="e">
        <f ca="1">stat(calculs!AM98)</f>
        <v>#NAME?</v>
      </c>
      <c r="AN98" s="523" t="e">
        <f ca="1">stat(calculs!AN98)</f>
        <v>#NAME?</v>
      </c>
      <c r="AO98" s="523" t="e">
        <f ca="1">stat(calculs!AO98)</f>
        <v>#NAME?</v>
      </c>
      <c r="AP98" s="523" t="e">
        <f ca="1">stat(calculs!AP98)</f>
        <v>#NAME?</v>
      </c>
      <c r="AQ98" s="523" t="e">
        <f ca="1">stat(calculs!AQ98)</f>
        <v>#NAME?</v>
      </c>
      <c r="AT98" s="517"/>
      <c r="AV98" s="525" t="e">
        <f ca="1">stat(calculs!AV98)</f>
        <v>#NAME?</v>
      </c>
      <c r="AW98" s="525" t="e">
        <f ca="1">stat(calculs!AW98)</f>
        <v>#NAME?</v>
      </c>
      <c r="AX98" s="525" t="e">
        <f ca="1">stat(calculs!AX98)</f>
        <v>#NAME?</v>
      </c>
      <c r="AY98" s="525" t="e">
        <f ca="1">stat(calculs!AY98)</f>
        <v>#NAME?</v>
      </c>
      <c r="AZ98" s="525" t="e">
        <f ca="1">stat(calculs!AZ98)</f>
        <v>#NAME?</v>
      </c>
      <c r="BA98" s="525" t="e">
        <f ca="1">stat(calculs!BA98)</f>
        <v>#NAME?</v>
      </c>
      <c r="BB98" s="525" t="e">
        <f ca="1">stat(calculs!BB98)</f>
        <v>#NAME?</v>
      </c>
      <c r="BC98" s="525" t="e">
        <f ca="1">stat(calculs!BC98)</f>
        <v>#NAME?</v>
      </c>
      <c r="BD98" s="525" t="e">
        <f ca="1">stat(calculs!BD98)</f>
        <v>#NAME?</v>
      </c>
      <c r="BE98" s="525" t="e">
        <f ca="1">stat(calculs!BE98)</f>
        <v>#NAME?</v>
      </c>
      <c r="BF98" s="525" t="e">
        <f ca="1">stat(calculs!BF98)</f>
        <v>#NAME?</v>
      </c>
      <c r="BG98" s="729" t="e">
        <f ca="1">stat(calculs!BG98)</f>
        <v>#NAME?</v>
      </c>
      <c r="BH98" s="729" t="e">
        <f ca="1">stat(calculs!BH98)</f>
        <v>#NAME?</v>
      </c>
      <c r="BI98" s="729" t="e">
        <f ca="1">stat(calculs!BI98)</f>
        <v>#NAME?</v>
      </c>
      <c r="BJ98" s="729" t="e">
        <f ca="1">stat(calculs!BJ98)</f>
        <v>#NAME?</v>
      </c>
      <c r="BK98" s="729" t="e">
        <f ca="1">stat(calculs!BK98)</f>
        <v>#NAME?</v>
      </c>
      <c r="BL98" s="525" t="e">
        <f ca="1">stat(calculs!BL98)</f>
        <v>#NAME?</v>
      </c>
      <c r="BM98" s="525" t="e">
        <f ca="1">stat(calculs!BM98)</f>
        <v>#NAME?</v>
      </c>
      <c r="BN98" s="525" t="e">
        <f ca="1">stat(calculs!BN98)</f>
        <v>#NAME?</v>
      </c>
      <c r="BO98" s="525" t="e">
        <f ca="1">stat(calculs!BO98)</f>
        <v>#NAME?</v>
      </c>
      <c r="BP98" s="525" t="e">
        <f ca="1">stat(calculs!BP98)</f>
        <v>#NAME?</v>
      </c>
      <c r="BQ98" s="525" t="e">
        <f ca="1">stat(calculs!BQ98)</f>
        <v>#NAME?</v>
      </c>
      <c r="BR98" s="525" t="e">
        <f ca="1">stat(calculs!BR98)</f>
        <v>#NAME?</v>
      </c>
    </row>
    <row r="99" spans="1:70" x14ac:dyDescent="0.2">
      <c r="A99" s="222">
        <f>données_step[[#This Row],[Datum]]</f>
        <v>44650</v>
      </c>
      <c r="B99" s="223"/>
      <c r="C99" s="224">
        <f t="shared" si="1"/>
        <v>4</v>
      </c>
      <c r="D99" s="523" t="e">
        <f ca="1">stat(charge_entree[[#This Row],[ch_E_DBO5]])</f>
        <v>#NAME?</v>
      </c>
      <c r="E99" s="523" t="e">
        <f ca="1">stat(charge_entree[[#This Row],[ch_E_DCO]])</f>
        <v>#NAME?</v>
      </c>
      <c r="F99" s="523" t="e">
        <f ca="1">stat(charge_entree[[#This Row],[ch_E_COT]])</f>
        <v>#NAME?</v>
      </c>
      <c r="G99" s="523" t="e">
        <f ca="1">stat(charge_entree[[#This Row],[ch_E_NH4]])</f>
        <v>#NAME?</v>
      </c>
      <c r="H99" s="523" t="e">
        <f ca="1">stat(charge_entree[[#This Row],[ch_E_NTOT]])</f>
        <v>#NAME?</v>
      </c>
      <c r="I99" s="523" t="e">
        <f ca="1">stat(charge_entree[[#This Row],[ch_E_PTOT]])</f>
        <v>#NAME?</v>
      </c>
      <c r="J99" s="523" t="e">
        <f ca="1">stat(charge_entree[[#This Row],[ch_S_DBO]])</f>
        <v>#NAME?</v>
      </c>
      <c r="K99" s="523" t="e">
        <f ca="1">stat(charge_entree[[#This Row],[ch_S-DCO]])</f>
        <v>#NAME?</v>
      </c>
      <c r="L99" s="523" t="e">
        <f ca="1">stat(charge_entree[[#This Row],[ch_S_DOC]])</f>
        <v>#NAME?</v>
      </c>
      <c r="M99" s="523" t="e">
        <f ca="1">stat(charge_entree[[#This Row],[ch_S_NH4]])</f>
        <v>#NAME?</v>
      </c>
      <c r="N99" s="523" t="e">
        <f ca="1">stat(charge_entree[[#This Row],[ch_S_NO2]])</f>
        <v>#NAME?</v>
      </c>
      <c r="O99" s="523" t="e">
        <f ca="1">stat(charge_entree[[#This Row],[ch_S_NO3]])</f>
        <v>#NAME?</v>
      </c>
      <c r="P99" s="523" t="e">
        <f ca="1">stat(charge_entree[[#This Row],[ch_S_PTOT]])</f>
        <v>#NAME?</v>
      </c>
      <c r="Q99" s="523" t="e">
        <f ca="1">stat(charge_entree[[#This Row],[ch_S_SNDT]])</f>
        <v>#NAME?</v>
      </c>
      <c r="R99" s="523">
        <f>calculs!R99</f>
        <v>0</v>
      </c>
      <c r="S99" s="523" t="e">
        <f ca="1">stat(calculs!S99)</f>
        <v>#NAME?</v>
      </c>
      <c r="T99" s="523" t="e">
        <f ca="1">stat(calculs!T99)</f>
        <v>#NAME?</v>
      </c>
      <c r="U99" s="523" t="e">
        <f ca="1">stat(calculs!U99)</f>
        <v>#NAME?</v>
      </c>
      <c r="V99" s="523" t="e">
        <f ca="1">stat(calculs!V99)</f>
        <v>#NAME?</v>
      </c>
      <c r="W99" s="523" t="e">
        <f ca="1">stat(calculs!W99)</f>
        <v>#NAME?</v>
      </c>
      <c r="X99" s="523" t="e">
        <f ca="1">stat(calculs!X99)</f>
        <v>#NAME?</v>
      </c>
      <c r="Y99" s="523" t="e">
        <f ca="1">stat(calculs!Y99)</f>
        <v>#NAME?</v>
      </c>
      <c r="Z99" s="523" t="e">
        <f ca="1">stat(calculs!Z99)</f>
        <v>#NAME?</v>
      </c>
      <c r="AA99" s="523" t="e">
        <f ca="1">stat(calculs!AA99)</f>
        <v>#NAME?</v>
      </c>
      <c r="AB99" s="523" t="e">
        <f ca="1">stat(calculs!AB99)</f>
        <v>#NAME?</v>
      </c>
      <c r="AC99" s="523" t="e">
        <f ca="1">stat(calculs!AC99)</f>
        <v>#NAME?</v>
      </c>
      <c r="AD99" s="523" t="e">
        <f ca="1">stat(calculs!AD99)</f>
        <v>#NAME?</v>
      </c>
      <c r="AE99" s="523" t="e">
        <f ca="1">stat(calculs!AE99)</f>
        <v>#NAME?</v>
      </c>
      <c r="AF99" s="523" t="e">
        <f ca="1">stat(calculs!AF99)</f>
        <v>#NAME?</v>
      </c>
      <c r="AG99" s="523" t="e">
        <f ca="1">stat(calculs!AG99)</f>
        <v>#NAME?</v>
      </c>
      <c r="AH99" s="523" t="e">
        <f ca="1">stat(calculs!AH99)</f>
        <v>#NAME?</v>
      </c>
      <c r="AI99" s="523" t="e">
        <f ca="1">stat(calculs!AI99)</f>
        <v>#NAME?</v>
      </c>
      <c r="AJ99" s="523" t="e">
        <f ca="1">stat(calculs!AJ99)</f>
        <v>#NAME?</v>
      </c>
      <c r="AK99" s="523" t="e">
        <f ca="1">stat(calculs!AK99)</f>
        <v>#NAME?</v>
      </c>
      <c r="AL99" s="523" t="e">
        <f ca="1">stat(calculs!AL99)</f>
        <v>#NAME?</v>
      </c>
      <c r="AM99" s="523" t="e">
        <f ca="1">stat(calculs!AM99)</f>
        <v>#NAME?</v>
      </c>
      <c r="AN99" s="523" t="e">
        <f ca="1">stat(calculs!AN99)</f>
        <v>#NAME?</v>
      </c>
      <c r="AO99" s="523" t="e">
        <f ca="1">stat(calculs!AO99)</f>
        <v>#NAME?</v>
      </c>
      <c r="AP99" s="523" t="e">
        <f ca="1">stat(calculs!AP99)</f>
        <v>#NAME?</v>
      </c>
      <c r="AQ99" s="523" t="e">
        <f ca="1">stat(calculs!AQ99)</f>
        <v>#NAME?</v>
      </c>
      <c r="AT99" s="517"/>
      <c r="AV99" s="525" t="e">
        <f ca="1">stat(calculs!AV99)</f>
        <v>#NAME?</v>
      </c>
      <c r="AW99" s="525" t="e">
        <f ca="1">stat(calculs!AW99)</f>
        <v>#NAME?</v>
      </c>
      <c r="AX99" s="525" t="e">
        <f ca="1">stat(calculs!AX99)</f>
        <v>#NAME?</v>
      </c>
      <c r="AY99" s="525" t="e">
        <f ca="1">stat(calculs!AY99)</f>
        <v>#NAME?</v>
      </c>
      <c r="AZ99" s="525" t="e">
        <f ca="1">stat(calculs!AZ99)</f>
        <v>#NAME?</v>
      </c>
      <c r="BA99" s="525" t="e">
        <f ca="1">stat(calculs!BA99)</f>
        <v>#NAME?</v>
      </c>
      <c r="BB99" s="525" t="e">
        <f ca="1">stat(calculs!BB99)</f>
        <v>#NAME?</v>
      </c>
      <c r="BC99" s="525" t="e">
        <f ca="1">stat(calculs!BC99)</f>
        <v>#NAME?</v>
      </c>
      <c r="BD99" s="525" t="e">
        <f ca="1">stat(calculs!BD99)</f>
        <v>#NAME?</v>
      </c>
      <c r="BE99" s="525" t="e">
        <f ca="1">stat(calculs!BE99)</f>
        <v>#NAME?</v>
      </c>
      <c r="BF99" s="525" t="e">
        <f ca="1">stat(calculs!BF99)</f>
        <v>#NAME?</v>
      </c>
      <c r="BG99" s="729" t="e">
        <f ca="1">stat(calculs!BG99)</f>
        <v>#NAME?</v>
      </c>
      <c r="BH99" s="729" t="e">
        <f ca="1">stat(calculs!BH99)</f>
        <v>#NAME?</v>
      </c>
      <c r="BI99" s="729" t="e">
        <f ca="1">stat(calculs!BI99)</f>
        <v>#NAME?</v>
      </c>
      <c r="BJ99" s="729" t="e">
        <f ca="1">stat(calculs!BJ99)</f>
        <v>#NAME?</v>
      </c>
      <c r="BK99" s="729" t="e">
        <f ca="1">stat(calculs!BK99)</f>
        <v>#NAME?</v>
      </c>
      <c r="BL99" s="525" t="e">
        <f ca="1">stat(calculs!BL99)</f>
        <v>#NAME?</v>
      </c>
      <c r="BM99" s="525" t="e">
        <f ca="1">stat(calculs!BM99)</f>
        <v>#NAME?</v>
      </c>
      <c r="BN99" s="525" t="e">
        <f ca="1">stat(calculs!BN99)</f>
        <v>#NAME?</v>
      </c>
      <c r="BO99" s="525" t="e">
        <f ca="1">stat(calculs!BO99)</f>
        <v>#NAME?</v>
      </c>
      <c r="BP99" s="525" t="e">
        <f ca="1">stat(calculs!BP99)</f>
        <v>#NAME?</v>
      </c>
      <c r="BQ99" s="525" t="e">
        <f ca="1">stat(calculs!BQ99)</f>
        <v>#NAME?</v>
      </c>
      <c r="BR99" s="525" t="e">
        <f ca="1">stat(calculs!BR99)</f>
        <v>#NAME?</v>
      </c>
    </row>
    <row r="100" spans="1:70" x14ac:dyDescent="0.2">
      <c r="A100" s="222">
        <f>données_step[[#This Row],[Datum]]</f>
        <v>44651</v>
      </c>
      <c r="B100" s="223"/>
      <c r="C100" s="224">
        <f t="shared" si="1"/>
        <v>5</v>
      </c>
      <c r="D100" s="523" t="e">
        <f ca="1">stat(charge_entree[[#This Row],[ch_E_DBO5]])</f>
        <v>#NAME?</v>
      </c>
      <c r="E100" s="523" t="e">
        <f ca="1">stat(charge_entree[[#This Row],[ch_E_DCO]])</f>
        <v>#NAME?</v>
      </c>
      <c r="F100" s="523" t="e">
        <f ca="1">stat(charge_entree[[#This Row],[ch_E_COT]])</f>
        <v>#NAME?</v>
      </c>
      <c r="G100" s="523" t="e">
        <f ca="1">stat(charge_entree[[#This Row],[ch_E_NH4]])</f>
        <v>#NAME?</v>
      </c>
      <c r="H100" s="523" t="e">
        <f ca="1">stat(charge_entree[[#This Row],[ch_E_NTOT]])</f>
        <v>#NAME?</v>
      </c>
      <c r="I100" s="523" t="e">
        <f ca="1">stat(charge_entree[[#This Row],[ch_E_PTOT]])</f>
        <v>#NAME?</v>
      </c>
      <c r="J100" s="523" t="e">
        <f ca="1">stat(charge_entree[[#This Row],[ch_S_DBO]])</f>
        <v>#NAME?</v>
      </c>
      <c r="K100" s="523" t="e">
        <f ca="1">stat(charge_entree[[#This Row],[ch_S-DCO]])</f>
        <v>#NAME?</v>
      </c>
      <c r="L100" s="523" t="e">
        <f ca="1">stat(charge_entree[[#This Row],[ch_S_DOC]])</f>
        <v>#NAME?</v>
      </c>
      <c r="M100" s="523" t="e">
        <f ca="1">stat(charge_entree[[#This Row],[ch_S_NH4]])</f>
        <v>#NAME?</v>
      </c>
      <c r="N100" s="523" t="e">
        <f ca="1">stat(charge_entree[[#This Row],[ch_S_NO2]])</f>
        <v>#NAME?</v>
      </c>
      <c r="O100" s="523" t="e">
        <f ca="1">stat(charge_entree[[#This Row],[ch_S_NO3]])</f>
        <v>#NAME?</v>
      </c>
      <c r="P100" s="523" t="e">
        <f ca="1">stat(charge_entree[[#This Row],[ch_S_PTOT]])</f>
        <v>#NAME?</v>
      </c>
      <c r="Q100" s="523" t="e">
        <f ca="1">stat(charge_entree[[#This Row],[ch_S_SNDT]])</f>
        <v>#NAME?</v>
      </c>
      <c r="R100" s="523">
        <f>calculs!R100</f>
        <v>0</v>
      </c>
      <c r="S100" s="523" t="e">
        <f ca="1">stat(calculs!S100)</f>
        <v>#NAME?</v>
      </c>
      <c r="T100" s="523" t="e">
        <f ca="1">stat(calculs!T100)</f>
        <v>#NAME?</v>
      </c>
      <c r="U100" s="523" t="e">
        <f ca="1">stat(calculs!U100)</f>
        <v>#NAME?</v>
      </c>
      <c r="V100" s="523" t="e">
        <f ca="1">stat(calculs!V100)</f>
        <v>#NAME?</v>
      </c>
      <c r="W100" s="523" t="e">
        <f ca="1">stat(calculs!W100)</f>
        <v>#NAME?</v>
      </c>
      <c r="X100" s="523" t="e">
        <f ca="1">stat(calculs!X100)</f>
        <v>#NAME?</v>
      </c>
      <c r="Y100" s="523" t="e">
        <f ca="1">stat(calculs!Y100)</f>
        <v>#NAME?</v>
      </c>
      <c r="Z100" s="523" t="e">
        <f ca="1">stat(calculs!Z100)</f>
        <v>#NAME?</v>
      </c>
      <c r="AA100" s="523" t="e">
        <f ca="1">stat(calculs!AA100)</f>
        <v>#NAME?</v>
      </c>
      <c r="AB100" s="523" t="e">
        <f ca="1">stat(calculs!AB100)</f>
        <v>#NAME?</v>
      </c>
      <c r="AC100" s="523" t="e">
        <f ca="1">stat(calculs!AC100)</f>
        <v>#NAME?</v>
      </c>
      <c r="AD100" s="523" t="e">
        <f ca="1">stat(calculs!AD100)</f>
        <v>#NAME?</v>
      </c>
      <c r="AE100" s="523" t="e">
        <f ca="1">stat(calculs!AE100)</f>
        <v>#NAME?</v>
      </c>
      <c r="AF100" s="523" t="e">
        <f ca="1">stat(calculs!AF100)</f>
        <v>#NAME?</v>
      </c>
      <c r="AG100" s="523" t="e">
        <f ca="1">stat(calculs!AG100)</f>
        <v>#NAME?</v>
      </c>
      <c r="AH100" s="523" t="e">
        <f ca="1">stat(calculs!AH100)</f>
        <v>#NAME?</v>
      </c>
      <c r="AI100" s="523" t="e">
        <f ca="1">stat(calculs!AI100)</f>
        <v>#NAME?</v>
      </c>
      <c r="AJ100" s="523" t="e">
        <f ca="1">stat(calculs!AJ100)</f>
        <v>#NAME?</v>
      </c>
      <c r="AK100" s="523" t="e">
        <f ca="1">stat(calculs!AK100)</f>
        <v>#NAME?</v>
      </c>
      <c r="AL100" s="523" t="e">
        <f ca="1">stat(calculs!AL100)</f>
        <v>#NAME?</v>
      </c>
      <c r="AM100" s="523" t="e">
        <f ca="1">stat(calculs!AM100)</f>
        <v>#NAME?</v>
      </c>
      <c r="AN100" s="523" t="e">
        <f ca="1">stat(calculs!AN100)</f>
        <v>#NAME?</v>
      </c>
      <c r="AO100" s="523" t="e">
        <f ca="1">stat(calculs!AO100)</f>
        <v>#NAME?</v>
      </c>
      <c r="AP100" s="523" t="e">
        <f ca="1">stat(calculs!AP100)</f>
        <v>#NAME?</v>
      </c>
      <c r="AQ100" s="523" t="e">
        <f ca="1">stat(calculs!AQ100)</f>
        <v>#NAME?</v>
      </c>
      <c r="AT100" s="517"/>
      <c r="AV100" s="525" t="e">
        <f ca="1">stat(calculs!AV100)</f>
        <v>#NAME?</v>
      </c>
      <c r="AW100" s="525" t="e">
        <f ca="1">stat(calculs!AW100)</f>
        <v>#NAME?</v>
      </c>
      <c r="AX100" s="525" t="e">
        <f ca="1">stat(calculs!AX100)</f>
        <v>#NAME?</v>
      </c>
      <c r="AY100" s="525" t="e">
        <f ca="1">stat(calculs!AY100)</f>
        <v>#NAME?</v>
      </c>
      <c r="AZ100" s="525" t="e">
        <f ca="1">stat(calculs!AZ100)</f>
        <v>#NAME?</v>
      </c>
      <c r="BA100" s="525" t="e">
        <f ca="1">stat(calculs!BA100)</f>
        <v>#NAME?</v>
      </c>
      <c r="BB100" s="525" t="e">
        <f ca="1">stat(calculs!BB100)</f>
        <v>#NAME?</v>
      </c>
      <c r="BC100" s="525" t="e">
        <f ca="1">stat(calculs!BC100)</f>
        <v>#NAME?</v>
      </c>
      <c r="BD100" s="525" t="e">
        <f ca="1">stat(calculs!BD100)</f>
        <v>#NAME?</v>
      </c>
      <c r="BE100" s="525" t="e">
        <f ca="1">stat(calculs!BE100)</f>
        <v>#NAME?</v>
      </c>
      <c r="BF100" s="525" t="e">
        <f ca="1">stat(calculs!BF100)</f>
        <v>#NAME?</v>
      </c>
      <c r="BG100" s="729" t="e">
        <f ca="1">stat(calculs!BG100)</f>
        <v>#NAME?</v>
      </c>
      <c r="BH100" s="729" t="e">
        <f ca="1">stat(calculs!BH100)</f>
        <v>#NAME?</v>
      </c>
      <c r="BI100" s="729" t="e">
        <f ca="1">stat(calculs!BI100)</f>
        <v>#NAME?</v>
      </c>
      <c r="BJ100" s="729" t="e">
        <f ca="1">stat(calculs!BJ100)</f>
        <v>#NAME?</v>
      </c>
      <c r="BK100" s="729" t="e">
        <f ca="1">stat(calculs!BK100)</f>
        <v>#NAME?</v>
      </c>
      <c r="BL100" s="525" t="e">
        <f ca="1">stat(calculs!BL100)</f>
        <v>#NAME?</v>
      </c>
      <c r="BM100" s="525" t="e">
        <f ca="1">stat(calculs!BM100)</f>
        <v>#NAME?</v>
      </c>
      <c r="BN100" s="525" t="e">
        <f ca="1">stat(calculs!BN100)</f>
        <v>#NAME?</v>
      </c>
      <c r="BO100" s="525" t="e">
        <f ca="1">stat(calculs!BO100)</f>
        <v>#NAME?</v>
      </c>
      <c r="BP100" s="525" t="e">
        <f ca="1">stat(calculs!BP100)</f>
        <v>#NAME?</v>
      </c>
      <c r="BQ100" s="525" t="e">
        <f ca="1">stat(calculs!BQ100)</f>
        <v>#NAME?</v>
      </c>
      <c r="BR100" s="525" t="e">
        <f ca="1">stat(calculs!BR100)</f>
        <v>#NAME?</v>
      </c>
    </row>
    <row r="101" spans="1:70" x14ac:dyDescent="0.2">
      <c r="A101" s="222">
        <f>données_step[[#This Row],[Datum]]</f>
        <v>44652</v>
      </c>
      <c r="B101" s="223"/>
      <c r="C101" s="224">
        <f t="shared" si="1"/>
        <v>6</v>
      </c>
      <c r="D101" s="523" t="e">
        <f ca="1">stat(charge_entree[[#This Row],[ch_E_DBO5]])</f>
        <v>#NAME?</v>
      </c>
      <c r="E101" s="523" t="e">
        <f ca="1">stat(charge_entree[[#This Row],[ch_E_DCO]])</f>
        <v>#NAME?</v>
      </c>
      <c r="F101" s="523" t="e">
        <f ca="1">stat(charge_entree[[#This Row],[ch_E_COT]])</f>
        <v>#NAME?</v>
      </c>
      <c r="G101" s="523" t="e">
        <f ca="1">stat(charge_entree[[#This Row],[ch_E_NH4]])</f>
        <v>#NAME?</v>
      </c>
      <c r="H101" s="523" t="e">
        <f ca="1">stat(charge_entree[[#This Row],[ch_E_NTOT]])</f>
        <v>#NAME?</v>
      </c>
      <c r="I101" s="523" t="e">
        <f ca="1">stat(charge_entree[[#This Row],[ch_E_PTOT]])</f>
        <v>#NAME?</v>
      </c>
      <c r="J101" s="523" t="e">
        <f ca="1">stat(charge_entree[[#This Row],[ch_S_DBO]])</f>
        <v>#NAME?</v>
      </c>
      <c r="K101" s="523" t="e">
        <f ca="1">stat(charge_entree[[#This Row],[ch_S-DCO]])</f>
        <v>#NAME?</v>
      </c>
      <c r="L101" s="523" t="e">
        <f ca="1">stat(charge_entree[[#This Row],[ch_S_DOC]])</f>
        <v>#NAME?</v>
      </c>
      <c r="M101" s="523" t="e">
        <f ca="1">stat(charge_entree[[#This Row],[ch_S_NH4]])</f>
        <v>#NAME?</v>
      </c>
      <c r="N101" s="523" t="e">
        <f ca="1">stat(charge_entree[[#This Row],[ch_S_NO2]])</f>
        <v>#NAME?</v>
      </c>
      <c r="O101" s="523" t="e">
        <f ca="1">stat(charge_entree[[#This Row],[ch_S_NO3]])</f>
        <v>#NAME?</v>
      </c>
      <c r="P101" s="523" t="e">
        <f ca="1">stat(charge_entree[[#This Row],[ch_S_PTOT]])</f>
        <v>#NAME?</v>
      </c>
      <c r="Q101" s="523" t="e">
        <f ca="1">stat(charge_entree[[#This Row],[ch_S_SNDT]])</f>
        <v>#NAME?</v>
      </c>
      <c r="R101" s="523">
        <f>calculs!R101</f>
        <v>0</v>
      </c>
      <c r="S101" s="523" t="e">
        <f ca="1">stat(calculs!S101)</f>
        <v>#NAME?</v>
      </c>
      <c r="T101" s="523" t="e">
        <f ca="1">stat(calculs!T101)</f>
        <v>#NAME?</v>
      </c>
      <c r="U101" s="523" t="e">
        <f ca="1">stat(calculs!U101)</f>
        <v>#NAME?</v>
      </c>
      <c r="V101" s="523" t="e">
        <f ca="1">stat(calculs!V101)</f>
        <v>#NAME?</v>
      </c>
      <c r="W101" s="523" t="e">
        <f ca="1">stat(calculs!W101)</f>
        <v>#NAME?</v>
      </c>
      <c r="X101" s="523" t="e">
        <f ca="1">stat(calculs!X101)</f>
        <v>#NAME?</v>
      </c>
      <c r="Y101" s="523" t="e">
        <f ca="1">stat(calculs!Y101)</f>
        <v>#NAME?</v>
      </c>
      <c r="Z101" s="523" t="e">
        <f ca="1">stat(calculs!Z101)</f>
        <v>#NAME?</v>
      </c>
      <c r="AA101" s="523" t="e">
        <f ca="1">stat(calculs!AA101)</f>
        <v>#NAME?</v>
      </c>
      <c r="AB101" s="523" t="e">
        <f ca="1">stat(calculs!AB101)</f>
        <v>#NAME?</v>
      </c>
      <c r="AC101" s="523" t="e">
        <f ca="1">stat(calculs!AC101)</f>
        <v>#NAME?</v>
      </c>
      <c r="AD101" s="523" t="e">
        <f ca="1">stat(calculs!AD101)</f>
        <v>#NAME?</v>
      </c>
      <c r="AE101" s="523" t="e">
        <f ca="1">stat(calculs!AE101)</f>
        <v>#NAME?</v>
      </c>
      <c r="AF101" s="523" t="e">
        <f ca="1">stat(calculs!AF101)</f>
        <v>#NAME?</v>
      </c>
      <c r="AG101" s="523" t="e">
        <f ca="1">stat(calculs!AG101)</f>
        <v>#NAME?</v>
      </c>
      <c r="AH101" s="523" t="e">
        <f ca="1">stat(calculs!AH101)</f>
        <v>#NAME?</v>
      </c>
      <c r="AI101" s="523" t="e">
        <f ca="1">stat(calculs!AI101)</f>
        <v>#NAME?</v>
      </c>
      <c r="AJ101" s="523" t="e">
        <f ca="1">stat(calculs!AJ101)</f>
        <v>#NAME?</v>
      </c>
      <c r="AK101" s="523" t="e">
        <f ca="1">stat(calculs!AK101)</f>
        <v>#NAME?</v>
      </c>
      <c r="AL101" s="523" t="e">
        <f ca="1">stat(calculs!AL101)</f>
        <v>#NAME?</v>
      </c>
      <c r="AM101" s="523" t="e">
        <f ca="1">stat(calculs!AM101)</f>
        <v>#NAME?</v>
      </c>
      <c r="AN101" s="523" t="e">
        <f ca="1">stat(calculs!AN101)</f>
        <v>#NAME?</v>
      </c>
      <c r="AO101" s="523" t="e">
        <f ca="1">stat(calculs!AO101)</f>
        <v>#NAME?</v>
      </c>
      <c r="AP101" s="523" t="e">
        <f ca="1">stat(calculs!AP101)</f>
        <v>#NAME?</v>
      </c>
      <c r="AQ101" s="523" t="e">
        <f ca="1">stat(calculs!AQ101)</f>
        <v>#NAME?</v>
      </c>
      <c r="AT101" s="517"/>
      <c r="AV101" s="525" t="e">
        <f ca="1">stat(calculs!AV101)</f>
        <v>#NAME?</v>
      </c>
      <c r="AW101" s="525" t="e">
        <f ca="1">stat(calculs!AW101)</f>
        <v>#NAME?</v>
      </c>
      <c r="AX101" s="525" t="e">
        <f ca="1">stat(calculs!AX101)</f>
        <v>#NAME?</v>
      </c>
      <c r="AY101" s="525" t="e">
        <f ca="1">stat(calculs!AY101)</f>
        <v>#NAME?</v>
      </c>
      <c r="AZ101" s="525" t="e">
        <f ca="1">stat(calculs!AZ101)</f>
        <v>#NAME?</v>
      </c>
      <c r="BA101" s="525" t="e">
        <f ca="1">stat(calculs!BA101)</f>
        <v>#NAME?</v>
      </c>
      <c r="BB101" s="525" t="e">
        <f ca="1">stat(calculs!BB101)</f>
        <v>#NAME?</v>
      </c>
      <c r="BC101" s="525" t="e">
        <f ca="1">stat(calculs!BC101)</f>
        <v>#NAME?</v>
      </c>
      <c r="BD101" s="525" t="e">
        <f ca="1">stat(calculs!BD101)</f>
        <v>#NAME?</v>
      </c>
      <c r="BE101" s="525" t="e">
        <f ca="1">stat(calculs!BE101)</f>
        <v>#NAME?</v>
      </c>
      <c r="BF101" s="525" t="e">
        <f ca="1">stat(calculs!BF101)</f>
        <v>#NAME?</v>
      </c>
      <c r="BG101" s="729" t="e">
        <f ca="1">stat(calculs!BG101)</f>
        <v>#NAME?</v>
      </c>
      <c r="BH101" s="729" t="e">
        <f ca="1">stat(calculs!BH101)</f>
        <v>#NAME?</v>
      </c>
      <c r="BI101" s="729" t="e">
        <f ca="1">stat(calculs!BI101)</f>
        <v>#NAME?</v>
      </c>
      <c r="BJ101" s="729" t="e">
        <f ca="1">stat(calculs!BJ101)</f>
        <v>#NAME?</v>
      </c>
      <c r="BK101" s="729" t="e">
        <f ca="1">stat(calculs!BK101)</f>
        <v>#NAME?</v>
      </c>
      <c r="BL101" s="525" t="e">
        <f ca="1">stat(calculs!BL101)</f>
        <v>#NAME?</v>
      </c>
      <c r="BM101" s="525" t="e">
        <f ca="1">stat(calculs!BM101)</f>
        <v>#NAME?</v>
      </c>
      <c r="BN101" s="525" t="e">
        <f ca="1">stat(calculs!BN101)</f>
        <v>#NAME?</v>
      </c>
      <c r="BO101" s="525" t="e">
        <f ca="1">stat(calculs!BO101)</f>
        <v>#NAME?</v>
      </c>
      <c r="BP101" s="525" t="e">
        <f ca="1">stat(calculs!BP101)</f>
        <v>#NAME?</v>
      </c>
      <c r="BQ101" s="525" t="e">
        <f ca="1">stat(calculs!BQ101)</f>
        <v>#NAME?</v>
      </c>
      <c r="BR101" s="525" t="e">
        <f ca="1">stat(calculs!BR101)</f>
        <v>#NAME?</v>
      </c>
    </row>
    <row r="102" spans="1:70" x14ac:dyDescent="0.2">
      <c r="A102" s="222">
        <f>données_step[[#This Row],[Datum]]</f>
        <v>44653</v>
      </c>
      <c r="B102" s="223"/>
      <c r="C102" s="224">
        <f t="shared" si="1"/>
        <v>7</v>
      </c>
      <c r="D102" s="523" t="e">
        <f ca="1">stat(charge_entree[[#This Row],[ch_E_DBO5]])</f>
        <v>#NAME?</v>
      </c>
      <c r="E102" s="523" t="e">
        <f ca="1">stat(charge_entree[[#This Row],[ch_E_DCO]])</f>
        <v>#NAME?</v>
      </c>
      <c r="F102" s="523" t="e">
        <f ca="1">stat(charge_entree[[#This Row],[ch_E_COT]])</f>
        <v>#NAME?</v>
      </c>
      <c r="G102" s="523" t="e">
        <f ca="1">stat(charge_entree[[#This Row],[ch_E_NH4]])</f>
        <v>#NAME?</v>
      </c>
      <c r="H102" s="523" t="e">
        <f ca="1">stat(charge_entree[[#This Row],[ch_E_NTOT]])</f>
        <v>#NAME?</v>
      </c>
      <c r="I102" s="523" t="e">
        <f ca="1">stat(charge_entree[[#This Row],[ch_E_PTOT]])</f>
        <v>#NAME?</v>
      </c>
      <c r="J102" s="523" t="e">
        <f ca="1">stat(charge_entree[[#This Row],[ch_S_DBO]])</f>
        <v>#NAME?</v>
      </c>
      <c r="K102" s="523" t="e">
        <f ca="1">stat(charge_entree[[#This Row],[ch_S-DCO]])</f>
        <v>#NAME?</v>
      </c>
      <c r="L102" s="523" t="e">
        <f ca="1">stat(charge_entree[[#This Row],[ch_S_DOC]])</f>
        <v>#NAME?</v>
      </c>
      <c r="M102" s="523" t="e">
        <f ca="1">stat(charge_entree[[#This Row],[ch_S_NH4]])</f>
        <v>#NAME?</v>
      </c>
      <c r="N102" s="523" t="e">
        <f ca="1">stat(charge_entree[[#This Row],[ch_S_NO2]])</f>
        <v>#NAME?</v>
      </c>
      <c r="O102" s="523" t="e">
        <f ca="1">stat(charge_entree[[#This Row],[ch_S_NO3]])</f>
        <v>#NAME?</v>
      </c>
      <c r="P102" s="523" t="e">
        <f ca="1">stat(charge_entree[[#This Row],[ch_S_PTOT]])</f>
        <v>#NAME?</v>
      </c>
      <c r="Q102" s="523" t="e">
        <f ca="1">stat(charge_entree[[#This Row],[ch_S_SNDT]])</f>
        <v>#NAME?</v>
      </c>
      <c r="R102" s="523">
        <f>calculs!R102</f>
        <v>0</v>
      </c>
      <c r="S102" s="523" t="e">
        <f ca="1">stat(calculs!S102)</f>
        <v>#NAME?</v>
      </c>
      <c r="T102" s="523" t="e">
        <f ca="1">stat(calculs!T102)</f>
        <v>#NAME?</v>
      </c>
      <c r="U102" s="523" t="e">
        <f ca="1">stat(calculs!U102)</f>
        <v>#NAME?</v>
      </c>
      <c r="V102" s="523" t="e">
        <f ca="1">stat(calculs!V102)</f>
        <v>#NAME?</v>
      </c>
      <c r="W102" s="523" t="e">
        <f ca="1">stat(calculs!W102)</f>
        <v>#NAME?</v>
      </c>
      <c r="X102" s="523" t="e">
        <f ca="1">stat(calculs!X102)</f>
        <v>#NAME?</v>
      </c>
      <c r="Y102" s="523" t="e">
        <f ca="1">stat(calculs!Y102)</f>
        <v>#NAME?</v>
      </c>
      <c r="Z102" s="523" t="e">
        <f ca="1">stat(calculs!Z102)</f>
        <v>#NAME?</v>
      </c>
      <c r="AA102" s="523" t="e">
        <f ca="1">stat(calculs!AA102)</f>
        <v>#NAME?</v>
      </c>
      <c r="AB102" s="523" t="e">
        <f ca="1">stat(calculs!AB102)</f>
        <v>#NAME?</v>
      </c>
      <c r="AC102" s="523" t="e">
        <f ca="1">stat(calculs!AC102)</f>
        <v>#NAME?</v>
      </c>
      <c r="AD102" s="523" t="e">
        <f ca="1">stat(calculs!AD102)</f>
        <v>#NAME?</v>
      </c>
      <c r="AE102" s="523" t="e">
        <f ca="1">stat(calculs!AE102)</f>
        <v>#NAME?</v>
      </c>
      <c r="AF102" s="523" t="e">
        <f ca="1">stat(calculs!AF102)</f>
        <v>#NAME?</v>
      </c>
      <c r="AG102" s="523" t="e">
        <f ca="1">stat(calculs!AG102)</f>
        <v>#NAME?</v>
      </c>
      <c r="AH102" s="523" t="e">
        <f ca="1">stat(calculs!AH102)</f>
        <v>#NAME?</v>
      </c>
      <c r="AI102" s="523" t="e">
        <f ca="1">stat(calculs!AI102)</f>
        <v>#NAME?</v>
      </c>
      <c r="AJ102" s="523" t="e">
        <f ca="1">stat(calculs!AJ102)</f>
        <v>#NAME?</v>
      </c>
      <c r="AK102" s="523" t="e">
        <f ca="1">stat(calculs!AK102)</f>
        <v>#NAME?</v>
      </c>
      <c r="AL102" s="523" t="e">
        <f ca="1">stat(calculs!AL102)</f>
        <v>#NAME?</v>
      </c>
      <c r="AM102" s="523" t="e">
        <f ca="1">stat(calculs!AM102)</f>
        <v>#NAME?</v>
      </c>
      <c r="AN102" s="523" t="e">
        <f ca="1">stat(calculs!AN102)</f>
        <v>#NAME?</v>
      </c>
      <c r="AO102" s="523" t="e">
        <f ca="1">stat(calculs!AO102)</f>
        <v>#NAME?</v>
      </c>
      <c r="AP102" s="523" t="e">
        <f ca="1">stat(calculs!AP102)</f>
        <v>#NAME?</v>
      </c>
      <c r="AQ102" s="523" t="e">
        <f ca="1">stat(calculs!AQ102)</f>
        <v>#NAME?</v>
      </c>
      <c r="AT102" s="517"/>
      <c r="AV102" s="525" t="e">
        <f ca="1">stat(calculs!AV102)</f>
        <v>#NAME?</v>
      </c>
      <c r="AW102" s="525" t="e">
        <f ca="1">stat(calculs!AW102)</f>
        <v>#NAME?</v>
      </c>
      <c r="AX102" s="525" t="e">
        <f ca="1">stat(calculs!AX102)</f>
        <v>#NAME?</v>
      </c>
      <c r="AY102" s="525" t="e">
        <f ca="1">stat(calculs!AY102)</f>
        <v>#NAME?</v>
      </c>
      <c r="AZ102" s="525" t="e">
        <f ca="1">stat(calculs!AZ102)</f>
        <v>#NAME?</v>
      </c>
      <c r="BA102" s="525" t="e">
        <f ca="1">stat(calculs!BA102)</f>
        <v>#NAME?</v>
      </c>
      <c r="BB102" s="525" t="e">
        <f ca="1">stat(calculs!BB102)</f>
        <v>#NAME?</v>
      </c>
      <c r="BC102" s="525" t="e">
        <f ca="1">stat(calculs!BC102)</f>
        <v>#NAME?</v>
      </c>
      <c r="BD102" s="525" t="e">
        <f ca="1">stat(calculs!BD102)</f>
        <v>#NAME?</v>
      </c>
      <c r="BE102" s="525" t="e">
        <f ca="1">stat(calculs!BE102)</f>
        <v>#NAME?</v>
      </c>
      <c r="BF102" s="525" t="e">
        <f ca="1">stat(calculs!BF102)</f>
        <v>#NAME?</v>
      </c>
      <c r="BG102" s="729" t="e">
        <f ca="1">stat(calculs!BG102)</f>
        <v>#NAME?</v>
      </c>
      <c r="BH102" s="729" t="e">
        <f ca="1">stat(calculs!BH102)</f>
        <v>#NAME?</v>
      </c>
      <c r="BI102" s="729" t="e">
        <f ca="1">stat(calculs!BI102)</f>
        <v>#NAME?</v>
      </c>
      <c r="BJ102" s="729" t="e">
        <f ca="1">stat(calculs!BJ102)</f>
        <v>#NAME?</v>
      </c>
      <c r="BK102" s="729" t="e">
        <f ca="1">stat(calculs!BK102)</f>
        <v>#NAME?</v>
      </c>
      <c r="BL102" s="525" t="e">
        <f ca="1">stat(calculs!BL102)</f>
        <v>#NAME?</v>
      </c>
      <c r="BM102" s="525" t="e">
        <f ca="1">stat(calculs!BM102)</f>
        <v>#NAME?</v>
      </c>
      <c r="BN102" s="525" t="e">
        <f ca="1">stat(calculs!BN102)</f>
        <v>#NAME?</v>
      </c>
      <c r="BO102" s="525" t="e">
        <f ca="1">stat(calculs!BO102)</f>
        <v>#NAME?</v>
      </c>
      <c r="BP102" s="525" t="e">
        <f ca="1">stat(calculs!BP102)</f>
        <v>#NAME?</v>
      </c>
      <c r="BQ102" s="525" t="e">
        <f ca="1">stat(calculs!BQ102)</f>
        <v>#NAME?</v>
      </c>
      <c r="BR102" s="525" t="e">
        <f ca="1">stat(calculs!BR102)</f>
        <v>#NAME?</v>
      </c>
    </row>
    <row r="103" spans="1:70" x14ac:dyDescent="0.2">
      <c r="A103" s="222">
        <f>données_step[[#This Row],[Datum]]</f>
        <v>44654</v>
      </c>
      <c r="B103" s="223"/>
      <c r="C103" s="224">
        <f t="shared" si="1"/>
        <v>1</v>
      </c>
      <c r="D103" s="523" t="e">
        <f ca="1">stat(charge_entree[[#This Row],[ch_E_DBO5]])</f>
        <v>#NAME?</v>
      </c>
      <c r="E103" s="523" t="e">
        <f ca="1">stat(charge_entree[[#This Row],[ch_E_DCO]])</f>
        <v>#NAME?</v>
      </c>
      <c r="F103" s="523" t="e">
        <f ca="1">stat(charge_entree[[#This Row],[ch_E_COT]])</f>
        <v>#NAME?</v>
      </c>
      <c r="G103" s="523" t="e">
        <f ca="1">stat(charge_entree[[#This Row],[ch_E_NH4]])</f>
        <v>#NAME?</v>
      </c>
      <c r="H103" s="523" t="e">
        <f ca="1">stat(charge_entree[[#This Row],[ch_E_NTOT]])</f>
        <v>#NAME?</v>
      </c>
      <c r="I103" s="523" t="e">
        <f ca="1">stat(charge_entree[[#This Row],[ch_E_PTOT]])</f>
        <v>#NAME?</v>
      </c>
      <c r="J103" s="523" t="e">
        <f ca="1">stat(charge_entree[[#This Row],[ch_S_DBO]])</f>
        <v>#NAME?</v>
      </c>
      <c r="K103" s="523" t="e">
        <f ca="1">stat(charge_entree[[#This Row],[ch_S-DCO]])</f>
        <v>#NAME?</v>
      </c>
      <c r="L103" s="523" t="e">
        <f ca="1">stat(charge_entree[[#This Row],[ch_S_DOC]])</f>
        <v>#NAME?</v>
      </c>
      <c r="M103" s="523" t="e">
        <f ca="1">stat(charge_entree[[#This Row],[ch_S_NH4]])</f>
        <v>#NAME?</v>
      </c>
      <c r="N103" s="523" t="e">
        <f ca="1">stat(charge_entree[[#This Row],[ch_S_NO2]])</f>
        <v>#NAME?</v>
      </c>
      <c r="O103" s="523" t="e">
        <f ca="1">stat(charge_entree[[#This Row],[ch_S_NO3]])</f>
        <v>#NAME?</v>
      </c>
      <c r="P103" s="523" t="e">
        <f ca="1">stat(charge_entree[[#This Row],[ch_S_PTOT]])</f>
        <v>#NAME?</v>
      </c>
      <c r="Q103" s="523" t="e">
        <f ca="1">stat(charge_entree[[#This Row],[ch_S_SNDT]])</f>
        <v>#NAME?</v>
      </c>
      <c r="R103" s="523">
        <f>calculs!R103</f>
        <v>0</v>
      </c>
      <c r="S103" s="523" t="e">
        <f ca="1">stat(calculs!S103)</f>
        <v>#NAME?</v>
      </c>
      <c r="T103" s="523" t="e">
        <f ca="1">stat(calculs!T103)</f>
        <v>#NAME?</v>
      </c>
      <c r="U103" s="523" t="e">
        <f ca="1">stat(calculs!U103)</f>
        <v>#NAME?</v>
      </c>
      <c r="V103" s="523" t="e">
        <f ca="1">stat(calculs!V103)</f>
        <v>#NAME?</v>
      </c>
      <c r="W103" s="523" t="e">
        <f ca="1">stat(calculs!W103)</f>
        <v>#NAME?</v>
      </c>
      <c r="X103" s="523" t="e">
        <f ca="1">stat(calculs!X103)</f>
        <v>#NAME?</v>
      </c>
      <c r="Y103" s="523" t="e">
        <f ca="1">stat(calculs!Y103)</f>
        <v>#NAME?</v>
      </c>
      <c r="Z103" s="523" t="e">
        <f ca="1">stat(calculs!Z103)</f>
        <v>#NAME?</v>
      </c>
      <c r="AA103" s="523" t="e">
        <f ca="1">stat(calculs!AA103)</f>
        <v>#NAME?</v>
      </c>
      <c r="AB103" s="523" t="e">
        <f ca="1">stat(calculs!AB103)</f>
        <v>#NAME?</v>
      </c>
      <c r="AC103" s="523" t="e">
        <f ca="1">stat(calculs!AC103)</f>
        <v>#NAME?</v>
      </c>
      <c r="AD103" s="523" t="e">
        <f ca="1">stat(calculs!AD103)</f>
        <v>#NAME?</v>
      </c>
      <c r="AE103" s="523" t="e">
        <f ca="1">stat(calculs!AE103)</f>
        <v>#NAME?</v>
      </c>
      <c r="AF103" s="523" t="e">
        <f ca="1">stat(calculs!AF103)</f>
        <v>#NAME?</v>
      </c>
      <c r="AG103" s="523" t="e">
        <f ca="1">stat(calculs!AG103)</f>
        <v>#NAME?</v>
      </c>
      <c r="AH103" s="523" t="e">
        <f ca="1">stat(calculs!AH103)</f>
        <v>#NAME?</v>
      </c>
      <c r="AI103" s="523" t="e">
        <f ca="1">stat(calculs!AI103)</f>
        <v>#NAME?</v>
      </c>
      <c r="AJ103" s="523" t="e">
        <f ca="1">stat(calculs!AJ103)</f>
        <v>#NAME?</v>
      </c>
      <c r="AK103" s="523" t="e">
        <f ca="1">stat(calculs!AK103)</f>
        <v>#NAME?</v>
      </c>
      <c r="AL103" s="523" t="e">
        <f ca="1">stat(calculs!AL103)</f>
        <v>#NAME?</v>
      </c>
      <c r="AM103" s="523" t="e">
        <f ca="1">stat(calculs!AM103)</f>
        <v>#NAME?</v>
      </c>
      <c r="AN103" s="523" t="e">
        <f ca="1">stat(calculs!AN103)</f>
        <v>#NAME?</v>
      </c>
      <c r="AO103" s="523" t="e">
        <f ca="1">stat(calculs!AO103)</f>
        <v>#NAME?</v>
      </c>
      <c r="AP103" s="523" t="e">
        <f ca="1">stat(calculs!AP103)</f>
        <v>#NAME?</v>
      </c>
      <c r="AQ103" s="523" t="e">
        <f ca="1">stat(calculs!AQ103)</f>
        <v>#NAME?</v>
      </c>
      <c r="AT103" s="517"/>
      <c r="AV103" s="525" t="e">
        <f ca="1">stat(calculs!AV103)</f>
        <v>#NAME?</v>
      </c>
      <c r="AW103" s="525" t="e">
        <f ca="1">stat(calculs!AW103)</f>
        <v>#NAME?</v>
      </c>
      <c r="AX103" s="525" t="e">
        <f ca="1">stat(calculs!AX103)</f>
        <v>#NAME?</v>
      </c>
      <c r="AY103" s="525" t="e">
        <f ca="1">stat(calculs!AY103)</f>
        <v>#NAME?</v>
      </c>
      <c r="AZ103" s="525" t="e">
        <f ca="1">stat(calculs!AZ103)</f>
        <v>#NAME?</v>
      </c>
      <c r="BA103" s="525" t="e">
        <f ca="1">stat(calculs!BA103)</f>
        <v>#NAME?</v>
      </c>
      <c r="BB103" s="525" t="e">
        <f ca="1">stat(calculs!BB103)</f>
        <v>#NAME?</v>
      </c>
      <c r="BC103" s="525" t="e">
        <f ca="1">stat(calculs!BC103)</f>
        <v>#NAME?</v>
      </c>
      <c r="BD103" s="525" t="e">
        <f ca="1">stat(calculs!BD103)</f>
        <v>#NAME?</v>
      </c>
      <c r="BE103" s="525" t="e">
        <f ca="1">stat(calculs!BE103)</f>
        <v>#NAME?</v>
      </c>
      <c r="BF103" s="525" t="e">
        <f ca="1">stat(calculs!BF103)</f>
        <v>#NAME?</v>
      </c>
      <c r="BG103" s="729" t="e">
        <f ca="1">stat(calculs!BG103)</f>
        <v>#NAME?</v>
      </c>
      <c r="BH103" s="729" t="e">
        <f ca="1">stat(calculs!BH103)</f>
        <v>#NAME?</v>
      </c>
      <c r="BI103" s="729" t="e">
        <f ca="1">stat(calculs!BI103)</f>
        <v>#NAME?</v>
      </c>
      <c r="BJ103" s="729" t="e">
        <f ca="1">stat(calculs!BJ103)</f>
        <v>#NAME?</v>
      </c>
      <c r="BK103" s="729" t="e">
        <f ca="1">stat(calculs!BK103)</f>
        <v>#NAME?</v>
      </c>
      <c r="BL103" s="525" t="e">
        <f ca="1">stat(calculs!BL103)</f>
        <v>#NAME?</v>
      </c>
      <c r="BM103" s="525" t="e">
        <f ca="1">stat(calculs!BM103)</f>
        <v>#NAME?</v>
      </c>
      <c r="BN103" s="525" t="e">
        <f ca="1">stat(calculs!BN103)</f>
        <v>#NAME?</v>
      </c>
      <c r="BO103" s="525" t="e">
        <f ca="1">stat(calculs!BO103)</f>
        <v>#NAME?</v>
      </c>
      <c r="BP103" s="525" t="e">
        <f ca="1">stat(calculs!BP103)</f>
        <v>#NAME?</v>
      </c>
      <c r="BQ103" s="525" t="e">
        <f ca="1">stat(calculs!BQ103)</f>
        <v>#NAME?</v>
      </c>
      <c r="BR103" s="525" t="e">
        <f ca="1">stat(calculs!BR103)</f>
        <v>#NAME?</v>
      </c>
    </row>
    <row r="104" spans="1:70" x14ac:dyDescent="0.2">
      <c r="A104" s="222">
        <f>données_step[[#This Row],[Datum]]</f>
        <v>44655</v>
      </c>
      <c r="B104" s="223"/>
      <c r="C104" s="224">
        <f t="shared" si="1"/>
        <v>2</v>
      </c>
      <c r="D104" s="523" t="e">
        <f ca="1">stat(charge_entree[[#This Row],[ch_E_DBO5]])</f>
        <v>#NAME?</v>
      </c>
      <c r="E104" s="523" t="e">
        <f ca="1">stat(charge_entree[[#This Row],[ch_E_DCO]])</f>
        <v>#NAME?</v>
      </c>
      <c r="F104" s="523" t="e">
        <f ca="1">stat(charge_entree[[#This Row],[ch_E_COT]])</f>
        <v>#NAME?</v>
      </c>
      <c r="G104" s="523" t="e">
        <f ca="1">stat(charge_entree[[#This Row],[ch_E_NH4]])</f>
        <v>#NAME?</v>
      </c>
      <c r="H104" s="523" t="e">
        <f ca="1">stat(charge_entree[[#This Row],[ch_E_NTOT]])</f>
        <v>#NAME?</v>
      </c>
      <c r="I104" s="523" t="e">
        <f ca="1">stat(charge_entree[[#This Row],[ch_E_PTOT]])</f>
        <v>#NAME?</v>
      </c>
      <c r="J104" s="523" t="e">
        <f ca="1">stat(charge_entree[[#This Row],[ch_S_DBO]])</f>
        <v>#NAME?</v>
      </c>
      <c r="K104" s="523" t="e">
        <f ca="1">stat(charge_entree[[#This Row],[ch_S-DCO]])</f>
        <v>#NAME?</v>
      </c>
      <c r="L104" s="523" t="e">
        <f ca="1">stat(charge_entree[[#This Row],[ch_S_DOC]])</f>
        <v>#NAME?</v>
      </c>
      <c r="M104" s="523" t="e">
        <f ca="1">stat(charge_entree[[#This Row],[ch_S_NH4]])</f>
        <v>#NAME?</v>
      </c>
      <c r="N104" s="523" t="e">
        <f ca="1">stat(charge_entree[[#This Row],[ch_S_NO2]])</f>
        <v>#NAME?</v>
      </c>
      <c r="O104" s="523" t="e">
        <f ca="1">stat(charge_entree[[#This Row],[ch_S_NO3]])</f>
        <v>#NAME?</v>
      </c>
      <c r="P104" s="523" t="e">
        <f ca="1">stat(charge_entree[[#This Row],[ch_S_PTOT]])</f>
        <v>#NAME?</v>
      </c>
      <c r="Q104" s="523" t="e">
        <f ca="1">stat(charge_entree[[#This Row],[ch_S_SNDT]])</f>
        <v>#NAME?</v>
      </c>
      <c r="R104" s="523">
        <f>calculs!R104</f>
        <v>0</v>
      </c>
      <c r="S104" s="523" t="e">
        <f ca="1">stat(calculs!S104)</f>
        <v>#NAME?</v>
      </c>
      <c r="T104" s="523" t="e">
        <f ca="1">stat(calculs!T104)</f>
        <v>#NAME?</v>
      </c>
      <c r="U104" s="523" t="e">
        <f ca="1">stat(calculs!U104)</f>
        <v>#NAME?</v>
      </c>
      <c r="V104" s="523" t="e">
        <f ca="1">stat(calculs!V104)</f>
        <v>#NAME?</v>
      </c>
      <c r="W104" s="523" t="e">
        <f ca="1">stat(calculs!W104)</f>
        <v>#NAME?</v>
      </c>
      <c r="X104" s="523" t="e">
        <f ca="1">stat(calculs!X104)</f>
        <v>#NAME?</v>
      </c>
      <c r="Y104" s="523" t="e">
        <f ca="1">stat(calculs!Y104)</f>
        <v>#NAME?</v>
      </c>
      <c r="Z104" s="523" t="e">
        <f ca="1">stat(calculs!Z104)</f>
        <v>#NAME?</v>
      </c>
      <c r="AA104" s="523" t="e">
        <f ca="1">stat(calculs!AA104)</f>
        <v>#NAME?</v>
      </c>
      <c r="AB104" s="523" t="e">
        <f ca="1">stat(calculs!AB104)</f>
        <v>#NAME?</v>
      </c>
      <c r="AC104" s="523" t="e">
        <f ca="1">stat(calculs!AC104)</f>
        <v>#NAME?</v>
      </c>
      <c r="AD104" s="523" t="e">
        <f ca="1">stat(calculs!AD104)</f>
        <v>#NAME?</v>
      </c>
      <c r="AE104" s="523" t="e">
        <f ca="1">stat(calculs!AE104)</f>
        <v>#NAME?</v>
      </c>
      <c r="AF104" s="523" t="e">
        <f ca="1">stat(calculs!AF104)</f>
        <v>#NAME?</v>
      </c>
      <c r="AG104" s="523" t="e">
        <f ca="1">stat(calculs!AG104)</f>
        <v>#NAME?</v>
      </c>
      <c r="AH104" s="523" t="e">
        <f ca="1">stat(calculs!AH104)</f>
        <v>#NAME?</v>
      </c>
      <c r="AI104" s="523" t="e">
        <f ca="1">stat(calculs!AI104)</f>
        <v>#NAME?</v>
      </c>
      <c r="AJ104" s="523" t="e">
        <f ca="1">stat(calculs!AJ104)</f>
        <v>#NAME?</v>
      </c>
      <c r="AK104" s="523" t="e">
        <f ca="1">stat(calculs!AK104)</f>
        <v>#NAME?</v>
      </c>
      <c r="AL104" s="523" t="e">
        <f ca="1">stat(calculs!AL104)</f>
        <v>#NAME?</v>
      </c>
      <c r="AM104" s="523" t="e">
        <f ca="1">stat(calculs!AM104)</f>
        <v>#NAME?</v>
      </c>
      <c r="AN104" s="523" t="e">
        <f ca="1">stat(calculs!AN104)</f>
        <v>#NAME?</v>
      </c>
      <c r="AO104" s="523" t="e">
        <f ca="1">stat(calculs!AO104)</f>
        <v>#NAME?</v>
      </c>
      <c r="AP104" s="523" t="e">
        <f ca="1">stat(calculs!AP104)</f>
        <v>#NAME?</v>
      </c>
      <c r="AQ104" s="523" t="e">
        <f ca="1">stat(calculs!AQ104)</f>
        <v>#NAME?</v>
      </c>
      <c r="AT104" s="517"/>
      <c r="AV104" s="525" t="e">
        <f ca="1">stat(calculs!AV104)</f>
        <v>#NAME?</v>
      </c>
      <c r="AW104" s="525" t="e">
        <f ca="1">stat(calculs!AW104)</f>
        <v>#NAME?</v>
      </c>
      <c r="AX104" s="525" t="e">
        <f ca="1">stat(calculs!AX104)</f>
        <v>#NAME?</v>
      </c>
      <c r="AY104" s="525" t="e">
        <f ca="1">stat(calculs!AY104)</f>
        <v>#NAME?</v>
      </c>
      <c r="AZ104" s="525" t="e">
        <f ca="1">stat(calculs!AZ104)</f>
        <v>#NAME?</v>
      </c>
      <c r="BA104" s="525" t="e">
        <f ca="1">stat(calculs!BA104)</f>
        <v>#NAME?</v>
      </c>
      <c r="BB104" s="525" t="e">
        <f ca="1">stat(calculs!BB104)</f>
        <v>#NAME?</v>
      </c>
      <c r="BC104" s="525" t="e">
        <f ca="1">stat(calculs!BC104)</f>
        <v>#NAME?</v>
      </c>
      <c r="BD104" s="525" t="e">
        <f ca="1">stat(calculs!BD104)</f>
        <v>#NAME?</v>
      </c>
      <c r="BE104" s="525" t="e">
        <f ca="1">stat(calculs!BE104)</f>
        <v>#NAME?</v>
      </c>
      <c r="BF104" s="525" t="e">
        <f ca="1">stat(calculs!BF104)</f>
        <v>#NAME?</v>
      </c>
      <c r="BG104" s="729" t="e">
        <f ca="1">stat(calculs!BG104)</f>
        <v>#NAME?</v>
      </c>
      <c r="BH104" s="729" t="e">
        <f ca="1">stat(calculs!BH104)</f>
        <v>#NAME?</v>
      </c>
      <c r="BI104" s="729" t="e">
        <f ca="1">stat(calculs!BI104)</f>
        <v>#NAME?</v>
      </c>
      <c r="BJ104" s="729" t="e">
        <f ca="1">stat(calculs!BJ104)</f>
        <v>#NAME?</v>
      </c>
      <c r="BK104" s="729" t="e">
        <f ca="1">stat(calculs!BK104)</f>
        <v>#NAME?</v>
      </c>
      <c r="BL104" s="525" t="e">
        <f ca="1">stat(calculs!BL104)</f>
        <v>#NAME?</v>
      </c>
      <c r="BM104" s="525" t="e">
        <f ca="1">stat(calculs!BM104)</f>
        <v>#NAME?</v>
      </c>
      <c r="BN104" s="525" t="e">
        <f ca="1">stat(calculs!BN104)</f>
        <v>#NAME?</v>
      </c>
      <c r="BO104" s="525" t="e">
        <f ca="1">stat(calculs!BO104)</f>
        <v>#NAME?</v>
      </c>
      <c r="BP104" s="525" t="e">
        <f ca="1">stat(calculs!BP104)</f>
        <v>#NAME?</v>
      </c>
      <c r="BQ104" s="525" t="e">
        <f ca="1">stat(calculs!BQ104)</f>
        <v>#NAME?</v>
      </c>
      <c r="BR104" s="525" t="e">
        <f ca="1">stat(calculs!BR104)</f>
        <v>#NAME?</v>
      </c>
    </row>
    <row r="105" spans="1:70" x14ac:dyDescent="0.2">
      <c r="A105" s="222">
        <f>données_step[[#This Row],[Datum]]</f>
        <v>44656</v>
      </c>
      <c r="B105" s="223"/>
      <c r="C105" s="224">
        <f t="shared" si="1"/>
        <v>3</v>
      </c>
      <c r="D105" s="523" t="e">
        <f ca="1">stat(charge_entree[[#This Row],[ch_E_DBO5]])</f>
        <v>#NAME?</v>
      </c>
      <c r="E105" s="523" t="e">
        <f ca="1">stat(charge_entree[[#This Row],[ch_E_DCO]])</f>
        <v>#NAME?</v>
      </c>
      <c r="F105" s="523" t="e">
        <f ca="1">stat(charge_entree[[#This Row],[ch_E_COT]])</f>
        <v>#NAME?</v>
      </c>
      <c r="G105" s="523" t="e">
        <f ca="1">stat(charge_entree[[#This Row],[ch_E_NH4]])</f>
        <v>#NAME?</v>
      </c>
      <c r="H105" s="523" t="e">
        <f ca="1">stat(charge_entree[[#This Row],[ch_E_NTOT]])</f>
        <v>#NAME?</v>
      </c>
      <c r="I105" s="523" t="e">
        <f ca="1">stat(charge_entree[[#This Row],[ch_E_PTOT]])</f>
        <v>#NAME?</v>
      </c>
      <c r="J105" s="523" t="e">
        <f ca="1">stat(charge_entree[[#This Row],[ch_S_DBO]])</f>
        <v>#NAME?</v>
      </c>
      <c r="K105" s="523" t="e">
        <f ca="1">stat(charge_entree[[#This Row],[ch_S-DCO]])</f>
        <v>#NAME?</v>
      </c>
      <c r="L105" s="523" t="e">
        <f ca="1">stat(charge_entree[[#This Row],[ch_S_DOC]])</f>
        <v>#NAME?</v>
      </c>
      <c r="M105" s="523" t="e">
        <f ca="1">stat(charge_entree[[#This Row],[ch_S_NH4]])</f>
        <v>#NAME?</v>
      </c>
      <c r="N105" s="523" t="e">
        <f ca="1">stat(charge_entree[[#This Row],[ch_S_NO2]])</f>
        <v>#NAME?</v>
      </c>
      <c r="O105" s="523" t="e">
        <f ca="1">stat(charge_entree[[#This Row],[ch_S_NO3]])</f>
        <v>#NAME?</v>
      </c>
      <c r="P105" s="523" t="e">
        <f ca="1">stat(charge_entree[[#This Row],[ch_S_PTOT]])</f>
        <v>#NAME?</v>
      </c>
      <c r="Q105" s="523" t="e">
        <f ca="1">stat(charge_entree[[#This Row],[ch_S_SNDT]])</f>
        <v>#NAME?</v>
      </c>
      <c r="R105" s="523">
        <f>calculs!R105</f>
        <v>0</v>
      </c>
      <c r="S105" s="523" t="e">
        <f ca="1">stat(calculs!S105)</f>
        <v>#NAME?</v>
      </c>
      <c r="T105" s="523" t="e">
        <f ca="1">stat(calculs!T105)</f>
        <v>#NAME?</v>
      </c>
      <c r="U105" s="523" t="e">
        <f ca="1">stat(calculs!U105)</f>
        <v>#NAME?</v>
      </c>
      <c r="V105" s="523" t="e">
        <f ca="1">stat(calculs!V105)</f>
        <v>#NAME?</v>
      </c>
      <c r="W105" s="523" t="e">
        <f ca="1">stat(calculs!W105)</f>
        <v>#NAME?</v>
      </c>
      <c r="X105" s="523" t="e">
        <f ca="1">stat(calculs!X105)</f>
        <v>#NAME?</v>
      </c>
      <c r="Y105" s="523" t="e">
        <f ca="1">stat(calculs!Y105)</f>
        <v>#NAME?</v>
      </c>
      <c r="Z105" s="523" t="e">
        <f ca="1">stat(calculs!Z105)</f>
        <v>#NAME?</v>
      </c>
      <c r="AA105" s="523" t="e">
        <f ca="1">stat(calculs!AA105)</f>
        <v>#NAME?</v>
      </c>
      <c r="AB105" s="523" t="e">
        <f ca="1">stat(calculs!AB105)</f>
        <v>#NAME?</v>
      </c>
      <c r="AC105" s="523" t="e">
        <f ca="1">stat(calculs!AC105)</f>
        <v>#NAME?</v>
      </c>
      <c r="AD105" s="523" t="e">
        <f ca="1">stat(calculs!AD105)</f>
        <v>#NAME?</v>
      </c>
      <c r="AE105" s="523" t="e">
        <f ca="1">stat(calculs!AE105)</f>
        <v>#NAME?</v>
      </c>
      <c r="AF105" s="523" t="e">
        <f ca="1">stat(calculs!AF105)</f>
        <v>#NAME?</v>
      </c>
      <c r="AG105" s="523" t="e">
        <f ca="1">stat(calculs!AG105)</f>
        <v>#NAME?</v>
      </c>
      <c r="AH105" s="523" t="e">
        <f ca="1">stat(calculs!AH105)</f>
        <v>#NAME?</v>
      </c>
      <c r="AI105" s="523" t="e">
        <f ca="1">stat(calculs!AI105)</f>
        <v>#NAME?</v>
      </c>
      <c r="AJ105" s="523" t="e">
        <f ca="1">stat(calculs!AJ105)</f>
        <v>#NAME?</v>
      </c>
      <c r="AK105" s="523" t="e">
        <f ca="1">stat(calculs!AK105)</f>
        <v>#NAME?</v>
      </c>
      <c r="AL105" s="523" t="e">
        <f ca="1">stat(calculs!AL105)</f>
        <v>#NAME?</v>
      </c>
      <c r="AM105" s="523" t="e">
        <f ca="1">stat(calculs!AM105)</f>
        <v>#NAME?</v>
      </c>
      <c r="AN105" s="523" t="e">
        <f ca="1">stat(calculs!AN105)</f>
        <v>#NAME?</v>
      </c>
      <c r="AO105" s="523" t="e">
        <f ca="1">stat(calculs!AO105)</f>
        <v>#NAME?</v>
      </c>
      <c r="AP105" s="523" t="e">
        <f ca="1">stat(calculs!AP105)</f>
        <v>#NAME?</v>
      </c>
      <c r="AQ105" s="523" t="e">
        <f ca="1">stat(calculs!AQ105)</f>
        <v>#NAME?</v>
      </c>
      <c r="AT105" s="517"/>
      <c r="AV105" s="525" t="e">
        <f ca="1">stat(calculs!AV105)</f>
        <v>#NAME?</v>
      </c>
      <c r="AW105" s="525" t="e">
        <f ca="1">stat(calculs!AW105)</f>
        <v>#NAME?</v>
      </c>
      <c r="AX105" s="525" t="e">
        <f ca="1">stat(calculs!AX105)</f>
        <v>#NAME?</v>
      </c>
      <c r="AY105" s="525" t="e">
        <f ca="1">stat(calculs!AY105)</f>
        <v>#NAME?</v>
      </c>
      <c r="AZ105" s="525" t="e">
        <f ca="1">stat(calculs!AZ105)</f>
        <v>#NAME?</v>
      </c>
      <c r="BA105" s="525" t="e">
        <f ca="1">stat(calculs!BA105)</f>
        <v>#NAME?</v>
      </c>
      <c r="BB105" s="525" t="e">
        <f ca="1">stat(calculs!BB105)</f>
        <v>#NAME?</v>
      </c>
      <c r="BC105" s="525" t="e">
        <f ca="1">stat(calculs!BC105)</f>
        <v>#NAME?</v>
      </c>
      <c r="BD105" s="525" t="e">
        <f ca="1">stat(calculs!BD105)</f>
        <v>#NAME?</v>
      </c>
      <c r="BE105" s="525" t="e">
        <f ca="1">stat(calculs!BE105)</f>
        <v>#NAME?</v>
      </c>
      <c r="BF105" s="525" t="e">
        <f ca="1">stat(calculs!BF105)</f>
        <v>#NAME?</v>
      </c>
      <c r="BG105" s="729" t="e">
        <f ca="1">stat(calculs!BG105)</f>
        <v>#NAME?</v>
      </c>
      <c r="BH105" s="729" t="e">
        <f ca="1">stat(calculs!BH105)</f>
        <v>#NAME?</v>
      </c>
      <c r="BI105" s="729" t="e">
        <f ca="1">stat(calculs!BI105)</f>
        <v>#NAME?</v>
      </c>
      <c r="BJ105" s="729" t="e">
        <f ca="1">stat(calculs!BJ105)</f>
        <v>#NAME?</v>
      </c>
      <c r="BK105" s="729" t="e">
        <f ca="1">stat(calculs!BK105)</f>
        <v>#NAME?</v>
      </c>
      <c r="BL105" s="525" t="e">
        <f ca="1">stat(calculs!BL105)</f>
        <v>#NAME?</v>
      </c>
      <c r="BM105" s="525" t="e">
        <f ca="1">stat(calculs!BM105)</f>
        <v>#NAME?</v>
      </c>
      <c r="BN105" s="525" t="e">
        <f ca="1">stat(calculs!BN105)</f>
        <v>#NAME?</v>
      </c>
      <c r="BO105" s="525" t="e">
        <f ca="1">stat(calculs!BO105)</f>
        <v>#NAME?</v>
      </c>
      <c r="BP105" s="525" t="e">
        <f ca="1">stat(calculs!BP105)</f>
        <v>#NAME?</v>
      </c>
      <c r="BQ105" s="525" t="e">
        <f ca="1">stat(calculs!BQ105)</f>
        <v>#NAME?</v>
      </c>
      <c r="BR105" s="525" t="e">
        <f ca="1">stat(calculs!BR105)</f>
        <v>#NAME?</v>
      </c>
    </row>
    <row r="106" spans="1:70" x14ac:dyDescent="0.2">
      <c r="A106" s="222">
        <f>données_step[[#This Row],[Datum]]</f>
        <v>44657</v>
      </c>
      <c r="B106" s="223"/>
      <c r="C106" s="224">
        <f t="shared" si="1"/>
        <v>4</v>
      </c>
      <c r="D106" s="523" t="e">
        <f ca="1">stat(charge_entree[[#This Row],[ch_E_DBO5]])</f>
        <v>#NAME?</v>
      </c>
      <c r="E106" s="523" t="e">
        <f ca="1">stat(charge_entree[[#This Row],[ch_E_DCO]])</f>
        <v>#NAME?</v>
      </c>
      <c r="F106" s="523" t="e">
        <f ca="1">stat(charge_entree[[#This Row],[ch_E_COT]])</f>
        <v>#NAME?</v>
      </c>
      <c r="G106" s="523" t="e">
        <f ca="1">stat(charge_entree[[#This Row],[ch_E_NH4]])</f>
        <v>#NAME?</v>
      </c>
      <c r="H106" s="523" t="e">
        <f ca="1">stat(charge_entree[[#This Row],[ch_E_NTOT]])</f>
        <v>#NAME?</v>
      </c>
      <c r="I106" s="523" t="e">
        <f ca="1">stat(charge_entree[[#This Row],[ch_E_PTOT]])</f>
        <v>#NAME?</v>
      </c>
      <c r="J106" s="523" t="e">
        <f ca="1">stat(charge_entree[[#This Row],[ch_S_DBO]])</f>
        <v>#NAME?</v>
      </c>
      <c r="K106" s="523" t="e">
        <f ca="1">stat(charge_entree[[#This Row],[ch_S-DCO]])</f>
        <v>#NAME?</v>
      </c>
      <c r="L106" s="523" t="e">
        <f ca="1">stat(charge_entree[[#This Row],[ch_S_DOC]])</f>
        <v>#NAME?</v>
      </c>
      <c r="M106" s="523" t="e">
        <f ca="1">stat(charge_entree[[#This Row],[ch_S_NH4]])</f>
        <v>#NAME?</v>
      </c>
      <c r="N106" s="523" t="e">
        <f ca="1">stat(charge_entree[[#This Row],[ch_S_NO2]])</f>
        <v>#NAME?</v>
      </c>
      <c r="O106" s="523" t="e">
        <f ca="1">stat(charge_entree[[#This Row],[ch_S_NO3]])</f>
        <v>#NAME?</v>
      </c>
      <c r="P106" s="523" t="e">
        <f ca="1">stat(charge_entree[[#This Row],[ch_S_PTOT]])</f>
        <v>#NAME?</v>
      </c>
      <c r="Q106" s="523" t="e">
        <f ca="1">stat(charge_entree[[#This Row],[ch_S_SNDT]])</f>
        <v>#NAME?</v>
      </c>
      <c r="R106" s="523">
        <f>calculs!R106</f>
        <v>0</v>
      </c>
      <c r="S106" s="523" t="e">
        <f ca="1">stat(calculs!S106)</f>
        <v>#NAME?</v>
      </c>
      <c r="T106" s="523" t="e">
        <f ca="1">stat(calculs!T106)</f>
        <v>#NAME?</v>
      </c>
      <c r="U106" s="523" t="e">
        <f ca="1">stat(calculs!U106)</f>
        <v>#NAME?</v>
      </c>
      <c r="V106" s="523" t="e">
        <f ca="1">stat(calculs!V106)</f>
        <v>#NAME?</v>
      </c>
      <c r="W106" s="523" t="e">
        <f ca="1">stat(calculs!W106)</f>
        <v>#NAME?</v>
      </c>
      <c r="X106" s="523" t="e">
        <f ca="1">stat(calculs!X106)</f>
        <v>#NAME?</v>
      </c>
      <c r="Y106" s="523" t="e">
        <f ca="1">stat(calculs!Y106)</f>
        <v>#NAME?</v>
      </c>
      <c r="Z106" s="523" t="e">
        <f ca="1">stat(calculs!Z106)</f>
        <v>#NAME?</v>
      </c>
      <c r="AA106" s="523" t="e">
        <f ca="1">stat(calculs!AA106)</f>
        <v>#NAME?</v>
      </c>
      <c r="AB106" s="523" t="e">
        <f ca="1">stat(calculs!AB106)</f>
        <v>#NAME?</v>
      </c>
      <c r="AC106" s="523" t="e">
        <f ca="1">stat(calculs!AC106)</f>
        <v>#NAME?</v>
      </c>
      <c r="AD106" s="523" t="e">
        <f ca="1">stat(calculs!AD106)</f>
        <v>#NAME?</v>
      </c>
      <c r="AE106" s="523" t="e">
        <f ca="1">stat(calculs!AE106)</f>
        <v>#NAME?</v>
      </c>
      <c r="AF106" s="523" t="e">
        <f ca="1">stat(calculs!AF106)</f>
        <v>#NAME?</v>
      </c>
      <c r="AG106" s="523" t="e">
        <f ca="1">stat(calculs!AG106)</f>
        <v>#NAME?</v>
      </c>
      <c r="AH106" s="523" t="e">
        <f ca="1">stat(calculs!AH106)</f>
        <v>#NAME?</v>
      </c>
      <c r="AI106" s="523" t="e">
        <f ca="1">stat(calculs!AI106)</f>
        <v>#NAME?</v>
      </c>
      <c r="AJ106" s="523" t="e">
        <f ca="1">stat(calculs!AJ106)</f>
        <v>#NAME?</v>
      </c>
      <c r="AK106" s="523" t="e">
        <f ca="1">stat(calculs!AK106)</f>
        <v>#NAME?</v>
      </c>
      <c r="AL106" s="523" t="e">
        <f ca="1">stat(calculs!AL106)</f>
        <v>#NAME?</v>
      </c>
      <c r="AM106" s="523" t="e">
        <f ca="1">stat(calculs!AM106)</f>
        <v>#NAME?</v>
      </c>
      <c r="AN106" s="523" t="e">
        <f ca="1">stat(calculs!AN106)</f>
        <v>#NAME?</v>
      </c>
      <c r="AO106" s="523" t="e">
        <f ca="1">stat(calculs!AO106)</f>
        <v>#NAME?</v>
      </c>
      <c r="AP106" s="523" t="e">
        <f ca="1">stat(calculs!AP106)</f>
        <v>#NAME?</v>
      </c>
      <c r="AQ106" s="523" t="e">
        <f ca="1">stat(calculs!AQ106)</f>
        <v>#NAME?</v>
      </c>
      <c r="AT106" s="517"/>
      <c r="AV106" s="525" t="e">
        <f ca="1">stat(calculs!AV106)</f>
        <v>#NAME?</v>
      </c>
      <c r="AW106" s="525" t="e">
        <f ca="1">stat(calculs!AW106)</f>
        <v>#NAME?</v>
      </c>
      <c r="AX106" s="525" t="e">
        <f ca="1">stat(calculs!AX106)</f>
        <v>#NAME?</v>
      </c>
      <c r="AY106" s="525" t="e">
        <f ca="1">stat(calculs!AY106)</f>
        <v>#NAME?</v>
      </c>
      <c r="AZ106" s="525" t="e">
        <f ca="1">stat(calculs!AZ106)</f>
        <v>#NAME?</v>
      </c>
      <c r="BA106" s="525" t="e">
        <f ca="1">stat(calculs!BA106)</f>
        <v>#NAME?</v>
      </c>
      <c r="BB106" s="525" t="e">
        <f ca="1">stat(calculs!BB106)</f>
        <v>#NAME?</v>
      </c>
      <c r="BC106" s="525" t="e">
        <f ca="1">stat(calculs!BC106)</f>
        <v>#NAME?</v>
      </c>
      <c r="BD106" s="525" t="e">
        <f ca="1">stat(calculs!BD106)</f>
        <v>#NAME?</v>
      </c>
      <c r="BE106" s="525" t="e">
        <f ca="1">stat(calculs!BE106)</f>
        <v>#NAME?</v>
      </c>
      <c r="BF106" s="525" t="e">
        <f ca="1">stat(calculs!BF106)</f>
        <v>#NAME?</v>
      </c>
      <c r="BG106" s="729" t="e">
        <f ca="1">stat(calculs!BG106)</f>
        <v>#NAME?</v>
      </c>
      <c r="BH106" s="729" t="e">
        <f ca="1">stat(calculs!BH106)</f>
        <v>#NAME?</v>
      </c>
      <c r="BI106" s="729" t="e">
        <f ca="1">stat(calculs!BI106)</f>
        <v>#NAME?</v>
      </c>
      <c r="BJ106" s="729" t="e">
        <f ca="1">stat(calculs!BJ106)</f>
        <v>#NAME?</v>
      </c>
      <c r="BK106" s="729" t="e">
        <f ca="1">stat(calculs!BK106)</f>
        <v>#NAME?</v>
      </c>
      <c r="BL106" s="525" t="e">
        <f ca="1">stat(calculs!BL106)</f>
        <v>#NAME?</v>
      </c>
      <c r="BM106" s="525" t="e">
        <f ca="1">stat(calculs!BM106)</f>
        <v>#NAME?</v>
      </c>
      <c r="BN106" s="525" t="e">
        <f ca="1">stat(calculs!BN106)</f>
        <v>#NAME?</v>
      </c>
      <c r="BO106" s="525" t="e">
        <f ca="1">stat(calculs!BO106)</f>
        <v>#NAME?</v>
      </c>
      <c r="BP106" s="525" t="e">
        <f ca="1">stat(calculs!BP106)</f>
        <v>#NAME?</v>
      </c>
      <c r="BQ106" s="525" t="e">
        <f ca="1">stat(calculs!BQ106)</f>
        <v>#NAME?</v>
      </c>
      <c r="BR106" s="525" t="e">
        <f ca="1">stat(calculs!BR106)</f>
        <v>#NAME?</v>
      </c>
    </row>
    <row r="107" spans="1:70" x14ac:dyDescent="0.2">
      <c r="A107" s="222">
        <f>données_step[[#This Row],[Datum]]</f>
        <v>44658</v>
      </c>
      <c r="B107" s="223"/>
      <c r="C107" s="224">
        <f t="shared" si="1"/>
        <v>5</v>
      </c>
      <c r="D107" s="523" t="e">
        <f ca="1">stat(charge_entree[[#This Row],[ch_E_DBO5]])</f>
        <v>#NAME?</v>
      </c>
      <c r="E107" s="523" t="e">
        <f ca="1">stat(charge_entree[[#This Row],[ch_E_DCO]])</f>
        <v>#NAME?</v>
      </c>
      <c r="F107" s="523" t="e">
        <f ca="1">stat(charge_entree[[#This Row],[ch_E_COT]])</f>
        <v>#NAME?</v>
      </c>
      <c r="G107" s="523" t="e">
        <f ca="1">stat(charge_entree[[#This Row],[ch_E_NH4]])</f>
        <v>#NAME?</v>
      </c>
      <c r="H107" s="523" t="e">
        <f ca="1">stat(charge_entree[[#This Row],[ch_E_NTOT]])</f>
        <v>#NAME?</v>
      </c>
      <c r="I107" s="523" t="e">
        <f ca="1">stat(charge_entree[[#This Row],[ch_E_PTOT]])</f>
        <v>#NAME?</v>
      </c>
      <c r="J107" s="523" t="e">
        <f ca="1">stat(charge_entree[[#This Row],[ch_S_DBO]])</f>
        <v>#NAME?</v>
      </c>
      <c r="K107" s="523" t="e">
        <f ca="1">stat(charge_entree[[#This Row],[ch_S-DCO]])</f>
        <v>#NAME?</v>
      </c>
      <c r="L107" s="523" t="e">
        <f ca="1">stat(charge_entree[[#This Row],[ch_S_DOC]])</f>
        <v>#NAME?</v>
      </c>
      <c r="M107" s="523" t="e">
        <f ca="1">stat(charge_entree[[#This Row],[ch_S_NH4]])</f>
        <v>#NAME?</v>
      </c>
      <c r="N107" s="523" t="e">
        <f ca="1">stat(charge_entree[[#This Row],[ch_S_NO2]])</f>
        <v>#NAME?</v>
      </c>
      <c r="O107" s="523" t="e">
        <f ca="1">stat(charge_entree[[#This Row],[ch_S_NO3]])</f>
        <v>#NAME?</v>
      </c>
      <c r="P107" s="523" t="e">
        <f ca="1">stat(charge_entree[[#This Row],[ch_S_PTOT]])</f>
        <v>#NAME?</v>
      </c>
      <c r="Q107" s="523" t="e">
        <f ca="1">stat(charge_entree[[#This Row],[ch_S_SNDT]])</f>
        <v>#NAME?</v>
      </c>
      <c r="R107" s="523">
        <f>calculs!R107</f>
        <v>0</v>
      </c>
      <c r="S107" s="523" t="e">
        <f ca="1">stat(calculs!S107)</f>
        <v>#NAME?</v>
      </c>
      <c r="T107" s="523" t="e">
        <f ca="1">stat(calculs!T107)</f>
        <v>#NAME?</v>
      </c>
      <c r="U107" s="523" t="e">
        <f ca="1">stat(calculs!U107)</f>
        <v>#NAME?</v>
      </c>
      <c r="V107" s="523" t="e">
        <f ca="1">stat(calculs!V107)</f>
        <v>#NAME?</v>
      </c>
      <c r="W107" s="523" t="e">
        <f ca="1">stat(calculs!W107)</f>
        <v>#NAME?</v>
      </c>
      <c r="X107" s="523" t="e">
        <f ca="1">stat(calculs!X107)</f>
        <v>#NAME?</v>
      </c>
      <c r="Y107" s="523" t="e">
        <f ca="1">stat(calculs!Y107)</f>
        <v>#NAME?</v>
      </c>
      <c r="Z107" s="523" t="e">
        <f ca="1">stat(calculs!Z107)</f>
        <v>#NAME?</v>
      </c>
      <c r="AA107" s="523" t="e">
        <f ca="1">stat(calculs!AA107)</f>
        <v>#NAME?</v>
      </c>
      <c r="AB107" s="523" t="e">
        <f ca="1">stat(calculs!AB107)</f>
        <v>#NAME?</v>
      </c>
      <c r="AC107" s="523" t="e">
        <f ca="1">stat(calculs!AC107)</f>
        <v>#NAME?</v>
      </c>
      <c r="AD107" s="523" t="e">
        <f ca="1">stat(calculs!AD107)</f>
        <v>#NAME?</v>
      </c>
      <c r="AE107" s="523" t="e">
        <f ca="1">stat(calculs!AE107)</f>
        <v>#NAME?</v>
      </c>
      <c r="AF107" s="523" t="e">
        <f ca="1">stat(calculs!AF107)</f>
        <v>#NAME?</v>
      </c>
      <c r="AG107" s="523" t="e">
        <f ca="1">stat(calculs!AG107)</f>
        <v>#NAME?</v>
      </c>
      <c r="AH107" s="523" t="e">
        <f ca="1">stat(calculs!AH107)</f>
        <v>#NAME?</v>
      </c>
      <c r="AI107" s="523" t="e">
        <f ca="1">stat(calculs!AI107)</f>
        <v>#NAME?</v>
      </c>
      <c r="AJ107" s="523" t="e">
        <f ca="1">stat(calculs!AJ107)</f>
        <v>#NAME?</v>
      </c>
      <c r="AK107" s="523" t="e">
        <f ca="1">stat(calculs!AK107)</f>
        <v>#NAME?</v>
      </c>
      <c r="AL107" s="523" t="e">
        <f ca="1">stat(calculs!AL107)</f>
        <v>#NAME?</v>
      </c>
      <c r="AM107" s="523" t="e">
        <f ca="1">stat(calculs!AM107)</f>
        <v>#NAME?</v>
      </c>
      <c r="AN107" s="523" t="e">
        <f ca="1">stat(calculs!AN107)</f>
        <v>#NAME?</v>
      </c>
      <c r="AO107" s="523" t="e">
        <f ca="1">stat(calculs!AO107)</f>
        <v>#NAME?</v>
      </c>
      <c r="AP107" s="523" t="e">
        <f ca="1">stat(calculs!AP107)</f>
        <v>#NAME?</v>
      </c>
      <c r="AQ107" s="523" t="e">
        <f ca="1">stat(calculs!AQ107)</f>
        <v>#NAME?</v>
      </c>
      <c r="AT107" s="517"/>
      <c r="AV107" s="525" t="e">
        <f ca="1">stat(calculs!AV107)</f>
        <v>#NAME?</v>
      </c>
      <c r="AW107" s="525" t="e">
        <f ca="1">stat(calculs!AW107)</f>
        <v>#NAME?</v>
      </c>
      <c r="AX107" s="525" t="e">
        <f ca="1">stat(calculs!AX107)</f>
        <v>#NAME?</v>
      </c>
      <c r="AY107" s="525" t="e">
        <f ca="1">stat(calculs!AY107)</f>
        <v>#NAME?</v>
      </c>
      <c r="AZ107" s="525" t="e">
        <f ca="1">stat(calculs!AZ107)</f>
        <v>#NAME?</v>
      </c>
      <c r="BA107" s="525" t="e">
        <f ca="1">stat(calculs!BA107)</f>
        <v>#NAME?</v>
      </c>
      <c r="BB107" s="525" t="e">
        <f ca="1">stat(calculs!BB107)</f>
        <v>#NAME?</v>
      </c>
      <c r="BC107" s="525" t="e">
        <f ca="1">stat(calculs!BC107)</f>
        <v>#NAME?</v>
      </c>
      <c r="BD107" s="525" t="e">
        <f ca="1">stat(calculs!BD107)</f>
        <v>#NAME?</v>
      </c>
      <c r="BE107" s="525" t="e">
        <f ca="1">stat(calculs!BE107)</f>
        <v>#NAME?</v>
      </c>
      <c r="BF107" s="525" t="e">
        <f ca="1">stat(calculs!BF107)</f>
        <v>#NAME?</v>
      </c>
      <c r="BG107" s="729" t="e">
        <f ca="1">stat(calculs!BG107)</f>
        <v>#NAME?</v>
      </c>
      <c r="BH107" s="729" t="e">
        <f ca="1">stat(calculs!BH107)</f>
        <v>#NAME?</v>
      </c>
      <c r="BI107" s="729" t="e">
        <f ca="1">stat(calculs!BI107)</f>
        <v>#NAME?</v>
      </c>
      <c r="BJ107" s="729" t="e">
        <f ca="1">stat(calculs!BJ107)</f>
        <v>#NAME?</v>
      </c>
      <c r="BK107" s="729" t="e">
        <f ca="1">stat(calculs!BK107)</f>
        <v>#NAME?</v>
      </c>
      <c r="BL107" s="525" t="e">
        <f ca="1">stat(calculs!BL107)</f>
        <v>#NAME?</v>
      </c>
      <c r="BM107" s="525" t="e">
        <f ca="1">stat(calculs!BM107)</f>
        <v>#NAME?</v>
      </c>
      <c r="BN107" s="525" t="e">
        <f ca="1">stat(calculs!BN107)</f>
        <v>#NAME?</v>
      </c>
      <c r="BO107" s="525" t="e">
        <f ca="1">stat(calculs!BO107)</f>
        <v>#NAME?</v>
      </c>
      <c r="BP107" s="525" t="e">
        <f ca="1">stat(calculs!BP107)</f>
        <v>#NAME?</v>
      </c>
      <c r="BQ107" s="525" t="e">
        <f ca="1">stat(calculs!BQ107)</f>
        <v>#NAME?</v>
      </c>
      <c r="BR107" s="525" t="e">
        <f ca="1">stat(calculs!BR107)</f>
        <v>#NAME?</v>
      </c>
    </row>
    <row r="108" spans="1:70" x14ac:dyDescent="0.2">
      <c r="A108" s="222">
        <f>données_step[[#This Row],[Datum]]</f>
        <v>44659</v>
      </c>
      <c r="B108" s="223"/>
      <c r="C108" s="224">
        <f t="shared" si="1"/>
        <v>6</v>
      </c>
      <c r="D108" s="523" t="e">
        <f ca="1">stat(charge_entree[[#This Row],[ch_E_DBO5]])</f>
        <v>#NAME?</v>
      </c>
      <c r="E108" s="523" t="e">
        <f ca="1">stat(charge_entree[[#This Row],[ch_E_DCO]])</f>
        <v>#NAME?</v>
      </c>
      <c r="F108" s="523" t="e">
        <f ca="1">stat(charge_entree[[#This Row],[ch_E_COT]])</f>
        <v>#NAME?</v>
      </c>
      <c r="G108" s="523" t="e">
        <f ca="1">stat(charge_entree[[#This Row],[ch_E_NH4]])</f>
        <v>#NAME?</v>
      </c>
      <c r="H108" s="523" t="e">
        <f ca="1">stat(charge_entree[[#This Row],[ch_E_NTOT]])</f>
        <v>#NAME?</v>
      </c>
      <c r="I108" s="523" t="e">
        <f ca="1">stat(charge_entree[[#This Row],[ch_E_PTOT]])</f>
        <v>#NAME?</v>
      </c>
      <c r="J108" s="523" t="e">
        <f ca="1">stat(charge_entree[[#This Row],[ch_S_DBO]])</f>
        <v>#NAME?</v>
      </c>
      <c r="K108" s="523" t="e">
        <f ca="1">stat(charge_entree[[#This Row],[ch_S-DCO]])</f>
        <v>#NAME?</v>
      </c>
      <c r="L108" s="523" t="e">
        <f ca="1">stat(charge_entree[[#This Row],[ch_S_DOC]])</f>
        <v>#NAME?</v>
      </c>
      <c r="M108" s="523" t="e">
        <f ca="1">stat(charge_entree[[#This Row],[ch_S_NH4]])</f>
        <v>#NAME?</v>
      </c>
      <c r="N108" s="523" t="e">
        <f ca="1">stat(charge_entree[[#This Row],[ch_S_NO2]])</f>
        <v>#NAME?</v>
      </c>
      <c r="O108" s="523" t="e">
        <f ca="1">stat(charge_entree[[#This Row],[ch_S_NO3]])</f>
        <v>#NAME?</v>
      </c>
      <c r="P108" s="523" t="e">
        <f ca="1">stat(charge_entree[[#This Row],[ch_S_PTOT]])</f>
        <v>#NAME?</v>
      </c>
      <c r="Q108" s="523" t="e">
        <f ca="1">stat(charge_entree[[#This Row],[ch_S_SNDT]])</f>
        <v>#NAME?</v>
      </c>
      <c r="R108" s="523">
        <f>calculs!R108</f>
        <v>0</v>
      </c>
      <c r="S108" s="523" t="e">
        <f ca="1">stat(calculs!S108)</f>
        <v>#NAME?</v>
      </c>
      <c r="T108" s="523" t="e">
        <f ca="1">stat(calculs!T108)</f>
        <v>#NAME?</v>
      </c>
      <c r="U108" s="523" t="e">
        <f ca="1">stat(calculs!U108)</f>
        <v>#NAME?</v>
      </c>
      <c r="V108" s="523" t="e">
        <f ca="1">stat(calculs!V108)</f>
        <v>#NAME?</v>
      </c>
      <c r="W108" s="523" t="e">
        <f ca="1">stat(calculs!W108)</f>
        <v>#NAME?</v>
      </c>
      <c r="X108" s="523" t="e">
        <f ca="1">stat(calculs!X108)</f>
        <v>#NAME?</v>
      </c>
      <c r="Y108" s="523" t="e">
        <f ca="1">stat(calculs!Y108)</f>
        <v>#NAME?</v>
      </c>
      <c r="Z108" s="523" t="e">
        <f ca="1">stat(calculs!Z108)</f>
        <v>#NAME?</v>
      </c>
      <c r="AA108" s="523" t="e">
        <f ca="1">stat(calculs!AA108)</f>
        <v>#NAME?</v>
      </c>
      <c r="AB108" s="523" t="e">
        <f ca="1">stat(calculs!AB108)</f>
        <v>#NAME?</v>
      </c>
      <c r="AC108" s="523" t="e">
        <f ca="1">stat(calculs!AC108)</f>
        <v>#NAME?</v>
      </c>
      <c r="AD108" s="523" t="e">
        <f ca="1">stat(calculs!AD108)</f>
        <v>#NAME?</v>
      </c>
      <c r="AE108" s="523" t="e">
        <f ca="1">stat(calculs!AE108)</f>
        <v>#NAME?</v>
      </c>
      <c r="AF108" s="523" t="e">
        <f ca="1">stat(calculs!AF108)</f>
        <v>#NAME?</v>
      </c>
      <c r="AG108" s="523" t="e">
        <f ca="1">stat(calculs!AG108)</f>
        <v>#NAME?</v>
      </c>
      <c r="AH108" s="523" t="e">
        <f ca="1">stat(calculs!AH108)</f>
        <v>#NAME?</v>
      </c>
      <c r="AI108" s="523" t="e">
        <f ca="1">stat(calculs!AI108)</f>
        <v>#NAME?</v>
      </c>
      <c r="AJ108" s="523" t="e">
        <f ca="1">stat(calculs!AJ108)</f>
        <v>#NAME?</v>
      </c>
      <c r="AK108" s="523" t="e">
        <f ca="1">stat(calculs!AK108)</f>
        <v>#NAME?</v>
      </c>
      <c r="AL108" s="523" t="e">
        <f ca="1">stat(calculs!AL108)</f>
        <v>#NAME?</v>
      </c>
      <c r="AM108" s="523" t="e">
        <f ca="1">stat(calculs!AM108)</f>
        <v>#NAME?</v>
      </c>
      <c r="AN108" s="523" t="e">
        <f ca="1">stat(calculs!AN108)</f>
        <v>#NAME?</v>
      </c>
      <c r="AO108" s="523" t="e">
        <f ca="1">stat(calculs!AO108)</f>
        <v>#NAME?</v>
      </c>
      <c r="AP108" s="523" t="e">
        <f ca="1">stat(calculs!AP108)</f>
        <v>#NAME?</v>
      </c>
      <c r="AQ108" s="523" t="e">
        <f ca="1">stat(calculs!AQ108)</f>
        <v>#NAME?</v>
      </c>
      <c r="AT108" s="517"/>
      <c r="AV108" s="525" t="e">
        <f ca="1">stat(calculs!AV108)</f>
        <v>#NAME?</v>
      </c>
      <c r="AW108" s="525" t="e">
        <f ca="1">stat(calculs!AW108)</f>
        <v>#NAME?</v>
      </c>
      <c r="AX108" s="525" t="e">
        <f ca="1">stat(calculs!AX108)</f>
        <v>#NAME?</v>
      </c>
      <c r="AY108" s="525" t="e">
        <f ca="1">stat(calculs!AY108)</f>
        <v>#NAME?</v>
      </c>
      <c r="AZ108" s="525" t="e">
        <f ca="1">stat(calculs!AZ108)</f>
        <v>#NAME?</v>
      </c>
      <c r="BA108" s="525" t="e">
        <f ca="1">stat(calculs!BA108)</f>
        <v>#NAME?</v>
      </c>
      <c r="BB108" s="525" t="e">
        <f ca="1">stat(calculs!BB108)</f>
        <v>#NAME?</v>
      </c>
      <c r="BC108" s="525" t="e">
        <f ca="1">stat(calculs!BC108)</f>
        <v>#NAME?</v>
      </c>
      <c r="BD108" s="525" t="e">
        <f ca="1">stat(calculs!BD108)</f>
        <v>#NAME?</v>
      </c>
      <c r="BE108" s="525" t="e">
        <f ca="1">stat(calculs!BE108)</f>
        <v>#NAME?</v>
      </c>
      <c r="BF108" s="525" t="e">
        <f ca="1">stat(calculs!BF108)</f>
        <v>#NAME?</v>
      </c>
      <c r="BG108" s="729" t="e">
        <f ca="1">stat(calculs!BG108)</f>
        <v>#NAME?</v>
      </c>
      <c r="BH108" s="729" t="e">
        <f ca="1">stat(calculs!BH108)</f>
        <v>#NAME?</v>
      </c>
      <c r="BI108" s="729" t="e">
        <f ca="1">stat(calculs!BI108)</f>
        <v>#NAME?</v>
      </c>
      <c r="BJ108" s="729" t="e">
        <f ca="1">stat(calculs!BJ108)</f>
        <v>#NAME?</v>
      </c>
      <c r="BK108" s="729" t="e">
        <f ca="1">stat(calculs!BK108)</f>
        <v>#NAME?</v>
      </c>
      <c r="BL108" s="525" t="e">
        <f ca="1">stat(calculs!BL108)</f>
        <v>#NAME?</v>
      </c>
      <c r="BM108" s="525" t="e">
        <f ca="1">stat(calculs!BM108)</f>
        <v>#NAME?</v>
      </c>
      <c r="BN108" s="525" t="e">
        <f ca="1">stat(calculs!BN108)</f>
        <v>#NAME?</v>
      </c>
      <c r="BO108" s="525" t="e">
        <f ca="1">stat(calculs!BO108)</f>
        <v>#NAME?</v>
      </c>
      <c r="BP108" s="525" t="e">
        <f ca="1">stat(calculs!BP108)</f>
        <v>#NAME?</v>
      </c>
      <c r="BQ108" s="525" t="e">
        <f ca="1">stat(calculs!BQ108)</f>
        <v>#NAME?</v>
      </c>
      <c r="BR108" s="525" t="e">
        <f ca="1">stat(calculs!BR108)</f>
        <v>#NAME?</v>
      </c>
    </row>
    <row r="109" spans="1:70" x14ac:dyDescent="0.2">
      <c r="A109" s="222">
        <f>données_step[[#This Row],[Datum]]</f>
        <v>44660</v>
      </c>
      <c r="B109" s="223"/>
      <c r="C109" s="224">
        <f t="shared" si="1"/>
        <v>7</v>
      </c>
      <c r="D109" s="523" t="e">
        <f ca="1">stat(charge_entree[[#This Row],[ch_E_DBO5]])</f>
        <v>#NAME?</v>
      </c>
      <c r="E109" s="523" t="e">
        <f ca="1">stat(charge_entree[[#This Row],[ch_E_DCO]])</f>
        <v>#NAME?</v>
      </c>
      <c r="F109" s="523" t="e">
        <f ca="1">stat(charge_entree[[#This Row],[ch_E_COT]])</f>
        <v>#NAME?</v>
      </c>
      <c r="G109" s="523" t="e">
        <f ca="1">stat(charge_entree[[#This Row],[ch_E_NH4]])</f>
        <v>#NAME?</v>
      </c>
      <c r="H109" s="523" t="e">
        <f ca="1">stat(charge_entree[[#This Row],[ch_E_NTOT]])</f>
        <v>#NAME?</v>
      </c>
      <c r="I109" s="523" t="e">
        <f ca="1">stat(charge_entree[[#This Row],[ch_E_PTOT]])</f>
        <v>#NAME?</v>
      </c>
      <c r="J109" s="523" t="e">
        <f ca="1">stat(charge_entree[[#This Row],[ch_S_DBO]])</f>
        <v>#NAME?</v>
      </c>
      <c r="K109" s="523" t="e">
        <f ca="1">stat(charge_entree[[#This Row],[ch_S-DCO]])</f>
        <v>#NAME?</v>
      </c>
      <c r="L109" s="523" t="e">
        <f ca="1">stat(charge_entree[[#This Row],[ch_S_DOC]])</f>
        <v>#NAME?</v>
      </c>
      <c r="M109" s="523" t="e">
        <f ca="1">stat(charge_entree[[#This Row],[ch_S_NH4]])</f>
        <v>#NAME?</v>
      </c>
      <c r="N109" s="523" t="e">
        <f ca="1">stat(charge_entree[[#This Row],[ch_S_NO2]])</f>
        <v>#NAME?</v>
      </c>
      <c r="O109" s="523" t="e">
        <f ca="1">stat(charge_entree[[#This Row],[ch_S_NO3]])</f>
        <v>#NAME?</v>
      </c>
      <c r="P109" s="523" t="e">
        <f ca="1">stat(charge_entree[[#This Row],[ch_S_PTOT]])</f>
        <v>#NAME?</v>
      </c>
      <c r="Q109" s="523" t="e">
        <f ca="1">stat(charge_entree[[#This Row],[ch_S_SNDT]])</f>
        <v>#NAME?</v>
      </c>
      <c r="R109" s="523">
        <f>calculs!R109</f>
        <v>0</v>
      </c>
      <c r="S109" s="523" t="e">
        <f ca="1">stat(calculs!S109)</f>
        <v>#NAME?</v>
      </c>
      <c r="T109" s="523" t="e">
        <f ca="1">stat(calculs!T109)</f>
        <v>#NAME?</v>
      </c>
      <c r="U109" s="523" t="e">
        <f ca="1">stat(calculs!U109)</f>
        <v>#NAME?</v>
      </c>
      <c r="V109" s="523" t="e">
        <f ca="1">stat(calculs!V109)</f>
        <v>#NAME?</v>
      </c>
      <c r="W109" s="523" t="e">
        <f ca="1">stat(calculs!W109)</f>
        <v>#NAME?</v>
      </c>
      <c r="X109" s="523" t="e">
        <f ca="1">stat(calculs!X109)</f>
        <v>#NAME?</v>
      </c>
      <c r="Y109" s="523" t="e">
        <f ca="1">stat(calculs!Y109)</f>
        <v>#NAME?</v>
      </c>
      <c r="Z109" s="523" t="e">
        <f ca="1">stat(calculs!Z109)</f>
        <v>#NAME?</v>
      </c>
      <c r="AA109" s="523" t="e">
        <f ca="1">stat(calculs!AA109)</f>
        <v>#NAME?</v>
      </c>
      <c r="AB109" s="523" t="e">
        <f ca="1">stat(calculs!AB109)</f>
        <v>#NAME?</v>
      </c>
      <c r="AC109" s="523" t="e">
        <f ca="1">stat(calculs!AC109)</f>
        <v>#NAME?</v>
      </c>
      <c r="AD109" s="523" t="e">
        <f ca="1">stat(calculs!AD109)</f>
        <v>#NAME?</v>
      </c>
      <c r="AE109" s="523" t="e">
        <f ca="1">stat(calculs!AE109)</f>
        <v>#NAME?</v>
      </c>
      <c r="AF109" s="523" t="e">
        <f ca="1">stat(calculs!AF109)</f>
        <v>#NAME?</v>
      </c>
      <c r="AG109" s="523" t="e">
        <f ca="1">stat(calculs!AG109)</f>
        <v>#NAME?</v>
      </c>
      <c r="AH109" s="523" t="e">
        <f ca="1">stat(calculs!AH109)</f>
        <v>#NAME?</v>
      </c>
      <c r="AI109" s="523" t="e">
        <f ca="1">stat(calculs!AI109)</f>
        <v>#NAME?</v>
      </c>
      <c r="AJ109" s="523" t="e">
        <f ca="1">stat(calculs!AJ109)</f>
        <v>#NAME?</v>
      </c>
      <c r="AK109" s="523" t="e">
        <f ca="1">stat(calculs!AK109)</f>
        <v>#NAME?</v>
      </c>
      <c r="AL109" s="523" t="e">
        <f ca="1">stat(calculs!AL109)</f>
        <v>#NAME?</v>
      </c>
      <c r="AM109" s="523" t="e">
        <f ca="1">stat(calculs!AM109)</f>
        <v>#NAME?</v>
      </c>
      <c r="AN109" s="523" t="e">
        <f ca="1">stat(calculs!AN109)</f>
        <v>#NAME?</v>
      </c>
      <c r="AO109" s="523" t="e">
        <f ca="1">stat(calculs!AO109)</f>
        <v>#NAME?</v>
      </c>
      <c r="AP109" s="523" t="e">
        <f ca="1">stat(calculs!AP109)</f>
        <v>#NAME?</v>
      </c>
      <c r="AQ109" s="523" t="e">
        <f ca="1">stat(calculs!AQ109)</f>
        <v>#NAME?</v>
      </c>
      <c r="AT109" s="517"/>
      <c r="AV109" s="525" t="e">
        <f ca="1">stat(calculs!AV109)</f>
        <v>#NAME?</v>
      </c>
      <c r="AW109" s="525" t="e">
        <f ca="1">stat(calculs!AW109)</f>
        <v>#NAME?</v>
      </c>
      <c r="AX109" s="525" t="e">
        <f ca="1">stat(calculs!AX109)</f>
        <v>#NAME?</v>
      </c>
      <c r="AY109" s="525" t="e">
        <f ca="1">stat(calculs!AY109)</f>
        <v>#NAME?</v>
      </c>
      <c r="AZ109" s="525" t="e">
        <f ca="1">stat(calculs!AZ109)</f>
        <v>#NAME?</v>
      </c>
      <c r="BA109" s="525" t="e">
        <f ca="1">stat(calculs!BA109)</f>
        <v>#NAME?</v>
      </c>
      <c r="BB109" s="525" t="e">
        <f ca="1">stat(calculs!BB109)</f>
        <v>#NAME?</v>
      </c>
      <c r="BC109" s="525" t="e">
        <f ca="1">stat(calculs!BC109)</f>
        <v>#NAME?</v>
      </c>
      <c r="BD109" s="525" t="e">
        <f ca="1">stat(calculs!BD109)</f>
        <v>#NAME?</v>
      </c>
      <c r="BE109" s="525" t="e">
        <f ca="1">stat(calculs!BE109)</f>
        <v>#NAME?</v>
      </c>
      <c r="BF109" s="525" t="e">
        <f ca="1">stat(calculs!BF109)</f>
        <v>#NAME?</v>
      </c>
      <c r="BG109" s="729" t="e">
        <f ca="1">stat(calculs!BG109)</f>
        <v>#NAME?</v>
      </c>
      <c r="BH109" s="729" t="e">
        <f ca="1">stat(calculs!BH109)</f>
        <v>#NAME?</v>
      </c>
      <c r="BI109" s="729" t="e">
        <f ca="1">stat(calculs!BI109)</f>
        <v>#NAME?</v>
      </c>
      <c r="BJ109" s="729" t="e">
        <f ca="1">stat(calculs!BJ109)</f>
        <v>#NAME?</v>
      </c>
      <c r="BK109" s="729" t="e">
        <f ca="1">stat(calculs!BK109)</f>
        <v>#NAME?</v>
      </c>
      <c r="BL109" s="525" t="e">
        <f ca="1">stat(calculs!BL109)</f>
        <v>#NAME?</v>
      </c>
      <c r="BM109" s="525" t="e">
        <f ca="1">stat(calculs!BM109)</f>
        <v>#NAME?</v>
      </c>
      <c r="BN109" s="525" t="e">
        <f ca="1">stat(calculs!BN109)</f>
        <v>#NAME?</v>
      </c>
      <c r="BO109" s="525" t="e">
        <f ca="1">stat(calculs!BO109)</f>
        <v>#NAME?</v>
      </c>
      <c r="BP109" s="525" t="e">
        <f ca="1">stat(calculs!BP109)</f>
        <v>#NAME?</v>
      </c>
      <c r="BQ109" s="525" t="e">
        <f ca="1">stat(calculs!BQ109)</f>
        <v>#NAME?</v>
      </c>
      <c r="BR109" s="525" t="e">
        <f ca="1">stat(calculs!BR109)</f>
        <v>#NAME?</v>
      </c>
    </row>
    <row r="110" spans="1:70" x14ac:dyDescent="0.2">
      <c r="A110" s="222">
        <f>données_step[[#This Row],[Datum]]</f>
        <v>44661</v>
      </c>
      <c r="B110" s="223"/>
      <c r="C110" s="224">
        <f t="shared" si="1"/>
        <v>1</v>
      </c>
      <c r="D110" s="523" t="e">
        <f ca="1">stat(charge_entree[[#This Row],[ch_E_DBO5]])</f>
        <v>#NAME?</v>
      </c>
      <c r="E110" s="523" t="e">
        <f ca="1">stat(charge_entree[[#This Row],[ch_E_DCO]])</f>
        <v>#NAME?</v>
      </c>
      <c r="F110" s="523" t="e">
        <f ca="1">stat(charge_entree[[#This Row],[ch_E_COT]])</f>
        <v>#NAME?</v>
      </c>
      <c r="G110" s="523" t="e">
        <f ca="1">stat(charge_entree[[#This Row],[ch_E_NH4]])</f>
        <v>#NAME?</v>
      </c>
      <c r="H110" s="523" t="e">
        <f ca="1">stat(charge_entree[[#This Row],[ch_E_NTOT]])</f>
        <v>#NAME?</v>
      </c>
      <c r="I110" s="523" t="e">
        <f ca="1">stat(charge_entree[[#This Row],[ch_E_PTOT]])</f>
        <v>#NAME?</v>
      </c>
      <c r="J110" s="523" t="e">
        <f ca="1">stat(charge_entree[[#This Row],[ch_S_DBO]])</f>
        <v>#NAME?</v>
      </c>
      <c r="K110" s="523" t="e">
        <f ca="1">stat(charge_entree[[#This Row],[ch_S-DCO]])</f>
        <v>#NAME?</v>
      </c>
      <c r="L110" s="523" t="e">
        <f ca="1">stat(charge_entree[[#This Row],[ch_S_DOC]])</f>
        <v>#NAME?</v>
      </c>
      <c r="M110" s="523" t="e">
        <f ca="1">stat(charge_entree[[#This Row],[ch_S_NH4]])</f>
        <v>#NAME?</v>
      </c>
      <c r="N110" s="523" t="e">
        <f ca="1">stat(charge_entree[[#This Row],[ch_S_NO2]])</f>
        <v>#NAME?</v>
      </c>
      <c r="O110" s="523" t="e">
        <f ca="1">stat(charge_entree[[#This Row],[ch_S_NO3]])</f>
        <v>#NAME?</v>
      </c>
      <c r="P110" s="523" t="e">
        <f ca="1">stat(charge_entree[[#This Row],[ch_S_PTOT]])</f>
        <v>#NAME?</v>
      </c>
      <c r="Q110" s="523" t="e">
        <f ca="1">stat(charge_entree[[#This Row],[ch_S_SNDT]])</f>
        <v>#NAME?</v>
      </c>
      <c r="R110" s="523">
        <f>calculs!R110</f>
        <v>0</v>
      </c>
      <c r="S110" s="523" t="e">
        <f ca="1">stat(calculs!S110)</f>
        <v>#NAME?</v>
      </c>
      <c r="T110" s="523" t="e">
        <f ca="1">stat(calculs!T110)</f>
        <v>#NAME?</v>
      </c>
      <c r="U110" s="523" t="e">
        <f ca="1">stat(calculs!U110)</f>
        <v>#NAME?</v>
      </c>
      <c r="V110" s="523" t="e">
        <f ca="1">stat(calculs!V110)</f>
        <v>#NAME?</v>
      </c>
      <c r="W110" s="523" t="e">
        <f ca="1">stat(calculs!W110)</f>
        <v>#NAME?</v>
      </c>
      <c r="X110" s="523" t="e">
        <f ca="1">stat(calculs!X110)</f>
        <v>#NAME?</v>
      </c>
      <c r="Y110" s="523" t="e">
        <f ca="1">stat(calculs!Y110)</f>
        <v>#NAME?</v>
      </c>
      <c r="Z110" s="523" t="e">
        <f ca="1">stat(calculs!Z110)</f>
        <v>#NAME?</v>
      </c>
      <c r="AA110" s="523" t="e">
        <f ca="1">stat(calculs!AA110)</f>
        <v>#NAME?</v>
      </c>
      <c r="AB110" s="523" t="e">
        <f ca="1">stat(calculs!AB110)</f>
        <v>#NAME?</v>
      </c>
      <c r="AC110" s="523" t="e">
        <f ca="1">stat(calculs!AC110)</f>
        <v>#NAME?</v>
      </c>
      <c r="AD110" s="523" t="e">
        <f ca="1">stat(calculs!AD110)</f>
        <v>#NAME?</v>
      </c>
      <c r="AE110" s="523" t="e">
        <f ca="1">stat(calculs!AE110)</f>
        <v>#NAME?</v>
      </c>
      <c r="AF110" s="523" t="e">
        <f ca="1">stat(calculs!AF110)</f>
        <v>#NAME?</v>
      </c>
      <c r="AG110" s="523" t="e">
        <f ca="1">stat(calculs!AG110)</f>
        <v>#NAME?</v>
      </c>
      <c r="AH110" s="523" t="e">
        <f ca="1">stat(calculs!AH110)</f>
        <v>#NAME?</v>
      </c>
      <c r="AI110" s="523" t="e">
        <f ca="1">stat(calculs!AI110)</f>
        <v>#NAME?</v>
      </c>
      <c r="AJ110" s="523" t="e">
        <f ca="1">stat(calculs!AJ110)</f>
        <v>#NAME?</v>
      </c>
      <c r="AK110" s="523" t="e">
        <f ca="1">stat(calculs!AK110)</f>
        <v>#NAME?</v>
      </c>
      <c r="AL110" s="523" t="e">
        <f ca="1">stat(calculs!AL110)</f>
        <v>#NAME?</v>
      </c>
      <c r="AM110" s="523" t="e">
        <f ca="1">stat(calculs!AM110)</f>
        <v>#NAME?</v>
      </c>
      <c r="AN110" s="523" t="e">
        <f ca="1">stat(calculs!AN110)</f>
        <v>#NAME?</v>
      </c>
      <c r="AO110" s="523" t="e">
        <f ca="1">stat(calculs!AO110)</f>
        <v>#NAME?</v>
      </c>
      <c r="AP110" s="523" t="e">
        <f ca="1">stat(calculs!AP110)</f>
        <v>#NAME?</v>
      </c>
      <c r="AQ110" s="523" t="e">
        <f ca="1">stat(calculs!AQ110)</f>
        <v>#NAME?</v>
      </c>
      <c r="AT110" s="517"/>
      <c r="AV110" s="525" t="e">
        <f ca="1">stat(calculs!AV110)</f>
        <v>#NAME?</v>
      </c>
      <c r="AW110" s="525" t="e">
        <f ca="1">stat(calculs!AW110)</f>
        <v>#NAME?</v>
      </c>
      <c r="AX110" s="525" t="e">
        <f ca="1">stat(calculs!AX110)</f>
        <v>#NAME?</v>
      </c>
      <c r="AY110" s="525" t="e">
        <f ca="1">stat(calculs!AY110)</f>
        <v>#NAME?</v>
      </c>
      <c r="AZ110" s="525" t="e">
        <f ca="1">stat(calculs!AZ110)</f>
        <v>#NAME?</v>
      </c>
      <c r="BA110" s="525" t="e">
        <f ca="1">stat(calculs!BA110)</f>
        <v>#NAME?</v>
      </c>
      <c r="BB110" s="525" t="e">
        <f ca="1">stat(calculs!BB110)</f>
        <v>#NAME?</v>
      </c>
      <c r="BC110" s="525" t="e">
        <f ca="1">stat(calculs!BC110)</f>
        <v>#NAME?</v>
      </c>
      <c r="BD110" s="525" t="e">
        <f ca="1">stat(calculs!BD110)</f>
        <v>#NAME?</v>
      </c>
      <c r="BE110" s="525" t="e">
        <f ca="1">stat(calculs!BE110)</f>
        <v>#NAME?</v>
      </c>
      <c r="BF110" s="525" t="e">
        <f ca="1">stat(calculs!BF110)</f>
        <v>#NAME?</v>
      </c>
      <c r="BG110" s="729" t="e">
        <f ca="1">stat(calculs!BG110)</f>
        <v>#NAME?</v>
      </c>
      <c r="BH110" s="729" t="e">
        <f ca="1">stat(calculs!BH110)</f>
        <v>#NAME?</v>
      </c>
      <c r="BI110" s="729" t="e">
        <f ca="1">stat(calculs!BI110)</f>
        <v>#NAME?</v>
      </c>
      <c r="BJ110" s="729" t="e">
        <f ca="1">stat(calculs!BJ110)</f>
        <v>#NAME?</v>
      </c>
      <c r="BK110" s="729" t="e">
        <f ca="1">stat(calculs!BK110)</f>
        <v>#NAME?</v>
      </c>
      <c r="BL110" s="525" t="e">
        <f ca="1">stat(calculs!BL110)</f>
        <v>#NAME?</v>
      </c>
      <c r="BM110" s="525" t="e">
        <f ca="1">stat(calculs!BM110)</f>
        <v>#NAME?</v>
      </c>
      <c r="BN110" s="525" t="e">
        <f ca="1">stat(calculs!BN110)</f>
        <v>#NAME?</v>
      </c>
      <c r="BO110" s="525" t="e">
        <f ca="1">stat(calculs!BO110)</f>
        <v>#NAME?</v>
      </c>
      <c r="BP110" s="525" t="e">
        <f ca="1">stat(calculs!BP110)</f>
        <v>#NAME?</v>
      </c>
      <c r="BQ110" s="525" t="e">
        <f ca="1">stat(calculs!BQ110)</f>
        <v>#NAME?</v>
      </c>
      <c r="BR110" s="525" t="e">
        <f ca="1">stat(calculs!BR110)</f>
        <v>#NAME?</v>
      </c>
    </row>
    <row r="111" spans="1:70" x14ac:dyDescent="0.2">
      <c r="A111" s="222">
        <f>données_step[[#This Row],[Datum]]</f>
        <v>44662</v>
      </c>
      <c r="B111" s="223"/>
      <c r="C111" s="224">
        <f t="shared" si="1"/>
        <v>2</v>
      </c>
      <c r="D111" s="523" t="e">
        <f ca="1">stat(charge_entree[[#This Row],[ch_E_DBO5]])</f>
        <v>#NAME?</v>
      </c>
      <c r="E111" s="523" t="e">
        <f ca="1">stat(charge_entree[[#This Row],[ch_E_DCO]])</f>
        <v>#NAME?</v>
      </c>
      <c r="F111" s="523" t="e">
        <f ca="1">stat(charge_entree[[#This Row],[ch_E_COT]])</f>
        <v>#NAME?</v>
      </c>
      <c r="G111" s="523" t="e">
        <f ca="1">stat(charge_entree[[#This Row],[ch_E_NH4]])</f>
        <v>#NAME?</v>
      </c>
      <c r="H111" s="523" t="e">
        <f ca="1">stat(charge_entree[[#This Row],[ch_E_NTOT]])</f>
        <v>#NAME?</v>
      </c>
      <c r="I111" s="523" t="e">
        <f ca="1">stat(charge_entree[[#This Row],[ch_E_PTOT]])</f>
        <v>#NAME?</v>
      </c>
      <c r="J111" s="523" t="e">
        <f ca="1">stat(charge_entree[[#This Row],[ch_S_DBO]])</f>
        <v>#NAME?</v>
      </c>
      <c r="K111" s="523" t="e">
        <f ca="1">stat(charge_entree[[#This Row],[ch_S-DCO]])</f>
        <v>#NAME?</v>
      </c>
      <c r="L111" s="523" t="e">
        <f ca="1">stat(charge_entree[[#This Row],[ch_S_DOC]])</f>
        <v>#NAME?</v>
      </c>
      <c r="M111" s="523" t="e">
        <f ca="1">stat(charge_entree[[#This Row],[ch_S_NH4]])</f>
        <v>#NAME?</v>
      </c>
      <c r="N111" s="523" t="e">
        <f ca="1">stat(charge_entree[[#This Row],[ch_S_NO2]])</f>
        <v>#NAME?</v>
      </c>
      <c r="O111" s="523" t="e">
        <f ca="1">stat(charge_entree[[#This Row],[ch_S_NO3]])</f>
        <v>#NAME?</v>
      </c>
      <c r="P111" s="523" t="e">
        <f ca="1">stat(charge_entree[[#This Row],[ch_S_PTOT]])</f>
        <v>#NAME?</v>
      </c>
      <c r="Q111" s="523" t="e">
        <f ca="1">stat(charge_entree[[#This Row],[ch_S_SNDT]])</f>
        <v>#NAME?</v>
      </c>
      <c r="R111" s="523">
        <f>calculs!R111</f>
        <v>0</v>
      </c>
      <c r="S111" s="523" t="e">
        <f ca="1">stat(calculs!S111)</f>
        <v>#NAME?</v>
      </c>
      <c r="T111" s="523" t="e">
        <f ca="1">stat(calculs!T111)</f>
        <v>#NAME?</v>
      </c>
      <c r="U111" s="523" t="e">
        <f ca="1">stat(calculs!U111)</f>
        <v>#NAME?</v>
      </c>
      <c r="V111" s="523" t="e">
        <f ca="1">stat(calculs!V111)</f>
        <v>#NAME?</v>
      </c>
      <c r="W111" s="523" t="e">
        <f ca="1">stat(calculs!W111)</f>
        <v>#NAME?</v>
      </c>
      <c r="X111" s="523" t="e">
        <f ca="1">stat(calculs!X111)</f>
        <v>#NAME?</v>
      </c>
      <c r="Y111" s="523" t="e">
        <f ca="1">stat(calculs!Y111)</f>
        <v>#NAME?</v>
      </c>
      <c r="Z111" s="523" t="e">
        <f ca="1">stat(calculs!Z111)</f>
        <v>#NAME?</v>
      </c>
      <c r="AA111" s="523" t="e">
        <f ca="1">stat(calculs!AA111)</f>
        <v>#NAME?</v>
      </c>
      <c r="AB111" s="523" t="e">
        <f ca="1">stat(calculs!AB111)</f>
        <v>#NAME?</v>
      </c>
      <c r="AC111" s="523" t="e">
        <f ca="1">stat(calculs!AC111)</f>
        <v>#NAME?</v>
      </c>
      <c r="AD111" s="523" t="e">
        <f ca="1">stat(calculs!AD111)</f>
        <v>#NAME?</v>
      </c>
      <c r="AE111" s="523" t="e">
        <f ca="1">stat(calculs!AE111)</f>
        <v>#NAME?</v>
      </c>
      <c r="AF111" s="523" t="e">
        <f ca="1">stat(calculs!AF111)</f>
        <v>#NAME?</v>
      </c>
      <c r="AG111" s="523" t="e">
        <f ca="1">stat(calculs!AG111)</f>
        <v>#NAME?</v>
      </c>
      <c r="AH111" s="523" t="e">
        <f ca="1">stat(calculs!AH111)</f>
        <v>#NAME?</v>
      </c>
      <c r="AI111" s="523" t="e">
        <f ca="1">stat(calculs!AI111)</f>
        <v>#NAME?</v>
      </c>
      <c r="AJ111" s="523" t="e">
        <f ca="1">stat(calculs!AJ111)</f>
        <v>#NAME?</v>
      </c>
      <c r="AK111" s="523" t="e">
        <f ca="1">stat(calculs!AK111)</f>
        <v>#NAME?</v>
      </c>
      <c r="AL111" s="523" t="e">
        <f ca="1">stat(calculs!AL111)</f>
        <v>#NAME?</v>
      </c>
      <c r="AM111" s="523" t="e">
        <f ca="1">stat(calculs!AM111)</f>
        <v>#NAME?</v>
      </c>
      <c r="AN111" s="523" t="e">
        <f ca="1">stat(calculs!AN111)</f>
        <v>#NAME?</v>
      </c>
      <c r="AO111" s="523" t="e">
        <f ca="1">stat(calculs!AO111)</f>
        <v>#NAME?</v>
      </c>
      <c r="AP111" s="523" t="e">
        <f ca="1">stat(calculs!AP111)</f>
        <v>#NAME?</v>
      </c>
      <c r="AQ111" s="523" t="e">
        <f ca="1">stat(calculs!AQ111)</f>
        <v>#NAME?</v>
      </c>
      <c r="AT111" s="517"/>
      <c r="AV111" s="525" t="e">
        <f ca="1">stat(calculs!AV111)</f>
        <v>#NAME?</v>
      </c>
      <c r="AW111" s="525" t="e">
        <f ca="1">stat(calculs!AW111)</f>
        <v>#NAME?</v>
      </c>
      <c r="AX111" s="525" t="e">
        <f ca="1">stat(calculs!AX111)</f>
        <v>#NAME?</v>
      </c>
      <c r="AY111" s="525" t="e">
        <f ca="1">stat(calculs!AY111)</f>
        <v>#NAME?</v>
      </c>
      <c r="AZ111" s="525" t="e">
        <f ca="1">stat(calculs!AZ111)</f>
        <v>#NAME?</v>
      </c>
      <c r="BA111" s="525" t="e">
        <f ca="1">stat(calculs!BA111)</f>
        <v>#NAME?</v>
      </c>
      <c r="BB111" s="525" t="e">
        <f ca="1">stat(calculs!BB111)</f>
        <v>#NAME?</v>
      </c>
      <c r="BC111" s="525" t="e">
        <f ca="1">stat(calculs!BC111)</f>
        <v>#NAME?</v>
      </c>
      <c r="BD111" s="525" t="e">
        <f ca="1">stat(calculs!BD111)</f>
        <v>#NAME?</v>
      </c>
      <c r="BE111" s="525" t="e">
        <f ca="1">stat(calculs!BE111)</f>
        <v>#NAME?</v>
      </c>
      <c r="BF111" s="525" t="e">
        <f ca="1">stat(calculs!BF111)</f>
        <v>#NAME?</v>
      </c>
      <c r="BG111" s="729" t="e">
        <f ca="1">stat(calculs!BG111)</f>
        <v>#NAME?</v>
      </c>
      <c r="BH111" s="729" t="e">
        <f ca="1">stat(calculs!BH111)</f>
        <v>#NAME?</v>
      </c>
      <c r="BI111" s="729" t="e">
        <f ca="1">stat(calculs!BI111)</f>
        <v>#NAME?</v>
      </c>
      <c r="BJ111" s="729" t="e">
        <f ca="1">stat(calculs!BJ111)</f>
        <v>#NAME?</v>
      </c>
      <c r="BK111" s="729" t="e">
        <f ca="1">stat(calculs!BK111)</f>
        <v>#NAME?</v>
      </c>
      <c r="BL111" s="525" t="e">
        <f ca="1">stat(calculs!BL111)</f>
        <v>#NAME?</v>
      </c>
      <c r="BM111" s="525" t="e">
        <f ca="1">stat(calculs!BM111)</f>
        <v>#NAME?</v>
      </c>
      <c r="BN111" s="525" t="e">
        <f ca="1">stat(calculs!BN111)</f>
        <v>#NAME?</v>
      </c>
      <c r="BO111" s="525" t="e">
        <f ca="1">stat(calculs!BO111)</f>
        <v>#NAME?</v>
      </c>
      <c r="BP111" s="525" t="e">
        <f ca="1">stat(calculs!BP111)</f>
        <v>#NAME?</v>
      </c>
      <c r="BQ111" s="525" t="e">
        <f ca="1">stat(calculs!BQ111)</f>
        <v>#NAME?</v>
      </c>
      <c r="BR111" s="525" t="e">
        <f ca="1">stat(calculs!BR111)</f>
        <v>#NAME?</v>
      </c>
    </row>
    <row r="112" spans="1:70" x14ac:dyDescent="0.2">
      <c r="A112" s="222">
        <f>données_step[[#This Row],[Datum]]</f>
        <v>44663</v>
      </c>
      <c r="B112" s="223"/>
      <c r="C112" s="224">
        <f t="shared" si="1"/>
        <v>3</v>
      </c>
      <c r="D112" s="523" t="e">
        <f ca="1">stat(charge_entree[[#This Row],[ch_E_DBO5]])</f>
        <v>#NAME?</v>
      </c>
      <c r="E112" s="523" t="e">
        <f ca="1">stat(charge_entree[[#This Row],[ch_E_DCO]])</f>
        <v>#NAME?</v>
      </c>
      <c r="F112" s="523" t="e">
        <f ca="1">stat(charge_entree[[#This Row],[ch_E_COT]])</f>
        <v>#NAME?</v>
      </c>
      <c r="G112" s="523" t="e">
        <f ca="1">stat(charge_entree[[#This Row],[ch_E_NH4]])</f>
        <v>#NAME?</v>
      </c>
      <c r="H112" s="523" t="e">
        <f ca="1">stat(charge_entree[[#This Row],[ch_E_NTOT]])</f>
        <v>#NAME?</v>
      </c>
      <c r="I112" s="523" t="e">
        <f ca="1">stat(charge_entree[[#This Row],[ch_E_PTOT]])</f>
        <v>#NAME?</v>
      </c>
      <c r="J112" s="523" t="e">
        <f ca="1">stat(charge_entree[[#This Row],[ch_S_DBO]])</f>
        <v>#NAME?</v>
      </c>
      <c r="K112" s="523" t="e">
        <f ca="1">stat(charge_entree[[#This Row],[ch_S-DCO]])</f>
        <v>#NAME?</v>
      </c>
      <c r="L112" s="523" t="e">
        <f ca="1">stat(charge_entree[[#This Row],[ch_S_DOC]])</f>
        <v>#NAME?</v>
      </c>
      <c r="M112" s="523" t="e">
        <f ca="1">stat(charge_entree[[#This Row],[ch_S_NH4]])</f>
        <v>#NAME?</v>
      </c>
      <c r="N112" s="523" t="e">
        <f ca="1">stat(charge_entree[[#This Row],[ch_S_NO2]])</f>
        <v>#NAME?</v>
      </c>
      <c r="O112" s="523" t="e">
        <f ca="1">stat(charge_entree[[#This Row],[ch_S_NO3]])</f>
        <v>#NAME?</v>
      </c>
      <c r="P112" s="523" t="e">
        <f ca="1">stat(charge_entree[[#This Row],[ch_S_PTOT]])</f>
        <v>#NAME?</v>
      </c>
      <c r="Q112" s="523" t="e">
        <f ca="1">stat(charge_entree[[#This Row],[ch_S_SNDT]])</f>
        <v>#NAME?</v>
      </c>
      <c r="R112" s="523">
        <f>calculs!R112</f>
        <v>0</v>
      </c>
      <c r="S112" s="523" t="e">
        <f ca="1">stat(calculs!S112)</f>
        <v>#NAME?</v>
      </c>
      <c r="T112" s="523" t="e">
        <f ca="1">stat(calculs!T112)</f>
        <v>#NAME?</v>
      </c>
      <c r="U112" s="523" t="e">
        <f ca="1">stat(calculs!U112)</f>
        <v>#NAME?</v>
      </c>
      <c r="V112" s="523" t="e">
        <f ca="1">stat(calculs!V112)</f>
        <v>#NAME?</v>
      </c>
      <c r="W112" s="523" t="e">
        <f ca="1">stat(calculs!W112)</f>
        <v>#NAME?</v>
      </c>
      <c r="X112" s="523" t="e">
        <f ca="1">stat(calculs!X112)</f>
        <v>#NAME?</v>
      </c>
      <c r="Y112" s="523" t="e">
        <f ca="1">stat(calculs!Y112)</f>
        <v>#NAME?</v>
      </c>
      <c r="Z112" s="523" t="e">
        <f ca="1">stat(calculs!Z112)</f>
        <v>#NAME?</v>
      </c>
      <c r="AA112" s="523" t="e">
        <f ca="1">stat(calculs!AA112)</f>
        <v>#NAME?</v>
      </c>
      <c r="AB112" s="523" t="e">
        <f ca="1">stat(calculs!AB112)</f>
        <v>#NAME?</v>
      </c>
      <c r="AC112" s="523" t="e">
        <f ca="1">stat(calculs!AC112)</f>
        <v>#NAME?</v>
      </c>
      <c r="AD112" s="523" t="e">
        <f ca="1">stat(calculs!AD112)</f>
        <v>#NAME?</v>
      </c>
      <c r="AE112" s="523" t="e">
        <f ca="1">stat(calculs!AE112)</f>
        <v>#NAME?</v>
      </c>
      <c r="AF112" s="523" t="e">
        <f ca="1">stat(calculs!AF112)</f>
        <v>#NAME?</v>
      </c>
      <c r="AG112" s="523" t="e">
        <f ca="1">stat(calculs!AG112)</f>
        <v>#NAME?</v>
      </c>
      <c r="AH112" s="523" t="e">
        <f ca="1">stat(calculs!AH112)</f>
        <v>#NAME?</v>
      </c>
      <c r="AI112" s="523" t="e">
        <f ca="1">stat(calculs!AI112)</f>
        <v>#NAME?</v>
      </c>
      <c r="AJ112" s="523" t="e">
        <f ca="1">stat(calculs!AJ112)</f>
        <v>#NAME?</v>
      </c>
      <c r="AK112" s="523" t="e">
        <f ca="1">stat(calculs!AK112)</f>
        <v>#NAME?</v>
      </c>
      <c r="AL112" s="523" t="e">
        <f ca="1">stat(calculs!AL112)</f>
        <v>#NAME?</v>
      </c>
      <c r="AM112" s="523" t="e">
        <f ca="1">stat(calculs!AM112)</f>
        <v>#NAME?</v>
      </c>
      <c r="AN112" s="523" t="e">
        <f ca="1">stat(calculs!AN112)</f>
        <v>#NAME?</v>
      </c>
      <c r="AO112" s="523" t="e">
        <f ca="1">stat(calculs!AO112)</f>
        <v>#NAME?</v>
      </c>
      <c r="AP112" s="523" t="e">
        <f ca="1">stat(calculs!AP112)</f>
        <v>#NAME?</v>
      </c>
      <c r="AQ112" s="523" t="e">
        <f ca="1">stat(calculs!AQ112)</f>
        <v>#NAME?</v>
      </c>
      <c r="AV112" s="525" t="str">
        <f>stat(calculs!AV112)</f>
        <v/>
      </c>
      <c r="AW112" s="525" t="str">
        <f>stat(calculs!AW112)</f>
        <v/>
      </c>
      <c r="AX112" s="525" t="str">
        <f>stat(calculs!AX112)</f>
        <v/>
      </c>
      <c r="AY112" s="525" t="e">
        <f ca="1">stat(calculs!AY112)</f>
        <v>#NAME?</v>
      </c>
      <c r="AZ112" s="525" t="e">
        <f ca="1">stat(calculs!AZ112)</f>
        <v>#NAME?</v>
      </c>
      <c r="BA112" s="525" t="e">
        <f ca="1">stat(calculs!BA112)</f>
        <v>#NAME?</v>
      </c>
      <c r="BB112" s="525" t="e">
        <f ca="1">stat(calculs!BB112)</f>
        <v>#NAME?</v>
      </c>
      <c r="BC112" s="525" t="e">
        <f ca="1">stat(calculs!BC112)</f>
        <v>#NAME?</v>
      </c>
      <c r="BD112" s="525" t="e">
        <f ca="1">stat(calculs!BD112)</f>
        <v>#NAME?</v>
      </c>
      <c r="BE112" s="525" t="e">
        <f ca="1">stat(calculs!BE112)</f>
        <v>#NAME?</v>
      </c>
      <c r="BF112" s="525" t="e">
        <f ca="1">stat(calculs!BF112)</f>
        <v>#NAME?</v>
      </c>
      <c r="BG112" s="729" t="e">
        <f ca="1">stat(calculs!BG112)</f>
        <v>#NAME?</v>
      </c>
      <c r="BH112" s="729" t="e">
        <f ca="1">stat(calculs!BH112)</f>
        <v>#NAME?</v>
      </c>
      <c r="BI112" s="729" t="e">
        <f ca="1">stat(calculs!BI112)</f>
        <v>#NAME?</v>
      </c>
      <c r="BJ112" s="729" t="e">
        <f ca="1">stat(calculs!BJ112)</f>
        <v>#NAME?</v>
      </c>
      <c r="BK112" s="729" t="e">
        <f ca="1">stat(calculs!BK112)</f>
        <v>#NAME?</v>
      </c>
      <c r="BL112" s="525" t="e">
        <f ca="1">stat(calculs!BL112)</f>
        <v>#NAME?</v>
      </c>
      <c r="BM112" s="525" t="e">
        <f ca="1">stat(calculs!BM112)</f>
        <v>#NAME?</v>
      </c>
      <c r="BN112" s="525" t="e">
        <f ca="1">stat(calculs!BN112)</f>
        <v>#NAME?</v>
      </c>
      <c r="BO112" s="525" t="e">
        <f ca="1">stat(calculs!BO112)</f>
        <v>#NAME?</v>
      </c>
      <c r="BP112" s="525" t="e">
        <f ca="1">stat(calculs!BP112)</f>
        <v>#NAME?</v>
      </c>
      <c r="BQ112" s="525" t="e">
        <f ca="1">stat(calculs!BQ112)</f>
        <v>#NAME?</v>
      </c>
      <c r="BR112" s="525" t="e">
        <f ca="1">stat(calculs!BR112)</f>
        <v>#NAME?</v>
      </c>
    </row>
    <row r="113" spans="1:70" x14ac:dyDescent="0.2">
      <c r="A113" s="222">
        <f>données_step[[#This Row],[Datum]]</f>
        <v>44664</v>
      </c>
      <c r="B113" s="223"/>
      <c r="C113" s="224">
        <f t="shared" si="1"/>
        <v>4</v>
      </c>
      <c r="D113" s="523" t="e">
        <f ca="1">stat(charge_entree[[#This Row],[ch_E_DBO5]])</f>
        <v>#NAME?</v>
      </c>
      <c r="E113" s="523" t="e">
        <f ca="1">stat(charge_entree[[#This Row],[ch_E_DCO]])</f>
        <v>#NAME?</v>
      </c>
      <c r="F113" s="523" t="e">
        <f ca="1">stat(charge_entree[[#This Row],[ch_E_COT]])</f>
        <v>#NAME?</v>
      </c>
      <c r="G113" s="523" t="e">
        <f ca="1">stat(charge_entree[[#This Row],[ch_E_NH4]])</f>
        <v>#NAME?</v>
      </c>
      <c r="H113" s="523" t="e">
        <f ca="1">stat(charge_entree[[#This Row],[ch_E_NTOT]])</f>
        <v>#NAME?</v>
      </c>
      <c r="I113" s="523" t="e">
        <f ca="1">stat(charge_entree[[#This Row],[ch_E_PTOT]])</f>
        <v>#NAME?</v>
      </c>
      <c r="J113" s="523" t="e">
        <f ca="1">stat(charge_entree[[#This Row],[ch_S_DBO]])</f>
        <v>#NAME?</v>
      </c>
      <c r="K113" s="523" t="e">
        <f ca="1">stat(charge_entree[[#This Row],[ch_S-DCO]])</f>
        <v>#NAME?</v>
      </c>
      <c r="L113" s="523" t="e">
        <f ca="1">stat(charge_entree[[#This Row],[ch_S_DOC]])</f>
        <v>#NAME?</v>
      </c>
      <c r="M113" s="523" t="e">
        <f ca="1">stat(charge_entree[[#This Row],[ch_S_NH4]])</f>
        <v>#NAME?</v>
      </c>
      <c r="N113" s="523" t="e">
        <f ca="1">stat(charge_entree[[#This Row],[ch_S_NO2]])</f>
        <v>#NAME?</v>
      </c>
      <c r="O113" s="523" t="e">
        <f ca="1">stat(charge_entree[[#This Row],[ch_S_NO3]])</f>
        <v>#NAME?</v>
      </c>
      <c r="P113" s="523" t="e">
        <f ca="1">stat(charge_entree[[#This Row],[ch_S_PTOT]])</f>
        <v>#NAME?</v>
      </c>
      <c r="Q113" s="523" t="e">
        <f ca="1">stat(charge_entree[[#This Row],[ch_S_SNDT]])</f>
        <v>#NAME?</v>
      </c>
      <c r="R113" s="523">
        <f>calculs!R113</f>
        <v>0</v>
      </c>
      <c r="S113" s="523" t="e">
        <f ca="1">stat(calculs!S113)</f>
        <v>#NAME?</v>
      </c>
      <c r="T113" s="523" t="e">
        <f ca="1">stat(calculs!T113)</f>
        <v>#NAME?</v>
      </c>
      <c r="U113" s="523" t="e">
        <f ca="1">stat(calculs!U113)</f>
        <v>#NAME?</v>
      </c>
      <c r="V113" s="523" t="e">
        <f ca="1">stat(calculs!V113)</f>
        <v>#NAME?</v>
      </c>
      <c r="W113" s="523" t="e">
        <f ca="1">stat(calculs!W113)</f>
        <v>#NAME?</v>
      </c>
      <c r="X113" s="523" t="e">
        <f ca="1">stat(calculs!X113)</f>
        <v>#NAME?</v>
      </c>
      <c r="Y113" s="523" t="e">
        <f ca="1">stat(calculs!Y113)</f>
        <v>#NAME?</v>
      </c>
      <c r="Z113" s="523" t="e">
        <f ca="1">stat(calculs!Z113)</f>
        <v>#NAME?</v>
      </c>
      <c r="AA113" s="523" t="e">
        <f ca="1">stat(calculs!AA113)</f>
        <v>#NAME?</v>
      </c>
      <c r="AB113" s="523" t="e">
        <f ca="1">stat(calculs!AB113)</f>
        <v>#NAME?</v>
      </c>
      <c r="AC113" s="523" t="e">
        <f ca="1">stat(calculs!AC113)</f>
        <v>#NAME?</v>
      </c>
      <c r="AD113" s="523" t="e">
        <f ca="1">stat(calculs!AD113)</f>
        <v>#NAME?</v>
      </c>
      <c r="AE113" s="523" t="e">
        <f ca="1">stat(calculs!AE113)</f>
        <v>#NAME?</v>
      </c>
      <c r="AF113" s="523" t="e">
        <f ca="1">stat(calculs!AF113)</f>
        <v>#NAME?</v>
      </c>
      <c r="AG113" s="523" t="e">
        <f ca="1">stat(calculs!AG113)</f>
        <v>#NAME?</v>
      </c>
      <c r="AH113" s="523" t="e">
        <f ca="1">stat(calculs!AH113)</f>
        <v>#NAME?</v>
      </c>
      <c r="AI113" s="523" t="e">
        <f ca="1">stat(calculs!AI113)</f>
        <v>#NAME?</v>
      </c>
      <c r="AJ113" s="523" t="e">
        <f ca="1">stat(calculs!AJ113)</f>
        <v>#NAME?</v>
      </c>
      <c r="AK113" s="523" t="e">
        <f ca="1">stat(calculs!AK113)</f>
        <v>#NAME?</v>
      </c>
      <c r="AL113" s="523" t="e">
        <f ca="1">stat(calculs!AL113)</f>
        <v>#NAME?</v>
      </c>
      <c r="AM113" s="523" t="e">
        <f ca="1">stat(calculs!AM113)</f>
        <v>#NAME?</v>
      </c>
      <c r="AN113" s="523" t="e">
        <f ca="1">stat(calculs!AN113)</f>
        <v>#NAME?</v>
      </c>
      <c r="AO113" s="523" t="e">
        <f ca="1">stat(calculs!AO113)</f>
        <v>#NAME?</v>
      </c>
      <c r="AP113" s="523" t="e">
        <f ca="1">stat(calculs!AP113)</f>
        <v>#NAME?</v>
      </c>
      <c r="AQ113" s="523" t="e">
        <f ca="1">stat(calculs!AQ113)</f>
        <v>#NAME?</v>
      </c>
      <c r="AV113" s="525" t="str">
        <f>stat(calculs!AV113)</f>
        <v/>
      </c>
      <c r="AW113" s="525" t="str">
        <f>stat(calculs!AW113)</f>
        <v/>
      </c>
      <c r="AX113" s="525" t="str">
        <f>stat(calculs!AX113)</f>
        <v/>
      </c>
      <c r="AY113" s="525" t="e">
        <f ca="1">stat(calculs!AY113)</f>
        <v>#NAME?</v>
      </c>
      <c r="AZ113" s="525" t="e">
        <f ca="1">stat(calculs!AZ113)</f>
        <v>#NAME?</v>
      </c>
      <c r="BA113" s="525" t="e">
        <f ca="1">stat(calculs!BA113)</f>
        <v>#NAME?</v>
      </c>
      <c r="BB113" s="525" t="e">
        <f ca="1">stat(calculs!BB113)</f>
        <v>#NAME?</v>
      </c>
      <c r="BC113" s="525" t="e">
        <f ca="1">stat(calculs!BC113)</f>
        <v>#NAME?</v>
      </c>
      <c r="BD113" s="525" t="e">
        <f ca="1">stat(calculs!BD113)</f>
        <v>#NAME?</v>
      </c>
      <c r="BE113" s="525" t="e">
        <f ca="1">stat(calculs!BE113)</f>
        <v>#NAME?</v>
      </c>
      <c r="BF113" s="525" t="e">
        <f ca="1">stat(calculs!BF113)</f>
        <v>#NAME?</v>
      </c>
      <c r="BG113" s="729" t="e">
        <f ca="1">stat(calculs!BG113)</f>
        <v>#NAME?</v>
      </c>
      <c r="BH113" s="729" t="e">
        <f ca="1">stat(calculs!BH113)</f>
        <v>#NAME?</v>
      </c>
      <c r="BI113" s="729" t="e">
        <f ca="1">stat(calculs!BI113)</f>
        <v>#NAME?</v>
      </c>
      <c r="BJ113" s="729" t="e">
        <f ca="1">stat(calculs!BJ113)</f>
        <v>#NAME?</v>
      </c>
      <c r="BK113" s="729" t="e">
        <f ca="1">stat(calculs!BK113)</f>
        <v>#NAME?</v>
      </c>
      <c r="BL113" s="525" t="e">
        <f ca="1">stat(calculs!BL113)</f>
        <v>#NAME?</v>
      </c>
      <c r="BM113" s="525" t="e">
        <f ca="1">stat(calculs!BM113)</f>
        <v>#NAME?</v>
      </c>
      <c r="BN113" s="525" t="e">
        <f ca="1">stat(calculs!BN113)</f>
        <v>#NAME?</v>
      </c>
      <c r="BO113" s="525" t="e">
        <f ca="1">stat(calculs!BO113)</f>
        <v>#NAME?</v>
      </c>
      <c r="BP113" s="525" t="e">
        <f ca="1">stat(calculs!BP113)</f>
        <v>#NAME?</v>
      </c>
      <c r="BQ113" s="525" t="e">
        <f ca="1">stat(calculs!BQ113)</f>
        <v>#NAME?</v>
      </c>
      <c r="BR113" s="525" t="e">
        <f ca="1">stat(calculs!BR113)</f>
        <v>#NAME?</v>
      </c>
    </row>
    <row r="114" spans="1:70" x14ac:dyDescent="0.2">
      <c r="A114" s="222">
        <f>données_step[[#This Row],[Datum]]</f>
        <v>44665</v>
      </c>
      <c r="B114" s="223"/>
      <c r="C114" s="224">
        <f t="shared" si="1"/>
        <v>5</v>
      </c>
      <c r="D114" s="523" t="e">
        <f ca="1">stat(charge_entree[[#This Row],[ch_E_DBO5]])</f>
        <v>#NAME?</v>
      </c>
      <c r="E114" s="523" t="e">
        <f ca="1">stat(charge_entree[[#This Row],[ch_E_DCO]])</f>
        <v>#NAME?</v>
      </c>
      <c r="F114" s="523" t="e">
        <f ca="1">stat(charge_entree[[#This Row],[ch_E_COT]])</f>
        <v>#NAME?</v>
      </c>
      <c r="G114" s="523" t="e">
        <f ca="1">stat(charge_entree[[#This Row],[ch_E_NH4]])</f>
        <v>#NAME?</v>
      </c>
      <c r="H114" s="523" t="e">
        <f ca="1">stat(charge_entree[[#This Row],[ch_E_NTOT]])</f>
        <v>#NAME?</v>
      </c>
      <c r="I114" s="523" t="e">
        <f ca="1">stat(charge_entree[[#This Row],[ch_E_PTOT]])</f>
        <v>#NAME?</v>
      </c>
      <c r="J114" s="523" t="e">
        <f ca="1">stat(charge_entree[[#This Row],[ch_S_DBO]])</f>
        <v>#NAME?</v>
      </c>
      <c r="K114" s="523" t="e">
        <f ca="1">stat(charge_entree[[#This Row],[ch_S-DCO]])</f>
        <v>#NAME?</v>
      </c>
      <c r="L114" s="523" t="e">
        <f ca="1">stat(charge_entree[[#This Row],[ch_S_DOC]])</f>
        <v>#NAME?</v>
      </c>
      <c r="M114" s="523" t="e">
        <f ca="1">stat(charge_entree[[#This Row],[ch_S_NH4]])</f>
        <v>#NAME?</v>
      </c>
      <c r="N114" s="523" t="e">
        <f ca="1">stat(charge_entree[[#This Row],[ch_S_NO2]])</f>
        <v>#NAME?</v>
      </c>
      <c r="O114" s="523" t="e">
        <f ca="1">stat(charge_entree[[#This Row],[ch_S_NO3]])</f>
        <v>#NAME?</v>
      </c>
      <c r="P114" s="523" t="e">
        <f ca="1">stat(charge_entree[[#This Row],[ch_S_PTOT]])</f>
        <v>#NAME?</v>
      </c>
      <c r="Q114" s="523" t="e">
        <f ca="1">stat(charge_entree[[#This Row],[ch_S_SNDT]])</f>
        <v>#NAME?</v>
      </c>
      <c r="R114" s="523">
        <f>calculs!R114</f>
        <v>0</v>
      </c>
      <c r="S114" s="523" t="e">
        <f ca="1">stat(calculs!S114)</f>
        <v>#NAME?</v>
      </c>
      <c r="T114" s="523" t="e">
        <f ca="1">stat(calculs!T114)</f>
        <v>#NAME?</v>
      </c>
      <c r="U114" s="523" t="e">
        <f ca="1">stat(calculs!U114)</f>
        <v>#NAME?</v>
      </c>
      <c r="V114" s="523" t="e">
        <f ca="1">stat(calculs!V114)</f>
        <v>#NAME?</v>
      </c>
      <c r="W114" s="523" t="e">
        <f ca="1">stat(calculs!W114)</f>
        <v>#NAME?</v>
      </c>
      <c r="X114" s="523" t="e">
        <f ca="1">stat(calculs!X114)</f>
        <v>#NAME?</v>
      </c>
      <c r="Y114" s="523" t="e">
        <f ca="1">stat(calculs!Y114)</f>
        <v>#NAME?</v>
      </c>
      <c r="Z114" s="523" t="e">
        <f ca="1">stat(calculs!Z114)</f>
        <v>#NAME?</v>
      </c>
      <c r="AA114" s="523" t="e">
        <f ca="1">stat(calculs!AA114)</f>
        <v>#NAME?</v>
      </c>
      <c r="AB114" s="523" t="e">
        <f ca="1">stat(calculs!AB114)</f>
        <v>#NAME?</v>
      </c>
      <c r="AC114" s="523" t="e">
        <f ca="1">stat(calculs!AC114)</f>
        <v>#NAME?</v>
      </c>
      <c r="AD114" s="523" t="e">
        <f ca="1">stat(calculs!AD114)</f>
        <v>#NAME?</v>
      </c>
      <c r="AE114" s="523" t="e">
        <f ca="1">stat(calculs!AE114)</f>
        <v>#NAME?</v>
      </c>
      <c r="AF114" s="523" t="e">
        <f ca="1">stat(calculs!AF114)</f>
        <v>#NAME?</v>
      </c>
      <c r="AG114" s="523" t="e">
        <f ca="1">stat(calculs!AG114)</f>
        <v>#NAME?</v>
      </c>
      <c r="AH114" s="523" t="e">
        <f ca="1">stat(calculs!AH114)</f>
        <v>#NAME?</v>
      </c>
      <c r="AI114" s="523" t="e">
        <f ca="1">stat(calculs!AI114)</f>
        <v>#NAME?</v>
      </c>
      <c r="AJ114" s="523" t="e">
        <f ca="1">stat(calculs!AJ114)</f>
        <v>#NAME?</v>
      </c>
      <c r="AK114" s="523" t="e">
        <f ca="1">stat(calculs!AK114)</f>
        <v>#NAME?</v>
      </c>
      <c r="AL114" s="523" t="e">
        <f ca="1">stat(calculs!AL114)</f>
        <v>#NAME?</v>
      </c>
      <c r="AM114" s="523" t="e">
        <f ca="1">stat(calculs!AM114)</f>
        <v>#NAME?</v>
      </c>
      <c r="AN114" s="523" t="e">
        <f ca="1">stat(calculs!AN114)</f>
        <v>#NAME?</v>
      </c>
      <c r="AO114" s="523" t="e">
        <f ca="1">stat(calculs!AO114)</f>
        <v>#NAME?</v>
      </c>
      <c r="AP114" s="523" t="e">
        <f ca="1">stat(calculs!AP114)</f>
        <v>#NAME?</v>
      </c>
      <c r="AQ114" s="523" t="e">
        <f ca="1">stat(calculs!AQ114)</f>
        <v>#NAME?</v>
      </c>
      <c r="AV114" s="525" t="str">
        <f>stat(calculs!AV114)</f>
        <v/>
      </c>
      <c r="AW114" s="525" t="str">
        <f>stat(calculs!AW114)</f>
        <v/>
      </c>
      <c r="AX114" s="525" t="str">
        <f>stat(calculs!AX114)</f>
        <v/>
      </c>
      <c r="AY114" s="525" t="e">
        <f ca="1">stat(calculs!AY114)</f>
        <v>#NAME?</v>
      </c>
      <c r="AZ114" s="525" t="e">
        <f ca="1">stat(calculs!AZ114)</f>
        <v>#NAME?</v>
      </c>
      <c r="BA114" s="525" t="e">
        <f ca="1">stat(calculs!BA114)</f>
        <v>#NAME?</v>
      </c>
      <c r="BB114" s="525" t="e">
        <f ca="1">stat(calculs!BB114)</f>
        <v>#NAME?</v>
      </c>
      <c r="BC114" s="525" t="e">
        <f ca="1">stat(calculs!BC114)</f>
        <v>#NAME?</v>
      </c>
      <c r="BD114" s="525" t="e">
        <f ca="1">stat(calculs!BD114)</f>
        <v>#NAME?</v>
      </c>
      <c r="BE114" s="525" t="e">
        <f ca="1">stat(calculs!BE114)</f>
        <v>#NAME?</v>
      </c>
      <c r="BF114" s="525" t="e">
        <f ca="1">stat(calculs!BF114)</f>
        <v>#NAME?</v>
      </c>
      <c r="BG114" s="729" t="e">
        <f ca="1">stat(calculs!BG114)</f>
        <v>#NAME?</v>
      </c>
      <c r="BH114" s="729" t="e">
        <f ca="1">stat(calculs!BH114)</f>
        <v>#NAME?</v>
      </c>
      <c r="BI114" s="729" t="e">
        <f ca="1">stat(calculs!BI114)</f>
        <v>#NAME?</v>
      </c>
      <c r="BJ114" s="729" t="e">
        <f ca="1">stat(calculs!BJ114)</f>
        <v>#NAME?</v>
      </c>
      <c r="BK114" s="729" t="e">
        <f ca="1">stat(calculs!BK114)</f>
        <v>#NAME?</v>
      </c>
      <c r="BL114" s="525" t="e">
        <f ca="1">stat(calculs!BL114)</f>
        <v>#NAME?</v>
      </c>
      <c r="BM114" s="525" t="e">
        <f ca="1">stat(calculs!BM114)</f>
        <v>#NAME?</v>
      </c>
      <c r="BN114" s="525" t="e">
        <f ca="1">stat(calculs!BN114)</f>
        <v>#NAME?</v>
      </c>
      <c r="BO114" s="525" t="e">
        <f ca="1">stat(calculs!BO114)</f>
        <v>#NAME?</v>
      </c>
      <c r="BP114" s="525" t="e">
        <f ca="1">stat(calculs!BP114)</f>
        <v>#NAME?</v>
      </c>
      <c r="BQ114" s="525" t="e">
        <f ca="1">stat(calculs!BQ114)</f>
        <v>#NAME?</v>
      </c>
      <c r="BR114" s="525" t="e">
        <f ca="1">stat(calculs!BR114)</f>
        <v>#NAME?</v>
      </c>
    </row>
    <row r="115" spans="1:70" x14ac:dyDescent="0.2">
      <c r="A115" s="222">
        <f>données_step[[#This Row],[Datum]]</f>
        <v>44666</v>
      </c>
      <c r="B115" s="223"/>
      <c r="C115" s="224">
        <f t="shared" si="1"/>
        <v>6</v>
      </c>
      <c r="D115" s="523" t="e">
        <f ca="1">stat(charge_entree[[#This Row],[ch_E_DBO5]])</f>
        <v>#NAME?</v>
      </c>
      <c r="E115" s="523" t="e">
        <f ca="1">stat(charge_entree[[#This Row],[ch_E_DCO]])</f>
        <v>#NAME?</v>
      </c>
      <c r="F115" s="523" t="e">
        <f ca="1">stat(charge_entree[[#This Row],[ch_E_COT]])</f>
        <v>#NAME?</v>
      </c>
      <c r="G115" s="523" t="e">
        <f ca="1">stat(charge_entree[[#This Row],[ch_E_NH4]])</f>
        <v>#NAME?</v>
      </c>
      <c r="H115" s="523" t="e">
        <f ca="1">stat(charge_entree[[#This Row],[ch_E_NTOT]])</f>
        <v>#NAME?</v>
      </c>
      <c r="I115" s="523" t="e">
        <f ca="1">stat(charge_entree[[#This Row],[ch_E_PTOT]])</f>
        <v>#NAME?</v>
      </c>
      <c r="J115" s="523" t="e">
        <f ca="1">stat(charge_entree[[#This Row],[ch_S_DBO]])</f>
        <v>#NAME?</v>
      </c>
      <c r="K115" s="523" t="e">
        <f ca="1">stat(charge_entree[[#This Row],[ch_S-DCO]])</f>
        <v>#NAME?</v>
      </c>
      <c r="L115" s="523" t="e">
        <f ca="1">stat(charge_entree[[#This Row],[ch_S_DOC]])</f>
        <v>#NAME?</v>
      </c>
      <c r="M115" s="523" t="e">
        <f ca="1">stat(charge_entree[[#This Row],[ch_S_NH4]])</f>
        <v>#NAME?</v>
      </c>
      <c r="N115" s="523" t="e">
        <f ca="1">stat(charge_entree[[#This Row],[ch_S_NO2]])</f>
        <v>#NAME?</v>
      </c>
      <c r="O115" s="523" t="e">
        <f ca="1">stat(charge_entree[[#This Row],[ch_S_NO3]])</f>
        <v>#NAME?</v>
      </c>
      <c r="P115" s="523" t="e">
        <f ca="1">stat(charge_entree[[#This Row],[ch_S_PTOT]])</f>
        <v>#NAME?</v>
      </c>
      <c r="Q115" s="523" t="e">
        <f ca="1">stat(charge_entree[[#This Row],[ch_S_SNDT]])</f>
        <v>#NAME?</v>
      </c>
      <c r="R115" s="523">
        <f>calculs!R115</f>
        <v>0</v>
      </c>
      <c r="S115" s="523" t="e">
        <f ca="1">stat(calculs!S115)</f>
        <v>#NAME?</v>
      </c>
      <c r="T115" s="523" t="e">
        <f ca="1">stat(calculs!T115)</f>
        <v>#NAME?</v>
      </c>
      <c r="U115" s="523" t="e">
        <f ca="1">stat(calculs!U115)</f>
        <v>#NAME?</v>
      </c>
      <c r="V115" s="523" t="e">
        <f ca="1">stat(calculs!V115)</f>
        <v>#NAME?</v>
      </c>
      <c r="W115" s="523" t="e">
        <f ca="1">stat(calculs!W115)</f>
        <v>#NAME?</v>
      </c>
      <c r="X115" s="523" t="e">
        <f ca="1">stat(calculs!X115)</f>
        <v>#NAME?</v>
      </c>
      <c r="Y115" s="523" t="e">
        <f ca="1">stat(calculs!Y115)</f>
        <v>#NAME?</v>
      </c>
      <c r="Z115" s="523" t="e">
        <f ca="1">stat(calculs!Z115)</f>
        <v>#NAME?</v>
      </c>
      <c r="AA115" s="523" t="e">
        <f ca="1">stat(calculs!AA115)</f>
        <v>#NAME?</v>
      </c>
      <c r="AB115" s="523" t="e">
        <f ca="1">stat(calculs!AB115)</f>
        <v>#NAME?</v>
      </c>
      <c r="AC115" s="523" t="e">
        <f ca="1">stat(calculs!AC115)</f>
        <v>#NAME?</v>
      </c>
      <c r="AD115" s="523" t="e">
        <f ca="1">stat(calculs!AD115)</f>
        <v>#NAME?</v>
      </c>
      <c r="AE115" s="523" t="e">
        <f ca="1">stat(calculs!AE115)</f>
        <v>#NAME?</v>
      </c>
      <c r="AF115" s="523" t="e">
        <f ca="1">stat(calculs!AF115)</f>
        <v>#NAME?</v>
      </c>
      <c r="AG115" s="523" t="e">
        <f ca="1">stat(calculs!AG115)</f>
        <v>#NAME?</v>
      </c>
      <c r="AH115" s="523" t="e">
        <f ca="1">stat(calculs!AH115)</f>
        <v>#NAME?</v>
      </c>
      <c r="AI115" s="523" t="e">
        <f ca="1">stat(calculs!AI115)</f>
        <v>#NAME?</v>
      </c>
      <c r="AJ115" s="523" t="e">
        <f ca="1">stat(calculs!AJ115)</f>
        <v>#NAME?</v>
      </c>
      <c r="AK115" s="523" t="e">
        <f ca="1">stat(calculs!AK115)</f>
        <v>#NAME?</v>
      </c>
      <c r="AL115" s="523" t="e">
        <f ca="1">stat(calculs!AL115)</f>
        <v>#NAME?</v>
      </c>
      <c r="AM115" s="523" t="e">
        <f ca="1">stat(calculs!AM115)</f>
        <v>#NAME?</v>
      </c>
      <c r="AN115" s="523" t="e">
        <f ca="1">stat(calculs!AN115)</f>
        <v>#NAME?</v>
      </c>
      <c r="AO115" s="523" t="e">
        <f ca="1">stat(calculs!AO115)</f>
        <v>#NAME?</v>
      </c>
      <c r="AP115" s="523" t="e">
        <f ca="1">stat(calculs!AP115)</f>
        <v>#NAME?</v>
      </c>
      <c r="AQ115" s="523" t="e">
        <f ca="1">stat(calculs!AQ115)</f>
        <v>#NAME?</v>
      </c>
      <c r="AV115" s="525" t="str">
        <f>stat(calculs!AV115)</f>
        <v/>
      </c>
      <c r="AW115" s="525" t="str">
        <f>stat(calculs!AW115)</f>
        <v/>
      </c>
      <c r="AX115" s="525" t="str">
        <f>stat(calculs!AX115)</f>
        <v/>
      </c>
      <c r="AY115" s="525" t="e">
        <f ca="1">stat(calculs!AY115)</f>
        <v>#NAME?</v>
      </c>
      <c r="AZ115" s="525" t="e">
        <f ca="1">stat(calculs!AZ115)</f>
        <v>#NAME?</v>
      </c>
      <c r="BA115" s="525" t="e">
        <f ca="1">stat(calculs!BA115)</f>
        <v>#NAME?</v>
      </c>
      <c r="BB115" s="525" t="e">
        <f ca="1">stat(calculs!BB115)</f>
        <v>#NAME?</v>
      </c>
      <c r="BC115" s="525" t="e">
        <f ca="1">stat(calculs!BC115)</f>
        <v>#NAME?</v>
      </c>
      <c r="BD115" s="525" t="e">
        <f ca="1">stat(calculs!BD115)</f>
        <v>#NAME?</v>
      </c>
      <c r="BE115" s="525" t="e">
        <f ca="1">stat(calculs!BE115)</f>
        <v>#NAME?</v>
      </c>
      <c r="BF115" s="525" t="e">
        <f ca="1">stat(calculs!BF115)</f>
        <v>#NAME?</v>
      </c>
      <c r="BG115" s="729" t="e">
        <f ca="1">stat(calculs!BG115)</f>
        <v>#NAME?</v>
      </c>
      <c r="BH115" s="729" t="e">
        <f ca="1">stat(calculs!BH115)</f>
        <v>#NAME?</v>
      </c>
      <c r="BI115" s="729" t="e">
        <f ca="1">stat(calculs!BI115)</f>
        <v>#NAME?</v>
      </c>
      <c r="BJ115" s="729" t="e">
        <f ca="1">stat(calculs!BJ115)</f>
        <v>#NAME?</v>
      </c>
      <c r="BK115" s="729" t="e">
        <f ca="1">stat(calculs!BK115)</f>
        <v>#NAME?</v>
      </c>
      <c r="BL115" s="525" t="e">
        <f ca="1">stat(calculs!BL115)</f>
        <v>#NAME?</v>
      </c>
      <c r="BM115" s="525" t="e">
        <f ca="1">stat(calculs!BM115)</f>
        <v>#NAME?</v>
      </c>
      <c r="BN115" s="525" t="e">
        <f ca="1">stat(calculs!BN115)</f>
        <v>#NAME?</v>
      </c>
      <c r="BO115" s="525" t="e">
        <f ca="1">stat(calculs!BO115)</f>
        <v>#NAME?</v>
      </c>
      <c r="BP115" s="525" t="e">
        <f ca="1">stat(calculs!BP115)</f>
        <v>#NAME?</v>
      </c>
      <c r="BQ115" s="525" t="e">
        <f ca="1">stat(calculs!BQ115)</f>
        <v>#NAME?</v>
      </c>
      <c r="BR115" s="525" t="e">
        <f ca="1">stat(calculs!BR115)</f>
        <v>#NAME?</v>
      </c>
    </row>
    <row r="116" spans="1:70" x14ac:dyDescent="0.2">
      <c r="A116" s="222">
        <f>données_step[[#This Row],[Datum]]</f>
        <v>44667</v>
      </c>
      <c r="B116" s="223"/>
      <c r="C116" s="224">
        <f t="shared" si="1"/>
        <v>7</v>
      </c>
      <c r="D116" s="523" t="e">
        <f ca="1">stat(charge_entree[[#This Row],[ch_E_DBO5]])</f>
        <v>#NAME?</v>
      </c>
      <c r="E116" s="523" t="e">
        <f ca="1">stat(charge_entree[[#This Row],[ch_E_DCO]])</f>
        <v>#NAME?</v>
      </c>
      <c r="F116" s="523" t="e">
        <f ca="1">stat(charge_entree[[#This Row],[ch_E_COT]])</f>
        <v>#NAME?</v>
      </c>
      <c r="G116" s="523" t="e">
        <f ca="1">stat(charge_entree[[#This Row],[ch_E_NH4]])</f>
        <v>#NAME?</v>
      </c>
      <c r="H116" s="523" t="e">
        <f ca="1">stat(charge_entree[[#This Row],[ch_E_NTOT]])</f>
        <v>#NAME?</v>
      </c>
      <c r="I116" s="523" t="e">
        <f ca="1">stat(charge_entree[[#This Row],[ch_E_PTOT]])</f>
        <v>#NAME?</v>
      </c>
      <c r="J116" s="523" t="e">
        <f ca="1">stat(charge_entree[[#This Row],[ch_S_DBO]])</f>
        <v>#NAME?</v>
      </c>
      <c r="K116" s="523" t="e">
        <f ca="1">stat(charge_entree[[#This Row],[ch_S-DCO]])</f>
        <v>#NAME?</v>
      </c>
      <c r="L116" s="523" t="e">
        <f ca="1">stat(charge_entree[[#This Row],[ch_S_DOC]])</f>
        <v>#NAME?</v>
      </c>
      <c r="M116" s="523" t="e">
        <f ca="1">stat(charge_entree[[#This Row],[ch_S_NH4]])</f>
        <v>#NAME?</v>
      </c>
      <c r="N116" s="523" t="e">
        <f ca="1">stat(charge_entree[[#This Row],[ch_S_NO2]])</f>
        <v>#NAME?</v>
      </c>
      <c r="O116" s="523" t="e">
        <f ca="1">stat(charge_entree[[#This Row],[ch_S_NO3]])</f>
        <v>#NAME?</v>
      </c>
      <c r="P116" s="523" t="e">
        <f ca="1">stat(charge_entree[[#This Row],[ch_S_PTOT]])</f>
        <v>#NAME?</v>
      </c>
      <c r="Q116" s="523" t="e">
        <f ca="1">stat(charge_entree[[#This Row],[ch_S_SNDT]])</f>
        <v>#NAME?</v>
      </c>
      <c r="R116" s="523">
        <f>calculs!R116</f>
        <v>0</v>
      </c>
      <c r="S116" s="523" t="e">
        <f ca="1">stat(calculs!S116)</f>
        <v>#NAME?</v>
      </c>
      <c r="T116" s="523" t="e">
        <f ca="1">stat(calculs!T116)</f>
        <v>#NAME?</v>
      </c>
      <c r="U116" s="523" t="e">
        <f ca="1">stat(calculs!U116)</f>
        <v>#NAME?</v>
      </c>
      <c r="V116" s="523" t="e">
        <f ca="1">stat(calculs!V116)</f>
        <v>#NAME?</v>
      </c>
      <c r="W116" s="523" t="e">
        <f ca="1">stat(calculs!W116)</f>
        <v>#NAME?</v>
      </c>
      <c r="X116" s="523" t="e">
        <f ca="1">stat(calculs!X116)</f>
        <v>#NAME?</v>
      </c>
      <c r="Y116" s="523" t="e">
        <f ca="1">stat(calculs!Y116)</f>
        <v>#NAME?</v>
      </c>
      <c r="Z116" s="523" t="e">
        <f ca="1">stat(calculs!Z116)</f>
        <v>#NAME?</v>
      </c>
      <c r="AA116" s="523" t="e">
        <f ca="1">stat(calculs!AA116)</f>
        <v>#NAME?</v>
      </c>
      <c r="AB116" s="523" t="e">
        <f ca="1">stat(calculs!AB116)</f>
        <v>#NAME?</v>
      </c>
      <c r="AC116" s="523" t="e">
        <f ca="1">stat(calculs!AC116)</f>
        <v>#NAME?</v>
      </c>
      <c r="AD116" s="523" t="e">
        <f ca="1">stat(calculs!AD116)</f>
        <v>#NAME?</v>
      </c>
      <c r="AE116" s="523" t="e">
        <f ca="1">stat(calculs!AE116)</f>
        <v>#NAME?</v>
      </c>
      <c r="AF116" s="523" t="e">
        <f ca="1">stat(calculs!AF116)</f>
        <v>#NAME?</v>
      </c>
      <c r="AG116" s="523" t="e">
        <f ca="1">stat(calculs!AG116)</f>
        <v>#NAME?</v>
      </c>
      <c r="AH116" s="523" t="e">
        <f ca="1">stat(calculs!AH116)</f>
        <v>#NAME?</v>
      </c>
      <c r="AI116" s="523" t="e">
        <f ca="1">stat(calculs!AI116)</f>
        <v>#NAME?</v>
      </c>
      <c r="AJ116" s="523" t="e">
        <f ca="1">stat(calculs!AJ116)</f>
        <v>#NAME?</v>
      </c>
      <c r="AK116" s="523" t="e">
        <f ca="1">stat(calculs!AK116)</f>
        <v>#NAME?</v>
      </c>
      <c r="AL116" s="523" t="e">
        <f ca="1">stat(calculs!AL116)</f>
        <v>#NAME?</v>
      </c>
      <c r="AM116" s="523" t="e">
        <f ca="1">stat(calculs!AM116)</f>
        <v>#NAME?</v>
      </c>
      <c r="AN116" s="523" t="e">
        <f ca="1">stat(calculs!AN116)</f>
        <v>#NAME?</v>
      </c>
      <c r="AO116" s="523" t="e">
        <f ca="1">stat(calculs!AO116)</f>
        <v>#NAME?</v>
      </c>
      <c r="AP116" s="523" t="e">
        <f ca="1">stat(calculs!AP116)</f>
        <v>#NAME?</v>
      </c>
      <c r="AQ116" s="523" t="e">
        <f ca="1">stat(calculs!AQ116)</f>
        <v>#NAME?</v>
      </c>
      <c r="AV116" s="525" t="str">
        <f>stat(calculs!AV116)</f>
        <v/>
      </c>
      <c r="AW116" s="525" t="str">
        <f>stat(calculs!AW116)</f>
        <v/>
      </c>
      <c r="AX116" s="525" t="str">
        <f>stat(calculs!AX116)</f>
        <v/>
      </c>
      <c r="AY116" s="525" t="e">
        <f ca="1">stat(calculs!AY116)</f>
        <v>#NAME?</v>
      </c>
      <c r="AZ116" s="525" t="e">
        <f ca="1">stat(calculs!AZ116)</f>
        <v>#NAME?</v>
      </c>
      <c r="BA116" s="525" t="e">
        <f ca="1">stat(calculs!BA116)</f>
        <v>#NAME?</v>
      </c>
      <c r="BB116" s="525" t="e">
        <f ca="1">stat(calculs!BB116)</f>
        <v>#NAME?</v>
      </c>
      <c r="BC116" s="525" t="e">
        <f ca="1">stat(calculs!BC116)</f>
        <v>#NAME?</v>
      </c>
      <c r="BD116" s="525" t="e">
        <f ca="1">stat(calculs!BD116)</f>
        <v>#NAME?</v>
      </c>
      <c r="BE116" s="525" t="e">
        <f ca="1">stat(calculs!BE116)</f>
        <v>#NAME?</v>
      </c>
      <c r="BF116" s="525" t="e">
        <f ca="1">stat(calculs!BF116)</f>
        <v>#NAME?</v>
      </c>
      <c r="BG116" s="729" t="e">
        <f ca="1">stat(calculs!BG116)</f>
        <v>#NAME?</v>
      </c>
      <c r="BH116" s="729" t="e">
        <f ca="1">stat(calculs!BH116)</f>
        <v>#NAME?</v>
      </c>
      <c r="BI116" s="729" t="e">
        <f ca="1">stat(calculs!BI116)</f>
        <v>#NAME?</v>
      </c>
      <c r="BJ116" s="729" t="e">
        <f ca="1">stat(calculs!BJ116)</f>
        <v>#NAME?</v>
      </c>
      <c r="BK116" s="729" t="e">
        <f ca="1">stat(calculs!BK116)</f>
        <v>#NAME?</v>
      </c>
      <c r="BL116" s="525" t="e">
        <f ca="1">stat(calculs!BL116)</f>
        <v>#NAME?</v>
      </c>
      <c r="BM116" s="525" t="e">
        <f ca="1">stat(calculs!BM116)</f>
        <v>#NAME?</v>
      </c>
      <c r="BN116" s="525" t="e">
        <f ca="1">stat(calculs!BN116)</f>
        <v>#NAME?</v>
      </c>
      <c r="BO116" s="525" t="e">
        <f ca="1">stat(calculs!BO116)</f>
        <v>#NAME?</v>
      </c>
      <c r="BP116" s="525" t="e">
        <f ca="1">stat(calculs!BP116)</f>
        <v>#NAME?</v>
      </c>
      <c r="BQ116" s="525" t="e">
        <f ca="1">stat(calculs!BQ116)</f>
        <v>#NAME?</v>
      </c>
      <c r="BR116" s="525" t="e">
        <f ca="1">stat(calculs!BR116)</f>
        <v>#NAME?</v>
      </c>
    </row>
    <row r="117" spans="1:70" x14ac:dyDescent="0.2">
      <c r="A117" s="222">
        <f>données_step[[#This Row],[Datum]]</f>
        <v>44668</v>
      </c>
      <c r="B117" s="223"/>
      <c r="C117" s="224">
        <f t="shared" si="1"/>
        <v>1</v>
      </c>
      <c r="D117" s="523" t="e">
        <f ca="1">stat(charge_entree[[#This Row],[ch_E_DBO5]])</f>
        <v>#NAME?</v>
      </c>
      <c r="E117" s="523" t="e">
        <f ca="1">stat(charge_entree[[#This Row],[ch_E_DCO]])</f>
        <v>#NAME?</v>
      </c>
      <c r="F117" s="523" t="e">
        <f ca="1">stat(charge_entree[[#This Row],[ch_E_COT]])</f>
        <v>#NAME?</v>
      </c>
      <c r="G117" s="523" t="e">
        <f ca="1">stat(charge_entree[[#This Row],[ch_E_NH4]])</f>
        <v>#NAME?</v>
      </c>
      <c r="H117" s="523" t="e">
        <f ca="1">stat(charge_entree[[#This Row],[ch_E_NTOT]])</f>
        <v>#NAME?</v>
      </c>
      <c r="I117" s="523" t="e">
        <f ca="1">stat(charge_entree[[#This Row],[ch_E_PTOT]])</f>
        <v>#NAME?</v>
      </c>
      <c r="J117" s="523" t="e">
        <f ca="1">stat(charge_entree[[#This Row],[ch_S_DBO]])</f>
        <v>#NAME?</v>
      </c>
      <c r="K117" s="523" t="e">
        <f ca="1">stat(charge_entree[[#This Row],[ch_S-DCO]])</f>
        <v>#NAME?</v>
      </c>
      <c r="L117" s="523" t="e">
        <f ca="1">stat(charge_entree[[#This Row],[ch_S_DOC]])</f>
        <v>#NAME?</v>
      </c>
      <c r="M117" s="523" t="e">
        <f ca="1">stat(charge_entree[[#This Row],[ch_S_NH4]])</f>
        <v>#NAME?</v>
      </c>
      <c r="N117" s="523" t="e">
        <f ca="1">stat(charge_entree[[#This Row],[ch_S_NO2]])</f>
        <v>#NAME?</v>
      </c>
      <c r="O117" s="523" t="e">
        <f ca="1">stat(charge_entree[[#This Row],[ch_S_NO3]])</f>
        <v>#NAME?</v>
      </c>
      <c r="P117" s="523" t="e">
        <f ca="1">stat(charge_entree[[#This Row],[ch_S_PTOT]])</f>
        <v>#NAME?</v>
      </c>
      <c r="Q117" s="523" t="e">
        <f ca="1">stat(charge_entree[[#This Row],[ch_S_SNDT]])</f>
        <v>#NAME?</v>
      </c>
      <c r="R117" s="523">
        <f>calculs!R117</f>
        <v>0</v>
      </c>
      <c r="S117" s="523" t="e">
        <f ca="1">stat(calculs!S117)</f>
        <v>#NAME?</v>
      </c>
      <c r="T117" s="523" t="e">
        <f ca="1">stat(calculs!T117)</f>
        <v>#NAME?</v>
      </c>
      <c r="U117" s="523" t="e">
        <f ca="1">stat(calculs!U117)</f>
        <v>#NAME?</v>
      </c>
      <c r="V117" s="523" t="e">
        <f ca="1">stat(calculs!V117)</f>
        <v>#NAME?</v>
      </c>
      <c r="W117" s="523" t="e">
        <f ca="1">stat(calculs!W117)</f>
        <v>#NAME?</v>
      </c>
      <c r="X117" s="523" t="e">
        <f ca="1">stat(calculs!X117)</f>
        <v>#NAME?</v>
      </c>
      <c r="Y117" s="523" t="e">
        <f ca="1">stat(calculs!Y117)</f>
        <v>#NAME?</v>
      </c>
      <c r="Z117" s="523" t="e">
        <f ca="1">stat(calculs!Z117)</f>
        <v>#NAME?</v>
      </c>
      <c r="AA117" s="523" t="e">
        <f ca="1">stat(calculs!AA117)</f>
        <v>#NAME?</v>
      </c>
      <c r="AB117" s="523" t="e">
        <f ca="1">stat(calculs!AB117)</f>
        <v>#NAME?</v>
      </c>
      <c r="AC117" s="523" t="e">
        <f ca="1">stat(calculs!AC117)</f>
        <v>#NAME?</v>
      </c>
      <c r="AD117" s="523" t="e">
        <f ca="1">stat(calculs!AD117)</f>
        <v>#NAME?</v>
      </c>
      <c r="AE117" s="523" t="e">
        <f ca="1">stat(calculs!AE117)</f>
        <v>#NAME?</v>
      </c>
      <c r="AF117" s="523" t="e">
        <f ca="1">stat(calculs!AF117)</f>
        <v>#NAME?</v>
      </c>
      <c r="AG117" s="523" t="e">
        <f ca="1">stat(calculs!AG117)</f>
        <v>#NAME?</v>
      </c>
      <c r="AH117" s="523" t="e">
        <f ca="1">stat(calculs!AH117)</f>
        <v>#NAME?</v>
      </c>
      <c r="AI117" s="523" t="e">
        <f ca="1">stat(calculs!AI117)</f>
        <v>#NAME?</v>
      </c>
      <c r="AJ117" s="523" t="e">
        <f ca="1">stat(calculs!AJ117)</f>
        <v>#NAME?</v>
      </c>
      <c r="AK117" s="523" t="e">
        <f ca="1">stat(calculs!AK117)</f>
        <v>#NAME?</v>
      </c>
      <c r="AL117" s="523" t="e">
        <f ca="1">stat(calculs!AL117)</f>
        <v>#NAME?</v>
      </c>
      <c r="AM117" s="523" t="e">
        <f ca="1">stat(calculs!AM117)</f>
        <v>#NAME?</v>
      </c>
      <c r="AN117" s="523" t="e">
        <f ca="1">stat(calculs!AN117)</f>
        <v>#NAME?</v>
      </c>
      <c r="AO117" s="523" t="e">
        <f ca="1">stat(calculs!AO117)</f>
        <v>#NAME?</v>
      </c>
      <c r="AP117" s="523" t="e">
        <f ca="1">stat(calculs!AP117)</f>
        <v>#NAME?</v>
      </c>
      <c r="AQ117" s="523" t="e">
        <f ca="1">stat(calculs!AQ117)</f>
        <v>#NAME?</v>
      </c>
      <c r="AV117" s="525" t="str">
        <f>stat(calculs!AV117)</f>
        <v/>
      </c>
      <c r="AW117" s="525" t="str">
        <f>stat(calculs!AW117)</f>
        <v/>
      </c>
      <c r="AX117" s="525" t="str">
        <f>stat(calculs!AX117)</f>
        <v/>
      </c>
      <c r="AY117" s="525" t="e">
        <f ca="1">stat(calculs!AY117)</f>
        <v>#NAME?</v>
      </c>
      <c r="AZ117" s="525" t="e">
        <f ca="1">stat(calculs!AZ117)</f>
        <v>#NAME?</v>
      </c>
      <c r="BA117" s="525" t="e">
        <f ca="1">stat(calculs!BA117)</f>
        <v>#NAME?</v>
      </c>
      <c r="BB117" s="525" t="e">
        <f ca="1">stat(calculs!BB117)</f>
        <v>#NAME?</v>
      </c>
      <c r="BC117" s="525" t="e">
        <f ca="1">stat(calculs!BC117)</f>
        <v>#NAME?</v>
      </c>
      <c r="BD117" s="525" t="e">
        <f ca="1">stat(calculs!BD117)</f>
        <v>#NAME?</v>
      </c>
      <c r="BE117" s="525" t="e">
        <f ca="1">stat(calculs!BE117)</f>
        <v>#NAME?</v>
      </c>
      <c r="BF117" s="525" t="e">
        <f ca="1">stat(calculs!BF117)</f>
        <v>#NAME?</v>
      </c>
      <c r="BG117" s="729" t="e">
        <f ca="1">stat(calculs!BG117)</f>
        <v>#NAME?</v>
      </c>
      <c r="BH117" s="729" t="e">
        <f ca="1">stat(calculs!BH117)</f>
        <v>#NAME?</v>
      </c>
      <c r="BI117" s="729" t="e">
        <f ca="1">stat(calculs!BI117)</f>
        <v>#NAME?</v>
      </c>
      <c r="BJ117" s="729" t="e">
        <f ca="1">stat(calculs!BJ117)</f>
        <v>#NAME?</v>
      </c>
      <c r="BK117" s="729" t="e">
        <f ca="1">stat(calculs!BK117)</f>
        <v>#NAME?</v>
      </c>
      <c r="BL117" s="525" t="e">
        <f ca="1">stat(calculs!BL117)</f>
        <v>#NAME?</v>
      </c>
      <c r="BM117" s="525" t="e">
        <f ca="1">stat(calculs!BM117)</f>
        <v>#NAME?</v>
      </c>
      <c r="BN117" s="525" t="e">
        <f ca="1">stat(calculs!BN117)</f>
        <v>#NAME?</v>
      </c>
      <c r="BO117" s="525" t="e">
        <f ca="1">stat(calculs!BO117)</f>
        <v>#NAME?</v>
      </c>
      <c r="BP117" s="525" t="e">
        <f ca="1">stat(calculs!BP117)</f>
        <v>#NAME?</v>
      </c>
      <c r="BQ117" s="525" t="e">
        <f ca="1">stat(calculs!BQ117)</f>
        <v>#NAME?</v>
      </c>
      <c r="BR117" s="525" t="e">
        <f ca="1">stat(calculs!BR117)</f>
        <v>#NAME?</v>
      </c>
    </row>
    <row r="118" spans="1:70" x14ac:dyDescent="0.2">
      <c r="A118" s="222">
        <f>données_step[[#This Row],[Datum]]</f>
        <v>44669</v>
      </c>
      <c r="B118" s="223"/>
      <c r="C118" s="224">
        <f t="shared" si="1"/>
        <v>2</v>
      </c>
      <c r="D118" s="523" t="e">
        <f ca="1">stat(charge_entree[[#This Row],[ch_E_DBO5]])</f>
        <v>#NAME?</v>
      </c>
      <c r="E118" s="523" t="e">
        <f ca="1">stat(charge_entree[[#This Row],[ch_E_DCO]])</f>
        <v>#NAME?</v>
      </c>
      <c r="F118" s="523" t="e">
        <f ca="1">stat(charge_entree[[#This Row],[ch_E_COT]])</f>
        <v>#NAME?</v>
      </c>
      <c r="G118" s="523" t="e">
        <f ca="1">stat(charge_entree[[#This Row],[ch_E_NH4]])</f>
        <v>#NAME?</v>
      </c>
      <c r="H118" s="523" t="e">
        <f ca="1">stat(charge_entree[[#This Row],[ch_E_NTOT]])</f>
        <v>#NAME?</v>
      </c>
      <c r="I118" s="523" t="e">
        <f ca="1">stat(charge_entree[[#This Row],[ch_E_PTOT]])</f>
        <v>#NAME?</v>
      </c>
      <c r="J118" s="523" t="e">
        <f ca="1">stat(charge_entree[[#This Row],[ch_S_DBO]])</f>
        <v>#NAME?</v>
      </c>
      <c r="K118" s="523" t="e">
        <f ca="1">stat(charge_entree[[#This Row],[ch_S-DCO]])</f>
        <v>#NAME?</v>
      </c>
      <c r="L118" s="523" t="e">
        <f ca="1">stat(charge_entree[[#This Row],[ch_S_DOC]])</f>
        <v>#NAME?</v>
      </c>
      <c r="M118" s="523" t="e">
        <f ca="1">stat(charge_entree[[#This Row],[ch_S_NH4]])</f>
        <v>#NAME?</v>
      </c>
      <c r="N118" s="523" t="e">
        <f ca="1">stat(charge_entree[[#This Row],[ch_S_NO2]])</f>
        <v>#NAME?</v>
      </c>
      <c r="O118" s="523" t="e">
        <f ca="1">stat(charge_entree[[#This Row],[ch_S_NO3]])</f>
        <v>#NAME?</v>
      </c>
      <c r="P118" s="523" t="e">
        <f ca="1">stat(charge_entree[[#This Row],[ch_S_PTOT]])</f>
        <v>#NAME?</v>
      </c>
      <c r="Q118" s="523" t="e">
        <f ca="1">stat(charge_entree[[#This Row],[ch_S_SNDT]])</f>
        <v>#NAME?</v>
      </c>
      <c r="R118" s="523">
        <f>calculs!R118</f>
        <v>0</v>
      </c>
      <c r="S118" s="523" t="e">
        <f ca="1">stat(calculs!S118)</f>
        <v>#NAME?</v>
      </c>
      <c r="T118" s="523" t="e">
        <f ca="1">stat(calculs!T118)</f>
        <v>#NAME?</v>
      </c>
      <c r="U118" s="523" t="e">
        <f ca="1">stat(calculs!U118)</f>
        <v>#NAME?</v>
      </c>
      <c r="V118" s="523" t="e">
        <f ca="1">stat(calculs!V118)</f>
        <v>#NAME?</v>
      </c>
      <c r="W118" s="523" t="e">
        <f ca="1">stat(calculs!W118)</f>
        <v>#NAME?</v>
      </c>
      <c r="X118" s="523" t="e">
        <f ca="1">stat(calculs!X118)</f>
        <v>#NAME?</v>
      </c>
      <c r="Y118" s="523" t="e">
        <f ca="1">stat(calculs!Y118)</f>
        <v>#NAME?</v>
      </c>
      <c r="Z118" s="523" t="e">
        <f ca="1">stat(calculs!Z118)</f>
        <v>#NAME?</v>
      </c>
      <c r="AA118" s="523" t="e">
        <f ca="1">stat(calculs!AA118)</f>
        <v>#NAME?</v>
      </c>
      <c r="AB118" s="523" t="e">
        <f ca="1">stat(calculs!AB118)</f>
        <v>#NAME?</v>
      </c>
      <c r="AC118" s="523" t="e">
        <f ca="1">stat(calculs!AC118)</f>
        <v>#NAME?</v>
      </c>
      <c r="AD118" s="523" t="e">
        <f ca="1">stat(calculs!AD118)</f>
        <v>#NAME?</v>
      </c>
      <c r="AE118" s="523" t="e">
        <f ca="1">stat(calculs!AE118)</f>
        <v>#NAME?</v>
      </c>
      <c r="AF118" s="523" t="e">
        <f ca="1">stat(calculs!AF118)</f>
        <v>#NAME?</v>
      </c>
      <c r="AG118" s="523" t="e">
        <f ca="1">stat(calculs!AG118)</f>
        <v>#NAME?</v>
      </c>
      <c r="AH118" s="523" t="e">
        <f ca="1">stat(calculs!AH118)</f>
        <v>#NAME?</v>
      </c>
      <c r="AI118" s="523" t="e">
        <f ca="1">stat(calculs!AI118)</f>
        <v>#NAME?</v>
      </c>
      <c r="AJ118" s="523" t="e">
        <f ca="1">stat(calculs!AJ118)</f>
        <v>#NAME?</v>
      </c>
      <c r="AK118" s="523" t="e">
        <f ca="1">stat(calculs!AK118)</f>
        <v>#NAME?</v>
      </c>
      <c r="AL118" s="523" t="e">
        <f ca="1">stat(calculs!AL118)</f>
        <v>#NAME?</v>
      </c>
      <c r="AM118" s="523" t="e">
        <f ca="1">stat(calculs!AM118)</f>
        <v>#NAME?</v>
      </c>
      <c r="AN118" s="523" t="e">
        <f ca="1">stat(calculs!AN118)</f>
        <v>#NAME?</v>
      </c>
      <c r="AO118" s="523" t="e">
        <f ca="1">stat(calculs!AO118)</f>
        <v>#NAME?</v>
      </c>
      <c r="AP118" s="523" t="e">
        <f ca="1">stat(calculs!AP118)</f>
        <v>#NAME?</v>
      </c>
      <c r="AQ118" s="523" t="e">
        <f ca="1">stat(calculs!AQ118)</f>
        <v>#NAME?</v>
      </c>
      <c r="AV118" s="525" t="str">
        <f>stat(calculs!AV118)</f>
        <v/>
      </c>
      <c r="AW118" s="525" t="str">
        <f>stat(calculs!AW118)</f>
        <v/>
      </c>
      <c r="AX118" s="525" t="str">
        <f>stat(calculs!AX118)</f>
        <v/>
      </c>
      <c r="AY118" s="525" t="e">
        <f ca="1">stat(calculs!AY118)</f>
        <v>#NAME?</v>
      </c>
      <c r="AZ118" s="525" t="e">
        <f ca="1">stat(calculs!AZ118)</f>
        <v>#NAME?</v>
      </c>
      <c r="BA118" s="525" t="e">
        <f ca="1">stat(calculs!BA118)</f>
        <v>#NAME?</v>
      </c>
      <c r="BB118" s="525" t="e">
        <f ca="1">stat(calculs!BB118)</f>
        <v>#NAME?</v>
      </c>
      <c r="BC118" s="525" t="e">
        <f ca="1">stat(calculs!BC118)</f>
        <v>#NAME?</v>
      </c>
      <c r="BD118" s="525" t="e">
        <f ca="1">stat(calculs!BD118)</f>
        <v>#NAME?</v>
      </c>
      <c r="BE118" s="525" t="e">
        <f ca="1">stat(calculs!BE118)</f>
        <v>#NAME?</v>
      </c>
      <c r="BF118" s="525" t="e">
        <f ca="1">stat(calculs!BF118)</f>
        <v>#NAME?</v>
      </c>
      <c r="BG118" s="729" t="e">
        <f ca="1">stat(calculs!BG118)</f>
        <v>#NAME?</v>
      </c>
      <c r="BH118" s="729" t="e">
        <f ca="1">stat(calculs!BH118)</f>
        <v>#NAME?</v>
      </c>
      <c r="BI118" s="729" t="e">
        <f ca="1">stat(calculs!BI118)</f>
        <v>#NAME?</v>
      </c>
      <c r="BJ118" s="729" t="e">
        <f ca="1">stat(calculs!BJ118)</f>
        <v>#NAME?</v>
      </c>
      <c r="BK118" s="729" t="e">
        <f ca="1">stat(calculs!BK118)</f>
        <v>#NAME?</v>
      </c>
      <c r="BL118" s="525" t="e">
        <f ca="1">stat(calculs!BL118)</f>
        <v>#NAME?</v>
      </c>
      <c r="BM118" s="525" t="e">
        <f ca="1">stat(calculs!BM118)</f>
        <v>#NAME?</v>
      </c>
      <c r="BN118" s="525" t="e">
        <f ca="1">stat(calculs!BN118)</f>
        <v>#NAME?</v>
      </c>
      <c r="BO118" s="525" t="e">
        <f ca="1">stat(calculs!BO118)</f>
        <v>#NAME?</v>
      </c>
      <c r="BP118" s="525" t="e">
        <f ca="1">stat(calculs!BP118)</f>
        <v>#NAME?</v>
      </c>
      <c r="BQ118" s="525" t="e">
        <f ca="1">stat(calculs!BQ118)</f>
        <v>#NAME?</v>
      </c>
      <c r="BR118" s="525" t="e">
        <f ca="1">stat(calculs!BR118)</f>
        <v>#NAME?</v>
      </c>
    </row>
    <row r="119" spans="1:70" x14ac:dyDescent="0.2">
      <c r="A119" s="222">
        <f>données_step[[#This Row],[Datum]]</f>
        <v>44670</v>
      </c>
      <c r="B119" s="223"/>
      <c r="C119" s="224">
        <f t="shared" si="1"/>
        <v>3</v>
      </c>
      <c r="D119" s="523" t="e">
        <f ca="1">stat(charge_entree[[#This Row],[ch_E_DBO5]])</f>
        <v>#NAME?</v>
      </c>
      <c r="E119" s="523" t="e">
        <f ca="1">stat(charge_entree[[#This Row],[ch_E_DCO]])</f>
        <v>#NAME?</v>
      </c>
      <c r="F119" s="523" t="e">
        <f ca="1">stat(charge_entree[[#This Row],[ch_E_COT]])</f>
        <v>#NAME?</v>
      </c>
      <c r="G119" s="523" t="e">
        <f ca="1">stat(charge_entree[[#This Row],[ch_E_NH4]])</f>
        <v>#NAME?</v>
      </c>
      <c r="H119" s="523" t="e">
        <f ca="1">stat(charge_entree[[#This Row],[ch_E_NTOT]])</f>
        <v>#NAME?</v>
      </c>
      <c r="I119" s="523" t="e">
        <f ca="1">stat(charge_entree[[#This Row],[ch_E_PTOT]])</f>
        <v>#NAME?</v>
      </c>
      <c r="J119" s="523" t="e">
        <f ca="1">stat(charge_entree[[#This Row],[ch_S_DBO]])</f>
        <v>#NAME?</v>
      </c>
      <c r="K119" s="523" t="e">
        <f ca="1">stat(charge_entree[[#This Row],[ch_S-DCO]])</f>
        <v>#NAME?</v>
      </c>
      <c r="L119" s="523" t="e">
        <f ca="1">stat(charge_entree[[#This Row],[ch_S_DOC]])</f>
        <v>#NAME?</v>
      </c>
      <c r="M119" s="523" t="e">
        <f ca="1">stat(charge_entree[[#This Row],[ch_S_NH4]])</f>
        <v>#NAME?</v>
      </c>
      <c r="N119" s="523" t="e">
        <f ca="1">stat(charge_entree[[#This Row],[ch_S_NO2]])</f>
        <v>#NAME?</v>
      </c>
      <c r="O119" s="523" t="e">
        <f ca="1">stat(charge_entree[[#This Row],[ch_S_NO3]])</f>
        <v>#NAME?</v>
      </c>
      <c r="P119" s="523" t="e">
        <f ca="1">stat(charge_entree[[#This Row],[ch_S_PTOT]])</f>
        <v>#NAME?</v>
      </c>
      <c r="Q119" s="523" t="e">
        <f ca="1">stat(charge_entree[[#This Row],[ch_S_SNDT]])</f>
        <v>#NAME?</v>
      </c>
      <c r="R119" s="523">
        <f>calculs!R119</f>
        <v>0</v>
      </c>
      <c r="S119" s="523" t="e">
        <f ca="1">stat(calculs!S119)</f>
        <v>#NAME?</v>
      </c>
      <c r="T119" s="523" t="e">
        <f ca="1">stat(calculs!T119)</f>
        <v>#NAME?</v>
      </c>
      <c r="U119" s="523" t="e">
        <f ca="1">stat(calculs!U119)</f>
        <v>#NAME?</v>
      </c>
      <c r="V119" s="523" t="e">
        <f ca="1">stat(calculs!V119)</f>
        <v>#NAME?</v>
      </c>
      <c r="W119" s="523" t="e">
        <f ca="1">stat(calculs!W119)</f>
        <v>#NAME?</v>
      </c>
      <c r="X119" s="523" t="e">
        <f ca="1">stat(calculs!X119)</f>
        <v>#NAME?</v>
      </c>
      <c r="Y119" s="523" t="e">
        <f ca="1">stat(calculs!Y119)</f>
        <v>#NAME?</v>
      </c>
      <c r="Z119" s="523" t="e">
        <f ca="1">stat(calculs!Z119)</f>
        <v>#NAME?</v>
      </c>
      <c r="AA119" s="523" t="e">
        <f ca="1">stat(calculs!AA119)</f>
        <v>#NAME?</v>
      </c>
      <c r="AB119" s="523" t="e">
        <f ca="1">stat(calculs!AB119)</f>
        <v>#NAME?</v>
      </c>
      <c r="AC119" s="523" t="e">
        <f ca="1">stat(calculs!AC119)</f>
        <v>#NAME?</v>
      </c>
      <c r="AD119" s="523" t="e">
        <f ca="1">stat(calculs!AD119)</f>
        <v>#NAME?</v>
      </c>
      <c r="AE119" s="523" t="e">
        <f ca="1">stat(calculs!AE119)</f>
        <v>#NAME?</v>
      </c>
      <c r="AF119" s="523" t="e">
        <f ca="1">stat(calculs!AF119)</f>
        <v>#NAME?</v>
      </c>
      <c r="AG119" s="523" t="e">
        <f ca="1">stat(calculs!AG119)</f>
        <v>#NAME?</v>
      </c>
      <c r="AH119" s="523" t="e">
        <f ca="1">stat(calculs!AH119)</f>
        <v>#NAME?</v>
      </c>
      <c r="AI119" s="523" t="e">
        <f ca="1">stat(calculs!AI119)</f>
        <v>#NAME?</v>
      </c>
      <c r="AJ119" s="523" t="e">
        <f ca="1">stat(calculs!AJ119)</f>
        <v>#NAME?</v>
      </c>
      <c r="AK119" s="523" t="e">
        <f ca="1">stat(calculs!AK119)</f>
        <v>#NAME?</v>
      </c>
      <c r="AL119" s="523" t="e">
        <f ca="1">stat(calculs!AL119)</f>
        <v>#NAME?</v>
      </c>
      <c r="AM119" s="523" t="e">
        <f ca="1">stat(calculs!AM119)</f>
        <v>#NAME?</v>
      </c>
      <c r="AN119" s="523" t="e">
        <f ca="1">stat(calculs!AN119)</f>
        <v>#NAME?</v>
      </c>
      <c r="AO119" s="523" t="e">
        <f ca="1">stat(calculs!AO119)</f>
        <v>#NAME?</v>
      </c>
      <c r="AP119" s="523" t="e">
        <f ca="1">stat(calculs!AP119)</f>
        <v>#NAME?</v>
      </c>
      <c r="AQ119" s="523" t="e">
        <f ca="1">stat(calculs!AQ119)</f>
        <v>#NAME?</v>
      </c>
      <c r="AV119" s="525" t="str">
        <f>stat(calculs!AV119)</f>
        <v/>
      </c>
      <c r="AW119" s="525" t="str">
        <f>stat(calculs!AW119)</f>
        <v/>
      </c>
      <c r="AX119" s="525" t="str">
        <f>stat(calculs!AX119)</f>
        <v/>
      </c>
      <c r="AY119" s="525" t="e">
        <f ca="1">stat(calculs!AY119)</f>
        <v>#NAME?</v>
      </c>
      <c r="AZ119" s="525" t="e">
        <f ca="1">stat(calculs!AZ119)</f>
        <v>#NAME?</v>
      </c>
      <c r="BA119" s="525" t="e">
        <f ca="1">stat(calculs!BA119)</f>
        <v>#NAME?</v>
      </c>
      <c r="BB119" s="525" t="e">
        <f ca="1">stat(calculs!BB119)</f>
        <v>#NAME?</v>
      </c>
      <c r="BC119" s="525" t="e">
        <f ca="1">stat(calculs!BC119)</f>
        <v>#NAME?</v>
      </c>
      <c r="BD119" s="525" t="e">
        <f ca="1">stat(calculs!BD119)</f>
        <v>#NAME?</v>
      </c>
      <c r="BE119" s="525" t="e">
        <f ca="1">stat(calculs!BE119)</f>
        <v>#NAME?</v>
      </c>
      <c r="BF119" s="525" t="e">
        <f ca="1">stat(calculs!BF119)</f>
        <v>#NAME?</v>
      </c>
      <c r="BG119" s="729" t="e">
        <f ca="1">stat(calculs!BG119)</f>
        <v>#NAME?</v>
      </c>
      <c r="BH119" s="729" t="e">
        <f ca="1">stat(calculs!BH119)</f>
        <v>#NAME?</v>
      </c>
      <c r="BI119" s="729" t="e">
        <f ca="1">stat(calculs!BI119)</f>
        <v>#NAME?</v>
      </c>
      <c r="BJ119" s="729" t="e">
        <f ca="1">stat(calculs!BJ119)</f>
        <v>#NAME?</v>
      </c>
      <c r="BK119" s="729" t="e">
        <f ca="1">stat(calculs!BK119)</f>
        <v>#NAME?</v>
      </c>
      <c r="BL119" s="525" t="e">
        <f ca="1">stat(calculs!BL119)</f>
        <v>#NAME?</v>
      </c>
      <c r="BM119" s="525" t="e">
        <f ca="1">stat(calculs!BM119)</f>
        <v>#NAME?</v>
      </c>
      <c r="BN119" s="525" t="e">
        <f ca="1">stat(calculs!BN119)</f>
        <v>#NAME?</v>
      </c>
      <c r="BO119" s="525" t="e">
        <f ca="1">stat(calculs!BO119)</f>
        <v>#NAME?</v>
      </c>
      <c r="BP119" s="525" t="e">
        <f ca="1">stat(calculs!BP119)</f>
        <v>#NAME?</v>
      </c>
      <c r="BQ119" s="525" t="e">
        <f ca="1">stat(calculs!BQ119)</f>
        <v>#NAME?</v>
      </c>
      <c r="BR119" s="525" t="e">
        <f ca="1">stat(calculs!BR119)</f>
        <v>#NAME?</v>
      </c>
    </row>
    <row r="120" spans="1:70" x14ac:dyDescent="0.2">
      <c r="A120" s="222">
        <f>données_step[[#This Row],[Datum]]</f>
        <v>44671</v>
      </c>
      <c r="B120" s="223"/>
      <c r="C120" s="224">
        <f t="shared" si="1"/>
        <v>4</v>
      </c>
      <c r="D120" s="523" t="e">
        <f ca="1">stat(charge_entree[[#This Row],[ch_E_DBO5]])</f>
        <v>#NAME?</v>
      </c>
      <c r="E120" s="523" t="e">
        <f ca="1">stat(charge_entree[[#This Row],[ch_E_DCO]])</f>
        <v>#NAME?</v>
      </c>
      <c r="F120" s="523" t="e">
        <f ca="1">stat(charge_entree[[#This Row],[ch_E_COT]])</f>
        <v>#NAME?</v>
      </c>
      <c r="G120" s="523" t="e">
        <f ca="1">stat(charge_entree[[#This Row],[ch_E_NH4]])</f>
        <v>#NAME?</v>
      </c>
      <c r="H120" s="523" t="e">
        <f ca="1">stat(charge_entree[[#This Row],[ch_E_NTOT]])</f>
        <v>#NAME?</v>
      </c>
      <c r="I120" s="523" t="e">
        <f ca="1">stat(charge_entree[[#This Row],[ch_E_PTOT]])</f>
        <v>#NAME?</v>
      </c>
      <c r="J120" s="523" t="e">
        <f ca="1">stat(charge_entree[[#This Row],[ch_S_DBO]])</f>
        <v>#NAME?</v>
      </c>
      <c r="K120" s="523" t="e">
        <f ca="1">stat(charge_entree[[#This Row],[ch_S-DCO]])</f>
        <v>#NAME?</v>
      </c>
      <c r="L120" s="523" t="e">
        <f ca="1">stat(charge_entree[[#This Row],[ch_S_DOC]])</f>
        <v>#NAME?</v>
      </c>
      <c r="M120" s="523" t="e">
        <f ca="1">stat(charge_entree[[#This Row],[ch_S_NH4]])</f>
        <v>#NAME?</v>
      </c>
      <c r="N120" s="523" t="e">
        <f ca="1">stat(charge_entree[[#This Row],[ch_S_NO2]])</f>
        <v>#NAME?</v>
      </c>
      <c r="O120" s="523" t="e">
        <f ca="1">stat(charge_entree[[#This Row],[ch_S_NO3]])</f>
        <v>#NAME?</v>
      </c>
      <c r="P120" s="523" t="e">
        <f ca="1">stat(charge_entree[[#This Row],[ch_S_PTOT]])</f>
        <v>#NAME?</v>
      </c>
      <c r="Q120" s="523" t="e">
        <f ca="1">stat(charge_entree[[#This Row],[ch_S_SNDT]])</f>
        <v>#NAME?</v>
      </c>
      <c r="R120" s="523">
        <f>calculs!R120</f>
        <v>0</v>
      </c>
      <c r="S120" s="523" t="e">
        <f ca="1">stat(calculs!S120)</f>
        <v>#NAME?</v>
      </c>
      <c r="T120" s="523" t="e">
        <f ca="1">stat(calculs!T120)</f>
        <v>#NAME?</v>
      </c>
      <c r="U120" s="523" t="e">
        <f ca="1">stat(calculs!U120)</f>
        <v>#NAME?</v>
      </c>
      <c r="V120" s="523" t="e">
        <f ca="1">stat(calculs!V120)</f>
        <v>#NAME?</v>
      </c>
      <c r="W120" s="523" t="e">
        <f ca="1">stat(calculs!W120)</f>
        <v>#NAME?</v>
      </c>
      <c r="X120" s="523" t="e">
        <f ca="1">stat(calculs!X120)</f>
        <v>#NAME?</v>
      </c>
      <c r="Y120" s="523" t="e">
        <f ca="1">stat(calculs!Y120)</f>
        <v>#NAME?</v>
      </c>
      <c r="Z120" s="523" t="e">
        <f ca="1">stat(calculs!Z120)</f>
        <v>#NAME?</v>
      </c>
      <c r="AA120" s="523" t="e">
        <f ca="1">stat(calculs!AA120)</f>
        <v>#NAME?</v>
      </c>
      <c r="AB120" s="523" t="e">
        <f ca="1">stat(calculs!AB120)</f>
        <v>#NAME?</v>
      </c>
      <c r="AC120" s="523" t="e">
        <f ca="1">stat(calculs!AC120)</f>
        <v>#NAME?</v>
      </c>
      <c r="AD120" s="523" t="e">
        <f ca="1">stat(calculs!AD120)</f>
        <v>#NAME?</v>
      </c>
      <c r="AE120" s="523" t="e">
        <f ca="1">stat(calculs!AE120)</f>
        <v>#NAME?</v>
      </c>
      <c r="AF120" s="523" t="e">
        <f ca="1">stat(calculs!AF120)</f>
        <v>#NAME?</v>
      </c>
      <c r="AG120" s="523" t="e">
        <f ca="1">stat(calculs!AG120)</f>
        <v>#NAME?</v>
      </c>
      <c r="AH120" s="523" t="e">
        <f ca="1">stat(calculs!AH120)</f>
        <v>#NAME?</v>
      </c>
      <c r="AI120" s="523" t="e">
        <f ca="1">stat(calculs!AI120)</f>
        <v>#NAME?</v>
      </c>
      <c r="AJ120" s="523" t="e">
        <f ca="1">stat(calculs!AJ120)</f>
        <v>#NAME?</v>
      </c>
      <c r="AK120" s="523" t="e">
        <f ca="1">stat(calculs!AK120)</f>
        <v>#NAME?</v>
      </c>
      <c r="AL120" s="523" t="e">
        <f ca="1">stat(calculs!AL120)</f>
        <v>#NAME?</v>
      </c>
      <c r="AM120" s="523" t="e">
        <f ca="1">stat(calculs!AM120)</f>
        <v>#NAME?</v>
      </c>
      <c r="AN120" s="523" t="e">
        <f ca="1">stat(calculs!AN120)</f>
        <v>#NAME?</v>
      </c>
      <c r="AO120" s="523" t="e">
        <f ca="1">stat(calculs!AO120)</f>
        <v>#NAME?</v>
      </c>
      <c r="AP120" s="523" t="e">
        <f ca="1">stat(calculs!AP120)</f>
        <v>#NAME?</v>
      </c>
      <c r="AQ120" s="523" t="e">
        <f ca="1">stat(calculs!AQ120)</f>
        <v>#NAME?</v>
      </c>
      <c r="AV120" s="525" t="str">
        <f>stat(calculs!AV120)</f>
        <v/>
      </c>
      <c r="AW120" s="525" t="str">
        <f>stat(calculs!AW120)</f>
        <v/>
      </c>
      <c r="AX120" s="525" t="str">
        <f>stat(calculs!AX120)</f>
        <v/>
      </c>
      <c r="AY120" s="525" t="e">
        <f ca="1">stat(calculs!AY120)</f>
        <v>#NAME?</v>
      </c>
      <c r="AZ120" s="525" t="e">
        <f ca="1">stat(calculs!AZ120)</f>
        <v>#NAME?</v>
      </c>
      <c r="BA120" s="525" t="e">
        <f ca="1">stat(calculs!BA120)</f>
        <v>#NAME?</v>
      </c>
      <c r="BB120" s="525" t="e">
        <f ca="1">stat(calculs!BB120)</f>
        <v>#NAME?</v>
      </c>
      <c r="BC120" s="525" t="e">
        <f ca="1">stat(calculs!BC120)</f>
        <v>#NAME?</v>
      </c>
      <c r="BD120" s="525" t="e">
        <f ca="1">stat(calculs!BD120)</f>
        <v>#NAME?</v>
      </c>
      <c r="BE120" s="525" t="e">
        <f ca="1">stat(calculs!BE120)</f>
        <v>#NAME?</v>
      </c>
      <c r="BF120" s="525" t="e">
        <f ca="1">stat(calculs!BF120)</f>
        <v>#NAME?</v>
      </c>
      <c r="BG120" s="729" t="e">
        <f ca="1">stat(calculs!BG120)</f>
        <v>#NAME?</v>
      </c>
      <c r="BH120" s="729" t="e">
        <f ca="1">stat(calculs!BH120)</f>
        <v>#NAME?</v>
      </c>
      <c r="BI120" s="729" t="e">
        <f ca="1">stat(calculs!BI120)</f>
        <v>#NAME?</v>
      </c>
      <c r="BJ120" s="729" t="e">
        <f ca="1">stat(calculs!BJ120)</f>
        <v>#NAME?</v>
      </c>
      <c r="BK120" s="729" t="e">
        <f ca="1">stat(calculs!BK120)</f>
        <v>#NAME?</v>
      </c>
      <c r="BL120" s="525" t="e">
        <f ca="1">stat(calculs!BL120)</f>
        <v>#NAME?</v>
      </c>
      <c r="BM120" s="525" t="e">
        <f ca="1">stat(calculs!BM120)</f>
        <v>#NAME?</v>
      </c>
      <c r="BN120" s="525" t="e">
        <f ca="1">stat(calculs!BN120)</f>
        <v>#NAME?</v>
      </c>
      <c r="BO120" s="525" t="e">
        <f ca="1">stat(calculs!BO120)</f>
        <v>#NAME?</v>
      </c>
      <c r="BP120" s="525" t="e">
        <f ca="1">stat(calculs!BP120)</f>
        <v>#NAME?</v>
      </c>
      <c r="BQ120" s="525" t="e">
        <f ca="1">stat(calculs!BQ120)</f>
        <v>#NAME?</v>
      </c>
      <c r="BR120" s="525" t="e">
        <f ca="1">stat(calculs!BR120)</f>
        <v>#NAME?</v>
      </c>
    </row>
    <row r="121" spans="1:70" x14ac:dyDescent="0.2">
      <c r="A121" s="222">
        <f>données_step[[#This Row],[Datum]]</f>
        <v>44672</v>
      </c>
      <c r="B121" s="223"/>
      <c r="C121" s="224">
        <f t="shared" si="1"/>
        <v>5</v>
      </c>
      <c r="D121" s="523" t="e">
        <f ca="1">stat(charge_entree[[#This Row],[ch_E_DBO5]])</f>
        <v>#NAME?</v>
      </c>
      <c r="E121" s="523" t="e">
        <f ca="1">stat(charge_entree[[#This Row],[ch_E_DCO]])</f>
        <v>#NAME?</v>
      </c>
      <c r="F121" s="523" t="e">
        <f ca="1">stat(charge_entree[[#This Row],[ch_E_COT]])</f>
        <v>#NAME?</v>
      </c>
      <c r="G121" s="523" t="e">
        <f ca="1">stat(charge_entree[[#This Row],[ch_E_NH4]])</f>
        <v>#NAME?</v>
      </c>
      <c r="H121" s="523" t="e">
        <f ca="1">stat(charge_entree[[#This Row],[ch_E_NTOT]])</f>
        <v>#NAME?</v>
      </c>
      <c r="I121" s="523" t="e">
        <f ca="1">stat(charge_entree[[#This Row],[ch_E_PTOT]])</f>
        <v>#NAME?</v>
      </c>
      <c r="J121" s="523" t="e">
        <f ca="1">stat(charge_entree[[#This Row],[ch_S_DBO]])</f>
        <v>#NAME?</v>
      </c>
      <c r="K121" s="523" t="e">
        <f ca="1">stat(charge_entree[[#This Row],[ch_S-DCO]])</f>
        <v>#NAME?</v>
      </c>
      <c r="L121" s="523" t="e">
        <f ca="1">stat(charge_entree[[#This Row],[ch_S_DOC]])</f>
        <v>#NAME?</v>
      </c>
      <c r="M121" s="523" t="e">
        <f ca="1">stat(charge_entree[[#This Row],[ch_S_NH4]])</f>
        <v>#NAME?</v>
      </c>
      <c r="N121" s="523" t="e">
        <f ca="1">stat(charge_entree[[#This Row],[ch_S_NO2]])</f>
        <v>#NAME?</v>
      </c>
      <c r="O121" s="523" t="e">
        <f ca="1">stat(charge_entree[[#This Row],[ch_S_NO3]])</f>
        <v>#NAME?</v>
      </c>
      <c r="P121" s="523" t="e">
        <f ca="1">stat(charge_entree[[#This Row],[ch_S_PTOT]])</f>
        <v>#NAME?</v>
      </c>
      <c r="Q121" s="523" t="e">
        <f ca="1">stat(charge_entree[[#This Row],[ch_S_SNDT]])</f>
        <v>#NAME?</v>
      </c>
      <c r="R121" s="523">
        <f>calculs!R121</f>
        <v>0</v>
      </c>
      <c r="S121" s="523" t="e">
        <f ca="1">stat(calculs!S121)</f>
        <v>#NAME?</v>
      </c>
      <c r="T121" s="523" t="e">
        <f ca="1">stat(calculs!T121)</f>
        <v>#NAME?</v>
      </c>
      <c r="U121" s="523" t="e">
        <f ca="1">stat(calculs!U121)</f>
        <v>#NAME?</v>
      </c>
      <c r="V121" s="523" t="e">
        <f ca="1">stat(calculs!V121)</f>
        <v>#NAME?</v>
      </c>
      <c r="W121" s="523" t="e">
        <f ca="1">stat(calculs!W121)</f>
        <v>#NAME?</v>
      </c>
      <c r="X121" s="523" t="e">
        <f ca="1">stat(calculs!X121)</f>
        <v>#NAME?</v>
      </c>
      <c r="Y121" s="523" t="e">
        <f ca="1">stat(calculs!Y121)</f>
        <v>#NAME?</v>
      </c>
      <c r="Z121" s="523" t="e">
        <f ca="1">stat(calculs!Z121)</f>
        <v>#NAME?</v>
      </c>
      <c r="AA121" s="523" t="e">
        <f ca="1">stat(calculs!AA121)</f>
        <v>#NAME?</v>
      </c>
      <c r="AB121" s="523" t="e">
        <f ca="1">stat(calculs!AB121)</f>
        <v>#NAME?</v>
      </c>
      <c r="AC121" s="523" t="e">
        <f ca="1">stat(calculs!AC121)</f>
        <v>#NAME?</v>
      </c>
      <c r="AD121" s="523" t="e">
        <f ca="1">stat(calculs!AD121)</f>
        <v>#NAME?</v>
      </c>
      <c r="AE121" s="523" t="e">
        <f ca="1">stat(calculs!AE121)</f>
        <v>#NAME?</v>
      </c>
      <c r="AF121" s="523" t="e">
        <f ca="1">stat(calculs!AF121)</f>
        <v>#NAME?</v>
      </c>
      <c r="AG121" s="523" t="e">
        <f ca="1">stat(calculs!AG121)</f>
        <v>#NAME?</v>
      </c>
      <c r="AH121" s="523" t="e">
        <f ca="1">stat(calculs!AH121)</f>
        <v>#NAME?</v>
      </c>
      <c r="AI121" s="523" t="e">
        <f ca="1">stat(calculs!AI121)</f>
        <v>#NAME?</v>
      </c>
      <c r="AJ121" s="523" t="e">
        <f ca="1">stat(calculs!AJ121)</f>
        <v>#NAME?</v>
      </c>
      <c r="AK121" s="523" t="e">
        <f ca="1">stat(calculs!AK121)</f>
        <v>#NAME?</v>
      </c>
      <c r="AL121" s="523" t="e">
        <f ca="1">stat(calculs!AL121)</f>
        <v>#NAME?</v>
      </c>
      <c r="AM121" s="523" t="e">
        <f ca="1">stat(calculs!AM121)</f>
        <v>#NAME?</v>
      </c>
      <c r="AN121" s="523" t="e">
        <f ca="1">stat(calculs!AN121)</f>
        <v>#NAME?</v>
      </c>
      <c r="AO121" s="523" t="e">
        <f ca="1">stat(calculs!AO121)</f>
        <v>#NAME?</v>
      </c>
      <c r="AP121" s="523" t="e">
        <f ca="1">stat(calculs!AP121)</f>
        <v>#NAME?</v>
      </c>
      <c r="AQ121" s="523" t="e">
        <f ca="1">stat(calculs!AQ121)</f>
        <v>#NAME?</v>
      </c>
      <c r="AV121" s="525" t="str">
        <f>stat(calculs!AV121)</f>
        <v/>
      </c>
      <c r="AW121" s="525" t="str">
        <f>stat(calculs!AW121)</f>
        <v/>
      </c>
      <c r="AX121" s="525" t="str">
        <f>stat(calculs!AX121)</f>
        <v/>
      </c>
      <c r="AY121" s="525" t="e">
        <f ca="1">stat(calculs!AY121)</f>
        <v>#NAME?</v>
      </c>
      <c r="AZ121" s="525" t="e">
        <f ca="1">stat(calculs!AZ121)</f>
        <v>#NAME?</v>
      </c>
      <c r="BA121" s="525" t="e">
        <f ca="1">stat(calculs!BA121)</f>
        <v>#NAME?</v>
      </c>
      <c r="BB121" s="525" t="e">
        <f ca="1">stat(calculs!BB121)</f>
        <v>#NAME?</v>
      </c>
      <c r="BC121" s="525" t="e">
        <f ca="1">stat(calculs!BC121)</f>
        <v>#NAME?</v>
      </c>
      <c r="BD121" s="525" t="e">
        <f ca="1">stat(calculs!BD121)</f>
        <v>#NAME?</v>
      </c>
      <c r="BE121" s="525" t="e">
        <f ca="1">stat(calculs!BE121)</f>
        <v>#NAME?</v>
      </c>
      <c r="BF121" s="525" t="e">
        <f ca="1">stat(calculs!BF121)</f>
        <v>#NAME?</v>
      </c>
      <c r="BG121" s="729" t="e">
        <f ca="1">stat(calculs!BG121)</f>
        <v>#NAME?</v>
      </c>
      <c r="BH121" s="729" t="e">
        <f ca="1">stat(calculs!BH121)</f>
        <v>#NAME?</v>
      </c>
      <c r="BI121" s="729" t="e">
        <f ca="1">stat(calculs!BI121)</f>
        <v>#NAME?</v>
      </c>
      <c r="BJ121" s="729" t="e">
        <f ca="1">stat(calculs!BJ121)</f>
        <v>#NAME?</v>
      </c>
      <c r="BK121" s="729" t="e">
        <f ca="1">stat(calculs!BK121)</f>
        <v>#NAME?</v>
      </c>
      <c r="BL121" s="525" t="e">
        <f ca="1">stat(calculs!BL121)</f>
        <v>#NAME?</v>
      </c>
      <c r="BM121" s="525" t="e">
        <f ca="1">stat(calculs!BM121)</f>
        <v>#NAME?</v>
      </c>
      <c r="BN121" s="525" t="e">
        <f ca="1">stat(calculs!BN121)</f>
        <v>#NAME?</v>
      </c>
      <c r="BO121" s="525" t="e">
        <f ca="1">stat(calculs!BO121)</f>
        <v>#NAME?</v>
      </c>
      <c r="BP121" s="525" t="e">
        <f ca="1">stat(calculs!BP121)</f>
        <v>#NAME?</v>
      </c>
      <c r="BQ121" s="525" t="e">
        <f ca="1">stat(calculs!BQ121)</f>
        <v>#NAME?</v>
      </c>
      <c r="BR121" s="525" t="e">
        <f ca="1">stat(calculs!BR121)</f>
        <v>#NAME?</v>
      </c>
    </row>
    <row r="122" spans="1:70" x14ac:dyDescent="0.2">
      <c r="A122" s="222">
        <f>données_step[[#This Row],[Datum]]</f>
        <v>44673</v>
      </c>
      <c r="B122" s="223"/>
      <c r="C122" s="224">
        <f t="shared" si="1"/>
        <v>6</v>
      </c>
      <c r="D122" s="523" t="e">
        <f ca="1">stat(charge_entree[[#This Row],[ch_E_DBO5]])</f>
        <v>#NAME?</v>
      </c>
      <c r="E122" s="523" t="e">
        <f ca="1">stat(charge_entree[[#This Row],[ch_E_DCO]])</f>
        <v>#NAME?</v>
      </c>
      <c r="F122" s="523" t="e">
        <f ca="1">stat(charge_entree[[#This Row],[ch_E_COT]])</f>
        <v>#NAME?</v>
      </c>
      <c r="G122" s="523" t="e">
        <f ca="1">stat(charge_entree[[#This Row],[ch_E_NH4]])</f>
        <v>#NAME?</v>
      </c>
      <c r="H122" s="523" t="e">
        <f ca="1">stat(charge_entree[[#This Row],[ch_E_NTOT]])</f>
        <v>#NAME?</v>
      </c>
      <c r="I122" s="523" t="e">
        <f ca="1">stat(charge_entree[[#This Row],[ch_E_PTOT]])</f>
        <v>#NAME?</v>
      </c>
      <c r="J122" s="523" t="e">
        <f ca="1">stat(charge_entree[[#This Row],[ch_S_DBO]])</f>
        <v>#NAME?</v>
      </c>
      <c r="K122" s="523" t="e">
        <f ca="1">stat(charge_entree[[#This Row],[ch_S-DCO]])</f>
        <v>#NAME?</v>
      </c>
      <c r="L122" s="523" t="e">
        <f ca="1">stat(charge_entree[[#This Row],[ch_S_DOC]])</f>
        <v>#NAME?</v>
      </c>
      <c r="M122" s="523" t="e">
        <f ca="1">stat(charge_entree[[#This Row],[ch_S_NH4]])</f>
        <v>#NAME?</v>
      </c>
      <c r="N122" s="523" t="e">
        <f ca="1">stat(charge_entree[[#This Row],[ch_S_NO2]])</f>
        <v>#NAME?</v>
      </c>
      <c r="O122" s="523" t="e">
        <f ca="1">stat(charge_entree[[#This Row],[ch_S_NO3]])</f>
        <v>#NAME?</v>
      </c>
      <c r="P122" s="523" t="e">
        <f ca="1">stat(charge_entree[[#This Row],[ch_S_PTOT]])</f>
        <v>#NAME?</v>
      </c>
      <c r="Q122" s="523" t="e">
        <f ca="1">stat(charge_entree[[#This Row],[ch_S_SNDT]])</f>
        <v>#NAME?</v>
      </c>
      <c r="R122" s="523">
        <f>calculs!R122</f>
        <v>0</v>
      </c>
      <c r="S122" s="523" t="e">
        <f ca="1">stat(calculs!S122)</f>
        <v>#NAME?</v>
      </c>
      <c r="T122" s="523" t="e">
        <f ca="1">stat(calculs!T122)</f>
        <v>#NAME?</v>
      </c>
      <c r="U122" s="523" t="e">
        <f ca="1">stat(calculs!U122)</f>
        <v>#NAME?</v>
      </c>
      <c r="V122" s="523" t="e">
        <f ca="1">stat(calculs!V122)</f>
        <v>#NAME?</v>
      </c>
      <c r="W122" s="523" t="e">
        <f ca="1">stat(calculs!W122)</f>
        <v>#NAME?</v>
      </c>
      <c r="X122" s="523" t="e">
        <f ca="1">stat(calculs!X122)</f>
        <v>#NAME?</v>
      </c>
      <c r="Y122" s="523" t="e">
        <f ca="1">stat(calculs!Y122)</f>
        <v>#NAME?</v>
      </c>
      <c r="Z122" s="523" t="e">
        <f ca="1">stat(calculs!Z122)</f>
        <v>#NAME?</v>
      </c>
      <c r="AA122" s="523" t="e">
        <f ca="1">stat(calculs!AA122)</f>
        <v>#NAME?</v>
      </c>
      <c r="AB122" s="523" t="e">
        <f ca="1">stat(calculs!AB122)</f>
        <v>#NAME?</v>
      </c>
      <c r="AC122" s="523" t="e">
        <f ca="1">stat(calculs!AC122)</f>
        <v>#NAME?</v>
      </c>
      <c r="AD122" s="523" t="e">
        <f ca="1">stat(calculs!AD122)</f>
        <v>#NAME?</v>
      </c>
      <c r="AE122" s="523" t="e">
        <f ca="1">stat(calculs!AE122)</f>
        <v>#NAME?</v>
      </c>
      <c r="AF122" s="523" t="e">
        <f ca="1">stat(calculs!AF122)</f>
        <v>#NAME?</v>
      </c>
      <c r="AG122" s="523" t="e">
        <f ca="1">stat(calculs!AG122)</f>
        <v>#NAME?</v>
      </c>
      <c r="AH122" s="523" t="e">
        <f ca="1">stat(calculs!AH122)</f>
        <v>#NAME?</v>
      </c>
      <c r="AI122" s="523" t="e">
        <f ca="1">stat(calculs!AI122)</f>
        <v>#NAME?</v>
      </c>
      <c r="AJ122" s="523" t="e">
        <f ca="1">stat(calculs!AJ122)</f>
        <v>#NAME?</v>
      </c>
      <c r="AK122" s="523" t="e">
        <f ca="1">stat(calculs!AK122)</f>
        <v>#NAME?</v>
      </c>
      <c r="AL122" s="523" t="e">
        <f ca="1">stat(calculs!AL122)</f>
        <v>#NAME?</v>
      </c>
      <c r="AM122" s="523" t="e">
        <f ca="1">stat(calculs!AM122)</f>
        <v>#NAME?</v>
      </c>
      <c r="AN122" s="523" t="e">
        <f ca="1">stat(calculs!AN122)</f>
        <v>#NAME?</v>
      </c>
      <c r="AO122" s="523" t="e">
        <f ca="1">stat(calculs!AO122)</f>
        <v>#NAME?</v>
      </c>
      <c r="AP122" s="523" t="e">
        <f ca="1">stat(calculs!AP122)</f>
        <v>#NAME?</v>
      </c>
      <c r="AQ122" s="523" t="e">
        <f ca="1">stat(calculs!AQ122)</f>
        <v>#NAME?</v>
      </c>
      <c r="AV122" s="525" t="str">
        <f>stat(calculs!AV122)</f>
        <v/>
      </c>
      <c r="AW122" s="525" t="str">
        <f>stat(calculs!AW122)</f>
        <v/>
      </c>
      <c r="AX122" s="525" t="str">
        <f>stat(calculs!AX122)</f>
        <v/>
      </c>
      <c r="AY122" s="525" t="e">
        <f ca="1">stat(calculs!AY122)</f>
        <v>#NAME?</v>
      </c>
      <c r="AZ122" s="525" t="e">
        <f ca="1">stat(calculs!AZ122)</f>
        <v>#NAME?</v>
      </c>
      <c r="BA122" s="525" t="e">
        <f ca="1">stat(calculs!BA122)</f>
        <v>#NAME?</v>
      </c>
      <c r="BB122" s="525" t="e">
        <f ca="1">stat(calculs!BB122)</f>
        <v>#NAME?</v>
      </c>
      <c r="BC122" s="525" t="e">
        <f ca="1">stat(calculs!BC122)</f>
        <v>#NAME?</v>
      </c>
      <c r="BD122" s="525" t="e">
        <f ca="1">stat(calculs!BD122)</f>
        <v>#NAME?</v>
      </c>
      <c r="BE122" s="525" t="e">
        <f ca="1">stat(calculs!BE122)</f>
        <v>#NAME?</v>
      </c>
      <c r="BF122" s="525" t="e">
        <f ca="1">stat(calculs!BF122)</f>
        <v>#NAME?</v>
      </c>
      <c r="BG122" s="729" t="e">
        <f ca="1">stat(calculs!BG122)</f>
        <v>#NAME?</v>
      </c>
      <c r="BH122" s="729" t="e">
        <f ca="1">stat(calculs!BH122)</f>
        <v>#NAME?</v>
      </c>
      <c r="BI122" s="729" t="e">
        <f ca="1">stat(calculs!BI122)</f>
        <v>#NAME?</v>
      </c>
      <c r="BJ122" s="729" t="e">
        <f ca="1">stat(calculs!BJ122)</f>
        <v>#NAME?</v>
      </c>
      <c r="BK122" s="729" t="e">
        <f ca="1">stat(calculs!BK122)</f>
        <v>#NAME?</v>
      </c>
      <c r="BL122" s="525" t="e">
        <f ca="1">stat(calculs!BL122)</f>
        <v>#NAME?</v>
      </c>
      <c r="BM122" s="525" t="e">
        <f ca="1">stat(calculs!BM122)</f>
        <v>#NAME?</v>
      </c>
      <c r="BN122" s="525" t="e">
        <f ca="1">stat(calculs!BN122)</f>
        <v>#NAME?</v>
      </c>
      <c r="BO122" s="525" t="e">
        <f ca="1">stat(calculs!BO122)</f>
        <v>#NAME?</v>
      </c>
      <c r="BP122" s="525" t="e">
        <f ca="1">stat(calculs!BP122)</f>
        <v>#NAME?</v>
      </c>
      <c r="BQ122" s="525" t="e">
        <f ca="1">stat(calculs!BQ122)</f>
        <v>#NAME?</v>
      </c>
      <c r="BR122" s="525" t="e">
        <f ca="1">stat(calculs!BR122)</f>
        <v>#NAME?</v>
      </c>
    </row>
    <row r="123" spans="1:70" x14ac:dyDescent="0.2">
      <c r="A123" s="222">
        <f>données_step[[#This Row],[Datum]]</f>
        <v>44674</v>
      </c>
      <c r="B123" s="223"/>
      <c r="C123" s="224">
        <f t="shared" si="1"/>
        <v>7</v>
      </c>
      <c r="D123" s="523" t="e">
        <f ca="1">stat(charge_entree[[#This Row],[ch_E_DBO5]])</f>
        <v>#NAME?</v>
      </c>
      <c r="E123" s="523" t="e">
        <f ca="1">stat(charge_entree[[#This Row],[ch_E_DCO]])</f>
        <v>#NAME?</v>
      </c>
      <c r="F123" s="523" t="e">
        <f ca="1">stat(charge_entree[[#This Row],[ch_E_COT]])</f>
        <v>#NAME?</v>
      </c>
      <c r="G123" s="523" t="e">
        <f ca="1">stat(charge_entree[[#This Row],[ch_E_NH4]])</f>
        <v>#NAME?</v>
      </c>
      <c r="H123" s="523" t="e">
        <f ca="1">stat(charge_entree[[#This Row],[ch_E_NTOT]])</f>
        <v>#NAME?</v>
      </c>
      <c r="I123" s="523" t="e">
        <f ca="1">stat(charge_entree[[#This Row],[ch_E_PTOT]])</f>
        <v>#NAME?</v>
      </c>
      <c r="J123" s="523" t="e">
        <f ca="1">stat(charge_entree[[#This Row],[ch_S_DBO]])</f>
        <v>#NAME?</v>
      </c>
      <c r="K123" s="523" t="e">
        <f ca="1">stat(charge_entree[[#This Row],[ch_S-DCO]])</f>
        <v>#NAME?</v>
      </c>
      <c r="L123" s="523" t="e">
        <f ca="1">stat(charge_entree[[#This Row],[ch_S_DOC]])</f>
        <v>#NAME?</v>
      </c>
      <c r="M123" s="523" t="e">
        <f ca="1">stat(charge_entree[[#This Row],[ch_S_NH4]])</f>
        <v>#NAME?</v>
      </c>
      <c r="N123" s="523" t="e">
        <f ca="1">stat(charge_entree[[#This Row],[ch_S_NO2]])</f>
        <v>#NAME?</v>
      </c>
      <c r="O123" s="523" t="e">
        <f ca="1">stat(charge_entree[[#This Row],[ch_S_NO3]])</f>
        <v>#NAME?</v>
      </c>
      <c r="P123" s="523" t="e">
        <f ca="1">stat(charge_entree[[#This Row],[ch_S_PTOT]])</f>
        <v>#NAME?</v>
      </c>
      <c r="Q123" s="523" t="e">
        <f ca="1">stat(charge_entree[[#This Row],[ch_S_SNDT]])</f>
        <v>#NAME?</v>
      </c>
      <c r="R123" s="523">
        <f>calculs!R123</f>
        <v>0</v>
      </c>
      <c r="S123" s="523" t="e">
        <f ca="1">stat(calculs!S123)</f>
        <v>#NAME?</v>
      </c>
      <c r="T123" s="523" t="e">
        <f ca="1">stat(calculs!T123)</f>
        <v>#NAME?</v>
      </c>
      <c r="U123" s="523" t="e">
        <f ca="1">stat(calculs!U123)</f>
        <v>#NAME?</v>
      </c>
      <c r="V123" s="523" t="e">
        <f ca="1">stat(calculs!V123)</f>
        <v>#NAME?</v>
      </c>
      <c r="W123" s="523" t="e">
        <f ca="1">stat(calculs!W123)</f>
        <v>#NAME?</v>
      </c>
      <c r="X123" s="523" t="e">
        <f ca="1">stat(calculs!X123)</f>
        <v>#NAME?</v>
      </c>
      <c r="Y123" s="523" t="e">
        <f ca="1">stat(calculs!Y123)</f>
        <v>#NAME?</v>
      </c>
      <c r="Z123" s="523" t="e">
        <f ca="1">stat(calculs!Z123)</f>
        <v>#NAME?</v>
      </c>
      <c r="AA123" s="523" t="e">
        <f ca="1">stat(calculs!AA123)</f>
        <v>#NAME?</v>
      </c>
      <c r="AB123" s="523" t="e">
        <f ca="1">stat(calculs!AB123)</f>
        <v>#NAME?</v>
      </c>
      <c r="AC123" s="523" t="e">
        <f ca="1">stat(calculs!AC123)</f>
        <v>#NAME?</v>
      </c>
      <c r="AD123" s="523" t="e">
        <f ca="1">stat(calculs!AD123)</f>
        <v>#NAME?</v>
      </c>
      <c r="AE123" s="523" t="e">
        <f ca="1">stat(calculs!AE123)</f>
        <v>#NAME?</v>
      </c>
      <c r="AF123" s="523" t="e">
        <f ca="1">stat(calculs!AF123)</f>
        <v>#NAME?</v>
      </c>
      <c r="AG123" s="523" t="e">
        <f ca="1">stat(calculs!AG123)</f>
        <v>#NAME?</v>
      </c>
      <c r="AH123" s="523" t="e">
        <f ca="1">stat(calculs!AH123)</f>
        <v>#NAME?</v>
      </c>
      <c r="AI123" s="523" t="e">
        <f ca="1">stat(calculs!AI123)</f>
        <v>#NAME?</v>
      </c>
      <c r="AJ123" s="523" t="e">
        <f ca="1">stat(calculs!AJ123)</f>
        <v>#NAME?</v>
      </c>
      <c r="AK123" s="523" t="e">
        <f ca="1">stat(calculs!AK123)</f>
        <v>#NAME?</v>
      </c>
      <c r="AL123" s="523" t="e">
        <f ca="1">stat(calculs!AL123)</f>
        <v>#NAME?</v>
      </c>
      <c r="AM123" s="523" t="e">
        <f ca="1">stat(calculs!AM123)</f>
        <v>#NAME?</v>
      </c>
      <c r="AN123" s="523" t="e">
        <f ca="1">stat(calculs!AN123)</f>
        <v>#NAME?</v>
      </c>
      <c r="AO123" s="523" t="e">
        <f ca="1">stat(calculs!AO123)</f>
        <v>#NAME?</v>
      </c>
      <c r="AP123" s="523" t="e">
        <f ca="1">stat(calculs!AP123)</f>
        <v>#NAME?</v>
      </c>
      <c r="AQ123" s="523" t="e">
        <f ca="1">stat(calculs!AQ123)</f>
        <v>#NAME?</v>
      </c>
      <c r="AV123" s="525" t="str">
        <f>stat(calculs!AV123)</f>
        <v/>
      </c>
      <c r="AW123" s="525" t="str">
        <f>stat(calculs!AW123)</f>
        <v/>
      </c>
      <c r="AX123" s="525" t="str">
        <f>stat(calculs!AX123)</f>
        <v/>
      </c>
      <c r="AY123" s="525" t="e">
        <f ca="1">stat(calculs!AY123)</f>
        <v>#NAME?</v>
      </c>
      <c r="AZ123" s="525" t="e">
        <f ca="1">stat(calculs!AZ123)</f>
        <v>#NAME?</v>
      </c>
      <c r="BA123" s="525" t="e">
        <f ca="1">stat(calculs!BA123)</f>
        <v>#NAME?</v>
      </c>
      <c r="BB123" s="525" t="e">
        <f ca="1">stat(calculs!BB123)</f>
        <v>#NAME?</v>
      </c>
      <c r="BC123" s="525" t="e">
        <f ca="1">stat(calculs!BC123)</f>
        <v>#NAME?</v>
      </c>
      <c r="BD123" s="525" t="e">
        <f ca="1">stat(calculs!BD123)</f>
        <v>#NAME?</v>
      </c>
      <c r="BE123" s="525" t="e">
        <f ca="1">stat(calculs!BE123)</f>
        <v>#NAME?</v>
      </c>
      <c r="BF123" s="525" t="e">
        <f ca="1">stat(calculs!BF123)</f>
        <v>#NAME?</v>
      </c>
      <c r="BG123" s="729" t="e">
        <f ca="1">stat(calculs!BG123)</f>
        <v>#NAME?</v>
      </c>
      <c r="BH123" s="729" t="e">
        <f ca="1">stat(calculs!BH123)</f>
        <v>#NAME?</v>
      </c>
      <c r="BI123" s="729" t="e">
        <f ca="1">stat(calculs!BI123)</f>
        <v>#NAME?</v>
      </c>
      <c r="BJ123" s="729" t="e">
        <f ca="1">stat(calculs!BJ123)</f>
        <v>#NAME?</v>
      </c>
      <c r="BK123" s="729" t="e">
        <f ca="1">stat(calculs!BK123)</f>
        <v>#NAME?</v>
      </c>
      <c r="BL123" s="525" t="e">
        <f ca="1">stat(calculs!BL123)</f>
        <v>#NAME?</v>
      </c>
      <c r="BM123" s="525" t="e">
        <f ca="1">stat(calculs!BM123)</f>
        <v>#NAME?</v>
      </c>
      <c r="BN123" s="525" t="e">
        <f ca="1">stat(calculs!BN123)</f>
        <v>#NAME?</v>
      </c>
      <c r="BO123" s="525" t="e">
        <f ca="1">stat(calculs!BO123)</f>
        <v>#NAME?</v>
      </c>
      <c r="BP123" s="525" t="e">
        <f ca="1">stat(calculs!BP123)</f>
        <v>#NAME?</v>
      </c>
      <c r="BQ123" s="525" t="e">
        <f ca="1">stat(calculs!BQ123)</f>
        <v>#NAME?</v>
      </c>
      <c r="BR123" s="525" t="e">
        <f ca="1">stat(calculs!BR123)</f>
        <v>#NAME?</v>
      </c>
    </row>
    <row r="124" spans="1:70" x14ac:dyDescent="0.2">
      <c r="A124" s="222">
        <f>données_step[[#This Row],[Datum]]</f>
        <v>44675</v>
      </c>
      <c r="B124" s="223"/>
      <c r="C124" s="224">
        <f t="shared" si="1"/>
        <v>1</v>
      </c>
      <c r="D124" s="523" t="e">
        <f ca="1">stat(charge_entree[[#This Row],[ch_E_DBO5]])</f>
        <v>#NAME?</v>
      </c>
      <c r="E124" s="523" t="e">
        <f ca="1">stat(charge_entree[[#This Row],[ch_E_DCO]])</f>
        <v>#NAME?</v>
      </c>
      <c r="F124" s="523" t="e">
        <f ca="1">stat(charge_entree[[#This Row],[ch_E_COT]])</f>
        <v>#NAME?</v>
      </c>
      <c r="G124" s="523" t="e">
        <f ca="1">stat(charge_entree[[#This Row],[ch_E_NH4]])</f>
        <v>#NAME?</v>
      </c>
      <c r="H124" s="523" t="e">
        <f ca="1">stat(charge_entree[[#This Row],[ch_E_NTOT]])</f>
        <v>#NAME?</v>
      </c>
      <c r="I124" s="523" t="e">
        <f ca="1">stat(charge_entree[[#This Row],[ch_E_PTOT]])</f>
        <v>#NAME?</v>
      </c>
      <c r="J124" s="523" t="e">
        <f ca="1">stat(charge_entree[[#This Row],[ch_S_DBO]])</f>
        <v>#NAME?</v>
      </c>
      <c r="K124" s="523" t="e">
        <f ca="1">stat(charge_entree[[#This Row],[ch_S-DCO]])</f>
        <v>#NAME?</v>
      </c>
      <c r="L124" s="523" t="e">
        <f ca="1">stat(charge_entree[[#This Row],[ch_S_DOC]])</f>
        <v>#NAME?</v>
      </c>
      <c r="M124" s="523" t="e">
        <f ca="1">stat(charge_entree[[#This Row],[ch_S_NH4]])</f>
        <v>#NAME?</v>
      </c>
      <c r="N124" s="523" t="e">
        <f ca="1">stat(charge_entree[[#This Row],[ch_S_NO2]])</f>
        <v>#NAME?</v>
      </c>
      <c r="O124" s="523" t="e">
        <f ca="1">stat(charge_entree[[#This Row],[ch_S_NO3]])</f>
        <v>#NAME?</v>
      </c>
      <c r="P124" s="523" t="e">
        <f ca="1">stat(charge_entree[[#This Row],[ch_S_PTOT]])</f>
        <v>#NAME?</v>
      </c>
      <c r="Q124" s="523" t="e">
        <f ca="1">stat(charge_entree[[#This Row],[ch_S_SNDT]])</f>
        <v>#NAME?</v>
      </c>
      <c r="R124" s="523">
        <f>calculs!R124</f>
        <v>0</v>
      </c>
      <c r="S124" s="523" t="e">
        <f ca="1">stat(calculs!S124)</f>
        <v>#NAME?</v>
      </c>
      <c r="T124" s="523" t="e">
        <f ca="1">stat(calculs!T124)</f>
        <v>#NAME?</v>
      </c>
      <c r="U124" s="523" t="e">
        <f ca="1">stat(calculs!U124)</f>
        <v>#NAME?</v>
      </c>
      <c r="V124" s="523" t="e">
        <f ca="1">stat(calculs!V124)</f>
        <v>#NAME?</v>
      </c>
      <c r="W124" s="523" t="e">
        <f ca="1">stat(calculs!W124)</f>
        <v>#NAME?</v>
      </c>
      <c r="X124" s="523" t="e">
        <f ca="1">stat(calculs!X124)</f>
        <v>#NAME?</v>
      </c>
      <c r="Y124" s="523" t="e">
        <f ca="1">stat(calculs!Y124)</f>
        <v>#NAME?</v>
      </c>
      <c r="Z124" s="523" t="e">
        <f ca="1">stat(calculs!Z124)</f>
        <v>#NAME?</v>
      </c>
      <c r="AA124" s="523" t="e">
        <f ca="1">stat(calculs!AA124)</f>
        <v>#NAME?</v>
      </c>
      <c r="AB124" s="523" t="e">
        <f ca="1">stat(calculs!AB124)</f>
        <v>#NAME?</v>
      </c>
      <c r="AC124" s="523" t="e">
        <f ca="1">stat(calculs!AC124)</f>
        <v>#NAME?</v>
      </c>
      <c r="AD124" s="523" t="e">
        <f ca="1">stat(calculs!AD124)</f>
        <v>#NAME?</v>
      </c>
      <c r="AE124" s="523" t="e">
        <f ca="1">stat(calculs!AE124)</f>
        <v>#NAME?</v>
      </c>
      <c r="AF124" s="523" t="e">
        <f ca="1">stat(calculs!AF124)</f>
        <v>#NAME?</v>
      </c>
      <c r="AG124" s="523" t="e">
        <f ca="1">stat(calculs!AG124)</f>
        <v>#NAME?</v>
      </c>
      <c r="AH124" s="523" t="e">
        <f ca="1">stat(calculs!AH124)</f>
        <v>#NAME?</v>
      </c>
      <c r="AI124" s="523" t="e">
        <f ca="1">stat(calculs!AI124)</f>
        <v>#NAME?</v>
      </c>
      <c r="AJ124" s="523" t="e">
        <f ca="1">stat(calculs!AJ124)</f>
        <v>#NAME?</v>
      </c>
      <c r="AK124" s="523" t="e">
        <f ca="1">stat(calculs!AK124)</f>
        <v>#NAME?</v>
      </c>
      <c r="AL124" s="523" t="e">
        <f ca="1">stat(calculs!AL124)</f>
        <v>#NAME?</v>
      </c>
      <c r="AM124" s="523" t="e">
        <f ca="1">stat(calculs!AM124)</f>
        <v>#NAME?</v>
      </c>
      <c r="AN124" s="523" t="e">
        <f ca="1">stat(calculs!AN124)</f>
        <v>#NAME?</v>
      </c>
      <c r="AO124" s="523" t="e">
        <f ca="1">stat(calculs!AO124)</f>
        <v>#NAME?</v>
      </c>
      <c r="AP124" s="523" t="e">
        <f ca="1">stat(calculs!AP124)</f>
        <v>#NAME?</v>
      </c>
      <c r="AQ124" s="523" t="e">
        <f ca="1">stat(calculs!AQ124)</f>
        <v>#NAME?</v>
      </c>
      <c r="AV124" s="525" t="str">
        <f>stat(calculs!AV124)</f>
        <v/>
      </c>
      <c r="AW124" s="525" t="str">
        <f>stat(calculs!AW124)</f>
        <v/>
      </c>
      <c r="AX124" s="525" t="str">
        <f>stat(calculs!AX124)</f>
        <v/>
      </c>
      <c r="AY124" s="525" t="e">
        <f ca="1">stat(calculs!AY124)</f>
        <v>#NAME?</v>
      </c>
      <c r="AZ124" s="525" t="e">
        <f ca="1">stat(calculs!AZ124)</f>
        <v>#NAME?</v>
      </c>
      <c r="BA124" s="525" t="e">
        <f ca="1">stat(calculs!BA124)</f>
        <v>#NAME?</v>
      </c>
      <c r="BB124" s="525" t="e">
        <f ca="1">stat(calculs!BB124)</f>
        <v>#NAME?</v>
      </c>
      <c r="BC124" s="525" t="e">
        <f ca="1">stat(calculs!BC124)</f>
        <v>#NAME?</v>
      </c>
      <c r="BD124" s="525" t="e">
        <f ca="1">stat(calculs!BD124)</f>
        <v>#NAME?</v>
      </c>
      <c r="BE124" s="525" t="e">
        <f ca="1">stat(calculs!BE124)</f>
        <v>#NAME?</v>
      </c>
      <c r="BF124" s="525" t="e">
        <f ca="1">stat(calculs!BF124)</f>
        <v>#NAME?</v>
      </c>
      <c r="BG124" s="729" t="e">
        <f ca="1">stat(calculs!BG124)</f>
        <v>#NAME?</v>
      </c>
      <c r="BH124" s="729" t="e">
        <f ca="1">stat(calculs!BH124)</f>
        <v>#NAME?</v>
      </c>
      <c r="BI124" s="729" t="e">
        <f ca="1">stat(calculs!BI124)</f>
        <v>#NAME?</v>
      </c>
      <c r="BJ124" s="729" t="e">
        <f ca="1">stat(calculs!BJ124)</f>
        <v>#NAME?</v>
      </c>
      <c r="BK124" s="729" t="e">
        <f ca="1">stat(calculs!BK124)</f>
        <v>#NAME?</v>
      </c>
      <c r="BL124" s="525" t="e">
        <f ca="1">stat(calculs!BL124)</f>
        <v>#NAME?</v>
      </c>
      <c r="BM124" s="525" t="e">
        <f ca="1">stat(calculs!BM124)</f>
        <v>#NAME?</v>
      </c>
      <c r="BN124" s="525" t="e">
        <f ca="1">stat(calculs!BN124)</f>
        <v>#NAME?</v>
      </c>
      <c r="BO124" s="525" t="e">
        <f ca="1">stat(calculs!BO124)</f>
        <v>#NAME?</v>
      </c>
      <c r="BP124" s="525" t="e">
        <f ca="1">stat(calculs!BP124)</f>
        <v>#NAME?</v>
      </c>
      <c r="BQ124" s="525" t="e">
        <f ca="1">stat(calculs!BQ124)</f>
        <v>#NAME?</v>
      </c>
      <c r="BR124" s="525" t="e">
        <f ca="1">stat(calculs!BR124)</f>
        <v>#NAME?</v>
      </c>
    </row>
    <row r="125" spans="1:70" x14ac:dyDescent="0.2">
      <c r="A125" s="222">
        <f>données_step[[#This Row],[Datum]]</f>
        <v>44676</v>
      </c>
      <c r="B125" s="223"/>
      <c r="C125" s="224">
        <f t="shared" si="1"/>
        <v>2</v>
      </c>
      <c r="D125" s="523" t="e">
        <f ca="1">stat(charge_entree[[#This Row],[ch_E_DBO5]])</f>
        <v>#NAME?</v>
      </c>
      <c r="E125" s="523" t="e">
        <f ca="1">stat(charge_entree[[#This Row],[ch_E_DCO]])</f>
        <v>#NAME?</v>
      </c>
      <c r="F125" s="523" t="e">
        <f ca="1">stat(charge_entree[[#This Row],[ch_E_COT]])</f>
        <v>#NAME?</v>
      </c>
      <c r="G125" s="523" t="e">
        <f ca="1">stat(charge_entree[[#This Row],[ch_E_NH4]])</f>
        <v>#NAME?</v>
      </c>
      <c r="H125" s="523" t="e">
        <f ca="1">stat(charge_entree[[#This Row],[ch_E_NTOT]])</f>
        <v>#NAME?</v>
      </c>
      <c r="I125" s="523" t="e">
        <f ca="1">stat(charge_entree[[#This Row],[ch_E_PTOT]])</f>
        <v>#NAME?</v>
      </c>
      <c r="J125" s="523" t="e">
        <f ca="1">stat(charge_entree[[#This Row],[ch_S_DBO]])</f>
        <v>#NAME?</v>
      </c>
      <c r="K125" s="523" t="e">
        <f ca="1">stat(charge_entree[[#This Row],[ch_S-DCO]])</f>
        <v>#NAME?</v>
      </c>
      <c r="L125" s="523" t="e">
        <f ca="1">stat(charge_entree[[#This Row],[ch_S_DOC]])</f>
        <v>#NAME?</v>
      </c>
      <c r="M125" s="523" t="e">
        <f ca="1">stat(charge_entree[[#This Row],[ch_S_NH4]])</f>
        <v>#NAME?</v>
      </c>
      <c r="N125" s="523" t="e">
        <f ca="1">stat(charge_entree[[#This Row],[ch_S_NO2]])</f>
        <v>#NAME?</v>
      </c>
      <c r="O125" s="523" t="e">
        <f ca="1">stat(charge_entree[[#This Row],[ch_S_NO3]])</f>
        <v>#NAME?</v>
      </c>
      <c r="P125" s="523" t="e">
        <f ca="1">stat(charge_entree[[#This Row],[ch_S_PTOT]])</f>
        <v>#NAME?</v>
      </c>
      <c r="Q125" s="523" t="e">
        <f ca="1">stat(charge_entree[[#This Row],[ch_S_SNDT]])</f>
        <v>#NAME?</v>
      </c>
      <c r="R125" s="523">
        <f>calculs!R125</f>
        <v>0</v>
      </c>
      <c r="S125" s="523" t="e">
        <f ca="1">stat(calculs!S125)</f>
        <v>#NAME?</v>
      </c>
      <c r="T125" s="523" t="e">
        <f ca="1">stat(calculs!T125)</f>
        <v>#NAME?</v>
      </c>
      <c r="U125" s="523" t="e">
        <f ca="1">stat(calculs!U125)</f>
        <v>#NAME?</v>
      </c>
      <c r="V125" s="523" t="e">
        <f ca="1">stat(calculs!V125)</f>
        <v>#NAME?</v>
      </c>
      <c r="W125" s="523" t="e">
        <f ca="1">stat(calculs!W125)</f>
        <v>#NAME?</v>
      </c>
      <c r="X125" s="523" t="e">
        <f ca="1">stat(calculs!X125)</f>
        <v>#NAME?</v>
      </c>
      <c r="Y125" s="523" t="e">
        <f ca="1">stat(calculs!Y125)</f>
        <v>#NAME?</v>
      </c>
      <c r="Z125" s="523" t="e">
        <f ca="1">stat(calculs!Z125)</f>
        <v>#NAME?</v>
      </c>
      <c r="AA125" s="523" t="e">
        <f ca="1">stat(calculs!AA125)</f>
        <v>#NAME?</v>
      </c>
      <c r="AB125" s="523" t="e">
        <f ca="1">stat(calculs!AB125)</f>
        <v>#NAME?</v>
      </c>
      <c r="AC125" s="523" t="e">
        <f ca="1">stat(calculs!AC125)</f>
        <v>#NAME?</v>
      </c>
      <c r="AD125" s="523" t="e">
        <f ca="1">stat(calculs!AD125)</f>
        <v>#NAME?</v>
      </c>
      <c r="AE125" s="523" t="e">
        <f ca="1">stat(calculs!AE125)</f>
        <v>#NAME?</v>
      </c>
      <c r="AF125" s="523" t="e">
        <f ca="1">stat(calculs!AF125)</f>
        <v>#NAME?</v>
      </c>
      <c r="AG125" s="523" t="e">
        <f ca="1">stat(calculs!AG125)</f>
        <v>#NAME?</v>
      </c>
      <c r="AH125" s="523" t="e">
        <f ca="1">stat(calculs!AH125)</f>
        <v>#NAME?</v>
      </c>
      <c r="AI125" s="523" t="e">
        <f ca="1">stat(calculs!AI125)</f>
        <v>#NAME?</v>
      </c>
      <c r="AJ125" s="523" t="e">
        <f ca="1">stat(calculs!AJ125)</f>
        <v>#NAME?</v>
      </c>
      <c r="AK125" s="523" t="e">
        <f ca="1">stat(calculs!AK125)</f>
        <v>#NAME?</v>
      </c>
      <c r="AL125" s="523" t="e">
        <f ca="1">stat(calculs!AL125)</f>
        <v>#NAME?</v>
      </c>
      <c r="AM125" s="523" t="e">
        <f ca="1">stat(calculs!AM125)</f>
        <v>#NAME?</v>
      </c>
      <c r="AN125" s="523" t="e">
        <f ca="1">stat(calculs!AN125)</f>
        <v>#NAME?</v>
      </c>
      <c r="AO125" s="523" t="e">
        <f ca="1">stat(calculs!AO125)</f>
        <v>#NAME?</v>
      </c>
      <c r="AP125" s="523" t="e">
        <f ca="1">stat(calculs!AP125)</f>
        <v>#NAME?</v>
      </c>
      <c r="AQ125" s="523" t="e">
        <f ca="1">stat(calculs!AQ125)</f>
        <v>#NAME?</v>
      </c>
      <c r="AV125" s="525" t="str">
        <f>stat(calculs!AV125)</f>
        <v/>
      </c>
      <c r="AW125" s="525" t="str">
        <f>stat(calculs!AW125)</f>
        <v/>
      </c>
      <c r="AX125" s="525" t="str">
        <f>stat(calculs!AX125)</f>
        <v/>
      </c>
      <c r="AY125" s="525" t="e">
        <f ca="1">stat(calculs!AY125)</f>
        <v>#NAME?</v>
      </c>
      <c r="AZ125" s="525" t="e">
        <f ca="1">stat(calculs!AZ125)</f>
        <v>#NAME?</v>
      </c>
      <c r="BA125" s="525" t="e">
        <f ca="1">stat(calculs!BA125)</f>
        <v>#NAME?</v>
      </c>
      <c r="BB125" s="525" t="e">
        <f ca="1">stat(calculs!BB125)</f>
        <v>#NAME?</v>
      </c>
      <c r="BC125" s="525" t="e">
        <f ca="1">stat(calculs!BC125)</f>
        <v>#NAME?</v>
      </c>
      <c r="BD125" s="525" t="e">
        <f ca="1">stat(calculs!BD125)</f>
        <v>#NAME?</v>
      </c>
      <c r="BE125" s="525" t="e">
        <f ca="1">stat(calculs!BE125)</f>
        <v>#NAME?</v>
      </c>
      <c r="BF125" s="525" t="e">
        <f ca="1">stat(calculs!BF125)</f>
        <v>#NAME?</v>
      </c>
      <c r="BG125" s="729" t="e">
        <f ca="1">stat(calculs!BG125)</f>
        <v>#NAME?</v>
      </c>
      <c r="BH125" s="729" t="e">
        <f ca="1">stat(calculs!BH125)</f>
        <v>#NAME?</v>
      </c>
      <c r="BI125" s="729" t="e">
        <f ca="1">stat(calculs!BI125)</f>
        <v>#NAME?</v>
      </c>
      <c r="BJ125" s="729" t="e">
        <f ca="1">stat(calculs!BJ125)</f>
        <v>#NAME?</v>
      </c>
      <c r="BK125" s="729" t="e">
        <f ca="1">stat(calculs!BK125)</f>
        <v>#NAME?</v>
      </c>
      <c r="BL125" s="525" t="e">
        <f ca="1">stat(calculs!BL125)</f>
        <v>#NAME?</v>
      </c>
      <c r="BM125" s="525" t="e">
        <f ca="1">stat(calculs!BM125)</f>
        <v>#NAME?</v>
      </c>
      <c r="BN125" s="525" t="e">
        <f ca="1">stat(calculs!BN125)</f>
        <v>#NAME?</v>
      </c>
      <c r="BO125" s="525" t="e">
        <f ca="1">stat(calculs!BO125)</f>
        <v>#NAME?</v>
      </c>
      <c r="BP125" s="525" t="e">
        <f ca="1">stat(calculs!BP125)</f>
        <v>#NAME?</v>
      </c>
      <c r="BQ125" s="525" t="e">
        <f ca="1">stat(calculs!BQ125)</f>
        <v>#NAME?</v>
      </c>
      <c r="BR125" s="525" t="e">
        <f ca="1">stat(calculs!BR125)</f>
        <v>#NAME?</v>
      </c>
    </row>
    <row r="126" spans="1:70" x14ac:dyDescent="0.2">
      <c r="A126" s="222">
        <f>données_step[[#This Row],[Datum]]</f>
        <v>44677</v>
      </c>
      <c r="B126" s="223"/>
      <c r="C126" s="224">
        <f t="shared" si="1"/>
        <v>3</v>
      </c>
      <c r="D126" s="523" t="e">
        <f ca="1">stat(charge_entree[[#This Row],[ch_E_DBO5]])</f>
        <v>#NAME?</v>
      </c>
      <c r="E126" s="523" t="e">
        <f ca="1">stat(charge_entree[[#This Row],[ch_E_DCO]])</f>
        <v>#NAME?</v>
      </c>
      <c r="F126" s="523" t="e">
        <f ca="1">stat(charge_entree[[#This Row],[ch_E_COT]])</f>
        <v>#NAME?</v>
      </c>
      <c r="G126" s="523" t="e">
        <f ca="1">stat(charge_entree[[#This Row],[ch_E_NH4]])</f>
        <v>#NAME?</v>
      </c>
      <c r="H126" s="523" t="e">
        <f ca="1">stat(charge_entree[[#This Row],[ch_E_NTOT]])</f>
        <v>#NAME?</v>
      </c>
      <c r="I126" s="523" t="e">
        <f ca="1">stat(charge_entree[[#This Row],[ch_E_PTOT]])</f>
        <v>#NAME?</v>
      </c>
      <c r="J126" s="523" t="e">
        <f ca="1">stat(charge_entree[[#This Row],[ch_S_DBO]])</f>
        <v>#NAME?</v>
      </c>
      <c r="K126" s="523" t="e">
        <f ca="1">stat(charge_entree[[#This Row],[ch_S-DCO]])</f>
        <v>#NAME?</v>
      </c>
      <c r="L126" s="523" t="e">
        <f ca="1">stat(charge_entree[[#This Row],[ch_S_DOC]])</f>
        <v>#NAME?</v>
      </c>
      <c r="M126" s="523" t="e">
        <f ca="1">stat(charge_entree[[#This Row],[ch_S_NH4]])</f>
        <v>#NAME?</v>
      </c>
      <c r="N126" s="523" t="e">
        <f ca="1">stat(charge_entree[[#This Row],[ch_S_NO2]])</f>
        <v>#NAME?</v>
      </c>
      <c r="O126" s="523" t="e">
        <f ca="1">stat(charge_entree[[#This Row],[ch_S_NO3]])</f>
        <v>#NAME?</v>
      </c>
      <c r="P126" s="523" t="e">
        <f ca="1">stat(charge_entree[[#This Row],[ch_S_PTOT]])</f>
        <v>#NAME?</v>
      </c>
      <c r="Q126" s="523" t="e">
        <f ca="1">stat(charge_entree[[#This Row],[ch_S_SNDT]])</f>
        <v>#NAME?</v>
      </c>
      <c r="R126" s="523">
        <f>calculs!R126</f>
        <v>0</v>
      </c>
      <c r="S126" s="523" t="e">
        <f ca="1">stat(calculs!S126)</f>
        <v>#NAME?</v>
      </c>
      <c r="T126" s="523" t="e">
        <f ca="1">stat(calculs!T126)</f>
        <v>#NAME?</v>
      </c>
      <c r="U126" s="523" t="e">
        <f ca="1">stat(calculs!U126)</f>
        <v>#NAME?</v>
      </c>
      <c r="V126" s="523" t="e">
        <f ca="1">stat(calculs!V126)</f>
        <v>#NAME?</v>
      </c>
      <c r="W126" s="523" t="e">
        <f ca="1">stat(calculs!W126)</f>
        <v>#NAME?</v>
      </c>
      <c r="X126" s="523" t="e">
        <f ca="1">stat(calculs!X126)</f>
        <v>#NAME?</v>
      </c>
      <c r="Y126" s="523" t="e">
        <f ca="1">stat(calculs!Y126)</f>
        <v>#NAME?</v>
      </c>
      <c r="Z126" s="523" t="e">
        <f ca="1">stat(calculs!Z126)</f>
        <v>#NAME?</v>
      </c>
      <c r="AA126" s="523" t="e">
        <f ca="1">stat(calculs!AA126)</f>
        <v>#NAME?</v>
      </c>
      <c r="AB126" s="523" t="e">
        <f ca="1">stat(calculs!AB126)</f>
        <v>#NAME?</v>
      </c>
      <c r="AC126" s="523" t="e">
        <f ca="1">stat(calculs!AC126)</f>
        <v>#NAME?</v>
      </c>
      <c r="AD126" s="523" t="e">
        <f ca="1">stat(calculs!AD126)</f>
        <v>#NAME?</v>
      </c>
      <c r="AE126" s="523" t="e">
        <f ca="1">stat(calculs!AE126)</f>
        <v>#NAME?</v>
      </c>
      <c r="AF126" s="523" t="e">
        <f ca="1">stat(calculs!AF126)</f>
        <v>#NAME?</v>
      </c>
      <c r="AG126" s="523" t="e">
        <f ca="1">stat(calculs!AG126)</f>
        <v>#NAME?</v>
      </c>
      <c r="AH126" s="523" t="e">
        <f ca="1">stat(calculs!AH126)</f>
        <v>#NAME?</v>
      </c>
      <c r="AI126" s="523" t="e">
        <f ca="1">stat(calculs!AI126)</f>
        <v>#NAME?</v>
      </c>
      <c r="AJ126" s="523" t="e">
        <f ca="1">stat(calculs!AJ126)</f>
        <v>#NAME?</v>
      </c>
      <c r="AK126" s="523" t="e">
        <f ca="1">stat(calculs!AK126)</f>
        <v>#NAME?</v>
      </c>
      <c r="AL126" s="523" t="e">
        <f ca="1">stat(calculs!AL126)</f>
        <v>#NAME?</v>
      </c>
      <c r="AM126" s="523" t="e">
        <f ca="1">stat(calculs!AM126)</f>
        <v>#NAME?</v>
      </c>
      <c r="AN126" s="523" t="e">
        <f ca="1">stat(calculs!AN126)</f>
        <v>#NAME?</v>
      </c>
      <c r="AO126" s="523" t="e">
        <f ca="1">stat(calculs!AO126)</f>
        <v>#NAME?</v>
      </c>
      <c r="AP126" s="523" t="e">
        <f ca="1">stat(calculs!AP126)</f>
        <v>#NAME?</v>
      </c>
      <c r="AQ126" s="523" t="e">
        <f ca="1">stat(calculs!AQ126)</f>
        <v>#NAME?</v>
      </c>
      <c r="AV126" s="525" t="str">
        <f>stat(calculs!AV126)</f>
        <v/>
      </c>
      <c r="AW126" s="525" t="str">
        <f>stat(calculs!AW126)</f>
        <v/>
      </c>
      <c r="AX126" s="525" t="str">
        <f>stat(calculs!AX126)</f>
        <v/>
      </c>
      <c r="AY126" s="525" t="e">
        <f ca="1">stat(calculs!AY126)</f>
        <v>#NAME?</v>
      </c>
      <c r="AZ126" s="525" t="e">
        <f ca="1">stat(calculs!AZ126)</f>
        <v>#NAME?</v>
      </c>
      <c r="BA126" s="525" t="e">
        <f ca="1">stat(calculs!BA126)</f>
        <v>#NAME?</v>
      </c>
      <c r="BB126" s="525" t="e">
        <f ca="1">stat(calculs!BB126)</f>
        <v>#NAME?</v>
      </c>
      <c r="BC126" s="525" t="e">
        <f ca="1">stat(calculs!BC126)</f>
        <v>#NAME?</v>
      </c>
      <c r="BD126" s="525" t="e">
        <f ca="1">stat(calculs!BD126)</f>
        <v>#NAME?</v>
      </c>
      <c r="BE126" s="525" t="e">
        <f ca="1">stat(calculs!BE126)</f>
        <v>#NAME?</v>
      </c>
      <c r="BF126" s="525" t="e">
        <f ca="1">stat(calculs!BF126)</f>
        <v>#NAME?</v>
      </c>
      <c r="BG126" s="729" t="e">
        <f ca="1">stat(calculs!BG126)</f>
        <v>#NAME?</v>
      </c>
      <c r="BH126" s="729" t="e">
        <f ca="1">stat(calculs!BH126)</f>
        <v>#NAME?</v>
      </c>
      <c r="BI126" s="729" t="e">
        <f ca="1">stat(calculs!BI126)</f>
        <v>#NAME?</v>
      </c>
      <c r="BJ126" s="729" t="e">
        <f ca="1">stat(calculs!BJ126)</f>
        <v>#NAME?</v>
      </c>
      <c r="BK126" s="729" t="e">
        <f ca="1">stat(calculs!BK126)</f>
        <v>#NAME?</v>
      </c>
      <c r="BL126" s="525" t="e">
        <f ca="1">stat(calculs!BL126)</f>
        <v>#NAME?</v>
      </c>
      <c r="BM126" s="525" t="e">
        <f ca="1">stat(calculs!BM126)</f>
        <v>#NAME?</v>
      </c>
      <c r="BN126" s="525" t="e">
        <f ca="1">stat(calculs!BN126)</f>
        <v>#NAME?</v>
      </c>
      <c r="BO126" s="525" t="e">
        <f ca="1">stat(calculs!BO126)</f>
        <v>#NAME?</v>
      </c>
      <c r="BP126" s="525" t="e">
        <f ca="1">stat(calculs!BP126)</f>
        <v>#NAME?</v>
      </c>
      <c r="BQ126" s="525" t="e">
        <f ca="1">stat(calculs!BQ126)</f>
        <v>#NAME?</v>
      </c>
      <c r="BR126" s="525" t="e">
        <f ca="1">stat(calculs!BR126)</f>
        <v>#NAME?</v>
      </c>
    </row>
    <row r="127" spans="1:70" x14ac:dyDescent="0.2">
      <c r="A127" s="222">
        <f>données_step[[#This Row],[Datum]]</f>
        <v>44678</v>
      </c>
      <c r="B127" s="223"/>
      <c r="C127" s="224">
        <f t="shared" si="1"/>
        <v>4</v>
      </c>
      <c r="D127" s="523" t="e">
        <f ca="1">stat(charge_entree[[#This Row],[ch_E_DBO5]])</f>
        <v>#NAME?</v>
      </c>
      <c r="E127" s="523" t="e">
        <f ca="1">stat(charge_entree[[#This Row],[ch_E_DCO]])</f>
        <v>#NAME?</v>
      </c>
      <c r="F127" s="523" t="e">
        <f ca="1">stat(charge_entree[[#This Row],[ch_E_COT]])</f>
        <v>#NAME?</v>
      </c>
      <c r="G127" s="523" t="e">
        <f ca="1">stat(charge_entree[[#This Row],[ch_E_NH4]])</f>
        <v>#NAME?</v>
      </c>
      <c r="H127" s="523" t="e">
        <f ca="1">stat(charge_entree[[#This Row],[ch_E_NTOT]])</f>
        <v>#NAME?</v>
      </c>
      <c r="I127" s="523" t="e">
        <f ca="1">stat(charge_entree[[#This Row],[ch_E_PTOT]])</f>
        <v>#NAME?</v>
      </c>
      <c r="J127" s="523" t="e">
        <f ca="1">stat(charge_entree[[#This Row],[ch_S_DBO]])</f>
        <v>#NAME?</v>
      </c>
      <c r="K127" s="523" t="e">
        <f ca="1">stat(charge_entree[[#This Row],[ch_S-DCO]])</f>
        <v>#NAME?</v>
      </c>
      <c r="L127" s="523" t="e">
        <f ca="1">stat(charge_entree[[#This Row],[ch_S_DOC]])</f>
        <v>#NAME?</v>
      </c>
      <c r="M127" s="523" t="e">
        <f ca="1">stat(charge_entree[[#This Row],[ch_S_NH4]])</f>
        <v>#NAME?</v>
      </c>
      <c r="N127" s="523" t="e">
        <f ca="1">stat(charge_entree[[#This Row],[ch_S_NO2]])</f>
        <v>#NAME?</v>
      </c>
      <c r="O127" s="523" t="e">
        <f ca="1">stat(charge_entree[[#This Row],[ch_S_NO3]])</f>
        <v>#NAME?</v>
      </c>
      <c r="P127" s="523" t="e">
        <f ca="1">stat(charge_entree[[#This Row],[ch_S_PTOT]])</f>
        <v>#NAME?</v>
      </c>
      <c r="Q127" s="523" t="e">
        <f ca="1">stat(charge_entree[[#This Row],[ch_S_SNDT]])</f>
        <v>#NAME?</v>
      </c>
      <c r="R127" s="523">
        <f>calculs!R127</f>
        <v>0</v>
      </c>
      <c r="S127" s="523" t="e">
        <f ca="1">stat(calculs!S127)</f>
        <v>#NAME?</v>
      </c>
      <c r="T127" s="523" t="e">
        <f ca="1">stat(calculs!T127)</f>
        <v>#NAME?</v>
      </c>
      <c r="U127" s="523" t="e">
        <f ca="1">stat(calculs!U127)</f>
        <v>#NAME?</v>
      </c>
      <c r="V127" s="523" t="e">
        <f ca="1">stat(calculs!V127)</f>
        <v>#NAME?</v>
      </c>
      <c r="W127" s="523" t="e">
        <f ca="1">stat(calculs!W127)</f>
        <v>#NAME?</v>
      </c>
      <c r="X127" s="523" t="e">
        <f ca="1">stat(calculs!X127)</f>
        <v>#NAME?</v>
      </c>
      <c r="Y127" s="523" t="e">
        <f ca="1">stat(calculs!Y127)</f>
        <v>#NAME?</v>
      </c>
      <c r="Z127" s="523" t="e">
        <f ca="1">stat(calculs!Z127)</f>
        <v>#NAME?</v>
      </c>
      <c r="AA127" s="523" t="e">
        <f ca="1">stat(calculs!AA127)</f>
        <v>#NAME?</v>
      </c>
      <c r="AB127" s="523" t="e">
        <f ca="1">stat(calculs!AB127)</f>
        <v>#NAME?</v>
      </c>
      <c r="AC127" s="523" t="e">
        <f ca="1">stat(calculs!AC127)</f>
        <v>#NAME?</v>
      </c>
      <c r="AD127" s="523" t="e">
        <f ca="1">stat(calculs!AD127)</f>
        <v>#NAME?</v>
      </c>
      <c r="AE127" s="523" t="e">
        <f ca="1">stat(calculs!AE127)</f>
        <v>#NAME?</v>
      </c>
      <c r="AF127" s="523" t="e">
        <f ca="1">stat(calculs!AF127)</f>
        <v>#NAME?</v>
      </c>
      <c r="AG127" s="523" t="e">
        <f ca="1">stat(calculs!AG127)</f>
        <v>#NAME?</v>
      </c>
      <c r="AH127" s="523" t="e">
        <f ca="1">stat(calculs!AH127)</f>
        <v>#NAME?</v>
      </c>
      <c r="AI127" s="523" t="e">
        <f ca="1">stat(calculs!AI127)</f>
        <v>#NAME?</v>
      </c>
      <c r="AJ127" s="523" t="e">
        <f ca="1">stat(calculs!AJ127)</f>
        <v>#NAME?</v>
      </c>
      <c r="AK127" s="523" t="e">
        <f ca="1">stat(calculs!AK127)</f>
        <v>#NAME?</v>
      </c>
      <c r="AL127" s="523" t="e">
        <f ca="1">stat(calculs!AL127)</f>
        <v>#NAME?</v>
      </c>
      <c r="AM127" s="523" t="e">
        <f ca="1">stat(calculs!AM127)</f>
        <v>#NAME?</v>
      </c>
      <c r="AN127" s="523" t="e">
        <f ca="1">stat(calculs!AN127)</f>
        <v>#NAME?</v>
      </c>
      <c r="AO127" s="523" t="e">
        <f ca="1">stat(calculs!AO127)</f>
        <v>#NAME?</v>
      </c>
      <c r="AP127" s="523" t="e">
        <f ca="1">stat(calculs!AP127)</f>
        <v>#NAME?</v>
      </c>
      <c r="AQ127" s="523" t="e">
        <f ca="1">stat(calculs!AQ127)</f>
        <v>#NAME?</v>
      </c>
      <c r="AV127" s="525" t="str">
        <f>stat(calculs!AV127)</f>
        <v/>
      </c>
      <c r="AW127" s="525" t="str">
        <f>stat(calculs!AW127)</f>
        <v/>
      </c>
      <c r="AX127" s="525" t="str">
        <f>stat(calculs!AX127)</f>
        <v/>
      </c>
      <c r="AY127" s="525" t="e">
        <f ca="1">stat(calculs!AY127)</f>
        <v>#NAME?</v>
      </c>
      <c r="AZ127" s="525" t="e">
        <f ca="1">stat(calculs!AZ127)</f>
        <v>#NAME?</v>
      </c>
      <c r="BA127" s="525" t="e">
        <f ca="1">stat(calculs!BA127)</f>
        <v>#NAME?</v>
      </c>
      <c r="BB127" s="525" t="e">
        <f ca="1">stat(calculs!BB127)</f>
        <v>#NAME?</v>
      </c>
      <c r="BC127" s="525" t="e">
        <f ca="1">stat(calculs!BC127)</f>
        <v>#NAME?</v>
      </c>
      <c r="BD127" s="525" t="e">
        <f ca="1">stat(calculs!BD127)</f>
        <v>#NAME?</v>
      </c>
      <c r="BE127" s="525" t="e">
        <f ca="1">stat(calculs!BE127)</f>
        <v>#NAME?</v>
      </c>
      <c r="BF127" s="525" t="e">
        <f ca="1">stat(calculs!BF127)</f>
        <v>#NAME?</v>
      </c>
      <c r="BG127" s="729" t="e">
        <f ca="1">stat(calculs!BG127)</f>
        <v>#NAME?</v>
      </c>
      <c r="BH127" s="729" t="e">
        <f ca="1">stat(calculs!BH127)</f>
        <v>#NAME?</v>
      </c>
      <c r="BI127" s="729" t="e">
        <f ca="1">stat(calculs!BI127)</f>
        <v>#NAME?</v>
      </c>
      <c r="BJ127" s="729" t="e">
        <f ca="1">stat(calculs!BJ127)</f>
        <v>#NAME?</v>
      </c>
      <c r="BK127" s="729" t="e">
        <f ca="1">stat(calculs!BK127)</f>
        <v>#NAME?</v>
      </c>
      <c r="BL127" s="525" t="e">
        <f ca="1">stat(calculs!BL127)</f>
        <v>#NAME?</v>
      </c>
      <c r="BM127" s="525" t="e">
        <f ca="1">stat(calculs!BM127)</f>
        <v>#NAME?</v>
      </c>
      <c r="BN127" s="525" t="e">
        <f ca="1">stat(calculs!BN127)</f>
        <v>#NAME?</v>
      </c>
      <c r="BO127" s="525" t="e">
        <f ca="1">stat(calculs!BO127)</f>
        <v>#NAME?</v>
      </c>
      <c r="BP127" s="525" t="e">
        <f ca="1">stat(calculs!BP127)</f>
        <v>#NAME?</v>
      </c>
      <c r="BQ127" s="525" t="e">
        <f ca="1">stat(calculs!BQ127)</f>
        <v>#NAME?</v>
      </c>
      <c r="BR127" s="525" t="e">
        <f ca="1">stat(calculs!BR127)</f>
        <v>#NAME?</v>
      </c>
    </row>
    <row r="128" spans="1:70" x14ac:dyDescent="0.2">
      <c r="A128" s="222">
        <f>données_step[[#This Row],[Datum]]</f>
        <v>44679</v>
      </c>
      <c r="B128" s="223"/>
      <c r="C128" s="224">
        <f t="shared" si="1"/>
        <v>5</v>
      </c>
      <c r="D128" s="523" t="e">
        <f ca="1">stat(charge_entree[[#This Row],[ch_E_DBO5]])</f>
        <v>#NAME?</v>
      </c>
      <c r="E128" s="523" t="e">
        <f ca="1">stat(charge_entree[[#This Row],[ch_E_DCO]])</f>
        <v>#NAME?</v>
      </c>
      <c r="F128" s="523" t="e">
        <f ca="1">stat(charge_entree[[#This Row],[ch_E_COT]])</f>
        <v>#NAME?</v>
      </c>
      <c r="G128" s="523" t="e">
        <f ca="1">stat(charge_entree[[#This Row],[ch_E_NH4]])</f>
        <v>#NAME?</v>
      </c>
      <c r="H128" s="523" t="e">
        <f ca="1">stat(charge_entree[[#This Row],[ch_E_NTOT]])</f>
        <v>#NAME?</v>
      </c>
      <c r="I128" s="523" t="e">
        <f ca="1">stat(charge_entree[[#This Row],[ch_E_PTOT]])</f>
        <v>#NAME?</v>
      </c>
      <c r="J128" s="523" t="e">
        <f ca="1">stat(charge_entree[[#This Row],[ch_S_DBO]])</f>
        <v>#NAME?</v>
      </c>
      <c r="K128" s="523" t="e">
        <f ca="1">stat(charge_entree[[#This Row],[ch_S-DCO]])</f>
        <v>#NAME?</v>
      </c>
      <c r="L128" s="523" t="e">
        <f ca="1">stat(charge_entree[[#This Row],[ch_S_DOC]])</f>
        <v>#NAME?</v>
      </c>
      <c r="M128" s="523" t="e">
        <f ca="1">stat(charge_entree[[#This Row],[ch_S_NH4]])</f>
        <v>#NAME?</v>
      </c>
      <c r="N128" s="523" t="e">
        <f ca="1">stat(charge_entree[[#This Row],[ch_S_NO2]])</f>
        <v>#NAME?</v>
      </c>
      <c r="O128" s="523" t="e">
        <f ca="1">stat(charge_entree[[#This Row],[ch_S_NO3]])</f>
        <v>#NAME?</v>
      </c>
      <c r="P128" s="523" t="e">
        <f ca="1">stat(charge_entree[[#This Row],[ch_S_PTOT]])</f>
        <v>#NAME?</v>
      </c>
      <c r="Q128" s="523" t="e">
        <f ca="1">stat(charge_entree[[#This Row],[ch_S_SNDT]])</f>
        <v>#NAME?</v>
      </c>
      <c r="R128" s="523">
        <f>calculs!R128</f>
        <v>0</v>
      </c>
      <c r="S128" s="523" t="e">
        <f ca="1">stat(calculs!S128)</f>
        <v>#NAME?</v>
      </c>
      <c r="T128" s="523" t="e">
        <f ca="1">stat(calculs!T128)</f>
        <v>#NAME?</v>
      </c>
      <c r="U128" s="523" t="e">
        <f ca="1">stat(calculs!U128)</f>
        <v>#NAME?</v>
      </c>
      <c r="V128" s="523" t="e">
        <f ca="1">stat(calculs!V128)</f>
        <v>#NAME?</v>
      </c>
      <c r="W128" s="523" t="e">
        <f ca="1">stat(calculs!W128)</f>
        <v>#NAME?</v>
      </c>
      <c r="X128" s="523" t="e">
        <f ca="1">stat(calculs!X128)</f>
        <v>#NAME?</v>
      </c>
      <c r="Y128" s="523" t="e">
        <f ca="1">stat(calculs!Y128)</f>
        <v>#NAME?</v>
      </c>
      <c r="Z128" s="523" t="e">
        <f ca="1">stat(calculs!Z128)</f>
        <v>#NAME?</v>
      </c>
      <c r="AA128" s="523" t="e">
        <f ca="1">stat(calculs!AA128)</f>
        <v>#NAME?</v>
      </c>
      <c r="AB128" s="523" t="e">
        <f ca="1">stat(calculs!AB128)</f>
        <v>#NAME?</v>
      </c>
      <c r="AC128" s="523" t="e">
        <f ca="1">stat(calculs!AC128)</f>
        <v>#NAME?</v>
      </c>
      <c r="AD128" s="523" t="e">
        <f ca="1">stat(calculs!AD128)</f>
        <v>#NAME?</v>
      </c>
      <c r="AE128" s="523" t="e">
        <f ca="1">stat(calculs!AE128)</f>
        <v>#NAME?</v>
      </c>
      <c r="AF128" s="523" t="e">
        <f ca="1">stat(calculs!AF128)</f>
        <v>#NAME?</v>
      </c>
      <c r="AG128" s="523" t="e">
        <f ca="1">stat(calculs!AG128)</f>
        <v>#NAME?</v>
      </c>
      <c r="AH128" s="523" t="e">
        <f ca="1">stat(calculs!AH128)</f>
        <v>#NAME?</v>
      </c>
      <c r="AI128" s="523" t="e">
        <f ca="1">stat(calculs!AI128)</f>
        <v>#NAME?</v>
      </c>
      <c r="AJ128" s="523" t="e">
        <f ca="1">stat(calculs!AJ128)</f>
        <v>#NAME?</v>
      </c>
      <c r="AK128" s="523" t="e">
        <f ca="1">stat(calculs!AK128)</f>
        <v>#NAME?</v>
      </c>
      <c r="AL128" s="523" t="e">
        <f ca="1">stat(calculs!AL128)</f>
        <v>#NAME?</v>
      </c>
      <c r="AM128" s="523" t="e">
        <f ca="1">stat(calculs!AM128)</f>
        <v>#NAME?</v>
      </c>
      <c r="AN128" s="523" t="e">
        <f ca="1">stat(calculs!AN128)</f>
        <v>#NAME?</v>
      </c>
      <c r="AO128" s="523" t="e">
        <f ca="1">stat(calculs!AO128)</f>
        <v>#NAME?</v>
      </c>
      <c r="AP128" s="523" t="e">
        <f ca="1">stat(calculs!AP128)</f>
        <v>#NAME?</v>
      </c>
      <c r="AQ128" s="523" t="e">
        <f ca="1">stat(calculs!AQ128)</f>
        <v>#NAME?</v>
      </c>
      <c r="AV128" s="525" t="str">
        <f>stat(calculs!AV128)</f>
        <v/>
      </c>
      <c r="AW128" s="525" t="str">
        <f>stat(calculs!AW128)</f>
        <v/>
      </c>
      <c r="AX128" s="525" t="str">
        <f>stat(calculs!AX128)</f>
        <v/>
      </c>
      <c r="AY128" s="525" t="e">
        <f ca="1">stat(calculs!AY128)</f>
        <v>#NAME?</v>
      </c>
      <c r="AZ128" s="525" t="e">
        <f ca="1">stat(calculs!AZ128)</f>
        <v>#NAME?</v>
      </c>
      <c r="BA128" s="525" t="e">
        <f ca="1">stat(calculs!BA128)</f>
        <v>#NAME?</v>
      </c>
      <c r="BB128" s="525" t="e">
        <f ca="1">stat(calculs!BB128)</f>
        <v>#NAME?</v>
      </c>
      <c r="BC128" s="525" t="e">
        <f ca="1">stat(calculs!BC128)</f>
        <v>#NAME?</v>
      </c>
      <c r="BD128" s="525" t="e">
        <f ca="1">stat(calculs!BD128)</f>
        <v>#NAME?</v>
      </c>
      <c r="BE128" s="525" t="e">
        <f ca="1">stat(calculs!BE128)</f>
        <v>#NAME?</v>
      </c>
      <c r="BF128" s="525" t="e">
        <f ca="1">stat(calculs!BF128)</f>
        <v>#NAME?</v>
      </c>
      <c r="BG128" s="729" t="e">
        <f ca="1">stat(calculs!BG128)</f>
        <v>#NAME?</v>
      </c>
      <c r="BH128" s="729" t="e">
        <f ca="1">stat(calculs!BH128)</f>
        <v>#NAME?</v>
      </c>
      <c r="BI128" s="729" t="e">
        <f ca="1">stat(calculs!BI128)</f>
        <v>#NAME?</v>
      </c>
      <c r="BJ128" s="729" t="e">
        <f ca="1">stat(calculs!BJ128)</f>
        <v>#NAME?</v>
      </c>
      <c r="BK128" s="729" t="e">
        <f ca="1">stat(calculs!BK128)</f>
        <v>#NAME?</v>
      </c>
      <c r="BL128" s="525" t="e">
        <f ca="1">stat(calculs!BL128)</f>
        <v>#NAME?</v>
      </c>
      <c r="BM128" s="525" t="e">
        <f ca="1">stat(calculs!BM128)</f>
        <v>#NAME?</v>
      </c>
      <c r="BN128" s="525" t="e">
        <f ca="1">stat(calculs!BN128)</f>
        <v>#NAME?</v>
      </c>
      <c r="BO128" s="525" t="e">
        <f ca="1">stat(calculs!BO128)</f>
        <v>#NAME?</v>
      </c>
      <c r="BP128" s="525" t="e">
        <f ca="1">stat(calculs!BP128)</f>
        <v>#NAME?</v>
      </c>
      <c r="BQ128" s="525" t="e">
        <f ca="1">stat(calculs!BQ128)</f>
        <v>#NAME?</v>
      </c>
      <c r="BR128" s="525" t="e">
        <f ca="1">stat(calculs!BR128)</f>
        <v>#NAME?</v>
      </c>
    </row>
    <row r="129" spans="1:70" x14ac:dyDescent="0.2">
      <c r="A129" s="222">
        <f>données_step[[#This Row],[Datum]]</f>
        <v>44680</v>
      </c>
      <c r="B129" s="223"/>
      <c r="C129" s="224">
        <f t="shared" si="1"/>
        <v>6</v>
      </c>
      <c r="D129" s="523" t="e">
        <f ca="1">stat(charge_entree[[#This Row],[ch_E_DBO5]])</f>
        <v>#NAME?</v>
      </c>
      <c r="E129" s="523" t="e">
        <f ca="1">stat(charge_entree[[#This Row],[ch_E_DCO]])</f>
        <v>#NAME?</v>
      </c>
      <c r="F129" s="523" t="e">
        <f ca="1">stat(charge_entree[[#This Row],[ch_E_COT]])</f>
        <v>#NAME?</v>
      </c>
      <c r="G129" s="523" t="e">
        <f ca="1">stat(charge_entree[[#This Row],[ch_E_NH4]])</f>
        <v>#NAME?</v>
      </c>
      <c r="H129" s="523" t="e">
        <f ca="1">stat(charge_entree[[#This Row],[ch_E_NTOT]])</f>
        <v>#NAME?</v>
      </c>
      <c r="I129" s="523" t="e">
        <f ca="1">stat(charge_entree[[#This Row],[ch_E_PTOT]])</f>
        <v>#NAME?</v>
      </c>
      <c r="J129" s="523" t="e">
        <f ca="1">stat(charge_entree[[#This Row],[ch_S_DBO]])</f>
        <v>#NAME?</v>
      </c>
      <c r="K129" s="523" t="e">
        <f ca="1">stat(charge_entree[[#This Row],[ch_S-DCO]])</f>
        <v>#NAME?</v>
      </c>
      <c r="L129" s="523" t="e">
        <f ca="1">stat(charge_entree[[#This Row],[ch_S_DOC]])</f>
        <v>#NAME?</v>
      </c>
      <c r="M129" s="523" t="e">
        <f ca="1">stat(charge_entree[[#This Row],[ch_S_NH4]])</f>
        <v>#NAME?</v>
      </c>
      <c r="N129" s="523" t="e">
        <f ca="1">stat(charge_entree[[#This Row],[ch_S_NO2]])</f>
        <v>#NAME?</v>
      </c>
      <c r="O129" s="523" t="e">
        <f ca="1">stat(charge_entree[[#This Row],[ch_S_NO3]])</f>
        <v>#NAME?</v>
      </c>
      <c r="P129" s="523" t="e">
        <f ca="1">stat(charge_entree[[#This Row],[ch_S_PTOT]])</f>
        <v>#NAME?</v>
      </c>
      <c r="Q129" s="523" t="e">
        <f ca="1">stat(charge_entree[[#This Row],[ch_S_SNDT]])</f>
        <v>#NAME?</v>
      </c>
      <c r="R129" s="523">
        <f>calculs!R129</f>
        <v>0</v>
      </c>
      <c r="S129" s="523" t="e">
        <f ca="1">stat(calculs!S129)</f>
        <v>#NAME?</v>
      </c>
      <c r="T129" s="523" t="e">
        <f ca="1">stat(calculs!T129)</f>
        <v>#NAME?</v>
      </c>
      <c r="U129" s="523" t="e">
        <f ca="1">stat(calculs!U129)</f>
        <v>#NAME?</v>
      </c>
      <c r="V129" s="523" t="e">
        <f ca="1">stat(calculs!V129)</f>
        <v>#NAME?</v>
      </c>
      <c r="W129" s="523" t="e">
        <f ca="1">stat(calculs!W129)</f>
        <v>#NAME?</v>
      </c>
      <c r="X129" s="523" t="e">
        <f ca="1">stat(calculs!X129)</f>
        <v>#NAME?</v>
      </c>
      <c r="Y129" s="523" t="e">
        <f ca="1">stat(calculs!Y129)</f>
        <v>#NAME?</v>
      </c>
      <c r="Z129" s="523" t="e">
        <f ca="1">stat(calculs!Z129)</f>
        <v>#NAME?</v>
      </c>
      <c r="AA129" s="523" t="e">
        <f ca="1">stat(calculs!AA129)</f>
        <v>#NAME?</v>
      </c>
      <c r="AB129" s="523" t="e">
        <f ca="1">stat(calculs!AB129)</f>
        <v>#NAME?</v>
      </c>
      <c r="AC129" s="523" t="e">
        <f ca="1">stat(calculs!AC129)</f>
        <v>#NAME?</v>
      </c>
      <c r="AD129" s="523" t="e">
        <f ca="1">stat(calculs!AD129)</f>
        <v>#NAME?</v>
      </c>
      <c r="AE129" s="523" t="e">
        <f ca="1">stat(calculs!AE129)</f>
        <v>#NAME?</v>
      </c>
      <c r="AF129" s="523" t="e">
        <f ca="1">stat(calculs!AF129)</f>
        <v>#NAME?</v>
      </c>
      <c r="AG129" s="523" t="e">
        <f ca="1">stat(calculs!AG129)</f>
        <v>#NAME?</v>
      </c>
      <c r="AH129" s="523" t="e">
        <f ca="1">stat(calculs!AH129)</f>
        <v>#NAME?</v>
      </c>
      <c r="AI129" s="523" t="e">
        <f ca="1">stat(calculs!AI129)</f>
        <v>#NAME?</v>
      </c>
      <c r="AJ129" s="523" t="e">
        <f ca="1">stat(calculs!AJ129)</f>
        <v>#NAME?</v>
      </c>
      <c r="AK129" s="523" t="e">
        <f ca="1">stat(calculs!AK129)</f>
        <v>#NAME?</v>
      </c>
      <c r="AL129" s="523" t="e">
        <f ca="1">stat(calculs!AL129)</f>
        <v>#NAME?</v>
      </c>
      <c r="AM129" s="523" t="e">
        <f ca="1">stat(calculs!AM129)</f>
        <v>#NAME?</v>
      </c>
      <c r="AN129" s="523" t="e">
        <f ca="1">stat(calculs!AN129)</f>
        <v>#NAME?</v>
      </c>
      <c r="AO129" s="523" t="e">
        <f ca="1">stat(calculs!AO129)</f>
        <v>#NAME?</v>
      </c>
      <c r="AP129" s="523" t="e">
        <f ca="1">stat(calculs!AP129)</f>
        <v>#NAME?</v>
      </c>
      <c r="AQ129" s="523" t="e">
        <f ca="1">stat(calculs!AQ129)</f>
        <v>#NAME?</v>
      </c>
      <c r="AV129" s="525" t="str">
        <f>stat(calculs!AV129)</f>
        <v/>
      </c>
      <c r="AW129" s="525" t="str">
        <f>stat(calculs!AW129)</f>
        <v/>
      </c>
      <c r="AX129" s="525" t="str">
        <f>stat(calculs!AX129)</f>
        <v/>
      </c>
      <c r="AY129" s="525" t="e">
        <f ca="1">stat(calculs!AY129)</f>
        <v>#NAME?</v>
      </c>
      <c r="AZ129" s="525" t="e">
        <f ca="1">stat(calculs!AZ129)</f>
        <v>#NAME?</v>
      </c>
      <c r="BA129" s="525" t="e">
        <f ca="1">stat(calculs!BA129)</f>
        <v>#NAME?</v>
      </c>
      <c r="BB129" s="525" t="e">
        <f ca="1">stat(calculs!BB129)</f>
        <v>#NAME?</v>
      </c>
      <c r="BC129" s="525" t="e">
        <f ca="1">stat(calculs!BC129)</f>
        <v>#NAME?</v>
      </c>
      <c r="BD129" s="525" t="e">
        <f ca="1">stat(calculs!BD129)</f>
        <v>#NAME?</v>
      </c>
      <c r="BE129" s="525" t="e">
        <f ca="1">stat(calculs!BE129)</f>
        <v>#NAME?</v>
      </c>
      <c r="BF129" s="525" t="e">
        <f ca="1">stat(calculs!BF129)</f>
        <v>#NAME?</v>
      </c>
      <c r="BG129" s="729" t="e">
        <f ca="1">stat(calculs!BG129)</f>
        <v>#NAME?</v>
      </c>
      <c r="BH129" s="729" t="e">
        <f ca="1">stat(calculs!BH129)</f>
        <v>#NAME?</v>
      </c>
      <c r="BI129" s="729" t="e">
        <f ca="1">stat(calculs!BI129)</f>
        <v>#NAME?</v>
      </c>
      <c r="BJ129" s="729" t="e">
        <f ca="1">stat(calculs!BJ129)</f>
        <v>#NAME?</v>
      </c>
      <c r="BK129" s="729" t="e">
        <f ca="1">stat(calculs!BK129)</f>
        <v>#NAME?</v>
      </c>
      <c r="BL129" s="525" t="e">
        <f ca="1">stat(calculs!BL129)</f>
        <v>#NAME?</v>
      </c>
      <c r="BM129" s="525" t="e">
        <f ca="1">stat(calculs!BM129)</f>
        <v>#NAME?</v>
      </c>
      <c r="BN129" s="525" t="e">
        <f ca="1">stat(calculs!BN129)</f>
        <v>#NAME?</v>
      </c>
      <c r="BO129" s="525" t="e">
        <f ca="1">stat(calculs!BO129)</f>
        <v>#NAME?</v>
      </c>
      <c r="BP129" s="525" t="e">
        <f ca="1">stat(calculs!BP129)</f>
        <v>#NAME?</v>
      </c>
      <c r="BQ129" s="525" t="e">
        <f ca="1">stat(calculs!BQ129)</f>
        <v>#NAME?</v>
      </c>
      <c r="BR129" s="525" t="e">
        <f ca="1">stat(calculs!BR129)</f>
        <v>#NAME?</v>
      </c>
    </row>
    <row r="130" spans="1:70" x14ac:dyDescent="0.2">
      <c r="A130" s="222">
        <f>données_step[[#This Row],[Datum]]</f>
        <v>44681</v>
      </c>
      <c r="B130" s="223"/>
      <c r="C130" s="224">
        <f t="shared" si="1"/>
        <v>7</v>
      </c>
      <c r="D130" s="523" t="e">
        <f ca="1">stat(charge_entree[[#This Row],[ch_E_DBO5]])</f>
        <v>#NAME?</v>
      </c>
      <c r="E130" s="523" t="e">
        <f ca="1">stat(charge_entree[[#This Row],[ch_E_DCO]])</f>
        <v>#NAME?</v>
      </c>
      <c r="F130" s="523" t="e">
        <f ca="1">stat(charge_entree[[#This Row],[ch_E_COT]])</f>
        <v>#NAME?</v>
      </c>
      <c r="G130" s="523" t="e">
        <f ca="1">stat(charge_entree[[#This Row],[ch_E_NH4]])</f>
        <v>#NAME?</v>
      </c>
      <c r="H130" s="523" t="e">
        <f ca="1">stat(charge_entree[[#This Row],[ch_E_NTOT]])</f>
        <v>#NAME?</v>
      </c>
      <c r="I130" s="523" t="e">
        <f ca="1">stat(charge_entree[[#This Row],[ch_E_PTOT]])</f>
        <v>#NAME?</v>
      </c>
      <c r="J130" s="523" t="e">
        <f ca="1">stat(charge_entree[[#This Row],[ch_S_DBO]])</f>
        <v>#NAME?</v>
      </c>
      <c r="K130" s="523" t="e">
        <f ca="1">stat(charge_entree[[#This Row],[ch_S-DCO]])</f>
        <v>#NAME?</v>
      </c>
      <c r="L130" s="523" t="e">
        <f ca="1">stat(charge_entree[[#This Row],[ch_S_DOC]])</f>
        <v>#NAME?</v>
      </c>
      <c r="M130" s="523" t="e">
        <f ca="1">stat(charge_entree[[#This Row],[ch_S_NH4]])</f>
        <v>#NAME?</v>
      </c>
      <c r="N130" s="523" t="e">
        <f ca="1">stat(charge_entree[[#This Row],[ch_S_NO2]])</f>
        <v>#NAME?</v>
      </c>
      <c r="O130" s="523" t="e">
        <f ca="1">stat(charge_entree[[#This Row],[ch_S_NO3]])</f>
        <v>#NAME?</v>
      </c>
      <c r="P130" s="523" t="e">
        <f ca="1">stat(charge_entree[[#This Row],[ch_S_PTOT]])</f>
        <v>#NAME?</v>
      </c>
      <c r="Q130" s="523" t="e">
        <f ca="1">stat(charge_entree[[#This Row],[ch_S_SNDT]])</f>
        <v>#NAME?</v>
      </c>
      <c r="R130" s="523">
        <f>calculs!R130</f>
        <v>0</v>
      </c>
      <c r="S130" s="523" t="e">
        <f ca="1">stat(calculs!S130)</f>
        <v>#NAME?</v>
      </c>
      <c r="T130" s="523" t="e">
        <f ca="1">stat(calculs!T130)</f>
        <v>#NAME?</v>
      </c>
      <c r="U130" s="523" t="e">
        <f ca="1">stat(calculs!U130)</f>
        <v>#NAME?</v>
      </c>
      <c r="V130" s="523" t="e">
        <f ca="1">stat(calculs!V130)</f>
        <v>#NAME?</v>
      </c>
      <c r="W130" s="523" t="e">
        <f ca="1">stat(calculs!W130)</f>
        <v>#NAME?</v>
      </c>
      <c r="X130" s="523" t="e">
        <f ca="1">stat(calculs!X130)</f>
        <v>#NAME?</v>
      </c>
      <c r="Y130" s="523" t="e">
        <f ca="1">stat(calculs!Y130)</f>
        <v>#NAME?</v>
      </c>
      <c r="Z130" s="523" t="e">
        <f ca="1">stat(calculs!Z130)</f>
        <v>#NAME?</v>
      </c>
      <c r="AA130" s="523" t="e">
        <f ca="1">stat(calculs!AA130)</f>
        <v>#NAME?</v>
      </c>
      <c r="AB130" s="523" t="e">
        <f ca="1">stat(calculs!AB130)</f>
        <v>#NAME?</v>
      </c>
      <c r="AC130" s="523" t="e">
        <f ca="1">stat(calculs!AC130)</f>
        <v>#NAME?</v>
      </c>
      <c r="AD130" s="523" t="e">
        <f ca="1">stat(calculs!AD130)</f>
        <v>#NAME?</v>
      </c>
      <c r="AE130" s="523" t="e">
        <f ca="1">stat(calculs!AE130)</f>
        <v>#NAME?</v>
      </c>
      <c r="AF130" s="523" t="e">
        <f ca="1">stat(calculs!AF130)</f>
        <v>#NAME?</v>
      </c>
      <c r="AG130" s="523" t="e">
        <f ca="1">stat(calculs!AG130)</f>
        <v>#NAME?</v>
      </c>
      <c r="AH130" s="523" t="e">
        <f ca="1">stat(calculs!AH130)</f>
        <v>#NAME?</v>
      </c>
      <c r="AI130" s="523" t="e">
        <f ca="1">stat(calculs!AI130)</f>
        <v>#NAME?</v>
      </c>
      <c r="AJ130" s="523" t="e">
        <f ca="1">stat(calculs!AJ130)</f>
        <v>#NAME?</v>
      </c>
      <c r="AK130" s="523" t="e">
        <f ca="1">stat(calculs!AK130)</f>
        <v>#NAME?</v>
      </c>
      <c r="AL130" s="523" t="e">
        <f ca="1">stat(calculs!AL130)</f>
        <v>#NAME?</v>
      </c>
      <c r="AM130" s="523" t="e">
        <f ca="1">stat(calculs!AM130)</f>
        <v>#NAME?</v>
      </c>
      <c r="AN130" s="523" t="e">
        <f ca="1">stat(calculs!AN130)</f>
        <v>#NAME?</v>
      </c>
      <c r="AO130" s="523" t="e">
        <f ca="1">stat(calculs!AO130)</f>
        <v>#NAME?</v>
      </c>
      <c r="AP130" s="523" t="e">
        <f ca="1">stat(calculs!AP130)</f>
        <v>#NAME?</v>
      </c>
      <c r="AQ130" s="523" t="e">
        <f ca="1">stat(calculs!AQ130)</f>
        <v>#NAME?</v>
      </c>
      <c r="AV130" s="525" t="str">
        <f>stat(calculs!AV130)</f>
        <v/>
      </c>
      <c r="AW130" s="525" t="str">
        <f>stat(calculs!AW130)</f>
        <v/>
      </c>
      <c r="AX130" s="525" t="str">
        <f>stat(calculs!AX130)</f>
        <v/>
      </c>
      <c r="AY130" s="525" t="e">
        <f ca="1">stat(calculs!AY130)</f>
        <v>#NAME?</v>
      </c>
      <c r="AZ130" s="525" t="e">
        <f ca="1">stat(calculs!AZ130)</f>
        <v>#NAME?</v>
      </c>
      <c r="BA130" s="525" t="e">
        <f ca="1">stat(calculs!BA130)</f>
        <v>#NAME?</v>
      </c>
      <c r="BB130" s="525" t="e">
        <f ca="1">stat(calculs!BB130)</f>
        <v>#NAME?</v>
      </c>
      <c r="BC130" s="525" t="e">
        <f ca="1">stat(calculs!BC130)</f>
        <v>#NAME?</v>
      </c>
      <c r="BD130" s="525" t="e">
        <f ca="1">stat(calculs!BD130)</f>
        <v>#NAME?</v>
      </c>
      <c r="BE130" s="525" t="e">
        <f ca="1">stat(calculs!BE130)</f>
        <v>#NAME?</v>
      </c>
      <c r="BF130" s="525" t="e">
        <f ca="1">stat(calculs!BF130)</f>
        <v>#NAME?</v>
      </c>
      <c r="BG130" s="729" t="e">
        <f ca="1">stat(calculs!BG130)</f>
        <v>#NAME?</v>
      </c>
      <c r="BH130" s="729" t="e">
        <f ca="1">stat(calculs!BH130)</f>
        <v>#NAME?</v>
      </c>
      <c r="BI130" s="729" t="e">
        <f ca="1">stat(calculs!BI130)</f>
        <v>#NAME?</v>
      </c>
      <c r="BJ130" s="729" t="e">
        <f ca="1">stat(calculs!BJ130)</f>
        <v>#NAME?</v>
      </c>
      <c r="BK130" s="729" t="e">
        <f ca="1">stat(calculs!BK130)</f>
        <v>#NAME?</v>
      </c>
      <c r="BL130" s="525" t="e">
        <f ca="1">stat(calculs!BL130)</f>
        <v>#NAME?</v>
      </c>
      <c r="BM130" s="525" t="e">
        <f ca="1">stat(calculs!BM130)</f>
        <v>#NAME?</v>
      </c>
      <c r="BN130" s="525" t="e">
        <f ca="1">stat(calculs!BN130)</f>
        <v>#NAME?</v>
      </c>
      <c r="BO130" s="525" t="e">
        <f ca="1">stat(calculs!BO130)</f>
        <v>#NAME?</v>
      </c>
      <c r="BP130" s="525" t="e">
        <f ca="1">stat(calculs!BP130)</f>
        <v>#NAME?</v>
      </c>
      <c r="BQ130" s="525" t="e">
        <f ca="1">stat(calculs!BQ130)</f>
        <v>#NAME?</v>
      </c>
      <c r="BR130" s="525" t="e">
        <f ca="1">stat(calculs!BR130)</f>
        <v>#NAME?</v>
      </c>
    </row>
    <row r="131" spans="1:70" x14ac:dyDescent="0.2">
      <c r="A131" s="222">
        <f>données_step[[#This Row],[Datum]]</f>
        <v>44682</v>
      </c>
      <c r="B131" s="223"/>
      <c r="C131" s="224">
        <f t="shared" si="1"/>
        <v>1</v>
      </c>
      <c r="D131" s="523" t="e">
        <f ca="1">stat(charge_entree[[#This Row],[ch_E_DBO5]])</f>
        <v>#NAME?</v>
      </c>
      <c r="E131" s="523" t="e">
        <f ca="1">stat(charge_entree[[#This Row],[ch_E_DCO]])</f>
        <v>#NAME?</v>
      </c>
      <c r="F131" s="523" t="e">
        <f ca="1">stat(charge_entree[[#This Row],[ch_E_COT]])</f>
        <v>#NAME?</v>
      </c>
      <c r="G131" s="523" t="e">
        <f ca="1">stat(charge_entree[[#This Row],[ch_E_NH4]])</f>
        <v>#NAME?</v>
      </c>
      <c r="H131" s="523" t="e">
        <f ca="1">stat(charge_entree[[#This Row],[ch_E_NTOT]])</f>
        <v>#NAME?</v>
      </c>
      <c r="I131" s="523" t="e">
        <f ca="1">stat(charge_entree[[#This Row],[ch_E_PTOT]])</f>
        <v>#NAME?</v>
      </c>
      <c r="J131" s="523" t="e">
        <f ca="1">stat(charge_entree[[#This Row],[ch_S_DBO]])</f>
        <v>#NAME?</v>
      </c>
      <c r="K131" s="523" t="e">
        <f ca="1">stat(charge_entree[[#This Row],[ch_S-DCO]])</f>
        <v>#NAME?</v>
      </c>
      <c r="L131" s="523" t="e">
        <f ca="1">stat(charge_entree[[#This Row],[ch_S_DOC]])</f>
        <v>#NAME?</v>
      </c>
      <c r="M131" s="523" t="e">
        <f ca="1">stat(charge_entree[[#This Row],[ch_S_NH4]])</f>
        <v>#NAME?</v>
      </c>
      <c r="N131" s="523" t="e">
        <f ca="1">stat(charge_entree[[#This Row],[ch_S_NO2]])</f>
        <v>#NAME?</v>
      </c>
      <c r="O131" s="523" t="e">
        <f ca="1">stat(charge_entree[[#This Row],[ch_S_NO3]])</f>
        <v>#NAME?</v>
      </c>
      <c r="P131" s="523" t="e">
        <f ca="1">stat(charge_entree[[#This Row],[ch_S_PTOT]])</f>
        <v>#NAME?</v>
      </c>
      <c r="Q131" s="523" t="e">
        <f ca="1">stat(charge_entree[[#This Row],[ch_S_SNDT]])</f>
        <v>#NAME?</v>
      </c>
      <c r="R131" s="523">
        <f>calculs!R131</f>
        <v>0</v>
      </c>
      <c r="S131" s="523" t="e">
        <f ca="1">stat(calculs!S131)</f>
        <v>#NAME?</v>
      </c>
      <c r="T131" s="523" t="e">
        <f ca="1">stat(calculs!T131)</f>
        <v>#NAME?</v>
      </c>
      <c r="U131" s="523" t="e">
        <f ca="1">stat(calculs!U131)</f>
        <v>#NAME?</v>
      </c>
      <c r="V131" s="523" t="e">
        <f ca="1">stat(calculs!V131)</f>
        <v>#NAME?</v>
      </c>
      <c r="W131" s="523" t="e">
        <f ca="1">stat(calculs!W131)</f>
        <v>#NAME?</v>
      </c>
      <c r="X131" s="523" t="e">
        <f ca="1">stat(calculs!X131)</f>
        <v>#NAME?</v>
      </c>
      <c r="Y131" s="523" t="e">
        <f ca="1">stat(calculs!Y131)</f>
        <v>#NAME?</v>
      </c>
      <c r="Z131" s="523" t="e">
        <f ca="1">stat(calculs!Z131)</f>
        <v>#NAME?</v>
      </c>
      <c r="AA131" s="523" t="e">
        <f ca="1">stat(calculs!AA131)</f>
        <v>#NAME?</v>
      </c>
      <c r="AB131" s="523" t="e">
        <f ca="1">stat(calculs!AB131)</f>
        <v>#NAME?</v>
      </c>
      <c r="AC131" s="523" t="e">
        <f ca="1">stat(calculs!AC131)</f>
        <v>#NAME?</v>
      </c>
      <c r="AD131" s="523" t="e">
        <f ca="1">stat(calculs!AD131)</f>
        <v>#NAME?</v>
      </c>
      <c r="AE131" s="523" t="e">
        <f ca="1">stat(calculs!AE131)</f>
        <v>#NAME?</v>
      </c>
      <c r="AF131" s="523" t="e">
        <f ca="1">stat(calculs!AF131)</f>
        <v>#NAME?</v>
      </c>
      <c r="AG131" s="523" t="e">
        <f ca="1">stat(calculs!AG131)</f>
        <v>#NAME?</v>
      </c>
      <c r="AH131" s="523" t="e">
        <f ca="1">stat(calculs!AH131)</f>
        <v>#NAME?</v>
      </c>
      <c r="AI131" s="523" t="e">
        <f ca="1">stat(calculs!AI131)</f>
        <v>#NAME?</v>
      </c>
      <c r="AJ131" s="523" t="e">
        <f ca="1">stat(calculs!AJ131)</f>
        <v>#NAME?</v>
      </c>
      <c r="AK131" s="523" t="e">
        <f ca="1">stat(calculs!AK131)</f>
        <v>#NAME?</v>
      </c>
      <c r="AL131" s="523" t="e">
        <f ca="1">stat(calculs!AL131)</f>
        <v>#NAME?</v>
      </c>
      <c r="AM131" s="523" t="e">
        <f ca="1">stat(calculs!AM131)</f>
        <v>#NAME?</v>
      </c>
      <c r="AN131" s="523" t="e">
        <f ca="1">stat(calculs!AN131)</f>
        <v>#NAME?</v>
      </c>
      <c r="AO131" s="523" t="e">
        <f ca="1">stat(calculs!AO131)</f>
        <v>#NAME?</v>
      </c>
      <c r="AP131" s="523" t="e">
        <f ca="1">stat(calculs!AP131)</f>
        <v>#NAME?</v>
      </c>
      <c r="AQ131" s="523" t="e">
        <f ca="1">stat(calculs!AQ131)</f>
        <v>#NAME?</v>
      </c>
      <c r="AV131" s="525" t="str">
        <f>stat(calculs!AV131)</f>
        <v/>
      </c>
      <c r="AW131" s="525" t="str">
        <f>stat(calculs!AW131)</f>
        <v/>
      </c>
      <c r="AX131" s="525" t="str">
        <f>stat(calculs!AX131)</f>
        <v/>
      </c>
      <c r="AY131" s="525" t="e">
        <f ca="1">stat(calculs!AY131)</f>
        <v>#NAME?</v>
      </c>
      <c r="AZ131" s="525" t="e">
        <f ca="1">stat(calculs!AZ131)</f>
        <v>#NAME?</v>
      </c>
      <c r="BA131" s="525" t="e">
        <f ca="1">stat(calculs!BA131)</f>
        <v>#NAME?</v>
      </c>
      <c r="BB131" s="525" t="e">
        <f ca="1">stat(calculs!BB131)</f>
        <v>#NAME?</v>
      </c>
      <c r="BC131" s="525" t="e">
        <f ca="1">stat(calculs!BC131)</f>
        <v>#NAME?</v>
      </c>
      <c r="BD131" s="525" t="e">
        <f ca="1">stat(calculs!BD131)</f>
        <v>#NAME?</v>
      </c>
      <c r="BE131" s="525" t="e">
        <f ca="1">stat(calculs!BE131)</f>
        <v>#NAME?</v>
      </c>
      <c r="BF131" s="525" t="e">
        <f ca="1">stat(calculs!BF131)</f>
        <v>#NAME?</v>
      </c>
      <c r="BG131" s="729" t="e">
        <f ca="1">stat(calculs!BG131)</f>
        <v>#NAME?</v>
      </c>
      <c r="BH131" s="729" t="e">
        <f ca="1">stat(calculs!BH131)</f>
        <v>#NAME?</v>
      </c>
      <c r="BI131" s="729" t="e">
        <f ca="1">stat(calculs!BI131)</f>
        <v>#NAME?</v>
      </c>
      <c r="BJ131" s="729" t="e">
        <f ca="1">stat(calculs!BJ131)</f>
        <v>#NAME?</v>
      </c>
      <c r="BK131" s="729" t="e">
        <f ca="1">stat(calculs!BK131)</f>
        <v>#NAME?</v>
      </c>
      <c r="BL131" s="525" t="e">
        <f ca="1">stat(calculs!BL131)</f>
        <v>#NAME?</v>
      </c>
      <c r="BM131" s="525" t="e">
        <f ca="1">stat(calculs!BM131)</f>
        <v>#NAME?</v>
      </c>
      <c r="BN131" s="525" t="e">
        <f ca="1">stat(calculs!BN131)</f>
        <v>#NAME?</v>
      </c>
      <c r="BO131" s="525" t="e">
        <f ca="1">stat(calculs!BO131)</f>
        <v>#NAME?</v>
      </c>
      <c r="BP131" s="525" t="e">
        <f ca="1">stat(calculs!BP131)</f>
        <v>#NAME?</v>
      </c>
      <c r="BQ131" s="525" t="e">
        <f ca="1">stat(calculs!BQ131)</f>
        <v>#NAME?</v>
      </c>
      <c r="BR131" s="525" t="e">
        <f ca="1">stat(calculs!BR131)</f>
        <v>#NAME?</v>
      </c>
    </row>
    <row r="132" spans="1:70" x14ac:dyDescent="0.2">
      <c r="A132" s="222">
        <f>données_step[[#This Row],[Datum]]</f>
        <v>44683</v>
      </c>
      <c r="B132" s="223"/>
      <c r="C132" s="224">
        <f t="shared" si="1"/>
        <v>2</v>
      </c>
      <c r="D132" s="523" t="e">
        <f ca="1">stat(charge_entree[[#This Row],[ch_E_DBO5]])</f>
        <v>#NAME?</v>
      </c>
      <c r="E132" s="523" t="e">
        <f ca="1">stat(charge_entree[[#This Row],[ch_E_DCO]])</f>
        <v>#NAME?</v>
      </c>
      <c r="F132" s="523" t="e">
        <f ca="1">stat(charge_entree[[#This Row],[ch_E_COT]])</f>
        <v>#NAME?</v>
      </c>
      <c r="G132" s="523" t="e">
        <f ca="1">stat(charge_entree[[#This Row],[ch_E_NH4]])</f>
        <v>#NAME?</v>
      </c>
      <c r="H132" s="523" t="e">
        <f ca="1">stat(charge_entree[[#This Row],[ch_E_NTOT]])</f>
        <v>#NAME?</v>
      </c>
      <c r="I132" s="523" t="e">
        <f ca="1">stat(charge_entree[[#This Row],[ch_E_PTOT]])</f>
        <v>#NAME?</v>
      </c>
      <c r="J132" s="523" t="e">
        <f ca="1">stat(charge_entree[[#This Row],[ch_S_DBO]])</f>
        <v>#NAME?</v>
      </c>
      <c r="K132" s="523" t="e">
        <f ca="1">stat(charge_entree[[#This Row],[ch_S-DCO]])</f>
        <v>#NAME?</v>
      </c>
      <c r="L132" s="523" t="e">
        <f ca="1">stat(charge_entree[[#This Row],[ch_S_DOC]])</f>
        <v>#NAME?</v>
      </c>
      <c r="M132" s="523" t="e">
        <f ca="1">stat(charge_entree[[#This Row],[ch_S_NH4]])</f>
        <v>#NAME?</v>
      </c>
      <c r="N132" s="523" t="e">
        <f ca="1">stat(charge_entree[[#This Row],[ch_S_NO2]])</f>
        <v>#NAME?</v>
      </c>
      <c r="O132" s="523" t="e">
        <f ca="1">stat(charge_entree[[#This Row],[ch_S_NO3]])</f>
        <v>#NAME?</v>
      </c>
      <c r="P132" s="523" t="e">
        <f ca="1">stat(charge_entree[[#This Row],[ch_S_PTOT]])</f>
        <v>#NAME?</v>
      </c>
      <c r="Q132" s="523" t="e">
        <f ca="1">stat(charge_entree[[#This Row],[ch_S_SNDT]])</f>
        <v>#NAME?</v>
      </c>
      <c r="R132" s="523">
        <f>calculs!R132</f>
        <v>0</v>
      </c>
      <c r="S132" s="523" t="e">
        <f ca="1">stat(calculs!S132)</f>
        <v>#NAME?</v>
      </c>
      <c r="T132" s="523" t="e">
        <f ca="1">stat(calculs!T132)</f>
        <v>#NAME?</v>
      </c>
      <c r="U132" s="523" t="e">
        <f ca="1">stat(calculs!U132)</f>
        <v>#NAME?</v>
      </c>
      <c r="V132" s="523" t="e">
        <f ca="1">stat(calculs!V132)</f>
        <v>#NAME?</v>
      </c>
      <c r="W132" s="523" t="e">
        <f ca="1">stat(calculs!W132)</f>
        <v>#NAME?</v>
      </c>
      <c r="X132" s="523" t="e">
        <f ca="1">stat(calculs!X132)</f>
        <v>#NAME?</v>
      </c>
      <c r="Y132" s="523" t="e">
        <f ca="1">stat(calculs!Y132)</f>
        <v>#NAME?</v>
      </c>
      <c r="Z132" s="523" t="e">
        <f ca="1">stat(calculs!Z132)</f>
        <v>#NAME?</v>
      </c>
      <c r="AA132" s="523" t="e">
        <f ca="1">stat(calculs!AA132)</f>
        <v>#NAME?</v>
      </c>
      <c r="AB132" s="523" t="e">
        <f ca="1">stat(calculs!AB132)</f>
        <v>#NAME?</v>
      </c>
      <c r="AC132" s="523" t="e">
        <f ca="1">stat(calculs!AC132)</f>
        <v>#NAME?</v>
      </c>
      <c r="AD132" s="523" t="e">
        <f ca="1">stat(calculs!AD132)</f>
        <v>#NAME?</v>
      </c>
      <c r="AE132" s="523" t="e">
        <f ca="1">stat(calculs!AE132)</f>
        <v>#NAME?</v>
      </c>
      <c r="AF132" s="523" t="e">
        <f ca="1">stat(calculs!AF132)</f>
        <v>#NAME?</v>
      </c>
      <c r="AG132" s="523" t="e">
        <f ca="1">stat(calculs!AG132)</f>
        <v>#NAME?</v>
      </c>
      <c r="AH132" s="523" t="e">
        <f ca="1">stat(calculs!AH132)</f>
        <v>#NAME?</v>
      </c>
      <c r="AI132" s="523" t="e">
        <f ca="1">stat(calculs!AI132)</f>
        <v>#NAME?</v>
      </c>
      <c r="AJ132" s="523" t="e">
        <f ca="1">stat(calculs!AJ132)</f>
        <v>#NAME?</v>
      </c>
      <c r="AK132" s="523" t="e">
        <f ca="1">stat(calculs!AK132)</f>
        <v>#NAME?</v>
      </c>
      <c r="AL132" s="523" t="e">
        <f ca="1">stat(calculs!AL132)</f>
        <v>#NAME?</v>
      </c>
      <c r="AM132" s="523" t="e">
        <f ca="1">stat(calculs!AM132)</f>
        <v>#NAME?</v>
      </c>
      <c r="AN132" s="523" t="e">
        <f ca="1">stat(calculs!AN132)</f>
        <v>#NAME?</v>
      </c>
      <c r="AO132" s="523" t="e">
        <f ca="1">stat(calculs!AO132)</f>
        <v>#NAME?</v>
      </c>
      <c r="AP132" s="523" t="e">
        <f ca="1">stat(calculs!AP132)</f>
        <v>#NAME?</v>
      </c>
      <c r="AQ132" s="523" t="e">
        <f ca="1">stat(calculs!AQ132)</f>
        <v>#NAME?</v>
      </c>
      <c r="AV132" s="525" t="str">
        <f>stat(calculs!AV132)</f>
        <v/>
      </c>
      <c r="AW132" s="525" t="str">
        <f>stat(calculs!AW132)</f>
        <v/>
      </c>
      <c r="AX132" s="525" t="str">
        <f>stat(calculs!AX132)</f>
        <v/>
      </c>
      <c r="AY132" s="525" t="e">
        <f ca="1">stat(calculs!AY132)</f>
        <v>#NAME?</v>
      </c>
      <c r="AZ132" s="525" t="e">
        <f ca="1">stat(calculs!AZ132)</f>
        <v>#NAME?</v>
      </c>
      <c r="BA132" s="525" t="e">
        <f ca="1">stat(calculs!BA132)</f>
        <v>#NAME?</v>
      </c>
      <c r="BB132" s="525" t="e">
        <f ca="1">stat(calculs!BB132)</f>
        <v>#NAME?</v>
      </c>
      <c r="BC132" s="525" t="e">
        <f ca="1">stat(calculs!BC132)</f>
        <v>#NAME?</v>
      </c>
      <c r="BD132" s="525" t="e">
        <f ca="1">stat(calculs!BD132)</f>
        <v>#NAME?</v>
      </c>
      <c r="BE132" s="525" t="e">
        <f ca="1">stat(calculs!BE132)</f>
        <v>#NAME?</v>
      </c>
      <c r="BF132" s="525" t="e">
        <f ca="1">stat(calculs!BF132)</f>
        <v>#NAME?</v>
      </c>
      <c r="BG132" s="729" t="e">
        <f ca="1">stat(calculs!BG132)</f>
        <v>#NAME?</v>
      </c>
      <c r="BH132" s="729" t="e">
        <f ca="1">stat(calculs!BH132)</f>
        <v>#NAME?</v>
      </c>
      <c r="BI132" s="729" t="e">
        <f ca="1">stat(calculs!BI132)</f>
        <v>#NAME?</v>
      </c>
      <c r="BJ132" s="729" t="e">
        <f ca="1">stat(calculs!BJ132)</f>
        <v>#NAME?</v>
      </c>
      <c r="BK132" s="729" t="e">
        <f ca="1">stat(calculs!BK132)</f>
        <v>#NAME?</v>
      </c>
      <c r="BL132" s="525" t="e">
        <f ca="1">stat(calculs!BL132)</f>
        <v>#NAME?</v>
      </c>
      <c r="BM132" s="525" t="e">
        <f ca="1">stat(calculs!BM132)</f>
        <v>#NAME?</v>
      </c>
      <c r="BN132" s="525" t="e">
        <f ca="1">stat(calculs!BN132)</f>
        <v>#NAME?</v>
      </c>
      <c r="BO132" s="525" t="e">
        <f ca="1">stat(calculs!BO132)</f>
        <v>#NAME?</v>
      </c>
      <c r="BP132" s="525" t="e">
        <f ca="1">stat(calculs!BP132)</f>
        <v>#NAME?</v>
      </c>
      <c r="BQ132" s="525" t="e">
        <f ca="1">stat(calculs!BQ132)</f>
        <v>#NAME?</v>
      </c>
      <c r="BR132" s="525" t="e">
        <f ca="1">stat(calculs!BR132)</f>
        <v>#NAME?</v>
      </c>
    </row>
    <row r="133" spans="1:70" x14ac:dyDescent="0.2">
      <c r="A133" s="222">
        <f>données_step[[#This Row],[Datum]]</f>
        <v>44684</v>
      </c>
      <c r="B133" s="223"/>
      <c r="C133" s="224">
        <f t="shared" si="1"/>
        <v>3</v>
      </c>
      <c r="D133" s="523" t="e">
        <f ca="1">stat(charge_entree[[#This Row],[ch_E_DBO5]])</f>
        <v>#NAME?</v>
      </c>
      <c r="E133" s="523" t="e">
        <f ca="1">stat(charge_entree[[#This Row],[ch_E_DCO]])</f>
        <v>#NAME?</v>
      </c>
      <c r="F133" s="523" t="e">
        <f ca="1">stat(charge_entree[[#This Row],[ch_E_COT]])</f>
        <v>#NAME?</v>
      </c>
      <c r="G133" s="523" t="e">
        <f ca="1">stat(charge_entree[[#This Row],[ch_E_NH4]])</f>
        <v>#NAME?</v>
      </c>
      <c r="H133" s="523" t="e">
        <f ca="1">stat(charge_entree[[#This Row],[ch_E_NTOT]])</f>
        <v>#NAME?</v>
      </c>
      <c r="I133" s="523" t="e">
        <f ca="1">stat(charge_entree[[#This Row],[ch_E_PTOT]])</f>
        <v>#NAME?</v>
      </c>
      <c r="J133" s="523" t="e">
        <f ca="1">stat(charge_entree[[#This Row],[ch_S_DBO]])</f>
        <v>#NAME?</v>
      </c>
      <c r="K133" s="523" t="e">
        <f ca="1">stat(charge_entree[[#This Row],[ch_S-DCO]])</f>
        <v>#NAME?</v>
      </c>
      <c r="L133" s="523" t="e">
        <f ca="1">stat(charge_entree[[#This Row],[ch_S_DOC]])</f>
        <v>#NAME?</v>
      </c>
      <c r="M133" s="523" t="e">
        <f ca="1">stat(charge_entree[[#This Row],[ch_S_NH4]])</f>
        <v>#NAME?</v>
      </c>
      <c r="N133" s="523" t="e">
        <f ca="1">stat(charge_entree[[#This Row],[ch_S_NO2]])</f>
        <v>#NAME?</v>
      </c>
      <c r="O133" s="523" t="e">
        <f ca="1">stat(charge_entree[[#This Row],[ch_S_NO3]])</f>
        <v>#NAME?</v>
      </c>
      <c r="P133" s="523" t="e">
        <f ca="1">stat(charge_entree[[#This Row],[ch_S_PTOT]])</f>
        <v>#NAME?</v>
      </c>
      <c r="Q133" s="523" t="e">
        <f ca="1">stat(charge_entree[[#This Row],[ch_S_SNDT]])</f>
        <v>#NAME?</v>
      </c>
      <c r="R133" s="523">
        <f>calculs!R133</f>
        <v>0</v>
      </c>
      <c r="S133" s="523" t="e">
        <f ca="1">stat(calculs!S133)</f>
        <v>#NAME?</v>
      </c>
      <c r="T133" s="523" t="e">
        <f ca="1">stat(calculs!T133)</f>
        <v>#NAME?</v>
      </c>
      <c r="U133" s="523" t="e">
        <f ca="1">stat(calculs!U133)</f>
        <v>#NAME?</v>
      </c>
      <c r="V133" s="523" t="e">
        <f ca="1">stat(calculs!V133)</f>
        <v>#NAME?</v>
      </c>
      <c r="W133" s="523" t="e">
        <f ca="1">stat(calculs!W133)</f>
        <v>#NAME?</v>
      </c>
      <c r="X133" s="523" t="e">
        <f ca="1">stat(calculs!X133)</f>
        <v>#NAME?</v>
      </c>
      <c r="Y133" s="523" t="e">
        <f ca="1">stat(calculs!Y133)</f>
        <v>#NAME?</v>
      </c>
      <c r="Z133" s="523" t="e">
        <f ca="1">stat(calculs!Z133)</f>
        <v>#NAME?</v>
      </c>
      <c r="AA133" s="523" t="e">
        <f ca="1">stat(calculs!AA133)</f>
        <v>#NAME?</v>
      </c>
      <c r="AB133" s="523" t="e">
        <f ca="1">stat(calculs!AB133)</f>
        <v>#NAME?</v>
      </c>
      <c r="AC133" s="523" t="e">
        <f ca="1">stat(calculs!AC133)</f>
        <v>#NAME?</v>
      </c>
      <c r="AD133" s="523" t="e">
        <f ca="1">stat(calculs!AD133)</f>
        <v>#NAME?</v>
      </c>
      <c r="AE133" s="523" t="e">
        <f ca="1">stat(calculs!AE133)</f>
        <v>#NAME?</v>
      </c>
      <c r="AF133" s="523" t="e">
        <f ca="1">stat(calculs!AF133)</f>
        <v>#NAME?</v>
      </c>
      <c r="AG133" s="523" t="e">
        <f ca="1">stat(calculs!AG133)</f>
        <v>#NAME?</v>
      </c>
      <c r="AH133" s="523" t="e">
        <f ca="1">stat(calculs!AH133)</f>
        <v>#NAME?</v>
      </c>
      <c r="AI133" s="523" t="e">
        <f ca="1">stat(calculs!AI133)</f>
        <v>#NAME?</v>
      </c>
      <c r="AJ133" s="523" t="e">
        <f ca="1">stat(calculs!AJ133)</f>
        <v>#NAME?</v>
      </c>
      <c r="AK133" s="523" t="e">
        <f ca="1">stat(calculs!AK133)</f>
        <v>#NAME?</v>
      </c>
      <c r="AL133" s="523" t="e">
        <f ca="1">stat(calculs!AL133)</f>
        <v>#NAME?</v>
      </c>
      <c r="AM133" s="523" t="e">
        <f ca="1">stat(calculs!AM133)</f>
        <v>#NAME?</v>
      </c>
      <c r="AN133" s="523" t="e">
        <f ca="1">stat(calculs!AN133)</f>
        <v>#NAME?</v>
      </c>
      <c r="AO133" s="523" t="e">
        <f ca="1">stat(calculs!AO133)</f>
        <v>#NAME?</v>
      </c>
      <c r="AP133" s="523" t="e">
        <f ca="1">stat(calculs!AP133)</f>
        <v>#NAME?</v>
      </c>
      <c r="AQ133" s="523" t="e">
        <f ca="1">stat(calculs!AQ133)</f>
        <v>#NAME?</v>
      </c>
      <c r="AV133" s="525" t="str">
        <f>stat(calculs!AV133)</f>
        <v/>
      </c>
      <c r="AW133" s="525" t="str">
        <f>stat(calculs!AW133)</f>
        <v/>
      </c>
      <c r="AX133" s="525" t="str">
        <f>stat(calculs!AX133)</f>
        <v/>
      </c>
      <c r="AY133" s="525" t="e">
        <f ca="1">stat(calculs!AY133)</f>
        <v>#NAME?</v>
      </c>
      <c r="AZ133" s="525" t="e">
        <f ca="1">stat(calculs!AZ133)</f>
        <v>#NAME?</v>
      </c>
      <c r="BA133" s="525" t="e">
        <f ca="1">stat(calculs!BA133)</f>
        <v>#NAME?</v>
      </c>
      <c r="BB133" s="525" t="e">
        <f ca="1">stat(calculs!BB133)</f>
        <v>#NAME?</v>
      </c>
      <c r="BC133" s="525" t="e">
        <f ca="1">stat(calculs!BC133)</f>
        <v>#NAME?</v>
      </c>
      <c r="BD133" s="525" t="e">
        <f ca="1">stat(calculs!BD133)</f>
        <v>#NAME?</v>
      </c>
      <c r="BE133" s="525" t="e">
        <f ca="1">stat(calculs!BE133)</f>
        <v>#NAME?</v>
      </c>
      <c r="BF133" s="525" t="e">
        <f ca="1">stat(calculs!BF133)</f>
        <v>#NAME?</v>
      </c>
      <c r="BG133" s="729" t="e">
        <f ca="1">stat(calculs!BG133)</f>
        <v>#NAME?</v>
      </c>
      <c r="BH133" s="729" t="e">
        <f ca="1">stat(calculs!BH133)</f>
        <v>#NAME?</v>
      </c>
      <c r="BI133" s="729" t="e">
        <f ca="1">stat(calculs!BI133)</f>
        <v>#NAME?</v>
      </c>
      <c r="BJ133" s="729" t="e">
        <f ca="1">stat(calculs!BJ133)</f>
        <v>#NAME?</v>
      </c>
      <c r="BK133" s="729" t="e">
        <f ca="1">stat(calculs!BK133)</f>
        <v>#NAME?</v>
      </c>
      <c r="BL133" s="525" t="e">
        <f ca="1">stat(calculs!BL133)</f>
        <v>#NAME?</v>
      </c>
      <c r="BM133" s="525" t="e">
        <f ca="1">stat(calculs!BM133)</f>
        <v>#NAME?</v>
      </c>
      <c r="BN133" s="525" t="e">
        <f ca="1">stat(calculs!BN133)</f>
        <v>#NAME?</v>
      </c>
      <c r="BO133" s="525" t="e">
        <f ca="1">stat(calculs!BO133)</f>
        <v>#NAME?</v>
      </c>
      <c r="BP133" s="525" t="e">
        <f ca="1">stat(calculs!BP133)</f>
        <v>#NAME?</v>
      </c>
      <c r="BQ133" s="525" t="e">
        <f ca="1">stat(calculs!BQ133)</f>
        <v>#NAME?</v>
      </c>
      <c r="BR133" s="525" t="e">
        <f ca="1">stat(calculs!BR133)</f>
        <v>#NAME?</v>
      </c>
    </row>
    <row r="134" spans="1:70" x14ac:dyDescent="0.2">
      <c r="A134" s="222">
        <f>données_step[[#This Row],[Datum]]</f>
        <v>44685</v>
      </c>
      <c r="B134" s="223"/>
      <c r="C134" s="224">
        <f t="shared" si="1"/>
        <v>4</v>
      </c>
      <c r="D134" s="523" t="e">
        <f ca="1">stat(charge_entree[[#This Row],[ch_E_DBO5]])</f>
        <v>#NAME?</v>
      </c>
      <c r="E134" s="523" t="e">
        <f ca="1">stat(charge_entree[[#This Row],[ch_E_DCO]])</f>
        <v>#NAME?</v>
      </c>
      <c r="F134" s="523" t="e">
        <f ca="1">stat(charge_entree[[#This Row],[ch_E_COT]])</f>
        <v>#NAME?</v>
      </c>
      <c r="G134" s="523" t="e">
        <f ca="1">stat(charge_entree[[#This Row],[ch_E_NH4]])</f>
        <v>#NAME?</v>
      </c>
      <c r="H134" s="523" t="e">
        <f ca="1">stat(charge_entree[[#This Row],[ch_E_NTOT]])</f>
        <v>#NAME?</v>
      </c>
      <c r="I134" s="523" t="e">
        <f ca="1">stat(charge_entree[[#This Row],[ch_E_PTOT]])</f>
        <v>#NAME?</v>
      </c>
      <c r="J134" s="523" t="e">
        <f ca="1">stat(charge_entree[[#This Row],[ch_S_DBO]])</f>
        <v>#NAME?</v>
      </c>
      <c r="K134" s="523" t="e">
        <f ca="1">stat(charge_entree[[#This Row],[ch_S-DCO]])</f>
        <v>#NAME?</v>
      </c>
      <c r="L134" s="523" t="e">
        <f ca="1">stat(charge_entree[[#This Row],[ch_S_DOC]])</f>
        <v>#NAME?</v>
      </c>
      <c r="M134" s="523" t="e">
        <f ca="1">stat(charge_entree[[#This Row],[ch_S_NH4]])</f>
        <v>#NAME?</v>
      </c>
      <c r="N134" s="523" t="e">
        <f ca="1">stat(charge_entree[[#This Row],[ch_S_NO2]])</f>
        <v>#NAME?</v>
      </c>
      <c r="O134" s="523" t="e">
        <f ca="1">stat(charge_entree[[#This Row],[ch_S_NO3]])</f>
        <v>#NAME?</v>
      </c>
      <c r="P134" s="523" t="e">
        <f ca="1">stat(charge_entree[[#This Row],[ch_S_PTOT]])</f>
        <v>#NAME?</v>
      </c>
      <c r="Q134" s="523" t="e">
        <f ca="1">stat(charge_entree[[#This Row],[ch_S_SNDT]])</f>
        <v>#NAME?</v>
      </c>
      <c r="R134" s="523">
        <f>calculs!R134</f>
        <v>0</v>
      </c>
      <c r="S134" s="523" t="e">
        <f ca="1">stat(calculs!S134)</f>
        <v>#NAME?</v>
      </c>
      <c r="T134" s="523" t="e">
        <f ca="1">stat(calculs!T134)</f>
        <v>#NAME?</v>
      </c>
      <c r="U134" s="523" t="e">
        <f ca="1">stat(calculs!U134)</f>
        <v>#NAME?</v>
      </c>
      <c r="V134" s="523" t="e">
        <f ca="1">stat(calculs!V134)</f>
        <v>#NAME?</v>
      </c>
      <c r="W134" s="523" t="e">
        <f ca="1">stat(calculs!W134)</f>
        <v>#NAME?</v>
      </c>
      <c r="X134" s="523" t="e">
        <f ca="1">stat(calculs!X134)</f>
        <v>#NAME?</v>
      </c>
      <c r="Y134" s="523" t="e">
        <f ca="1">stat(calculs!Y134)</f>
        <v>#NAME?</v>
      </c>
      <c r="Z134" s="523" t="e">
        <f ca="1">stat(calculs!Z134)</f>
        <v>#NAME?</v>
      </c>
      <c r="AA134" s="523" t="e">
        <f ca="1">stat(calculs!AA134)</f>
        <v>#NAME?</v>
      </c>
      <c r="AB134" s="523" t="e">
        <f ca="1">stat(calculs!AB134)</f>
        <v>#NAME?</v>
      </c>
      <c r="AC134" s="523" t="e">
        <f ca="1">stat(calculs!AC134)</f>
        <v>#NAME?</v>
      </c>
      <c r="AD134" s="523" t="e">
        <f ca="1">stat(calculs!AD134)</f>
        <v>#NAME?</v>
      </c>
      <c r="AE134" s="523" t="e">
        <f ca="1">stat(calculs!AE134)</f>
        <v>#NAME?</v>
      </c>
      <c r="AF134" s="523" t="e">
        <f ca="1">stat(calculs!AF134)</f>
        <v>#NAME?</v>
      </c>
      <c r="AG134" s="523" t="e">
        <f ca="1">stat(calculs!AG134)</f>
        <v>#NAME?</v>
      </c>
      <c r="AH134" s="523" t="e">
        <f ca="1">stat(calculs!AH134)</f>
        <v>#NAME?</v>
      </c>
      <c r="AI134" s="523" t="e">
        <f ca="1">stat(calculs!AI134)</f>
        <v>#NAME?</v>
      </c>
      <c r="AJ134" s="523" t="e">
        <f ca="1">stat(calculs!AJ134)</f>
        <v>#NAME?</v>
      </c>
      <c r="AK134" s="523" t="e">
        <f ca="1">stat(calculs!AK134)</f>
        <v>#NAME?</v>
      </c>
      <c r="AL134" s="523" t="e">
        <f ca="1">stat(calculs!AL134)</f>
        <v>#NAME?</v>
      </c>
      <c r="AM134" s="523" t="e">
        <f ca="1">stat(calculs!AM134)</f>
        <v>#NAME?</v>
      </c>
      <c r="AN134" s="523" t="e">
        <f ca="1">stat(calculs!AN134)</f>
        <v>#NAME?</v>
      </c>
      <c r="AO134" s="523" t="e">
        <f ca="1">stat(calculs!AO134)</f>
        <v>#NAME?</v>
      </c>
      <c r="AP134" s="523" t="e">
        <f ca="1">stat(calculs!AP134)</f>
        <v>#NAME?</v>
      </c>
      <c r="AQ134" s="523" t="e">
        <f ca="1">stat(calculs!AQ134)</f>
        <v>#NAME?</v>
      </c>
      <c r="AV134" s="525" t="str">
        <f>stat(calculs!AV134)</f>
        <v/>
      </c>
      <c r="AW134" s="525" t="str">
        <f>stat(calculs!AW134)</f>
        <v/>
      </c>
      <c r="AX134" s="525" t="str">
        <f>stat(calculs!AX134)</f>
        <v/>
      </c>
      <c r="AY134" s="525" t="e">
        <f ca="1">stat(calculs!AY134)</f>
        <v>#NAME?</v>
      </c>
      <c r="AZ134" s="525" t="e">
        <f ca="1">stat(calculs!AZ134)</f>
        <v>#NAME?</v>
      </c>
      <c r="BA134" s="525" t="e">
        <f ca="1">stat(calculs!BA134)</f>
        <v>#NAME?</v>
      </c>
      <c r="BB134" s="525" t="e">
        <f ca="1">stat(calculs!BB134)</f>
        <v>#NAME?</v>
      </c>
      <c r="BC134" s="525" t="e">
        <f ca="1">stat(calculs!BC134)</f>
        <v>#NAME?</v>
      </c>
      <c r="BD134" s="525" t="e">
        <f ca="1">stat(calculs!BD134)</f>
        <v>#NAME?</v>
      </c>
      <c r="BE134" s="525" t="e">
        <f ca="1">stat(calculs!BE134)</f>
        <v>#NAME?</v>
      </c>
      <c r="BF134" s="525" t="e">
        <f ca="1">stat(calculs!BF134)</f>
        <v>#NAME?</v>
      </c>
      <c r="BG134" s="729" t="e">
        <f ca="1">stat(calculs!BG134)</f>
        <v>#NAME?</v>
      </c>
      <c r="BH134" s="729" t="e">
        <f ca="1">stat(calculs!BH134)</f>
        <v>#NAME?</v>
      </c>
      <c r="BI134" s="729" t="e">
        <f ca="1">stat(calculs!BI134)</f>
        <v>#NAME?</v>
      </c>
      <c r="BJ134" s="729" t="e">
        <f ca="1">stat(calculs!BJ134)</f>
        <v>#NAME?</v>
      </c>
      <c r="BK134" s="729" t="e">
        <f ca="1">stat(calculs!BK134)</f>
        <v>#NAME?</v>
      </c>
      <c r="BL134" s="525" t="e">
        <f ca="1">stat(calculs!BL134)</f>
        <v>#NAME?</v>
      </c>
      <c r="BM134" s="525" t="e">
        <f ca="1">stat(calculs!BM134)</f>
        <v>#NAME?</v>
      </c>
      <c r="BN134" s="525" t="e">
        <f ca="1">stat(calculs!BN134)</f>
        <v>#NAME?</v>
      </c>
      <c r="BO134" s="525" t="e">
        <f ca="1">stat(calculs!BO134)</f>
        <v>#NAME?</v>
      </c>
      <c r="BP134" s="525" t="e">
        <f ca="1">stat(calculs!BP134)</f>
        <v>#NAME?</v>
      </c>
      <c r="BQ134" s="525" t="e">
        <f ca="1">stat(calculs!BQ134)</f>
        <v>#NAME?</v>
      </c>
      <c r="BR134" s="525" t="e">
        <f ca="1">stat(calculs!BR134)</f>
        <v>#NAME?</v>
      </c>
    </row>
    <row r="135" spans="1:70" x14ac:dyDescent="0.2">
      <c r="A135" s="222">
        <f>données_step[[#This Row],[Datum]]</f>
        <v>44686</v>
      </c>
      <c r="B135" s="223"/>
      <c r="C135" s="224">
        <f t="shared" si="1"/>
        <v>5</v>
      </c>
      <c r="D135" s="523" t="e">
        <f ca="1">stat(charge_entree[[#This Row],[ch_E_DBO5]])</f>
        <v>#NAME?</v>
      </c>
      <c r="E135" s="523" t="e">
        <f ca="1">stat(charge_entree[[#This Row],[ch_E_DCO]])</f>
        <v>#NAME?</v>
      </c>
      <c r="F135" s="523" t="e">
        <f ca="1">stat(charge_entree[[#This Row],[ch_E_COT]])</f>
        <v>#NAME?</v>
      </c>
      <c r="G135" s="523" t="e">
        <f ca="1">stat(charge_entree[[#This Row],[ch_E_NH4]])</f>
        <v>#NAME?</v>
      </c>
      <c r="H135" s="523" t="e">
        <f ca="1">stat(charge_entree[[#This Row],[ch_E_NTOT]])</f>
        <v>#NAME?</v>
      </c>
      <c r="I135" s="523" t="e">
        <f ca="1">stat(charge_entree[[#This Row],[ch_E_PTOT]])</f>
        <v>#NAME?</v>
      </c>
      <c r="J135" s="523" t="e">
        <f ca="1">stat(charge_entree[[#This Row],[ch_S_DBO]])</f>
        <v>#NAME?</v>
      </c>
      <c r="K135" s="523" t="e">
        <f ca="1">stat(charge_entree[[#This Row],[ch_S-DCO]])</f>
        <v>#NAME?</v>
      </c>
      <c r="L135" s="523" t="e">
        <f ca="1">stat(charge_entree[[#This Row],[ch_S_DOC]])</f>
        <v>#NAME?</v>
      </c>
      <c r="M135" s="523" t="e">
        <f ca="1">stat(charge_entree[[#This Row],[ch_S_NH4]])</f>
        <v>#NAME?</v>
      </c>
      <c r="N135" s="523" t="e">
        <f ca="1">stat(charge_entree[[#This Row],[ch_S_NO2]])</f>
        <v>#NAME?</v>
      </c>
      <c r="O135" s="523" t="e">
        <f ca="1">stat(charge_entree[[#This Row],[ch_S_NO3]])</f>
        <v>#NAME?</v>
      </c>
      <c r="P135" s="523" t="e">
        <f ca="1">stat(charge_entree[[#This Row],[ch_S_PTOT]])</f>
        <v>#NAME?</v>
      </c>
      <c r="Q135" s="523" t="e">
        <f ca="1">stat(charge_entree[[#This Row],[ch_S_SNDT]])</f>
        <v>#NAME?</v>
      </c>
      <c r="R135" s="523">
        <f>calculs!R135</f>
        <v>0</v>
      </c>
      <c r="S135" s="523" t="e">
        <f ca="1">stat(calculs!S135)</f>
        <v>#NAME?</v>
      </c>
      <c r="T135" s="523" t="e">
        <f ca="1">stat(calculs!T135)</f>
        <v>#NAME?</v>
      </c>
      <c r="U135" s="523" t="e">
        <f ca="1">stat(calculs!U135)</f>
        <v>#NAME?</v>
      </c>
      <c r="V135" s="523" t="e">
        <f ca="1">stat(calculs!V135)</f>
        <v>#NAME?</v>
      </c>
      <c r="W135" s="523" t="e">
        <f ca="1">stat(calculs!W135)</f>
        <v>#NAME?</v>
      </c>
      <c r="X135" s="523" t="e">
        <f ca="1">stat(calculs!X135)</f>
        <v>#NAME?</v>
      </c>
      <c r="Y135" s="523" t="e">
        <f ca="1">stat(calculs!Y135)</f>
        <v>#NAME?</v>
      </c>
      <c r="Z135" s="523" t="e">
        <f ca="1">stat(calculs!Z135)</f>
        <v>#NAME?</v>
      </c>
      <c r="AA135" s="523" t="e">
        <f ca="1">stat(calculs!AA135)</f>
        <v>#NAME?</v>
      </c>
      <c r="AB135" s="523" t="e">
        <f ca="1">stat(calculs!AB135)</f>
        <v>#NAME?</v>
      </c>
      <c r="AC135" s="523" t="e">
        <f ca="1">stat(calculs!AC135)</f>
        <v>#NAME?</v>
      </c>
      <c r="AD135" s="523" t="e">
        <f ca="1">stat(calculs!AD135)</f>
        <v>#NAME?</v>
      </c>
      <c r="AE135" s="523" t="e">
        <f ca="1">stat(calculs!AE135)</f>
        <v>#NAME?</v>
      </c>
      <c r="AF135" s="523" t="e">
        <f ca="1">stat(calculs!AF135)</f>
        <v>#NAME?</v>
      </c>
      <c r="AG135" s="523" t="e">
        <f ca="1">stat(calculs!AG135)</f>
        <v>#NAME?</v>
      </c>
      <c r="AH135" s="523" t="e">
        <f ca="1">stat(calculs!AH135)</f>
        <v>#NAME?</v>
      </c>
      <c r="AI135" s="523" t="e">
        <f ca="1">stat(calculs!AI135)</f>
        <v>#NAME?</v>
      </c>
      <c r="AJ135" s="523" t="e">
        <f ca="1">stat(calculs!AJ135)</f>
        <v>#NAME?</v>
      </c>
      <c r="AK135" s="523" t="e">
        <f ca="1">stat(calculs!AK135)</f>
        <v>#NAME?</v>
      </c>
      <c r="AL135" s="523" t="e">
        <f ca="1">stat(calculs!AL135)</f>
        <v>#NAME?</v>
      </c>
      <c r="AM135" s="523" t="e">
        <f ca="1">stat(calculs!AM135)</f>
        <v>#NAME?</v>
      </c>
      <c r="AN135" s="523" t="e">
        <f ca="1">stat(calculs!AN135)</f>
        <v>#NAME?</v>
      </c>
      <c r="AO135" s="523" t="e">
        <f ca="1">stat(calculs!AO135)</f>
        <v>#NAME?</v>
      </c>
      <c r="AP135" s="523" t="e">
        <f ca="1">stat(calculs!AP135)</f>
        <v>#NAME?</v>
      </c>
      <c r="AQ135" s="523" t="e">
        <f ca="1">stat(calculs!AQ135)</f>
        <v>#NAME?</v>
      </c>
      <c r="AV135" s="525" t="str">
        <f>stat(calculs!AV135)</f>
        <v/>
      </c>
      <c r="AW135" s="525" t="str">
        <f>stat(calculs!AW135)</f>
        <v/>
      </c>
      <c r="AX135" s="525" t="str">
        <f>stat(calculs!AX135)</f>
        <v/>
      </c>
      <c r="AY135" s="525" t="e">
        <f ca="1">stat(calculs!AY135)</f>
        <v>#NAME?</v>
      </c>
      <c r="AZ135" s="525" t="e">
        <f ca="1">stat(calculs!AZ135)</f>
        <v>#NAME?</v>
      </c>
      <c r="BA135" s="525" t="e">
        <f ca="1">stat(calculs!BA135)</f>
        <v>#NAME?</v>
      </c>
      <c r="BB135" s="525" t="e">
        <f ca="1">stat(calculs!BB135)</f>
        <v>#NAME?</v>
      </c>
      <c r="BC135" s="525" t="e">
        <f ca="1">stat(calculs!BC135)</f>
        <v>#NAME?</v>
      </c>
      <c r="BD135" s="525" t="e">
        <f ca="1">stat(calculs!BD135)</f>
        <v>#NAME?</v>
      </c>
      <c r="BE135" s="525" t="e">
        <f ca="1">stat(calculs!BE135)</f>
        <v>#NAME?</v>
      </c>
      <c r="BF135" s="525" t="e">
        <f ca="1">stat(calculs!BF135)</f>
        <v>#NAME?</v>
      </c>
      <c r="BG135" s="729" t="e">
        <f ca="1">stat(calculs!BG135)</f>
        <v>#NAME?</v>
      </c>
      <c r="BH135" s="729" t="e">
        <f ca="1">stat(calculs!BH135)</f>
        <v>#NAME?</v>
      </c>
      <c r="BI135" s="729" t="e">
        <f ca="1">stat(calculs!BI135)</f>
        <v>#NAME?</v>
      </c>
      <c r="BJ135" s="729" t="e">
        <f ca="1">stat(calculs!BJ135)</f>
        <v>#NAME?</v>
      </c>
      <c r="BK135" s="729" t="e">
        <f ca="1">stat(calculs!BK135)</f>
        <v>#NAME?</v>
      </c>
      <c r="BL135" s="525" t="e">
        <f ca="1">stat(calculs!BL135)</f>
        <v>#NAME?</v>
      </c>
      <c r="BM135" s="525" t="e">
        <f ca="1">stat(calculs!BM135)</f>
        <v>#NAME?</v>
      </c>
      <c r="BN135" s="525" t="e">
        <f ca="1">stat(calculs!BN135)</f>
        <v>#NAME?</v>
      </c>
      <c r="BO135" s="525" t="e">
        <f ca="1">stat(calculs!BO135)</f>
        <v>#NAME?</v>
      </c>
      <c r="BP135" s="525" t="e">
        <f ca="1">stat(calculs!BP135)</f>
        <v>#NAME?</v>
      </c>
      <c r="BQ135" s="525" t="e">
        <f ca="1">stat(calculs!BQ135)</f>
        <v>#NAME?</v>
      </c>
      <c r="BR135" s="525" t="e">
        <f ca="1">stat(calculs!BR135)</f>
        <v>#NAME?</v>
      </c>
    </row>
    <row r="136" spans="1:70" x14ac:dyDescent="0.2">
      <c r="A136" s="222">
        <f>données_step[[#This Row],[Datum]]</f>
        <v>44687</v>
      </c>
      <c r="B136" s="223"/>
      <c r="C136" s="224">
        <f t="shared" si="1"/>
        <v>6</v>
      </c>
      <c r="D136" s="523" t="e">
        <f ca="1">stat(charge_entree[[#This Row],[ch_E_DBO5]])</f>
        <v>#NAME?</v>
      </c>
      <c r="E136" s="523" t="e">
        <f ca="1">stat(charge_entree[[#This Row],[ch_E_DCO]])</f>
        <v>#NAME?</v>
      </c>
      <c r="F136" s="523" t="e">
        <f ca="1">stat(charge_entree[[#This Row],[ch_E_COT]])</f>
        <v>#NAME?</v>
      </c>
      <c r="G136" s="523" t="e">
        <f ca="1">stat(charge_entree[[#This Row],[ch_E_NH4]])</f>
        <v>#NAME?</v>
      </c>
      <c r="H136" s="523" t="e">
        <f ca="1">stat(charge_entree[[#This Row],[ch_E_NTOT]])</f>
        <v>#NAME?</v>
      </c>
      <c r="I136" s="523" t="e">
        <f ca="1">stat(charge_entree[[#This Row],[ch_E_PTOT]])</f>
        <v>#NAME?</v>
      </c>
      <c r="J136" s="523" t="e">
        <f ca="1">stat(charge_entree[[#This Row],[ch_S_DBO]])</f>
        <v>#NAME?</v>
      </c>
      <c r="K136" s="523" t="e">
        <f ca="1">stat(charge_entree[[#This Row],[ch_S-DCO]])</f>
        <v>#NAME?</v>
      </c>
      <c r="L136" s="523" t="e">
        <f ca="1">stat(charge_entree[[#This Row],[ch_S_DOC]])</f>
        <v>#NAME?</v>
      </c>
      <c r="M136" s="523" t="e">
        <f ca="1">stat(charge_entree[[#This Row],[ch_S_NH4]])</f>
        <v>#NAME?</v>
      </c>
      <c r="N136" s="523" t="e">
        <f ca="1">stat(charge_entree[[#This Row],[ch_S_NO2]])</f>
        <v>#NAME?</v>
      </c>
      <c r="O136" s="523" t="e">
        <f ca="1">stat(charge_entree[[#This Row],[ch_S_NO3]])</f>
        <v>#NAME?</v>
      </c>
      <c r="P136" s="523" t="e">
        <f ca="1">stat(charge_entree[[#This Row],[ch_S_PTOT]])</f>
        <v>#NAME?</v>
      </c>
      <c r="Q136" s="523" t="e">
        <f ca="1">stat(charge_entree[[#This Row],[ch_S_SNDT]])</f>
        <v>#NAME?</v>
      </c>
      <c r="R136" s="523">
        <f>calculs!R136</f>
        <v>0</v>
      </c>
      <c r="S136" s="523" t="e">
        <f ca="1">stat(calculs!S136)</f>
        <v>#NAME?</v>
      </c>
      <c r="T136" s="523" t="e">
        <f ca="1">stat(calculs!T136)</f>
        <v>#NAME?</v>
      </c>
      <c r="U136" s="523" t="e">
        <f ca="1">stat(calculs!U136)</f>
        <v>#NAME?</v>
      </c>
      <c r="V136" s="523" t="e">
        <f ca="1">stat(calculs!V136)</f>
        <v>#NAME?</v>
      </c>
      <c r="W136" s="523" t="e">
        <f ca="1">stat(calculs!W136)</f>
        <v>#NAME?</v>
      </c>
      <c r="X136" s="523" t="e">
        <f ca="1">stat(calculs!X136)</f>
        <v>#NAME?</v>
      </c>
      <c r="Y136" s="523" t="e">
        <f ca="1">stat(calculs!Y136)</f>
        <v>#NAME?</v>
      </c>
      <c r="Z136" s="523" t="e">
        <f ca="1">stat(calculs!Z136)</f>
        <v>#NAME?</v>
      </c>
      <c r="AA136" s="523" t="e">
        <f ca="1">stat(calculs!AA136)</f>
        <v>#NAME?</v>
      </c>
      <c r="AB136" s="523" t="e">
        <f ca="1">stat(calculs!AB136)</f>
        <v>#NAME?</v>
      </c>
      <c r="AC136" s="523" t="e">
        <f ca="1">stat(calculs!AC136)</f>
        <v>#NAME?</v>
      </c>
      <c r="AD136" s="523" t="e">
        <f ca="1">stat(calculs!AD136)</f>
        <v>#NAME?</v>
      </c>
      <c r="AE136" s="523" t="e">
        <f ca="1">stat(calculs!AE136)</f>
        <v>#NAME?</v>
      </c>
      <c r="AF136" s="523" t="e">
        <f ca="1">stat(calculs!AF136)</f>
        <v>#NAME?</v>
      </c>
      <c r="AG136" s="523" t="e">
        <f ca="1">stat(calculs!AG136)</f>
        <v>#NAME?</v>
      </c>
      <c r="AH136" s="523" t="e">
        <f ca="1">stat(calculs!AH136)</f>
        <v>#NAME?</v>
      </c>
      <c r="AI136" s="523" t="e">
        <f ca="1">stat(calculs!AI136)</f>
        <v>#NAME?</v>
      </c>
      <c r="AJ136" s="523" t="e">
        <f ca="1">stat(calculs!AJ136)</f>
        <v>#NAME?</v>
      </c>
      <c r="AK136" s="523" t="e">
        <f ca="1">stat(calculs!AK136)</f>
        <v>#NAME?</v>
      </c>
      <c r="AL136" s="523" t="e">
        <f ca="1">stat(calculs!AL136)</f>
        <v>#NAME?</v>
      </c>
      <c r="AM136" s="523" t="e">
        <f ca="1">stat(calculs!AM136)</f>
        <v>#NAME?</v>
      </c>
      <c r="AN136" s="523" t="e">
        <f ca="1">stat(calculs!AN136)</f>
        <v>#NAME?</v>
      </c>
      <c r="AO136" s="523" t="e">
        <f ca="1">stat(calculs!AO136)</f>
        <v>#NAME?</v>
      </c>
      <c r="AP136" s="523" t="e">
        <f ca="1">stat(calculs!AP136)</f>
        <v>#NAME?</v>
      </c>
      <c r="AQ136" s="523" t="e">
        <f ca="1">stat(calculs!AQ136)</f>
        <v>#NAME?</v>
      </c>
      <c r="AV136" s="525" t="str">
        <f>stat(calculs!AV136)</f>
        <v/>
      </c>
      <c r="AW136" s="525" t="str">
        <f>stat(calculs!AW136)</f>
        <v/>
      </c>
      <c r="AX136" s="525" t="str">
        <f>stat(calculs!AX136)</f>
        <v/>
      </c>
      <c r="AY136" s="525" t="e">
        <f ca="1">stat(calculs!AY136)</f>
        <v>#NAME?</v>
      </c>
      <c r="AZ136" s="525" t="e">
        <f ca="1">stat(calculs!AZ136)</f>
        <v>#NAME?</v>
      </c>
      <c r="BA136" s="525" t="e">
        <f ca="1">stat(calculs!BA136)</f>
        <v>#NAME?</v>
      </c>
      <c r="BB136" s="525" t="e">
        <f ca="1">stat(calculs!BB136)</f>
        <v>#NAME?</v>
      </c>
      <c r="BC136" s="525" t="e">
        <f ca="1">stat(calculs!BC136)</f>
        <v>#NAME?</v>
      </c>
      <c r="BD136" s="525" t="e">
        <f ca="1">stat(calculs!BD136)</f>
        <v>#NAME?</v>
      </c>
      <c r="BE136" s="525" t="e">
        <f ca="1">stat(calculs!BE136)</f>
        <v>#NAME?</v>
      </c>
      <c r="BF136" s="525" t="e">
        <f ca="1">stat(calculs!BF136)</f>
        <v>#NAME?</v>
      </c>
      <c r="BG136" s="729" t="e">
        <f ca="1">stat(calculs!BG136)</f>
        <v>#NAME?</v>
      </c>
      <c r="BH136" s="729" t="e">
        <f ca="1">stat(calculs!BH136)</f>
        <v>#NAME?</v>
      </c>
      <c r="BI136" s="729" t="e">
        <f ca="1">stat(calculs!BI136)</f>
        <v>#NAME?</v>
      </c>
      <c r="BJ136" s="729" t="e">
        <f ca="1">stat(calculs!BJ136)</f>
        <v>#NAME?</v>
      </c>
      <c r="BK136" s="729" t="e">
        <f ca="1">stat(calculs!BK136)</f>
        <v>#NAME?</v>
      </c>
      <c r="BL136" s="525" t="e">
        <f ca="1">stat(calculs!BL136)</f>
        <v>#NAME?</v>
      </c>
      <c r="BM136" s="525" t="e">
        <f ca="1">stat(calculs!BM136)</f>
        <v>#NAME?</v>
      </c>
      <c r="BN136" s="525" t="e">
        <f ca="1">stat(calculs!BN136)</f>
        <v>#NAME?</v>
      </c>
      <c r="BO136" s="525" t="e">
        <f ca="1">stat(calculs!BO136)</f>
        <v>#NAME?</v>
      </c>
      <c r="BP136" s="525" t="e">
        <f ca="1">stat(calculs!BP136)</f>
        <v>#NAME?</v>
      </c>
      <c r="BQ136" s="525" t="e">
        <f ca="1">stat(calculs!BQ136)</f>
        <v>#NAME?</v>
      </c>
      <c r="BR136" s="525" t="e">
        <f ca="1">stat(calculs!BR136)</f>
        <v>#NAME?</v>
      </c>
    </row>
    <row r="137" spans="1:70" x14ac:dyDescent="0.2">
      <c r="A137" s="222">
        <f>données_step[[#This Row],[Datum]]</f>
        <v>44688</v>
      </c>
      <c r="B137" s="223"/>
      <c r="C137" s="224">
        <f t="shared" si="1"/>
        <v>7</v>
      </c>
      <c r="D137" s="523" t="e">
        <f ca="1">stat(charge_entree[[#This Row],[ch_E_DBO5]])</f>
        <v>#NAME?</v>
      </c>
      <c r="E137" s="523" t="e">
        <f ca="1">stat(charge_entree[[#This Row],[ch_E_DCO]])</f>
        <v>#NAME?</v>
      </c>
      <c r="F137" s="523" t="e">
        <f ca="1">stat(charge_entree[[#This Row],[ch_E_COT]])</f>
        <v>#NAME?</v>
      </c>
      <c r="G137" s="523" t="e">
        <f ca="1">stat(charge_entree[[#This Row],[ch_E_NH4]])</f>
        <v>#NAME?</v>
      </c>
      <c r="H137" s="523" t="e">
        <f ca="1">stat(charge_entree[[#This Row],[ch_E_NTOT]])</f>
        <v>#NAME?</v>
      </c>
      <c r="I137" s="523" t="e">
        <f ca="1">stat(charge_entree[[#This Row],[ch_E_PTOT]])</f>
        <v>#NAME?</v>
      </c>
      <c r="J137" s="523" t="e">
        <f ca="1">stat(charge_entree[[#This Row],[ch_S_DBO]])</f>
        <v>#NAME?</v>
      </c>
      <c r="K137" s="523" t="e">
        <f ca="1">stat(charge_entree[[#This Row],[ch_S-DCO]])</f>
        <v>#NAME?</v>
      </c>
      <c r="L137" s="523" t="e">
        <f ca="1">stat(charge_entree[[#This Row],[ch_S_DOC]])</f>
        <v>#NAME?</v>
      </c>
      <c r="M137" s="523" t="e">
        <f ca="1">stat(charge_entree[[#This Row],[ch_S_NH4]])</f>
        <v>#NAME?</v>
      </c>
      <c r="N137" s="523" t="e">
        <f ca="1">stat(charge_entree[[#This Row],[ch_S_NO2]])</f>
        <v>#NAME?</v>
      </c>
      <c r="O137" s="523" t="e">
        <f ca="1">stat(charge_entree[[#This Row],[ch_S_NO3]])</f>
        <v>#NAME?</v>
      </c>
      <c r="P137" s="523" t="e">
        <f ca="1">stat(charge_entree[[#This Row],[ch_S_PTOT]])</f>
        <v>#NAME?</v>
      </c>
      <c r="Q137" s="523" t="e">
        <f ca="1">stat(charge_entree[[#This Row],[ch_S_SNDT]])</f>
        <v>#NAME?</v>
      </c>
      <c r="R137" s="523">
        <f>calculs!R137</f>
        <v>0</v>
      </c>
      <c r="S137" s="523" t="e">
        <f ca="1">stat(calculs!S137)</f>
        <v>#NAME?</v>
      </c>
      <c r="T137" s="523" t="e">
        <f ca="1">stat(calculs!T137)</f>
        <v>#NAME?</v>
      </c>
      <c r="U137" s="523" t="e">
        <f ca="1">stat(calculs!U137)</f>
        <v>#NAME?</v>
      </c>
      <c r="V137" s="523" t="e">
        <f ca="1">stat(calculs!V137)</f>
        <v>#NAME?</v>
      </c>
      <c r="W137" s="523" t="e">
        <f ca="1">stat(calculs!W137)</f>
        <v>#NAME?</v>
      </c>
      <c r="X137" s="523" t="e">
        <f ca="1">stat(calculs!X137)</f>
        <v>#NAME?</v>
      </c>
      <c r="Y137" s="523" t="e">
        <f ca="1">stat(calculs!Y137)</f>
        <v>#NAME?</v>
      </c>
      <c r="Z137" s="523" t="e">
        <f ca="1">stat(calculs!Z137)</f>
        <v>#NAME?</v>
      </c>
      <c r="AA137" s="523" t="e">
        <f ca="1">stat(calculs!AA137)</f>
        <v>#NAME?</v>
      </c>
      <c r="AB137" s="523" t="e">
        <f ca="1">stat(calculs!AB137)</f>
        <v>#NAME?</v>
      </c>
      <c r="AC137" s="523" t="e">
        <f ca="1">stat(calculs!AC137)</f>
        <v>#NAME?</v>
      </c>
      <c r="AD137" s="523" t="e">
        <f ca="1">stat(calculs!AD137)</f>
        <v>#NAME?</v>
      </c>
      <c r="AE137" s="523" t="e">
        <f ca="1">stat(calculs!AE137)</f>
        <v>#NAME?</v>
      </c>
      <c r="AF137" s="523" t="e">
        <f ca="1">stat(calculs!AF137)</f>
        <v>#NAME?</v>
      </c>
      <c r="AG137" s="523" t="e">
        <f ca="1">stat(calculs!AG137)</f>
        <v>#NAME?</v>
      </c>
      <c r="AH137" s="523" t="e">
        <f ca="1">stat(calculs!AH137)</f>
        <v>#NAME?</v>
      </c>
      <c r="AI137" s="523" t="e">
        <f ca="1">stat(calculs!AI137)</f>
        <v>#NAME?</v>
      </c>
      <c r="AJ137" s="523" t="e">
        <f ca="1">stat(calculs!AJ137)</f>
        <v>#NAME?</v>
      </c>
      <c r="AK137" s="523" t="e">
        <f ca="1">stat(calculs!AK137)</f>
        <v>#NAME?</v>
      </c>
      <c r="AL137" s="523" t="e">
        <f ca="1">stat(calculs!AL137)</f>
        <v>#NAME?</v>
      </c>
      <c r="AM137" s="523" t="e">
        <f ca="1">stat(calculs!AM137)</f>
        <v>#NAME?</v>
      </c>
      <c r="AN137" s="523" t="e">
        <f ca="1">stat(calculs!AN137)</f>
        <v>#NAME?</v>
      </c>
      <c r="AO137" s="523" t="e">
        <f ca="1">stat(calculs!AO137)</f>
        <v>#NAME?</v>
      </c>
      <c r="AP137" s="523" t="e">
        <f ca="1">stat(calculs!AP137)</f>
        <v>#NAME?</v>
      </c>
      <c r="AQ137" s="523" t="e">
        <f ca="1">stat(calculs!AQ137)</f>
        <v>#NAME?</v>
      </c>
      <c r="AV137" s="525" t="str">
        <f>stat(calculs!AV137)</f>
        <v/>
      </c>
      <c r="AW137" s="525" t="str">
        <f>stat(calculs!AW137)</f>
        <v/>
      </c>
      <c r="AX137" s="525" t="str">
        <f>stat(calculs!AX137)</f>
        <v/>
      </c>
      <c r="AY137" s="525" t="e">
        <f ca="1">stat(calculs!AY137)</f>
        <v>#NAME?</v>
      </c>
      <c r="AZ137" s="525" t="e">
        <f ca="1">stat(calculs!AZ137)</f>
        <v>#NAME?</v>
      </c>
      <c r="BA137" s="525" t="e">
        <f ca="1">stat(calculs!BA137)</f>
        <v>#NAME?</v>
      </c>
      <c r="BB137" s="525" t="e">
        <f ca="1">stat(calculs!BB137)</f>
        <v>#NAME?</v>
      </c>
      <c r="BC137" s="525" t="e">
        <f ca="1">stat(calculs!BC137)</f>
        <v>#NAME?</v>
      </c>
      <c r="BD137" s="525" t="e">
        <f ca="1">stat(calculs!BD137)</f>
        <v>#NAME?</v>
      </c>
      <c r="BE137" s="525" t="e">
        <f ca="1">stat(calculs!BE137)</f>
        <v>#NAME?</v>
      </c>
      <c r="BF137" s="525" t="e">
        <f ca="1">stat(calculs!BF137)</f>
        <v>#NAME?</v>
      </c>
      <c r="BG137" s="729" t="e">
        <f ca="1">stat(calculs!BG137)</f>
        <v>#NAME?</v>
      </c>
      <c r="BH137" s="729" t="e">
        <f ca="1">stat(calculs!BH137)</f>
        <v>#NAME?</v>
      </c>
      <c r="BI137" s="729" t="e">
        <f ca="1">stat(calculs!BI137)</f>
        <v>#NAME?</v>
      </c>
      <c r="BJ137" s="729" t="e">
        <f ca="1">stat(calculs!BJ137)</f>
        <v>#NAME?</v>
      </c>
      <c r="BK137" s="729" t="e">
        <f ca="1">stat(calculs!BK137)</f>
        <v>#NAME?</v>
      </c>
      <c r="BL137" s="525" t="e">
        <f ca="1">stat(calculs!BL137)</f>
        <v>#NAME?</v>
      </c>
      <c r="BM137" s="525" t="e">
        <f ca="1">stat(calculs!BM137)</f>
        <v>#NAME?</v>
      </c>
      <c r="BN137" s="525" t="e">
        <f ca="1">stat(calculs!BN137)</f>
        <v>#NAME?</v>
      </c>
      <c r="BO137" s="525" t="e">
        <f ca="1">stat(calculs!BO137)</f>
        <v>#NAME?</v>
      </c>
      <c r="BP137" s="525" t="e">
        <f ca="1">stat(calculs!BP137)</f>
        <v>#NAME?</v>
      </c>
      <c r="BQ137" s="525" t="e">
        <f ca="1">stat(calculs!BQ137)</f>
        <v>#NAME?</v>
      </c>
      <c r="BR137" s="525" t="e">
        <f ca="1">stat(calculs!BR137)</f>
        <v>#NAME?</v>
      </c>
    </row>
    <row r="138" spans="1:70" x14ac:dyDescent="0.2">
      <c r="A138" s="222">
        <f>données_step[[#This Row],[Datum]]</f>
        <v>44689</v>
      </c>
      <c r="B138" s="223"/>
      <c r="C138" s="224">
        <f t="shared" si="1"/>
        <v>1</v>
      </c>
      <c r="D138" s="523" t="e">
        <f ca="1">stat(charge_entree[[#This Row],[ch_E_DBO5]])</f>
        <v>#NAME?</v>
      </c>
      <c r="E138" s="523" t="e">
        <f ca="1">stat(charge_entree[[#This Row],[ch_E_DCO]])</f>
        <v>#NAME?</v>
      </c>
      <c r="F138" s="523" t="e">
        <f ca="1">stat(charge_entree[[#This Row],[ch_E_COT]])</f>
        <v>#NAME?</v>
      </c>
      <c r="G138" s="523" t="e">
        <f ca="1">stat(charge_entree[[#This Row],[ch_E_NH4]])</f>
        <v>#NAME?</v>
      </c>
      <c r="H138" s="523" t="e">
        <f ca="1">stat(charge_entree[[#This Row],[ch_E_NTOT]])</f>
        <v>#NAME?</v>
      </c>
      <c r="I138" s="523" t="e">
        <f ca="1">stat(charge_entree[[#This Row],[ch_E_PTOT]])</f>
        <v>#NAME?</v>
      </c>
      <c r="J138" s="523" t="e">
        <f ca="1">stat(charge_entree[[#This Row],[ch_S_DBO]])</f>
        <v>#NAME?</v>
      </c>
      <c r="K138" s="523" t="e">
        <f ca="1">stat(charge_entree[[#This Row],[ch_S-DCO]])</f>
        <v>#NAME?</v>
      </c>
      <c r="L138" s="523" t="e">
        <f ca="1">stat(charge_entree[[#This Row],[ch_S_DOC]])</f>
        <v>#NAME?</v>
      </c>
      <c r="M138" s="523" t="e">
        <f ca="1">stat(charge_entree[[#This Row],[ch_S_NH4]])</f>
        <v>#NAME?</v>
      </c>
      <c r="N138" s="523" t="e">
        <f ca="1">stat(charge_entree[[#This Row],[ch_S_NO2]])</f>
        <v>#NAME?</v>
      </c>
      <c r="O138" s="523" t="e">
        <f ca="1">stat(charge_entree[[#This Row],[ch_S_NO3]])</f>
        <v>#NAME?</v>
      </c>
      <c r="P138" s="523" t="e">
        <f ca="1">stat(charge_entree[[#This Row],[ch_S_PTOT]])</f>
        <v>#NAME?</v>
      </c>
      <c r="Q138" s="523" t="e">
        <f ca="1">stat(charge_entree[[#This Row],[ch_S_SNDT]])</f>
        <v>#NAME?</v>
      </c>
      <c r="R138" s="523">
        <f>calculs!R138</f>
        <v>0</v>
      </c>
      <c r="S138" s="523" t="e">
        <f ca="1">stat(calculs!S138)</f>
        <v>#NAME?</v>
      </c>
      <c r="T138" s="523" t="e">
        <f ca="1">stat(calculs!T138)</f>
        <v>#NAME?</v>
      </c>
      <c r="U138" s="523" t="e">
        <f ca="1">stat(calculs!U138)</f>
        <v>#NAME?</v>
      </c>
      <c r="V138" s="523" t="e">
        <f ca="1">stat(calculs!V138)</f>
        <v>#NAME?</v>
      </c>
      <c r="W138" s="523" t="e">
        <f ca="1">stat(calculs!W138)</f>
        <v>#NAME?</v>
      </c>
      <c r="X138" s="523" t="e">
        <f ca="1">stat(calculs!X138)</f>
        <v>#NAME?</v>
      </c>
      <c r="Y138" s="523" t="e">
        <f ca="1">stat(calculs!Y138)</f>
        <v>#NAME?</v>
      </c>
      <c r="Z138" s="523" t="e">
        <f ca="1">stat(calculs!Z138)</f>
        <v>#NAME?</v>
      </c>
      <c r="AA138" s="523" t="e">
        <f ca="1">stat(calculs!AA138)</f>
        <v>#NAME?</v>
      </c>
      <c r="AB138" s="523" t="e">
        <f ca="1">stat(calculs!AB138)</f>
        <v>#NAME?</v>
      </c>
      <c r="AC138" s="523" t="e">
        <f ca="1">stat(calculs!AC138)</f>
        <v>#NAME?</v>
      </c>
      <c r="AD138" s="523" t="e">
        <f ca="1">stat(calculs!AD138)</f>
        <v>#NAME?</v>
      </c>
      <c r="AE138" s="523" t="e">
        <f ca="1">stat(calculs!AE138)</f>
        <v>#NAME?</v>
      </c>
      <c r="AF138" s="523" t="e">
        <f ca="1">stat(calculs!AF138)</f>
        <v>#NAME?</v>
      </c>
      <c r="AG138" s="523" t="e">
        <f ca="1">stat(calculs!AG138)</f>
        <v>#NAME?</v>
      </c>
      <c r="AH138" s="523" t="e">
        <f ca="1">stat(calculs!AH138)</f>
        <v>#NAME?</v>
      </c>
      <c r="AI138" s="523" t="e">
        <f ca="1">stat(calculs!AI138)</f>
        <v>#NAME?</v>
      </c>
      <c r="AJ138" s="523" t="e">
        <f ca="1">stat(calculs!AJ138)</f>
        <v>#NAME?</v>
      </c>
      <c r="AK138" s="523" t="e">
        <f ca="1">stat(calculs!AK138)</f>
        <v>#NAME?</v>
      </c>
      <c r="AL138" s="523" t="e">
        <f ca="1">stat(calculs!AL138)</f>
        <v>#NAME?</v>
      </c>
      <c r="AM138" s="523" t="e">
        <f ca="1">stat(calculs!AM138)</f>
        <v>#NAME?</v>
      </c>
      <c r="AN138" s="523" t="e">
        <f ca="1">stat(calculs!AN138)</f>
        <v>#NAME?</v>
      </c>
      <c r="AO138" s="523" t="e">
        <f ca="1">stat(calculs!AO138)</f>
        <v>#NAME?</v>
      </c>
      <c r="AP138" s="523" t="e">
        <f ca="1">stat(calculs!AP138)</f>
        <v>#NAME?</v>
      </c>
      <c r="AQ138" s="523" t="e">
        <f ca="1">stat(calculs!AQ138)</f>
        <v>#NAME?</v>
      </c>
      <c r="AV138" s="525" t="str">
        <f>stat(calculs!AV138)</f>
        <v/>
      </c>
      <c r="AW138" s="525" t="str">
        <f>stat(calculs!AW138)</f>
        <v/>
      </c>
      <c r="AX138" s="525" t="str">
        <f>stat(calculs!AX138)</f>
        <v/>
      </c>
      <c r="AY138" s="525" t="e">
        <f ca="1">stat(calculs!AY138)</f>
        <v>#NAME?</v>
      </c>
      <c r="AZ138" s="525" t="e">
        <f ca="1">stat(calculs!AZ138)</f>
        <v>#NAME?</v>
      </c>
      <c r="BA138" s="525" t="e">
        <f ca="1">stat(calculs!BA138)</f>
        <v>#NAME?</v>
      </c>
      <c r="BB138" s="525" t="e">
        <f ca="1">stat(calculs!BB138)</f>
        <v>#NAME?</v>
      </c>
      <c r="BC138" s="525" t="e">
        <f ca="1">stat(calculs!BC138)</f>
        <v>#NAME?</v>
      </c>
      <c r="BD138" s="525" t="e">
        <f ca="1">stat(calculs!BD138)</f>
        <v>#NAME?</v>
      </c>
      <c r="BE138" s="525" t="e">
        <f ca="1">stat(calculs!BE138)</f>
        <v>#NAME?</v>
      </c>
      <c r="BF138" s="525" t="e">
        <f ca="1">stat(calculs!BF138)</f>
        <v>#NAME?</v>
      </c>
      <c r="BG138" s="729" t="e">
        <f ca="1">stat(calculs!BG138)</f>
        <v>#NAME?</v>
      </c>
      <c r="BH138" s="729" t="e">
        <f ca="1">stat(calculs!BH138)</f>
        <v>#NAME?</v>
      </c>
      <c r="BI138" s="729" t="e">
        <f ca="1">stat(calculs!BI138)</f>
        <v>#NAME?</v>
      </c>
      <c r="BJ138" s="729" t="e">
        <f ca="1">stat(calculs!BJ138)</f>
        <v>#NAME?</v>
      </c>
      <c r="BK138" s="729" t="e">
        <f ca="1">stat(calculs!BK138)</f>
        <v>#NAME?</v>
      </c>
      <c r="BL138" s="525" t="e">
        <f ca="1">stat(calculs!BL138)</f>
        <v>#NAME?</v>
      </c>
      <c r="BM138" s="525" t="e">
        <f ca="1">stat(calculs!BM138)</f>
        <v>#NAME?</v>
      </c>
      <c r="BN138" s="525" t="e">
        <f ca="1">stat(calculs!BN138)</f>
        <v>#NAME?</v>
      </c>
      <c r="BO138" s="525" t="e">
        <f ca="1">stat(calculs!BO138)</f>
        <v>#NAME?</v>
      </c>
      <c r="BP138" s="525" t="e">
        <f ca="1">stat(calculs!BP138)</f>
        <v>#NAME?</v>
      </c>
      <c r="BQ138" s="525" t="e">
        <f ca="1">stat(calculs!BQ138)</f>
        <v>#NAME?</v>
      </c>
      <c r="BR138" s="525" t="e">
        <f ca="1">stat(calculs!BR138)</f>
        <v>#NAME?</v>
      </c>
    </row>
    <row r="139" spans="1:70" x14ac:dyDescent="0.2">
      <c r="A139" s="222">
        <f>données_step[[#This Row],[Datum]]</f>
        <v>44690</v>
      </c>
      <c r="B139" s="223"/>
      <c r="C139" s="224">
        <f t="shared" si="1"/>
        <v>2</v>
      </c>
      <c r="D139" s="523" t="e">
        <f ca="1">stat(charge_entree[[#This Row],[ch_E_DBO5]])</f>
        <v>#NAME?</v>
      </c>
      <c r="E139" s="523" t="e">
        <f ca="1">stat(charge_entree[[#This Row],[ch_E_DCO]])</f>
        <v>#NAME?</v>
      </c>
      <c r="F139" s="523" t="e">
        <f ca="1">stat(charge_entree[[#This Row],[ch_E_COT]])</f>
        <v>#NAME?</v>
      </c>
      <c r="G139" s="523" t="e">
        <f ca="1">stat(charge_entree[[#This Row],[ch_E_NH4]])</f>
        <v>#NAME?</v>
      </c>
      <c r="H139" s="523" t="e">
        <f ca="1">stat(charge_entree[[#This Row],[ch_E_NTOT]])</f>
        <v>#NAME?</v>
      </c>
      <c r="I139" s="523" t="e">
        <f ca="1">stat(charge_entree[[#This Row],[ch_E_PTOT]])</f>
        <v>#NAME?</v>
      </c>
      <c r="J139" s="523" t="e">
        <f ca="1">stat(charge_entree[[#This Row],[ch_S_DBO]])</f>
        <v>#NAME?</v>
      </c>
      <c r="K139" s="523" t="e">
        <f ca="1">stat(charge_entree[[#This Row],[ch_S-DCO]])</f>
        <v>#NAME?</v>
      </c>
      <c r="L139" s="523" t="e">
        <f ca="1">stat(charge_entree[[#This Row],[ch_S_DOC]])</f>
        <v>#NAME?</v>
      </c>
      <c r="M139" s="523" t="e">
        <f ca="1">stat(charge_entree[[#This Row],[ch_S_NH4]])</f>
        <v>#NAME?</v>
      </c>
      <c r="N139" s="523" t="e">
        <f ca="1">stat(charge_entree[[#This Row],[ch_S_NO2]])</f>
        <v>#NAME?</v>
      </c>
      <c r="O139" s="523" t="e">
        <f ca="1">stat(charge_entree[[#This Row],[ch_S_NO3]])</f>
        <v>#NAME?</v>
      </c>
      <c r="P139" s="523" t="e">
        <f ca="1">stat(charge_entree[[#This Row],[ch_S_PTOT]])</f>
        <v>#NAME?</v>
      </c>
      <c r="Q139" s="523" t="e">
        <f ca="1">stat(charge_entree[[#This Row],[ch_S_SNDT]])</f>
        <v>#NAME?</v>
      </c>
      <c r="R139" s="523">
        <f>calculs!R139</f>
        <v>0</v>
      </c>
      <c r="S139" s="523" t="e">
        <f ca="1">stat(calculs!S139)</f>
        <v>#NAME?</v>
      </c>
      <c r="T139" s="523" t="e">
        <f ca="1">stat(calculs!T139)</f>
        <v>#NAME?</v>
      </c>
      <c r="U139" s="523" t="e">
        <f ca="1">stat(calculs!U139)</f>
        <v>#NAME?</v>
      </c>
      <c r="V139" s="523" t="e">
        <f ca="1">stat(calculs!V139)</f>
        <v>#NAME?</v>
      </c>
      <c r="W139" s="523" t="e">
        <f ca="1">stat(calculs!W139)</f>
        <v>#NAME?</v>
      </c>
      <c r="X139" s="523" t="e">
        <f ca="1">stat(calculs!X139)</f>
        <v>#NAME?</v>
      </c>
      <c r="Y139" s="523" t="e">
        <f ca="1">stat(calculs!Y139)</f>
        <v>#NAME?</v>
      </c>
      <c r="Z139" s="523" t="e">
        <f ca="1">stat(calculs!Z139)</f>
        <v>#NAME?</v>
      </c>
      <c r="AA139" s="523" t="e">
        <f ca="1">stat(calculs!AA139)</f>
        <v>#NAME?</v>
      </c>
      <c r="AB139" s="523" t="e">
        <f ca="1">stat(calculs!AB139)</f>
        <v>#NAME?</v>
      </c>
      <c r="AC139" s="523" t="e">
        <f ca="1">stat(calculs!AC139)</f>
        <v>#NAME?</v>
      </c>
      <c r="AD139" s="523" t="e">
        <f ca="1">stat(calculs!AD139)</f>
        <v>#NAME?</v>
      </c>
      <c r="AE139" s="523" t="e">
        <f ca="1">stat(calculs!AE139)</f>
        <v>#NAME?</v>
      </c>
      <c r="AF139" s="523" t="e">
        <f ca="1">stat(calculs!AF139)</f>
        <v>#NAME?</v>
      </c>
      <c r="AG139" s="523" t="e">
        <f ca="1">stat(calculs!AG139)</f>
        <v>#NAME?</v>
      </c>
      <c r="AH139" s="523" t="e">
        <f ca="1">stat(calculs!AH139)</f>
        <v>#NAME?</v>
      </c>
      <c r="AI139" s="523" t="e">
        <f ca="1">stat(calculs!AI139)</f>
        <v>#NAME?</v>
      </c>
      <c r="AJ139" s="523" t="e">
        <f ca="1">stat(calculs!AJ139)</f>
        <v>#NAME?</v>
      </c>
      <c r="AK139" s="523" t="e">
        <f ca="1">stat(calculs!AK139)</f>
        <v>#NAME?</v>
      </c>
      <c r="AL139" s="523" t="e">
        <f ca="1">stat(calculs!AL139)</f>
        <v>#NAME?</v>
      </c>
      <c r="AM139" s="523" t="e">
        <f ca="1">stat(calculs!AM139)</f>
        <v>#NAME?</v>
      </c>
      <c r="AN139" s="523" t="e">
        <f ca="1">stat(calculs!AN139)</f>
        <v>#NAME?</v>
      </c>
      <c r="AO139" s="523" t="e">
        <f ca="1">stat(calculs!AO139)</f>
        <v>#NAME?</v>
      </c>
      <c r="AP139" s="523" t="e">
        <f ca="1">stat(calculs!AP139)</f>
        <v>#NAME?</v>
      </c>
      <c r="AQ139" s="523" t="e">
        <f ca="1">stat(calculs!AQ139)</f>
        <v>#NAME?</v>
      </c>
      <c r="AV139" s="525" t="str">
        <f>stat(calculs!AV139)</f>
        <v/>
      </c>
      <c r="AW139" s="525" t="str">
        <f>stat(calculs!AW139)</f>
        <v/>
      </c>
      <c r="AX139" s="525" t="str">
        <f>stat(calculs!AX139)</f>
        <v/>
      </c>
      <c r="AY139" s="525" t="e">
        <f ca="1">stat(calculs!AY139)</f>
        <v>#NAME?</v>
      </c>
      <c r="AZ139" s="525" t="e">
        <f ca="1">stat(calculs!AZ139)</f>
        <v>#NAME?</v>
      </c>
      <c r="BA139" s="525" t="e">
        <f ca="1">stat(calculs!BA139)</f>
        <v>#NAME?</v>
      </c>
      <c r="BB139" s="525" t="e">
        <f ca="1">stat(calculs!BB139)</f>
        <v>#NAME?</v>
      </c>
      <c r="BC139" s="525" t="e">
        <f ca="1">stat(calculs!BC139)</f>
        <v>#NAME?</v>
      </c>
      <c r="BD139" s="525" t="e">
        <f ca="1">stat(calculs!BD139)</f>
        <v>#NAME?</v>
      </c>
      <c r="BE139" s="525" t="e">
        <f ca="1">stat(calculs!BE139)</f>
        <v>#NAME?</v>
      </c>
      <c r="BF139" s="525" t="e">
        <f ca="1">stat(calculs!BF139)</f>
        <v>#NAME?</v>
      </c>
      <c r="BG139" s="729" t="e">
        <f ca="1">stat(calculs!BG139)</f>
        <v>#NAME?</v>
      </c>
      <c r="BH139" s="729" t="e">
        <f ca="1">stat(calculs!BH139)</f>
        <v>#NAME?</v>
      </c>
      <c r="BI139" s="729" t="e">
        <f ca="1">stat(calculs!BI139)</f>
        <v>#NAME?</v>
      </c>
      <c r="BJ139" s="729" t="e">
        <f ca="1">stat(calculs!BJ139)</f>
        <v>#NAME?</v>
      </c>
      <c r="BK139" s="729" t="e">
        <f ca="1">stat(calculs!BK139)</f>
        <v>#NAME?</v>
      </c>
      <c r="BL139" s="525" t="e">
        <f ca="1">stat(calculs!BL139)</f>
        <v>#NAME?</v>
      </c>
      <c r="BM139" s="525" t="e">
        <f ca="1">stat(calculs!BM139)</f>
        <v>#NAME?</v>
      </c>
      <c r="BN139" s="525" t="e">
        <f ca="1">stat(calculs!BN139)</f>
        <v>#NAME?</v>
      </c>
      <c r="BO139" s="525" t="e">
        <f ca="1">stat(calculs!BO139)</f>
        <v>#NAME?</v>
      </c>
      <c r="BP139" s="525" t="e">
        <f ca="1">stat(calculs!BP139)</f>
        <v>#NAME?</v>
      </c>
      <c r="BQ139" s="525" t="e">
        <f ca="1">stat(calculs!BQ139)</f>
        <v>#NAME?</v>
      </c>
      <c r="BR139" s="525" t="e">
        <f ca="1">stat(calculs!BR139)</f>
        <v>#NAME?</v>
      </c>
    </row>
    <row r="140" spans="1:70" x14ac:dyDescent="0.2">
      <c r="A140" s="222">
        <f>données_step[[#This Row],[Datum]]</f>
        <v>44691</v>
      </c>
      <c r="B140" s="223"/>
      <c r="C140" s="224">
        <f t="shared" ref="C140:C203" si="2">WEEKDAY(A140)</f>
        <v>3</v>
      </c>
      <c r="D140" s="523" t="e">
        <f ca="1">stat(charge_entree[[#This Row],[ch_E_DBO5]])</f>
        <v>#NAME?</v>
      </c>
      <c r="E140" s="523" t="e">
        <f ca="1">stat(charge_entree[[#This Row],[ch_E_DCO]])</f>
        <v>#NAME?</v>
      </c>
      <c r="F140" s="523" t="e">
        <f ca="1">stat(charge_entree[[#This Row],[ch_E_COT]])</f>
        <v>#NAME?</v>
      </c>
      <c r="G140" s="523" t="e">
        <f ca="1">stat(charge_entree[[#This Row],[ch_E_NH4]])</f>
        <v>#NAME?</v>
      </c>
      <c r="H140" s="523" t="e">
        <f ca="1">stat(charge_entree[[#This Row],[ch_E_NTOT]])</f>
        <v>#NAME?</v>
      </c>
      <c r="I140" s="523" t="e">
        <f ca="1">stat(charge_entree[[#This Row],[ch_E_PTOT]])</f>
        <v>#NAME?</v>
      </c>
      <c r="J140" s="523" t="e">
        <f ca="1">stat(charge_entree[[#This Row],[ch_S_DBO]])</f>
        <v>#NAME?</v>
      </c>
      <c r="K140" s="523" t="e">
        <f ca="1">stat(charge_entree[[#This Row],[ch_S-DCO]])</f>
        <v>#NAME?</v>
      </c>
      <c r="L140" s="523" t="e">
        <f ca="1">stat(charge_entree[[#This Row],[ch_S_DOC]])</f>
        <v>#NAME?</v>
      </c>
      <c r="M140" s="523" t="e">
        <f ca="1">stat(charge_entree[[#This Row],[ch_S_NH4]])</f>
        <v>#NAME?</v>
      </c>
      <c r="N140" s="523" t="e">
        <f ca="1">stat(charge_entree[[#This Row],[ch_S_NO2]])</f>
        <v>#NAME?</v>
      </c>
      <c r="O140" s="523" t="e">
        <f ca="1">stat(charge_entree[[#This Row],[ch_S_NO3]])</f>
        <v>#NAME?</v>
      </c>
      <c r="P140" s="523" t="e">
        <f ca="1">stat(charge_entree[[#This Row],[ch_S_PTOT]])</f>
        <v>#NAME?</v>
      </c>
      <c r="Q140" s="523" t="e">
        <f ca="1">stat(charge_entree[[#This Row],[ch_S_SNDT]])</f>
        <v>#NAME?</v>
      </c>
      <c r="R140" s="523">
        <f>calculs!R140</f>
        <v>0</v>
      </c>
      <c r="S140" s="523" t="e">
        <f ca="1">stat(calculs!S140)</f>
        <v>#NAME?</v>
      </c>
      <c r="T140" s="523" t="e">
        <f ca="1">stat(calculs!T140)</f>
        <v>#NAME?</v>
      </c>
      <c r="U140" s="523" t="e">
        <f ca="1">stat(calculs!U140)</f>
        <v>#NAME?</v>
      </c>
      <c r="V140" s="523" t="e">
        <f ca="1">stat(calculs!V140)</f>
        <v>#NAME?</v>
      </c>
      <c r="W140" s="523" t="e">
        <f ca="1">stat(calculs!W140)</f>
        <v>#NAME?</v>
      </c>
      <c r="X140" s="523" t="e">
        <f ca="1">stat(calculs!X140)</f>
        <v>#NAME?</v>
      </c>
      <c r="Y140" s="523" t="e">
        <f ca="1">stat(calculs!Y140)</f>
        <v>#NAME?</v>
      </c>
      <c r="Z140" s="523" t="e">
        <f ca="1">stat(calculs!Z140)</f>
        <v>#NAME?</v>
      </c>
      <c r="AA140" s="523" t="e">
        <f ca="1">stat(calculs!AA140)</f>
        <v>#NAME?</v>
      </c>
      <c r="AB140" s="523" t="e">
        <f ca="1">stat(calculs!AB140)</f>
        <v>#NAME?</v>
      </c>
      <c r="AC140" s="523" t="e">
        <f ca="1">stat(calculs!AC140)</f>
        <v>#NAME?</v>
      </c>
      <c r="AD140" s="523" t="e">
        <f ca="1">stat(calculs!AD140)</f>
        <v>#NAME?</v>
      </c>
      <c r="AE140" s="523" t="e">
        <f ca="1">stat(calculs!AE140)</f>
        <v>#NAME?</v>
      </c>
      <c r="AF140" s="523" t="e">
        <f ca="1">stat(calculs!AF140)</f>
        <v>#NAME?</v>
      </c>
      <c r="AG140" s="523" t="e">
        <f ca="1">stat(calculs!AG140)</f>
        <v>#NAME?</v>
      </c>
      <c r="AH140" s="523" t="e">
        <f ca="1">stat(calculs!AH140)</f>
        <v>#NAME?</v>
      </c>
      <c r="AI140" s="523" t="e">
        <f ca="1">stat(calculs!AI140)</f>
        <v>#NAME?</v>
      </c>
      <c r="AJ140" s="523" t="e">
        <f ca="1">stat(calculs!AJ140)</f>
        <v>#NAME?</v>
      </c>
      <c r="AK140" s="523" t="e">
        <f ca="1">stat(calculs!AK140)</f>
        <v>#NAME?</v>
      </c>
      <c r="AL140" s="523" t="e">
        <f ca="1">stat(calculs!AL140)</f>
        <v>#NAME?</v>
      </c>
      <c r="AM140" s="523" t="e">
        <f ca="1">stat(calculs!AM140)</f>
        <v>#NAME?</v>
      </c>
      <c r="AN140" s="523" t="e">
        <f ca="1">stat(calculs!AN140)</f>
        <v>#NAME?</v>
      </c>
      <c r="AO140" s="523" t="e">
        <f ca="1">stat(calculs!AO140)</f>
        <v>#NAME?</v>
      </c>
      <c r="AP140" s="523" t="e">
        <f ca="1">stat(calculs!AP140)</f>
        <v>#NAME?</v>
      </c>
      <c r="AQ140" s="523" t="e">
        <f ca="1">stat(calculs!AQ140)</f>
        <v>#NAME?</v>
      </c>
      <c r="AV140" s="525" t="str">
        <f>stat(calculs!AV140)</f>
        <v/>
      </c>
      <c r="AW140" s="525" t="str">
        <f>stat(calculs!AW140)</f>
        <v/>
      </c>
      <c r="AX140" s="525" t="str">
        <f>stat(calculs!AX140)</f>
        <v/>
      </c>
      <c r="AY140" s="525" t="e">
        <f ca="1">stat(calculs!AY140)</f>
        <v>#NAME?</v>
      </c>
      <c r="AZ140" s="525" t="e">
        <f ca="1">stat(calculs!AZ140)</f>
        <v>#NAME?</v>
      </c>
      <c r="BA140" s="525" t="e">
        <f ca="1">stat(calculs!BA140)</f>
        <v>#NAME?</v>
      </c>
      <c r="BB140" s="525" t="e">
        <f ca="1">stat(calculs!BB140)</f>
        <v>#NAME?</v>
      </c>
      <c r="BC140" s="525" t="e">
        <f ca="1">stat(calculs!BC140)</f>
        <v>#NAME?</v>
      </c>
      <c r="BD140" s="525" t="e">
        <f ca="1">stat(calculs!BD140)</f>
        <v>#NAME?</v>
      </c>
      <c r="BE140" s="525" t="e">
        <f ca="1">stat(calculs!BE140)</f>
        <v>#NAME?</v>
      </c>
      <c r="BF140" s="525" t="e">
        <f ca="1">stat(calculs!BF140)</f>
        <v>#NAME?</v>
      </c>
      <c r="BG140" s="729" t="e">
        <f ca="1">stat(calculs!BG140)</f>
        <v>#NAME?</v>
      </c>
      <c r="BH140" s="729" t="e">
        <f ca="1">stat(calculs!BH140)</f>
        <v>#NAME?</v>
      </c>
      <c r="BI140" s="729" t="e">
        <f ca="1">stat(calculs!BI140)</f>
        <v>#NAME?</v>
      </c>
      <c r="BJ140" s="729" t="e">
        <f ca="1">stat(calculs!BJ140)</f>
        <v>#NAME?</v>
      </c>
      <c r="BK140" s="729" t="e">
        <f ca="1">stat(calculs!BK140)</f>
        <v>#NAME?</v>
      </c>
      <c r="BL140" s="525" t="e">
        <f ca="1">stat(calculs!BL140)</f>
        <v>#NAME?</v>
      </c>
      <c r="BM140" s="525" t="e">
        <f ca="1">stat(calculs!BM140)</f>
        <v>#NAME?</v>
      </c>
      <c r="BN140" s="525" t="e">
        <f ca="1">stat(calculs!BN140)</f>
        <v>#NAME?</v>
      </c>
      <c r="BO140" s="525" t="e">
        <f ca="1">stat(calculs!BO140)</f>
        <v>#NAME?</v>
      </c>
      <c r="BP140" s="525" t="e">
        <f ca="1">stat(calculs!BP140)</f>
        <v>#NAME?</v>
      </c>
      <c r="BQ140" s="525" t="e">
        <f ca="1">stat(calculs!BQ140)</f>
        <v>#NAME?</v>
      </c>
      <c r="BR140" s="525" t="e">
        <f ca="1">stat(calculs!BR140)</f>
        <v>#NAME?</v>
      </c>
    </row>
    <row r="141" spans="1:70" x14ac:dyDescent="0.2">
      <c r="A141" s="222">
        <f>données_step[[#This Row],[Datum]]</f>
        <v>44692</v>
      </c>
      <c r="B141" s="223"/>
      <c r="C141" s="224">
        <f t="shared" si="2"/>
        <v>4</v>
      </c>
      <c r="D141" s="523" t="e">
        <f ca="1">stat(charge_entree[[#This Row],[ch_E_DBO5]])</f>
        <v>#NAME?</v>
      </c>
      <c r="E141" s="523" t="e">
        <f ca="1">stat(charge_entree[[#This Row],[ch_E_DCO]])</f>
        <v>#NAME?</v>
      </c>
      <c r="F141" s="523" t="e">
        <f ca="1">stat(charge_entree[[#This Row],[ch_E_COT]])</f>
        <v>#NAME?</v>
      </c>
      <c r="G141" s="523" t="e">
        <f ca="1">stat(charge_entree[[#This Row],[ch_E_NH4]])</f>
        <v>#NAME?</v>
      </c>
      <c r="H141" s="523" t="e">
        <f ca="1">stat(charge_entree[[#This Row],[ch_E_NTOT]])</f>
        <v>#NAME?</v>
      </c>
      <c r="I141" s="523" t="e">
        <f ca="1">stat(charge_entree[[#This Row],[ch_E_PTOT]])</f>
        <v>#NAME?</v>
      </c>
      <c r="J141" s="523" t="e">
        <f ca="1">stat(charge_entree[[#This Row],[ch_S_DBO]])</f>
        <v>#NAME?</v>
      </c>
      <c r="K141" s="523" t="e">
        <f ca="1">stat(charge_entree[[#This Row],[ch_S-DCO]])</f>
        <v>#NAME?</v>
      </c>
      <c r="L141" s="523" t="e">
        <f ca="1">stat(charge_entree[[#This Row],[ch_S_DOC]])</f>
        <v>#NAME?</v>
      </c>
      <c r="M141" s="523" t="e">
        <f ca="1">stat(charge_entree[[#This Row],[ch_S_NH4]])</f>
        <v>#NAME?</v>
      </c>
      <c r="N141" s="523" t="e">
        <f ca="1">stat(charge_entree[[#This Row],[ch_S_NO2]])</f>
        <v>#NAME?</v>
      </c>
      <c r="O141" s="523" t="e">
        <f ca="1">stat(charge_entree[[#This Row],[ch_S_NO3]])</f>
        <v>#NAME?</v>
      </c>
      <c r="P141" s="523" t="e">
        <f ca="1">stat(charge_entree[[#This Row],[ch_S_PTOT]])</f>
        <v>#NAME?</v>
      </c>
      <c r="Q141" s="523" t="e">
        <f ca="1">stat(charge_entree[[#This Row],[ch_S_SNDT]])</f>
        <v>#NAME?</v>
      </c>
      <c r="R141" s="523">
        <f>calculs!R141</f>
        <v>0</v>
      </c>
      <c r="S141" s="523" t="e">
        <f ca="1">stat(calculs!S141)</f>
        <v>#NAME?</v>
      </c>
      <c r="T141" s="523" t="e">
        <f ca="1">stat(calculs!T141)</f>
        <v>#NAME?</v>
      </c>
      <c r="U141" s="523" t="e">
        <f ca="1">stat(calculs!U141)</f>
        <v>#NAME?</v>
      </c>
      <c r="V141" s="523" t="e">
        <f ca="1">stat(calculs!V141)</f>
        <v>#NAME?</v>
      </c>
      <c r="W141" s="523" t="e">
        <f ca="1">stat(calculs!W141)</f>
        <v>#NAME?</v>
      </c>
      <c r="X141" s="523" t="e">
        <f ca="1">stat(calculs!X141)</f>
        <v>#NAME?</v>
      </c>
      <c r="Y141" s="523" t="e">
        <f ca="1">stat(calculs!Y141)</f>
        <v>#NAME?</v>
      </c>
      <c r="Z141" s="523" t="e">
        <f ca="1">stat(calculs!Z141)</f>
        <v>#NAME?</v>
      </c>
      <c r="AA141" s="523" t="e">
        <f ca="1">stat(calculs!AA141)</f>
        <v>#NAME?</v>
      </c>
      <c r="AB141" s="523" t="e">
        <f ca="1">stat(calculs!AB141)</f>
        <v>#NAME?</v>
      </c>
      <c r="AC141" s="523" t="e">
        <f ca="1">stat(calculs!AC141)</f>
        <v>#NAME?</v>
      </c>
      <c r="AD141" s="523" t="e">
        <f ca="1">stat(calculs!AD141)</f>
        <v>#NAME?</v>
      </c>
      <c r="AE141" s="523" t="e">
        <f ca="1">stat(calculs!AE141)</f>
        <v>#NAME?</v>
      </c>
      <c r="AF141" s="523" t="e">
        <f ca="1">stat(calculs!AF141)</f>
        <v>#NAME?</v>
      </c>
      <c r="AG141" s="523" t="e">
        <f ca="1">stat(calculs!AG141)</f>
        <v>#NAME?</v>
      </c>
      <c r="AH141" s="523" t="e">
        <f ca="1">stat(calculs!AH141)</f>
        <v>#NAME?</v>
      </c>
      <c r="AI141" s="523" t="e">
        <f ca="1">stat(calculs!AI141)</f>
        <v>#NAME?</v>
      </c>
      <c r="AJ141" s="523" t="e">
        <f ca="1">stat(calculs!AJ141)</f>
        <v>#NAME?</v>
      </c>
      <c r="AK141" s="523" t="e">
        <f ca="1">stat(calculs!AK141)</f>
        <v>#NAME?</v>
      </c>
      <c r="AL141" s="523" t="e">
        <f ca="1">stat(calculs!AL141)</f>
        <v>#NAME?</v>
      </c>
      <c r="AM141" s="523" t="e">
        <f ca="1">stat(calculs!AM141)</f>
        <v>#NAME?</v>
      </c>
      <c r="AN141" s="523" t="e">
        <f ca="1">stat(calculs!AN141)</f>
        <v>#NAME?</v>
      </c>
      <c r="AO141" s="523" t="e">
        <f ca="1">stat(calculs!AO141)</f>
        <v>#NAME?</v>
      </c>
      <c r="AP141" s="523" t="e">
        <f ca="1">stat(calculs!AP141)</f>
        <v>#NAME?</v>
      </c>
      <c r="AQ141" s="523" t="e">
        <f ca="1">stat(calculs!AQ141)</f>
        <v>#NAME?</v>
      </c>
      <c r="AV141" s="525" t="str">
        <f>stat(calculs!AV141)</f>
        <v/>
      </c>
      <c r="AW141" s="525" t="str">
        <f>stat(calculs!AW141)</f>
        <v/>
      </c>
      <c r="AX141" s="525" t="str">
        <f>stat(calculs!AX141)</f>
        <v/>
      </c>
      <c r="AY141" s="525" t="e">
        <f ca="1">stat(calculs!AY141)</f>
        <v>#NAME?</v>
      </c>
      <c r="AZ141" s="525" t="e">
        <f ca="1">stat(calculs!AZ141)</f>
        <v>#NAME?</v>
      </c>
      <c r="BA141" s="525" t="e">
        <f ca="1">stat(calculs!BA141)</f>
        <v>#NAME?</v>
      </c>
      <c r="BB141" s="525" t="e">
        <f ca="1">stat(calculs!BB141)</f>
        <v>#NAME?</v>
      </c>
      <c r="BC141" s="525" t="e">
        <f ca="1">stat(calculs!BC141)</f>
        <v>#NAME?</v>
      </c>
      <c r="BD141" s="525" t="e">
        <f ca="1">stat(calculs!BD141)</f>
        <v>#NAME?</v>
      </c>
      <c r="BE141" s="525" t="e">
        <f ca="1">stat(calculs!BE141)</f>
        <v>#NAME?</v>
      </c>
      <c r="BF141" s="525" t="e">
        <f ca="1">stat(calculs!BF141)</f>
        <v>#NAME?</v>
      </c>
      <c r="BG141" s="729" t="e">
        <f ca="1">stat(calculs!BG141)</f>
        <v>#NAME?</v>
      </c>
      <c r="BH141" s="729" t="e">
        <f ca="1">stat(calculs!BH141)</f>
        <v>#NAME?</v>
      </c>
      <c r="BI141" s="729" t="e">
        <f ca="1">stat(calculs!BI141)</f>
        <v>#NAME?</v>
      </c>
      <c r="BJ141" s="729" t="e">
        <f ca="1">stat(calculs!BJ141)</f>
        <v>#NAME?</v>
      </c>
      <c r="BK141" s="729" t="e">
        <f ca="1">stat(calculs!BK141)</f>
        <v>#NAME?</v>
      </c>
      <c r="BL141" s="525" t="e">
        <f ca="1">stat(calculs!BL141)</f>
        <v>#NAME?</v>
      </c>
      <c r="BM141" s="525" t="e">
        <f ca="1">stat(calculs!BM141)</f>
        <v>#NAME?</v>
      </c>
      <c r="BN141" s="525" t="e">
        <f ca="1">stat(calculs!BN141)</f>
        <v>#NAME?</v>
      </c>
      <c r="BO141" s="525" t="e">
        <f ca="1">stat(calculs!BO141)</f>
        <v>#NAME?</v>
      </c>
      <c r="BP141" s="525" t="e">
        <f ca="1">stat(calculs!BP141)</f>
        <v>#NAME?</v>
      </c>
      <c r="BQ141" s="525" t="e">
        <f ca="1">stat(calculs!BQ141)</f>
        <v>#NAME?</v>
      </c>
      <c r="BR141" s="525" t="e">
        <f ca="1">stat(calculs!BR141)</f>
        <v>#NAME?</v>
      </c>
    </row>
    <row r="142" spans="1:70" x14ac:dyDescent="0.2">
      <c r="A142" s="222">
        <f>données_step[[#This Row],[Datum]]</f>
        <v>44693</v>
      </c>
      <c r="B142" s="223"/>
      <c r="C142" s="224">
        <f t="shared" si="2"/>
        <v>5</v>
      </c>
      <c r="D142" s="523" t="e">
        <f ca="1">stat(charge_entree[[#This Row],[ch_E_DBO5]])</f>
        <v>#NAME?</v>
      </c>
      <c r="E142" s="523" t="e">
        <f ca="1">stat(charge_entree[[#This Row],[ch_E_DCO]])</f>
        <v>#NAME?</v>
      </c>
      <c r="F142" s="523" t="e">
        <f ca="1">stat(charge_entree[[#This Row],[ch_E_COT]])</f>
        <v>#NAME?</v>
      </c>
      <c r="G142" s="523" t="e">
        <f ca="1">stat(charge_entree[[#This Row],[ch_E_NH4]])</f>
        <v>#NAME?</v>
      </c>
      <c r="H142" s="523" t="e">
        <f ca="1">stat(charge_entree[[#This Row],[ch_E_NTOT]])</f>
        <v>#NAME?</v>
      </c>
      <c r="I142" s="523" t="e">
        <f ca="1">stat(charge_entree[[#This Row],[ch_E_PTOT]])</f>
        <v>#NAME?</v>
      </c>
      <c r="J142" s="523" t="e">
        <f ca="1">stat(charge_entree[[#This Row],[ch_S_DBO]])</f>
        <v>#NAME?</v>
      </c>
      <c r="K142" s="523" t="e">
        <f ca="1">stat(charge_entree[[#This Row],[ch_S-DCO]])</f>
        <v>#NAME?</v>
      </c>
      <c r="L142" s="523" t="e">
        <f ca="1">stat(charge_entree[[#This Row],[ch_S_DOC]])</f>
        <v>#NAME?</v>
      </c>
      <c r="M142" s="523" t="e">
        <f ca="1">stat(charge_entree[[#This Row],[ch_S_NH4]])</f>
        <v>#NAME?</v>
      </c>
      <c r="N142" s="523" t="e">
        <f ca="1">stat(charge_entree[[#This Row],[ch_S_NO2]])</f>
        <v>#NAME?</v>
      </c>
      <c r="O142" s="523" t="e">
        <f ca="1">stat(charge_entree[[#This Row],[ch_S_NO3]])</f>
        <v>#NAME?</v>
      </c>
      <c r="P142" s="523" t="e">
        <f ca="1">stat(charge_entree[[#This Row],[ch_S_PTOT]])</f>
        <v>#NAME?</v>
      </c>
      <c r="Q142" s="523" t="e">
        <f ca="1">stat(charge_entree[[#This Row],[ch_S_SNDT]])</f>
        <v>#NAME?</v>
      </c>
      <c r="R142" s="523">
        <f>calculs!R142</f>
        <v>0</v>
      </c>
      <c r="S142" s="523" t="e">
        <f ca="1">stat(calculs!S142)</f>
        <v>#NAME?</v>
      </c>
      <c r="T142" s="523" t="e">
        <f ca="1">stat(calculs!T142)</f>
        <v>#NAME?</v>
      </c>
      <c r="U142" s="523" t="e">
        <f ca="1">stat(calculs!U142)</f>
        <v>#NAME?</v>
      </c>
      <c r="V142" s="523" t="e">
        <f ca="1">stat(calculs!V142)</f>
        <v>#NAME?</v>
      </c>
      <c r="W142" s="523" t="e">
        <f ca="1">stat(calculs!W142)</f>
        <v>#NAME?</v>
      </c>
      <c r="X142" s="523" t="e">
        <f ca="1">stat(calculs!X142)</f>
        <v>#NAME?</v>
      </c>
      <c r="Y142" s="523" t="e">
        <f ca="1">stat(calculs!Y142)</f>
        <v>#NAME?</v>
      </c>
      <c r="Z142" s="523" t="e">
        <f ca="1">stat(calculs!Z142)</f>
        <v>#NAME?</v>
      </c>
      <c r="AA142" s="523" t="e">
        <f ca="1">stat(calculs!AA142)</f>
        <v>#NAME?</v>
      </c>
      <c r="AB142" s="523" t="e">
        <f ca="1">stat(calculs!AB142)</f>
        <v>#NAME?</v>
      </c>
      <c r="AC142" s="523" t="e">
        <f ca="1">stat(calculs!AC142)</f>
        <v>#NAME?</v>
      </c>
      <c r="AD142" s="523" t="e">
        <f ca="1">stat(calculs!AD142)</f>
        <v>#NAME?</v>
      </c>
      <c r="AE142" s="523" t="e">
        <f ca="1">stat(calculs!AE142)</f>
        <v>#NAME?</v>
      </c>
      <c r="AF142" s="523" t="e">
        <f ca="1">stat(calculs!AF142)</f>
        <v>#NAME?</v>
      </c>
      <c r="AG142" s="523" t="e">
        <f ca="1">stat(calculs!AG142)</f>
        <v>#NAME?</v>
      </c>
      <c r="AH142" s="523" t="e">
        <f ca="1">stat(calculs!AH142)</f>
        <v>#NAME?</v>
      </c>
      <c r="AI142" s="523" t="e">
        <f ca="1">stat(calculs!AI142)</f>
        <v>#NAME?</v>
      </c>
      <c r="AJ142" s="523" t="e">
        <f ca="1">stat(calculs!AJ142)</f>
        <v>#NAME?</v>
      </c>
      <c r="AK142" s="523" t="e">
        <f ca="1">stat(calculs!AK142)</f>
        <v>#NAME?</v>
      </c>
      <c r="AL142" s="523" t="e">
        <f ca="1">stat(calculs!AL142)</f>
        <v>#NAME?</v>
      </c>
      <c r="AM142" s="523" t="e">
        <f ca="1">stat(calculs!AM142)</f>
        <v>#NAME?</v>
      </c>
      <c r="AN142" s="523" t="e">
        <f ca="1">stat(calculs!AN142)</f>
        <v>#NAME?</v>
      </c>
      <c r="AO142" s="523" t="e">
        <f ca="1">stat(calculs!AO142)</f>
        <v>#NAME?</v>
      </c>
      <c r="AP142" s="523" t="e">
        <f ca="1">stat(calculs!AP142)</f>
        <v>#NAME?</v>
      </c>
      <c r="AQ142" s="523" t="e">
        <f ca="1">stat(calculs!AQ142)</f>
        <v>#NAME?</v>
      </c>
      <c r="AV142" s="525" t="str">
        <f>stat(calculs!AV142)</f>
        <v/>
      </c>
      <c r="AW142" s="525" t="str">
        <f>stat(calculs!AW142)</f>
        <v/>
      </c>
      <c r="AX142" s="525" t="str">
        <f>stat(calculs!AX142)</f>
        <v/>
      </c>
      <c r="AY142" s="525" t="e">
        <f ca="1">stat(calculs!AY142)</f>
        <v>#NAME?</v>
      </c>
      <c r="AZ142" s="525" t="e">
        <f ca="1">stat(calculs!AZ142)</f>
        <v>#NAME?</v>
      </c>
      <c r="BA142" s="525" t="e">
        <f ca="1">stat(calculs!BA142)</f>
        <v>#NAME?</v>
      </c>
      <c r="BB142" s="525" t="e">
        <f ca="1">stat(calculs!BB142)</f>
        <v>#NAME?</v>
      </c>
      <c r="BC142" s="525" t="e">
        <f ca="1">stat(calculs!BC142)</f>
        <v>#NAME?</v>
      </c>
      <c r="BD142" s="525" t="e">
        <f ca="1">stat(calculs!BD142)</f>
        <v>#NAME?</v>
      </c>
      <c r="BE142" s="525" t="e">
        <f ca="1">stat(calculs!BE142)</f>
        <v>#NAME?</v>
      </c>
      <c r="BF142" s="525" t="e">
        <f ca="1">stat(calculs!BF142)</f>
        <v>#NAME?</v>
      </c>
      <c r="BG142" s="729" t="e">
        <f ca="1">stat(calculs!BG142)</f>
        <v>#NAME?</v>
      </c>
      <c r="BH142" s="729" t="e">
        <f ca="1">stat(calculs!BH142)</f>
        <v>#NAME?</v>
      </c>
      <c r="BI142" s="729" t="e">
        <f ca="1">stat(calculs!BI142)</f>
        <v>#NAME?</v>
      </c>
      <c r="BJ142" s="729" t="e">
        <f ca="1">stat(calculs!BJ142)</f>
        <v>#NAME?</v>
      </c>
      <c r="BK142" s="729" t="e">
        <f ca="1">stat(calculs!BK142)</f>
        <v>#NAME?</v>
      </c>
      <c r="BL142" s="525" t="e">
        <f ca="1">stat(calculs!BL142)</f>
        <v>#NAME?</v>
      </c>
      <c r="BM142" s="525" t="e">
        <f ca="1">stat(calculs!BM142)</f>
        <v>#NAME?</v>
      </c>
      <c r="BN142" s="525" t="e">
        <f ca="1">stat(calculs!BN142)</f>
        <v>#NAME?</v>
      </c>
      <c r="BO142" s="525" t="e">
        <f ca="1">stat(calculs!BO142)</f>
        <v>#NAME?</v>
      </c>
      <c r="BP142" s="525" t="e">
        <f ca="1">stat(calculs!BP142)</f>
        <v>#NAME?</v>
      </c>
      <c r="BQ142" s="525" t="e">
        <f ca="1">stat(calculs!BQ142)</f>
        <v>#NAME?</v>
      </c>
      <c r="BR142" s="525" t="e">
        <f ca="1">stat(calculs!BR142)</f>
        <v>#NAME?</v>
      </c>
    </row>
    <row r="143" spans="1:70" x14ac:dyDescent="0.2">
      <c r="A143" s="222">
        <f>données_step[[#This Row],[Datum]]</f>
        <v>44694</v>
      </c>
      <c r="B143" s="223"/>
      <c r="C143" s="224">
        <f t="shared" si="2"/>
        <v>6</v>
      </c>
      <c r="D143" s="523" t="e">
        <f ca="1">stat(charge_entree[[#This Row],[ch_E_DBO5]])</f>
        <v>#NAME?</v>
      </c>
      <c r="E143" s="523" t="e">
        <f ca="1">stat(charge_entree[[#This Row],[ch_E_DCO]])</f>
        <v>#NAME?</v>
      </c>
      <c r="F143" s="523" t="e">
        <f ca="1">stat(charge_entree[[#This Row],[ch_E_COT]])</f>
        <v>#NAME?</v>
      </c>
      <c r="G143" s="523" t="e">
        <f ca="1">stat(charge_entree[[#This Row],[ch_E_NH4]])</f>
        <v>#NAME?</v>
      </c>
      <c r="H143" s="523" t="e">
        <f ca="1">stat(charge_entree[[#This Row],[ch_E_NTOT]])</f>
        <v>#NAME?</v>
      </c>
      <c r="I143" s="523" t="e">
        <f ca="1">stat(charge_entree[[#This Row],[ch_E_PTOT]])</f>
        <v>#NAME?</v>
      </c>
      <c r="J143" s="523" t="e">
        <f ca="1">stat(charge_entree[[#This Row],[ch_S_DBO]])</f>
        <v>#NAME?</v>
      </c>
      <c r="K143" s="523" t="e">
        <f ca="1">stat(charge_entree[[#This Row],[ch_S-DCO]])</f>
        <v>#NAME?</v>
      </c>
      <c r="L143" s="523" t="e">
        <f ca="1">stat(charge_entree[[#This Row],[ch_S_DOC]])</f>
        <v>#NAME?</v>
      </c>
      <c r="M143" s="523" t="e">
        <f ca="1">stat(charge_entree[[#This Row],[ch_S_NH4]])</f>
        <v>#NAME?</v>
      </c>
      <c r="N143" s="523" t="e">
        <f ca="1">stat(charge_entree[[#This Row],[ch_S_NO2]])</f>
        <v>#NAME?</v>
      </c>
      <c r="O143" s="523" t="e">
        <f ca="1">stat(charge_entree[[#This Row],[ch_S_NO3]])</f>
        <v>#NAME?</v>
      </c>
      <c r="P143" s="523" t="e">
        <f ca="1">stat(charge_entree[[#This Row],[ch_S_PTOT]])</f>
        <v>#NAME?</v>
      </c>
      <c r="Q143" s="523" t="e">
        <f ca="1">stat(charge_entree[[#This Row],[ch_S_SNDT]])</f>
        <v>#NAME?</v>
      </c>
      <c r="R143" s="523">
        <f>calculs!R143</f>
        <v>0</v>
      </c>
      <c r="S143" s="523" t="e">
        <f ca="1">stat(calculs!S143)</f>
        <v>#NAME?</v>
      </c>
      <c r="T143" s="523" t="e">
        <f ca="1">stat(calculs!T143)</f>
        <v>#NAME?</v>
      </c>
      <c r="U143" s="523" t="e">
        <f ca="1">stat(calculs!U143)</f>
        <v>#NAME?</v>
      </c>
      <c r="V143" s="523" t="e">
        <f ca="1">stat(calculs!V143)</f>
        <v>#NAME?</v>
      </c>
      <c r="W143" s="523" t="e">
        <f ca="1">stat(calculs!W143)</f>
        <v>#NAME?</v>
      </c>
      <c r="X143" s="523" t="e">
        <f ca="1">stat(calculs!X143)</f>
        <v>#NAME?</v>
      </c>
      <c r="Y143" s="523" t="e">
        <f ca="1">stat(calculs!Y143)</f>
        <v>#NAME?</v>
      </c>
      <c r="Z143" s="523" t="e">
        <f ca="1">stat(calculs!Z143)</f>
        <v>#NAME?</v>
      </c>
      <c r="AA143" s="523" t="e">
        <f ca="1">stat(calculs!AA143)</f>
        <v>#NAME?</v>
      </c>
      <c r="AB143" s="523" t="e">
        <f ca="1">stat(calculs!AB143)</f>
        <v>#NAME?</v>
      </c>
      <c r="AC143" s="523" t="e">
        <f ca="1">stat(calculs!AC143)</f>
        <v>#NAME?</v>
      </c>
      <c r="AD143" s="523" t="e">
        <f ca="1">stat(calculs!AD143)</f>
        <v>#NAME?</v>
      </c>
      <c r="AE143" s="523" t="e">
        <f ca="1">stat(calculs!AE143)</f>
        <v>#NAME?</v>
      </c>
      <c r="AF143" s="523" t="e">
        <f ca="1">stat(calculs!AF143)</f>
        <v>#NAME?</v>
      </c>
      <c r="AG143" s="523" t="e">
        <f ca="1">stat(calculs!AG143)</f>
        <v>#NAME?</v>
      </c>
      <c r="AH143" s="523" t="e">
        <f ca="1">stat(calculs!AH143)</f>
        <v>#NAME?</v>
      </c>
      <c r="AI143" s="523" t="e">
        <f ca="1">stat(calculs!AI143)</f>
        <v>#NAME?</v>
      </c>
      <c r="AJ143" s="523" t="e">
        <f ca="1">stat(calculs!AJ143)</f>
        <v>#NAME?</v>
      </c>
      <c r="AK143" s="523" t="e">
        <f ca="1">stat(calculs!AK143)</f>
        <v>#NAME?</v>
      </c>
      <c r="AL143" s="523" t="e">
        <f ca="1">stat(calculs!AL143)</f>
        <v>#NAME?</v>
      </c>
      <c r="AM143" s="523" t="e">
        <f ca="1">stat(calculs!AM143)</f>
        <v>#NAME?</v>
      </c>
      <c r="AN143" s="523" t="e">
        <f ca="1">stat(calculs!AN143)</f>
        <v>#NAME?</v>
      </c>
      <c r="AO143" s="523" t="e">
        <f ca="1">stat(calculs!AO143)</f>
        <v>#NAME?</v>
      </c>
      <c r="AP143" s="523" t="e">
        <f ca="1">stat(calculs!AP143)</f>
        <v>#NAME?</v>
      </c>
      <c r="AQ143" s="523" t="e">
        <f ca="1">stat(calculs!AQ143)</f>
        <v>#NAME?</v>
      </c>
      <c r="AV143" s="525" t="str">
        <f>stat(calculs!AV143)</f>
        <v/>
      </c>
      <c r="AW143" s="525" t="str">
        <f>stat(calculs!AW143)</f>
        <v/>
      </c>
      <c r="AX143" s="525" t="str">
        <f>stat(calculs!AX143)</f>
        <v/>
      </c>
      <c r="AY143" s="525" t="e">
        <f ca="1">stat(calculs!AY143)</f>
        <v>#NAME?</v>
      </c>
      <c r="AZ143" s="525" t="e">
        <f ca="1">stat(calculs!AZ143)</f>
        <v>#NAME?</v>
      </c>
      <c r="BA143" s="525" t="e">
        <f ca="1">stat(calculs!BA143)</f>
        <v>#NAME?</v>
      </c>
      <c r="BB143" s="525" t="e">
        <f ca="1">stat(calculs!BB143)</f>
        <v>#NAME?</v>
      </c>
      <c r="BC143" s="525" t="e">
        <f ca="1">stat(calculs!BC143)</f>
        <v>#NAME?</v>
      </c>
      <c r="BD143" s="525" t="e">
        <f ca="1">stat(calculs!BD143)</f>
        <v>#NAME?</v>
      </c>
      <c r="BE143" s="525" t="e">
        <f ca="1">stat(calculs!BE143)</f>
        <v>#NAME?</v>
      </c>
      <c r="BF143" s="525" t="e">
        <f ca="1">stat(calculs!BF143)</f>
        <v>#NAME?</v>
      </c>
      <c r="BG143" s="729" t="e">
        <f ca="1">stat(calculs!BG143)</f>
        <v>#NAME?</v>
      </c>
      <c r="BH143" s="729" t="e">
        <f ca="1">stat(calculs!BH143)</f>
        <v>#NAME?</v>
      </c>
      <c r="BI143" s="729" t="e">
        <f ca="1">stat(calculs!BI143)</f>
        <v>#NAME?</v>
      </c>
      <c r="BJ143" s="729" t="e">
        <f ca="1">stat(calculs!BJ143)</f>
        <v>#NAME?</v>
      </c>
      <c r="BK143" s="729" t="e">
        <f ca="1">stat(calculs!BK143)</f>
        <v>#NAME?</v>
      </c>
      <c r="BL143" s="525" t="e">
        <f ca="1">stat(calculs!BL143)</f>
        <v>#NAME?</v>
      </c>
      <c r="BM143" s="525" t="e">
        <f ca="1">stat(calculs!BM143)</f>
        <v>#NAME?</v>
      </c>
      <c r="BN143" s="525" t="e">
        <f ca="1">stat(calculs!BN143)</f>
        <v>#NAME?</v>
      </c>
      <c r="BO143" s="525" t="e">
        <f ca="1">stat(calculs!BO143)</f>
        <v>#NAME?</v>
      </c>
      <c r="BP143" s="525" t="e">
        <f ca="1">stat(calculs!BP143)</f>
        <v>#NAME?</v>
      </c>
      <c r="BQ143" s="525" t="e">
        <f ca="1">stat(calculs!BQ143)</f>
        <v>#NAME?</v>
      </c>
      <c r="BR143" s="525" t="e">
        <f ca="1">stat(calculs!BR143)</f>
        <v>#NAME?</v>
      </c>
    </row>
    <row r="144" spans="1:70" x14ac:dyDescent="0.2">
      <c r="A144" s="222">
        <f>données_step[[#This Row],[Datum]]</f>
        <v>44695</v>
      </c>
      <c r="B144" s="223"/>
      <c r="C144" s="224">
        <f t="shared" si="2"/>
        <v>7</v>
      </c>
      <c r="D144" s="523" t="e">
        <f ca="1">stat(charge_entree[[#This Row],[ch_E_DBO5]])</f>
        <v>#NAME?</v>
      </c>
      <c r="E144" s="523" t="e">
        <f ca="1">stat(charge_entree[[#This Row],[ch_E_DCO]])</f>
        <v>#NAME?</v>
      </c>
      <c r="F144" s="523" t="e">
        <f ca="1">stat(charge_entree[[#This Row],[ch_E_COT]])</f>
        <v>#NAME?</v>
      </c>
      <c r="G144" s="523" t="e">
        <f ca="1">stat(charge_entree[[#This Row],[ch_E_NH4]])</f>
        <v>#NAME?</v>
      </c>
      <c r="H144" s="523" t="e">
        <f ca="1">stat(charge_entree[[#This Row],[ch_E_NTOT]])</f>
        <v>#NAME?</v>
      </c>
      <c r="I144" s="523" t="e">
        <f ca="1">stat(charge_entree[[#This Row],[ch_E_PTOT]])</f>
        <v>#NAME?</v>
      </c>
      <c r="J144" s="523" t="e">
        <f ca="1">stat(charge_entree[[#This Row],[ch_S_DBO]])</f>
        <v>#NAME?</v>
      </c>
      <c r="K144" s="523" t="e">
        <f ca="1">stat(charge_entree[[#This Row],[ch_S-DCO]])</f>
        <v>#NAME?</v>
      </c>
      <c r="L144" s="523" t="e">
        <f ca="1">stat(charge_entree[[#This Row],[ch_S_DOC]])</f>
        <v>#NAME?</v>
      </c>
      <c r="M144" s="523" t="e">
        <f ca="1">stat(charge_entree[[#This Row],[ch_S_NH4]])</f>
        <v>#NAME?</v>
      </c>
      <c r="N144" s="523" t="e">
        <f ca="1">stat(charge_entree[[#This Row],[ch_S_NO2]])</f>
        <v>#NAME?</v>
      </c>
      <c r="O144" s="523" t="e">
        <f ca="1">stat(charge_entree[[#This Row],[ch_S_NO3]])</f>
        <v>#NAME?</v>
      </c>
      <c r="P144" s="523" t="e">
        <f ca="1">stat(charge_entree[[#This Row],[ch_S_PTOT]])</f>
        <v>#NAME?</v>
      </c>
      <c r="Q144" s="523" t="e">
        <f ca="1">stat(charge_entree[[#This Row],[ch_S_SNDT]])</f>
        <v>#NAME?</v>
      </c>
      <c r="R144" s="523">
        <f>calculs!R144</f>
        <v>0</v>
      </c>
      <c r="S144" s="523" t="e">
        <f ca="1">stat(calculs!S144)</f>
        <v>#NAME?</v>
      </c>
      <c r="T144" s="523" t="e">
        <f ca="1">stat(calculs!T144)</f>
        <v>#NAME?</v>
      </c>
      <c r="U144" s="523" t="e">
        <f ca="1">stat(calculs!U144)</f>
        <v>#NAME?</v>
      </c>
      <c r="V144" s="523" t="e">
        <f ca="1">stat(calculs!V144)</f>
        <v>#NAME?</v>
      </c>
      <c r="W144" s="523" t="e">
        <f ca="1">stat(calculs!W144)</f>
        <v>#NAME?</v>
      </c>
      <c r="X144" s="523" t="e">
        <f ca="1">stat(calculs!X144)</f>
        <v>#NAME?</v>
      </c>
      <c r="Y144" s="523" t="e">
        <f ca="1">stat(calculs!Y144)</f>
        <v>#NAME?</v>
      </c>
      <c r="Z144" s="523" t="e">
        <f ca="1">stat(calculs!Z144)</f>
        <v>#NAME?</v>
      </c>
      <c r="AA144" s="523" t="e">
        <f ca="1">stat(calculs!AA144)</f>
        <v>#NAME?</v>
      </c>
      <c r="AB144" s="523" t="e">
        <f ca="1">stat(calculs!AB144)</f>
        <v>#NAME?</v>
      </c>
      <c r="AC144" s="523" t="e">
        <f ca="1">stat(calculs!AC144)</f>
        <v>#NAME?</v>
      </c>
      <c r="AD144" s="523" t="e">
        <f ca="1">stat(calculs!AD144)</f>
        <v>#NAME?</v>
      </c>
      <c r="AE144" s="523" t="e">
        <f ca="1">stat(calculs!AE144)</f>
        <v>#NAME?</v>
      </c>
      <c r="AF144" s="523" t="e">
        <f ca="1">stat(calculs!AF144)</f>
        <v>#NAME?</v>
      </c>
      <c r="AG144" s="523" t="e">
        <f ca="1">stat(calculs!AG144)</f>
        <v>#NAME?</v>
      </c>
      <c r="AH144" s="523" t="e">
        <f ca="1">stat(calculs!AH144)</f>
        <v>#NAME?</v>
      </c>
      <c r="AI144" s="523" t="e">
        <f ca="1">stat(calculs!AI144)</f>
        <v>#NAME?</v>
      </c>
      <c r="AJ144" s="523" t="e">
        <f ca="1">stat(calculs!AJ144)</f>
        <v>#NAME?</v>
      </c>
      <c r="AK144" s="523" t="e">
        <f ca="1">stat(calculs!AK144)</f>
        <v>#NAME?</v>
      </c>
      <c r="AL144" s="523" t="e">
        <f ca="1">stat(calculs!AL144)</f>
        <v>#NAME?</v>
      </c>
      <c r="AM144" s="523" t="e">
        <f ca="1">stat(calculs!AM144)</f>
        <v>#NAME?</v>
      </c>
      <c r="AN144" s="523" t="e">
        <f ca="1">stat(calculs!AN144)</f>
        <v>#NAME?</v>
      </c>
      <c r="AO144" s="523" t="e">
        <f ca="1">stat(calculs!AO144)</f>
        <v>#NAME?</v>
      </c>
      <c r="AP144" s="523" t="e">
        <f ca="1">stat(calculs!AP144)</f>
        <v>#NAME?</v>
      </c>
      <c r="AQ144" s="523" t="e">
        <f ca="1">stat(calculs!AQ144)</f>
        <v>#NAME?</v>
      </c>
      <c r="AV144" s="525" t="str">
        <f>stat(calculs!AV144)</f>
        <v/>
      </c>
      <c r="AW144" s="525" t="str">
        <f>stat(calculs!AW144)</f>
        <v/>
      </c>
      <c r="AX144" s="525" t="str">
        <f>stat(calculs!AX144)</f>
        <v/>
      </c>
      <c r="AY144" s="525" t="e">
        <f ca="1">stat(calculs!AY144)</f>
        <v>#NAME?</v>
      </c>
      <c r="AZ144" s="525" t="e">
        <f ca="1">stat(calculs!AZ144)</f>
        <v>#NAME?</v>
      </c>
      <c r="BA144" s="525" t="e">
        <f ca="1">stat(calculs!BA144)</f>
        <v>#NAME?</v>
      </c>
      <c r="BB144" s="525" t="e">
        <f ca="1">stat(calculs!BB144)</f>
        <v>#NAME?</v>
      </c>
      <c r="BC144" s="525" t="e">
        <f ca="1">stat(calculs!BC144)</f>
        <v>#NAME?</v>
      </c>
      <c r="BD144" s="525" t="e">
        <f ca="1">stat(calculs!BD144)</f>
        <v>#NAME?</v>
      </c>
      <c r="BE144" s="525" t="e">
        <f ca="1">stat(calculs!BE144)</f>
        <v>#NAME?</v>
      </c>
      <c r="BF144" s="525" t="e">
        <f ca="1">stat(calculs!BF144)</f>
        <v>#NAME?</v>
      </c>
      <c r="BG144" s="729" t="e">
        <f ca="1">stat(calculs!BG144)</f>
        <v>#NAME?</v>
      </c>
      <c r="BH144" s="729" t="e">
        <f ca="1">stat(calculs!BH144)</f>
        <v>#NAME?</v>
      </c>
      <c r="BI144" s="729" t="e">
        <f ca="1">stat(calculs!BI144)</f>
        <v>#NAME?</v>
      </c>
      <c r="BJ144" s="729" t="e">
        <f ca="1">stat(calculs!BJ144)</f>
        <v>#NAME?</v>
      </c>
      <c r="BK144" s="729" t="e">
        <f ca="1">stat(calculs!BK144)</f>
        <v>#NAME?</v>
      </c>
      <c r="BL144" s="525" t="e">
        <f ca="1">stat(calculs!BL144)</f>
        <v>#NAME?</v>
      </c>
      <c r="BM144" s="525" t="e">
        <f ca="1">stat(calculs!BM144)</f>
        <v>#NAME?</v>
      </c>
      <c r="BN144" s="525" t="e">
        <f ca="1">stat(calculs!BN144)</f>
        <v>#NAME?</v>
      </c>
      <c r="BO144" s="525" t="e">
        <f ca="1">stat(calculs!BO144)</f>
        <v>#NAME?</v>
      </c>
      <c r="BP144" s="525" t="e">
        <f ca="1">stat(calculs!BP144)</f>
        <v>#NAME?</v>
      </c>
      <c r="BQ144" s="525" t="e">
        <f ca="1">stat(calculs!BQ144)</f>
        <v>#NAME?</v>
      </c>
      <c r="BR144" s="525" t="e">
        <f ca="1">stat(calculs!BR144)</f>
        <v>#NAME?</v>
      </c>
    </row>
    <row r="145" spans="1:70" x14ac:dyDescent="0.2">
      <c r="A145" s="222">
        <f>données_step[[#This Row],[Datum]]</f>
        <v>44696</v>
      </c>
      <c r="B145" s="223"/>
      <c r="C145" s="224">
        <f t="shared" si="2"/>
        <v>1</v>
      </c>
      <c r="D145" s="523" t="e">
        <f ca="1">stat(charge_entree[[#This Row],[ch_E_DBO5]])</f>
        <v>#NAME?</v>
      </c>
      <c r="E145" s="523" t="e">
        <f ca="1">stat(charge_entree[[#This Row],[ch_E_DCO]])</f>
        <v>#NAME?</v>
      </c>
      <c r="F145" s="523" t="e">
        <f ca="1">stat(charge_entree[[#This Row],[ch_E_COT]])</f>
        <v>#NAME?</v>
      </c>
      <c r="G145" s="523" t="e">
        <f ca="1">stat(charge_entree[[#This Row],[ch_E_NH4]])</f>
        <v>#NAME?</v>
      </c>
      <c r="H145" s="523" t="e">
        <f ca="1">stat(charge_entree[[#This Row],[ch_E_NTOT]])</f>
        <v>#NAME?</v>
      </c>
      <c r="I145" s="523" t="e">
        <f ca="1">stat(charge_entree[[#This Row],[ch_E_PTOT]])</f>
        <v>#NAME?</v>
      </c>
      <c r="J145" s="523" t="e">
        <f ca="1">stat(charge_entree[[#This Row],[ch_S_DBO]])</f>
        <v>#NAME?</v>
      </c>
      <c r="K145" s="523" t="e">
        <f ca="1">stat(charge_entree[[#This Row],[ch_S-DCO]])</f>
        <v>#NAME?</v>
      </c>
      <c r="L145" s="523" t="e">
        <f ca="1">stat(charge_entree[[#This Row],[ch_S_DOC]])</f>
        <v>#NAME?</v>
      </c>
      <c r="M145" s="523" t="e">
        <f ca="1">stat(charge_entree[[#This Row],[ch_S_NH4]])</f>
        <v>#NAME?</v>
      </c>
      <c r="N145" s="523" t="e">
        <f ca="1">stat(charge_entree[[#This Row],[ch_S_NO2]])</f>
        <v>#NAME?</v>
      </c>
      <c r="O145" s="523" t="e">
        <f ca="1">stat(charge_entree[[#This Row],[ch_S_NO3]])</f>
        <v>#NAME?</v>
      </c>
      <c r="P145" s="523" t="e">
        <f ca="1">stat(charge_entree[[#This Row],[ch_S_PTOT]])</f>
        <v>#NAME?</v>
      </c>
      <c r="Q145" s="523" t="e">
        <f ca="1">stat(charge_entree[[#This Row],[ch_S_SNDT]])</f>
        <v>#NAME?</v>
      </c>
      <c r="R145" s="523">
        <f>calculs!R145</f>
        <v>0</v>
      </c>
      <c r="S145" s="523" t="e">
        <f ca="1">stat(calculs!S145)</f>
        <v>#NAME?</v>
      </c>
      <c r="T145" s="523" t="e">
        <f ca="1">stat(calculs!T145)</f>
        <v>#NAME?</v>
      </c>
      <c r="U145" s="523" t="e">
        <f ca="1">stat(calculs!U145)</f>
        <v>#NAME?</v>
      </c>
      <c r="V145" s="523" t="e">
        <f ca="1">stat(calculs!V145)</f>
        <v>#NAME?</v>
      </c>
      <c r="W145" s="523" t="e">
        <f ca="1">stat(calculs!W145)</f>
        <v>#NAME?</v>
      </c>
      <c r="X145" s="523" t="e">
        <f ca="1">stat(calculs!X145)</f>
        <v>#NAME?</v>
      </c>
      <c r="Y145" s="523" t="e">
        <f ca="1">stat(calculs!Y145)</f>
        <v>#NAME?</v>
      </c>
      <c r="Z145" s="523" t="e">
        <f ca="1">stat(calculs!Z145)</f>
        <v>#NAME?</v>
      </c>
      <c r="AA145" s="523" t="e">
        <f ca="1">stat(calculs!AA145)</f>
        <v>#NAME?</v>
      </c>
      <c r="AB145" s="523" t="e">
        <f ca="1">stat(calculs!AB145)</f>
        <v>#NAME?</v>
      </c>
      <c r="AC145" s="523" t="e">
        <f ca="1">stat(calculs!AC145)</f>
        <v>#NAME?</v>
      </c>
      <c r="AD145" s="523" t="e">
        <f ca="1">stat(calculs!AD145)</f>
        <v>#NAME?</v>
      </c>
      <c r="AE145" s="523" t="e">
        <f ca="1">stat(calculs!AE145)</f>
        <v>#NAME?</v>
      </c>
      <c r="AF145" s="523" t="e">
        <f ca="1">stat(calculs!AF145)</f>
        <v>#NAME?</v>
      </c>
      <c r="AG145" s="523" t="e">
        <f ca="1">stat(calculs!AG145)</f>
        <v>#NAME?</v>
      </c>
      <c r="AH145" s="523" t="e">
        <f ca="1">stat(calculs!AH145)</f>
        <v>#NAME?</v>
      </c>
      <c r="AI145" s="523" t="e">
        <f ca="1">stat(calculs!AI145)</f>
        <v>#NAME?</v>
      </c>
      <c r="AJ145" s="523" t="e">
        <f ca="1">stat(calculs!AJ145)</f>
        <v>#NAME?</v>
      </c>
      <c r="AK145" s="523" t="e">
        <f ca="1">stat(calculs!AK145)</f>
        <v>#NAME?</v>
      </c>
      <c r="AL145" s="523" t="e">
        <f ca="1">stat(calculs!AL145)</f>
        <v>#NAME?</v>
      </c>
      <c r="AM145" s="523" t="e">
        <f ca="1">stat(calculs!AM145)</f>
        <v>#NAME?</v>
      </c>
      <c r="AN145" s="523" t="e">
        <f ca="1">stat(calculs!AN145)</f>
        <v>#NAME?</v>
      </c>
      <c r="AO145" s="523" t="e">
        <f ca="1">stat(calculs!AO145)</f>
        <v>#NAME?</v>
      </c>
      <c r="AP145" s="523" t="e">
        <f ca="1">stat(calculs!AP145)</f>
        <v>#NAME?</v>
      </c>
      <c r="AQ145" s="523" t="e">
        <f ca="1">stat(calculs!AQ145)</f>
        <v>#NAME?</v>
      </c>
      <c r="AV145" s="525" t="str">
        <f>stat(calculs!AV145)</f>
        <v/>
      </c>
      <c r="AW145" s="525" t="str">
        <f>stat(calculs!AW145)</f>
        <v/>
      </c>
      <c r="AX145" s="525" t="str">
        <f>stat(calculs!AX145)</f>
        <v/>
      </c>
      <c r="AY145" s="525" t="e">
        <f ca="1">stat(calculs!AY145)</f>
        <v>#NAME?</v>
      </c>
      <c r="AZ145" s="525" t="e">
        <f ca="1">stat(calculs!AZ145)</f>
        <v>#NAME?</v>
      </c>
      <c r="BA145" s="525" t="e">
        <f ca="1">stat(calculs!BA145)</f>
        <v>#NAME?</v>
      </c>
      <c r="BB145" s="525" t="e">
        <f ca="1">stat(calculs!BB145)</f>
        <v>#NAME?</v>
      </c>
      <c r="BC145" s="525" t="e">
        <f ca="1">stat(calculs!BC145)</f>
        <v>#NAME?</v>
      </c>
      <c r="BD145" s="525" t="e">
        <f ca="1">stat(calculs!BD145)</f>
        <v>#NAME?</v>
      </c>
      <c r="BE145" s="525" t="e">
        <f ca="1">stat(calculs!BE145)</f>
        <v>#NAME?</v>
      </c>
      <c r="BF145" s="525" t="e">
        <f ca="1">stat(calculs!BF145)</f>
        <v>#NAME?</v>
      </c>
      <c r="BG145" s="729" t="e">
        <f ca="1">stat(calculs!BG145)</f>
        <v>#NAME?</v>
      </c>
      <c r="BH145" s="729" t="e">
        <f ca="1">stat(calculs!BH145)</f>
        <v>#NAME?</v>
      </c>
      <c r="BI145" s="729" t="e">
        <f ca="1">stat(calculs!BI145)</f>
        <v>#NAME?</v>
      </c>
      <c r="BJ145" s="729" t="e">
        <f ca="1">stat(calculs!BJ145)</f>
        <v>#NAME?</v>
      </c>
      <c r="BK145" s="729" t="e">
        <f ca="1">stat(calculs!BK145)</f>
        <v>#NAME?</v>
      </c>
      <c r="BL145" s="525" t="e">
        <f ca="1">stat(calculs!BL145)</f>
        <v>#NAME?</v>
      </c>
      <c r="BM145" s="525" t="e">
        <f ca="1">stat(calculs!BM145)</f>
        <v>#NAME?</v>
      </c>
      <c r="BN145" s="525" t="e">
        <f ca="1">stat(calculs!BN145)</f>
        <v>#NAME?</v>
      </c>
      <c r="BO145" s="525" t="e">
        <f ca="1">stat(calculs!BO145)</f>
        <v>#NAME?</v>
      </c>
      <c r="BP145" s="525" t="e">
        <f ca="1">stat(calculs!BP145)</f>
        <v>#NAME?</v>
      </c>
      <c r="BQ145" s="525" t="e">
        <f ca="1">stat(calculs!BQ145)</f>
        <v>#NAME?</v>
      </c>
      <c r="BR145" s="525" t="e">
        <f ca="1">stat(calculs!BR145)</f>
        <v>#NAME?</v>
      </c>
    </row>
    <row r="146" spans="1:70" x14ac:dyDescent="0.2">
      <c r="A146" s="222">
        <f>données_step[[#This Row],[Datum]]</f>
        <v>44697</v>
      </c>
      <c r="B146" s="223"/>
      <c r="C146" s="224">
        <f t="shared" si="2"/>
        <v>2</v>
      </c>
      <c r="D146" s="523" t="e">
        <f ca="1">stat(charge_entree[[#This Row],[ch_E_DBO5]])</f>
        <v>#NAME?</v>
      </c>
      <c r="E146" s="523" t="e">
        <f ca="1">stat(charge_entree[[#This Row],[ch_E_DCO]])</f>
        <v>#NAME?</v>
      </c>
      <c r="F146" s="523" t="e">
        <f ca="1">stat(charge_entree[[#This Row],[ch_E_COT]])</f>
        <v>#NAME?</v>
      </c>
      <c r="G146" s="523" t="e">
        <f ca="1">stat(charge_entree[[#This Row],[ch_E_NH4]])</f>
        <v>#NAME?</v>
      </c>
      <c r="H146" s="523" t="e">
        <f ca="1">stat(charge_entree[[#This Row],[ch_E_NTOT]])</f>
        <v>#NAME?</v>
      </c>
      <c r="I146" s="523" t="e">
        <f ca="1">stat(charge_entree[[#This Row],[ch_E_PTOT]])</f>
        <v>#NAME?</v>
      </c>
      <c r="J146" s="523" t="e">
        <f ca="1">stat(charge_entree[[#This Row],[ch_S_DBO]])</f>
        <v>#NAME?</v>
      </c>
      <c r="K146" s="523" t="e">
        <f ca="1">stat(charge_entree[[#This Row],[ch_S-DCO]])</f>
        <v>#NAME?</v>
      </c>
      <c r="L146" s="523" t="e">
        <f ca="1">stat(charge_entree[[#This Row],[ch_S_DOC]])</f>
        <v>#NAME?</v>
      </c>
      <c r="M146" s="523" t="e">
        <f ca="1">stat(charge_entree[[#This Row],[ch_S_NH4]])</f>
        <v>#NAME?</v>
      </c>
      <c r="N146" s="523" t="e">
        <f ca="1">stat(charge_entree[[#This Row],[ch_S_NO2]])</f>
        <v>#NAME?</v>
      </c>
      <c r="O146" s="523" t="e">
        <f ca="1">stat(charge_entree[[#This Row],[ch_S_NO3]])</f>
        <v>#NAME?</v>
      </c>
      <c r="P146" s="523" t="e">
        <f ca="1">stat(charge_entree[[#This Row],[ch_S_PTOT]])</f>
        <v>#NAME?</v>
      </c>
      <c r="Q146" s="523" t="e">
        <f ca="1">stat(charge_entree[[#This Row],[ch_S_SNDT]])</f>
        <v>#NAME?</v>
      </c>
      <c r="R146" s="523">
        <f>calculs!R146</f>
        <v>0</v>
      </c>
      <c r="S146" s="523" t="e">
        <f ca="1">stat(calculs!S146)</f>
        <v>#NAME?</v>
      </c>
      <c r="T146" s="523" t="e">
        <f ca="1">stat(calculs!T146)</f>
        <v>#NAME?</v>
      </c>
      <c r="U146" s="523" t="e">
        <f ca="1">stat(calculs!U146)</f>
        <v>#NAME?</v>
      </c>
      <c r="V146" s="523" t="e">
        <f ca="1">stat(calculs!V146)</f>
        <v>#NAME?</v>
      </c>
      <c r="W146" s="523" t="e">
        <f ca="1">stat(calculs!W146)</f>
        <v>#NAME?</v>
      </c>
      <c r="X146" s="523" t="e">
        <f ca="1">stat(calculs!X146)</f>
        <v>#NAME?</v>
      </c>
      <c r="Y146" s="523" t="e">
        <f ca="1">stat(calculs!Y146)</f>
        <v>#NAME?</v>
      </c>
      <c r="Z146" s="523" t="e">
        <f ca="1">stat(calculs!Z146)</f>
        <v>#NAME?</v>
      </c>
      <c r="AA146" s="523" t="e">
        <f ca="1">stat(calculs!AA146)</f>
        <v>#NAME?</v>
      </c>
      <c r="AB146" s="523" t="e">
        <f ca="1">stat(calculs!AB146)</f>
        <v>#NAME?</v>
      </c>
      <c r="AC146" s="523" t="e">
        <f ca="1">stat(calculs!AC146)</f>
        <v>#NAME?</v>
      </c>
      <c r="AD146" s="523" t="e">
        <f ca="1">stat(calculs!AD146)</f>
        <v>#NAME?</v>
      </c>
      <c r="AE146" s="523" t="e">
        <f ca="1">stat(calculs!AE146)</f>
        <v>#NAME?</v>
      </c>
      <c r="AF146" s="523" t="e">
        <f ca="1">stat(calculs!AF146)</f>
        <v>#NAME?</v>
      </c>
      <c r="AG146" s="523" t="e">
        <f ca="1">stat(calculs!AG146)</f>
        <v>#NAME?</v>
      </c>
      <c r="AH146" s="523" t="e">
        <f ca="1">stat(calculs!AH146)</f>
        <v>#NAME?</v>
      </c>
      <c r="AI146" s="523" t="e">
        <f ca="1">stat(calculs!AI146)</f>
        <v>#NAME?</v>
      </c>
      <c r="AJ146" s="523" t="e">
        <f ca="1">stat(calculs!AJ146)</f>
        <v>#NAME?</v>
      </c>
      <c r="AK146" s="523" t="e">
        <f ca="1">stat(calculs!AK146)</f>
        <v>#NAME?</v>
      </c>
      <c r="AL146" s="523" t="e">
        <f ca="1">stat(calculs!AL146)</f>
        <v>#NAME?</v>
      </c>
      <c r="AM146" s="523" t="e">
        <f ca="1">stat(calculs!AM146)</f>
        <v>#NAME?</v>
      </c>
      <c r="AN146" s="523" t="e">
        <f ca="1">stat(calculs!AN146)</f>
        <v>#NAME?</v>
      </c>
      <c r="AO146" s="523" t="e">
        <f ca="1">stat(calculs!AO146)</f>
        <v>#NAME?</v>
      </c>
      <c r="AP146" s="523" t="e">
        <f ca="1">stat(calculs!AP146)</f>
        <v>#NAME?</v>
      </c>
      <c r="AQ146" s="523" t="e">
        <f ca="1">stat(calculs!AQ146)</f>
        <v>#NAME?</v>
      </c>
      <c r="AV146" s="525" t="str">
        <f>stat(calculs!AV146)</f>
        <v/>
      </c>
      <c r="AW146" s="525" t="str">
        <f>stat(calculs!AW146)</f>
        <v/>
      </c>
      <c r="AX146" s="525" t="str">
        <f>stat(calculs!AX146)</f>
        <v/>
      </c>
      <c r="AY146" s="525" t="e">
        <f ca="1">stat(calculs!AY146)</f>
        <v>#NAME?</v>
      </c>
      <c r="AZ146" s="525" t="e">
        <f ca="1">stat(calculs!AZ146)</f>
        <v>#NAME?</v>
      </c>
      <c r="BA146" s="525" t="e">
        <f ca="1">stat(calculs!BA146)</f>
        <v>#NAME?</v>
      </c>
      <c r="BB146" s="525" t="e">
        <f ca="1">stat(calculs!BB146)</f>
        <v>#NAME?</v>
      </c>
      <c r="BC146" s="525" t="e">
        <f ca="1">stat(calculs!BC146)</f>
        <v>#NAME?</v>
      </c>
      <c r="BD146" s="525" t="e">
        <f ca="1">stat(calculs!BD146)</f>
        <v>#NAME?</v>
      </c>
      <c r="BE146" s="525" t="e">
        <f ca="1">stat(calculs!BE146)</f>
        <v>#NAME?</v>
      </c>
      <c r="BF146" s="525" t="e">
        <f ca="1">stat(calculs!BF146)</f>
        <v>#NAME?</v>
      </c>
      <c r="BG146" s="729" t="e">
        <f ca="1">stat(calculs!BG146)</f>
        <v>#NAME?</v>
      </c>
      <c r="BH146" s="729" t="e">
        <f ca="1">stat(calculs!BH146)</f>
        <v>#NAME?</v>
      </c>
      <c r="BI146" s="729" t="e">
        <f ca="1">stat(calculs!BI146)</f>
        <v>#NAME?</v>
      </c>
      <c r="BJ146" s="729" t="e">
        <f ca="1">stat(calculs!BJ146)</f>
        <v>#NAME?</v>
      </c>
      <c r="BK146" s="729" t="e">
        <f ca="1">stat(calculs!BK146)</f>
        <v>#NAME?</v>
      </c>
      <c r="BL146" s="525" t="e">
        <f ca="1">stat(calculs!BL146)</f>
        <v>#NAME?</v>
      </c>
      <c r="BM146" s="525" t="e">
        <f ca="1">stat(calculs!BM146)</f>
        <v>#NAME?</v>
      </c>
      <c r="BN146" s="525" t="e">
        <f ca="1">stat(calculs!BN146)</f>
        <v>#NAME?</v>
      </c>
      <c r="BO146" s="525" t="e">
        <f ca="1">stat(calculs!BO146)</f>
        <v>#NAME?</v>
      </c>
      <c r="BP146" s="525" t="e">
        <f ca="1">stat(calculs!BP146)</f>
        <v>#NAME?</v>
      </c>
      <c r="BQ146" s="525" t="e">
        <f ca="1">stat(calculs!BQ146)</f>
        <v>#NAME?</v>
      </c>
      <c r="BR146" s="525" t="e">
        <f ca="1">stat(calculs!BR146)</f>
        <v>#NAME?</v>
      </c>
    </row>
    <row r="147" spans="1:70" x14ac:dyDescent="0.2">
      <c r="A147" s="222">
        <f>données_step[[#This Row],[Datum]]</f>
        <v>44698</v>
      </c>
      <c r="B147" s="223"/>
      <c r="C147" s="224">
        <f t="shared" si="2"/>
        <v>3</v>
      </c>
      <c r="D147" s="523" t="e">
        <f ca="1">stat(charge_entree[[#This Row],[ch_E_DBO5]])</f>
        <v>#NAME?</v>
      </c>
      <c r="E147" s="523" t="e">
        <f ca="1">stat(charge_entree[[#This Row],[ch_E_DCO]])</f>
        <v>#NAME?</v>
      </c>
      <c r="F147" s="523" t="e">
        <f ca="1">stat(charge_entree[[#This Row],[ch_E_COT]])</f>
        <v>#NAME?</v>
      </c>
      <c r="G147" s="523" t="e">
        <f ca="1">stat(charge_entree[[#This Row],[ch_E_NH4]])</f>
        <v>#NAME?</v>
      </c>
      <c r="H147" s="523" t="e">
        <f ca="1">stat(charge_entree[[#This Row],[ch_E_NTOT]])</f>
        <v>#NAME?</v>
      </c>
      <c r="I147" s="523" t="e">
        <f ca="1">stat(charge_entree[[#This Row],[ch_E_PTOT]])</f>
        <v>#NAME?</v>
      </c>
      <c r="J147" s="523" t="e">
        <f ca="1">stat(charge_entree[[#This Row],[ch_S_DBO]])</f>
        <v>#NAME?</v>
      </c>
      <c r="K147" s="523" t="e">
        <f ca="1">stat(charge_entree[[#This Row],[ch_S-DCO]])</f>
        <v>#NAME?</v>
      </c>
      <c r="L147" s="523" t="e">
        <f ca="1">stat(charge_entree[[#This Row],[ch_S_DOC]])</f>
        <v>#NAME?</v>
      </c>
      <c r="M147" s="523" t="e">
        <f ca="1">stat(charge_entree[[#This Row],[ch_S_NH4]])</f>
        <v>#NAME?</v>
      </c>
      <c r="N147" s="523" t="e">
        <f ca="1">stat(charge_entree[[#This Row],[ch_S_NO2]])</f>
        <v>#NAME?</v>
      </c>
      <c r="O147" s="523" t="e">
        <f ca="1">stat(charge_entree[[#This Row],[ch_S_NO3]])</f>
        <v>#NAME?</v>
      </c>
      <c r="P147" s="523" t="e">
        <f ca="1">stat(charge_entree[[#This Row],[ch_S_PTOT]])</f>
        <v>#NAME?</v>
      </c>
      <c r="Q147" s="523" t="e">
        <f ca="1">stat(charge_entree[[#This Row],[ch_S_SNDT]])</f>
        <v>#NAME?</v>
      </c>
      <c r="R147" s="523">
        <f>calculs!R147</f>
        <v>0</v>
      </c>
      <c r="S147" s="523" t="e">
        <f ca="1">stat(calculs!S147)</f>
        <v>#NAME?</v>
      </c>
      <c r="T147" s="523" t="e">
        <f ca="1">stat(calculs!T147)</f>
        <v>#NAME?</v>
      </c>
      <c r="U147" s="523" t="e">
        <f ca="1">stat(calculs!U147)</f>
        <v>#NAME?</v>
      </c>
      <c r="V147" s="523" t="e">
        <f ca="1">stat(calculs!V147)</f>
        <v>#NAME?</v>
      </c>
      <c r="W147" s="523" t="e">
        <f ca="1">stat(calculs!W147)</f>
        <v>#NAME?</v>
      </c>
      <c r="X147" s="523" t="e">
        <f ca="1">stat(calculs!X147)</f>
        <v>#NAME?</v>
      </c>
      <c r="Y147" s="523" t="e">
        <f ca="1">stat(calculs!Y147)</f>
        <v>#NAME?</v>
      </c>
      <c r="Z147" s="523" t="e">
        <f ca="1">stat(calculs!Z147)</f>
        <v>#NAME?</v>
      </c>
      <c r="AA147" s="523" t="e">
        <f ca="1">stat(calculs!AA147)</f>
        <v>#NAME?</v>
      </c>
      <c r="AB147" s="523" t="e">
        <f ca="1">stat(calculs!AB147)</f>
        <v>#NAME?</v>
      </c>
      <c r="AC147" s="523" t="e">
        <f ca="1">stat(calculs!AC147)</f>
        <v>#NAME?</v>
      </c>
      <c r="AD147" s="523" t="e">
        <f ca="1">stat(calculs!AD147)</f>
        <v>#NAME?</v>
      </c>
      <c r="AE147" s="523" t="e">
        <f ca="1">stat(calculs!AE147)</f>
        <v>#NAME?</v>
      </c>
      <c r="AF147" s="523" t="e">
        <f ca="1">stat(calculs!AF147)</f>
        <v>#NAME?</v>
      </c>
      <c r="AG147" s="523" t="e">
        <f ca="1">stat(calculs!AG147)</f>
        <v>#NAME?</v>
      </c>
      <c r="AH147" s="523" t="e">
        <f ca="1">stat(calculs!AH147)</f>
        <v>#NAME?</v>
      </c>
      <c r="AI147" s="523" t="e">
        <f ca="1">stat(calculs!AI147)</f>
        <v>#NAME?</v>
      </c>
      <c r="AJ147" s="523" t="e">
        <f ca="1">stat(calculs!AJ147)</f>
        <v>#NAME?</v>
      </c>
      <c r="AK147" s="523" t="e">
        <f ca="1">stat(calculs!AK147)</f>
        <v>#NAME?</v>
      </c>
      <c r="AL147" s="523" t="e">
        <f ca="1">stat(calculs!AL147)</f>
        <v>#NAME?</v>
      </c>
      <c r="AM147" s="523" t="e">
        <f ca="1">stat(calculs!AM147)</f>
        <v>#NAME?</v>
      </c>
      <c r="AN147" s="523" t="e">
        <f ca="1">stat(calculs!AN147)</f>
        <v>#NAME?</v>
      </c>
      <c r="AO147" s="523" t="e">
        <f ca="1">stat(calculs!AO147)</f>
        <v>#NAME?</v>
      </c>
      <c r="AP147" s="523" t="e">
        <f ca="1">stat(calculs!AP147)</f>
        <v>#NAME?</v>
      </c>
      <c r="AQ147" s="523" t="e">
        <f ca="1">stat(calculs!AQ147)</f>
        <v>#NAME?</v>
      </c>
      <c r="AV147" s="525" t="str">
        <f>stat(calculs!AV147)</f>
        <v/>
      </c>
      <c r="AW147" s="525" t="str">
        <f>stat(calculs!AW147)</f>
        <v/>
      </c>
      <c r="AX147" s="525" t="str">
        <f>stat(calculs!AX147)</f>
        <v/>
      </c>
      <c r="AY147" s="525" t="e">
        <f ca="1">stat(calculs!AY147)</f>
        <v>#NAME?</v>
      </c>
      <c r="AZ147" s="525" t="e">
        <f ca="1">stat(calculs!AZ147)</f>
        <v>#NAME?</v>
      </c>
      <c r="BA147" s="525" t="e">
        <f ca="1">stat(calculs!BA147)</f>
        <v>#NAME?</v>
      </c>
      <c r="BB147" s="525" t="e">
        <f ca="1">stat(calculs!BB147)</f>
        <v>#NAME?</v>
      </c>
      <c r="BC147" s="525" t="e">
        <f ca="1">stat(calculs!BC147)</f>
        <v>#NAME?</v>
      </c>
      <c r="BD147" s="525" t="e">
        <f ca="1">stat(calculs!BD147)</f>
        <v>#NAME?</v>
      </c>
      <c r="BE147" s="525" t="e">
        <f ca="1">stat(calculs!BE147)</f>
        <v>#NAME?</v>
      </c>
      <c r="BF147" s="525" t="e">
        <f ca="1">stat(calculs!BF147)</f>
        <v>#NAME?</v>
      </c>
      <c r="BG147" s="729" t="e">
        <f ca="1">stat(calculs!BG147)</f>
        <v>#NAME?</v>
      </c>
      <c r="BH147" s="729" t="e">
        <f ca="1">stat(calculs!BH147)</f>
        <v>#NAME?</v>
      </c>
      <c r="BI147" s="729" t="e">
        <f ca="1">stat(calculs!BI147)</f>
        <v>#NAME?</v>
      </c>
      <c r="BJ147" s="729" t="e">
        <f ca="1">stat(calculs!BJ147)</f>
        <v>#NAME?</v>
      </c>
      <c r="BK147" s="729" t="e">
        <f ca="1">stat(calculs!BK147)</f>
        <v>#NAME?</v>
      </c>
      <c r="BL147" s="525" t="e">
        <f ca="1">stat(calculs!BL147)</f>
        <v>#NAME?</v>
      </c>
      <c r="BM147" s="525" t="e">
        <f ca="1">stat(calculs!BM147)</f>
        <v>#NAME?</v>
      </c>
      <c r="BN147" s="525" t="e">
        <f ca="1">stat(calculs!BN147)</f>
        <v>#NAME?</v>
      </c>
      <c r="BO147" s="525" t="e">
        <f ca="1">stat(calculs!BO147)</f>
        <v>#NAME?</v>
      </c>
      <c r="BP147" s="525" t="e">
        <f ca="1">stat(calculs!BP147)</f>
        <v>#NAME?</v>
      </c>
      <c r="BQ147" s="525" t="e">
        <f ca="1">stat(calculs!BQ147)</f>
        <v>#NAME?</v>
      </c>
      <c r="BR147" s="525" t="e">
        <f ca="1">stat(calculs!BR147)</f>
        <v>#NAME?</v>
      </c>
    </row>
    <row r="148" spans="1:70" x14ac:dyDescent="0.2">
      <c r="A148" s="222">
        <f>données_step[[#This Row],[Datum]]</f>
        <v>44699</v>
      </c>
      <c r="B148" s="223"/>
      <c r="C148" s="224">
        <f t="shared" si="2"/>
        <v>4</v>
      </c>
      <c r="D148" s="523" t="e">
        <f ca="1">stat(charge_entree[[#This Row],[ch_E_DBO5]])</f>
        <v>#NAME?</v>
      </c>
      <c r="E148" s="523" t="e">
        <f ca="1">stat(charge_entree[[#This Row],[ch_E_DCO]])</f>
        <v>#NAME?</v>
      </c>
      <c r="F148" s="523" t="e">
        <f ca="1">stat(charge_entree[[#This Row],[ch_E_COT]])</f>
        <v>#NAME?</v>
      </c>
      <c r="G148" s="523" t="e">
        <f ca="1">stat(charge_entree[[#This Row],[ch_E_NH4]])</f>
        <v>#NAME?</v>
      </c>
      <c r="H148" s="523" t="e">
        <f ca="1">stat(charge_entree[[#This Row],[ch_E_NTOT]])</f>
        <v>#NAME?</v>
      </c>
      <c r="I148" s="523" t="e">
        <f ca="1">stat(charge_entree[[#This Row],[ch_E_PTOT]])</f>
        <v>#NAME?</v>
      </c>
      <c r="J148" s="523" t="e">
        <f ca="1">stat(charge_entree[[#This Row],[ch_S_DBO]])</f>
        <v>#NAME?</v>
      </c>
      <c r="K148" s="523" t="e">
        <f ca="1">stat(charge_entree[[#This Row],[ch_S-DCO]])</f>
        <v>#NAME?</v>
      </c>
      <c r="L148" s="523" t="e">
        <f ca="1">stat(charge_entree[[#This Row],[ch_S_DOC]])</f>
        <v>#NAME?</v>
      </c>
      <c r="M148" s="523" t="e">
        <f ca="1">stat(charge_entree[[#This Row],[ch_S_NH4]])</f>
        <v>#NAME?</v>
      </c>
      <c r="N148" s="523" t="e">
        <f ca="1">stat(charge_entree[[#This Row],[ch_S_NO2]])</f>
        <v>#NAME?</v>
      </c>
      <c r="O148" s="523" t="e">
        <f ca="1">stat(charge_entree[[#This Row],[ch_S_NO3]])</f>
        <v>#NAME?</v>
      </c>
      <c r="P148" s="523" t="e">
        <f ca="1">stat(charge_entree[[#This Row],[ch_S_PTOT]])</f>
        <v>#NAME?</v>
      </c>
      <c r="Q148" s="523" t="e">
        <f ca="1">stat(charge_entree[[#This Row],[ch_S_SNDT]])</f>
        <v>#NAME?</v>
      </c>
      <c r="R148" s="523">
        <f>calculs!R148</f>
        <v>0</v>
      </c>
      <c r="S148" s="523" t="e">
        <f ca="1">stat(calculs!S148)</f>
        <v>#NAME?</v>
      </c>
      <c r="T148" s="523" t="e">
        <f ca="1">stat(calculs!T148)</f>
        <v>#NAME?</v>
      </c>
      <c r="U148" s="523" t="e">
        <f ca="1">stat(calculs!U148)</f>
        <v>#NAME?</v>
      </c>
      <c r="V148" s="523" t="e">
        <f ca="1">stat(calculs!V148)</f>
        <v>#NAME?</v>
      </c>
      <c r="W148" s="523" t="e">
        <f ca="1">stat(calculs!W148)</f>
        <v>#NAME?</v>
      </c>
      <c r="X148" s="523" t="e">
        <f ca="1">stat(calculs!X148)</f>
        <v>#NAME?</v>
      </c>
      <c r="Y148" s="523" t="e">
        <f ca="1">stat(calculs!Y148)</f>
        <v>#NAME?</v>
      </c>
      <c r="Z148" s="523" t="e">
        <f ca="1">stat(calculs!Z148)</f>
        <v>#NAME?</v>
      </c>
      <c r="AA148" s="523" t="e">
        <f ca="1">stat(calculs!AA148)</f>
        <v>#NAME?</v>
      </c>
      <c r="AB148" s="523" t="e">
        <f ca="1">stat(calculs!AB148)</f>
        <v>#NAME?</v>
      </c>
      <c r="AC148" s="523" t="e">
        <f ca="1">stat(calculs!AC148)</f>
        <v>#NAME?</v>
      </c>
      <c r="AD148" s="523" t="e">
        <f ca="1">stat(calculs!AD148)</f>
        <v>#NAME?</v>
      </c>
      <c r="AE148" s="523" t="e">
        <f ca="1">stat(calculs!AE148)</f>
        <v>#NAME?</v>
      </c>
      <c r="AF148" s="523" t="e">
        <f ca="1">stat(calculs!AF148)</f>
        <v>#NAME?</v>
      </c>
      <c r="AG148" s="523" t="e">
        <f ca="1">stat(calculs!AG148)</f>
        <v>#NAME?</v>
      </c>
      <c r="AH148" s="523" t="e">
        <f ca="1">stat(calculs!AH148)</f>
        <v>#NAME?</v>
      </c>
      <c r="AI148" s="523" t="e">
        <f ca="1">stat(calculs!AI148)</f>
        <v>#NAME?</v>
      </c>
      <c r="AJ148" s="523" t="e">
        <f ca="1">stat(calculs!AJ148)</f>
        <v>#NAME?</v>
      </c>
      <c r="AK148" s="523" t="e">
        <f ca="1">stat(calculs!AK148)</f>
        <v>#NAME?</v>
      </c>
      <c r="AL148" s="523" t="e">
        <f ca="1">stat(calculs!AL148)</f>
        <v>#NAME?</v>
      </c>
      <c r="AM148" s="523" t="e">
        <f ca="1">stat(calculs!AM148)</f>
        <v>#NAME?</v>
      </c>
      <c r="AN148" s="523" t="e">
        <f ca="1">stat(calculs!AN148)</f>
        <v>#NAME?</v>
      </c>
      <c r="AO148" s="523" t="e">
        <f ca="1">stat(calculs!AO148)</f>
        <v>#NAME?</v>
      </c>
      <c r="AP148" s="523" t="e">
        <f ca="1">stat(calculs!AP148)</f>
        <v>#NAME?</v>
      </c>
      <c r="AQ148" s="523" t="e">
        <f ca="1">stat(calculs!AQ148)</f>
        <v>#NAME?</v>
      </c>
      <c r="AV148" s="525" t="str">
        <f>stat(calculs!AV148)</f>
        <v/>
      </c>
      <c r="AW148" s="525" t="str">
        <f>stat(calculs!AW148)</f>
        <v/>
      </c>
      <c r="AX148" s="525" t="str">
        <f>stat(calculs!AX148)</f>
        <v/>
      </c>
      <c r="AY148" s="525" t="e">
        <f ca="1">stat(calculs!AY148)</f>
        <v>#NAME?</v>
      </c>
      <c r="AZ148" s="525" t="e">
        <f ca="1">stat(calculs!AZ148)</f>
        <v>#NAME?</v>
      </c>
      <c r="BA148" s="525" t="e">
        <f ca="1">stat(calculs!BA148)</f>
        <v>#NAME?</v>
      </c>
      <c r="BB148" s="525" t="e">
        <f ca="1">stat(calculs!BB148)</f>
        <v>#NAME?</v>
      </c>
      <c r="BC148" s="525" t="e">
        <f ca="1">stat(calculs!BC148)</f>
        <v>#NAME?</v>
      </c>
      <c r="BD148" s="525" t="e">
        <f ca="1">stat(calculs!BD148)</f>
        <v>#NAME?</v>
      </c>
      <c r="BE148" s="525" t="e">
        <f ca="1">stat(calculs!BE148)</f>
        <v>#NAME?</v>
      </c>
      <c r="BF148" s="525" t="e">
        <f ca="1">stat(calculs!BF148)</f>
        <v>#NAME?</v>
      </c>
      <c r="BG148" s="729" t="e">
        <f ca="1">stat(calculs!BG148)</f>
        <v>#NAME?</v>
      </c>
      <c r="BH148" s="729" t="e">
        <f ca="1">stat(calculs!BH148)</f>
        <v>#NAME?</v>
      </c>
      <c r="BI148" s="729" t="e">
        <f ca="1">stat(calculs!BI148)</f>
        <v>#NAME?</v>
      </c>
      <c r="BJ148" s="729" t="e">
        <f ca="1">stat(calculs!BJ148)</f>
        <v>#NAME?</v>
      </c>
      <c r="BK148" s="729" t="e">
        <f ca="1">stat(calculs!BK148)</f>
        <v>#NAME?</v>
      </c>
      <c r="BL148" s="525" t="e">
        <f ca="1">stat(calculs!BL148)</f>
        <v>#NAME?</v>
      </c>
      <c r="BM148" s="525" t="e">
        <f ca="1">stat(calculs!BM148)</f>
        <v>#NAME?</v>
      </c>
      <c r="BN148" s="525" t="e">
        <f ca="1">stat(calculs!BN148)</f>
        <v>#NAME?</v>
      </c>
      <c r="BO148" s="525" t="e">
        <f ca="1">stat(calculs!BO148)</f>
        <v>#NAME?</v>
      </c>
      <c r="BP148" s="525" t="e">
        <f ca="1">stat(calculs!BP148)</f>
        <v>#NAME?</v>
      </c>
      <c r="BQ148" s="525" t="e">
        <f ca="1">stat(calculs!BQ148)</f>
        <v>#NAME?</v>
      </c>
      <c r="BR148" s="525" t="e">
        <f ca="1">stat(calculs!BR148)</f>
        <v>#NAME?</v>
      </c>
    </row>
    <row r="149" spans="1:70" x14ac:dyDescent="0.2">
      <c r="A149" s="222">
        <f>données_step[[#This Row],[Datum]]</f>
        <v>44700</v>
      </c>
      <c r="B149" s="223"/>
      <c r="C149" s="224">
        <f t="shared" si="2"/>
        <v>5</v>
      </c>
      <c r="D149" s="523" t="e">
        <f ca="1">stat(charge_entree[[#This Row],[ch_E_DBO5]])</f>
        <v>#NAME?</v>
      </c>
      <c r="E149" s="523" t="e">
        <f ca="1">stat(charge_entree[[#This Row],[ch_E_DCO]])</f>
        <v>#NAME?</v>
      </c>
      <c r="F149" s="523" t="e">
        <f ca="1">stat(charge_entree[[#This Row],[ch_E_COT]])</f>
        <v>#NAME?</v>
      </c>
      <c r="G149" s="523" t="e">
        <f ca="1">stat(charge_entree[[#This Row],[ch_E_NH4]])</f>
        <v>#NAME?</v>
      </c>
      <c r="H149" s="523" t="e">
        <f ca="1">stat(charge_entree[[#This Row],[ch_E_NTOT]])</f>
        <v>#NAME?</v>
      </c>
      <c r="I149" s="523" t="e">
        <f ca="1">stat(charge_entree[[#This Row],[ch_E_PTOT]])</f>
        <v>#NAME?</v>
      </c>
      <c r="J149" s="523" t="e">
        <f ca="1">stat(charge_entree[[#This Row],[ch_S_DBO]])</f>
        <v>#NAME?</v>
      </c>
      <c r="K149" s="523" t="e">
        <f ca="1">stat(charge_entree[[#This Row],[ch_S-DCO]])</f>
        <v>#NAME?</v>
      </c>
      <c r="L149" s="523" t="e">
        <f ca="1">stat(charge_entree[[#This Row],[ch_S_DOC]])</f>
        <v>#NAME?</v>
      </c>
      <c r="M149" s="523" t="e">
        <f ca="1">stat(charge_entree[[#This Row],[ch_S_NH4]])</f>
        <v>#NAME?</v>
      </c>
      <c r="N149" s="523" t="e">
        <f ca="1">stat(charge_entree[[#This Row],[ch_S_NO2]])</f>
        <v>#NAME?</v>
      </c>
      <c r="O149" s="523" t="e">
        <f ca="1">stat(charge_entree[[#This Row],[ch_S_NO3]])</f>
        <v>#NAME?</v>
      </c>
      <c r="P149" s="523" t="e">
        <f ca="1">stat(charge_entree[[#This Row],[ch_S_PTOT]])</f>
        <v>#NAME?</v>
      </c>
      <c r="Q149" s="523" t="e">
        <f ca="1">stat(charge_entree[[#This Row],[ch_S_SNDT]])</f>
        <v>#NAME?</v>
      </c>
      <c r="R149" s="523">
        <f>calculs!R149</f>
        <v>0</v>
      </c>
      <c r="S149" s="523" t="e">
        <f ca="1">stat(calculs!S149)</f>
        <v>#NAME?</v>
      </c>
      <c r="T149" s="523" t="e">
        <f ca="1">stat(calculs!T149)</f>
        <v>#NAME?</v>
      </c>
      <c r="U149" s="523" t="e">
        <f ca="1">stat(calculs!U149)</f>
        <v>#NAME?</v>
      </c>
      <c r="V149" s="523" t="e">
        <f ca="1">stat(calculs!V149)</f>
        <v>#NAME?</v>
      </c>
      <c r="W149" s="523" t="e">
        <f ca="1">stat(calculs!W149)</f>
        <v>#NAME?</v>
      </c>
      <c r="X149" s="523" t="e">
        <f ca="1">stat(calculs!X149)</f>
        <v>#NAME?</v>
      </c>
      <c r="Y149" s="523" t="e">
        <f ca="1">stat(calculs!Y149)</f>
        <v>#NAME?</v>
      </c>
      <c r="Z149" s="523" t="e">
        <f ca="1">stat(calculs!Z149)</f>
        <v>#NAME?</v>
      </c>
      <c r="AA149" s="523" t="e">
        <f ca="1">stat(calculs!AA149)</f>
        <v>#NAME?</v>
      </c>
      <c r="AB149" s="523" t="e">
        <f ca="1">stat(calculs!AB149)</f>
        <v>#NAME?</v>
      </c>
      <c r="AC149" s="523" t="e">
        <f ca="1">stat(calculs!AC149)</f>
        <v>#NAME?</v>
      </c>
      <c r="AD149" s="523" t="e">
        <f ca="1">stat(calculs!AD149)</f>
        <v>#NAME?</v>
      </c>
      <c r="AE149" s="523" t="e">
        <f ca="1">stat(calculs!AE149)</f>
        <v>#NAME?</v>
      </c>
      <c r="AF149" s="523" t="e">
        <f ca="1">stat(calculs!AF149)</f>
        <v>#NAME?</v>
      </c>
      <c r="AG149" s="523" t="e">
        <f ca="1">stat(calculs!AG149)</f>
        <v>#NAME?</v>
      </c>
      <c r="AH149" s="523" t="e">
        <f ca="1">stat(calculs!AH149)</f>
        <v>#NAME?</v>
      </c>
      <c r="AI149" s="523" t="e">
        <f ca="1">stat(calculs!AI149)</f>
        <v>#NAME?</v>
      </c>
      <c r="AJ149" s="523" t="e">
        <f ca="1">stat(calculs!AJ149)</f>
        <v>#NAME?</v>
      </c>
      <c r="AK149" s="523" t="e">
        <f ca="1">stat(calculs!AK149)</f>
        <v>#NAME?</v>
      </c>
      <c r="AL149" s="523" t="e">
        <f ca="1">stat(calculs!AL149)</f>
        <v>#NAME?</v>
      </c>
      <c r="AM149" s="523" t="e">
        <f ca="1">stat(calculs!AM149)</f>
        <v>#NAME?</v>
      </c>
      <c r="AN149" s="523" t="e">
        <f ca="1">stat(calculs!AN149)</f>
        <v>#NAME?</v>
      </c>
      <c r="AO149" s="523" t="e">
        <f ca="1">stat(calculs!AO149)</f>
        <v>#NAME?</v>
      </c>
      <c r="AP149" s="523" t="e">
        <f ca="1">stat(calculs!AP149)</f>
        <v>#NAME?</v>
      </c>
      <c r="AQ149" s="523" t="e">
        <f ca="1">stat(calculs!AQ149)</f>
        <v>#NAME?</v>
      </c>
      <c r="AV149" s="525" t="str">
        <f>stat(calculs!AV149)</f>
        <v/>
      </c>
      <c r="AW149" s="525" t="str">
        <f>stat(calculs!AW149)</f>
        <v/>
      </c>
      <c r="AX149" s="525" t="str">
        <f>stat(calculs!AX149)</f>
        <v/>
      </c>
      <c r="AY149" s="525" t="e">
        <f ca="1">stat(calculs!AY149)</f>
        <v>#NAME?</v>
      </c>
      <c r="AZ149" s="525" t="e">
        <f ca="1">stat(calculs!AZ149)</f>
        <v>#NAME?</v>
      </c>
      <c r="BA149" s="525" t="e">
        <f ca="1">stat(calculs!BA149)</f>
        <v>#NAME?</v>
      </c>
      <c r="BB149" s="525" t="e">
        <f ca="1">stat(calculs!BB149)</f>
        <v>#NAME?</v>
      </c>
      <c r="BC149" s="525" t="e">
        <f ca="1">stat(calculs!BC149)</f>
        <v>#NAME?</v>
      </c>
      <c r="BD149" s="525" t="e">
        <f ca="1">stat(calculs!BD149)</f>
        <v>#NAME?</v>
      </c>
      <c r="BE149" s="525" t="e">
        <f ca="1">stat(calculs!BE149)</f>
        <v>#NAME?</v>
      </c>
      <c r="BF149" s="525" t="e">
        <f ca="1">stat(calculs!BF149)</f>
        <v>#NAME?</v>
      </c>
      <c r="BG149" s="729" t="e">
        <f ca="1">stat(calculs!BG149)</f>
        <v>#NAME?</v>
      </c>
      <c r="BH149" s="729" t="e">
        <f ca="1">stat(calculs!BH149)</f>
        <v>#NAME?</v>
      </c>
      <c r="BI149" s="729" t="e">
        <f ca="1">stat(calculs!BI149)</f>
        <v>#NAME?</v>
      </c>
      <c r="BJ149" s="729" t="e">
        <f ca="1">stat(calculs!BJ149)</f>
        <v>#NAME?</v>
      </c>
      <c r="BK149" s="729" t="e">
        <f ca="1">stat(calculs!BK149)</f>
        <v>#NAME?</v>
      </c>
      <c r="BL149" s="525" t="e">
        <f ca="1">stat(calculs!BL149)</f>
        <v>#NAME?</v>
      </c>
      <c r="BM149" s="525" t="e">
        <f ca="1">stat(calculs!BM149)</f>
        <v>#NAME?</v>
      </c>
      <c r="BN149" s="525" t="e">
        <f ca="1">stat(calculs!BN149)</f>
        <v>#NAME?</v>
      </c>
      <c r="BO149" s="525" t="e">
        <f ca="1">stat(calculs!BO149)</f>
        <v>#NAME?</v>
      </c>
      <c r="BP149" s="525" t="e">
        <f ca="1">stat(calculs!BP149)</f>
        <v>#NAME?</v>
      </c>
      <c r="BQ149" s="525" t="e">
        <f ca="1">stat(calculs!BQ149)</f>
        <v>#NAME?</v>
      </c>
      <c r="BR149" s="525" t="e">
        <f ca="1">stat(calculs!BR149)</f>
        <v>#NAME?</v>
      </c>
    </row>
    <row r="150" spans="1:70" x14ac:dyDescent="0.2">
      <c r="A150" s="222">
        <f>données_step[[#This Row],[Datum]]</f>
        <v>44701</v>
      </c>
      <c r="B150" s="223"/>
      <c r="C150" s="224">
        <f t="shared" si="2"/>
        <v>6</v>
      </c>
      <c r="D150" s="523" t="e">
        <f ca="1">stat(charge_entree[[#This Row],[ch_E_DBO5]])</f>
        <v>#NAME?</v>
      </c>
      <c r="E150" s="523" t="e">
        <f ca="1">stat(charge_entree[[#This Row],[ch_E_DCO]])</f>
        <v>#NAME?</v>
      </c>
      <c r="F150" s="523" t="e">
        <f ca="1">stat(charge_entree[[#This Row],[ch_E_COT]])</f>
        <v>#NAME?</v>
      </c>
      <c r="G150" s="523" t="e">
        <f ca="1">stat(charge_entree[[#This Row],[ch_E_NH4]])</f>
        <v>#NAME?</v>
      </c>
      <c r="H150" s="523" t="e">
        <f ca="1">stat(charge_entree[[#This Row],[ch_E_NTOT]])</f>
        <v>#NAME?</v>
      </c>
      <c r="I150" s="523" t="e">
        <f ca="1">stat(charge_entree[[#This Row],[ch_E_PTOT]])</f>
        <v>#NAME?</v>
      </c>
      <c r="J150" s="523" t="e">
        <f ca="1">stat(charge_entree[[#This Row],[ch_S_DBO]])</f>
        <v>#NAME?</v>
      </c>
      <c r="K150" s="523" t="e">
        <f ca="1">stat(charge_entree[[#This Row],[ch_S-DCO]])</f>
        <v>#NAME?</v>
      </c>
      <c r="L150" s="523" t="e">
        <f ca="1">stat(charge_entree[[#This Row],[ch_S_DOC]])</f>
        <v>#NAME?</v>
      </c>
      <c r="M150" s="523" t="e">
        <f ca="1">stat(charge_entree[[#This Row],[ch_S_NH4]])</f>
        <v>#NAME?</v>
      </c>
      <c r="N150" s="523" t="e">
        <f ca="1">stat(charge_entree[[#This Row],[ch_S_NO2]])</f>
        <v>#NAME?</v>
      </c>
      <c r="O150" s="523" t="e">
        <f ca="1">stat(charge_entree[[#This Row],[ch_S_NO3]])</f>
        <v>#NAME?</v>
      </c>
      <c r="P150" s="523" t="e">
        <f ca="1">stat(charge_entree[[#This Row],[ch_S_PTOT]])</f>
        <v>#NAME?</v>
      </c>
      <c r="Q150" s="523" t="e">
        <f ca="1">stat(charge_entree[[#This Row],[ch_S_SNDT]])</f>
        <v>#NAME?</v>
      </c>
      <c r="R150" s="523">
        <f>calculs!R150</f>
        <v>0</v>
      </c>
      <c r="S150" s="523" t="e">
        <f ca="1">stat(calculs!S150)</f>
        <v>#NAME?</v>
      </c>
      <c r="T150" s="523" t="e">
        <f ca="1">stat(calculs!T150)</f>
        <v>#NAME?</v>
      </c>
      <c r="U150" s="523" t="e">
        <f ca="1">stat(calculs!U150)</f>
        <v>#NAME?</v>
      </c>
      <c r="V150" s="523" t="e">
        <f ca="1">stat(calculs!V150)</f>
        <v>#NAME?</v>
      </c>
      <c r="W150" s="523" t="e">
        <f ca="1">stat(calculs!W150)</f>
        <v>#NAME?</v>
      </c>
      <c r="X150" s="523" t="e">
        <f ca="1">stat(calculs!X150)</f>
        <v>#NAME?</v>
      </c>
      <c r="Y150" s="523" t="e">
        <f ca="1">stat(calculs!Y150)</f>
        <v>#NAME?</v>
      </c>
      <c r="Z150" s="523" t="e">
        <f ca="1">stat(calculs!Z150)</f>
        <v>#NAME?</v>
      </c>
      <c r="AA150" s="523" t="e">
        <f ca="1">stat(calculs!AA150)</f>
        <v>#NAME?</v>
      </c>
      <c r="AB150" s="523" t="e">
        <f ca="1">stat(calculs!AB150)</f>
        <v>#NAME?</v>
      </c>
      <c r="AC150" s="523" t="e">
        <f ca="1">stat(calculs!AC150)</f>
        <v>#NAME?</v>
      </c>
      <c r="AD150" s="523" t="e">
        <f ca="1">stat(calculs!AD150)</f>
        <v>#NAME?</v>
      </c>
      <c r="AE150" s="523" t="e">
        <f ca="1">stat(calculs!AE150)</f>
        <v>#NAME?</v>
      </c>
      <c r="AF150" s="523" t="e">
        <f ca="1">stat(calculs!AF150)</f>
        <v>#NAME?</v>
      </c>
      <c r="AG150" s="523" t="e">
        <f ca="1">stat(calculs!AG150)</f>
        <v>#NAME?</v>
      </c>
      <c r="AH150" s="523" t="e">
        <f ca="1">stat(calculs!AH150)</f>
        <v>#NAME?</v>
      </c>
      <c r="AI150" s="523" t="e">
        <f ca="1">stat(calculs!AI150)</f>
        <v>#NAME?</v>
      </c>
      <c r="AJ150" s="523" t="e">
        <f ca="1">stat(calculs!AJ150)</f>
        <v>#NAME?</v>
      </c>
      <c r="AK150" s="523" t="e">
        <f ca="1">stat(calculs!AK150)</f>
        <v>#NAME?</v>
      </c>
      <c r="AL150" s="523" t="e">
        <f ca="1">stat(calculs!AL150)</f>
        <v>#NAME?</v>
      </c>
      <c r="AM150" s="523" t="e">
        <f ca="1">stat(calculs!AM150)</f>
        <v>#NAME?</v>
      </c>
      <c r="AN150" s="523" t="e">
        <f ca="1">stat(calculs!AN150)</f>
        <v>#NAME?</v>
      </c>
      <c r="AO150" s="523" t="e">
        <f ca="1">stat(calculs!AO150)</f>
        <v>#NAME?</v>
      </c>
      <c r="AP150" s="523" t="e">
        <f ca="1">stat(calculs!AP150)</f>
        <v>#NAME?</v>
      </c>
      <c r="AQ150" s="523" t="e">
        <f ca="1">stat(calculs!AQ150)</f>
        <v>#NAME?</v>
      </c>
      <c r="AV150" s="525" t="str">
        <f>stat(calculs!AV150)</f>
        <v/>
      </c>
      <c r="AW150" s="525" t="str">
        <f>stat(calculs!AW150)</f>
        <v/>
      </c>
      <c r="AX150" s="525" t="str">
        <f>stat(calculs!AX150)</f>
        <v/>
      </c>
      <c r="AY150" s="525" t="e">
        <f ca="1">stat(calculs!AY150)</f>
        <v>#NAME?</v>
      </c>
      <c r="AZ150" s="525" t="e">
        <f ca="1">stat(calculs!AZ150)</f>
        <v>#NAME?</v>
      </c>
      <c r="BA150" s="525" t="e">
        <f ca="1">stat(calculs!BA150)</f>
        <v>#NAME?</v>
      </c>
      <c r="BB150" s="525" t="e">
        <f ca="1">stat(calculs!BB150)</f>
        <v>#NAME?</v>
      </c>
      <c r="BC150" s="525" t="e">
        <f ca="1">stat(calculs!BC150)</f>
        <v>#NAME?</v>
      </c>
      <c r="BD150" s="525" t="e">
        <f ca="1">stat(calculs!BD150)</f>
        <v>#NAME?</v>
      </c>
      <c r="BE150" s="525" t="e">
        <f ca="1">stat(calculs!BE150)</f>
        <v>#NAME?</v>
      </c>
      <c r="BF150" s="525" t="e">
        <f ca="1">stat(calculs!BF150)</f>
        <v>#NAME?</v>
      </c>
      <c r="BG150" s="729" t="e">
        <f ca="1">stat(calculs!BG150)</f>
        <v>#NAME?</v>
      </c>
      <c r="BH150" s="729" t="e">
        <f ca="1">stat(calculs!BH150)</f>
        <v>#NAME?</v>
      </c>
      <c r="BI150" s="729" t="e">
        <f ca="1">stat(calculs!BI150)</f>
        <v>#NAME?</v>
      </c>
      <c r="BJ150" s="729" t="e">
        <f ca="1">stat(calculs!BJ150)</f>
        <v>#NAME?</v>
      </c>
      <c r="BK150" s="729" t="e">
        <f ca="1">stat(calculs!BK150)</f>
        <v>#NAME?</v>
      </c>
      <c r="BL150" s="525" t="e">
        <f ca="1">stat(calculs!BL150)</f>
        <v>#NAME?</v>
      </c>
      <c r="BM150" s="525" t="e">
        <f ca="1">stat(calculs!BM150)</f>
        <v>#NAME?</v>
      </c>
      <c r="BN150" s="525" t="e">
        <f ca="1">stat(calculs!BN150)</f>
        <v>#NAME?</v>
      </c>
      <c r="BO150" s="525" t="e">
        <f ca="1">stat(calculs!BO150)</f>
        <v>#NAME?</v>
      </c>
      <c r="BP150" s="525" t="e">
        <f ca="1">stat(calculs!BP150)</f>
        <v>#NAME?</v>
      </c>
      <c r="BQ150" s="525" t="e">
        <f ca="1">stat(calculs!BQ150)</f>
        <v>#NAME?</v>
      </c>
      <c r="BR150" s="525" t="e">
        <f ca="1">stat(calculs!BR150)</f>
        <v>#NAME?</v>
      </c>
    </row>
    <row r="151" spans="1:70" x14ac:dyDescent="0.2">
      <c r="A151" s="222">
        <f>données_step[[#This Row],[Datum]]</f>
        <v>44702</v>
      </c>
      <c r="B151" s="223"/>
      <c r="C151" s="224">
        <f t="shared" si="2"/>
        <v>7</v>
      </c>
      <c r="D151" s="523" t="e">
        <f ca="1">stat(charge_entree[[#This Row],[ch_E_DBO5]])</f>
        <v>#NAME?</v>
      </c>
      <c r="E151" s="523" t="e">
        <f ca="1">stat(charge_entree[[#This Row],[ch_E_DCO]])</f>
        <v>#NAME?</v>
      </c>
      <c r="F151" s="523" t="e">
        <f ca="1">stat(charge_entree[[#This Row],[ch_E_COT]])</f>
        <v>#NAME?</v>
      </c>
      <c r="G151" s="523" t="e">
        <f ca="1">stat(charge_entree[[#This Row],[ch_E_NH4]])</f>
        <v>#NAME?</v>
      </c>
      <c r="H151" s="523" t="e">
        <f ca="1">stat(charge_entree[[#This Row],[ch_E_NTOT]])</f>
        <v>#NAME?</v>
      </c>
      <c r="I151" s="523" t="e">
        <f ca="1">stat(charge_entree[[#This Row],[ch_E_PTOT]])</f>
        <v>#NAME?</v>
      </c>
      <c r="J151" s="523" t="e">
        <f ca="1">stat(charge_entree[[#This Row],[ch_S_DBO]])</f>
        <v>#NAME?</v>
      </c>
      <c r="K151" s="523" t="e">
        <f ca="1">stat(charge_entree[[#This Row],[ch_S-DCO]])</f>
        <v>#NAME?</v>
      </c>
      <c r="L151" s="523" t="e">
        <f ca="1">stat(charge_entree[[#This Row],[ch_S_DOC]])</f>
        <v>#NAME?</v>
      </c>
      <c r="M151" s="523" t="e">
        <f ca="1">stat(charge_entree[[#This Row],[ch_S_NH4]])</f>
        <v>#NAME?</v>
      </c>
      <c r="N151" s="523" t="e">
        <f ca="1">stat(charge_entree[[#This Row],[ch_S_NO2]])</f>
        <v>#NAME?</v>
      </c>
      <c r="O151" s="523" t="e">
        <f ca="1">stat(charge_entree[[#This Row],[ch_S_NO3]])</f>
        <v>#NAME?</v>
      </c>
      <c r="P151" s="523" t="e">
        <f ca="1">stat(charge_entree[[#This Row],[ch_S_PTOT]])</f>
        <v>#NAME?</v>
      </c>
      <c r="Q151" s="523" t="e">
        <f ca="1">stat(charge_entree[[#This Row],[ch_S_SNDT]])</f>
        <v>#NAME?</v>
      </c>
      <c r="R151" s="523">
        <f>calculs!R151</f>
        <v>0</v>
      </c>
      <c r="S151" s="523" t="e">
        <f ca="1">stat(calculs!S151)</f>
        <v>#NAME?</v>
      </c>
      <c r="T151" s="523" t="e">
        <f ca="1">stat(calculs!T151)</f>
        <v>#NAME?</v>
      </c>
      <c r="U151" s="523" t="e">
        <f ca="1">stat(calculs!U151)</f>
        <v>#NAME?</v>
      </c>
      <c r="V151" s="523" t="e">
        <f ca="1">stat(calculs!V151)</f>
        <v>#NAME?</v>
      </c>
      <c r="W151" s="523" t="e">
        <f ca="1">stat(calculs!W151)</f>
        <v>#NAME?</v>
      </c>
      <c r="X151" s="523" t="e">
        <f ca="1">stat(calculs!X151)</f>
        <v>#NAME?</v>
      </c>
      <c r="Y151" s="523" t="e">
        <f ca="1">stat(calculs!Y151)</f>
        <v>#NAME?</v>
      </c>
      <c r="Z151" s="523" t="e">
        <f ca="1">stat(calculs!Z151)</f>
        <v>#NAME?</v>
      </c>
      <c r="AA151" s="523" t="e">
        <f ca="1">stat(calculs!AA151)</f>
        <v>#NAME?</v>
      </c>
      <c r="AB151" s="523" t="e">
        <f ca="1">stat(calculs!AB151)</f>
        <v>#NAME?</v>
      </c>
      <c r="AC151" s="523" t="e">
        <f ca="1">stat(calculs!AC151)</f>
        <v>#NAME?</v>
      </c>
      <c r="AD151" s="523" t="e">
        <f ca="1">stat(calculs!AD151)</f>
        <v>#NAME?</v>
      </c>
      <c r="AE151" s="523" t="e">
        <f ca="1">stat(calculs!AE151)</f>
        <v>#NAME?</v>
      </c>
      <c r="AF151" s="523" t="e">
        <f ca="1">stat(calculs!AF151)</f>
        <v>#NAME?</v>
      </c>
      <c r="AG151" s="523" t="e">
        <f ca="1">stat(calculs!AG151)</f>
        <v>#NAME?</v>
      </c>
      <c r="AH151" s="523" t="e">
        <f ca="1">stat(calculs!AH151)</f>
        <v>#NAME?</v>
      </c>
      <c r="AI151" s="523" t="e">
        <f ca="1">stat(calculs!AI151)</f>
        <v>#NAME?</v>
      </c>
      <c r="AJ151" s="523" t="e">
        <f ca="1">stat(calculs!AJ151)</f>
        <v>#NAME?</v>
      </c>
      <c r="AK151" s="523" t="e">
        <f ca="1">stat(calculs!AK151)</f>
        <v>#NAME?</v>
      </c>
      <c r="AL151" s="523" t="e">
        <f ca="1">stat(calculs!AL151)</f>
        <v>#NAME?</v>
      </c>
      <c r="AM151" s="523" t="e">
        <f ca="1">stat(calculs!AM151)</f>
        <v>#NAME?</v>
      </c>
      <c r="AN151" s="523" t="e">
        <f ca="1">stat(calculs!AN151)</f>
        <v>#NAME?</v>
      </c>
      <c r="AO151" s="523" t="e">
        <f ca="1">stat(calculs!AO151)</f>
        <v>#NAME?</v>
      </c>
      <c r="AP151" s="523" t="e">
        <f ca="1">stat(calculs!AP151)</f>
        <v>#NAME?</v>
      </c>
      <c r="AQ151" s="523" t="e">
        <f ca="1">stat(calculs!AQ151)</f>
        <v>#NAME?</v>
      </c>
      <c r="AV151" s="525" t="str">
        <f>stat(calculs!AV151)</f>
        <v/>
      </c>
      <c r="AW151" s="525" t="str">
        <f>stat(calculs!AW151)</f>
        <v/>
      </c>
      <c r="AX151" s="525" t="str">
        <f>stat(calculs!AX151)</f>
        <v/>
      </c>
      <c r="AY151" s="525" t="e">
        <f ca="1">stat(calculs!AY151)</f>
        <v>#NAME?</v>
      </c>
      <c r="AZ151" s="525" t="e">
        <f ca="1">stat(calculs!AZ151)</f>
        <v>#NAME?</v>
      </c>
      <c r="BA151" s="525" t="e">
        <f ca="1">stat(calculs!BA151)</f>
        <v>#NAME?</v>
      </c>
      <c r="BB151" s="525" t="e">
        <f ca="1">stat(calculs!BB151)</f>
        <v>#NAME?</v>
      </c>
      <c r="BC151" s="525" t="e">
        <f ca="1">stat(calculs!BC151)</f>
        <v>#NAME?</v>
      </c>
      <c r="BD151" s="525" t="e">
        <f ca="1">stat(calculs!BD151)</f>
        <v>#NAME?</v>
      </c>
      <c r="BE151" s="525" t="e">
        <f ca="1">stat(calculs!BE151)</f>
        <v>#NAME?</v>
      </c>
      <c r="BF151" s="525" t="e">
        <f ca="1">stat(calculs!BF151)</f>
        <v>#NAME?</v>
      </c>
      <c r="BG151" s="729" t="e">
        <f ca="1">stat(calculs!BG151)</f>
        <v>#NAME?</v>
      </c>
      <c r="BH151" s="729" t="e">
        <f ca="1">stat(calculs!BH151)</f>
        <v>#NAME?</v>
      </c>
      <c r="BI151" s="729" t="e">
        <f ca="1">stat(calculs!BI151)</f>
        <v>#NAME?</v>
      </c>
      <c r="BJ151" s="729" t="e">
        <f ca="1">stat(calculs!BJ151)</f>
        <v>#NAME?</v>
      </c>
      <c r="BK151" s="729" t="e">
        <f ca="1">stat(calculs!BK151)</f>
        <v>#NAME?</v>
      </c>
      <c r="BL151" s="525" t="e">
        <f ca="1">stat(calculs!BL151)</f>
        <v>#NAME?</v>
      </c>
      <c r="BM151" s="525" t="e">
        <f ca="1">stat(calculs!BM151)</f>
        <v>#NAME?</v>
      </c>
      <c r="BN151" s="525" t="e">
        <f ca="1">stat(calculs!BN151)</f>
        <v>#NAME?</v>
      </c>
      <c r="BO151" s="525" t="e">
        <f ca="1">stat(calculs!BO151)</f>
        <v>#NAME?</v>
      </c>
      <c r="BP151" s="525" t="e">
        <f ca="1">stat(calculs!BP151)</f>
        <v>#NAME?</v>
      </c>
      <c r="BQ151" s="525" t="e">
        <f ca="1">stat(calculs!BQ151)</f>
        <v>#NAME?</v>
      </c>
      <c r="BR151" s="525" t="e">
        <f ca="1">stat(calculs!BR151)</f>
        <v>#NAME?</v>
      </c>
    </row>
    <row r="152" spans="1:70" x14ac:dyDescent="0.2">
      <c r="A152" s="222">
        <f>données_step[[#This Row],[Datum]]</f>
        <v>44703</v>
      </c>
      <c r="B152" s="223"/>
      <c r="C152" s="224">
        <f t="shared" si="2"/>
        <v>1</v>
      </c>
      <c r="D152" s="523" t="e">
        <f ca="1">stat(charge_entree[[#This Row],[ch_E_DBO5]])</f>
        <v>#NAME?</v>
      </c>
      <c r="E152" s="523" t="e">
        <f ca="1">stat(charge_entree[[#This Row],[ch_E_DCO]])</f>
        <v>#NAME?</v>
      </c>
      <c r="F152" s="523" t="e">
        <f ca="1">stat(charge_entree[[#This Row],[ch_E_COT]])</f>
        <v>#NAME?</v>
      </c>
      <c r="G152" s="523" t="e">
        <f ca="1">stat(charge_entree[[#This Row],[ch_E_NH4]])</f>
        <v>#NAME?</v>
      </c>
      <c r="H152" s="523" t="e">
        <f ca="1">stat(charge_entree[[#This Row],[ch_E_NTOT]])</f>
        <v>#NAME?</v>
      </c>
      <c r="I152" s="523" t="e">
        <f ca="1">stat(charge_entree[[#This Row],[ch_E_PTOT]])</f>
        <v>#NAME?</v>
      </c>
      <c r="J152" s="523" t="e">
        <f ca="1">stat(charge_entree[[#This Row],[ch_S_DBO]])</f>
        <v>#NAME?</v>
      </c>
      <c r="K152" s="523" t="e">
        <f ca="1">stat(charge_entree[[#This Row],[ch_S-DCO]])</f>
        <v>#NAME?</v>
      </c>
      <c r="L152" s="523" t="e">
        <f ca="1">stat(charge_entree[[#This Row],[ch_S_DOC]])</f>
        <v>#NAME?</v>
      </c>
      <c r="M152" s="523" t="e">
        <f ca="1">stat(charge_entree[[#This Row],[ch_S_NH4]])</f>
        <v>#NAME?</v>
      </c>
      <c r="N152" s="523" t="e">
        <f ca="1">stat(charge_entree[[#This Row],[ch_S_NO2]])</f>
        <v>#NAME?</v>
      </c>
      <c r="O152" s="523" t="e">
        <f ca="1">stat(charge_entree[[#This Row],[ch_S_NO3]])</f>
        <v>#NAME?</v>
      </c>
      <c r="P152" s="523" t="e">
        <f ca="1">stat(charge_entree[[#This Row],[ch_S_PTOT]])</f>
        <v>#NAME?</v>
      </c>
      <c r="Q152" s="523" t="e">
        <f ca="1">stat(charge_entree[[#This Row],[ch_S_SNDT]])</f>
        <v>#NAME?</v>
      </c>
      <c r="R152" s="523">
        <f>calculs!R152</f>
        <v>0</v>
      </c>
      <c r="S152" s="523" t="e">
        <f ca="1">stat(calculs!S152)</f>
        <v>#NAME?</v>
      </c>
      <c r="T152" s="523" t="e">
        <f ca="1">stat(calculs!T152)</f>
        <v>#NAME?</v>
      </c>
      <c r="U152" s="523" t="e">
        <f ca="1">stat(calculs!U152)</f>
        <v>#NAME?</v>
      </c>
      <c r="V152" s="523" t="e">
        <f ca="1">stat(calculs!V152)</f>
        <v>#NAME?</v>
      </c>
      <c r="W152" s="523" t="e">
        <f ca="1">stat(calculs!W152)</f>
        <v>#NAME?</v>
      </c>
      <c r="X152" s="523" t="e">
        <f ca="1">stat(calculs!X152)</f>
        <v>#NAME?</v>
      </c>
      <c r="Y152" s="523" t="e">
        <f ca="1">stat(calculs!Y152)</f>
        <v>#NAME?</v>
      </c>
      <c r="Z152" s="523" t="e">
        <f ca="1">stat(calculs!Z152)</f>
        <v>#NAME?</v>
      </c>
      <c r="AA152" s="523" t="e">
        <f ca="1">stat(calculs!AA152)</f>
        <v>#NAME?</v>
      </c>
      <c r="AB152" s="523" t="e">
        <f ca="1">stat(calculs!AB152)</f>
        <v>#NAME?</v>
      </c>
      <c r="AC152" s="523" t="e">
        <f ca="1">stat(calculs!AC152)</f>
        <v>#NAME?</v>
      </c>
      <c r="AD152" s="523" t="e">
        <f ca="1">stat(calculs!AD152)</f>
        <v>#NAME?</v>
      </c>
      <c r="AE152" s="523" t="e">
        <f ca="1">stat(calculs!AE152)</f>
        <v>#NAME?</v>
      </c>
      <c r="AF152" s="523" t="e">
        <f ca="1">stat(calculs!AF152)</f>
        <v>#NAME?</v>
      </c>
      <c r="AG152" s="523" t="e">
        <f ca="1">stat(calculs!AG152)</f>
        <v>#NAME?</v>
      </c>
      <c r="AH152" s="523" t="e">
        <f ca="1">stat(calculs!AH152)</f>
        <v>#NAME?</v>
      </c>
      <c r="AI152" s="523" t="e">
        <f ca="1">stat(calculs!AI152)</f>
        <v>#NAME?</v>
      </c>
      <c r="AJ152" s="523" t="e">
        <f ca="1">stat(calculs!AJ152)</f>
        <v>#NAME?</v>
      </c>
      <c r="AK152" s="523" t="e">
        <f ca="1">stat(calculs!AK152)</f>
        <v>#NAME?</v>
      </c>
      <c r="AL152" s="523" t="e">
        <f ca="1">stat(calculs!AL152)</f>
        <v>#NAME?</v>
      </c>
      <c r="AM152" s="523" t="e">
        <f ca="1">stat(calculs!AM152)</f>
        <v>#NAME?</v>
      </c>
      <c r="AN152" s="523" t="e">
        <f ca="1">stat(calculs!AN152)</f>
        <v>#NAME?</v>
      </c>
      <c r="AO152" s="523" t="e">
        <f ca="1">stat(calculs!AO152)</f>
        <v>#NAME?</v>
      </c>
      <c r="AP152" s="523" t="e">
        <f ca="1">stat(calculs!AP152)</f>
        <v>#NAME?</v>
      </c>
      <c r="AQ152" s="523" t="e">
        <f ca="1">stat(calculs!AQ152)</f>
        <v>#NAME?</v>
      </c>
      <c r="AV152" s="525" t="str">
        <f>stat(calculs!AV152)</f>
        <v/>
      </c>
      <c r="AW152" s="525" t="str">
        <f>stat(calculs!AW152)</f>
        <v/>
      </c>
      <c r="AX152" s="525" t="str">
        <f>stat(calculs!AX152)</f>
        <v/>
      </c>
      <c r="AY152" s="525" t="e">
        <f ca="1">stat(calculs!AY152)</f>
        <v>#NAME?</v>
      </c>
      <c r="AZ152" s="525" t="e">
        <f ca="1">stat(calculs!AZ152)</f>
        <v>#NAME?</v>
      </c>
      <c r="BA152" s="525" t="e">
        <f ca="1">stat(calculs!BA152)</f>
        <v>#NAME?</v>
      </c>
      <c r="BB152" s="525" t="e">
        <f ca="1">stat(calculs!BB152)</f>
        <v>#NAME?</v>
      </c>
      <c r="BC152" s="525" t="e">
        <f ca="1">stat(calculs!BC152)</f>
        <v>#NAME?</v>
      </c>
      <c r="BD152" s="525" t="e">
        <f ca="1">stat(calculs!BD152)</f>
        <v>#NAME?</v>
      </c>
      <c r="BE152" s="525" t="e">
        <f ca="1">stat(calculs!BE152)</f>
        <v>#NAME?</v>
      </c>
      <c r="BF152" s="525" t="e">
        <f ca="1">stat(calculs!BF152)</f>
        <v>#NAME?</v>
      </c>
      <c r="BG152" s="729" t="e">
        <f ca="1">stat(calculs!BG152)</f>
        <v>#NAME?</v>
      </c>
      <c r="BH152" s="729" t="e">
        <f ca="1">stat(calculs!BH152)</f>
        <v>#NAME?</v>
      </c>
      <c r="BI152" s="729" t="e">
        <f ca="1">stat(calculs!BI152)</f>
        <v>#NAME?</v>
      </c>
      <c r="BJ152" s="729" t="e">
        <f ca="1">stat(calculs!BJ152)</f>
        <v>#NAME?</v>
      </c>
      <c r="BK152" s="729" t="e">
        <f ca="1">stat(calculs!BK152)</f>
        <v>#NAME?</v>
      </c>
      <c r="BL152" s="525" t="e">
        <f ca="1">stat(calculs!BL152)</f>
        <v>#NAME?</v>
      </c>
      <c r="BM152" s="525" t="e">
        <f ca="1">stat(calculs!BM152)</f>
        <v>#NAME?</v>
      </c>
      <c r="BN152" s="525" t="e">
        <f ca="1">stat(calculs!BN152)</f>
        <v>#NAME?</v>
      </c>
      <c r="BO152" s="525" t="e">
        <f ca="1">stat(calculs!BO152)</f>
        <v>#NAME?</v>
      </c>
      <c r="BP152" s="525" t="e">
        <f ca="1">stat(calculs!BP152)</f>
        <v>#NAME?</v>
      </c>
      <c r="BQ152" s="525" t="e">
        <f ca="1">stat(calculs!BQ152)</f>
        <v>#NAME?</v>
      </c>
      <c r="BR152" s="525" t="e">
        <f ca="1">stat(calculs!BR152)</f>
        <v>#NAME?</v>
      </c>
    </row>
    <row r="153" spans="1:70" x14ac:dyDescent="0.2">
      <c r="A153" s="222">
        <f>données_step[[#This Row],[Datum]]</f>
        <v>44704</v>
      </c>
      <c r="B153" s="223"/>
      <c r="C153" s="224">
        <f t="shared" si="2"/>
        <v>2</v>
      </c>
      <c r="D153" s="523" t="e">
        <f ca="1">stat(charge_entree[[#This Row],[ch_E_DBO5]])</f>
        <v>#NAME?</v>
      </c>
      <c r="E153" s="523" t="e">
        <f ca="1">stat(charge_entree[[#This Row],[ch_E_DCO]])</f>
        <v>#NAME?</v>
      </c>
      <c r="F153" s="523" t="e">
        <f ca="1">stat(charge_entree[[#This Row],[ch_E_COT]])</f>
        <v>#NAME?</v>
      </c>
      <c r="G153" s="523" t="e">
        <f ca="1">stat(charge_entree[[#This Row],[ch_E_NH4]])</f>
        <v>#NAME?</v>
      </c>
      <c r="H153" s="523" t="e">
        <f ca="1">stat(charge_entree[[#This Row],[ch_E_NTOT]])</f>
        <v>#NAME?</v>
      </c>
      <c r="I153" s="523" t="e">
        <f ca="1">stat(charge_entree[[#This Row],[ch_E_PTOT]])</f>
        <v>#NAME?</v>
      </c>
      <c r="J153" s="523" t="e">
        <f ca="1">stat(charge_entree[[#This Row],[ch_S_DBO]])</f>
        <v>#NAME?</v>
      </c>
      <c r="K153" s="523" t="e">
        <f ca="1">stat(charge_entree[[#This Row],[ch_S-DCO]])</f>
        <v>#NAME?</v>
      </c>
      <c r="L153" s="523" t="e">
        <f ca="1">stat(charge_entree[[#This Row],[ch_S_DOC]])</f>
        <v>#NAME?</v>
      </c>
      <c r="M153" s="523" t="e">
        <f ca="1">stat(charge_entree[[#This Row],[ch_S_NH4]])</f>
        <v>#NAME?</v>
      </c>
      <c r="N153" s="523" t="e">
        <f ca="1">stat(charge_entree[[#This Row],[ch_S_NO2]])</f>
        <v>#NAME?</v>
      </c>
      <c r="O153" s="523" t="e">
        <f ca="1">stat(charge_entree[[#This Row],[ch_S_NO3]])</f>
        <v>#NAME?</v>
      </c>
      <c r="P153" s="523" t="e">
        <f ca="1">stat(charge_entree[[#This Row],[ch_S_PTOT]])</f>
        <v>#NAME?</v>
      </c>
      <c r="Q153" s="523" t="e">
        <f ca="1">stat(charge_entree[[#This Row],[ch_S_SNDT]])</f>
        <v>#NAME?</v>
      </c>
      <c r="R153" s="523">
        <f>calculs!R153</f>
        <v>0</v>
      </c>
      <c r="S153" s="523" t="e">
        <f ca="1">stat(calculs!S153)</f>
        <v>#NAME?</v>
      </c>
      <c r="T153" s="523" t="e">
        <f ca="1">stat(calculs!T153)</f>
        <v>#NAME?</v>
      </c>
      <c r="U153" s="523" t="e">
        <f ca="1">stat(calculs!U153)</f>
        <v>#NAME?</v>
      </c>
      <c r="V153" s="523" t="e">
        <f ca="1">stat(calculs!V153)</f>
        <v>#NAME?</v>
      </c>
      <c r="W153" s="523" t="e">
        <f ca="1">stat(calculs!W153)</f>
        <v>#NAME?</v>
      </c>
      <c r="X153" s="523" t="e">
        <f ca="1">stat(calculs!X153)</f>
        <v>#NAME?</v>
      </c>
      <c r="Y153" s="523" t="e">
        <f ca="1">stat(calculs!Y153)</f>
        <v>#NAME?</v>
      </c>
      <c r="Z153" s="523" t="e">
        <f ca="1">stat(calculs!Z153)</f>
        <v>#NAME?</v>
      </c>
      <c r="AA153" s="523" t="e">
        <f ca="1">stat(calculs!AA153)</f>
        <v>#NAME?</v>
      </c>
      <c r="AB153" s="523" t="e">
        <f ca="1">stat(calculs!AB153)</f>
        <v>#NAME?</v>
      </c>
      <c r="AC153" s="523" t="e">
        <f ca="1">stat(calculs!AC153)</f>
        <v>#NAME?</v>
      </c>
      <c r="AD153" s="523" t="e">
        <f ca="1">stat(calculs!AD153)</f>
        <v>#NAME?</v>
      </c>
      <c r="AE153" s="523" t="e">
        <f ca="1">stat(calculs!AE153)</f>
        <v>#NAME?</v>
      </c>
      <c r="AF153" s="523" t="e">
        <f ca="1">stat(calculs!AF153)</f>
        <v>#NAME?</v>
      </c>
      <c r="AG153" s="523" t="e">
        <f ca="1">stat(calculs!AG153)</f>
        <v>#NAME?</v>
      </c>
      <c r="AH153" s="523" t="e">
        <f ca="1">stat(calculs!AH153)</f>
        <v>#NAME?</v>
      </c>
      <c r="AI153" s="523" t="e">
        <f ca="1">stat(calculs!AI153)</f>
        <v>#NAME?</v>
      </c>
      <c r="AJ153" s="523" t="e">
        <f ca="1">stat(calculs!AJ153)</f>
        <v>#NAME?</v>
      </c>
      <c r="AK153" s="523" t="e">
        <f ca="1">stat(calculs!AK153)</f>
        <v>#NAME?</v>
      </c>
      <c r="AL153" s="523" t="e">
        <f ca="1">stat(calculs!AL153)</f>
        <v>#NAME?</v>
      </c>
      <c r="AM153" s="523" t="e">
        <f ca="1">stat(calculs!AM153)</f>
        <v>#NAME?</v>
      </c>
      <c r="AN153" s="523" t="e">
        <f ca="1">stat(calculs!AN153)</f>
        <v>#NAME?</v>
      </c>
      <c r="AO153" s="523" t="e">
        <f ca="1">stat(calculs!AO153)</f>
        <v>#NAME?</v>
      </c>
      <c r="AP153" s="523" t="e">
        <f ca="1">stat(calculs!AP153)</f>
        <v>#NAME?</v>
      </c>
      <c r="AQ153" s="523" t="e">
        <f ca="1">stat(calculs!AQ153)</f>
        <v>#NAME?</v>
      </c>
      <c r="AV153" s="525" t="str">
        <f>stat(calculs!AV153)</f>
        <v/>
      </c>
      <c r="AW153" s="525" t="str">
        <f>stat(calculs!AW153)</f>
        <v/>
      </c>
      <c r="AX153" s="525" t="str">
        <f>stat(calculs!AX153)</f>
        <v/>
      </c>
      <c r="AY153" s="525" t="e">
        <f ca="1">stat(calculs!AY153)</f>
        <v>#NAME?</v>
      </c>
      <c r="AZ153" s="525" t="e">
        <f ca="1">stat(calculs!AZ153)</f>
        <v>#NAME?</v>
      </c>
      <c r="BA153" s="525" t="e">
        <f ca="1">stat(calculs!BA153)</f>
        <v>#NAME?</v>
      </c>
      <c r="BB153" s="525" t="e">
        <f ca="1">stat(calculs!BB153)</f>
        <v>#NAME?</v>
      </c>
      <c r="BC153" s="525" t="e">
        <f ca="1">stat(calculs!BC153)</f>
        <v>#NAME?</v>
      </c>
      <c r="BD153" s="525" t="e">
        <f ca="1">stat(calculs!BD153)</f>
        <v>#NAME?</v>
      </c>
      <c r="BE153" s="525" t="e">
        <f ca="1">stat(calculs!BE153)</f>
        <v>#NAME?</v>
      </c>
      <c r="BF153" s="525" t="e">
        <f ca="1">stat(calculs!BF153)</f>
        <v>#NAME?</v>
      </c>
      <c r="BG153" s="729" t="e">
        <f ca="1">stat(calculs!BG153)</f>
        <v>#NAME?</v>
      </c>
      <c r="BH153" s="729" t="e">
        <f ca="1">stat(calculs!BH153)</f>
        <v>#NAME?</v>
      </c>
      <c r="BI153" s="729" t="e">
        <f ca="1">stat(calculs!BI153)</f>
        <v>#NAME?</v>
      </c>
      <c r="BJ153" s="729" t="e">
        <f ca="1">stat(calculs!BJ153)</f>
        <v>#NAME?</v>
      </c>
      <c r="BK153" s="729" t="e">
        <f ca="1">stat(calculs!BK153)</f>
        <v>#NAME?</v>
      </c>
      <c r="BL153" s="525" t="e">
        <f ca="1">stat(calculs!BL153)</f>
        <v>#NAME?</v>
      </c>
      <c r="BM153" s="525" t="e">
        <f ca="1">stat(calculs!BM153)</f>
        <v>#NAME?</v>
      </c>
      <c r="BN153" s="525" t="e">
        <f ca="1">stat(calculs!BN153)</f>
        <v>#NAME?</v>
      </c>
      <c r="BO153" s="525" t="e">
        <f ca="1">stat(calculs!BO153)</f>
        <v>#NAME?</v>
      </c>
      <c r="BP153" s="525" t="e">
        <f ca="1">stat(calculs!BP153)</f>
        <v>#NAME?</v>
      </c>
      <c r="BQ153" s="525" t="e">
        <f ca="1">stat(calculs!BQ153)</f>
        <v>#NAME?</v>
      </c>
      <c r="BR153" s="525" t="e">
        <f ca="1">stat(calculs!BR153)</f>
        <v>#NAME?</v>
      </c>
    </row>
    <row r="154" spans="1:70" x14ac:dyDescent="0.2">
      <c r="A154" s="222">
        <f>données_step[[#This Row],[Datum]]</f>
        <v>44705</v>
      </c>
      <c r="B154" s="223"/>
      <c r="C154" s="224">
        <f t="shared" si="2"/>
        <v>3</v>
      </c>
      <c r="D154" s="523" t="e">
        <f ca="1">stat(charge_entree[[#This Row],[ch_E_DBO5]])</f>
        <v>#NAME?</v>
      </c>
      <c r="E154" s="523" t="e">
        <f ca="1">stat(charge_entree[[#This Row],[ch_E_DCO]])</f>
        <v>#NAME?</v>
      </c>
      <c r="F154" s="523" t="e">
        <f ca="1">stat(charge_entree[[#This Row],[ch_E_COT]])</f>
        <v>#NAME?</v>
      </c>
      <c r="G154" s="523" t="e">
        <f ca="1">stat(charge_entree[[#This Row],[ch_E_NH4]])</f>
        <v>#NAME?</v>
      </c>
      <c r="H154" s="523" t="e">
        <f ca="1">stat(charge_entree[[#This Row],[ch_E_NTOT]])</f>
        <v>#NAME?</v>
      </c>
      <c r="I154" s="523" t="e">
        <f ca="1">stat(charge_entree[[#This Row],[ch_E_PTOT]])</f>
        <v>#NAME?</v>
      </c>
      <c r="J154" s="523" t="e">
        <f ca="1">stat(charge_entree[[#This Row],[ch_S_DBO]])</f>
        <v>#NAME?</v>
      </c>
      <c r="K154" s="523" t="e">
        <f ca="1">stat(charge_entree[[#This Row],[ch_S-DCO]])</f>
        <v>#NAME?</v>
      </c>
      <c r="L154" s="523" t="e">
        <f ca="1">stat(charge_entree[[#This Row],[ch_S_DOC]])</f>
        <v>#NAME?</v>
      </c>
      <c r="M154" s="523" t="e">
        <f ca="1">stat(charge_entree[[#This Row],[ch_S_NH4]])</f>
        <v>#NAME?</v>
      </c>
      <c r="N154" s="523" t="e">
        <f ca="1">stat(charge_entree[[#This Row],[ch_S_NO2]])</f>
        <v>#NAME?</v>
      </c>
      <c r="O154" s="523" t="e">
        <f ca="1">stat(charge_entree[[#This Row],[ch_S_NO3]])</f>
        <v>#NAME?</v>
      </c>
      <c r="P154" s="523" t="e">
        <f ca="1">stat(charge_entree[[#This Row],[ch_S_PTOT]])</f>
        <v>#NAME?</v>
      </c>
      <c r="Q154" s="523" t="e">
        <f ca="1">stat(charge_entree[[#This Row],[ch_S_SNDT]])</f>
        <v>#NAME?</v>
      </c>
      <c r="R154" s="523">
        <f>calculs!R154</f>
        <v>0</v>
      </c>
      <c r="S154" s="523" t="e">
        <f ca="1">stat(calculs!S154)</f>
        <v>#NAME?</v>
      </c>
      <c r="T154" s="523" t="e">
        <f ca="1">stat(calculs!T154)</f>
        <v>#NAME?</v>
      </c>
      <c r="U154" s="523" t="e">
        <f ca="1">stat(calculs!U154)</f>
        <v>#NAME?</v>
      </c>
      <c r="V154" s="523" t="e">
        <f ca="1">stat(calculs!V154)</f>
        <v>#NAME?</v>
      </c>
      <c r="W154" s="523" t="e">
        <f ca="1">stat(calculs!W154)</f>
        <v>#NAME?</v>
      </c>
      <c r="X154" s="523" t="e">
        <f ca="1">stat(calculs!X154)</f>
        <v>#NAME?</v>
      </c>
      <c r="Y154" s="523" t="e">
        <f ca="1">stat(calculs!Y154)</f>
        <v>#NAME?</v>
      </c>
      <c r="Z154" s="523" t="e">
        <f ca="1">stat(calculs!Z154)</f>
        <v>#NAME?</v>
      </c>
      <c r="AA154" s="523" t="e">
        <f ca="1">stat(calculs!AA154)</f>
        <v>#NAME?</v>
      </c>
      <c r="AB154" s="523" t="e">
        <f ca="1">stat(calculs!AB154)</f>
        <v>#NAME?</v>
      </c>
      <c r="AC154" s="523" t="e">
        <f ca="1">stat(calculs!AC154)</f>
        <v>#NAME?</v>
      </c>
      <c r="AD154" s="523" t="e">
        <f ca="1">stat(calculs!AD154)</f>
        <v>#NAME?</v>
      </c>
      <c r="AE154" s="523" t="e">
        <f ca="1">stat(calculs!AE154)</f>
        <v>#NAME?</v>
      </c>
      <c r="AF154" s="523" t="e">
        <f ca="1">stat(calculs!AF154)</f>
        <v>#NAME?</v>
      </c>
      <c r="AG154" s="523" t="e">
        <f ca="1">stat(calculs!AG154)</f>
        <v>#NAME?</v>
      </c>
      <c r="AH154" s="523" t="e">
        <f ca="1">stat(calculs!AH154)</f>
        <v>#NAME?</v>
      </c>
      <c r="AI154" s="523" t="e">
        <f ca="1">stat(calculs!AI154)</f>
        <v>#NAME?</v>
      </c>
      <c r="AJ154" s="523" t="e">
        <f ca="1">stat(calculs!AJ154)</f>
        <v>#NAME?</v>
      </c>
      <c r="AK154" s="523" t="e">
        <f ca="1">stat(calculs!AK154)</f>
        <v>#NAME?</v>
      </c>
      <c r="AL154" s="523" t="e">
        <f ca="1">stat(calculs!AL154)</f>
        <v>#NAME?</v>
      </c>
      <c r="AM154" s="523" t="e">
        <f ca="1">stat(calculs!AM154)</f>
        <v>#NAME?</v>
      </c>
      <c r="AN154" s="523" t="e">
        <f ca="1">stat(calculs!AN154)</f>
        <v>#NAME?</v>
      </c>
      <c r="AO154" s="523" t="e">
        <f ca="1">stat(calculs!AO154)</f>
        <v>#NAME?</v>
      </c>
      <c r="AP154" s="523" t="e">
        <f ca="1">stat(calculs!AP154)</f>
        <v>#NAME?</v>
      </c>
      <c r="AQ154" s="523" t="e">
        <f ca="1">stat(calculs!AQ154)</f>
        <v>#NAME?</v>
      </c>
      <c r="AV154" s="525" t="str">
        <f>stat(calculs!AV154)</f>
        <v/>
      </c>
      <c r="AW154" s="525" t="str">
        <f>stat(calculs!AW154)</f>
        <v/>
      </c>
      <c r="AX154" s="525" t="str">
        <f>stat(calculs!AX154)</f>
        <v/>
      </c>
      <c r="AY154" s="525" t="e">
        <f ca="1">stat(calculs!AY154)</f>
        <v>#NAME?</v>
      </c>
      <c r="AZ154" s="525" t="e">
        <f ca="1">stat(calculs!AZ154)</f>
        <v>#NAME?</v>
      </c>
      <c r="BA154" s="525" t="e">
        <f ca="1">stat(calculs!BA154)</f>
        <v>#NAME?</v>
      </c>
      <c r="BB154" s="525" t="e">
        <f ca="1">stat(calculs!BB154)</f>
        <v>#NAME?</v>
      </c>
      <c r="BC154" s="525" t="e">
        <f ca="1">stat(calculs!BC154)</f>
        <v>#NAME?</v>
      </c>
      <c r="BD154" s="525" t="e">
        <f ca="1">stat(calculs!BD154)</f>
        <v>#NAME?</v>
      </c>
      <c r="BE154" s="525" t="e">
        <f ca="1">stat(calculs!BE154)</f>
        <v>#NAME?</v>
      </c>
      <c r="BF154" s="525" t="e">
        <f ca="1">stat(calculs!BF154)</f>
        <v>#NAME?</v>
      </c>
      <c r="BG154" s="729" t="e">
        <f ca="1">stat(calculs!BG154)</f>
        <v>#NAME?</v>
      </c>
      <c r="BH154" s="729" t="e">
        <f ca="1">stat(calculs!BH154)</f>
        <v>#NAME?</v>
      </c>
      <c r="BI154" s="729" t="e">
        <f ca="1">stat(calculs!BI154)</f>
        <v>#NAME?</v>
      </c>
      <c r="BJ154" s="729" t="e">
        <f ca="1">stat(calculs!BJ154)</f>
        <v>#NAME?</v>
      </c>
      <c r="BK154" s="729" t="e">
        <f ca="1">stat(calculs!BK154)</f>
        <v>#NAME?</v>
      </c>
      <c r="BL154" s="525" t="e">
        <f ca="1">stat(calculs!BL154)</f>
        <v>#NAME?</v>
      </c>
      <c r="BM154" s="525" t="e">
        <f ca="1">stat(calculs!BM154)</f>
        <v>#NAME?</v>
      </c>
      <c r="BN154" s="525" t="e">
        <f ca="1">stat(calculs!BN154)</f>
        <v>#NAME?</v>
      </c>
      <c r="BO154" s="525" t="e">
        <f ca="1">stat(calculs!BO154)</f>
        <v>#NAME?</v>
      </c>
      <c r="BP154" s="525" t="e">
        <f ca="1">stat(calculs!BP154)</f>
        <v>#NAME?</v>
      </c>
      <c r="BQ154" s="525" t="e">
        <f ca="1">stat(calculs!BQ154)</f>
        <v>#NAME?</v>
      </c>
      <c r="BR154" s="525" t="e">
        <f ca="1">stat(calculs!BR154)</f>
        <v>#NAME?</v>
      </c>
    </row>
    <row r="155" spans="1:70" x14ac:dyDescent="0.2">
      <c r="A155" s="222">
        <f>données_step[[#This Row],[Datum]]</f>
        <v>44706</v>
      </c>
      <c r="B155" s="223"/>
      <c r="C155" s="224">
        <f t="shared" si="2"/>
        <v>4</v>
      </c>
      <c r="D155" s="523" t="e">
        <f ca="1">stat(charge_entree[[#This Row],[ch_E_DBO5]])</f>
        <v>#NAME?</v>
      </c>
      <c r="E155" s="523" t="e">
        <f ca="1">stat(charge_entree[[#This Row],[ch_E_DCO]])</f>
        <v>#NAME?</v>
      </c>
      <c r="F155" s="523" t="e">
        <f ca="1">stat(charge_entree[[#This Row],[ch_E_COT]])</f>
        <v>#NAME?</v>
      </c>
      <c r="G155" s="523" t="e">
        <f ca="1">stat(charge_entree[[#This Row],[ch_E_NH4]])</f>
        <v>#NAME?</v>
      </c>
      <c r="H155" s="523" t="e">
        <f ca="1">stat(charge_entree[[#This Row],[ch_E_NTOT]])</f>
        <v>#NAME?</v>
      </c>
      <c r="I155" s="523" t="e">
        <f ca="1">stat(charge_entree[[#This Row],[ch_E_PTOT]])</f>
        <v>#NAME?</v>
      </c>
      <c r="J155" s="523" t="e">
        <f ca="1">stat(charge_entree[[#This Row],[ch_S_DBO]])</f>
        <v>#NAME?</v>
      </c>
      <c r="K155" s="523" t="e">
        <f ca="1">stat(charge_entree[[#This Row],[ch_S-DCO]])</f>
        <v>#NAME?</v>
      </c>
      <c r="L155" s="523" t="e">
        <f ca="1">stat(charge_entree[[#This Row],[ch_S_DOC]])</f>
        <v>#NAME?</v>
      </c>
      <c r="M155" s="523" t="e">
        <f ca="1">stat(charge_entree[[#This Row],[ch_S_NH4]])</f>
        <v>#NAME?</v>
      </c>
      <c r="N155" s="523" t="e">
        <f ca="1">stat(charge_entree[[#This Row],[ch_S_NO2]])</f>
        <v>#NAME?</v>
      </c>
      <c r="O155" s="523" t="e">
        <f ca="1">stat(charge_entree[[#This Row],[ch_S_NO3]])</f>
        <v>#NAME?</v>
      </c>
      <c r="P155" s="523" t="e">
        <f ca="1">stat(charge_entree[[#This Row],[ch_S_PTOT]])</f>
        <v>#NAME?</v>
      </c>
      <c r="Q155" s="523" t="e">
        <f ca="1">stat(charge_entree[[#This Row],[ch_S_SNDT]])</f>
        <v>#NAME?</v>
      </c>
      <c r="R155" s="523">
        <f>calculs!R155</f>
        <v>0</v>
      </c>
      <c r="S155" s="523" t="e">
        <f ca="1">stat(calculs!S155)</f>
        <v>#NAME?</v>
      </c>
      <c r="T155" s="523" t="e">
        <f ca="1">stat(calculs!T155)</f>
        <v>#NAME?</v>
      </c>
      <c r="U155" s="523" t="e">
        <f ca="1">stat(calculs!U155)</f>
        <v>#NAME?</v>
      </c>
      <c r="V155" s="523" t="e">
        <f ca="1">stat(calculs!V155)</f>
        <v>#NAME?</v>
      </c>
      <c r="W155" s="523" t="e">
        <f ca="1">stat(calculs!W155)</f>
        <v>#NAME?</v>
      </c>
      <c r="X155" s="523" t="e">
        <f ca="1">stat(calculs!X155)</f>
        <v>#NAME?</v>
      </c>
      <c r="Y155" s="523" t="e">
        <f ca="1">stat(calculs!Y155)</f>
        <v>#NAME?</v>
      </c>
      <c r="Z155" s="523" t="e">
        <f ca="1">stat(calculs!Z155)</f>
        <v>#NAME?</v>
      </c>
      <c r="AA155" s="523" t="e">
        <f ca="1">stat(calculs!AA155)</f>
        <v>#NAME?</v>
      </c>
      <c r="AB155" s="523" t="e">
        <f ca="1">stat(calculs!AB155)</f>
        <v>#NAME?</v>
      </c>
      <c r="AC155" s="523" t="e">
        <f ca="1">stat(calculs!AC155)</f>
        <v>#NAME?</v>
      </c>
      <c r="AD155" s="523" t="e">
        <f ca="1">stat(calculs!AD155)</f>
        <v>#NAME?</v>
      </c>
      <c r="AE155" s="523" t="e">
        <f ca="1">stat(calculs!AE155)</f>
        <v>#NAME?</v>
      </c>
      <c r="AF155" s="523" t="e">
        <f ca="1">stat(calculs!AF155)</f>
        <v>#NAME?</v>
      </c>
      <c r="AG155" s="523" t="e">
        <f ca="1">stat(calculs!AG155)</f>
        <v>#NAME?</v>
      </c>
      <c r="AH155" s="523" t="e">
        <f ca="1">stat(calculs!AH155)</f>
        <v>#NAME?</v>
      </c>
      <c r="AI155" s="523" t="e">
        <f ca="1">stat(calculs!AI155)</f>
        <v>#NAME?</v>
      </c>
      <c r="AJ155" s="523" t="e">
        <f ca="1">stat(calculs!AJ155)</f>
        <v>#NAME?</v>
      </c>
      <c r="AK155" s="523" t="e">
        <f ca="1">stat(calculs!AK155)</f>
        <v>#NAME?</v>
      </c>
      <c r="AL155" s="523" t="e">
        <f ca="1">stat(calculs!AL155)</f>
        <v>#NAME?</v>
      </c>
      <c r="AM155" s="523" t="e">
        <f ca="1">stat(calculs!AM155)</f>
        <v>#NAME?</v>
      </c>
      <c r="AN155" s="523" t="e">
        <f ca="1">stat(calculs!AN155)</f>
        <v>#NAME?</v>
      </c>
      <c r="AO155" s="523" t="e">
        <f ca="1">stat(calculs!AO155)</f>
        <v>#NAME?</v>
      </c>
      <c r="AP155" s="523" t="e">
        <f ca="1">stat(calculs!AP155)</f>
        <v>#NAME?</v>
      </c>
      <c r="AQ155" s="523" t="e">
        <f ca="1">stat(calculs!AQ155)</f>
        <v>#NAME?</v>
      </c>
      <c r="AV155" s="525" t="str">
        <f>stat(calculs!AV155)</f>
        <v/>
      </c>
      <c r="AW155" s="525" t="str">
        <f>stat(calculs!AW155)</f>
        <v/>
      </c>
      <c r="AX155" s="525" t="str">
        <f>stat(calculs!AX155)</f>
        <v/>
      </c>
      <c r="AY155" s="525" t="e">
        <f ca="1">stat(calculs!AY155)</f>
        <v>#NAME?</v>
      </c>
      <c r="AZ155" s="525" t="e">
        <f ca="1">stat(calculs!AZ155)</f>
        <v>#NAME?</v>
      </c>
      <c r="BA155" s="525" t="e">
        <f ca="1">stat(calculs!BA155)</f>
        <v>#NAME?</v>
      </c>
      <c r="BB155" s="525" t="e">
        <f ca="1">stat(calculs!BB155)</f>
        <v>#NAME?</v>
      </c>
      <c r="BC155" s="525" t="e">
        <f ca="1">stat(calculs!BC155)</f>
        <v>#NAME?</v>
      </c>
      <c r="BD155" s="525" t="e">
        <f ca="1">stat(calculs!BD155)</f>
        <v>#NAME?</v>
      </c>
      <c r="BE155" s="525" t="e">
        <f ca="1">stat(calculs!BE155)</f>
        <v>#NAME?</v>
      </c>
      <c r="BF155" s="525" t="e">
        <f ca="1">stat(calculs!BF155)</f>
        <v>#NAME?</v>
      </c>
      <c r="BG155" s="729" t="e">
        <f ca="1">stat(calculs!BG155)</f>
        <v>#NAME?</v>
      </c>
      <c r="BH155" s="729" t="e">
        <f ca="1">stat(calculs!BH155)</f>
        <v>#NAME?</v>
      </c>
      <c r="BI155" s="729" t="e">
        <f ca="1">stat(calculs!BI155)</f>
        <v>#NAME?</v>
      </c>
      <c r="BJ155" s="729" t="e">
        <f ca="1">stat(calculs!BJ155)</f>
        <v>#NAME?</v>
      </c>
      <c r="BK155" s="729" t="e">
        <f ca="1">stat(calculs!BK155)</f>
        <v>#NAME?</v>
      </c>
      <c r="BL155" s="525" t="e">
        <f ca="1">stat(calculs!BL155)</f>
        <v>#NAME?</v>
      </c>
      <c r="BM155" s="525" t="e">
        <f ca="1">stat(calculs!BM155)</f>
        <v>#NAME?</v>
      </c>
      <c r="BN155" s="525" t="e">
        <f ca="1">stat(calculs!BN155)</f>
        <v>#NAME?</v>
      </c>
      <c r="BO155" s="525" t="e">
        <f ca="1">stat(calculs!BO155)</f>
        <v>#NAME?</v>
      </c>
      <c r="BP155" s="525" t="e">
        <f ca="1">stat(calculs!BP155)</f>
        <v>#NAME?</v>
      </c>
      <c r="BQ155" s="525" t="e">
        <f ca="1">stat(calculs!BQ155)</f>
        <v>#NAME?</v>
      </c>
      <c r="BR155" s="525" t="e">
        <f ca="1">stat(calculs!BR155)</f>
        <v>#NAME?</v>
      </c>
    </row>
    <row r="156" spans="1:70" x14ac:dyDescent="0.2">
      <c r="A156" s="222">
        <f>données_step[[#This Row],[Datum]]</f>
        <v>44707</v>
      </c>
      <c r="B156" s="223"/>
      <c r="C156" s="224">
        <f t="shared" si="2"/>
        <v>5</v>
      </c>
      <c r="D156" s="523" t="e">
        <f ca="1">stat(charge_entree[[#This Row],[ch_E_DBO5]])</f>
        <v>#NAME?</v>
      </c>
      <c r="E156" s="523" t="e">
        <f ca="1">stat(charge_entree[[#This Row],[ch_E_DCO]])</f>
        <v>#NAME?</v>
      </c>
      <c r="F156" s="523" t="e">
        <f ca="1">stat(charge_entree[[#This Row],[ch_E_COT]])</f>
        <v>#NAME?</v>
      </c>
      <c r="G156" s="523" t="e">
        <f ca="1">stat(charge_entree[[#This Row],[ch_E_NH4]])</f>
        <v>#NAME?</v>
      </c>
      <c r="H156" s="523" t="e">
        <f ca="1">stat(charge_entree[[#This Row],[ch_E_NTOT]])</f>
        <v>#NAME?</v>
      </c>
      <c r="I156" s="523" t="e">
        <f ca="1">stat(charge_entree[[#This Row],[ch_E_PTOT]])</f>
        <v>#NAME?</v>
      </c>
      <c r="J156" s="523" t="e">
        <f ca="1">stat(charge_entree[[#This Row],[ch_S_DBO]])</f>
        <v>#NAME?</v>
      </c>
      <c r="K156" s="523" t="e">
        <f ca="1">stat(charge_entree[[#This Row],[ch_S-DCO]])</f>
        <v>#NAME?</v>
      </c>
      <c r="L156" s="523" t="e">
        <f ca="1">stat(charge_entree[[#This Row],[ch_S_DOC]])</f>
        <v>#NAME?</v>
      </c>
      <c r="M156" s="523" t="e">
        <f ca="1">stat(charge_entree[[#This Row],[ch_S_NH4]])</f>
        <v>#NAME?</v>
      </c>
      <c r="N156" s="523" t="e">
        <f ca="1">stat(charge_entree[[#This Row],[ch_S_NO2]])</f>
        <v>#NAME?</v>
      </c>
      <c r="O156" s="523" t="e">
        <f ca="1">stat(charge_entree[[#This Row],[ch_S_NO3]])</f>
        <v>#NAME?</v>
      </c>
      <c r="P156" s="523" t="e">
        <f ca="1">stat(charge_entree[[#This Row],[ch_S_PTOT]])</f>
        <v>#NAME?</v>
      </c>
      <c r="Q156" s="523" t="e">
        <f ca="1">stat(charge_entree[[#This Row],[ch_S_SNDT]])</f>
        <v>#NAME?</v>
      </c>
      <c r="R156" s="523">
        <f>calculs!R156</f>
        <v>0</v>
      </c>
      <c r="S156" s="523" t="e">
        <f ca="1">stat(calculs!S156)</f>
        <v>#NAME?</v>
      </c>
      <c r="T156" s="523" t="e">
        <f ca="1">stat(calculs!T156)</f>
        <v>#NAME?</v>
      </c>
      <c r="U156" s="523" t="e">
        <f ca="1">stat(calculs!U156)</f>
        <v>#NAME?</v>
      </c>
      <c r="V156" s="523" t="e">
        <f ca="1">stat(calculs!V156)</f>
        <v>#NAME?</v>
      </c>
      <c r="W156" s="523" t="e">
        <f ca="1">stat(calculs!W156)</f>
        <v>#NAME?</v>
      </c>
      <c r="X156" s="523" t="e">
        <f ca="1">stat(calculs!X156)</f>
        <v>#NAME?</v>
      </c>
      <c r="Y156" s="523" t="e">
        <f ca="1">stat(calculs!Y156)</f>
        <v>#NAME?</v>
      </c>
      <c r="Z156" s="523" t="e">
        <f ca="1">stat(calculs!Z156)</f>
        <v>#NAME?</v>
      </c>
      <c r="AA156" s="523" t="e">
        <f ca="1">stat(calculs!AA156)</f>
        <v>#NAME?</v>
      </c>
      <c r="AB156" s="523" t="e">
        <f ca="1">stat(calculs!AB156)</f>
        <v>#NAME?</v>
      </c>
      <c r="AC156" s="523" t="e">
        <f ca="1">stat(calculs!AC156)</f>
        <v>#NAME?</v>
      </c>
      <c r="AD156" s="523" t="e">
        <f ca="1">stat(calculs!AD156)</f>
        <v>#NAME?</v>
      </c>
      <c r="AE156" s="523" t="e">
        <f ca="1">stat(calculs!AE156)</f>
        <v>#NAME?</v>
      </c>
      <c r="AF156" s="523" t="e">
        <f ca="1">stat(calculs!AF156)</f>
        <v>#NAME?</v>
      </c>
      <c r="AG156" s="523" t="e">
        <f ca="1">stat(calculs!AG156)</f>
        <v>#NAME?</v>
      </c>
      <c r="AH156" s="523" t="e">
        <f ca="1">stat(calculs!AH156)</f>
        <v>#NAME?</v>
      </c>
      <c r="AI156" s="523" t="e">
        <f ca="1">stat(calculs!AI156)</f>
        <v>#NAME?</v>
      </c>
      <c r="AJ156" s="523" t="e">
        <f ca="1">stat(calculs!AJ156)</f>
        <v>#NAME?</v>
      </c>
      <c r="AK156" s="523" t="e">
        <f ca="1">stat(calculs!AK156)</f>
        <v>#NAME?</v>
      </c>
      <c r="AL156" s="523" t="e">
        <f ca="1">stat(calculs!AL156)</f>
        <v>#NAME?</v>
      </c>
      <c r="AM156" s="523" t="e">
        <f ca="1">stat(calculs!AM156)</f>
        <v>#NAME?</v>
      </c>
      <c r="AN156" s="523" t="e">
        <f ca="1">stat(calculs!AN156)</f>
        <v>#NAME?</v>
      </c>
      <c r="AO156" s="523" t="e">
        <f ca="1">stat(calculs!AO156)</f>
        <v>#NAME?</v>
      </c>
      <c r="AP156" s="523" t="e">
        <f ca="1">stat(calculs!AP156)</f>
        <v>#NAME?</v>
      </c>
      <c r="AQ156" s="523" t="e">
        <f ca="1">stat(calculs!AQ156)</f>
        <v>#NAME?</v>
      </c>
      <c r="AV156" s="525" t="str">
        <f>stat(calculs!AV156)</f>
        <v/>
      </c>
      <c r="AW156" s="525" t="str">
        <f>stat(calculs!AW156)</f>
        <v/>
      </c>
      <c r="AX156" s="525" t="str">
        <f>stat(calculs!AX156)</f>
        <v/>
      </c>
      <c r="AY156" s="525" t="e">
        <f ca="1">stat(calculs!AY156)</f>
        <v>#NAME?</v>
      </c>
      <c r="AZ156" s="525" t="e">
        <f ca="1">stat(calculs!AZ156)</f>
        <v>#NAME?</v>
      </c>
      <c r="BA156" s="525" t="e">
        <f ca="1">stat(calculs!BA156)</f>
        <v>#NAME?</v>
      </c>
      <c r="BB156" s="525" t="e">
        <f ca="1">stat(calculs!BB156)</f>
        <v>#NAME?</v>
      </c>
      <c r="BC156" s="525" t="e">
        <f ca="1">stat(calculs!BC156)</f>
        <v>#NAME?</v>
      </c>
      <c r="BD156" s="525" t="e">
        <f ca="1">stat(calculs!BD156)</f>
        <v>#NAME?</v>
      </c>
      <c r="BE156" s="525" t="e">
        <f ca="1">stat(calculs!BE156)</f>
        <v>#NAME?</v>
      </c>
      <c r="BF156" s="525" t="e">
        <f ca="1">stat(calculs!BF156)</f>
        <v>#NAME?</v>
      </c>
      <c r="BG156" s="729" t="e">
        <f ca="1">stat(calculs!BG156)</f>
        <v>#NAME?</v>
      </c>
      <c r="BH156" s="729" t="e">
        <f ca="1">stat(calculs!BH156)</f>
        <v>#NAME?</v>
      </c>
      <c r="BI156" s="729" t="e">
        <f ca="1">stat(calculs!BI156)</f>
        <v>#NAME?</v>
      </c>
      <c r="BJ156" s="729" t="e">
        <f ca="1">stat(calculs!BJ156)</f>
        <v>#NAME?</v>
      </c>
      <c r="BK156" s="729" t="e">
        <f ca="1">stat(calculs!BK156)</f>
        <v>#NAME?</v>
      </c>
      <c r="BL156" s="525" t="e">
        <f ca="1">stat(calculs!BL156)</f>
        <v>#NAME?</v>
      </c>
      <c r="BM156" s="525" t="e">
        <f ca="1">stat(calculs!BM156)</f>
        <v>#NAME?</v>
      </c>
      <c r="BN156" s="525" t="e">
        <f ca="1">stat(calculs!BN156)</f>
        <v>#NAME?</v>
      </c>
      <c r="BO156" s="525" t="e">
        <f ca="1">stat(calculs!BO156)</f>
        <v>#NAME?</v>
      </c>
      <c r="BP156" s="525" t="e">
        <f ca="1">stat(calculs!BP156)</f>
        <v>#NAME?</v>
      </c>
      <c r="BQ156" s="525" t="e">
        <f ca="1">stat(calculs!BQ156)</f>
        <v>#NAME?</v>
      </c>
      <c r="BR156" s="525" t="e">
        <f ca="1">stat(calculs!BR156)</f>
        <v>#NAME?</v>
      </c>
    </row>
    <row r="157" spans="1:70" x14ac:dyDescent="0.2">
      <c r="A157" s="222">
        <f>données_step[[#This Row],[Datum]]</f>
        <v>44708</v>
      </c>
      <c r="B157" s="223"/>
      <c r="C157" s="224">
        <f t="shared" si="2"/>
        <v>6</v>
      </c>
      <c r="D157" s="523" t="e">
        <f ca="1">stat(charge_entree[[#This Row],[ch_E_DBO5]])</f>
        <v>#NAME?</v>
      </c>
      <c r="E157" s="523" t="e">
        <f ca="1">stat(charge_entree[[#This Row],[ch_E_DCO]])</f>
        <v>#NAME?</v>
      </c>
      <c r="F157" s="523" t="e">
        <f ca="1">stat(charge_entree[[#This Row],[ch_E_COT]])</f>
        <v>#NAME?</v>
      </c>
      <c r="G157" s="523" t="e">
        <f ca="1">stat(charge_entree[[#This Row],[ch_E_NH4]])</f>
        <v>#NAME?</v>
      </c>
      <c r="H157" s="523" t="e">
        <f ca="1">stat(charge_entree[[#This Row],[ch_E_NTOT]])</f>
        <v>#NAME?</v>
      </c>
      <c r="I157" s="523" t="e">
        <f ca="1">stat(charge_entree[[#This Row],[ch_E_PTOT]])</f>
        <v>#NAME?</v>
      </c>
      <c r="J157" s="523" t="e">
        <f ca="1">stat(charge_entree[[#This Row],[ch_S_DBO]])</f>
        <v>#NAME?</v>
      </c>
      <c r="K157" s="523" t="e">
        <f ca="1">stat(charge_entree[[#This Row],[ch_S-DCO]])</f>
        <v>#NAME?</v>
      </c>
      <c r="L157" s="523" t="e">
        <f ca="1">stat(charge_entree[[#This Row],[ch_S_DOC]])</f>
        <v>#NAME?</v>
      </c>
      <c r="M157" s="523" t="e">
        <f ca="1">stat(charge_entree[[#This Row],[ch_S_NH4]])</f>
        <v>#NAME?</v>
      </c>
      <c r="N157" s="523" t="e">
        <f ca="1">stat(charge_entree[[#This Row],[ch_S_NO2]])</f>
        <v>#NAME?</v>
      </c>
      <c r="O157" s="523" t="e">
        <f ca="1">stat(charge_entree[[#This Row],[ch_S_NO3]])</f>
        <v>#NAME?</v>
      </c>
      <c r="P157" s="523" t="e">
        <f ca="1">stat(charge_entree[[#This Row],[ch_S_PTOT]])</f>
        <v>#NAME?</v>
      </c>
      <c r="Q157" s="523" t="e">
        <f ca="1">stat(charge_entree[[#This Row],[ch_S_SNDT]])</f>
        <v>#NAME?</v>
      </c>
      <c r="R157" s="523">
        <f>calculs!R157</f>
        <v>0</v>
      </c>
      <c r="S157" s="523" t="e">
        <f ca="1">stat(calculs!S157)</f>
        <v>#NAME?</v>
      </c>
      <c r="T157" s="523" t="e">
        <f ca="1">stat(calculs!T157)</f>
        <v>#NAME?</v>
      </c>
      <c r="U157" s="523" t="e">
        <f ca="1">stat(calculs!U157)</f>
        <v>#NAME?</v>
      </c>
      <c r="V157" s="523" t="e">
        <f ca="1">stat(calculs!V157)</f>
        <v>#NAME?</v>
      </c>
      <c r="W157" s="523" t="e">
        <f ca="1">stat(calculs!W157)</f>
        <v>#NAME?</v>
      </c>
      <c r="X157" s="523" t="e">
        <f ca="1">stat(calculs!X157)</f>
        <v>#NAME?</v>
      </c>
      <c r="Y157" s="523" t="e">
        <f ca="1">stat(calculs!Y157)</f>
        <v>#NAME?</v>
      </c>
      <c r="Z157" s="523" t="e">
        <f ca="1">stat(calculs!Z157)</f>
        <v>#NAME?</v>
      </c>
      <c r="AA157" s="523" t="e">
        <f ca="1">stat(calculs!AA157)</f>
        <v>#NAME?</v>
      </c>
      <c r="AB157" s="523" t="e">
        <f ca="1">stat(calculs!AB157)</f>
        <v>#NAME?</v>
      </c>
      <c r="AC157" s="523" t="e">
        <f ca="1">stat(calculs!AC157)</f>
        <v>#NAME?</v>
      </c>
      <c r="AD157" s="523" t="e">
        <f ca="1">stat(calculs!AD157)</f>
        <v>#NAME?</v>
      </c>
      <c r="AE157" s="523" t="e">
        <f ca="1">stat(calculs!AE157)</f>
        <v>#NAME?</v>
      </c>
      <c r="AF157" s="523" t="e">
        <f ca="1">stat(calculs!AF157)</f>
        <v>#NAME?</v>
      </c>
      <c r="AG157" s="523" t="e">
        <f ca="1">stat(calculs!AG157)</f>
        <v>#NAME?</v>
      </c>
      <c r="AH157" s="523" t="e">
        <f ca="1">stat(calculs!AH157)</f>
        <v>#NAME?</v>
      </c>
      <c r="AI157" s="523" t="e">
        <f ca="1">stat(calculs!AI157)</f>
        <v>#NAME?</v>
      </c>
      <c r="AJ157" s="523" t="e">
        <f ca="1">stat(calculs!AJ157)</f>
        <v>#NAME?</v>
      </c>
      <c r="AK157" s="523" t="e">
        <f ca="1">stat(calculs!AK157)</f>
        <v>#NAME?</v>
      </c>
      <c r="AL157" s="523" t="e">
        <f ca="1">stat(calculs!AL157)</f>
        <v>#NAME?</v>
      </c>
      <c r="AM157" s="523" t="e">
        <f ca="1">stat(calculs!AM157)</f>
        <v>#NAME?</v>
      </c>
      <c r="AN157" s="523" t="e">
        <f ca="1">stat(calculs!AN157)</f>
        <v>#NAME?</v>
      </c>
      <c r="AO157" s="523" t="e">
        <f ca="1">stat(calculs!AO157)</f>
        <v>#NAME?</v>
      </c>
      <c r="AP157" s="523" t="e">
        <f ca="1">stat(calculs!AP157)</f>
        <v>#NAME?</v>
      </c>
      <c r="AQ157" s="523" t="e">
        <f ca="1">stat(calculs!AQ157)</f>
        <v>#NAME?</v>
      </c>
      <c r="AV157" s="525" t="str">
        <f>stat(calculs!AV157)</f>
        <v/>
      </c>
      <c r="AW157" s="525" t="str">
        <f>stat(calculs!AW157)</f>
        <v/>
      </c>
      <c r="AX157" s="525" t="str">
        <f>stat(calculs!AX157)</f>
        <v/>
      </c>
      <c r="AY157" s="525" t="e">
        <f ca="1">stat(calculs!AY157)</f>
        <v>#NAME?</v>
      </c>
      <c r="AZ157" s="525" t="e">
        <f ca="1">stat(calculs!AZ157)</f>
        <v>#NAME?</v>
      </c>
      <c r="BA157" s="525" t="e">
        <f ca="1">stat(calculs!BA157)</f>
        <v>#NAME?</v>
      </c>
      <c r="BB157" s="525" t="e">
        <f ca="1">stat(calculs!BB157)</f>
        <v>#NAME?</v>
      </c>
      <c r="BC157" s="525" t="e">
        <f ca="1">stat(calculs!BC157)</f>
        <v>#NAME?</v>
      </c>
      <c r="BD157" s="525" t="e">
        <f ca="1">stat(calculs!BD157)</f>
        <v>#NAME?</v>
      </c>
      <c r="BE157" s="525" t="e">
        <f ca="1">stat(calculs!BE157)</f>
        <v>#NAME?</v>
      </c>
      <c r="BF157" s="525" t="e">
        <f ca="1">stat(calculs!BF157)</f>
        <v>#NAME?</v>
      </c>
      <c r="BG157" s="729" t="e">
        <f ca="1">stat(calculs!BG157)</f>
        <v>#NAME?</v>
      </c>
      <c r="BH157" s="729" t="e">
        <f ca="1">stat(calculs!BH157)</f>
        <v>#NAME?</v>
      </c>
      <c r="BI157" s="729" t="e">
        <f ca="1">stat(calculs!BI157)</f>
        <v>#NAME?</v>
      </c>
      <c r="BJ157" s="729" t="e">
        <f ca="1">stat(calculs!BJ157)</f>
        <v>#NAME?</v>
      </c>
      <c r="BK157" s="729" t="e">
        <f ca="1">stat(calculs!BK157)</f>
        <v>#NAME?</v>
      </c>
      <c r="BL157" s="525" t="e">
        <f ca="1">stat(calculs!BL157)</f>
        <v>#NAME?</v>
      </c>
      <c r="BM157" s="525" t="e">
        <f ca="1">stat(calculs!BM157)</f>
        <v>#NAME?</v>
      </c>
      <c r="BN157" s="525" t="e">
        <f ca="1">stat(calculs!BN157)</f>
        <v>#NAME?</v>
      </c>
      <c r="BO157" s="525" t="e">
        <f ca="1">stat(calculs!BO157)</f>
        <v>#NAME?</v>
      </c>
      <c r="BP157" s="525" t="e">
        <f ca="1">stat(calculs!BP157)</f>
        <v>#NAME?</v>
      </c>
      <c r="BQ157" s="525" t="e">
        <f ca="1">stat(calculs!BQ157)</f>
        <v>#NAME?</v>
      </c>
      <c r="BR157" s="525" t="e">
        <f ca="1">stat(calculs!BR157)</f>
        <v>#NAME?</v>
      </c>
    </row>
    <row r="158" spans="1:70" x14ac:dyDescent="0.2">
      <c r="A158" s="222">
        <f>données_step[[#This Row],[Datum]]</f>
        <v>44709</v>
      </c>
      <c r="B158" s="223"/>
      <c r="C158" s="224">
        <f t="shared" si="2"/>
        <v>7</v>
      </c>
      <c r="D158" s="523" t="e">
        <f ca="1">stat(charge_entree[[#This Row],[ch_E_DBO5]])</f>
        <v>#NAME?</v>
      </c>
      <c r="E158" s="523" t="e">
        <f ca="1">stat(charge_entree[[#This Row],[ch_E_DCO]])</f>
        <v>#NAME?</v>
      </c>
      <c r="F158" s="523" t="e">
        <f ca="1">stat(charge_entree[[#This Row],[ch_E_COT]])</f>
        <v>#NAME?</v>
      </c>
      <c r="G158" s="523" t="e">
        <f ca="1">stat(charge_entree[[#This Row],[ch_E_NH4]])</f>
        <v>#NAME?</v>
      </c>
      <c r="H158" s="523" t="e">
        <f ca="1">stat(charge_entree[[#This Row],[ch_E_NTOT]])</f>
        <v>#NAME?</v>
      </c>
      <c r="I158" s="523" t="e">
        <f ca="1">stat(charge_entree[[#This Row],[ch_E_PTOT]])</f>
        <v>#NAME?</v>
      </c>
      <c r="J158" s="523" t="e">
        <f ca="1">stat(charge_entree[[#This Row],[ch_S_DBO]])</f>
        <v>#NAME?</v>
      </c>
      <c r="K158" s="523" t="e">
        <f ca="1">stat(charge_entree[[#This Row],[ch_S-DCO]])</f>
        <v>#NAME?</v>
      </c>
      <c r="L158" s="523" t="e">
        <f ca="1">stat(charge_entree[[#This Row],[ch_S_DOC]])</f>
        <v>#NAME?</v>
      </c>
      <c r="M158" s="523" t="e">
        <f ca="1">stat(charge_entree[[#This Row],[ch_S_NH4]])</f>
        <v>#NAME?</v>
      </c>
      <c r="N158" s="523" t="e">
        <f ca="1">stat(charge_entree[[#This Row],[ch_S_NO2]])</f>
        <v>#NAME?</v>
      </c>
      <c r="O158" s="523" t="e">
        <f ca="1">stat(charge_entree[[#This Row],[ch_S_NO3]])</f>
        <v>#NAME?</v>
      </c>
      <c r="P158" s="523" t="e">
        <f ca="1">stat(charge_entree[[#This Row],[ch_S_PTOT]])</f>
        <v>#NAME?</v>
      </c>
      <c r="Q158" s="523" t="e">
        <f ca="1">stat(charge_entree[[#This Row],[ch_S_SNDT]])</f>
        <v>#NAME?</v>
      </c>
      <c r="R158" s="523">
        <f>calculs!R158</f>
        <v>0</v>
      </c>
      <c r="S158" s="523" t="e">
        <f ca="1">stat(calculs!S158)</f>
        <v>#NAME?</v>
      </c>
      <c r="T158" s="523" t="e">
        <f ca="1">stat(calculs!T158)</f>
        <v>#NAME?</v>
      </c>
      <c r="U158" s="523" t="e">
        <f ca="1">stat(calculs!U158)</f>
        <v>#NAME?</v>
      </c>
      <c r="V158" s="523" t="e">
        <f ca="1">stat(calculs!V158)</f>
        <v>#NAME?</v>
      </c>
      <c r="W158" s="523" t="e">
        <f ca="1">stat(calculs!W158)</f>
        <v>#NAME?</v>
      </c>
      <c r="X158" s="523" t="e">
        <f ca="1">stat(calculs!X158)</f>
        <v>#NAME?</v>
      </c>
      <c r="Y158" s="523" t="e">
        <f ca="1">stat(calculs!Y158)</f>
        <v>#NAME?</v>
      </c>
      <c r="Z158" s="523" t="e">
        <f ca="1">stat(calculs!Z158)</f>
        <v>#NAME?</v>
      </c>
      <c r="AA158" s="523" t="e">
        <f ca="1">stat(calculs!AA158)</f>
        <v>#NAME?</v>
      </c>
      <c r="AB158" s="523" t="e">
        <f ca="1">stat(calculs!AB158)</f>
        <v>#NAME?</v>
      </c>
      <c r="AC158" s="523" t="e">
        <f ca="1">stat(calculs!AC158)</f>
        <v>#NAME?</v>
      </c>
      <c r="AD158" s="523" t="e">
        <f ca="1">stat(calculs!AD158)</f>
        <v>#NAME?</v>
      </c>
      <c r="AE158" s="523" t="e">
        <f ca="1">stat(calculs!AE158)</f>
        <v>#NAME?</v>
      </c>
      <c r="AF158" s="523" t="e">
        <f ca="1">stat(calculs!AF158)</f>
        <v>#NAME?</v>
      </c>
      <c r="AG158" s="523" t="e">
        <f ca="1">stat(calculs!AG158)</f>
        <v>#NAME?</v>
      </c>
      <c r="AH158" s="523" t="e">
        <f ca="1">stat(calculs!AH158)</f>
        <v>#NAME?</v>
      </c>
      <c r="AI158" s="523" t="e">
        <f ca="1">stat(calculs!AI158)</f>
        <v>#NAME?</v>
      </c>
      <c r="AJ158" s="523" t="e">
        <f ca="1">stat(calculs!AJ158)</f>
        <v>#NAME?</v>
      </c>
      <c r="AK158" s="523" t="e">
        <f ca="1">stat(calculs!AK158)</f>
        <v>#NAME?</v>
      </c>
      <c r="AL158" s="523" t="e">
        <f ca="1">stat(calculs!AL158)</f>
        <v>#NAME?</v>
      </c>
      <c r="AM158" s="523" t="e">
        <f ca="1">stat(calculs!AM158)</f>
        <v>#NAME?</v>
      </c>
      <c r="AN158" s="523" t="e">
        <f ca="1">stat(calculs!AN158)</f>
        <v>#NAME?</v>
      </c>
      <c r="AO158" s="523" t="e">
        <f ca="1">stat(calculs!AO158)</f>
        <v>#NAME?</v>
      </c>
      <c r="AP158" s="523" t="e">
        <f ca="1">stat(calculs!AP158)</f>
        <v>#NAME?</v>
      </c>
      <c r="AQ158" s="523" t="e">
        <f ca="1">stat(calculs!AQ158)</f>
        <v>#NAME?</v>
      </c>
      <c r="AV158" s="525" t="str">
        <f>stat(calculs!AV158)</f>
        <v/>
      </c>
      <c r="AW158" s="525" t="str">
        <f>stat(calculs!AW158)</f>
        <v/>
      </c>
      <c r="AX158" s="525" t="str">
        <f>stat(calculs!AX158)</f>
        <v/>
      </c>
      <c r="AY158" s="525" t="e">
        <f ca="1">stat(calculs!AY158)</f>
        <v>#NAME?</v>
      </c>
      <c r="AZ158" s="525" t="e">
        <f ca="1">stat(calculs!AZ158)</f>
        <v>#NAME?</v>
      </c>
      <c r="BA158" s="525" t="e">
        <f ca="1">stat(calculs!BA158)</f>
        <v>#NAME?</v>
      </c>
      <c r="BB158" s="525" t="e">
        <f ca="1">stat(calculs!BB158)</f>
        <v>#NAME?</v>
      </c>
      <c r="BC158" s="525" t="e">
        <f ca="1">stat(calculs!BC158)</f>
        <v>#NAME?</v>
      </c>
      <c r="BD158" s="525" t="e">
        <f ca="1">stat(calculs!BD158)</f>
        <v>#NAME?</v>
      </c>
      <c r="BE158" s="525" t="e">
        <f ca="1">stat(calculs!BE158)</f>
        <v>#NAME?</v>
      </c>
      <c r="BF158" s="525" t="e">
        <f ca="1">stat(calculs!BF158)</f>
        <v>#NAME?</v>
      </c>
      <c r="BG158" s="729" t="e">
        <f ca="1">stat(calculs!BG158)</f>
        <v>#NAME?</v>
      </c>
      <c r="BH158" s="729" t="e">
        <f ca="1">stat(calculs!BH158)</f>
        <v>#NAME?</v>
      </c>
      <c r="BI158" s="729" t="e">
        <f ca="1">stat(calculs!BI158)</f>
        <v>#NAME?</v>
      </c>
      <c r="BJ158" s="729" t="e">
        <f ca="1">stat(calculs!BJ158)</f>
        <v>#NAME?</v>
      </c>
      <c r="BK158" s="729" t="e">
        <f ca="1">stat(calculs!BK158)</f>
        <v>#NAME?</v>
      </c>
      <c r="BL158" s="525" t="e">
        <f ca="1">stat(calculs!BL158)</f>
        <v>#NAME?</v>
      </c>
      <c r="BM158" s="525" t="e">
        <f ca="1">stat(calculs!BM158)</f>
        <v>#NAME?</v>
      </c>
      <c r="BN158" s="525" t="e">
        <f ca="1">stat(calculs!BN158)</f>
        <v>#NAME?</v>
      </c>
      <c r="BO158" s="525" t="e">
        <f ca="1">stat(calculs!BO158)</f>
        <v>#NAME?</v>
      </c>
      <c r="BP158" s="525" t="e">
        <f ca="1">stat(calculs!BP158)</f>
        <v>#NAME?</v>
      </c>
      <c r="BQ158" s="525" t="e">
        <f ca="1">stat(calculs!BQ158)</f>
        <v>#NAME?</v>
      </c>
      <c r="BR158" s="525" t="e">
        <f ca="1">stat(calculs!BR158)</f>
        <v>#NAME?</v>
      </c>
    </row>
    <row r="159" spans="1:70" x14ac:dyDescent="0.2">
      <c r="A159" s="222">
        <f>données_step[[#This Row],[Datum]]</f>
        <v>44710</v>
      </c>
      <c r="B159" s="223"/>
      <c r="C159" s="224">
        <f t="shared" si="2"/>
        <v>1</v>
      </c>
      <c r="D159" s="523" t="e">
        <f ca="1">stat(charge_entree[[#This Row],[ch_E_DBO5]])</f>
        <v>#NAME?</v>
      </c>
      <c r="E159" s="523" t="e">
        <f ca="1">stat(charge_entree[[#This Row],[ch_E_DCO]])</f>
        <v>#NAME?</v>
      </c>
      <c r="F159" s="523" t="e">
        <f ca="1">stat(charge_entree[[#This Row],[ch_E_COT]])</f>
        <v>#NAME?</v>
      </c>
      <c r="G159" s="523" t="e">
        <f ca="1">stat(charge_entree[[#This Row],[ch_E_NH4]])</f>
        <v>#NAME?</v>
      </c>
      <c r="H159" s="523" t="e">
        <f ca="1">stat(charge_entree[[#This Row],[ch_E_NTOT]])</f>
        <v>#NAME?</v>
      </c>
      <c r="I159" s="523" t="e">
        <f ca="1">stat(charge_entree[[#This Row],[ch_E_PTOT]])</f>
        <v>#NAME?</v>
      </c>
      <c r="J159" s="523" t="e">
        <f ca="1">stat(charge_entree[[#This Row],[ch_S_DBO]])</f>
        <v>#NAME?</v>
      </c>
      <c r="K159" s="523" t="e">
        <f ca="1">stat(charge_entree[[#This Row],[ch_S-DCO]])</f>
        <v>#NAME?</v>
      </c>
      <c r="L159" s="523" t="e">
        <f ca="1">stat(charge_entree[[#This Row],[ch_S_DOC]])</f>
        <v>#NAME?</v>
      </c>
      <c r="M159" s="523" t="e">
        <f ca="1">stat(charge_entree[[#This Row],[ch_S_NH4]])</f>
        <v>#NAME?</v>
      </c>
      <c r="N159" s="523" t="e">
        <f ca="1">stat(charge_entree[[#This Row],[ch_S_NO2]])</f>
        <v>#NAME?</v>
      </c>
      <c r="O159" s="523" t="e">
        <f ca="1">stat(charge_entree[[#This Row],[ch_S_NO3]])</f>
        <v>#NAME?</v>
      </c>
      <c r="P159" s="523" t="e">
        <f ca="1">stat(charge_entree[[#This Row],[ch_S_PTOT]])</f>
        <v>#NAME?</v>
      </c>
      <c r="Q159" s="523" t="e">
        <f ca="1">stat(charge_entree[[#This Row],[ch_S_SNDT]])</f>
        <v>#NAME?</v>
      </c>
      <c r="R159" s="523">
        <f>calculs!R159</f>
        <v>0</v>
      </c>
      <c r="S159" s="523" t="e">
        <f ca="1">stat(calculs!S159)</f>
        <v>#NAME?</v>
      </c>
      <c r="T159" s="523" t="e">
        <f ca="1">stat(calculs!T159)</f>
        <v>#NAME?</v>
      </c>
      <c r="U159" s="523" t="e">
        <f ca="1">stat(calculs!U159)</f>
        <v>#NAME?</v>
      </c>
      <c r="V159" s="523" t="e">
        <f ca="1">stat(calculs!V159)</f>
        <v>#NAME?</v>
      </c>
      <c r="W159" s="523" t="e">
        <f ca="1">stat(calculs!W159)</f>
        <v>#NAME?</v>
      </c>
      <c r="X159" s="523" t="e">
        <f ca="1">stat(calculs!X159)</f>
        <v>#NAME?</v>
      </c>
      <c r="Y159" s="523" t="e">
        <f ca="1">stat(calculs!Y159)</f>
        <v>#NAME?</v>
      </c>
      <c r="Z159" s="523" t="e">
        <f ca="1">stat(calculs!Z159)</f>
        <v>#NAME?</v>
      </c>
      <c r="AA159" s="523" t="e">
        <f ca="1">stat(calculs!AA159)</f>
        <v>#NAME?</v>
      </c>
      <c r="AB159" s="523" t="e">
        <f ca="1">stat(calculs!AB159)</f>
        <v>#NAME?</v>
      </c>
      <c r="AC159" s="523" t="e">
        <f ca="1">stat(calculs!AC159)</f>
        <v>#NAME?</v>
      </c>
      <c r="AD159" s="523" t="e">
        <f ca="1">stat(calculs!AD159)</f>
        <v>#NAME?</v>
      </c>
      <c r="AE159" s="523" t="e">
        <f ca="1">stat(calculs!AE159)</f>
        <v>#NAME?</v>
      </c>
      <c r="AF159" s="523" t="e">
        <f ca="1">stat(calculs!AF159)</f>
        <v>#NAME?</v>
      </c>
      <c r="AG159" s="523" t="e">
        <f ca="1">stat(calculs!AG159)</f>
        <v>#NAME?</v>
      </c>
      <c r="AH159" s="523" t="e">
        <f ca="1">stat(calculs!AH159)</f>
        <v>#NAME?</v>
      </c>
      <c r="AI159" s="523" t="e">
        <f ca="1">stat(calculs!AI159)</f>
        <v>#NAME?</v>
      </c>
      <c r="AJ159" s="523" t="e">
        <f ca="1">stat(calculs!AJ159)</f>
        <v>#NAME?</v>
      </c>
      <c r="AK159" s="523" t="e">
        <f ca="1">stat(calculs!AK159)</f>
        <v>#NAME?</v>
      </c>
      <c r="AL159" s="523" t="e">
        <f ca="1">stat(calculs!AL159)</f>
        <v>#NAME?</v>
      </c>
      <c r="AM159" s="523" t="e">
        <f ca="1">stat(calculs!AM159)</f>
        <v>#NAME?</v>
      </c>
      <c r="AN159" s="523" t="e">
        <f ca="1">stat(calculs!AN159)</f>
        <v>#NAME?</v>
      </c>
      <c r="AO159" s="523" t="e">
        <f ca="1">stat(calculs!AO159)</f>
        <v>#NAME?</v>
      </c>
      <c r="AP159" s="523" t="e">
        <f ca="1">stat(calculs!AP159)</f>
        <v>#NAME?</v>
      </c>
      <c r="AQ159" s="523" t="e">
        <f ca="1">stat(calculs!AQ159)</f>
        <v>#NAME?</v>
      </c>
      <c r="AV159" s="525" t="str">
        <f>stat(calculs!AV159)</f>
        <v/>
      </c>
      <c r="AW159" s="525" t="str">
        <f>stat(calculs!AW159)</f>
        <v/>
      </c>
      <c r="AX159" s="525" t="str">
        <f>stat(calculs!AX159)</f>
        <v/>
      </c>
      <c r="AY159" s="525" t="e">
        <f ca="1">stat(calculs!AY159)</f>
        <v>#NAME?</v>
      </c>
      <c r="AZ159" s="525" t="e">
        <f ca="1">stat(calculs!AZ159)</f>
        <v>#NAME?</v>
      </c>
      <c r="BA159" s="525" t="e">
        <f ca="1">stat(calculs!BA159)</f>
        <v>#NAME?</v>
      </c>
      <c r="BB159" s="525" t="e">
        <f ca="1">stat(calculs!BB159)</f>
        <v>#NAME?</v>
      </c>
      <c r="BC159" s="525" t="e">
        <f ca="1">stat(calculs!BC159)</f>
        <v>#NAME?</v>
      </c>
      <c r="BD159" s="525" t="e">
        <f ca="1">stat(calculs!BD159)</f>
        <v>#NAME?</v>
      </c>
      <c r="BE159" s="525" t="e">
        <f ca="1">stat(calculs!BE159)</f>
        <v>#NAME?</v>
      </c>
      <c r="BF159" s="525" t="e">
        <f ca="1">stat(calculs!BF159)</f>
        <v>#NAME?</v>
      </c>
      <c r="BG159" s="729" t="e">
        <f ca="1">stat(calculs!BG159)</f>
        <v>#NAME?</v>
      </c>
      <c r="BH159" s="729" t="e">
        <f ca="1">stat(calculs!BH159)</f>
        <v>#NAME?</v>
      </c>
      <c r="BI159" s="729" t="e">
        <f ca="1">stat(calculs!BI159)</f>
        <v>#NAME?</v>
      </c>
      <c r="BJ159" s="729" t="e">
        <f ca="1">stat(calculs!BJ159)</f>
        <v>#NAME?</v>
      </c>
      <c r="BK159" s="729" t="e">
        <f ca="1">stat(calculs!BK159)</f>
        <v>#NAME?</v>
      </c>
      <c r="BL159" s="525" t="e">
        <f ca="1">stat(calculs!BL159)</f>
        <v>#NAME?</v>
      </c>
      <c r="BM159" s="525" t="e">
        <f ca="1">stat(calculs!BM159)</f>
        <v>#NAME?</v>
      </c>
      <c r="BN159" s="525" t="e">
        <f ca="1">stat(calculs!BN159)</f>
        <v>#NAME?</v>
      </c>
      <c r="BO159" s="525" t="e">
        <f ca="1">stat(calculs!BO159)</f>
        <v>#NAME?</v>
      </c>
      <c r="BP159" s="525" t="e">
        <f ca="1">stat(calculs!BP159)</f>
        <v>#NAME?</v>
      </c>
      <c r="BQ159" s="525" t="e">
        <f ca="1">stat(calculs!BQ159)</f>
        <v>#NAME?</v>
      </c>
      <c r="BR159" s="525" t="e">
        <f ca="1">stat(calculs!BR159)</f>
        <v>#NAME?</v>
      </c>
    </row>
    <row r="160" spans="1:70" x14ac:dyDescent="0.2">
      <c r="A160" s="222">
        <f>données_step[[#This Row],[Datum]]</f>
        <v>44711</v>
      </c>
      <c r="B160" s="223"/>
      <c r="C160" s="224">
        <f t="shared" si="2"/>
        <v>2</v>
      </c>
      <c r="D160" s="523" t="e">
        <f ca="1">stat(charge_entree[[#This Row],[ch_E_DBO5]])</f>
        <v>#NAME?</v>
      </c>
      <c r="E160" s="523" t="e">
        <f ca="1">stat(charge_entree[[#This Row],[ch_E_DCO]])</f>
        <v>#NAME?</v>
      </c>
      <c r="F160" s="523" t="e">
        <f ca="1">stat(charge_entree[[#This Row],[ch_E_COT]])</f>
        <v>#NAME?</v>
      </c>
      <c r="G160" s="523" t="e">
        <f ca="1">stat(charge_entree[[#This Row],[ch_E_NH4]])</f>
        <v>#NAME?</v>
      </c>
      <c r="H160" s="523" t="e">
        <f ca="1">stat(charge_entree[[#This Row],[ch_E_NTOT]])</f>
        <v>#NAME?</v>
      </c>
      <c r="I160" s="523" t="e">
        <f ca="1">stat(charge_entree[[#This Row],[ch_E_PTOT]])</f>
        <v>#NAME?</v>
      </c>
      <c r="J160" s="523" t="e">
        <f ca="1">stat(charge_entree[[#This Row],[ch_S_DBO]])</f>
        <v>#NAME?</v>
      </c>
      <c r="K160" s="523" t="e">
        <f ca="1">stat(charge_entree[[#This Row],[ch_S-DCO]])</f>
        <v>#NAME?</v>
      </c>
      <c r="L160" s="523" t="e">
        <f ca="1">stat(charge_entree[[#This Row],[ch_S_DOC]])</f>
        <v>#NAME?</v>
      </c>
      <c r="M160" s="523" t="e">
        <f ca="1">stat(charge_entree[[#This Row],[ch_S_NH4]])</f>
        <v>#NAME?</v>
      </c>
      <c r="N160" s="523" t="e">
        <f ca="1">stat(charge_entree[[#This Row],[ch_S_NO2]])</f>
        <v>#NAME?</v>
      </c>
      <c r="O160" s="523" t="e">
        <f ca="1">stat(charge_entree[[#This Row],[ch_S_NO3]])</f>
        <v>#NAME?</v>
      </c>
      <c r="P160" s="523" t="e">
        <f ca="1">stat(charge_entree[[#This Row],[ch_S_PTOT]])</f>
        <v>#NAME?</v>
      </c>
      <c r="Q160" s="523" t="e">
        <f ca="1">stat(charge_entree[[#This Row],[ch_S_SNDT]])</f>
        <v>#NAME?</v>
      </c>
      <c r="R160" s="523">
        <f>calculs!R160</f>
        <v>0</v>
      </c>
      <c r="S160" s="523" t="e">
        <f ca="1">stat(calculs!S160)</f>
        <v>#NAME?</v>
      </c>
      <c r="T160" s="523" t="e">
        <f ca="1">stat(calculs!T160)</f>
        <v>#NAME?</v>
      </c>
      <c r="U160" s="523" t="e">
        <f ca="1">stat(calculs!U160)</f>
        <v>#NAME?</v>
      </c>
      <c r="V160" s="523" t="e">
        <f ca="1">stat(calculs!V160)</f>
        <v>#NAME?</v>
      </c>
      <c r="W160" s="523" t="e">
        <f ca="1">stat(calculs!W160)</f>
        <v>#NAME?</v>
      </c>
      <c r="X160" s="523" t="e">
        <f ca="1">stat(calculs!X160)</f>
        <v>#NAME?</v>
      </c>
      <c r="Y160" s="523" t="e">
        <f ca="1">stat(calculs!Y160)</f>
        <v>#NAME?</v>
      </c>
      <c r="Z160" s="523" t="e">
        <f ca="1">stat(calculs!Z160)</f>
        <v>#NAME?</v>
      </c>
      <c r="AA160" s="523" t="e">
        <f ca="1">stat(calculs!AA160)</f>
        <v>#NAME?</v>
      </c>
      <c r="AB160" s="523" t="e">
        <f ca="1">stat(calculs!AB160)</f>
        <v>#NAME?</v>
      </c>
      <c r="AC160" s="523" t="e">
        <f ca="1">stat(calculs!AC160)</f>
        <v>#NAME?</v>
      </c>
      <c r="AD160" s="523" t="e">
        <f ca="1">stat(calculs!AD160)</f>
        <v>#NAME?</v>
      </c>
      <c r="AE160" s="523" t="e">
        <f ca="1">stat(calculs!AE160)</f>
        <v>#NAME?</v>
      </c>
      <c r="AF160" s="523" t="e">
        <f ca="1">stat(calculs!AF160)</f>
        <v>#NAME?</v>
      </c>
      <c r="AG160" s="523" t="e">
        <f ca="1">stat(calculs!AG160)</f>
        <v>#NAME?</v>
      </c>
      <c r="AH160" s="523" t="e">
        <f ca="1">stat(calculs!AH160)</f>
        <v>#NAME?</v>
      </c>
      <c r="AI160" s="523" t="e">
        <f ca="1">stat(calculs!AI160)</f>
        <v>#NAME?</v>
      </c>
      <c r="AJ160" s="523" t="e">
        <f ca="1">stat(calculs!AJ160)</f>
        <v>#NAME?</v>
      </c>
      <c r="AK160" s="523" t="e">
        <f ca="1">stat(calculs!AK160)</f>
        <v>#NAME?</v>
      </c>
      <c r="AL160" s="523" t="e">
        <f ca="1">stat(calculs!AL160)</f>
        <v>#NAME?</v>
      </c>
      <c r="AM160" s="523" t="e">
        <f ca="1">stat(calculs!AM160)</f>
        <v>#NAME?</v>
      </c>
      <c r="AN160" s="523" t="e">
        <f ca="1">stat(calculs!AN160)</f>
        <v>#NAME?</v>
      </c>
      <c r="AO160" s="523" t="e">
        <f ca="1">stat(calculs!AO160)</f>
        <v>#NAME?</v>
      </c>
      <c r="AP160" s="523" t="e">
        <f ca="1">stat(calculs!AP160)</f>
        <v>#NAME?</v>
      </c>
      <c r="AQ160" s="523" t="e">
        <f ca="1">stat(calculs!AQ160)</f>
        <v>#NAME?</v>
      </c>
      <c r="AV160" s="525" t="str">
        <f>stat(calculs!AV160)</f>
        <v/>
      </c>
      <c r="AW160" s="525" t="str">
        <f>stat(calculs!AW160)</f>
        <v/>
      </c>
      <c r="AX160" s="525" t="str">
        <f>stat(calculs!AX160)</f>
        <v/>
      </c>
      <c r="AY160" s="525" t="e">
        <f ca="1">stat(calculs!AY160)</f>
        <v>#NAME?</v>
      </c>
      <c r="AZ160" s="525" t="e">
        <f ca="1">stat(calculs!AZ160)</f>
        <v>#NAME?</v>
      </c>
      <c r="BA160" s="525" t="e">
        <f ca="1">stat(calculs!BA160)</f>
        <v>#NAME?</v>
      </c>
      <c r="BB160" s="525" t="e">
        <f ca="1">stat(calculs!BB160)</f>
        <v>#NAME?</v>
      </c>
      <c r="BC160" s="525" t="e">
        <f ca="1">stat(calculs!BC160)</f>
        <v>#NAME?</v>
      </c>
      <c r="BD160" s="525" t="e">
        <f ca="1">stat(calculs!BD160)</f>
        <v>#NAME?</v>
      </c>
      <c r="BE160" s="525" t="e">
        <f ca="1">stat(calculs!BE160)</f>
        <v>#NAME?</v>
      </c>
      <c r="BF160" s="525" t="e">
        <f ca="1">stat(calculs!BF160)</f>
        <v>#NAME?</v>
      </c>
      <c r="BG160" s="729" t="e">
        <f ca="1">stat(calculs!BG160)</f>
        <v>#NAME?</v>
      </c>
      <c r="BH160" s="729" t="e">
        <f ca="1">stat(calculs!BH160)</f>
        <v>#NAME?</v>
      </c>
      <c r="BI160" s="729" t="e">
        <f ca="1">stat(calculs!BI160)</f>
        <v>#NAME?</v>
      </c>
      <c r="BJ160" s="729" t="e">
        <f ca="1">stat(calculs!BJ160)</f>
        <v>#NAME?</v>
      </c>
      <c r="BK160" s="729" t="e">
        <f ca="1">stat(calculs!BK160)</f>
        <v>#NAME?</v>
      </c>
      <c r="BL160" s="525" t="e">
        <f ca="1">stat(calculs!BL160)</f>
        <v>#NAME?</v>
      </c>
      <c r="BM160" s="525" t="e">
        <f ca="1">stat(calculs!BM160)</f>
        <v>#NAME?</v>
      </c>
      <c r="BN160" s="525" t="e">
        <f ca="1">stat(calculs!BN160)</f>
        <v>#NAME?</v>
      </c>
      <c r="BO160" s="525" t="e">
        <f ca="1">stat(calculs!BO160)</f>
        <v>#NAME?</v>
      </c>
      <c r="BP160" s="525" t="e">
        <f ca="1">stat(calculs!BP160)</f>
        <v>#NAME?</v>
      </c>
      <c r="BQ160" s="525" t="e">
        <f ca="1">stat(calculs!BQ160)</f>
        <v>#NAME?</v>
      </c>
      <c r="BR160" s="525" t="e">
        <f ca="1">stat(calculs!BR160)</f>
        <v>#NAME?</v>
      </c>
    </row>
    <row r="161" spans="1:70" x14ac:dyDescent="0.2">
      <c r="A161" s="222">
        <f>données_step[[#This Row],[Datum]]</f>
        <v>44712</v>
      </c>
      <c r="B161" s="223"/>
      <c r="C161" s="224">
        <f t="shared" si="2"/>
        <v>3</v>
      </c>
      <c r="D161" s="523" t="e">
        <f ca="1">stat(charge_entree[[#This Row],[ch_E_DBO5]])</f>
        <v>#NAME?</v>
      </c>
      <c r="E161" s="523" t="e">
        <f ca="1">stat(charge_entree[[#This Row],[ch_E_DCO]])</f>
        <v>#NAME?</v>
      </c>
      <c r="F161" s="523" t="e">
        <f ca="1">stat(charge_entree[[#This Row],[ch_E_COT]])</f>
        <v>#NAME?</v>
      </c>
      <c r="G161" s="523" t="e">
        <f ca="1">stat(charge_entree[[#This Row],[ch_E_NH4]])</f>
        <v>#NAME?</v>
      </c>
      <c r="H161" s="523" t="e">
        <f ca="1">stat(charge_entree[[#This Row],[ch_E_NTOT]])</f>
        <v>#NAME?</v>
      </c>
      <c r="I161" s="523" t="e">
        <f ca="1">stat(charge_entree[[#This Row],[ch_E_PTOT]])</f>
        <v>#NAME?</v>
      </c>
      <c r="J161" s="523" t="e">
        <f ca="1">stat(charge_entree[[#This Row],[ch_S_DBO]])</f>
        <v>#NAME?</v>
      </c>
      <c r="K161" s="523" t="e">
        <f ca="1">stat(charge_entree[[#This Row],[ch_S-DCO]])</f>
        <v>#NAME?</v>
      </c>
      <c r="L161" s="523" t="e">
        <f ca="1">stat(charge_entree[[#This Row],[ch_S_DOC]])</f>
        <v>#NAME?</v>
      </c>
      <c r="M161" s="523" t="e">
        <f ca="1">stat(charge_entree[[#This Row],[ch_S_NH4]])</f>
        <v>#NAME?</v>
      </c>
      <c r="N161" s="523" t="e">
        <f ca="1">stat(charge_entree[[#This Row],[ch_S_NO2]])</f>
        <v>#NAME?</v>
      </c>
      <c r="O161" s="523" t="e">
        <f ca="1">stat(charge_entree[[#This Row],[ch_S_NO3]])</f>
        <v>#NAME?</v>
      </c>
      <c r="P161" s="523" t="e">
        <f ca="1">stat(charge_entree[[#This Row],[ch_S_PTOT]])</f>
        <v>#NAME?</v>
      </c>
      <c r="Q161" s="523" t="e">
        <f ca="1">stat(charge_entree[[#This Row],[ch_S_SNDT]])</f>
        <v>#NAME?</v>
      </c>
      <c r="R161" s="523">
        <f>calculs!R161</f>
        <v>0</v>
      </c>
      <c r="S161" s="523" t="e">
        <f ca="1">stat(calculs!S161)</f>
        <v>#NAME?</v>
      </c>
      <c r="T161" s="523" t="e">
        <f ca="1">stat(calculs!T161)</f>
        <v>#NAME?</v>
      </c>
      <c r="U161" s="523" t="e">
        <f ca="1">stat(calculs!U161)</f>
        <v>#NAME?</v>
      </c>
      <c r="V161" s="523" t="e">
        <f ca="1">stat(calculs!V161)</f>
        <v>#NAME?</v>
      </c>
      <c r="W161" s="523" t="e">
        <f ca="1">stat(calculs!W161)</f>
        <v>#NAME?</v>
      </c>
      <c r="X161" s="523" t="e">
        <f ca="1">stat(calculs!X161)</f>
        <v>#NAME?</v>
      </c>
      <c r="Y161" s="523" t="e">
        <f ca="1">stat(calculs!Y161)</f>
        <v>#NAME?</v>
      </c>
      <c r="Z161" s="523" t="e">
        <f ca="1">stat(calculs!Z161)</f>
        <v>#NAME?</v>
      </c>
      <c r="AA161" s="523" t="e">
        <f ca="1">stat(calculs!AA161)</f>
        <v>#NAME?</v>
      </c>
      <c r="AB161" s="523" t="e">
        <f ca="1">stat(calculs!AB161)</f>
        <v>#NAME?</v>
      </c>
      <c r="AC161" s="523" t="e">
        <f ca="1">stat(calculs!AC161)</f>
        <v>#NAME?</v>
      </c>
      <c r="AD161" s="523" t="e">
        <f ca="1">stat(calculs!AD161)</f>
        <v>#NAME?</v>
      </c>
      <c r="AE161" s="523" t="e">
        <f ca="1">stat(calculs!AE161)</f>
        <v>#NAME?</v>
      </c>
      <c r="AF161" s="523" t="e">
        <f ca="1">stat(calculs!AF161)</f>
        <v>#NAME?</v>
      </c>
      <c r="AG161" s="523" t="e">
        <f ca="1">stat(calculs!AG161)</f>
        <v>#NAME?</v>
      </c>
      <c r="AH161" s="523" t="e">
        <f ca="1">stat(calculs!AH161)</f>
        <v>#NAME?</v>
      </c>
      <c r="AI161" s="523" t="e">
        <f ca="1">stat(calculs!AI161)</f>
        <v>#NAME?</v>
      </c>
      <c r="AJ161" s="523" t="e">
        <f ca="1">stat(calculs!AJ161)</f>
        <v>#NAME?</v>
      </c>
      <c r="AK161" s="523" t="e">
        <f ca="1">stat(calculs!AK161)</f>
        <v>#NAME?</v>
      </c>
      <c r="AL161" s="523" t="e">
        <f ca="1">stat(calculs!AL161)</f>
        <v>#NAME?</v>
      </c>
      <c r="AM161" s="523" t="e">
        <f ca="1">stat(calculs!AM161)</f>
        <v>#NAME?</v>
      </c>
      <c r="AN161" s="523" t="e">
        <f ca="1">stat(calculs!AN161)</f>
        <v>#NAME?</v>
      </c>
      <c r="AO161" s="523" t="e">
        <f ca="1">stat(calculs!AO161)</f>
        <v>#NAME?</v>
      </c>
      <c r="AP161" s="523" t="e">
        <f ca="1">stat(calculs!AP161)</f>
        <v>#NAME?</v>
      </c>
      <c r="AQ161" s="523" t="e">
        <f ca="1">stat(calculs!AQ161)</f>
        <v>#NAME?</v>
      </c>
      <c r="AV161" s="525" t="str">
        <f>stat(calculs!AV161)</f>
        <v/>
      </c>
      <c r="AW161" s="525" t="str">
        <f>stat(calculs!AW161)</f>
        <v/>
      </c>
      <c r="AX161" s="525" t="str">
        <f>stat(calculs!AX161)</f>
        <v/>
      </c>
      <c r="AY161" s="525" t="e">
        <f ca="1">stat(calculs!AY161)</f>
        <v>#NAME?</v>
      </c>
      <c r="AZ161" s="525" t="e">
        <f ca="1">stat(calculs!AZ161)</f>
        <v>#NAME?</v>
      </c>
      <c r="BA161" s="525" t="e">
        <f ca="1">stat(calculs!BA161)</f>
        <v>#NAME?</v>
      </c>
      <c r="BB161" s="525" t="e">
        <f ca="1">stat(calculs!BB161)</f>
        <v>#NAME?</v>
      </c>
      <c r="BC161" s="525" t="e">
        <f ca="1">stat(calculs!BC161)</f>
        <v>#NAME?</v>
      </c>
      <c r="BD161" s="525" t="e">
        <f ca="1">stat(calculs!BD161)</f>
        <v>#NAME?</v>
      </c>
      <c r="BE161" s="525" t="e">
        <f ca="1">stat(calculs!BE161)</f>
        <v>#NAME?</v>
      </c>
      <c r="BF161" s="525" t="e">
        <f ca="1">stat(calculs!BF161)</f>
        <v>#NAME?</v>
      </c>
      <c r="BG161" s="729" t="e">
        <f ca="1">stat(calculs!BG161)</f>
        <v>#NAME?</v>
      </c>
      <c r="BH161" s="729" t="e">
        <f ca="1">stat(calculs!BH161)</f>
        <v>#NAME?</v>
      </c>
      <c r="BI161" s="729" t="e">
        <f ca="1">stat(calculs!BI161)</f>
        <v>#NAME?</v>
      </c>
      <c r="BJ161" s="729" t="e">
        <f ca="1">stat(calculs!BJ161)</f>
        <v>#NAME?</v>
      </c>
      <c r="BK161" s="729" t="e">
        <f ca="1">stat(calculs!BK161)</f>
        <v>#NAME?</v>
      </c>
      <c r="BL161" s="525" t="e">
        <f ca="1">stat(calculs!BL161)</f>
        <v>#NAME?</v>
      </c>
      <c r="BM161" s="525" t="e">
        <f ca="1">stat(calculs!BM161)</f>
        <v>#NAME?</v>
      </c>
      <c r="BN161" s="525" t="e">
        <f ca="1">stat(calculs!BN161)</f>
        <v>#NAME?</v>
      </c>
      <c r="BO161" s="525" t="e">
        <f ca="1">stat(calculs!BO161)</f>
        <v>#NAME?</v>
      </c>
      <c r="BP161" s="525" t="e">
        <f ca="1">stat(calculs!BP161)</f>
        <v>#NAME?</v>
      </c>
      <c r="BQ161" s="525" t="e">
        <f ca="1">stat(calculs!BQ161)</f>
        <v>#NAME?</v>
      </c>
      <c r="BR161" s="525" t="e">
        <f ca="1">stat(calculs!BR161)</f>
        <v>#NAME?</v>
      </c>
    </row>
    <row r="162" spans="1:70" x14ac:dyDescent="0.2">
      <c r="A162" s="222">
        <f>données_step[[#This Row],[Datum]]</f>
        <v>44713</v>
      </c>
      <c r="B162" s="223"/>
      <c r="C162" s="224">
        <f t="shared" si="2"/>
        <v>4</v>
      </c>
      <c r="D162" s="523" t="e">
        <f ca="1">stat(charge_entree[[#This Row],[ch_E_DBO5]])</f>
        <v>#NAME?</v>
      </c>
      <c r="E162" s="523" t="e">
        <f ca="1">stat(charge_entree[[#This Row],[ch_E_DCO]])</f>
        <v>#NAME?</v>
      </c>
      <c r="F162" s="523" t="e">
        <f ca="1">stat(charge_entree[[#This Row],[ch_E_COT]])</f>
        <v>#NAME?</v>
      </c>
      <c r="G162" s="523" t="e">
        <f ca="1">stat(charge_entree[[#This Row],[ch_E_NH4]])</f>
        <v>#NAME?</v>
      </c>
      <c r="H162" s="523" t="e">
        <f ca="1">stat(charge_entree[[#This Row],[ch_E_NTOT]])</f>
        <v>#NAME?</v>
      </c>
      <c r="I162" s="523" t="e">
        <f ca="1">stat(charge_entree[[#This Row],[ch_E_PTOT]])</f>
        <v>#NAME?</v>
      </c>
      <c r="J162" s="523" t="e">
        <f ca="1">stat(charge_entree[[#This Row],[ch_S_DBO]])</f>
        <v>#NAME?</v>
      </c>
      <c r="K162" s="523" t="e">
        <f ca="1">stat(charge_entree[[#This Row],[ch_S-DCO]])</f>
        <v>#NAME?</v>
      </c>
      <c r="L162" s="523" t="e">
        <f ca="1">stat(charge_entree[[#This Row],[ch_S_DOC]])</f>
        <v>#NAME?</v>
      </c>
      <c r="M162" s="523" t="e">
        <f ca="1">stat(charge_entree[[#This Row],[ch_S_NH4]])</f>
        <v>#NAME?</v>
      </c>
      <c r="N162" s="523" t="e">
        <f ca="1">stat(charge_entree[[#This Row],[ch_S_NO2]])</f>
        <v>#NAME?</v>
      </c>
      <c r="O162" s="523" t="e">
        <f ca="1">stat(charge_entree[[#This Row],[ch_S_NO3]])</f>
        <v>#NAME?</v>
      </c>
      <c r="P162" s="523" t="e">
        <f ca="1">stat(charge_entree[[#This Row],[ch_S_PTOT]])</f>
        <v>#NAME?</v>
      </c>
      <c r="Q162" s="523" t="e">
        <f ca="1">stat(charge_entree[[#This Row],[ch_S_SNDT]])</f>
        <v>#NAME?</v>
      </c>
      <c r="R162" s="523">
        <f>calculs!R162</f>
        <v>0</v>
      </c>
      <c r="S162" s="523" t="e">
        <f ca="1">stat(calculs!S162)</f>
        <v>#NAME?</v>
      </c>
      <c r="T162" s="523" t="e">
        <f ca="1">stat(calculs!T162)</f>
        <v>#NAME?</v>
      </c>
      <c r="U162" s="523" t="e">
        <f ca="1">stat(calculs!U162)</f>
        <v>#NAME?</v>
      </c>
      <c r="V162" s="523" t="e">
        <f ca="1">stat(calculs!V162)</f>
        <v>#NAME?</v>
      </c>
      <c r="W162" s="523" t="e">
        <f ca="1">stat(calculs!W162)</f>
        <v>#NAME?</v>
      </c>
      <c r="X162" s="523" t="e">
        <f ca="1">stat(calculs!X162)</f>
        <v>#NAME?</v>
      </c>
      <c r="Y162" s="523" t="e">
        <f ca="1">stat(calculs!Y162)</f>
        <v>#NAME?</v>
      </c>
      <c r="Z162" s="523" t="e">
        <f ca="1">stat(calculs!Z162)</f>
        <v>#NAME?</v>
      </c>
      <c r="AA162" s="523" t="e">
        <f ca="1">stat(calculs!AA162)</f>
        <v>#NAME?</v>
      </c>
      <c r="AB162" s="523" t="e">
        <f ca="1">stat(calculs!AB162)</f>
        <v>#NAME?</v>
      </c>
      <c r="AC162" s="523" t="e">
        <f ca="1">stat(calculs!AC162)</f>
        <v>#NAME?</v>
      </c>
      <c r="AD162" s="523" t="e">
        <f ca="1">stat(calculs!AD162)</f>
        <v>#NAME?</v>
      </c>
      <c r="AE162" s="523" t="e">
        <f ca="1">stat(calculs!AE162)</f>
        <v>#NAME?</v>
      </c>
      <c r="AF162" s="523" t="e">
        <f ca="1">stat(calculs!AF162)</f>
        <v>#NAME?</v>
      </c>
      <c r="AG162" s="523" t="e">
        <f ca="1">stat(calculs!AG162)</f>
        <v>#NAME?</v>
      </c>
      <c r="AH162" s="523" t="e">
        <f ca="1">stat(calculs!AH162)</f>
        <v>#NAME?</v>
      </c>
      <c r="AI162" s="523" t="e">
        <f ca="1">stat(calculs!AI162)</f>
        <v>#NAME?</v>
      </c>
      <c r="AJ162" s="523" t="e">
        <f ca="1">stat(calculs!AJ162)</f>
        <v>#NAME?</v>
      </c>
      <c r="AK162" s="523" t="e">
        <f ca="1">stat(calculs!AK162)</f>
        <v>#NAME?</v>
      </c>
      <c r="AL162" s="523" t="e">
        <f ca="1">stat(calculs!AL162)</f>
        <v>#NAME?</v>
      </c>
      <c r="AM162" s="523" t="e">
        <f ca="1">stat(calculs!AM162)</f>
        <v>#NAME?</v>
      </c>
      <c r="AN162" s="523" t="e">
        <f ca="1">stat(calculs!AN162)</f>
        <v>#NAME?</v>
      </c>
      <c r="AO162" s="523" t="e">
        <f ca="1">stat(calculs!AO162)</f>
        <v>#NAME?</v>
      </c>
      <c r="AP162" s="523" t="e">
        <f ca="1">stat(calculs!AP162)</f>
        <v>#NAME?</v>
      </c>
      <c r="AQ162" s="523" t="e">
        <f ca="1">stat(calculs!AQ162)</f>
        <v>#NAME?</v>
      </c>
      <c r="AV162" s="525" t="str">
        <f>stat(calculs!AV162)</f>
        <v/>
      </c>
      <c r="AW162" s="525" t="str">
        <f>stat(calculs!AW162)</f>
        <v/>
      </c>
      <c r="AX162" s="525" t="str">
        <f>stat(calculs!AX162)</f>
        <v/>
      </c>
      <c r="AY162" s="525" t="e">
        <f ca="1">stat(calculs!AY162)</f>
        <v>#NAME?</v>
      </c>
      <c r="AZ162" s="525" t="e">
        <f ca="1">stat(calculs!AZ162)</f>
        <v>#NAME?</v>
      </c>
      <c r="BA162" s="525" t="e">
        <f ca="1">stat(calculs!BA162)</f>
        <v>#NAME?</v>
      </c>
      <c r="BB162" s="525" t="e">
        <f ca="1">stat(calculs!BB162)</f>
        <v>#NAME?</v>
      </c>
      <c r="BC162" s="525" t="e">
        <f ca="1">stat(calculs!BC162)</f>
        <v>#NAME?</v>
      </c>
      <c r="BD162" s="525" t="e">
        <f ca="1">stat(calculs!BD162)</f>
        <v>#NAME?</v>
      </c>
      <c r="BE162" s="525" t="e">
        <f ca="1">stat(calculs!BE162)</f>
        <v>#NAME?</v>
      </c>
      <c r="BF162" s="525" t="e">
        <f ca="1">stat(calculs!BF162)</f>
        <v>#NAME?</v>
      </c>
      <c r="BG162" s="729" t="e">
        <f ca="1">stat(calculs!BG162)</f>
        <v>#NAME?</v>
      </c>
      <c r="BH162" s="729" t="e">
        <f ca="1">stat(calculs!BH162)</f>
        <v>#NAME?</v>
      </c>
      <c r="BI162" s="729" t="e">
        <f ca="1">stat(calculs!BI162)</f>
        <v>#NAME?</v>
      </c>
      <c r="BJ162" s="729" t="e">
        <f ca="1">stat(calculs!BJ162)</f>
        <v>#NAME?</v>
      </c>
      <c r="BK162" s="729" t="e">
        <f ca="1">stat(calculs!BK162)</f>
        <v>#NAME?</v>
      </c>
      <c r="BL162" s="525" t="e">
        <f ca="1">stat(calculs!BL162)</f>
        <v>#NAME?</v>
      </c>
      <c r="BM162" s="525" t="e">
        <f ca="1">stat(calculs!BM162)</f>
        <v>#NAME?</v>
      </c>
      <c r="BN162" s="525" t="e">
        <f ca="1">stat(calculs!BN162)</f>
        <v>#NAME?</v>
      </c>
      <c r="BO162" s="525" t="e">
        <f ca="1">stat(calculs!BO162)</f>
        <v>#NAME?</v>
      </c>
      <c r="BP162" s="525" t="e">
        <f ca="1">stat(calculs!BP162)</f>
        <v>#NAME?</v>
      </c>
      <c r="BQ162" s="525" t="e">
        <f ca="1">stat(calculs!BQ162)</f>
        <v>#NAME?</v>
      </c>
      <c r="BR162" s="525" t="e">
        <f ca="1">stat(calculs!BR162)</f>
        <v>#NAME?</v>
      </c>
    </row>
    <row r="163" spans="1:70" x14ac:dyDescent="0.2">
      <c r="A163" s="222">
        <f>données_step[[#This Row],[Datum]]</f>
        <v>44714</v>
      </c>
      <c r="B163" s="223"/>
      <c r="C163" s="224">
        <f t="shared" si="2"/>
        <v>5</v>
      </c>
      <c r="D163" s="523" t="e">
        <f ca="1">stat(charge_entree[[#This Row],[ch_E_DBO5]])</f>
        <v>#NAME?</v>
      </c>
      <c r="E163" s="523" t="e">
        <f ca="1">stat(charge_entree[[#This Row],[ch_E_DCO]])</f>
        <v>#NAME?</v>
      </c>
      <c r="F163" s="523" t="e">
        <f ca="1">stat(charge_entree[[#This Row],[ch_E_COT]])</f>
        <v>#NAME?</v>
      </c>
      <c r="G163" s="523" t="e">
        <f ca="1">stat(charge_entree[[#This Row],[ch_E_NH4]])</f>
        <v>#NAME?</v>
      </c>
      <c r="H163" s="523" t="e">
        <f ca="1">stat(charge_entree[[#This Row],[ch_E_NTOT]])</f>
        <v>#NAME?</v>
      </c>
      <c r="I163" s="523" t="e">
        <f ca="1">stat(charge_entree[[#This Row],[ch_E_PTOT]])</f>
        <v>#NAME?</v>
      </c>
      <c r="J163" s="523" t="e">
        <f ca="1">stat(charge_entree[[#This Row],[ch_S_DBO]])</f>
        <v>#NAME?</v>
      </c>
      <c r="K163" s="523" t="e">
        <f ca="1">stat(charge_entree[[#This Row],[ch_S-DCO]])</f>
        <v>#NAME?</v>
      </c>
      <c r="L163" s="523" t="e">
        <f ca="1">stat(charge_entree[[#This Row],[ch_S_DOC]])</f>
        <v>#NAME?</v>
      </c>
      <c r="M163" s="523" t="e">
        <f ca="1">stat(charge_entree[[#This Row],[ch_S_NH4]])</f>
        <v>#NAME?</v>
      </c>
      <c r="N163" s="523" t="e">
        <f ca="1">stat(charge_entree[[#This Row],[ch_S_NO2]])</f>
        <v>#NAME?</v>
      </c>
      <c r="O163" s="523" t="e">
        <f ca="1">stat(charge_entree[[#This Row],[ch_S_NO3]])</f>
        <v>#NAME?</v>
      </c>
      <c r="P163" s="523" t="e">
        <f ca="1">stat(charge_entree[[#This Row],[ch_S_PTOT]])</f>
        <v>#NAME?</v>
      </c>
      <c r="Q163" s="523" t="e">
        <f ca="1">stat(charge_entree[[#This Row],[ch_S_SNDT]])</f>
        <v>#NAME?</v>
      </c>
      <c r="R163" s="523">
        <f>calculs!R163</f>
        <v>0</v>
      </c>
      <c r="S163" s="523" t="e">
        <f ca="1">stat(calculs!S163)</f>
        <v>#NAME?</v>
      </c>
      <c r="T163" s="523" t="e">
        <f ca="1">stat(calculs!T163)</f>
        <v>#NAME?</v>
      </c>
      <c r="U163" s="523" t="e">
        <f ca="1">stat(calculs!U163)</f>
        <v>#NAME?</v>
      </c>
      <c r="V163" s="523" t="e">
        <f ca="1">stat(calculs!V163)</f>
        <v>#NAME?</v>
      </c>
      <c r="W163" s="523" t="e">
        <f ca="1">stat(calculs!W163)</f>
        <v>#NAME?</v>
      </c>
      <c r="X163" s="523" t="e">
        <f ca="1">stat(calculs!X163)</f>
        <v>#NAME?</v>
      </c>
      <c r="Y163" s="523" t="e">
        <f ca="1">stat(calculs!Y163)</f>
        <v>#NAME?</v>
      </c>
      <c r="Z163" s="523" t="e">
        <f ca="1">stat(calculs!Z163)</f>
        <v>#NAME?</v>
      </c>
      <c r="AA163" s="523" t="e">
        <f ca="1">stat(calculs!AA163)</f>
        <v>#NAME?</v>
      </c>
      <c r="AB163" s="523" t="e">
        <f ca="1">stat(calculs!AB163)</f>
        <v>#NAME?</v>
      </c>
      <c r="AC163" s="523" t="e">
        <f ca="1">stat(calculs!AC163)</f>
        <v>#NAME?</v>
      </c>
      <c r="AD163" s="523" t="e">
        <f ca="1">stat(calculs!AD163)</f>
        <v>#NAME?</v>
      </c>
      <c r="AE163" s="523" t="e">
        <f ca="1">stat(calculs!AE163)</f>
        <v>#NAME?</v>
      </c>
      <c r="AF163" s="523" t="e">
        <f ca="1">stat(calculs!AF163)</f>
        <v>#NAME?</v>
      </c>
      <c r="AG163" s="523" t="e">
        <f ca="1">stat(calculs!AG163)</f>
        <v>#NAME?</v>
      </c>
      <c r="AH163" s="523" t="e">
        <f ca="1">stat(calculs!AH163)</f>
        <v>#NAME?</v>
      </c>
      <c r="AI163" s="523" t="e">
        <f ca="1">stat(calculs!AI163)</f>
        <v>#NAME?</v>
      </c>
      <c r="AJ163" s="523" t="e">
        <f ca="1">stat(calculs!AJ163)</f>
        <v>#NAME?</v>
      </c>
      <c r="AK163" s="523" t="e">
        <f ca="1">stat(calculs!AK163)</f>
        <v>#NAME?</v>
      </c>
      <c r="AL163" s="523" t="e">
        <f ca="1">stat(calculs!AL163)</f>
        <v>#NAME?</v>
      </c>
      <c r="AM163" s="523" t="e">
        <f ca="1">stat(calculs!AM163)</f>
        <v>#NAME?</v>
      </c>
      <c r="AN163" s="523" t="e">
        <f ca="1">stat(calculs!AN163)</f>
        <v>#NAME?</v>
      </c>
      <c r="AO163" s="523" t="e">
        <f ca="1">stat(calculs!AO163)</f>
        <v>#NAME?</v>
      </c>
      <c r="AP163" s="523" t="e">
        <f ca="1">stat(calculs!AP163)</f>
        <v>#NAME?</v>
      </c>
      <c r="AQ163" s="523" t="e">
        <f ca="1">stat(calculs!AQ163)</f>
        <v>#NAME?</v>
      </c>
      <c r="AV163" s="525" t="str">
        <f>stat(calculs!AV163)</f>
        <v/>
      </c>
      <c r="AW163" s="525" t="str">
        <f>stat(calculs!AW163)</f>
        <v/>
      </c>
      <c r="AX163" s="525" t="str">
        <f>stat(calculs!AX163)</f>
        <v/>
      </c>
      <c r="AY163" s="525" t="e">
        <f ca="1">stat(calculs!AY163)</f>
        <v>#NAME?</v>
      </c>
      <c r="AZ163" s="525" t="e">
        <f ca="1">stat(calculs!AZ163)</f>
        <v>#NAME?</v>
      </c>
      <c r="BA163" s="525" t="e">
        <f ca="1">stat(calculs!BA163)</f>
        <v>#NAME?</v>
      </c>
      <c r="BB163" s="525" t="e">
        <f ca="1">stat(calculs!BB163)</f>
        <v>#NAME?</v>
      </c>
      <c r="BC163" s="525" t="e">
        <f ca="1">stat(calculs!BC163)</f>
        <v>#NAME?</v>
      </c>
      <c r="BD163" s="525" t="e">
        <f ca="1">stat(calculs!BD163)</f>
        <v>#NAME?</v>
      </c>
      <c r="BE163" s="525" t="e">
        <f ca="1">stat(calculs!BE163)</f>
        <v>#NAME?</v>
      </c>
      <c r="BF163" s="525" t="e">
        <f ca="1">stat(calculs!BF163)</f>
        <v>#NAME?</v>
      </c>
      <c r="BG163" s="729" t="e">
        <f ca="1">stat(calculs!BG163)</f>
        <v>#NAME?</v>
      </c>
      <c r="BH163" s="729" t="e">
        <f ca="1">stat(calculs!BH163)</f>
        <v>#NAME?</v>
      </c>
      <c r="BI163" s="729" t="e">
        <f ca="1">stat(calculs!BI163)</f>
        <v>#NAME?</v>
      </c>
      <c r="BJ163" s="729" t="e">
        <f ca="1">stat(calculs!BJ163)</f>
        <v>#NAME?</v>
      </c>
      <c r="BK163" s="729" t="e">
        <f ca="1">stat(calculs!BK163)</f>
        <v>#NAME?</v>
      </c>
      <c r="BL163" s="525" t="e">
        <f ca="1">stat(calculs!BL163)</f>
        <v>#NAME?</v>
      </c>
      <c r="BM163" s="525" t="e">
        <f ca="1">stat(calculs!BM163)</f>
        <v>#NAME?</v>
      </c>
      <c r="BN163" s="525" t="e">
        <f ca="1">stat(calculs!BN163)</f>
        <v>#NAME?</v>
      </c>
      <c r="BO163" s="525" t="e">
        <f ca="1">stat(calculs!BO163)</f>
        <v>#NAME?</v>
      </c>
      <c r="BP163" s="525" t="e">
        <f ca="1">stat(calculs!BP163)</f>
        <v>#NAME?</v>
      </c>
      <c r="BQ163" s="525" t="e">
        <f ca="1">stat(calculs!BQ163)</f>
        <v>#NAME?</v>
      </c>
      <c r="BR163" s="525" t="e">
        <f ca="1">stat(calculs!BR163)</f>
        <v>#NAME?</v>
      </c>
    </row>
    <row r="164" spans="1:70" x14ac:dyDescent="0.2">
      <c r="A164" s="222">
        <f>données_step[[#This Row],[Datum]]</f>
        <v>44715</v>
      </c>
      <c r="B164" s="223"/>
      <c r="C164" s="224">
        <f t="shared" si="2"/>
        <v>6</v>
      </c>
      <c r="D164" s="523" t="e">
        <f ca="1">stat(charge_entree[[#This Row],[ch_E_DBO5]])</f>
        <v>#NAME?</v>
      </c>
      <c r="E164" s="523" t="e">
        <f ca="1">stat(charge_entree[[#This Row],[ch_E_DCO]])</f>
        <v>#NAME?</v>
      </c>
      <c r="F164" s="523" t="e">
        <f ca="1">stat(charge_entree[[#This Row],[ch_E_COT]])</f>
        <v>#NAME?</v>
      </c>
      <c r="G164" s="523" t="e">
        <f ca="1">stat(charge_entree[[#This Row],[ch_E_NH4]])</f>
        <v>#NAME?</v>
      </c>
      <c r="H164" s="523" t="e">
        <f ca="1">stat(charge_entree[[#This Row],[ch_E_NTOT]])</f>
        <v>#NAME?</v>
      </c>
      <c r="I164" s="523" t="e">
        <f ca="1">stat(charge_entree[[#This Row],[ch_E_PTOT]])</f>
        <v>#NAME?</v>
      </c>
      <c r="J164" s="523" t="e">
        <f ca="1">stat(charge_entree[[#This Row],[ch_S_DBO]])</f>
        <v>#NAME?</v>
      </c>
      <c r="K164" s="523" t="e">
        <f ca="1">stat(charge_entree[[#This Row],[ch_S-DCO]])</f>
        <v>#NAME?</v>
      </c>
      <c r="L164" s="523" t="e">
        <f ca="1">stat(charge_entree[[#This Row],[ch_S_DOC]])</f>
        <v>#NAME?</v>
      </c>
      <c r="M164" s="523" t="e">
        <f ca="1">stat(charge_entree[[#This Row],[ch_S_NH4]])</f>
        <v>#NAME?</v>
      </c>
      <c r="N164" s="523" t="e">
        <f ca="1">stat(charge_entree[[#This Row],[ch_S_NO2]])</f>
        <v>#NAME?</v>
      </c>
      <c r="O164" s="523" t="e">
        <f ca="1">stat(charge_entree[[#This Row],[ch_S_NO3]])</f>
        <v>#NAME?</v>
      </c>
      <c r="P164" s="523" t="e">
        <f ca="1">stat(charge_entree[[#This Row],[ch_S_PTOT]])</f>
        <v>#NAME?</v>
      </c>
      <c r="Q164" s="523" t="e">
        <f ca="1">stat(charge_entree[[#This Row],[ch_S_SNDT]])</f>
        <v>#NAME?</v>
      </c>
      <c r="R164" s="523">
        <f>calculs!R164</f>
        <v>0</v>
      </c>
      <c r="S164" s="523" t="e">
        <f ca="1">stat(calculs!S164)</f>
        <v>#NAME?</v>
      </c>
      <c r="T164" s="523" t="e">
        <f ca="1">stat(calculs!T164)</f>
        <v>#NAME?</v>
      </c>
      <c r="U164" s="523" t="e">
        <f ca="1">stat(calculs!U164)</f>
        <v>#NAME?</v>
      </c>
      <c r="V164" s="523" t="e">
        <f ca="1">stat(calculs!V164)</f>
        <v>#NAME?</v>
      </c>
      <c r="W164" s="523" t="e">
        <f ca="1">stat(calculs!W164)</f>
        <v>#NAME?</v>
      </c>
      <c r="X164" s="523" t="e">
        <f ca="1">stat(calculs!X164)</f>
        <v>#NAME?</v>
      </c>
      <c r="Y164" s="523" t="e">
        <f ca="1">stat(calculs!Y164)</f>
        <v>#NAME?</v>
      </c>
      <c r="Z164" s="523" t="e">
        <f ca="1">stat(calculs!Z164)</f>
        <v>#NAME?</v>
      </c>
      <c r="AA164" s="523" t="e">
        <f ca="1">stat(calculs!AA164)</f>
        <v>#NAME?</v>
      </c>
      <c r="AB164" s="523" t="e">
        <f ca="1">stat(calculs!AB164)</f>
        <v>#NAME?</v>
      </c>
      <c r="AC164" s="523" t="e">
        <f ca="1">stat(calculs!AC164)</f>
        <v>#NAME?</v>
      </c>
      <c r="AD164" s="523" t="e">
        <f ca="1">stat(calculs!AD164)</f>
        <v>#NAME?</v>
      </c>
      <c r="AE164" s="523" t="e">
        <f ca="1">stat(calculs!AE164)</f>
        <v>#NAME?</v>
      </c>
      <c r="AF164" s="523" t="e">
        <f ca="1">stat(calculs!AF164)</f>
        <v>#NAME?</v>
      </c>
      <c r="AG164" s="523" t="e">
        <f ca="1">stat(calculs!AG164)</f>
        <v>#NAME?</v>
      </c>
      <c r="AH164" s="523" t="e">
        <f ca="1">stat(calculs!AH164)</f>
        <v>#NAME?</v>
      </c>
      <c r="AI164" s="523" t="e">
        <f ca="1">stat(calculs!AI164)</f>
        <v>#NAME?</v>
      </c>
      <c r="AJ164" s="523" t="e">
        <f ca="1">stat(calculs!AJ164)</f>
        <v>#NAME?</v>
      </c>
      <c r="AK164" s="523" t="e">
        <f ca="1">stat(calculs!AK164)</f>
        <v>#NAME?</v>
      </c>
      <c r="AL164" s="523" t="e">
        <f ca="1">stat(calculs!AL164)</f>
        <v>#NAME?</v>
      </c>
      <c r="AM164" s="523" t="e">
        <f ca="1">stat(calculs!AM164)</f>
        <v>#NAME?</v>
      </c>
      <c r="AN164" s="523" t="e">
        <f ca="1">stat(calculs!AN164)</f>
        <v>#NAME?</v>
      </c>
      <c r="AO164" s="523" t="e">
        <f ca="1">stat(calculs!AO164)</f>
        <v>#NAME?</v>
      </c>
      <c r="AP164" s="523" t="e">
        <f ca="1">stat(calculs!AP164)</f>
        <v>#NAME?</v>
      </c>
      <c r="AQ164" s="523" t="e">
        <f ca="1">stat(calculs!AQ164)</f>
        <v>#NAME?</v>
      </c>
      <c r="AV164" s="525" t="str">
        <f>stat(calculs!AV164)</f>
        <v/>
      </c>
      <c r="AW164" s="525" t="str">
        <f>stat(calculs!AW164)</f>
        <v/>
      </c>
      <c r="AX164" s="525" t="str">
        <f>stat(calculs!AX164)</f>
        <v/>
      </c>
      <c r="AY164" s="525" t="e">
        <f ca="1">stat(calculs!AY164)</f>
        <v>#NAME?</v>
      </c>
      <c r="AZ164" s="525" t="e">
        <f ca="1">stat(calculs!AZ164)</f>
        <v>#NAME?</v>
      </c>
      <c r="BA164" s="525" t="e">
        <f ca="1">stat(calculs!BA164)</f>
        <v>#NAME?</v>
      </c>
      <c r="BB164" s="525" t="e">
        <f ca="1">stat(calculs!BB164)</f>
        <v>#NAME?</v>
      </c>
      <c r="BC164" s="525" t="e">
        <f ca="1">stat(calculs!BC164)</f>
        <v>#NAME?</v>
      </c>
      <c r="BD164" s="525" t="e">
        <f ca="1">stat(calculs!BD164)</f>
        <v>#NAME?</v>
      </c>
      <c r="BE164" s="525" t="e">
        <f ca="1">stat(calculs!BE164)</f>
        <v>#NAME?</v>
      </c>
      <c r="BF164" s="525" t="e">
        <f ca="1">stat(calculs!BF164)</f>
        <v>#NAME?</v>
      </c>
      <c r="BG164" s="729" t="e">
        <f ca="1">stat(calculs!BG164)</f>
        <v>#NAME?</v>
      </c>
      <c r="BH164" s="729" t="e">
        <f ca="1">stat(calculs!BH164)</f>
        <v>#NAME?</v>
      </c>
      <c r="BI164" s="729" t="e">
        <f ca="1">stat(calculs!BI164)</f>
        <v>#NAME?</v>
      </c>
      <c r="BJ164" s="729" t="e">
        <f ca="1">stat(calculs!BJ164)</f>
        <v>#NAME?</v>
      </c>
      <c r="BK164" s="729" t="e">
        <f ca="1">stat(calculs!BK164)</f>
        <v>#NAME?</v>
      </c>
      <c r="BL164" s="525" t="e">
        <f ca="1">stat(calculs!BL164)</f>
        <v>#NAME?</v>
      </c>
      <c r="BM164" s="525" t="e">
        <f ca="1">stat(calculs!BM164)</f>
        <v>#NAME?</v>
      </c>
      <c r="BN164" s="525" t="e">
        <f ca="1">stat(calculs!BN164)</f>
        <v>#NAME?</v>
      </c>
      <c r="BO164" s="525" t="e">
        <f ca="1">stat(calculs!BO164)</f>
        <v>#NAME?</v>
      </c>
      <c r="BP164" s="525" t="e">
        <f ca="1">stat(calculs!BP164)</f>
        <v>#NAME?</v>
      </c>
      <c r="BQ164" s="525" t="e">
        <f ca="1">stat(calculs!BQ164)</f>
        <v>#NAME?</v>
      </c>
      <c r="BR164" s="525" t="e">
        <f ca="1">stat(calculs!BR164)</f>
        <v>#NAME?</v>
      </c>
    </row>
    <row r="165" spans="1:70" x14ac:dyDescent="0.2">
      <c r="A165" s="222">
        <f>données_step[[#This Row],[Datum]]</f>
        <v>44716</v>
      </c>
      <c r="B165" s="223"/>
      <c r="C165" s="224">
        <f t="shared" si="2"/>
        <v>7</v>
      </c>
      <c r="D165" s="523" t="e">
        <f ca="1">stat(charge_entree[[#This Row],[ch_E_DBO5]])</f>
        <v>#NAME?</v>
      </c>
      <c r="E165" s="523" t="e">
        <f ca="1">stat(charge_entree[[#This Row],[ch_E_DCO]])</f>
        <v>#NAME?</v>
      </c>
      <c r="F165" s="523" t="e">
        <f ca="1">stat(charge_entree[[#This Row],[ch_E_COT]])</f>
        <v>#NAME?</v>
      </c>
      <c r="G165" s="523" t="e">
        <f ca="1">stat(charge_entree[[#This Row],[ch_E_NH4]])</f>
        <v>#NAME?</v>
      </c>
      <c r="H165" s="523" t="e">
        <f ca="1">stat(charge_entree[[#This Row],[ch_E_NTOT]])</f>
        <v>#NAME?</v>
      </c>
      <c r="I165" s="523" t="e">
        <f ca="1">stat(charge_entree[[#This Row],[ch_E_PTOT]])</f>
        <v>#NAME?</v>
      </c>
      <c r="J165" s="523" t="e">
        <f ca="1">stat(charge_entree[[#This Row],[ch_S_DBO]])</f>
        <v>#NAME?</v>
      </c>
      <c r="K165" s="523" t="e">
        <f ca="1">stat(charge_entree[[#This Row],[ch_S-DCO]])</f>
        <v>#NAME?</v>
      </c>
      <c r="L165" s="523" t="e">
        <f ca="1">stat(charge_entree[[#This Row],[ch_S_DOC]])</f>
        <v>#NAME?</v>
      </c>
      <c r="M165" s="523" t="e">
        <f ca="1">stat(charge_entree[[#This Row],[ch_S_NH4]])</f>
        <v>#NAME?</v>
      </c>
      <c r="N165" s="523" t="e">
        <f ca="1">stat(charge_entree[[#This Row],[ch_S_NO2]])</f>
        <v>#NAME?</v>
      </c>
      <c r="O165" s="523" t="e">
        <f ca="1">stat(charge_entree[[#This Row],[ch_S_NO3]])</f>
        <v>#NAME?</v>
      </c>
      <c r="P165" s="523" t="e">
        <f ca="1">stat(charge_entree[[#This Row],[ch_S_PTOT]])</f>
        <v>#NAME?</v>
      </c>
      <c r="Q165" s="523" t="e">
        <f ca="1">stat(charge_entree[[#This Row],[ch_S_SNDT]])</f>
        <v>#NAME?</v>
      </c>
      <c r="R165" s="523">
        <f>calculs!R165</f>
        <v>0</v>
      </c>
      <c r="S165" s="523" t="e">
        <f ca="1">stat(calculs!S165)</f>
        <v>#NAME?</v>
      </c>
      <c r="T165" s="523" t="e">
        <f ca="1">stat(calculs!T165)</f>
        <v>#NAME?</v>
      </c>
      <c r="U165" s="523" t="e">
        <f ca="1">stat(calculs!U165)</f>
        <v>#NAME?</v>
      </c>
      <c r="V165" s="523" t="e">
        <f ca="1">stat(calculs!V165)</f>
        <v>#NAME?</v>
      </c>
      <c r="W165" s="523" t="e">
        <f ca="1">stat(calculs!W165)</f>
        <v>#NAME?</v>
      </c>
      <c r="X165" s="523" t="e">
        <f ca="1">stat(calculs!X165)</f>
        <v>#NAME?</v>
      </c>
      <c r="Y165" s="523" t="e">
        <f ca="1">stat(calculs!Y165)</f>
        <v>#NAME?</v>
      </c>
      <c r="Z165" s="523" t="e">
        <f ca="1">stat(calculs!Z165)</f>
        <v>#NAME?</v>
      </c>
      <c r="AA165" s="523" t="e">
        <f ca="1">stat(calculs!AA165)</f>
        <v>#NAME?</v>
      </c>
      <c r="AB165" s="523" t="e">
        <f ca="1">stat(calculs!AB165)</f>
        <v>#NAME?</v>
      </c>
      <c r="AC165" s="523" t="e">
        <f ca="1">stat(calculs!AC165)</f>
        <v>#NAME?</v>
      </c>
      <c r="AD165" s="523" t="e">
        <f ca="1">stat(calculs!AD165)</f>
        <v>#NAME?</v>
      </c>
      <c r="AE165" s="523" t="e">
        <f ca="1">stat(calculs!AE165)</f>
        <v>#NAME?</v>
      </c>
      <c r="AF165" s="523" t="e">
        <f ca="1">stat(calculs!AF165)</f>
        <v>#NAME?</v>
      </c>
      <c r="AG165" s="523" t="e">
        <f ca="1">stat(calculs!AG165)</f>
        <v>#NAME?</v>
      </c>
      <c r="AH165" s="523" t="e">
        <f ca="1">stat(calculs!AH165)</f>
        <v>#NAME?</v>
      </c>
      <c r="AI165" s="523" t="e">
        <f ca="1">stat(calculs!AI165)</f>
        <v>#NAME?</v>
      </c>
      <c r="AJ165" s="523" t="e">
        <f ca="1">stat(calculs!AJ165)</f>
        <v>#NAME?</v>
      </c>
      <c r="AK165" s="523" t="e">
        <f ca="1">stat(calculs!AK165)</f>
        <v>#NAME?</v>
      </c>
      <c r="AL165" s="523" t="e">
        <f ca="1">stat(calculs!AL165)</f>
        <v>#NAME?</v>
      </c>
      <c r="AM165" s="523" t="e">
        <f ca="1">stat(calculs!AM165)</f>
        <v>#NAME?</v>
      </c>
      <c r="AN165" s="523" t="e">
        <f ca="1">stat(calculs!AN165)</f>
        <v>#NAME?</v>
      </c>
      <c r="AO165" s="523" t="e">
        <f ca="1">stat(calculs!AO165)</f>
        <v>#NAME?</v>
      </c>
      <c r="AP165" s="523" t="e">
        <f ca="1">stat(calculs!AP165)</f>
        <v>#NAME?</v>
      </c>
      <c r="AQ165" s="523" t="e">
        <f ca="1">stat(calculs!AQ165)</f>
        <v>#NAME?</v>
      </c>
      <c r="AV165" s="525" t="str">
        <f>stat(calculs!AV165)</f>
        <v/>
      </c>
      <c r="AW165" s="525" t="str">
        <f>stat(calculs!AW165)</f>
        <v/>
      </c>
      <c r="AX165" s="525" t="str">
        <f>stat(calculs!AX165)</f>
        <v/>
      </c>
      <c r="AY165" s="525" t="e">
        <f ca="1">stat(calculs!AY165)</f>
        <v>#NAME?</v>
      </c>
      <c r="AZ165" s="525" t="e">
        <f ca="1">stat(calculs!AZ165)</f>
        <v>#NAME?</v>
      </c>
      <c r="BA165" s="525" t="e">
        <f ca="1">stat(calculs!BA165)</f>
        <v>#NAME?</v>
      </c>
      <c r="BB165" s="525" t="e">
        <f ca="1">stat(calculs!BB165)</f>
        <v>#NAME?</v>
      </c>
      <c r="BC165" s="525" t="e">
        <f ca="1">stat(calculs!BC165)</f>
        <v>#NAME?</v>
      </c>
      <c r="BD165" s="525" t="e">
        <f ca="1">stat(calculs!BD165)</f>
        <v>#NAME?</v>
      </c>
      <c r="BE165" s="525" t="e">
        <f ca="1">stat(calculs!BE165)</f>
        <v>#NAME?</v>
      </c>
      <c r="BF165" s="525" t="e">
        <f ca="1">stat(calculs!BF165)</f>
        <v>#NAME?</v>
      </c>
      <c r="BG165" s="729" t="e">
        <f ca="1">stat(calculs!BG165)</f>
        <v>#NAME?</v>
      </c>
      <c r="BH165" s="729" t="e">
        <f ca="1">stat(calculs!BH165)</f>
        <v>#NAME?</v>
      </c>
      <c r="BI165" s="729" t="e">
        <f ca="1">stat(calculs!BI165)</f>
        <v>#NAME?</v>
      </c>
      <c r="BJ165" s="729" t="e">
        <f ca="1">stat(calculs!BJ165)</f>
        <v>#NAME?</v>
      </c>
      <c r="BK165" s="729" t="e">
        <f ca="1">stat(calculs!BK165)</f>
        <v>#NAME?</v>
      </c>
      <c r="BL165" s="525" t="e">
        <f ca="1">stat(calculs!BL165)</f>
        <v>#NAME?</v>
      </c>
      <c r="BM165" s="525" t="e">
        <f ca="1">stat(calculs!BM165)</f>
        <v>#NAME?</v>
      </c>
      <c r="BN165" s="525" t="e">
        <f ca="1">stat(calculs!BN165)</f>
        <v>#NAME?</v>
      </c>
      <c r="BO165" s="525" t="e">
        <f ca="1">stat(calculs!BO165)</f>
        <v>#NAME?</v>
      </c>
      <c r="BP165" s="525" t="e">
        <f ca="1">stat(calculs!BP165)</f>
        <v>#NAME?</v>
      </c>
      <c r="BQ165" s="525" t="e">
        <f ca="1">stat(calculs!BQ165)</f>
        <v>#NAME?</v>
      </c>
      <c r="BR165" s="525" t="e">
        <f ca="1">stat(calculs!BR165)</f>
        <v>#NAME?</v>
      </c>
    </row>
    <row r="166" spans="1:70" x14ac:dyDescent="0.2">
      <c r="A166" s="222">
        <f>données_step[[#This Row],[Datum]]</f>
        <v>44717</v>
      </c>
      <c r="B166" s="223"/>
      <c r="C166" s="224">
        <f t="shared" si="2"/>
        <v>1</v>
      </c>
      <c r="D166" s="523" t="e">
        <f ca="1">stat(charge_entree[[#This Row],[ch_E_DBO5]])</f>
        <v>#NAME?</v>
      </c>
      <c r="E166" s="523" t="e">
        <f ca="1">stat(charge_entree[[#This Row],[ch_E_DCO]])</f>
        <v>#NAME?</v>
      </c>
      <c r="F166" s="523" t="e">
        <f ca="1">stat(charge_entree[[#This Row],[ch_E_COT]])</f>
        <v>#NAME?</v>
      </c>
      <c r="G166" s="523" t="e">
        <f ca="1">stat(charge_entree[[#This Row],[ch_E_NH4]])</f>
        <v>#NAME?</v>
      </c>
      <c r="H166" s="523" t="e">
        <f ca="1">stat(charge_entree[[#This Row],[ch_E_NTOT]])</f>
        <v>#NAME?</v>
      </c>
      <c r="I166" s="523" t="e">
        <f ca="1">stat(charge_entree[[#This Row],[ch_E_PTOT]])</f>
        <v>#NAME?</v>
      </c>
      <c r="J166" s="523" t="e">
        <f ca="1">stat(charge_entree[[#This Row],[ch_S_DBO]])</f>
        <v>#NAME?</v>
      </c>
      <c r="K166" s="523" t="e">
        <f ca="1">stat(charge_entree[[#This Row],[ch_S-DCO]])</f>
        <v>#NAME?</v>
      </c>
      <c r="L166" s="523" t="e">
        <f ca="1">stat(charge_entree[[#This Row],[ch_S_DOC]])</f>
        <v>#NAME?</v>
      </c>
      <c r="M166" s="523" t="e">
        <f ca="1">stat(charge_entree[[#This Row],[ch_S_NH4]])</f>
        <v>#NAME?</v>
      </c>
      <c r="N166" s="523" t="e">
        <f ca="1">stat(charge_entree[[#This Row],[ch_S_NO2]])</f>
        <v>#NAME?</v>
      </c>
      <c r="O166" s="523" t="e">
        <f ca="1">stat(charge_entree[[#This Row],[ch_S_NO3]])</f>
        <v>#NAME?</v>
      </c>
      <c r="P166" s="523" t="e">
        <f ca="1">stat(charge_entree[[#This Row],[ch_S_PTOT]])</f>
        <v>#NAME?</v>
      </c>
      <c r="Q166" s="523" t="e">
        <f ca="1">stat(charge_entree[[#This Row],[ch_S_SNDT]])</f>
        <v>#NAME?</v>
      </c>
      <c r="R166" s="523">
        <f>calculs!R166</f>
        <v>0</v>
      </c>
      <c r="S166" s="523" t="e">
        <f ca="1">stat(calculs!S166)</f>
        <v>#NAME?</v>
      </c>
      <c r="T166" s="523" t="e">
        <f ca="1">stat(calculs!T166)</f>
        <v>#NAME?</v>
      </c>
      <c r="U166" s="523" t="e">
        <f ca="1">stat(calculs!U166)</f>
        <v>#NAME?</v>
      </c>
      <c r="V166" s="523" t="e">
        <f ca="1">stat(calculs!V166)</f>
        <v>#NAME?</v>
      </c>
      <c r="W166" s="523" t="e">
        <f ca="1">stat(calculs!W166)</f>
        <v>#NAME?</v>
      </c>
      <c r="X166" s="523" t="e">
        <f ca="1">stat(calculs!X166)</f>
        <v>#NAME?</v>
      </c>
      <c r="Y166" s="523" t="e">
        <f ca="1">stat(calculs!Y166)</f>
        <v>#NAME?</v>
      </c>
      <c r="Z166" s="523" t="e">
        <f ca="1">stat(calculs!Z166)</f>
        <v>#NAME?</v>
      </c>
      <c r="AA166" s="523" t="e">
        <f ca="1">stat(calculs!AA166)</f>
        <v>#NAME?</v>
      </c>
      <c r="AB166" s="523" t="e">
        <f ca="1">stat(calculs!AB166)</f>
        <v>#NAME?</v>
      </c>
      <c r="AC166" s="523" t="e">
        <f ca="1">stat(calculs!AC166)</f>
        <v>#NAME?</v>
      </c>
      <c r="AD166" s="523" t="e">
        <f ca="1">stat(calculs!AD166)</f>
        <v>#NAME?</v>
      </c>
      <c r="AE166" s="523" t="e">
        <f ca="1">stat(calculs!AE166)</f>
        <v>#NAME?</v>
      </c>
      <c r="AF166" s="523" t="e">
        <f ca="1">stat(calculs!AF166)</f>
        <v>#NAME?</v>
      </c>
      <c r="AG166" s="523" t="e">
        <f ca="1">stat(calculs!AG166)</f>
        <v>#NAME?</v>
      </c>
      <c r="AH166" s="523" t="e">
        <f ca="1">stat(calculs!AH166)</f>
        <v>#NAME?</v>
      </c>
      <c r="AI166" s="523" t="e">
        <f ca="1">stat(calculs!AI166)</f>
        <v>#NAME?</v>
      </c>
      <c r="AJ166" s="523" t="e">
        <f ca="1">stat(calculs!AJ166)</f>
        <v>#NAME?</v>
      </c>
      <c r="AK166" s="523" t="e">
        <f ca="1">stat(calculs!AK166)</f>
        <v>#NAME?</v>
      </c>
      <c r="AL166" s="523" t="e">
        <f ca="1">stat(calculs!AL166)</f>
        <v>#NAME?</v>
      </c>
      <c r="AM166" s="523" t="e">
        <f ca="1">stat(calculs!AM166)</f>
        <v>#NAME?</v>
      </c>
      <c r="AN166" s="523" t="e">
        <f ca="1">stat(calculs!AN166)</f>
        <v>#NAME?</v>
      </c>
      <c r="AO166" s="523" t="e">
        <f ca="1">stat(calculs!AO166)</f>
        <v>#NAME?</v>
      </c>
      <c r="AP166" s="523" t="e">
        <f ca="1">stat(calculs!AP166)</f>
        <v>#NAME?</v>
      </c>
      <c r="AQ166" s="523" t="e">
        <f ca="1">stat(calculs!AQ166)</f>
        <v>#NAME?</v>
      </c>
      <c r="AV166" s="525" t="str">
        <f>stat(calculs!AV166)</f>
        <v/>
      </c>
      <c r="AW166" s="525" t="str">
        <f>stat(calculs!AW166)</f>
        <v/>
      </c>
      <c r="AX166" s="525" t="str">
        <f>stat(calculs!AX166)</f>
        <v/>
      </c>
      <c r="AY166" s="525" t="e">
        <f ca="1">stat(calculs!AY166)</f>
        <v>#NAME?</v>
      </c>
      <c r="AZ166" s="525" t="e">
        <f ca="1">stat(calculs!AZ166)</f>
        <v>#NAME?</v>
      </c>
      <c r="BA166" s="525" t="e">
        <f ca="1">stat(calculs!BA166)</f>
        <v>#NAME?</v>
      </c>
      <c r="BB166" s="525" t="e">
        <f ca="1">stat(calculs!BB166)</f>
        <v>#NAME?</v>
      </c>
      <c r="BC166" s="525" t="e">
        <f ca="1">stat(calculs!BC166)</f>
        <v>#NAME?</v>
      </c>
      <c r="BD166" s="525" t="e">
        <f ca="1">stat(calculs!BD166)</f>
        <v>#NAME?</v>
      </c>
      <c r="BE166" s="525" t="e">
        <f ca="1">stat(calculs!BE166)</f>
        <v>#NAME?</v>
      </c>
      <c r="BF166" s="525" t="e">
        <f ca="1">stat(calculs!BF166)</f>
        <v>#NAME?</v>
      </c>
      <c r="BG166" s="729" t="e">
        <f ca="1">stat(calculs!BG166)</f>
        <v>#NAME?</v>
      </c>
      <c r="BH166" s="729" t="e">
        <f ca="1">stat(calculs!BH166)</f>
        <v>#NAME?</v>
      </c>
      <c r="BI166" s="729" t="e">
        <f ca="1">stat(calculs!BI166)</f>
        <v>#NAME?</v>
      </c>
      <c r="BJ166" s="729" t="e">
        <f ca="1">stat(calculs!BJ166)</f>
        <v>#NAME?</v>
      </c>
      <c r="BK166" s="729" t="e">
        <f ca="1">stat(calculs!BK166)</f>
        <v>#NAME?</v>
      </c>
      <c r="BL166" s="525" t="e">
        <f ca="1">stat(calculs!BL166)</f>
        <v>#NAME?</v>
      </c>
      <c r="BM166" s="525" t="e">
        <f ca="1">stat(calculs!BM166)</f>
        <v>#NAME?</v>
      </c>
      <c r="BN166" s="525" t="e">
        <f ca="1">stat(calculs!BN166)</f>
        <v>#NAME?</v>
      </c>
      <c r="BO166" s="525" t="e">
        <f ca="1">stat(calculs!BO166)</f>
        <v>#NAME?</v>
      </c>
      <c r="BP166" s="525" t="e">
        <f ca="1">stat(calculs!BP166)</f>
        <v>#NAME?</v>
      </c>
      <c r="BQ166" s="525" t="e">
        <f ca="1">stat(calculs!BQ166)</f>
        <v>#NAME?</v>
      </c>
      <c r="BR166" s="525" t="e">
        <f ca="1">stat(calculs!BR166)</f>
        <v>#NAME?</v>
      </c>
    </row>
    <row r="167" spans="1:70" x14ac:dyDescent="0.2">
      <c r="A167" s="222">
        <f>données_step[[#This Row],[Datum]]</f>
        <v>44718</v>
      </c>
      <c r="B167" s="223"/>
      <c r="C167" s="224">
        <f t="shared" si="2"/>
        <v>2</v>
      </c>
      <c r="D167" s="523" t="e">
        <f ca="1">stat(charge_entree[[#This Row],[ch_E_DBO5]])</f>
        <v>#NAME?</v>
      </c>
      <c r="E167" s="523" t="e">
        <f ca="1">stat(charge_entree[[#This Row],[ch_E_DCO]])</f>
        <v>#NAME?</v>
      </c>
      <c r="F167" s="523" t="e">
        <f ca="1">stat(charge_entree[[#This Row],[ch_E_COT]])</f>
        <v>#NAME?</v>
      </c>
      <c r="G167" s="523" t="e">
        <f ca="1">stat(charge_entree[[#This Row],[ch_E_NH4]])</f>
        <v>#NAME?</v>
      </c>
      <c r="H167" s="523" t="e">
        <f ca="1">stat(charge_entree[[#This Row],[ch_E_NTOT]])</f>
        <v>#NAME?</v>
      </c>
      <c r="I167" s="523" t="e">
        <f ca="1">stat(charge_entree[[#This Row],[ch_E_PTOT]])</f>
        <v>#NAME?</v>
      </c>
      <c r="J167" s="523" t="e">
        <f ca="1">stat(charge_entree[[#This Row],[ch_S_DBO]])</f>
        <v>#NAME?</v>
      </c>
      <c r="K167" s="523" t="e">
        <f ca="1">stat(charge_entree[[#This Row],[ch_S-DCO]])</f>
        <v>#NAME?</v>
      </c>
      <c r="L167" s="523" t="e">
        <f ca="1">stat(charge_entree[[#This Row],[ch_S_DOC]])</f>
        <v>#NAME?</v>
      </c>
      <c r="M167" s="523" t="e">
        <f ca="1">stat(charge_entree[[#This Row],[ch_S_NH4]])</f>
        <v>#NAME?</v>
      </c>
      <c r="N167" s="523" t="e">
        <f ca="1">stat(charge_entree[[#This Row],[ch_S_NO2]])</f>
        <v>#NAME?</v>
      </c>
      <c r="O167" s="523" t="e">
        <f ca="1">stat(charge_entree[[#This Row],[ch_S_NO3]])</f>
        <v>#NAME?</v>
      </c>
      <c r="P167" s="523" t="e">
        <f ca="1">stat(charge_entree[[#This Row],[ch_S_PTOT]])</f>
        <v>#NAME?</v>
      </c>
      <c r="Q167" s="523" t="e">
        <f ca="1">stat(charge_entree[[#This Row],[ch_S_SNDT]])</f>
        <v>#NAME?</v>
      </c>
      <c r="R167" s="523">
        <f>calculs!R167</f>
        <v>0</v>
      </c>
      <c r="S167" s="523" t="e">
        <f ca="1">stat(calculs!S167)</f>
        <v>#NAME?</v>
      </c>
      <c r="T167" s="523" t="e">
        <f ca="1">stat(calculs!T167)</f>
        <v>#NAME?</v>
      </c>
      <c r="U167" s="523" t="e">
        <f ca="1">stat(calculs!U167)</f>
        <v>#NAME?</v>
      </c>
      <c r="V167" s="523" t="e">
        <f ca="1">stat(calculs!V167)</f>
        <v>#NAME?</v>
      </c>
      <c r="W167" s="523" t="e">
        <f ca="1">stat(calculs!W167)</f>
        <v>#NAME?</v>
      </c>
      <c r="X167" s="523" t="e">
        <f ca="1">stat(calculs!X167)</f>
        <v>#NAME?</v>
      </c>
      <c r="Y167" s="523" t="e">
        <f ca="1">stat(calculs!Y167)</f>
        <v>#NAME?</v>
      </c>
      <c r="Z167" s="523" t="e">
        <f ca="1">stat(calculs!Z167)</f>
        <v>#NAME?</v>
      </c>
      <c r="AA167" s="523" t="e">
        <f ca="1">stat(calculs!AA167)</f>
        <v>#NAME?</v>
      </c>
      <c r="AB167" s="523" t="e">
        <f ca="1">stat(calculs!AB167)</f>
        <v>#NAME?</v>
      </c>
      <c r="AC167" s="523" t="e">
        <f ca="1">stat(calculs!AC167)</f>
        <v>#NAME?</v>
      </c>
      <c r="AD167" s="523" t="e">
        <f ca="1">stat(calculs!AD167)</f>
        <v>#NAME?</v>
      </c>
      <c r="AE167" s="523" t="e">
        <f ca="1">stat(calculs!AE167)</f>
        <v>#NAME?</v>
      </c>
      <c r="AF167" s="523" t="e">
        <f ca="1">stat(calculs!AF167)</f>
        <v>#NAME?</v>
      </c>
      <c r="AG167" s="523" t="e">
        <f ca="1">stat(calculs!AG167)</f>
        <v>#NAME?</v>
      </c>
      <c r="AH167" s="523" t="e">
        <f ca="1">stat(calculs!AH167)</f>
        <v>#NAME?</v>
      </c>
      <c r="AI167" s="523" t="e">
        <f ca="1">stat(calculs!AI167)</f>
        <v>#NAME?</v>
      </c>
      <c r="AJ167" s="523" t="e">
        <f ca="1">stat(calculs!AJ167)</f>
        <v>#NAME?</v>
      </c>
      <c r="AK167" s="523" t="e">
        <f ca="1">stat(calculs!AK167)</f>
        <v>#NAME?</v>
      </c>
      <c r="AL167" s="523" t="e">
        <f ca="1">stat(calculs!AL167)</f>
        <v>#NAME?</v>
      </c>
      <c r="AM167" s="523" t="e">
        <f ca="1">stat(calculs!AM167)</f>
        <v>#NAME?</v>
      </c>
      <c r="AN167" s="523" t="e">
        <f ca="1">stat(calculs!AN167)</f>
        <v>#NAME?</v>
      </c>
      <c r="AO167" s="523" t="e">
        <f ca="1">stat(calculs!AO167)</f>
        <v>#NAME?</v>
      </c>
      <c r="AP167" s="523" t="e">
        <f ca="1">stat(calculs!AP167)</f>
        <v>#NAME?</v>
      </c>
      <c r="AQ167" s="523" t="e">
        <f ca="1">stat(calculs!AQ167)</f>
        <v>#NAME?</v>
      </c>
      <c r="AV167" s="525" t="str">
        <f>stat(calculs!AV167)</f>
        <v/>
      </c>
      <c r="AW167" s="525" t="str">
        <f>stat(calculs!AW167)</f>
        <v/>
      </c>
      <c r="AX167" s="525" t="str">
        <f>stat(calculs!AX167)</f>
        <v/>
      </c>
      <c r="AY167" s="525" t="e">
        <f ca="1">stat(calculs!AY167)</f>
        <v>#NAME?</v>
      </c>
      <c r="AZ167" s="525" t="e">
        <f ca="1">stat(calculs!AZ167)</f>
        <v>#NAME?</v>
      </c>
      <c r="BA167" s="525" t="e">
        <f ca="1">stat(calculs!BA167)</f>
        <v>#NAME?</v>
      </c>
      <c r="BB167" s="525" t="e">
        <f ca="1">stat(calculs!BB167)</f>
        <v>#NAME?</v>
      </c>
      <c r="BC167" s="525" t="e">
        <f ca="1">stat(calculs!BC167)</f>
        <v>#NAME?</v>
      </c>
      <c r="BD167" s="525" t="e">
        <f ca="1">stat(calculs!BD167)</f>
        <v>#NAME?</v>
      </c>
      <c r="BE167" s="525" t="e">
        <f ca="1">stat(calculs!BE167)</f>
        <v>#NAME?</v>
      </c>
      <c r="BF167" s="525" t="e">
        <f ca="1">stat(calculs!BF167)</f>
        <v>#NAME?</v>
      </c>
      <c r="BG167" s="729" t="e">
        <f ca="1">stat(calculs!BG167)</f>
        <v>#NAME?</v>
      </c>
      <c r="BH167" s="729" t="e">
        <f ca="1">stat(calculs!BH167)</f>
        <v>#NAME?</v>
      </c>
      <c r="BI167" s="729" t="e">
        <f ca="1">stat(calculs!BI167)</f>
        <v>#NAME?</v>
      </c>
      <c r="BJ167" s="729" t="e">
        <f ca="1">stat(calculs!BJ167)</f>
        <v>#NAME?</v>
      </c>
      <c r="BK167" s="729" t="e">
        <f ca="1">stat(calculs!BK167)</f>
        <v>#NAME?</v>
      </c>
      <c r="BL167" s="525" t="e">
        <f ca="1">stat(calculs!BL167)</f>
        <v>#NAME?</v>
      </c>
      <c r="BM167" s="525" t="e">
        <f ca="1">stat(calculs!BM167)</f>
        <v>#NAME?</v>
      </c>
      <c r="BN167" s="525" t="e">
        <f ca="1">stat(calculs!BN167)</f>
        <v>#NAME?</v>
      </c>
      <c r="BO167" s="525" t="e">
        <f ca="1">stat(calculs!BO167)</f>
        <v>#NAME?</v>
      </c>
      <c r="BP167" s="525" t="e">
        <f ca="1">stat(calculs!BP167)</f>
        <v>#NAME?</v>
      </c>
      <c r="BQ167" s="525" t="e">
        <f ca="1">stat(calculs!BQ167)</f>
        <v>#NAME?</v>
      </c>
      <c r="BR167" s="525" t="e">
        <f ca="1">stat(calculs!BR167)</f>
        <v>#NAME?</v>
      </c>
    </row>
    <row r="168" spans="1:70" x14ac:dyDescent="0.2">
      <c r="A168" s="222">
        <f>données_step[[#This Row],[Datum]]</f>
        <v>44719</v>
      </c>
      <c r="B168" s="223"/>
      <c r="C168" s="224">
        <f t="shared" si="2"/>
        <v>3</v>
      </c>
      <c r="D168" s="523" t="e">
        <f ca="1">stat(charge_entree[[#This Row],[ch_E_DBO5]])</f>
        <v>#NAME?</v>
      </c>
      <c r="E168" s="523" t="e">
        <f ca="1">stat(charge_entree[[#This Row],[ch_E_DCO]])</f>
        <v>#NAME?</v>
      </c>
      <c r="F168" s="523" t="e">
        <f ca="1">stat(charge_entree[[#This Row],[ch_E_COT]])</f>
        <v>#NAME?</v>
      </c>
      <c r="G168" s="523" t="e">
        <f ca="1">stat(charge_entree[[#This Row],[ch_E_NH4]])</f>
        <v>#NAME?</v>
      </c>
      <c r="H168" s="523" t="e">
        <f ca="1">stat(charge_entree[[#This Row],[ch_E_NTOT]])</f>
        <v>#NAME?</v>
      </c>
      <c r="I168" s="523" t="e">
        <f ca="1">stat(charge_entree[[#This Row],[ch_E_PTOT]])</f>
        <v>#NAME?</v>
      </c>
      <c r="J168" s="523" t="e">
        <f ca="1">stat(charge_entree[[#This Row],[ch_S_DBO]])</f>
        <v>#NAME?</v>
      </c>
      <c r="K168" s="523" t="e">
        <f ca="1">stat(charge_entree[[#This Row],[ch_S-DCO]])</f>
        <v>#NAME?</v>
      </c>
      <c r="L168" s="523" t="e">
        <f ca="1">stat(charge_entree[[#This Row],[ch_S_DOC]])</f>
        <v>#NAME?</v>
      </c>
      <c r="M168" s="523" t="e">
        <f ca="1">stat(charge_entree[[#This Row],[ch_S_NH4]])</f>
        <v>#NAME?</v>
      </c>
      <c r="N168" s="523" t="e">
        <f ca="1">stat(charge_entree[[#This Row],[ch_S_NO2]])</f>
        <v>#NAME?</v>
      </c>
      <c r="O168" s="523" t="e">
        <f ca="1">stat(charge_entree[[#This Row],[ch_S_NO3]])</f>
        <v>#NAME?</v>
      </c>
      <c r="P168" s="523" t="e">
        <f ca="1">stat(charge_entree[[#This Row],[ch_S_PTOT]])</f>
        <v>#NAME?</v>
      </c>
      <c r="Q168" s="523" t="e">
        <f ca="1">stat(charge_entree[[#This Row],[ch_S_SNDT]])</f>
        <v>#NAME?</v>
      </c>
      <c r="R168" s="523">
        <f>calculs!R168</f>
        <v>0</v>
      </c>
      <c r="S168" s="523" t="e">
        <f ca="1">stat(calculs!S168)</f>
        <v>#NAME?</v>
      </c>
      <c r="T168" s="523" t="e">
        <f ca="1">stat(calculs!T168)</f>
        <v>#NAME?</v>
      </c>
      <c r="U168" s="523" t="e">
        <f ca="1">stat(calculs!U168)</f>
        <v>#NAME?</v>
      </c>
      <c r="V168" s="523" t="e">
        <f ca="1">stat(calculs!V168)</f>
        <v>#NAME?</v>
      </c>
      <c r="W168" s="523" t="e">
        <f ca="1">stat(calculs!W168)</f>
        <v>#NAME?</v>
      </c>
      <c r="X168" s="523" t="e">
        <f ca="1">stat(calculs!X168)</f>
        <v>#NAME?</v>
      </c>
      <c r="Y168" s="523" t="e">
        <f ca="1">stat(calculs!Y168)</f>
        <v>#NAME?</v>
      </c>
      <c r="Z168" s="523" t="e">
        <f ca="1">stat(calculs!Z168)</f>
        <v>#NAME?</v>
      </c>
      <c r="AA168" s="523" t="e">
        <f ca="1">stat(calculs!AA168)</f>
        <v>#NAME?</v>
      </c>
      <c r="AB168" s="523" t="e">
        <f ca="1">stat(calculs!AB168)</f>
        <v>#NAME?</v>
      </c>
      <c r="AC168" s="523" t="e">
        <f ca="1">stat(calculs!AC168)</f>
        <v>#NAME?</v>
      </c>
      <c r="AD168" s="523" t="e">
        <f ca="1">stat(calculs!AD168)</f>
        <v>#NAME?</v>
      </c>
      <c r="AE168" s="523" t="e">
        <f ca="1">stat(calculs!AE168)</f>
        <v>#NAME?</v>
      </c>
      <c r="AF168" s="523" t="e">
        <f ca="1">stat(calculs!AF168)</f>
        <v>#NAME?</v>
      </c>
      <c r="AG168" s="523" t="e">
        <f ca="1">stat(calculs!AG168)</f>
        <v>#NAME?</v>
      </c>
      <c r="AH168" s="523" t="e">
        <f ca="1">stat(calculs!AH168)</f>
        <v>#NAME?</v>
      </c>
      <c r="AI168" s="523" t="e">
        <f ca="1">stat(calculs!AI168)</f>
        <v>#NAME?</v>
      </c>
      <c r="AJ168" s="523" t="e">
        <f ca="1">stat(calculs!AJ168)</f>
        <v>#NAME?</v>
      </c>
      <c r="AK168" s="523" t="e">
        <f ca="1">stat(calculs!AK168)</f>
        <v>#NAME?</v>
      </c>
      <c r="AL168" s="523" t="e">
        <f ca="1">stat(calculs!AL168)</f>
        <v>#NAME?</v>
      </c>
      <c r="AM168" s="523" t="e">
        <f ca="1">stat(calculs!AM168)</f>
        <v>#NAME?</v>
      </c>
      <c r="AN168" s="523" t="e">
        <f ca="1">stat(calculs!AN168)</f>
        <v>#NAME?</v>
      </c>
      <c r="AO168" s="523" t="e">
        <f ca="1">stat(calculs!AO168)</f>
        <v>#NAME?</v>
      </c>
      <c r="AP168" s="523" t="e">
        <f ca="1">stat(calculs!AP168)</f>
        <v>#NAME?</v>
      </c>
      <c r="AQ168" s="523" t="e">
        <f ca="1">stat(calculs!AQ168)</f>
        <v>#NAME?</v>
      </c>
      <c r="AV168" s="525" t="str">
        <f>stat(calculs!AV168)</f>
        <v/>
      </c>
      <c r="AW168" s="525" t="str">
        <f>stat(calculs!AW168)</f>
        <v/>
      </c>
      <c r="AX168" s="525" t="str">
        <f>stat(calculs!AX168)</f>
        <v/>
      </c>
      <c r="AY168" s="525" t="e">
        <f ca="1">stat(calculs!AY168)</f>
        <v>#NAME?</v>
      </c>
      <c r="AZ168" s="525" t="e">
        <f ca="1">stat(calculs!AZ168)</f>
        <v>#NAME?</v>
      </c>
      <c r="BA168" s="525" t="e">
        <f ca="1">stat(calculs!BA168)</f>
        <v>#NAME?</v>
      </c>
      <c r="BB168" s="525" t="e">
        <f ca="1">stat(calculs!BB168)</f>
        <v>#NAME?</v>
      </c>
      <c r="BC168" s="525" t="e">
        <f ca="1">stat(calculs!BC168)</f>
        <v>#NAME?</v>
      </c>
      <c r="BD168" s="525" t="e">
        <f ca="1">stat(calculs!BD168)</f>
        <v>#NAME?</v>
      </c>
      <c r="BE168" s="525" t="e">
        <f ca="1">stat(calculs!BE168)</f>
        <v>#NAME?</v>
      </c>
      <c r="BF168" s="525" t="e">
        <f ca="1">stat(calculs!BF168)</f>
        <v>#NAME?</v>
      </c>
      <c r="BG168" s="729" t="e">
        <f ca="1">stat(calculs!BG168)</f>
        <v>#NAME?</v>
      </c>
      <c r="BH168" s="729" t="e">
        <f ca="1">stat(calculs!BH168)</f>
        <v>#NAME?</v>
      </c>
      <c r="BI168" s="729" t="e">
        <f ca="1">stat(calculs!BI168)</f>
        <v>#NAME?</v>
      </c>
      <c r="BJ168" s="729" t="e">
        <f ca="1">stat(calculs!BJ168)</f>
        <v>#NAME?</v>
      </c>
      <c r="BK168" s="729" t="e">
        <f ca="1">stat(calculs!BK168)</f>
        <v>#NAME?</v>
      </c>
      <c r="BL168" s="525" t="e">
        <f ca="1">stat(calculs!BL168)</f>
        <v>#NAME?</v>
      </c>
      <c r="BM168" s="525" t="e">
        <f ca="1">stat(calculs!BM168)</f>
        <v>#NAME?</v>
      </c>
      <c r="BN168" s="525" t="e">
        <f ca="1">stat(calculs!BN168)</f>
        <v>#NAME?</v>
      </c>
      <c r="BO168" s="525" t="e">
        <f ca="1">stat(calculs!BO168)</f>
        <v>#NAME?</v>
      </c>
      <c r="BP168" s="525" t="e">
        <f ca="1">stat(calculs!BP168)</f>
        <v>#NAME?</v>
      </c>
      <c r="BQ168" s="525" t="e">
        <f ca="1">stat(calculs!BQ168)</f>
        <v>#NAME?</v>
      </c>
      <c r="BR168" s="525" t="e">
        <f ca="1">stat(calculs!BR168)</f>
        <v>#NAME?</v>
      </c>
    </row>
    <row r="169" spans="1:70" x14ac:dyDescent="0.2">
      <c r="A169" s="222">
        <f>données_step[[#This Row],[Datum]]</f>
        <v>44720</v>
      </c>
      <c r="B169" s="223"/>
      <c r="C169" s="224">
        <f t="shared" si="2"/>
        <v>4</v>
      </c>
      <c r="D169" s="523" t="e">
        <f ca="1">stat(charge_entree[[#This Row],[ch_E_DBO5]])</f>
        <v>#NAME?</v>
      </c>
      <c r="E169" s="523" t="e">
        <f ca="1">stat(charge_entree[[#This Row],[ch_E_DCO]])</f>
        <v>#NAME?</v>
      </c>
      <c r="F169" s="523" t="e">
        <f ca="1">stat(charge_entree[[#This Row],[ch_E_COT]])</f>
        <v>#NAME?</v>
      </c>
      <c r="G169" s="523" t="e">
        <f ca="1">stat(charge_entree[[#This Row],[ch_E_NH4]])</f>
        <v>#NAME?</v>
      </c>
      <c r="H169" s="523" t="e">
        <f ca="1">stat(charge_entree[[#This Row],[ch_E_NTOT]])</f>
        <v>#NAME?</v>
      </c>
      <c r="I169" s="523" t="e">
        <f ca="1">stat(charge_entree[[#This Row],[ch_E_PTOT]])</f>
        <v>#NAME?</v>
      </c>
      <c r="J169" s="523" t="e">
        <f ca="1">stat(charge_entree[[#This Row],[ch_S_DBO]])</f>
        <v>#NAME?</v>
      </c>
      <c r="K169" s="523" t="e">
        <f ca="1">stat(charge_entree[[#This Row],[ch_S-DCO]])</f>
        <v>#NAME?</v>
      </c>
      <c r="L169" s="523" t="e">
        <f ca="1">stat(charge_entree[[#This Row],[ch_S_DOC]])</f>
        <v>#NAME?</v>
      </c>
      <c r="M169" s="523" t="e">
        <f ca="1">stat(charge_entree[[#This Row],[ch_S_NH4]])</f>
        <v>#NAME?</v>
      </c>
      <c r="N169" s="523" t="e">
        <f ca="1">stat(charge_entree[[#This Row],[ch_S_NO2]])</f>
        <v>#NAME?</v>
      </c>
      <c r="O169" s="523" t="e">
        <f ca="1">stat(charge_entree[[#This Row],[ch_S_NO3]])</f>
        <v>#NAME?</v>
      </c>
      <c r="P169" s="523" t="e">
        <f ca="1">stat(charge_entree[[#This Row],[ch_S_PTOT]])</f>
        <v>#NAME?</v>
      </c>
      <c r="Q169" s="523" t="e">
        <f ca="1">stat(charge_entree[[#This Row],[ch_S_SNDT]])</f>
        <v>#NAME?</v>
      </c>
      <c r="R169" s="523">
        <f>calculs!R169</f>
        <v>0</v>
      </c>
      <c r="S169" s="523" t="e">
        <f ca="1">stat(calculs!S169)</f>
        <v>#NAME?</v>
      </c>
      <c r="T169" s="523" t="e">
        <f ca="1">stat(calculs!T169)</f>
        <v>#NAME?</v>
      </c>
      <c r="U169" s="523" t="e">
        <f ca="1">stat(calculs!U169)</f>
        <v>#NAME?</v>
      </c>
      <c r="V169" s="523" t="e">
        <f ca="1">stat(calculs!V169)</f>
        <v>#NAME?</v>
      </c>
      <c r="W169" s="523" t="e">
        <f ca="1">stat(calculs!W169)</f>
        <v>#NAME?</v>
      </c>
      <c r="X169" s="523" t="e">
        <f ca="1">stat(calculs!X169)</f>
        <v>#NAME?</v>
      </c>
      <c r="Y169" s="523" t="e">
        <f ca="1">stat(calculs!Y169)</f>
        <v>#NAME?</v>
      </c>
      <c r="Z169" s="523" t="e">
        <f ca="1">stat(calculs!Z169)</f>
        <v>#NAME?</v>
      </c>
      <c r="AA169" s="523" t="e">
        <f ca="1">stat(calculs!AA169)</f>
        <v>#NAME?</v>
      </c>
      <c r="AB169" s="523" t="e">
        <f ca="1">stat(calculs!AB169)</f>
        <v>#NAME?</v>
      </c>
      <c r="AC169" s="523" t="e">
        <f ca="1">stat(calculs!AC169)</f>
        <v>#NAME?</v>
      </c>
      <c r="AD169" s="523" t="e">
        <f ca="1">stat(calculs!AD169)</f>
        <v>#NAME?</v>
      </c>
      <c r="AE169" s="523" t="e">
        <f ca="1">stat(calculs!AE169)</f>
        <v>#NAME?</v>
      </c>
      <c r="AF169" s="523" t="e">
        <f ca="1">stat(calculs!AF169)</f>
        <v>#NAME?</v>
      </c>
      <c r="AG169" s="523" t="e">
        <f ca="1">stat(calculs!AG169)</f>
        <v>#NAME?</v>
      </c>
      <c r="AH169" s="523" t="e">
        <f ca="1">stat(calculs!AH169)</f>
        <v>#NAME?</v>
      </c>
      <c r="AI169" s="523" t="e">
        <f ca="1">stat(calculs!AI169)</f>
        <v>#NAME?</v>
      </c>
      <c r="AJ169" s="523" t="e">
        <f ca="1">stat(calculs!AJ169)</f>
        <v>#NAME?</v>
      </c>
      <c r="AK169" s="523" t="e">
        <f ca="1">stat(calculs!AK169)</f>
        <v>#NAME?</v>
      </c>
      <c r="AL169" s="523" t="e">
        <f ca="1">stat(calculs!AL169)</f>
        <v>#NAME?</v>
      </c>
      <c r="AM169" s="523" t="e">
        <f ca="1">stat(calculs!AM169)</f>
        <v>#NAME?</v>
      </c>
      <c r="AN169" s="523" t="e">
        <f ca="1">stat(calculs!AN169)</f>
        <v>#NAME?</v>
      </c>
      <c r="AO169" s="523" t="e">
        <f ca="1">stat(calculs!AO169)</f>
        <v>#NAME?</v>
      </c>
      <c r="AP169" s="523" t="e">
        <f ca="1">stat(calculs!AP169)</f>
        <v>#NAME?</v>
      </c>
      <c r="AQ169" s="523" t="e">
        <f ca="1">stat(calculs!AQ169)</f>
        <v>#NAME?</v>
      </c>
      <c r="AV169" s="525" t="str">
        <f>stat(calculs!AV169)</f>
        <v/>
      </c>
      <c r="AW169" s="525" t="str">
        <f>stat(calculs!AW169)</f>
        <v/>
      </c>
      <c r="AX169" s="525" t="str">
        <f>stat(calculs!AX169)</f>
        <v/>
      </c>
      <c r="AY169" s="525" t="e">
        <f ca="1">stat(calculs!AY169)</f>
        <v>#NAME?</v>
      </c>
      <c r="AZ169" s="525" t="e">
        <f ca="1">stat(calculs!AZ169)</f>
        <v>#NAME?</v>
      </c>
      <c r="BA169" s="525" t="e">
        <f ca="1">stat(calculs!BA169)</f>
        <v>#NAME?</v>
      </c>
      <c r="BB169" s="525" t="e">
        <f ca="1">stat(calculs!BB169)</f>
        <v>#NAME?</v>
      </c>
      <c r="BC169" s="525" t="e">
        <f ca="1">stat(calculs!BC169)</f>
        <v>#NAME?</v>
      </c>
      <c r="BD169" s="525" t="e">
        <f ca="1">stat(calculs!BD169)</f>
        <v>#NAME?</v>
      </c>
      <c r="BE169" s="525" t="e">
        <f ca="1">stat(calculs!BE169)</f>
        <v>#NAME?</v>
      </c>
      <c r="BF169" s="525" t="e">
        <f ca="1">stat(calculs!BF169)</f>
        <v>#NAME?</v>
      </c>
      <c r="BG169" s="729" t="e">
        <f ca="1">stat(calculs!BG169)</f>
        <v>#NAME?</v>
      </c>
      <c r="BH169" s="729" t="e">
        <f ca="1">stat(calculs!BH169)</f>
        <v>#NAME?</v>
      </c>
      <c r="BI169" s="729" t="e">
        <f ca="1">stat(calculs!BI169)</f>
        <v>#NAME?</v>
      </c>
      <c r="BJ169" s="729" t="e">
        <f ca="1">stat(calculs!BJ169)</f>
        <v>#NAME?</v>
      </c>
      <c r="BK169" s="729" t="e">
        <f ca="1">stat(calculs!BK169)</f>
        <v>#NAME?</v>
      </c>
      <c r="BL169" s="525" t="e">
        <f ca="1">stat(calculs!BL169)</f>
        <v>#NAME?</v>
      </c>
      <c r="BM169" s="525" t="e">
        <f ca="1">stat(calculs!BM169)</f>
        <v>#NAME?</v>
      </c>
      <c r="BN169" s="525" t="e">
        <f ca="1">stat(calculs!BN169)</f>
        <v>#NAME?</v>
      </c>
      <c r="BO169" s="525" t="e">
        <f ca="1">stat(calculs!BO169)</f>
        <v>#NAME?</v>
      </c>
      <c r="BP169" s="525" t="e">
        <f ca="1">stat(calculs!BP169)</f>
        <v>#NAME?</v>
      </c>
      <c r="BQ169" s="525" t="e">
        <f ca="1">stat(calculs!BQ169)</f>
        <v>#NAME?</v>
      </c>
      <c r="BR169" s="525" t="e">
        <f ca="1">stat(calculs!BR169)</f>
        <v>#NAME?</v>
      </c>
    </row>
    <row r="170" spans="1:70" x14ac:dyDescent="0.2">
      <c r="A170" s="222">
        <f>données_step[[#This Row],[Datum]]</f>
        <v>44721</v>
      </c>
      <c r="B170" s="223"/>
      <c r="C170" s="224">
        <f t="shared" si="2"/>
        <v>5</v>
      </c>
      <c r="D170" s="523" t="e">
        <f ca="1">stat(charge_entree[[#This Row],[ch_E_DBO5]])</f>
        <v>#NAME?</v>
      </c>
      <c r="E170" s="523" t="e">
        <f ca="1">stat(charge_entree[[#This Row],[ch_E_DCO]])</f>
        <v>#NAME?</v>
      </c>
      <c r="F170" s="523" t="e">
        <f ca="1">stat(charge_entree[[#This Row],[ch_E_COT]])</f>
        <v>#NAME?</v>
      </c>
      <c r="G170" s="523" t="e">
        <f ca="1">stat(charge_entree[[#This Row],[ch_E_NH4]])</f>
        <v>#NAME?</v>
      </c>
      <c r="H170" s="523" t="e">
        <f ca="1">stat(charge_entree[[#This Row],[ch_E_NTOT]])</f>
        <v>#NAME?</v>
      </c>
      <c r="I170" s="523" t="e">
        <f ca="1">stat(charge_entree[[#This Row],[ch_E_PTOT]])</f>
        <v>#NAME?</v>
      </c>
      <c r="J170" s="523" t="e">
        <f ca="1">stat(charge_entree[[#This Row],[ch_S_DBO]])</f>
        <v>#NAME?</v>
      </c>
      <c r="K170" s="523" t="e">
        <f ca="1">stat(charge_entree[[#This Row],[ch_S-DCO]])</f>
        <v>#NAME?</v>
      </c>
      <c r="L170" s="523" t="e">
        <f ca="1">stat(charge_entree[[#This Row],[ch_S_DOC]])</f>
        <v>#NAME?</v>
      </c>
      <c r="M170" s="523" t="e">
        <f ca="1">stat(charge_entree[[#This Row],[ch_S_NH4]])</f>
        <v>#NAME?</v>
      </c>
      <c r="N170" s="523" t="e">
        <f ca="1">stat(charge_entree[[#This Row],[ch_S_NO2]])</f>
        <v>#NAME?</v>
      </c>
      <c r="O170" s="523" t="e">
        <f ca="1">stat(charge_entree[[#This Row],[ch_S_NO3]])</f>
        <v>#NAME?</v>
      </c>
      <c r="P170" s="523" t="e">
        <f ca="1">stat(charge_entree[[#This Row],[ch_S_PTOT]])</f>
        <v>#NAME?</v>
      </c>
      <c r="Q170" s="523" t="e">
        <f ca="1">stat(charge_entree[[#This Row],[ch_S_SNDT]])</f>
        <v>#NAME?</v>
      </c>
      <c r="R170" s="523">
        <f>calculs!R170</f>
        <v>0</v>
      </c>
      <c r="S170" s="523" t="e">
        <f ca="1">stat(calculs!S170)</f>
        <v>#NAME?</v>
      </c>
      <c r="T170" s="523" t="e">
        <f ca="1">stat(calculs!T170)</f>
        <v>#NAME?</v>
      </c>
      <c r="U170" s="523" t="e">
        <f ca="1">stat(calculs!U170)</f>
        <v>#NAME?</v>
      </c>
      <c r="V170" s="523" t="e">
        <f ca="1">stat(calculs!V170)</f>
        <v>#NAME?</v>
      </c>
      <c r="W170" s="523" t="e">
        <f ca="1">stat(calculs!W170)</f>
        <v>#NAME?</v>
      </c>
      <c r="X170" s="523" t="e">
        <f ca="1">stat(calculs!X170)</f>
        <v>#NAME?</v>
      </c>
      <c r="Y170" s="523" t="e">
        <f ca="1">stat(calculs!Y170)</f>
        <v>#NAME?</v>
      </c>
      <c r="Z170" s="523" t="e">
        <f ca="1">stat(calculs!Z170)</f>
        <v>#NAME?</v>
      </c>
      <c r="AA170" s="523" t="e">
        <f ca="1">stat(calculs!AA170)</f>
        <v>#NAME?</v>
      </c>
      <c r="AB170" s="523" t="e">
        <f ca="1">stat(calculs!AB170)</f>
        <v>#NAME?</v>
      </c>
      <c r="AC170" s="523" t="e">
        <f ca="1">stat(calculs!AC170)</f>
        <v>#NAME?</v>
      </c>
      <c r="AD170" s="523" t="e">
        <f ca="1">stat(calculs!AD170)</f>
        <v>#NAME?</v>
      </c>
      <c r="AE170" s="523" t="e">
        <f ca="1">stat(calculs!AE170)</f>
        <v>#NAME?</v>
      </c>
      <c r="AF170" s="523" t="e">
        <f ca="1">stat(calculs!AF170)</f>
        <v>#NAME?</v>
      </c>
      <c r="AG170" s="523" t="e">
        <f ca="1">stat(calculs!AG170)</f>
        <v>#NAME?</v>
      </c>
      <c r="AH170" s="523" t="e">
        <f ca="1">stat(calculs!AH170)</f>
        <v>#NAME?</v>
      </c>
      <c r="AI170" s="523" t="e">
        <f ca="1">stat(calculs!AI170)</f>
        <v>#NAME?</v>
      </c>
      <c r="AJ170" s="523" t="e">
        <f ca="1">stat(calculs!AJ170)</f>
        <v>#NAME?</v>
      </c>
      <c r="AK170" s="523" t="e">
        <f ca="1">stat(calculs!AK170)</f>
        <v>#NAME?</v>
      </c>
      <c r="AL170" s="523" t="e">
        <f ca="1">stat(calculs!AL170)</f>
        <v>#NAME?</v>
      </c>
      <c r="AM170" s="523" t="e">
        <f ca="1">stat(calculs!AM170)</f>
        <v>#NAME?</v>
      </c>
      <c r="AN170" s="523" t="e">
        <f ca="1">stat(calculs!AN170)</f>
        <v>#NAME?</v>
      </c>
      <c r="AO170" s="523" t="e">
        <f ca="1">stat(calculs!AO170)</f>
        <v>#NAME?</v>
      </c>
      <c r="AP170" s="523" t="e">
        <f ca="1">stat(calculs!AP170)</f>
        <v>#NAME?</v>
      </c>
      <c r="AQ170" s="523" t="e">
        <f ca="1">stat(calculs!AQ170)</f>
        <v>#NAME?</v>
      </c>
      <c r="AV170" s="525" t="str">
        <f>stat(calculs!AV170)</f>
        <v/>
      </c>
      <c r="AW170" s="525" t="str">
        <f>stat(calculs!AW170)</f>
        <v/>
      </c>
      <c r="AX170" s="525" t="str">
        <f>stat(calculs!AX170)</f>
        <v/>
      </c>
      <c r="AY170" s="525" t="e">
        <f ca="1">stat(calculs!AY170)</f>
        <v>#NAME?</v>
      </c>
      <c r="AZ170" s="525" t="e">
        <f ca="1">stat(calculs!AZ170)</f>
        <v>#NAME?</v>
      </c>
      <c r="BA170" s="525" t="e">
        <f ca="1">stat(calculs!BA170)</f>
        <v>#NAME?</v>
      </c>
      <c r="BB170" s="525" t="e">
        <f ca="1">stat(calculs!BB170)</f>
        <v>#NAME?</v>
      </c>
      <c r="BC170" s="525" t="e">
        <f ca="1">stat(calculs!BC170)</f>
        <v>#NAME?</v>
      </c>
      <c r="BD170" s="525" t="e">
        <f ca="1">stat(calculs!BD170)</f>
        <v>#NAME?</v>
      </c>
      <c r="BE170" s="525" t="e">
        <f ca="1">stat(calculs!BE170)</f>
        <v>#NAME?</v>
      </c>
      <c r="BF170" s="525" t="e">
        <f ca="1">stat(calculs!BF170)</f>
        <v>#NAME?</v>
      </c>
      <c r="BG170" s="729" t="e">
        <f ca="1">stat(calculs!BG170)</f>
        <v>#NAME?</v>
      </c>
      <c r="BH170" s="729" t="e">
        <f ca="1">stat(calculs!BH170)</f>
        <v>#NAME?</v>
      </c>
      <c r="BI170" s="729" t="e">
        <f ca="1">stat(calculs!BI170)</f>
        <v>#NAME?</v>
      </c>
      <c r="BJ170" s="729" t="e">
        <f ca="1">stat(calculs!BJ170)</f>
        <v>#NAME?</v>
      </c>
      <c r="BK170" s="729" t="e">
        <f ca="1">stat(calculs!BK170)</f>
        <v>#NAME?</v>
      </c>
      <c r="BL170" s="525" t="e">
        <f ca="1">stat(calculs!BL170)</f>
        <v>#NAME?</v>
      </c>
      <c r="BM170" s="525" t="e">
        <f ca="1">stat(calculs!BM170)</f>
        <v>#NAME?</v>
      </c>
      <c r="BN170" s="525" t="e">
        <f ca="1">stat(calculs!BN170)</f>
        <v>#NAME?</v>
      </c>
      <c r="BO170" s="525" t="e">
        <f ca="1">stat(calculs!BO170)</f>
        <v>#NAME?</v>
      </c>
      <c r="BP170" s="525" t="e">
        <f ca="1">stat(calculs!BP170)</f>
        <v>#NAME?</v>
      </c>
      <c r="BQ170" s="525" t="e">
        <f ca="1">stat(calculs!BQ170)</f>
        <v>#NAME?</v>
      </c>
      <c r="BR170" s="525" t="e">
        <f ca="1">stat(calculs!BR170)</f>
        <v>#NAME?</v>
      </c>
    </row>
    <row r="171" spans="1:70" x14ac:dyDescent="0.2">
      <c r="A171" s="222">
        <f>données_step[[#This Row],[Datum]]</f>
        <v>44722</v>
      </c>
      <c r="B171" s="223"/>
      <c r="C171" s="224">
        <f t="shared" si="2"/>
        <v>6</v>
      </c>
      <c r="D171" s="523" t="e">
        <f ca="1">stat(charge_entree[[#This Row],[ch_E_DBO5]])</f>
        <v>#NAME?</v>
      </c>
      <c r="E171" s="523" t="e">
        <f ca="1">stat(charge_entree[[#This Row],[ch_E_DCO]])</f>
        <v>#NAME?</v>
      </c>
      <c r="F171" s="523" t="e">
        <f ca="1">stat(charge_entree[[#This Row],[ch_E_COT]])</f>
        <v>#NAME?</v>
      </c>
      <c r="G171" s="523" t="e">
        <f ca="1">stat(charge_entree[[#This Row],[ch_E_NH4]])</f>
        <v>#NAME?</v>
      </c>
      <c r="H171" s="523" t="e">
        <f ca="1">stat(charge_entree[[#This Row],[ch_E_NTOT]])</f>
        <v>#NAME?</v>
      </c>
      <c r="I171" s="523" t="e">
        <f ca="1">stat(charge_entree[[#This Row],[ch_E_PTOT]])</f>
        <v>#NAME?</v>
      </c>
      <c r="J171" s="523" t="e">
        <f ca="1">stat(charge_entree[[#This Row],[ch_S_DBO]])</f>
        <v>#NAME?</v>
      </c>
      <c r="K171" s="523" t="e">
        <f ca="1">stat(charge_entree[[#This Row],[ch_S-DCO]])</f>
        <v>#NAME?</v>
      </c>
      <c r="L171" s="523" t="e">
        <f ca="1">stat(charge_entree[[#This Row],[ch_S_DOC]])</f>
        <v>#NAME?</v>
      </c>
      <c r="M171" s="523" t="e">
        <f ca="1">stat(charge_entree[[#This Row],[ch_S_NH4]])</f>
        <v>#NAME?</v>
      </c>
      <c r="N171" s="523" t="e">
        <f ca="1">stat(charge_entree[[#This Row],[ch_S_NO2]])</f>
        <v>#NAME?</v>
      </c>
      <c r="O171" s="523" t="e">
        <f ca="1">stat(charge_entree[[#This Row],[ch_S_NO3]])</f>
        <v>#NAME?</v>
      </c>
      <c r="P171" s="523" t="e">
        <f ca="1">stat(charge_entree[[#This Row],[ch_S_PTOT]])</f>
        <v>#NAME?</v>
      </c>
      <c r="Q171" s="523" t="e">
        <f ca="1">stat(charge_entree[[#This Row],[ch_S_SNDT]])</f>
        <v>#NAME?</v>
      </c>
      <c r="R171" s="523">
        <f>calculs!R171</f>
        <v>0</v>
      </c>
      <c r="S171" s="523" t="e">
        <f ca="1">stat(calculs!S171)</f>
        <v>#NAME?</v>
      </c>
      <c r="T171" s="523" t="e">
        <f ca="1">stat(calculs!T171)</f>
        <v>#NAME?</v>
      </c>
      <c r="U171" s="523" t="e">
        <f ca="1">stat(calculs!U171)</f>
        <v>#NAME?</v>
      </c>
      <c r="V171" s="523" t="e">
        <f ca="1">stat(calculs!V171)</f>
        <v>#NAME?</v>
      </c>
      <c r="W171" s="523" t="e">
        <f ca="1">stat(calculs!W171)</f>
        <v>#NAME?</v>
      </c>
      <c r="X171" s="523" t="e">
        <f ca="1">stat(calculs!X171)</f>
        <v>#NAME?</v>
      </c>
      <c r="Y171" s="523" t="e">
        <f ca="1">stat(calculs!Y171)</f>
        <v>#NAME?</v>
      </c>
      <c r="Z171" s="523" t="e">
        <f ca="1">stat(calculs!Z171)</f>
        <v>#NAME?</v>
      </c>
      <c r="AA171" s="523" t="e">
        <f ca="1">stat(calculs!AA171)</f>
        <v>#NAME?</v>
      </c>
      <c r="AB171" s="523" t="e">
        <f ca="1">stat(calculs!AB171)</f>
        <v>#NAME?</v>
      </c>
      <c r="AC171" s="523" t="e">
        <f ca="1">stat(calculs!AC171)</f>
        <v>#NAME?</v>
      </c>
      <c r="AD171" s="523" t="e">
        <f ca="1">stat(calculs!AD171)</f>
        <v>#NAME?</v>
      </c>
      <c r="AE171" s="523" t="e">
        <f ca="1">stat(calculs!AE171)</f>
        <v>#NAME?</v>
      </c>
      <c r="AF171" s="523" t="e">
        <f ca="1">stat(calculs!AF171)</f>
        <v>#NAME?</v>
      </c>
      <c r="AG171" s="523" t="e">
        <f ca="1">stat(calculs!AG171)</f>
        <v>#NAME?</v>
      </c>
      <c r="AH171" s="523" t="e">
        <f ca="1">stat(calculs!AH171)</f>
        <v>#NAME?</v>
      </c>
      <c r="AI171" s="523" t="e">
        <f ca="1">stat(calculs!AI171)</f>
        <v>#NAME?</v>
      </c>
      <c r="AJ171" s="523" t="e">
        <f ca="1">stat(calculs!AJ171)</f>
        <v>#NAME?</v>
      </c>
      <c r="AK171" s="523" t="e">
        <f ca="1">stat(calculs!AK171)</f>
        <v>#NAME?</v>
      </c>
      <c r="AL171" s="523" t="e">
        <f ca="1">stat(calculs!AL171)</f>
        <v>#NAME?</v>
      </c>
      <c r="AM171" s="523" t="e">
        <f ca="1">stat(calculs!AM171)</f>
        <v>#NAME?</v>
      </c>
      <c r="AN171" s="523" t="e">
        <f ca="1">stat(calculs!AN171)</f>
        <v>#NAME?</v>
      </c>
      <c r="AO171" s="523" t="e">
        <f ca="1">stat(calculs!AO171)</f>
        <v>#NAME?</v>
      </c>
      <c r="AP171" s="523" t="e">
        <f ca="1">stat(calculs!AP171)</f>
        <v>#NAME?</v>
      </c>
      <c r="AQ171" s="523" t="e">
        <f ca="1">stat(calculs!AQ171)</f>
        <v>#NAME?</v>
      </c>
      <c r="AV171" s="525" t="str">
        <f>stat(calculs!AV171)</f>
        <v/>
      </c>
      <c r="AW171" s="525" t="str">
        <f>stat(calculs!AW171)</f>
        <v/>
      </c>
      <c r="AX171" s="525" t="str">
        <f>stat(calculs!AX171)</f>
        <v/>
      </c>
      <c r="AY171" s="525" t="e">
        <f ca="1">stat(calculs!AY171)</f>
        <v>#NAME?</v>
      </c>
      <c r="AZ171" s="525" t="e">
        <f ca="1">stat(calculs!AZ171)</f>
        <v>#NAME?</v>
      </c>
      <c r="BA171" s="525" t="e">
        <f ca="1">stat(calculs!BA171)</f>
        <v>#NAME?</v>
      </c>
      <c r="BB171" s="525" t="e">
        <f ca="1">stat(calculs!BB171)</f>
        <v>#NAME?</v>
      </c>
      <c r="BC171" s="525" t="e">
        <f ca="1">stat(calculs!BC171)</f>
        <v>#NAME?</v>
      </c>
      <c r="BD171" s="525" t="e">
        <f ca="1">stat(calculs!BD171)</f>
        <v>#NAME?</v>
      </c>
      <c r="BE171" s="525" t="e">
        <f ca="1">stat(calculs!BE171)</f>
        <v>#NAME?</v>
      </c>
      <c r="BF171" s="525" t="e">
        <f ca="1">stat(calculs!BF171)</f>
        <v>#NAME?</v>
      </c>
      <c r="BG171" s="729" t="e">
        <f ca="1">stat(calculs!BG171)</f>
        <v>#NAME?</v>
      </c>
      <c r="BH171" s="729" t="e">
        <f ca="1">stat(calculs!BH171)</f>
        <v>#NAME?</v>
      </c>
      <c r="BI171" s="729" t="e">
        <f ca="1">stat(calculs!BI171)</f>
        <v>#NAME?</v>
      </c>
      <c r="BJ171" s="729" t="e">
        <f ca="1">stat(calculs!BJ171)</f>
        <v>#NAME?</v>
      </c>
      <c r="BK171" s="729" t="e">
        <f ca="1">stat(calculs!BK171)</f>
        <v>#NAME?</v>
      </c>
      <c r="BL171" s="525" t="e">
        <f ca="1">stat(calculs!BL171)</f>
        <v>#NAME?</v>
      </c>
      <c r="BM171" s="525" t="e">
        <f ca="1">stat(calculs!BM171)</f>
        <v>#NAME?</v>
      </c>
      <c r="BN171" s="525" t="e">
        <f ca="1">stat(calculs!BN171)</f>
        <v>#NAME?</v>
      </c>
      <c r="BO171" s="525" t="e">
        <f ca="1">stat(calculs!BO171)</f>
        <v>#NAME?</v>
      </c>
      <c r="BP171" s="525" t="e">
        <f ca="1">stat(calculs!BP171)</f>
        <v>#NAME?</v>
      </c>
      <c r="BQ171" s="525" t="e">
        <f ca="1">stat(calculs!BQ171)</f>
        <v>#NAME?</v>
      </c>
      <c r="BR171" s="525" t="e">
        <f ca="1">stat(calculs!BR171)</f>
        <v>#NAME?</v>
      </c>
    </row>
    <row r="172" spans="1:70" x14ac:dyDescent="0.2">
      <c r="A172" s="222">
        <f>données_step[[#This Row],[Datum]]</f>
        <v>44723</v>
      </c>
      <c r="B172" s="223"/>
      <c r="C172" s="224">
        <f t="shared" si="2"/>
        <v>7</v>
      </c>
      <c r="D172" s="523" t="e">
        <f ca="1">stat(charge_entree[[#This Row],[ch_E_DBO5]])</f>
        <v>#NAME?</v>
      </c>
      <c r="E172" s="523" t="e">
        <f ca="1">stat(charge_entree[[#This Row],[ch_E_DCO]])</f>
        <v>#NAME?</v>
      </c>
      <c r="F172" s="523" t="e">
        <f ca="1">stat(charge_entree[[#This Row],[ch_E_COT]])</f>
        <v>#NAME?</v>
      </c>
      <c r="G172" s="523" t="e">
        <f ca="1">stat(charge_entree[[#This Row],[ch_E_NH4]])</f>
        <v>#NAME?</v>
      </c>
      <c r="H172" s="523" t="e">
        <f ca="1">stat(charge_entree[[#This Row],[ch_E_NTOT]])</f>
        <v>#NAME?</v>
      </c>
      <c r="I172" s="523" t="e">
        <f ca="1">stat(charge_entree[[#This Row],[ch_E_PTOT]])</f>
        <v>#NAME?</v>
      </c>
      <c r="J172" s="523" t="e">
        <f ca="1">stat(charge_entree[[#This Row],[ch_S_DBO]])</f>
        <v>#NAME?</v>
      </c>
      <c r="K172" s="523" t="e">
        <f ca="1">stat(charge_entree[[#This Row],[ch_S-DCO]])</f>
        <v>#NAME?</v>
      </c>
      <c r="L172" s="523" t="e">
        <f ca="1">stat(charge_entree[[#This Row],[ch_S_DOC]])</f>
        <v>#NAME?</v>
      </c>
      <c r="M172" s="523" t="e">
        <f ca="1">stat(charge_entree[[#This Row],[ch_S_NH4]])</f>
        <v>#NAME?</v>
      </c>
      <c r="N172" s="523" t="e">
        <f ca="1">stat(charge_entree[[#This Row],[ch_S_NO2]])</f>
        <v>#NAME?</v>
      </c>
      <c r="O172" s="523" t="e">
        <f ca="1">stat(charge_entree[[#This Row],[ch_S_NO3]])</f>
        <v>#NAME?</v>
      </c>
      <c r="P172" s="523" t="e">
        <f ca="1">stat(charge_entree[[#This Row],[ch_S_PTOT]])</f>
        <v>#NAME?</v>
      </c>
      <c r="Q172" s="523" t="e">
        <f ca="1">stat(charge_entree[[#This Row],[ch_S_SNDT]])</f>
        <v>#NAME?</v>
      </c>
      <c r="R172" s="523">
        <f>calculs!R172</f>
        <v>0</v>
      </c>
      <c r="S172" s="523" t="e">
        <f ca="1">stat(calculs!S172)</f>
        <v>#NAME?</v>
      </c>
      <c r="T172" s="523" t="e">
        <f ca="1">stat(calculs!T172)</f>
        <v>#NAME?</v>
      </c>
      <c r="U172" s="523" t="e">
        <f ca="1">stat(calculs!U172)</f>
        <v>#NAME?</v>
      </c>
      <c r="V172" s="523" t="e">
        <f ca="1">stat(calculs!V172)</f>
        <v>#NAME?</v>
      </c>
      <c r="W172" s="523" t="e">
        <f ca="1">stat(calculs!W172)</f>
        <v>#NAME?</v>
      </c>
      <c r="X172" s="523" t="e">
        <f ca="1">stat(calculs!X172)</f>
        <v>#NAME?</v>
      </c>
      <c r="Y172" s="523" t="e">
        <f ca="1">stat(calculs!Y172)</f>
        <v>#NAME?</v>
      </c>
      <c r="Z172" s="523" t="e">
        <f ca="1">stat(calculs!Z172)</f>
        <v>#NAME?</v>
      </c>
      <c r="AA172" s="523" t="e">
        <f ca="1">stat(calculs!AA172)</f>
        <v>#NAME?</v>
      </c>
      <c r="AB172" s="523" t="e">
        <f ca="1">stat(calculs!AB172)</f>
        <v>#NAME?</v>
      </c>
      <c r="AC172" s="523" t="e">
        <f ca="1">stat(calculs!AC172)</f>
        <v>#NAME?</v>
      </c>
      <c r="AD172" s="523" t="e">
        <f ca="1">stat(calculs!AD172)</f>
        <v>#NAME?</v>
      </c>
      <c r="AE172" s="523" t="e">
        <f ca="1">stat(calculs!AE172)</f>
        <v>#NAME?</v>
      </c>
      <c r="AF172" s="523" t="e">
        <f ca="1">stat(calculs!AF172)</f>
        <v>#NAME?</v>
      </c>
      <c r="AG172" s="523" t="e">
        <f ca="1">stat(calculs!AG172)</f>
        <v>#NAME?</v>
      </c>
      <c r="AH172" s="523" t="e">
        <f ca="1">stat(calculs!AH172)</f>
        <v>#NAME?</v>
      </c>
      <c r="AI172" s="523" t="e">
        <f ca="1">stat(calculs!AI172)</f>
        <v>#NAME?</v>
      </c>
      <c r="AJ172" s="523" t="e">
        <f ca="1">stat(calculs!AJ172)</f>
        <v>#NAME?</v>
      </c>
      <c r="AK172" s="523" t="e">
        <f ca="1">stat(calculs!AK172)</f>
        <v>#NAME?</v>
      </c>
      <c r="AL172" s="523" t="e">
        <f ca="1">stat(calculs!AL172)</f>
        <v>#NAME?</v>
      </c>
      <c r="AM172" s="523" t="e">
        <f ca="1">stat(calculs!AM172)</f>
        <v>#NAME?</v>
      </c>
      <c r="AN172" s="523" t="e">
        <f ca="1">stat(calculs!AN172)</f>
        <v>#NAME?</v>
      </c>
      <c r="AO172" s="523" t="e">
        <f ca="1">stat(calculs!AO172)</f>
        <v>#NAME?</v>
      </c>
      <c r="AP172" s="523" t="e">
        <f ca="1">stat(calculs!AP172)</f>
        <v>#NAME?</v>
      </c>
      <c r="AQ172" s="523" t="e">
        <f ca="1">stat(calculs!AQ172)</f>
        <v>#NAME?</v>
      </c>
      <c r="AV172" s="525" t="str">
        <f>stat(calculs!AV172)</f>
        <v/>
      </c>
      <c r="AW172" s="525" t="str">
        <f>stat(calculs!AW172)</f>
        <v/>
      </c>
      <c r="AX172" s="525" t="str">
        <f>stat(calculs!AX172)</f>
        <v/>
      </c>
      <c r="AY172" s="525" t="e">
        <f ca="1">stat(calculs!AY172)</f>
        <v>#NAME?</v>
      </c>
      <c r="AZ172" s="525" t="e">
        <f ca="1">stat(calculs!AZ172)</f>
        <v>#NAME?</v>
      </c>
      <c r="BA172" s="525" t="e">
        <f ca="1">stat(calculs!BA172)</f>
        <v>#NAME?</v>
      </c>
      <c r="BB172" s="525" t="e">
        <f ca="1">stat(calculs!BB172)</f>
        <v>#NAME?</v>
      </c>
      <c r="BC172" s="525" t="e">
        <f ca="1">stat(calculs!BC172)</f>
        <v>#NAME?</v>
      </c>
      <c r="BD172" s="525" t="e">
        <f ca="1">stat(calculs!BD172)</f>
        <v>#NAME?</v>
      </c>
      <c r="BE172" s="525" t="e">
        <f ca="1">stat(calculs!BE172)</f>
        <v>#NAME?</v>
      </c>
      <c r="BF172" s="525" t="e">
        <f ca="1">stat(calculs!BF172)</f>
        <v>#NAME?</v>
      </c>
      <c r="BG172" s="729" t="e">
        <f ca="1">stat(calculs!BG172)</f>
        <v>#NAME?</v>
      </c>
      <c r="BH172" s="729" t="e">
        <f ca="1">stat(calculs!BH172)</f>
        <v>#NAME?</v>
      </c>
      <c r="BI172" s="729" t="e">
        <f ca="1">stat(calculs!BI172)</f>
        <v>#NAME?</v>
      </c>
      <c r="BJ172" s="729" t="e">
        <f ca="1">stat(calculs!BJ172)</f>
        <v>#NAME?</v>
      </c>
      <c r="BK172" s="729" t="e">
        <f ca="1">stat(calculs!BK172)</f>
        <v>#NAME?</v>
      </c>
      <c r="BL172" s="525" t="e">
        <f ca="1">stat(calculs!BL172)</f>
        <v>#NAME?</v>
      </c>
      <c r="BM172" s="525" t="e">
        <f ca="1">stat(calculs!BM172)</f>
        <v>#NAME?</v>
      </c>
      <c r="BN172" s="525" t="e">
        <f ca="1">stat(calculs!BN172)</f>
        <v>#NAME?</v>
      </c>
      <c r="BO172" s="525" t="e">
        <f ca="1">stat(calculs!BO172)</f>
        <v>#NAME?</v>
      </c>
      <c r="BP172" s="525" t="e">
        <f ca="1">stat(calculs!BP172)</f>
        <v>#NAME?</v>
      </c>
      <c r="BQ172" s="525" t="e">
        <f ca="1">stat(calculs!BQ172)</f>
        <v>#NAME?</v>
      </c>
      <c r="BR172" s="525" t="e">
        <f ca="1">stat(calculs!BR172)</f>
        <v>#NAME?</v>
      </c>
    </row>
    <row r="173" spans="1:70" x14ac:dyDescent="0.2">
      <c r="A173" s="222">
        <f>données_step[[#This Row],[Datum]]</f>
        <v>44724</v>
      </c>
      <c r="B173" s="223"/>
      <c r="C173" s="224">
        <f t="shared" si="2"/>
        <v>1</v>
      </c>
      <c r="D173" s="523" t="e">
        <f ca="1">stat(charge_entree[[#This Row],[ch_E_DBO5]])</f>
        <v>#NAME?</v>
      </c>
      <c r="E173" s="523" t="e">
        <f ca="1">stat(charge_entree[[#This Row],[ch_E_DCO]])</f>
        <v>#NAME?</v>
      </c>
      <c r="F173" s="523" t="e">
        <f ca="1">stat(charge_entree[[#This Row],[ch_E_COT]])</f>
        <v>#NAME?</v>
      </c>
      <c r="G173" s="523" t="e">
        <f ca="1">stat(charge_entree[[#This Row],[ch_E_NH4]])</f>
        <v>#NAME?</v>
      </c>
      <c r="H173" s="523" t="e">
        <f ca="1">stat(charge_entree[[#This Row],[ch_E_NTOT]])</f>
        <v>#NAME?</v>
      </c>
      <c r="I173" s="523" t="e">
        <f ca="1">stat(charge_entree[[#This Row],[ch_E_PTOT]])</f>
        <v>#NAME?</v>
      </c>
      <c r="J173" s="523" t="e">
        <f ca="1">stat(charge_entree[[#This Row],[ch_S_DBO]])</f>
        <v>#NAME?</v>
      </c>
      <c r="K173" s="523" t="e">
        <f ca="1">stat(charge_entree[[#This Row],[ch_S-DCO]])</f>
        <v>#NAME?</v>
      </c>
      <c r="L173" s="523" t="e">
        <f ca="1">stat(charge_entree[[#This Row],[ch_S_DOC]])</f>
        <v>#NAME?</v>
      </c>
      <c r="M173" s="523" t="e">
        <f ca="1">stat(charge_entree[[#This Row],[ch_S_NH4]])</f>
        <v>#NAME?</v>
      </c>
      <c r="N173" s="523" t="e">
        <f ca="1">stat(charge_entree[[#This Row],[ch_S_NO2]])</f>
        <v>#NAME?</v>
      </c>
      <c r="O173" s="523" t="e">
        <f ca="1">stat(charge_entree[[#This Row],[ch_S_NO3]])</f>
        <v>#NAME?</v>
      </c>
      <c r="P173" s="523" t="e">
        <f ca="1">stat(charge_entree[[#This Row],[ch_S_PTOT]])</f>
        <v>#NAME?</v>
      </c>
      <c r="Q173" s="523" t="e">
        <f ca="1">stat(charge_entree[[#This Row],[ch_S_SNDT]])</f>
        <v>#NAME?</v>
      </c>
      <c r="R173" s="523">
        <f>calculs!R173</f>
        <v>0</v>
      </c>
      <c r="S173" s="523" t="e">
        <f ca="1">stat(calculs!S173)</f>
        <v>#NAME?</v>
      </c>
      <c r="T173" s="523" t="e">
        <f ca="1">stat(calculs!T173)</f>
        <v>#NAME?</v>
      </c>
      <c r="U173" s="523" t="e">
        <f ca="1">stat(calculs!U173)</f>
        <v>#NAME?</v>
      </c>
      <c r="V173" s="523" t="e">
        <f ca="1">stat(calculs!V173)</f>
        <v>#NAME?</v>
      </c>
      <c r="W173" s="523" t="e">
        <f ca="1">stat(calculs!W173)</f>
        <v>#NAME?</v>
      </c>
      <c r="X173" s="523" t="e">
        <f ca="1">stat(calculs!X173)</f>
        <v>#NAME?</v>
      </c>
      <c r="Y173" s="523" t="e">
        <f ca="1">stat(calculs!Y173)</f>
        <v>#NAME?</v>
      </c>
      <c r="Z173" s="523" t="e">
        <f ca="1">stat(calculs!Z173)</f>
        <v>#NAME?</v>
      </c>
      <c r="AA173" s="523" t="e">
        <f ca="1">stat(calculs!AA173)</f>
        <v>#NAME?</v>
      </c>
      <c r="AB173" s="523" t="e">
        <f ca="1">stat(calculs!AB173)</f>
        <v>#NAME?</v>
      </c>
      <c r="AC173" s="523" t="e">
        <f ca="1">stat(calculs!AC173)</f>
        <v>#NAME?</v>
      </c>
      <c r="AD173" s="523" t="e">
        <f ca="1">stat(calculs!AD173)</f>
        <v>#NAME?</v>
      </c>
      <c r="AE173" s="523" t="e">
        <f ca="1">stat(calculs!AE173)</f>
        <v>#NAME?</v>
      </c>
      <c r="AF173" s="523" t="e">
        <f ca="1">stat(calculs!AF173)</f>
        <v>#NAME?</v>
      </c>
      <c r="AG173" s="523" t="e">
        <f ca="1">stat(calculs!AG173)</f>
        <v>#NAME?</v>
      </c>
      <c r="AH173" s="523" t="e">
        <f ca="1">stat(calculs!AH173)</f>
        <v>#NAME?</v>
      </c>
      <c r="AI173" s="523" t="e">
        <f ca="1">stat(calculs!AI173)</f>
        <v>#NAME?</v>
      </c>
      <c r="AJ173" s="523" t="e">
        <f ca="1">stat(calculs!AJ173)</f>
        <v>#NAME?</v>
      </c>
      <c r="AK173" s="523" t="e">
        <f ca="1">stat(calculs!AK173)</f>
        <v>#NAME?</v>
      </c>
      <c r="AL173" s="523" t="e">
        <f ca="1">stat(calculs!AL173)</f>
        <v>#NAME?</v>
      </c>
      <c r="AM173" s="523" t="e">
        <f ca="1">stat(calculs!AM173)</f>
        <v>#NAME?</v>
      </c>
      <c r="AN173" s="523" t="e">
        <f ca="1">stat(calculs!AN173)</f>
        <v>#NAME?</v>
      </c>
      <c r="AO173" s="523" t="e">
        <f ca="1">stat(calculs!AO173)</f>
        <v>#NAME?</v>
      </c>
      <c r="AP173" s="523" t="e">
        <f ca="1">stat(calculs!AP173)</f>
        <v>#NAME?</v>
      </c>
      <c r="AQ173" s="523" t="e">
        <f ca="1">stat(calculs!AQ173)</f>
        <v>#NAME?</v>
      </c>
      <c r="AV173" s="525" t="str">
        <f>stat(calculs!AV173)</f>
        <v/>
      </c>
      <c r="AW173" s="525" t="str">
        <f>stat(calculs!AW173)</f>
        <v/>
      </c>
      <c r="AX173" s="525" t="str">
        <f>stat(calculs!AX173)</f>
        <v/>
      </c>
      <c r="AY173" s="525" t="e">
        <f ca="1">stat(calculs!AY173)</f>
        <v>#NAME?</v>
      </c>
      <c r="AZ173" s="525" t="e">
        <f ca="1">stat(calculs!AZ173)</f>
        <v>#NAME?</v>
      </c>
      <c r="BA173" s="525" t="e">
        <f ca="1">stat(calculs!BA173)</f>
        <v>#NAME?</v>
      </c>
      <c r="BB173" s="525" t="e">
        <f ca="1">stat(calculs!BB173)</f>
        <v>#NAME?</v>
      </c>
      <c r="BC173" s="525" t="e">
        <f ca="1">stat(calculs!BC173)</f>
        <v>#NAME?</v>
      </c>
      <c r="BD173" s="525" t="e">
        <f ca="1">stat(calculs!BD173)</f>
        <v>#NAME?</v>
      </c>
      <c r="BE173" s="525" t="e">
        <f ca="1">stat(calculs!BE173)</f>
        <v>#NAME?</v>
      </c>
      <c r="BF173" s="525" t="e">
        <f ca="1">stat(calculs!BF173)</f>
        <v>#NAME?</v>
      </c>
      <c r="BG173" s="729" t="e">
        <f ca="1">stat(calculs!BG173)</f>
        <v>#NAME?</v>
      </c>
      <c r="BH173" s="729" t="e">
        <f ca="1">stat(calculs!BH173)</f>
        <v>#NAME?</v>
      </c>
      <c r="BI173" s="729" t="e">
        <f ca="1">stat(calculs!BI173)</f>
        <v>#NAME?</v>
      </c>
      <c r="BJ173" s="729" t="e">
        <f ca="1">stat(calculs!BJ173)</f>
        <v>#NAME?</v>
      </c>
      <c r="BK173" s="729" t="e">
        <f ca="1">stat(calculs!BK173)</f>
        <v>#NAME?</v>
      </c>
      <c r="BL173" s="525" t="e">
        <f ca="1">stat(calculs!BL173)</f>
        <v>#NAME?</v>
      </c>
      <c r="BM173" s="525" t="e">
        <f ca="1">stat(calculs!BM173)</f>
        <v>#NAME?</v>
      </c>
      <c r="BN173" s="525" t="e">
        <f ca="1">stat(calculs!BN173)</f>
        <v>#NAME?</v>
      </c>
      <c r="BO173" s="525" t="e">
        <f ca="1">stat(calculs!BO173)</f>
        <v>#NAME?</v>
      </c>
      <c r="BP173" s="525" t="e">
        <f ca="1">stat(calculs!BP173)</f>
        <v>#NAME?</v>
      </c>
      <c r="BQ173" s="525" t="e">
        <f ca="1">stat(calculs!BQ173)</f>
        <v>#NAME?</v>
      </c>
      <c r="BR173" s="525" t="e">
        <f ca="1">stat(calculs!BR173)</f>
        <v>#NAME?</v>
      </c>
    </row>
    <row r="174" spans="1:70" x14ac:dyDescent="0.2">
      <c r="A174" s="222">
        <f>données_step[[#This Row],[Datum]]</f>
        <v>44725</v>
      </c>
      <c r="B174" s="223"/>
      <c r="C174" s="224">
        <f t="shared" si="2"/>
        <v>2</v>
      </c>
      <c r="D174" s="523" t="e">
        <f ca="1">stat(charge_entree[[#This Row],[ch_E_DBO5]])</f>
        <v>#NAME?</v>
      </c>
      <c r="E174" s="523" t="e">
        <f ca="1">stat(charge_entree[[#This Row],[ch_E_DCO]])</f>
        <v>#NAME?</v>
      </c>
      <c r="F174" s="523" t="e">
        <f ca="1">stat(charge_entree[[#This Row],[ch_E_COT]])</f>
        <v>#NAME?</v>
      </c>
      <c r="G174" s="523" t="e">
        <f ca="1">stat(charge_entree[[#This Row],[ch_E_NH4]])</f>
        <v>#NAME?</v>
      </c>
      <c r="H174" s="523" t="e">
        <f ca="1">stat(charge_entree[[#This Row],[ch_E_NTOT]])</f>
        <v>#NAME?</v>
      </c>
      <c r="I174" s="523" t="e">
        <f ca="1">stat(charge_entree[[#This Row],[ch_E_PTOT]])</f>
        <v>#NAME?</v>
      </c>
      <c r="J174" s="523" t="e">
        <f ca="1">stat(charge_entree[[#This Row],[ch_S_DBO]])</f>
        <v>#NAME?</v>
      </c>
      <c r="K174" s="523" t="e">
        <f ca="1">stat(charge_entree[[#This Row],[ch_S-DCO]])</f>
        <v>#NAME?</v>
      </c>
      <c r="L174" s="523" t="e">
        <f ca="1">stat(charge_entree[[#This Row],[ch_S_DOC]])</f>
        <v>#NAME?</v>
      </c>
      <c r="M174" s="523" t="e">
        <f ca="1">stat(charge_entree[[#This Row],[ch_S_NH4]])</f>
        <v>#NAME?</v>
      </c>
      <c r="N174" s="523" t="e">
        <f ca="1">stat(charge_entree[[#This Row],[ch_S_NO2]])</f>
        <v>#NAME?</v>
      </c>
      <c r="O174" s="523" t="e">
        <f ca="1">stat(charge_entree[[#This Row],[ch_S_NO3]])</f>
        <v>#NAME?</v>
      </c>
      <c r="P174" s="523" t="e">
        <f ca="1">stat(charge_entree[[#This Row],[ch_S_PTOT]])</f>
        <v>#NAME?</v>
      </c>
      <c r="Q174" s="523" t="e">
        <f ca="1">stat(charge_entree[[#This Row],[ch_S_SNDT]])</f>
        <v>#NAME?</v>
      </c>
      <c r="R174" s="523">
        <f>calculs!R174</f>
        <v>0</v>
      </c>
      <c r="S174" s="523" t="e">
        <f ca="1">stat(calculs!S174)</f>
        <v>#NAME?</v>
      </c>
      <c r="T174" s="523" t="e">
        <f ca="1">stat(calculs!T174)</f>
        <v>#NAME?</v>
      </c>
      <c r="U174" s="523" t="e">
        <f ca="1">stat(calculs!U174)</f>
        <v>#NAME?</v>
      </c>
      <c r="V174" s="523" t="e">
        <f ca="1">stat(calculs!V174)</f>
        <v>#NAME?</v>
      </c>
      <c r="W174" s="523" t="e">
        <f ca="1">stat(calculs!W174)</f>
        <v>#NAME?</v>
      </c>
      <c r="X174" s="523" t="e">
        <f ca="1">stat(calculs!X174)</f>
        <v>#NAME?</v>
      </c>
      <c r="Y174" s="523" t="e">
        <f ca="1">stat(calculs!Y174)</f>
        <v>#NAME?</v>
      </c>
      <c r="Z174" s="523" t="e">
        <f ca="1">stat(calculs!Z174)</f>
        <v>#NAME?</v>
      </c>
      <c r="AA174" s="523" t="e">
        <f ca="1">stat(calculs!AA174)</f>
        <v>#NAME?</v>
      </c>
      <c r="AB174" s="523" t="e">
        <f ca="1">stat(calculs!AB174)</f>
        <v>#NAME?</v>
      </c>
      <c r="AC174" s="523" t="e">
        <f ca="1">stat(calculs!AC174)</f>
        <v>#NAME?</v>
      </c>
      <c r="AD174" s="523" t="e">
        <f ca="1">stat(calculs!AD174)</f>
        <v>#NAME?</v>
      </c>
      <c r="AE174" s="523" t="e">
        <f ca="1">stat(calculs!AE174)</f>
        <v>#NAME?</v>
      </c>
      <c r="AF174" s="523" t="e">
        <f ca="1">stat(calculs!AF174)</f>
        <v>#NAME?</v>
      </c>
      <c r="AG174" s="523" t="e">
        <f ca="1">stat(calculs!AG174)</f>
        <v>#NAME?</v>
      </c>
      <c r="AH174" s="523" t="e">
        <f ca="1">stat(calculs!AH174)</f>
        <v>#NAME?</v>
      </c>
      <c r="AI174" s="523" t="e">
        <f ca="1">stat(calculs!AI174)</f>
        <v>#NAME?</v>
      </c>
      <c r="AJ174" s="523" t="e">
        <f ca="1">stat(calculs!AJ174)</f>
        <v>#NAME?</v>
      </c>
      <c r="AK174" s="523" t="e">
        <f ca="1">stat(calculs!AK174)</f>
        <v>#NAME?</v>
      </c>
      <c r="AL174" s="523" t="e">
        <f ca="1">stat(calculs!AL174)</f>
        <v>#NAME?</v>
      </c>
      <c r="AM174" s="523" t="e">
        <f ca="1">stat(calculs!AM174)</f>
        <v>#NAME?</v>
      </c>
      <c r="AN174" s="523" t="e">
        <f ca="1">stat(calculs!AN174)</f>
        <v>#NAME?</v>
      </c>
      <c r="AO174" s="523" t="e">
        <f ca="1">stat(calculs!AO174)</f>
        <v>#NAME?</v>
      </c>
      <c r="AP174" s="523" t="e">
        <f ca="1">stat(calculs!AP174)</f>
        <v>#NAME?</v>
      </c>
      <c r="AQ174" s="523" t="e">
        <f ca="1">stat(calculs!AQ174)</f>
        <v>#NAME?</v>
      </c>
      <c r="AV174" s="525" t="str">
        <f>stat(calculs!AV174)</f>
        <v/>
      </c>
      <c r="AW174" s="525" t="str">
        <f>stat(calculs!AW174)</f>
        <v/>
      </c>
      <c r="AX174" s="525" t="str">
        <f>stat(calculs!AX174)</f>
        <v/>
      </c>
      <c r="AY174" s="525" t="e">
        <f ca="1">stat(calculs!AY174)</f>
        <v>#NAME?</v>
      </c>
      <c r="AZ174" s="525" t="e">
        <f ca="1">stat(calculs!AZ174)</f>
        <v>#NAME?</v>
      </c>
      <c r="BA174" s="525" t="e">
        <f ca="1">stat(calculs!BA174)</f>
        <v>#NAME?</v>
      </c>
      <c r="BB174" s="525" t="e">
        <f ca="1">stat(calculs!BB174)</f>
        <v>#NAME?</v>
      </c>
      <c r="BC174" s="525" t="e">
        <f ca="1">stat(calculs!BC174)</f>
        <v>#NAME?</v>
      </c>
      <c r="BD174" s="525" t="e">
        <f ca="1">stat(calculs!BD174)</f>
        <v>#NAME?</v>
      </c>
      <c r="BE174" s="525" t="e">
        <f ca="1">stat(calculs!BE174)</f>
        <v>#NAME?</v>
      </c>
      <c r="BF174" s="525" t="e">
        <f ca="1">stat(calculs!BF174)</f>
        <v>#NAME?</v>
      </c>
      <c r="BG174" s="729" t="e">
        <f ca="1">stat(calculs!BG174)</f>
        <v>#NAME?</v>
      </c>
      <c r="BH174" s="729" t="e">
        <f ca="1">stat(calculs!BH174)</f>
        <v>#NAME?</v>
      </c>
      <c r="BI174" s="729" t="e">
        <f ca="1">stat(calculs!BI174)</f>
        <v>#NAME?</v>
      </c>
      <c r="BJ174" s="729" t="e">
        <f ca="1">stat(calculs!BJ174)</f>
        <v>#NAME?</v>
      </c>
      <c r="BK174" s="729" t="e">
        <f ca="1">stat(calculs!BK174)</f>
        <v>#NAME?</v>
      </c>
      <c r="BL174" s="525" t="e">
        <f ca="1">stat(calculs!BL174)</f>
        <v>#NAME?</v>
      </c>
      <c r="BM174" s="525" t="e">
        <f ca="1">stat(calculs!BM174)</f>
        <v>#NAME?</v>
      </c>
      <c r="BN174" s="525" t="e">
        <f ca="1">stat(calculs!BN174)</f>
        <v>#NAME?</v>
      </c>
      <c r="BO174" s="525" t="e">
        <f ca="1">stat(calculs!BO174)</f>
        <v>#NAME?</v>
      </c>
      <c r="BP174" s="525" t="e">
        <f ca="1">stat(calculs!BP174)</f>
        <v>#NAME?</v>
      </c>
      <c r="BQ174" s="525" t="e">
        <f ca="1">stat(calculs!BQ174)</f>
        <v>#NAME?</v>
      </c>
      <c r="BR174" s="525" t="e">
        <f ca="1">stat(calculs!BR174)</f>
        <v>#NAME?</v>
      </c>
    </row>
    <row r="175" spans="1:70" x14ac:dyDescent="0.2">
      <c r="A175" s="222">
        <f>données_step[[#This Row],[Datum]]</f>
        <v>44726</v>
      </c>
      <c r="B175" s="223"/>
      <c r="C175" s="224">
        <f t="shared" si="2"/>
        <v>3</v>
      </c>
      <c r="D175" s="523" t="e">
        <f ca="1">stat(charge_entree[[#This Row],[ch_E_DBO5]])</f>
        <v>#NAME?</v>
      </c>
      <c r="E175" s="523" t="e">
        <f ca="1">stat(charge_entree[[#This Row],[ch_E_DCO]])</f>
        <v>#NAME?</v>
      </c>
      <c r="F175" s="523" t="e">
        <f ca="1">stat(charge_entree[[#This Row],[ch_E_COT]])</f>
        <v>#NAME?</v>
      </c>
      <c r="G175" s="523" t="e">
        <f ca="1">stat(charge_entree[[#This Row],[ch_E_NH4]])</f>
        <v>#NAME?</v>
      </c>
      <c r="H175" s="523" t="e">
        <f ca="1">stat(charge_entree[[#This Row],[ch_E_NTOT]])</f>
        <v>#NAME?</v>
      </c>
      <c r="I175" s="523" t="e">
        <f ca="1">stat(charge_entree[[#This Row],[ch_E_PTOT]])</f>
        <v>#NAME?</v>
      </c>
      <c r="J175" s="523" t="e">
        <f ca="1">stat(charge_entree[[#This Row],[ch_S_DBO]])</f>
        <v>#NAME?</v>
      </c>
      <c r="K175" s="523" t="e">
        <f ca="1">stat(charge_entree[[#This Row],[ch_S-DCO]])</f>
        <v>#NAME?</v>
      </c>
      <c r="L175" s="523" t="e">
        <f ca="1">stat(charge_entree[[#This Row],[ch_S_DOC]])</f>
        <v>#NAME?</v>
      </c>
      <c r="M175" s="523" t="e">
        <f ca="1">stat(charge_entree[[#This Row],[ch_S_NH4]])</f>
        <v>#NAME?</v>
      </c>
      <c r="N175" s="523" t="e">
        <f ca="1">stat(charge_entree[[#This Row],[ch_S_NO2]])</f>
        <v>#NAME?</v>
      </c>
      <c r="O175" s="523" t="e">
        <f ca="1">stat(charge_entree[[#This Row],[ch_S_NO3]])</f>
        <v>#NAME?</v>
      </c>
      <c r="P175" s="523" t="e">
        <f ca="1">stat(charge_entree[[#This Row],[ch_S_PTOT]])</f>
        <v>#NAME?</v>
      </c>
      <c r="Q175" s="523" t="e">
        <f ca="1">stat(charge_entree[[#This Row],[ch_S_SNDT]])</f>
        <v>#NAME?</v>
      </c>
      <c r="R175" s="523">
        <f>calculs!R175</f>
        <v>0</v>
      </c>
      <c r="S175" s="523" t="e">
        <f ca="1">stat(calculs!S175)</f>
        <v>#NAME?</v>
      </c>
      <c r="T175" s="523" t="e">
        <f ca="1">stat(calculs!T175)</f>
        <v>#NAME?</v>
      </c>
      <c r="U175" s="523" t="e">
        <f ca="1">stat(calculs!U175)</f>
        <v>#NAME?</v>
      </c>
      <c r="V175" s="523" t="e">
        <f ca="1">stat(calculs!V175)</f>
        <v>#NAME?</v>
      </c>
      <c r="W175" s="523" t="e">
        <f ca="1">stat(calculs!W175)</f>
        <v>#NAME?</v>
      </c>
      <c r="X175" s="523" t="e">
        <f ca="1">stat(calculs!X175)</f>
        <v>#NAME?</v>
      </c>
      <c r="Y175" s="523" t="e">
        <f ca="1">stat(calculs!Y175)</f>
        <v>#NAME?</v>
      </c>
      <c r="Z175" s="523" t="e">
        <f ca="1">stat(calculs!Z175)</f>
        <v>#NAME?</v>
      </c>
      <c r="AA175" s="523" t="e">
        <f ca="1">stat(calculs!AA175)</f>
        <v>#NAME?</v>
      </c>
      <c r="AB175" s="523" t="e">
        <f ca="1">stat(calculs!AB175)</f>
        <v>#NAME?</v>
      </c>
      <c r="AC175" s="523" t="e">
        <f ca="1">stat(calculs!AC175)</f>
        <v>#NAME?</v>
      </c>
      <c r="AD175" s="523" t="e">
        <f ca="1">stat(calculs!AD175)</f>
        <v>#NAME?</v>
      </c>
      <c r="AE175" s="523" t="e">
        <f ca="1">stat(calculs!AE175)</f>
        <v>#NAME?</v>
      </c>
      <c r="AF175" s="523" t="e">
        <f ca="1">stat(calculs!AF175)</f>
        <v>#NAME?</v>
      </c>
      <c r="AG175" s="523" t="e">
        <f ca="1">stat(calculs!AG175)</f>
        <v>#NAME?</v>
      </c>
      <c r="AH175" s="523" t="e">
        <f ca="1">stat(calculs!AH175)</f>
        <v>#NAME?</v>
      </c>
      <c r="AI175" s="523" t="e">
        <f ca="1">stat(calculs!AI175)</f>
        <v>#NAME?</v>
      </c>
      <c r="AJ175" s="523" t="e">
        <f ca="1">stat(calculs!AJ175)</f>
        <v>#NAME?</v>
      </c>
      <c r="AK175" s="523" t="e">
        <f ca="1">stat(calculs!AK175)</f>
        <v>#NAME?</v>
      </c>
      <c r="AL175" s="523" t="e">
        <f ca="1">stat(calculs!AL175)</f>
        <v>#NAME?</v>
      </c>
      <c r="AM175" s="523" t="e">
        <f ca="1">stat(calculs!AM175)</f>
        <v>#NAME?</v>
      </c>
      <c r="AN175" s="523" t="e">
        <f ca="1">stat(calculs!AN175)</f>
        <v>#NAME?</v>
      </c>
      <c r="AO175" s="523" t="e">
        <f ca="1">stat(calculs!AO175)</f>
        <v>#NAME?</v>
      </c>
      <c r="AP175" s="523" t="e">
        <f ca="1">stat(calculs!AP175)</f>
        <v>#NAME?</v>
      </c>
      <c r="AQ175" s="523" t="e">
        <f ca="1">stat(calculs!AQ175)</f>
        <v>#NAME?</v>
      </c>
      <c r="AV175" s="525" t="str">
        <f>stat(calculs!AV175)</f>
        <v/>
      </c>
      <c r="AW175" s="525" t="str">
        <f>stat(calculs!AW175)</f>
        <v/>
      </c>
      <c r="AX175" s="525" t="str">
        <f>stat(calculs!AX175)</f>
        <v/>
      </c>
      <c r="AY175" s="525" t="e">
        <f ca="1">stat(calculs!AY175)</f>
        <v>#NAME?</v>
      </c>
      <c r="AZ175" s="525" t="e">
        <f ca="1">stat(calculs!AZ175)</f>
        <v>#NAME?</v>
      </c>
      <c r="BA175" s="525" t="e">
        <f ca="1">stat(calculs!BA175)</f>
        <v>#NAME?</v>
      </c>
      <c r="BB175" s="525" t="e">
        <f ca="1">stat(calculs!BB175)</f>
        <v>#NAME?</v>
      </c>
      <c r="BC175" s="525" t="e">
        <f ca="1">stat(calculs!BC175)</f>
        <v>#NAME?</v>
      </c>
      <c r="BD175" s="525" t="e">
        <f ca="1">stat(calculs!BD175)</f>
        <v>#NAME?</v>
      </c>
      <c r="BE175" s="525" t="e">
        <f ca="1">stat(calculs!BE175)</f>
        <v>#NAME?</v>
      </c>
      <c r="BF175" s="525" t="e">
        <f ca="1">stat(calculs!BF175)</f>
        <v>#NAME?</v>
      </c>
      <c r="BG175" s="729" t="e">
        <f ca="1">stat(calculs!BG175)</f>
        <v>#NAME?</v>
      </c>
      <c r="BH175" s="729" t="e">
        <f ca="1">stat(calculs!BH175)</f>
        <v>#NAME?</v>
      </c>
      <c r="BI175" s="729" t="e">
        <f ca="1">stat(calculs!BI175)</f>
        <v>#NAME?</v>
      </c>
      <c r="BJ175" s="729" t="e">
        <f ca="1">stat(calculs!BJ175)</f>
        <v>#NAME?</v>
      </c>
      <c r="BK175" s="729" t="e">
        <f ca="1">stat(calculs!BK175)</f>
        <v>#NAME?</v>
      </c>
      <c r="BL175" s="525" t="e">
        <f ca="1">stat(calculs!BL175)</f>
        <v>#NAME?</v>
      </c>
      <c r="BM175" s="525" t="e">
        <f ca="1">stat(calculs!BM175)</f>
        <v>#NAME?</v>
      </c>
      <c r="BN175" s="525" t="e">
        <f ca="1">stat(calculs!BN175)</f>
        <v>#NAME?</v>
      </c>
      <c r="BO175" s="525" t="e">
        <f ca="1">stat(calculs!BO175)</f>
        <v>#NAME?</v>
      </c>
      <c r="BP175" s="525" t="e">
        <f ca="1">stat(calculs!BP175)</f>
        <v>#NAME?</v>
      </c>
      <c r="BQ175" s="525" t="e">
        <f ca="1">stat(calculs!BQ175)</f>
        <v>#NAME?</v>
      </c>
      <c r="BR175" s="525" t="e">
        <f ca="1">stat(calculs!BR175)</f>
        <v>#NAME?</v>
      </c>
    </row>
    <row r="176" spans="1:70" x14ac:dyDescent="0.2">
      <c r="A176" s="222">
        <f>données_step[[#This Row],[Datum]]</f>
        <v>44727</v>
      </c>
      <c r="B176" s="223"/>
      <c r="C176" s="224">
        <f t="shared" si="2"/>
        <v>4</v>
      </c>
      <c r="D176" s="523" t="e">
        <f ca="1">stat(charge_entree[[#This Row],[ch_E_DBO5]])</f>
        <v>#NAME?</v>
      </c>
      <c r="E176" s="523" t="e">
        <f ca="1">stat(charge_entree[[#This Row],[ch_E_DCO]])</f>
        <v>#NAME?</v>
      </c>
      <c r="F176" s="523" t="e">
        <f ca="1">stat(charge_entree[[#This Row],[ch_E_COT]])</f>
        <v>#NAME?</v>
      </c>
      <c r="G176" s="523" t="e">
        <f ca="1">stat(charge_entree[[#This Row],[ch_E_NH4]])</f>
        <v>#NAME?</v>
      </c>
      <c r="H176" s="523" t="e">
        <f ca="1">stat(charge_entree[[#This Row],[ch_E_NTOT]])</f>
        <v>#NAME?</v>
      </c>
      <c r="I176" s="523" t="e">
        <f ca="1">stat(charge_entree[[#This Row],[ch_E_PTOT]])</f>
        <v>#NAME?</v>
      </c>
      <c r="J176" s="523" t="e">
        <f ca="1">stat(charge_entree[[#This Row],[ch_S_DBO]])</f>
        <v>#NAME?</v>
      </c>
      <c r="K176" s="523" t="e">
        <f ca="1">stat(charge_entree[[#This Row],[ch_S-DCO]])</f>
        <v>#NAME?</v>
      </c>
      <c r="L176" s="523" t="e">
        <f ca="1">stat(charge_entree[[#This Row],[ch_S_DOC]])</f>
        <v>#NAME?</v>
      </c>
      <c r="M176" s="523" t="e">
        <f ca="1">stat(charge_entree[[#This Row],[ch_S_NH4]])</f>
        <v>#NAME?</v>
      </c>
      <c r="N176" s="523" t="e">
        <f ca="1">stat(charge_entree[[#This Row],[ch_S_NO2]])</f>
        <v>#NAME?</v>
      </c>
      <c r="O176" s="523" t="e">
        <f ca="1">stat(charge_entree[[#This Row],[ch_S_NO3]])</f>
        <v>#NAME?</v>
      </c>
      <c r="P176" s="523" t="e">
        <f ca="1">stat(charge_entree[[#This Row],[ch_S_PTOT]])</f>
        <v>#NAME?</v>
      </c>
      <c r="Q176" s="523" t="e">
        <f ca="1">stat(charge_entree[[#This Row],[ch_S_SNDT]])</f>
        <v>#NAME?</v>
      </c>
      <c r="R176" s="523">
        <f>calculs!R176</f>
        <v>0</v>
      </c>
      <c r="S176" s="523" t="e">
        <f ca="1">stat(calculs!S176)</f>
        <v>#NAME?</v>
      </c>
      <c r="T176" s="523" t="e">
        <f ca="1">stat(calculs!T176)</f>
        <v>#NAME?</v>
      </c>
      <c r="U176" s="523" t="e">
        <f ca="1">stat(calculs!U176)</f>
        <v>#NAME?</v>
      </c>
      <c r="V176" s="523" t="e">
        <f ca="1">stat(calculs!V176)</f>
        <v>#NAME?</v>
      </c>
      <c r="W176" s="523" t="e">
        <f ca="1">stat(calculs!W176)</f>
        <v>#NAME?</v>
      </c>
      <c r="X176" s="523" t="e">
        <f ca="1">stat(calculs!X176)</f>
        <v>#NAME?</v>
      </c>
      <c r="Y176" s="523" t="e">
        <f ca="1">stat(calculs!Y176)</f>
        <v>#NAME?</v>
      </c>
      <c r="Z176" s="523" t="e">
        <f ca="1">stat(calculs!Z176)</f>
        <v>#NAME?</v>
      </c>
      <c r="AA176" s="523" t="e">
        <f ca="1">stat(calculs!AA176)</f>
        <v>#NAME?</v>
      </c>
      <c r="AB176" s="523" t="e">
        <f ca="1">stat(calculs!AB176)</f>
        <v>#NAME?</v>
      </c>
      <c r="AC176" s="523" t="e">
        <f ca="1">stat(calculs!AC176)</f>
        <v>#NAME?</v>
      </c>
      <c r="AD176" s="523" t="e">
        <f ca="1">stat(calculs!AD176)</f>
        <v>#NAME?</v>
      </c>
      <c r="AE176" s="523" t="e">
        <f ca="1">stat(calculs!AE176)</f>
        <v>#NAME?</v>
      </c>
      <c r="AF176" s="523" t="e">
        <f ca="1">stat(calculs!AF176)</f>
        <v>#NAME?</v>
      </c>
      <c r="AG176" s="523" t="e">
        <f ca="1">stat(calculs!AG176)</f>
        <v>#NAME?</v>
      </c>
      <c r="AH176" s="523" t="e">
        <f ca="1">stat(calculs!AH176)</f>
        <v>#NAME?</v>
      </c>
      <c r="AI176" s="523" t="e">
        <f ca="1">stat(calculs!AI176)</f>
        <v>#NAME?</v>
      </c>
      <c r="AJ176" s="523" t="e">
        <f ca="1">stat(calculs!AJ176)</f>
        <v>#NAME?</v>
      </c>
      <c r="AK176" s="523" t="e">
        <f ca="1">stat(calculs!AK176)</f>
        <v>#NAME?</v>
      </c>
      <c r="AL176" s="523" t="e">
        <f ca="1">stat(calculs!AL176)</f>
        <v>#NAME?</v>
      </c>
      <c r="AM176" s="523" t="e">
        <f ca="1">stat(calculs!AM176)</f>
        <v>#NAME?</v>
      </c>
      <c r="AN176" s="523" t="e">
        <f ca="1">stat(calculs!AN176)</f>
        <v>#NAME?</v>
      </c>
      <c r="AO176" s="523" t="e">
        <f ca="1">stat(calculs!AO176)</f>
        <v>#NAME?</v>
      </c>
      <c r="AP176" s="523" t="e">
        <f ca="1">stat(calculs!AP176)</f>
        <v>#NAME?</v>
      </c>
      <c r="AQ176" s="523" t="e">
        <f ca="1">stat(calculs!AQ176)</f>
        <v>#NAME?</v>
      </c>
      <c r="AV176" s="525" t="str">
        <f>stat(calculs!AV176)</f>
        <v/>
      </c>
      <c r="AW176" s="525" t="str">
        <f>stat(calculs!AW176)</f>
        <v/>
      </c>
      <c r="AX176" s="525" t="str">
        <f>stat(calculs!AX176)</f>
        <v/>
      </c>
      <c r="AY176" s="525" t="e">
        <f ca="1">stat(calculs!AY176)</f>
        <v>#NAME?</v>
      </c>
      <c r="AZ176" s="525" t="e">
        <f ca="1">stat(calculs!AZ176)</f>
        <v>#NAME?</v>
      </c>
      <c r="BA176" s="525" t="e">
        <f ca="1">stat(calculs!BA176)</f>
        <v>#NAME?</v>
      </c>
      <c r="BB176" s="525" t="e">
        <f ca="1">stat(calculs!BB176)</f>
        <v>#NAME?</v>
      </c>
      <c r="BC176" s="525" t="e">
        <f ca="1">stat(calculs!BC176)</f>
        <v>#NAME?</v>
      </c>
      <c r="BD176" s="525" t="e">
        <f ca="1">stat(calculs!BD176)</f>
        <v>#NAME?</v>
      </c>
      <c r="BE176" s="525" t="e">
        <f ca="1">stat(calculs!BE176)</f>
        <v>#NAME?</v>
      </c>
      <c r="BF176" s="525" t="e">
        <f ca="1">stat(calculs!BF176)</f>
        <v>#NAME?</v>
      </c>
      <c r="BG176" s="729" t="e">
        <f ca="1">stat(calculs!BG176)</f>
        <v>#NAME?</v>
      </c>
      <c r="BH176" s="729" t="e">
        <f ca="1">stat(calculs!BH176)</f>
        <v>#NAME?</v>
      </c>
      <c r="BI176" s="729" t="e">
        <f ca="1">stat(calculs!BI176)</f>
        <v>#NAME?</v>
      </c>
      <c r="BJ176" s="729" t="e">
        <f ca="1">stat(calculs!BJ176)</f>
        <v>#NAME?</v>
      </c>
      <c r="BK176" s="729" t="e">
        <f ca="1">stat(calculs!BK176)</f>
        <v>#NAME?</v>
      </c>
      <c r="BL176" s="525" t="e">
        <f ca="1">stat(calculs!BL176)</f>
        <v>#NAME?</v>
      </c>
      <c r="BM176" s="525" t="e">
        <f ca="1">stat(calculs!BM176)</f>
        <v>#NAME?</v>
      </c>
      <c r="BN176" s="525" t="e">
        <f ca="1">stat(calculs!BN176)</f>
        <v>#NAME?</v>
      </c>
      <c r="BO176" s="525" t="e">
        <f ca="1">stat(calculs!BO176)</f>
        <v>#NAME?</v>
      </c>
      <c r="BP176" s="525" t="e">
        <f ca="1">stat(calculs!BP176)</f>
        <v>#NAME?</v>
      </c>
      <c r="BQ176" s="525" t="e">
        <f ca="1">stat(calculs!BQ176)</f>
        <v>#NAME?</v>
      </c>
      <c r="BR176" s="525" t="e">
        <f ca="1">stat(calculs!BR176)</f>
        <v>#NAME?</v>
      </c>
    </row>
    <row r="177" spans="1:70" x14ac:dyDescent="0.2">
      <c r="A177" s="222">
        <f>données_step[[#This Row],[Datum]]</f>
        <v>44728</v>
      </c>
      <c r="B177" s="223"/>
      <c r="C177" s="224">
        <f t="shared" si="2"/>
        <v>5</v>
      </c>
      <c r="D177" s="523" t="e">
        <f ca="1">stat(charge_entree[[#This Row],[ch_E_DBO5]])</f>
        <v>#NAME?</v>
      </c>
      <c r="E177" s="523" t="e">
        <f ca="1">stat(charge_entree[[#This Row],[ch_E_DCO]])</f>
        <v>#NAME?</v>
      </c>
      <c r="F177" s="523" t="e">
        <f ca="1">stat(charge_entree[[#This Row],[ch_E_COT]])</f>
        <v>#NAME?</v>
      </c>
      <c r="G177" s="523" t="e">
        <f ca="1">stat(charge_entree[[#This Row],[ch_E_NH4]])</f>
        <v>#NAME?</v>
      </c>
      <c r="H177" s="523" t="e">
        <f ca="1">stat(charge_entree[[#This Row],[ch_E_NTOT]])</f>
        <v>#NAME?</v>
      </c>
      <c r="I177" s="523" t="e">
        <f ca="1">stat(charge_entree[[#This Row],[ch_E_PTOT]])</f>
        <v>#NAME?</v>
      </c>
      <c r="J177" s="523" t="e">
        <f ca="1">stat(charge_entree[[#This Row],[ch_S_DBO]])</f>
        <v>#NAME?</v>
      </c>
      <c r="K177" s="523" t="e">
        <f ca="1">stat(charge_entree[[#This Row],[ch_S-DCO]])</f>
        <v>#NAME?</v>
      </c>
      <c r="L177" s="523" t="e">
        <f ca="1">stat(charge_entree[[#This Row],[ch_S_DOC]])</f>
        <v>#NAME?</v>
      </c>
      <c r="M177" s="523" t="e">
        <f ca="1">stat(charge_entree[[#This Row],[ch_S_NH4]])</f>
        <v>#NAME?</v>
      </c>
      <c r="N177" s="523" t="e">
        <f ca="1">stat(charge_entree[[#This Row],[ch_S_NO2]])</f>
        <v>#NAME?</v>
      </c>
      <c r="O177" s="523" t="e">
        <f ca="1">stat(charge_entree[[#This Row],[ch_S_NO3]])</f>
        <v>#NAME?</v>
      </c>
      <c r="P177" s="523" t="e">
        <f ca="1">stat(charge_entree[[#This Row],[ch_S_PTOT]])</f>
        <v>#NAME?</v>
      </c>
      <c r="Q177" s="523" t="e">
        <f ca="1">stat(charge_entree[[#This Row],[ch_S_SNDT]])</f>
        <v>#NAME?</v>
      </c>
      <c r="R177" s="523">
        <f>calculs!R177</f>
        <v>0</v>
      </c>
      <c r="S177" s="523" t="e">
        <f ca="1">stat(calculs!S177)</f>
        <v>#NAME?</v>
      </c>
      <c r="T177" s="523" t="e">
        <f ca="1">stat(calculs!T177)</f>
        <v>#NAME?</v>
      </c>
      <c r="U177" s="523" t="e">
        <f ca="1">stat(calculs!U177)</f>
        <v>#NAME?</v>
      </c>
      <c r="V177" s="523" t="e">
        <f ca="1">stat(calculs!V177)</f>
        <v>#NAME?</v>
      </c>
      <c r="W177" s="523" t="e">
        <f ca="1">stat(calculs!W177)</f>
        <v>#NAME?</v>
      </c>
      <c r="X177" s="523" t="e">
        <f ca="1">stat(calculs!X177)</f>
        <v>#NAME?</v>
      </c>
      <c r="Y177" s="523" t="e">
        <f ca="1">stat(calculs!Y177)</f>
        <v>#NAME?</v>
      </c>
      <c r="Z177" s="523" t="e">
        <f ca="1">stat(calculs!Z177)</f>
        <v>#NAME?</v>
      </c>
      <c r="AA177" s="523" t="e">
        <f ca="1">stat(calculs!AA177)</f>
        <v>#NAME?</v>
      </c>
      <c r="AB177" s="523" t="e">
        <f ca="1">stat(calculs!AB177)</f>
        <v>#NAME?</v>
      </c>
      <c r="AC177" s="523" t="e">
        <f ca="1">stat(calculs!AC177)</f>
        <v>#NAME?</v>
      </c>
      <c r="AD177" s="523" t="e">
        <f ca="1">stat(calculs!AD177)</f>
        <v>#NAME?</v>
      </c>
      <c r="AE177" s="523" t="e">
        <f ca="1">stat(calculs!AE177)</f>
        <v>#NAME?</v>
      </c>
      <c r="AF177" s="523" t="e">
        <f ca="1">stat(calculs!AF177)</f>
        <v>#NAME?</v>
      </c>
      <c r="AG177" s="523" t="e">
        <f ca="1">stat(calculs!AG177)</f>
        <v>#NAME?</v>
      </c>
      <c r="AH177" s="523" t="e">
        <f ca="1">stat(calculs!AH177)</f>
        <v>#NAME?</v>
      </c>
      <c r="AI177" s="523" t="e">
        <f ca="1">stat(calculs!AI177)</f>
        <v>#NAME?</v>
      </c>
      <c r="AJ177" s="523" t="e">
        <f ca="1">stat(calculs!AJ177)</f>
        <v>#NAME?</v>
      </c>
      <c r="AK177" s="523" t="e">
        <f ca="1">stat(calculs!AK177)</f>
        <v>#NAME?</v>
      </c>
      <c r="AL177" s="523" t="e">
        <f ca="1">stat(calculs!AL177)</f>
        <v>#NAME?</v>
      </c>
      <c r="AM177" s="523" t="e">
        <f ca="1">stat(calculs!AM177)</f>
        <v>#NAME?</v>
      </c>
      <c r="AN177" s="523" t="e">
        <f ca="1">stat(calculs!AN177)</f>
        <v>#NAME?</v>
      </c>
      <c r="AO177" s="523" t="e">
        <f ca="1">stat(calculs!AO177)</f>
        <v>#NAME?</v>
      </c>
      <c r="AP177" s="523" t="e">
        <f ca="1">stat(calculs!AP177)</f>
        <v>#NAME?</v>
      </c>
      <c r="AQ177" s="523" t="e">
        <f ca="1">stat(calculs!AQ177)</f>
        <v>#NAME?</v>
      </c>
      <c r="AV177" s="525" t="str">
        <f>stat(calculs!AV177)</f>
        <v/>
      </c>
      <c r="AW177" s="525" t="str">
        <f>stat(calculs!AW177)</f>
        <v/>
      </c>
      <c r="AX177" s="525" t="str">
        <f>stat(calculs!AX177)</f>
        <v/>
      </c>
      <c r="AY177" s="525" t="e">
        <f ca="1">stat(calculs!AY177)</f>
        <v>#NAME?</v>
      </c>
      <c r="AZ177" s="525" t="e">
        <f ca="1">stat(calculs!AZ177)</f>
        <v>#NAME?</v>
      </c>
      <c r="BA177" s="525" t="e">
        <f ca="1">stat(calculs!BA177)</f>
        <v>#NAME?</v>
      </c>
      <c r="BB177" s="525" t="e">
        <f ca="1">stat(calculs!BB177)</f>
        <v>#NAME?</v>
      </c>
      <c r="BC177" s="525" t="e">
        <f ca="1">stat(calculs!BC177)</f>
        <v>#NAME?</v>
      </c>
      <c r="BD177" s="525" t="e">
        <f ca="1">stat(calculs!BD177)</f>
        <v>#NAME?</v>
      </c>
      <c r="BE177" s="525" t="e">
        <f ca="1">stat(calculs!BE177)</f>
        <v>#NAME?</v>
      </c>
      <c r="BF177" s="525" t="e">
        <f ca="1">stat(calculs!BF177)</f>
        <v>#NAME?</v>
      </c>
      <c r="BG177" s="729" t="e">
        <f ca="1">stat(calculs!BG177)</f>
        <v>#NAME?</v>
      </c>
      <c r="BH177" s="729" t="e">
        <f ca="1">stat(calculs!BH177)</f>
        <v>#NAME?</v>
      </c>
      <c r="BI177" s="729" t="e">
        <f ca="1">stat(calculs!BI177)</f>
        <v>#NAME?</v>
      </c>
      <c r="BJ177" s="729" t="e">
        <f ca="1">stat(calculs!BJ177)</f>
        <v>#NAME?</v>
      </c>
      <c r="BK177" s="729" t="e">
        <f ca="1">stat(calculs!BK177)</f>
        <v>#NAME?</v>
      </c>
      <c r="BL177" s="525" t="e">
        <f ca="1">stat(calculs!BL177)</f>
        <v>#NAME?</v>
      </c>
      <c r="BM177" s="525" t="e">
        <f ca="1">stat(calculs!BM177)</f>
        <v>#NAME?</v>
      </c>
      <c r="BN177" s="525" t="e">
        <f ca="1">stat(calculs!BN177)</f>
        <v>#NAME?</v>
      </c>
      <c r="BO177" s="525" t="e">
        <f ca="1">stat(calculs!BO177)</f>
        <v>#NAME?</v>
      </c>
      <c r="BP177" s="525" t="e">
        <f ca="1">stat(calculs!BP177)</f>
        <v>#NAME?</v>
      </c>
      <c r="BQ177" s="525" t="e">
        <f ca="1">stat(calculs!BQ177)</f>
        <v>#NAME?</v>
      </c>
      <c r="BR177" s="525" t="e">
        <f ca="1">stat(calculs!BR177)</f>
        <v>#NAME?</v>
      </c>
    </row>
    <row r="178" spans="1:70" x14ac:dyDescent="0.2">
      <c r="A178" s="222">
        <f>données_step[[#This Row],[Datum]]</f>
        <v>44729</v>
      </c>
      <c r="B178" s="223"/>
      <c r="C178" s="224">
        <f t="shared" si="2"/>
        <v>6</v>
      </c>
      <c r="D178" s="523" t="e">
        <f ca="1">stat(charge_entree[[#This Row],[ch_E_DBO5]])</f>
        <v>#NAME?</v>
      </c>
      <c r="E178" s="523" t="e">
        <f ca="1">stat(charge_entree[[#This Row],[ch_E_DCO]])</f>
        <v>#NAME?</v>
      </c>
      <c r="F178" s="523" t="e">
        <f ca="1">stat(charge_entree[[#This Row],[ch_E_COT]])</f>
        <v>#NAME?</v>
      </c>
      <c r="G178" s="523" t="e">
        <f ca="1">stat(charge_entree[[#This Row],[ch_E_NH4]])</f>
        <v>#NAME?</v>
      </c>
      <c r="H178" s="523" t="e">
        <f ca="1">stat(charge_entree[[#This Row],[ch_E_NTOT]])</f>
        <v>#NAME?</v>
      </c>
      <c r="I178" s="523" t="e">
        <f ca="1">stat(charge_entree[[#This Row],[ch_E_PTOT]])</f>
        <v>#NAME?</v>
      </c>
      <c r="J178" s="523" t="e">
        <f ca="1">stat(charge_entree[[#This Row],[ch_S_DBO]])</f>
        <v>#NAME?</v>
      </c>
      <c r="K178" s="523" t="e">
        <f ca="1">stat(charge_entree[[#This Row],[ch_S-DCO]])</f>
        <v>#NAME?</v>
      </c>
      <c r="L178" s="523" t="e">
        <f ca="1">stat(charge_entree[[#This Row],[ch_S_DOC]])</f>
        <v>#NAME?</v>
      </c>
      <c r="M178" s="523" t="e">
        <f ca="1">stat(charge_entree[[#This Row],[ch_S_NH4]])</f>
        <v>#NAME?</v>
      </c>
      <c r="N178" s="523" t="e">
        <f ca="1">stat(charge_entree[[#This Row],[ch_S_NO2]])</f>
        <v>#NAME?</v>
      </c>
      <c r="O178" s="523" t="e">
        <f ca="1">stat(charge_entree[[#This Row],[ch_S_NO3]])</f>
        <v>#NAME?</v>
      </c>
      <c r="P178" s="523" t="e">
        <f ca="1">stat(charge_entree[[#This Row],[ch_S_PTOT]])</f>
        <v>#NAME?</v>
      </c>
      <c r="Q178" s="523" t="e">
        <f ca="1">stat(charge_entree[[#This Row],[ch_S_SNDT]])</f>
        <v>#NAME?</v>
      </c>
      <c r="R178" s="523">
        <f>calculs!R178</f>
        <v>0</v>
      </c>
      <c r="S178" s="523" t="e">
        <f ca="1">stat(calculs!S178)</f>
        <v>#NAME?</v>
      </c>
      <c r="T178" s="523" t="e">
        <f ca="1">stat(calculs!T178)</f>
        <v>#NAME?</v>
      </c>
      <c r="U178" s="523" t="e">
        <f ca="1">stat(calculs!U178)</f>
        <v>#NAME?</v>
      </c>
      <c r="V178" s="523" t="e">
        <f ca="1">stat(calculs!V178)</f>
        <v>#NAME?</v>
      </c>
      <c r="W178" s="523" t="e">
        <f ca="1">stat(calculs!W178)</f>
        <v>#NAME?</v>
      </c>
      <c r="X178" s="523" t="e">
        <f ca="1">stat(calculs!X178)</f>
        <v>#NAME?</v>
      </c>
      <c r="Y178" s="523" t="e">
        <f ca="1">stat(calculs!Y178)</f>
        <v>#NAME?</v>
      </c>
      <c r="Z178" s="523" t="e">
        <f ca="1">stat(calculs!Z178)</f>
        <v>#NAME?</v>
      </c>
      <c r="AA178" s="523" t="e">
        <f ca="1">stat(calculs!AA178)</f>
        <v>#NAME?</v>
      </c>
      <c r="AB178" s="523" t="e">
        <f ca="1">stat(calculs!AB178)</f>
        <v>#NAME?</v>
      </c>
      <c r="AC178" s="523" t="e">
        <f ca="1">stat(calculs!AC178)</f>
        <v>#NAME?</v>
      </c>
      <c r="AD178" s="523" t="e">
        <f ca="1">stat(calculs!AD178)</f>
        <v>#NAME?</v>
      </c>
      <c r="AE178" s="523" t="e">
        <f ca="1">stat(calculs!AE178)</f>
        <v>#NAME?</v>
      </c>
      <c r="AF178" s="523" t="e">
        <f ca="1">stat(calculs!AF178)</f>
        <v>#NAME?</v>
      </c>
      <c r="AG178" s="523" t="e">
        <f ca="1">stat(calculs!AG178)</f>
        <v>#NAME?</v>
      </c>
      <c r="AH178" s="523" t="e">
        <f ca="1">stat(calculs!AH178)</f>
        <v>#NAME?</v>
      </c>
      <c r="AI178" s="523" t="e">
        <f ca="1">stat(calculs!AI178)</f>
        <v>#NAME?</v>
      </c>
      <c r="AJ178" s="523" t="e">
        <f ca="1">stat(calculs!AJ178)</f>
        <v>#NAME?</v>
      </c>
      <c r="AK178" s="523" t="e">
        <f ca="1">stat(calculs!AK178)</f>
        <v>#NAME?</v>
      </c>
      <c r="AL178" s="523" t="e">
        <f ca="1">stat(calculs!AL178)</f>
        <v>#NAME?</v>
      </c>
      <c r="AM178" s="523" t="e">
        <f ca="1">stat(calculs!AM178)</f>
        <v>#NAME?</v>
      </c>
      <c r="AN178" s="523" t="e">
        <f ca="1">stat(calculs!AN178)</f>
        <v>#NAME?</v>
      </c>
      <c r="AO178" s="523" t="e">
        <f ca="1">stat(calculs!AO178)</f>
        <v>#NAME?</v>
      </c>
      <c r="AP178" s="523" t="e">
        <f ca="1">stat(calculs!AP178)</f>
        <v>#NAME?</v>
      </c>
      <c r="AQ178" s="523" t="e">
        <f ca="1">stat(calculs!AQ178)</f>
        <v>#NAME?</v>
      </c>
      <c r="AV178" s="525" t="str">
        <f>stat(calculs!AV178)</f>
        <v/>
      </c>
      <c r="AW178" s="525" t="str">
        <f>stat(calculs!AW178)</f>
        <v/>
      </c>
      <c r="AX178" s="525" t="str">
        <f>stat(calculs!AX178)</f>
        <v/>
      </c>
      <c r="AY178" s="525" t="e">
        <f ca="1">stat(calculs!AY178)</f>
        <v>#NAME?</v>
      </c>
      <c r="AZ178" s="525" t="e">
        <f ca="1">stat(calculs!AZ178)</f>
        <v>#NAME?</v>
      </c>
      <c r="BA178" s="525" t="e">
        <f ca="1">stat(calculs!BA178)</f>
        <v>#NAME?</v>
      </c>
      <c r="BB178" s="525" t="e">
        <f ca="1">stat(calculs!BB178)</f>
        <v>#NAME?</v>
      </c>
      <c r="BC178" s="525" t="e">
        <f ca="1">stat(calculs!BC178)</f>
        <v>#NAME?</v>
      </c>
      <c r="BD178" s="525" t="e">
        <f ca="1">stat(calculs!BD178)</f>
        <v>#NAME?</v>
      </c>
      <c r="BE178" s="525" t="e">
        <f ca="1">stat(calculs!BE178)</f>
        <v>#NAME?</v>
      </c>
      <c r="BF178" s="525" t="e">
        <f ca="1">stat(calculs!BF178)</f>
        <v>#NAME?</v>
      </c>
      <c r="BG178" s="729" t="e">
        <f ca="1">stat(calculs!BG178)</f>
        <v>#NAME?</v>
      </c>
      <c r="BH178" s="729" t="e">
        <f ca="1">stat(calculs!BH178)</f>
        <v>#NAME?</v>
      </c>
      <c r="BI178" s="729" t="e">
        <f ca="1">stat(calculs!BI178)</f>
        <v>#NAME?</v>
      </c>
      <c r="BJ178" s="729" t="e">
        <f ca="1">stat(calculs!BJ178)</f>
        <v>#NAME?</v>
      </c>
      <c r="BK178" s="729" t="e">
        <f ca="1">stat(calculs!BK178)</f>
        <v>#NAME?</v>
      </c>
      <c r="BL178" s="525" t="e">
        <f ca="1">stat(calculs!BL178)</f>
        <v>#NAME?</v>
      </c>
      <c r="BM178" s="525" t="e">
        <f ca="1">stat(calculs!BM178)</f>
        <v>#NAME?</v>
      </c>
      <c r="BN178" s="525" t="e">
        <f ca="1">stat(calculs!BN178)</f>
        <v>#NAME?</v>
      </c>
      <c r="BO178" s="525" t="e">
        <f ca="1">stat(calculs!BO178)</f>
        <v>#NAME?</v>
      </c>
      <c r="BP178" s="525" t="e">
        <f ca="1">stat(calculs!BP178)</f>
        <v>#NAME?</v>
      </c>
      <c r="BQ178" s="525" t="e">
        <f ca="1">stat(calculs!BQ178)</f>
        <v>#NAME?</v>
      </c>
      <c r="BR178" s="525" t="e">
        <f ca="1">stat(calculs!BR178)</f>
        <v>#NAME?</v>
      </c>
    </row>
    <row r="179" spans="1:70" x14ac:dyDescent="0.2">
      <c r="A179" s="222">
        <f>données_step[[#This Row],[Datum]]</f>
        <v>44730</v>
      </c>
      <c r="B179" s="223"/>
      <c r="C179" s="224">
        <f t="shared" si="2"/>
        <v>7</v>
      </c>
      <c r="D179" s="523" t="e">
        <f ca="1">stat(charge_entree[[#This Row],[ch_E_DBO5]])</f>
        <v>#NAME?</v>
      </c>
      <c r="E179" s="523" t="e">
        <f ca="1">stat(charge_entree[[#This Row],[ch_E_DCO]])</f>
        <v>#NAME?</v>
      </c>
      <c r="F179" s="523" t="e">
        <f ca="1">stat(charge_entree[[#This Row],[ch_E_COT]])</f>
        <v>#NAME?</v>
      </c>
      <c r="G179" s="523" t="e">
        <f ca="1">stat(charge_entree[[#This Row],[ch_E_NH4]])</f>
        <v>#NAME?</v>
      </c>
      <c r="H179" s="523" t="e">
        <f ca="1">stat(charge_entree[[#This Row],[ch_E_NTOT]])</f>
        <v>#NAME?</v>
      </c>
      <c r="I179" s="523" t="e">
        <f ca="1">stat(charge_entree[[#This Row],[ch_E_PTOT]])</f>
        <v>#NAME?</v>
      </c>
      <c r="J179" s="523" t="e">
        <f ca="1">stat(charge_entree[[#This Row],[ch_S_DBO]])</f>
        <v>#NAME?</v>
      </c>
      <c r="K179" s="523" t="e">
        <f ca="1">stat(charge_entree[[#This Row],[ch_S-DCO]])</f>
        <v>#NAME?</v>
      </c>
      <c r="L179" s="523" t="e">
        <f ca="1">stat(charge_entree[[#This Row],[ch_S_DOC]])</f>
        <v>#NAME?</v>
      </c>
      <c r="M179" s="523" t="e">
        <f ca="1">stat(charge_entree[[#This Row],[ch_S_NH4]])</f>
        <v>#NAME?</v>
      </c>
      <c r="N179" s="523" t="e">
        <f ca="1">stat(charge_entree[[#This Row],[ch_S_NO2]])</f>
        <v>#NAME?</v>
      </c>
      <c r="O179" s="523" t="e">
        <f ca="1">stat(charge_entree[[#This Row],[ch_S_NO3]])</f>
        <v>#NAME?</v>
      </c>
      <c r="P179" s="523" t="e">
        <f ca="1">stat(charge_entree[[#This Row],[ch_S_PTOT]])</f>
        <v>#NAME?</v>
      </c>
      <c r="Q179" s="523" t="e">
        <f ca="1">stat(charge_entree[[#This Row],[ch_S_SNDT]])</f>
        <v>#NAME?</v>
      </c>
      <c r="R179" s="523">
        <f>calculs!R179</f>
        <v>0</v>
      </c>
      <c r="S179" s="523" t="e">
        <f ca="1">stat(calculs!S179)</f>
        <v>#NAME?</v>
      </c>
      <c r="T179" s="523" t="e">
        <f ca="1">stat(calculs!T179)</f>
        <v>#NAME?</v>
      </c>
      <c r="U179" s="523" t="e">
        <f ca="1">stat(calculs!U179)</f>
        <v>#NAME?</v>
      </c>
      <c r="V179" s="523" t="e">
        <f ca="1">stat(calculs!V179)</f>
        <v>#NAME?</v>
      </c>
      <c r="W179" s="523" t="e">
        <f ca="1">stat(calculs!W179)</f>
        <v>#NAME?</v>
      </c>
      <c r="X179" s="523" t="e">
        <f ca="1">stat(calculs!X179)</f>
        <v>#NAME?</v>
      </c>
      <c r="Y179" s="523" t="e">
        <f ca="1">stat(calculs!Y179)</f>
        <v>#NAME?</v>
      </c>
      <c r="Z179" s="523" t="e">
        <f ca="1">stat(calculs!Z179)</f>
        <v>#NAME?</v>
      </c>
      <c r="AA179" s="523" t="e">
        <f ca="1">stat(calculs!AA179)</f>
        <v>#NAME?</v>
      </c>
      <c r="AB179" s="523" t="e">
        <f ca="1">stat(calculs!AB179)</f>
        <v>#NAME?</v>
      </c>
      <c r="AC179" s="523" t="e">
        <f ca="1">stat(calculs!AC179)</f>
        <v>#NAME?</v>
      </c>
      <c r="AD179" s="523" t="e">
        <f ca="1">stat(calculs!AD179)</f>
        <v>#NAME?</v>
      </c>
      <c r="AE179" s="523" t="e">
        <f ca="1">stat(calculs!AE179)</f>
        <v>#NAME?</v>
      </c>
      <c r="AF179" s="523" t="e">
        <f ca="1">stat(calculs!AF179)</f>
        <v>#NAME?</v>
      </c>
      <c r="AG179" s="523" t="e">
        <f ca="1">stat(calculs!AG179)</f>
        <v>#NAME?</v>
      </c>
      <c r="AH179" s="523" t="e">
        <f ca="1">stat(calculs!AH179)</f>
        <v>#NAME?</v>
      </c>
      <c r="AI179" s="523" t="e">
        <f ca="1">stat(calculs!AI179)</f>
        <v>#NAME?</v>
      </c>
      <c r="AJ179" s="523" t="e">
        <f ca="1">stat(calculs!AJ179)</f>
        <v>#NAME?</v>
      </c>
      <c r="AK179" s="523" t="e">
        <f ca="1">stat(calculs!AK179)</f>
        <v>#NAME?</v>
      </c>
      <c r="AL179" s="523" t="e">
        <f ca="1">stat(calculs!AL179)</f>
        <v>#NAME?</v>
      </c>
      <c r="AM179" s="523" t="e">
        <f ca="1">stat(calculs!AM179)</f>
        <v>#NAME?</v>
      </c>
      <c r="AN179" s="523" t="e">
        <f ca="1">stat(calculs!AN179)</f>
        <v>#NAME?</v>
      </c>
      <c r="AO179" s="523" t="e">
        <f ca="1">stat(calculs!AO179)</f>
        <v>#NAME?</v>
      </c>
      <c r="AP179" s="523" t="e">
        <f ca="1">stat(calculs!AP179)</f>
        <v>#NAME?</v>
      </c>
      <c r="AQ179" s="523" t="e">
        <f ca="1">stat(calculs!AQ179)</f>
        <v>#NAME?</v>
      </c>
      <c r="AV179" s="525" t="str">
        <f>stat(calculs!AV179)</f>
        <v/>
      </c>
      <c r="AW179" s="525" t="str">
        <f>stat(calculs!AW179)</f>
        <v/>
      </c>
      <c r="AX179" s="525" t="str">
        <f>stat(calculs!AX179)</f>
        <v/>
      </c>
      <c r="AY179" s="525" t="e">
        <f ca="1">stat(calculs!AY179)</f>
        <v>#NAME?</v>
      </c>
      <c r="AZ179" s="525" t="e">
        <f ca="1">stat(calculs!AZ179)</f>
        <v>#NAME?</v>
      </c>
      <c r="BA179" s="525" t="e">
        <f ca="1">stat(calculs!BA179)</f>
        <v>#NAME?</v>
      </c>
      <c r="BB179" s="525" t="e">
        <f ca="1">stat(calculs!BB179)</f>
        <v>#NAME?</v>
      </c>
      <c r="BC179" s="525" t="e">
        <f ca="1">stat(calculs!BC179)</f>
        <v>#NAME?</v>
      </c>
      <c r="BD179" s="525" t="e">
        <f ca="1">stat(calculs!BD179)</f>
        <v>#NAME?</v>
      </c>
      <c r="BE179" s="525" t="e">
        <f ca="1">stat(calculs!BE179)</f>
        <v>#NAME?</v>
      </c>
      <c r="BF179" s="525" t="e">
        <f ca="1">stat(calculs!BF179)</f>
        <v>#NAME?</v>
      </c>
      <c r="BG179" s="729" t="e">
        <f ca="1">stat(calculs!BG179)</f>
        <v>#NAME?</v>
      </c>
      <c r="BH179" s="729" t="e">
        <f ca="1">stat(calculs!BH179)</f>
        <v>#NAME?</v>
      </c>
      <c r="BI179" s="729" t="e">
        <f ca="1">stat(calculs!BI179)</f>
        <v>#NAME?</v>
      </c>
      <c r="BJ179" s="729" t="e">
        <f ca="1">stat(calculs!BJ179)</f>
        <v>#NAME?</v>
      </c>
      <c r="BK179" s="729" t="e">
        <f ca="1">stat(calculs!BK179)</f>
        <v>#NAME?</v>
      </c>
      <c r="BL179" s="525" t="e">
        <f ca="1">stat(calculs!BL179)</f>
        <v>#NAME?</v>
      </c>
      <c r="BM179" s="525" t="e">
        <f ca="1">stat(calculs!BM179)</f>
        <v>#NAME?</v>
      </c>
      <c r="BN179" s="525" t="e">
        <f ca="1">stat(calculs!BN179)</f>
        <v>#NAME?</v>
      </c>
      <c r="BO179" s="525" t="e">
        <f ca="1">stat(calculs!BO179)</f>
        <v>#NAME?</v>
      </c>
      <c r="BP179" s="525" t="e">
        <f ca="1">stat(calculs!BP179)</f>
        <v>#NAME?</v>
      </c>
      <c r="BQ179" s="525" t="e">
        <f ca="1">stat(calculs!BQ179)</f>
        <v>#NAME?</v>
      </c>
      <c r="BR179" s="525" t="e">
        <f ca="1">stat(calculs!BR179)</f>
        <v>#NAME?</v>
      </c>
    </row>
    <row r="180" spans="1:70" x14ac:dyDescent="0.2">
      <c r="A180" s="222">
        <f>données_step[[#This Row],[Datum]]</f>
        <v>44731</v>
      </c>
      <c r="B180" s="223"/>
      <c r="C180" s="224">
        <f t="shared" si="2"/>
        <v>1</v>
      </c>
      <c r="D180" s="523" t="e">
        <f ca="1">stat(charge_entree[[#This Row],[ch_E_DBO5]])</f>
        <v>#NAME?</v>
      </c>
      <c r="E180" s="523" t="e">
        <f ca="1">stat(charge_entree[[#This Row],[ch_E_DCO]])</f>
        <v>#NAME?</v>
      </c>
      <c r="F180" s="523" t="e">
        <f ca="1">stat(charge_entree[[#This Row],[ch_E_COT]])</f>
        <v>#NAME?</v>
      </c>
      <c r="G180" s="523" t="e">
        <f ca="1">stat(charge_entree[[#This Row],[ch_E_NH4]])</f>
        <v>#NAME?</v>
      </c>
      <c r="H180" s="523" t="e">
        <f ca="1">stat(charge_entree[[#This Row],[ch_E_NTOT]])</f>
        <v>#NAME?</v>
      </c>
      <c r="I180" s="523" t="e">
        <f ca="1">stat(charge_entree[[#This Row],[ch_E_PTOT]])</f>
        <v>#NAME?</v>
      </c>
      <c r="J180" s="523" t="e">
        <f ca="1">stat(charge_entree[[#This Row],[ch_S_DBO]])</f>
        <v>#NAME?</v>
      </c>
      <c r="K180" s="523" t="e">
        <f ca="1">stat(charge_entree[[#This Row],[ch_S-DCO]])</f>
        <v>#NAME?</v>
      </c>
      <c r="L180" s="523" t="e">
        <f ca="1">stat(charge_entree[[#This Row],[ch_S_DOC]])</f>
        <v>#NAME?</v>
      </c>
      <c r="M180" s="523" t="e">
        <f ca="1">stat(charge_entree[[#This Row],[ch_S_NH4]])</f>
        <v>#NAME?</v>
      </c>
      <c r="N180" s="523" t="e">
        <f ca="1">stat(charge_entree[[#This Row],[ch_S_NO2]])</f>
        <v>#NAME?</v>
      </c>
      <c r="O180" s="523" t="e">
        <f ca="1">stat(charge_entree[[#This Row],[ch_S_NO3]])</f>
        <v>#NAME?</v>
      </c>
      <c r="P180" s="523" t="e">
        <f ca="1">stat(charge_entree[[#This Row],[ch_S_PTOT]])</f>
        <v>#NAME?</v>
      </c>
      <c r="Q180" s="523" t="e">
        <f ca="1">stat(charge_entree[[#This Row],[ch_S_SNDT]])</f>
        <v>#NAME?</v>
      </c>
      <c r="R180" s="523">
        <f>calculs!R180</f>
        <v>0</v>
      </c>
      <c r="S180" s="523" t="e">
        <f ca="1">stat(calculs!S180)</f>
        <v>#NAME?</v>
      </c>
      <c r="T180" s="523" t="e">
        <f ca="1">stat(calculs!T180)</f>
        <v>#NAME?</v>
      </c>
      <c r="U180" s="523" t="e">
        <f ca="1">stat(calculs!U180)</f>
        <v>#NAME?</v>
      </c>
      <c r="V180" s="523" t="e">
        <f ca="1">stat(calculs!V180)</f>
        <v>#NAME?</v>
      </c>
      <c r="W180" s="523" t="e">
        <f ca="1">stat(calculs!W180)</f>
        <v>#NAME?</v>
      </c>
      <c r="X180" s="523" t="e">
        <f ca="1">stat(calculs!X180)</f>
        <v>#NAME?</v>
      </c>
      <c r="Y180" s="523" t="e">
        <f ca="1">stat(calculs!Y180)</f>
        <v>#NAME?</v>
      </c>
      <c r="Z180" s="523" t="e">
        <f ca="1">stat(calculs!Z180)</f>
        <v>#NAME?</v>
      </c>
      <c r="AA180" s="523" t="e">
        <f ca="1">stat(calculs!AA180)</f>
        <v>#NAME?</v>
      </c>
      <c r="AB180" s="523" t="e">
        <f ca="1">stat(calculs!AB180)</f>
        <v>#NAME?</v>
      </c>
      <c r="AC180" s="523" t="e">
        <f ca="1">stat(calculs!AC180)</f>
        <v>#NAME?</v>
      </c>
      <c r="AD180" s="523" t="e">
        <f ca="1">stat(calculs!AD180)</f>
        <v>#NAME?</v>
      </c>
      <c r="AE180" s="523" t="e">
        <f ca="1">stat(calculs!AE180)</f>
        <v>#NAME?</v>
      </c>
      <c r="AF180" s="523" t="e">
        <f ca="1">stat(calculs!AF180)</f>
        <v>#NAME?</v>
      </c>
      <c r="AG180" s="523" t="e">
        <f ca="1">stat(calculs!AG180)</f>
        <v>#NAME?</v>
      </c>
      <c r="AH180" s="523" t="e">
        <f ca="1">stat(calculs!AH180)</f>
        <v>#NAME?</v>
      </c>
      <c r="AI180" s="523" t="e">
        <f ca="1">stat(calculs!AI180)</f>
        <v>#NAME?</v>
      </c>
      <c r="AJ180" s="523" t="e">
        <f ca="1">stat(calculs!AJ180)</f>
        <v>#NAME?</v>
      </c>
      <c r="AK180" s="523" t="e">
        <f ca="1">stat(calculs!AK180)</f>
        <v>#NAME?</v>
      </c>
      <c r="AL180" s="523" t="e">
        <f ca="1">stat(calculs!AL180)</f>
        <v>#NAME?</v>
      </c>
      <c r="AM180" s="523" t="e">
        <f ca="1">stat(calculs!AM180)</f>
        <v>#NAME?</v>
      </c>
      <c r="AN180" s="523" t="e">
        <f ca="1">stat(calculs!AN180)</f>
        <v>#NAME?</v>
      </c>
      <c r="AO180" s="523" t="e">
        <f ca="1">stat(calculs!AO180)</f>
        <v>#NAME?</v>
      </c>
      <c r="AP180" s="523" t="e">
        <f ca="1">stat(calculs!AP180)</f>
        <v>#NAME?</v>
      </c>
      <c r="AQ180" s="523" t="e">
        <f ca="1">stat(calculs!AQ180)</f>
        <v>#NAME?</v>
      </c>
      <c r="AV180" s="525" t="str">
        <f>stat(calculs!AV180)</f>
        <v/>
      </c>
      <c r="AW180" s="525" t="str">
        <f>stat(calculs!AW180)</f>
        <v/>
      </c>
      <c r="AX180" s="525" t="str">
        <f>stat(calculs!AX180)</f>
        <v/>
      </c>
      <c r="AY180" s="525" t="e">
        <f ca="1">stat(calculs!AY180)</f>
        <v>#NAME?</v>
      </c>
      <c r="AZ180" s="525" t="e">
        <f ca="1">stat(calculs!AZ180)</f>
        <v>#NAME?</v>
      </c>
      <c r="BA180" s="525" t="e">
        <f ca="1">stat(calculs!BA180)</f>
        <v>#NAME?</v>
      </c>
      <c r="BB180" s="525" t="e">
        <f ca="1">stat(calculs!BB180)</f>
        <v>#NAME?</v>
      </c>
      <c r="BC180" s="525" t="e">
        <f ca="1">stat(calculs!BC180)</f>
        <v>#NAME?</v>
      </c>
      <c r="BD180" s="525" t="e">
        <f ca="1">stat(calculs!BD180)</f>
        <v>#NAME?</v>
      </c>
      <c r="BE180" s="525" t="e">
        <f ca="1">stat(calculs!BE180)</f>
        <v>#NAME?</v>
      </c>
      <c r="BF180" s="525" t="e">
        <f ca="1">stat(calculs!BF180)</f>
        <v>#NAME?</v>
      </c>
      <c r="BG180" s="729" t="e">
        <f ca="1">stat(calculs!BG180)</f>
        <v>#NAME?</v>
      </c>
      <c r="BH180" s="729" t="e">
        <f ca="1">stat(calculs!BH180)</f>
        <v>#NAME?</v>
      </c>
      <c r="BI180" s="729" t="e">
        <f ca="1">stat(calculs!BI180)</f>
        <v>#NAME?</v>
      </c>
      <c r="BJ180" s="729" t="e">
        <f ca="1">stat(calculs!BJ180)</f>
        <v>#NAME?</v>
      </c>
      <c r="BK180" s="729" t="e">
        <f ca="1">stat(calculs!BK180)</f>
        <v>#NAME?</v>
      </c>
      <c r="BL180" s="525" t="e">
        <f ca="1">stat(calculs!BL180)</f>
        <v>#NAME?</v>
      </c>
      <c r="BM180" s="525" t="e">
        <f ca="1">stat(calculs!BM180)</f>
        <v>#NAME?</v>
      </c>
      <c r="BN180" s="525" t="e">
        <f ca="1">stat(calculs!BN180)</f>
        <v>#NAME?</v>
      </c>
      <c r="BO180" s="525" t="e">
        <f ca="1">stat(calculs!BO180)</f>
        <v>#NAME?</v>
      </c>
      <c r="BP180" s="525" t="e">
        <f ca="1">stat(calculs!BP180)</f>
        <v>#NAME?</v>
      </c>
      <c r="BQ180" s="525" t="e">
        <f ca="1">stat(calculs!BQ180)</f>
        <v>#NAME?</v>
      </c>
      <c r="BR180" s="525" t="e">
        <f ca="1">stat(calculs!BR180)</f>
        <v>#NAME?</v>
      </c>
    </row>
    <row r="181" spans="1:70" x14ac:dyDescent="0.2">
      <c r="A181" s="222">
        <f>données_step[[#This Row],[Datum]]</f>
        <v>44732</v>
      </c>
      <c r="B181" s="223"/>
      <c r="C181" s="224">
        <f t="shared" si="2"/>
        <v>2</v>
      </c>
      <c r="D181" s="523" t="e">
        <f ca="1">stat(charge_entree[[#This Row],[ch_E_DBO5]])</f>
        <v>#NAME?</v>
      </c>
      <c r="E181" s="523" t="e">
        <f ca="1">stat(charge_entree[[#This Row],[ch_E_DCO]])</f>
        <v>#NAME?</v>
      </c>
      <c r="F181" s="523" t="e">
        <f ca="1">stat(charge_entree[[#This Row],[ch_E_COT]])</f>
        <v>#NAME?</v>
      </c>
      <c r="G181" s="523" t="e">
        <f ca="1">stat(charge_entree[[#This Row],[ch_E_NH4]])</f>
        <v>#NAME?</v>
      </c>
      <c r="H181" s="523" t="e">
        <f ca="1">stat(charge_entree[[#This Row],[ch_E_NTOT]])</f>
        <v>#NAME?</v>
      </c>
      <c r="I181" s="523" t="e">
        <f ca="1">stat(charge_entree[[#This Row],[ch_E_PTOT]])</f>
        <v>#NAME?</v>
      </c>
      <c r="J181" s="523" t="e">
        <f ca="1">stat(charge_entree[[#This Row],[ch_S_DBO]])</f>
        <v>#NAME?</v>
      </c>
      <c r="K181" s="523" t="e">
        <f ca="1">stat(charge_entree[[#This Row],[ch_S-DCO]])</f>
        <v>#NAME?</v>
      </c>
      <c r="L181" s="523" t="e">
        <f ca="1">stat(charge_entree[[#This Row],[ch_S_DOC]])</f>
        <v>#NAME?</v>
      </c>
      <c r="M181" s="523" t="e">
        <f ca="1">stat(charge_entree[[#This Row],[ch_S_NH4]])</f>
        <v>#NAME?</v>
      </c>
      <c r="N181" s="523" t="e">
        <f ca="1">stat(charge_entree[[#This Row],[ch_S_NO2]])</f>
        <v>#NAME?</v>
      </c>
      <c r="O181" s="523" t="e">
        <f ca="1">stat(charge_entree[[#This Row],[ch_S_NO3]])</f>
        <v>#NAME?</v>
      </c>
      <c r="P181" s="523" t="e">
        <f ca="1">stat(charge_entree[[#This Row],[ch_S_PTOT]])</f>
        <v>#NAME?</v>
      </c>
      <c r="Q181" s="523" t="e">
        <f ca="1">stat(charge_entree[[#This Row],[ch_S_SNDT]])</f>
        <v>#NAME?</v>
      </c>
      <c r="R181" s="523">
        <f>calculs!R181</f>
        <v>0</v>
      </c>
      <c r="S181" s="523" t="e">
        <f ca="1">stat(calculs!S181)</f>
        <v>#NAME?</v>
      </c>
      <c r="T181" s="523" t="e">
        <f ca="1">stat(calculs!T181)</f>
        <v>#NAME?</v>
      </c>
      <c r="U181" s="523" t="e">
        <f ca="1">stat(calculs!U181)</f>
        <v>#NAME?</v>
      </c>
      <c r="V181" s="523" t="e">
        <f ca="1">stat(calculs!V181)</f>
        <v>#NAME?</v>
      </c>
      <c r="W181" s="523" t="e">
        <f ca="1">stat(calculs!W181)</f>
        <v>#NAME?</v>
      </c>
      <c r="X181" s="523" t="e">
        <f ca="1">stat(calculs!X181)</f>
        <v>#NAME?</v>
      </c>
      <c r="Y181" s="523" t="e">
        <f ca="1">stat(calculs!Y181)</f>
        <v>#NAME?</v>
      </c>
      <c r="Z181" s="523" t="e">
        <f ca="1">stat(calculs!Z181)</f>
        <v>#NAME?</v>
      </c>
      <c r="AA181" s="523" t="e">
        <f ca="1">stat(calculs!AA181)</f>
        <v>#NAME?</v>
      </c>
      <c r="AB181" s="523" t="e">
        <f ca="1">stat(calculs!AB181)</f>
        <v>#NAME?</v>
      </c>
      <c r="AC181" s="523" t="e">
        <f ca="1">stat(calculs!AC181)</f>
        <v>#NAME?</v>
      </c>
      <c r="AD181" s="523" t="e">
        <f ca="1">stat(calculs!AD181)</f>
        <v>#NAME?</v>
      </c>
      <c r="AE181" s="523" t="e">
        <f ca="1">stat(calculs!AE181)</f>
        <v>#NAME?</v>
      </c>
      <c r="AF181" s="523" t="e">
        <f ca="1">stat(calculs!AF181)</f>
        <v>#NAME?</v>
      </c>
      <c r="AG181" s="523" t="e">
        <f ca="1">stat(calculs!AG181)</f>
        <v>#NAME?</v>
      </c>
      <c r="AH181" s="523" t="e">
        <f ca="1">stat(calculs!AH181)</f>
        <v>#NAME?</v>
      </c>
      <c r="AI181" s="523" t="e">
        <f ca="1">stat(calculs!AI181)</f>
        <v>#NAME?</v>
      </c>
      <c r="AJ181" s="523" t="e">
        <f ca="1">stat(calculs!AJ181)</f>
        <v>#NAME?</v>
      </c>
      <c r="AK181" s="523" t="e">
        <f ca="1">stat(calculs!AK181)</f>
        <v>#NAME?</v>
      </c>
      <c r="AL181" s="523" t="e">
        <f ca="1">stat(calculs!AL181)</f>
        <v>#NAME?</v>
      </c>
      <c r="AM181" s="523" t="e">
        <f ca="1">stat(calculs!AM181)</f>
        <v>#NAME?</v>
      </c>
      <c r="AN181" s="523" t="e">
        <f ca="1">stat(calculs!AN181)</f>
        <v>#NAME?</v>
      </c>
      <c r="AO181" s="523" t="e">
        <f ca="1">stat(calculs!AO181)</f>
        <v>#NAME?</v>
      </c>
      <c r="AP181" s="523" t="e">
        <f ca="1">stat(calculs!AP181)</f>
        <v>#NAME?</v>
      </c>
      <c r="AQ181" s="523" t="e">
        <f ca="1">stat(calculs!AQ181)</f>
        <v>#NAME?</v>
      </c>
      <c r="AV181" s="525" t="str">
        <f>stat(calculs!AV181)</f>
        <v/>
      </c>
      <c r="AW181" s="525" t="str">
        <f>stat(calculs!AW181)</f>
        <v/>
      </c>
      <c r="AX181" s="525" t="str">
        <f>stat(calculs!AX181)</f>
        <v/>
      </c>
      <c r="AY181" s="525" t="e">
        <f ca="1">stat(calculs!AY181)</f>
        <v>#NAME?</v>
      </c>
      <c r="AZ181" s="525" t="e">
        <f ca="1">stat(calculs!AZ181)</f>
        <v>#NAME?</v>
      </c>
      <c r="BA181" s="525" t="e">
        <f ca="1">stat(calculs!BA181)</f>
        <v>#NAME?</v>
      </c>
      <c r="BB181" s="525" t="e">
        <f ca="1">stat(calculs!BB181)</f>
        <v>#NAME?</v>
      </c>
      <c r="BC181" s="525" t="e">
        <f ca="1">stat(calculs!BC181)</f>
        <v>#NAME?</v>
      </c>
      <c r="BD181" s="525" t="e">
        <f ca="1">stat(calculs!BD181)</f>
        <v>#NAME?</v>
      </c>
      <c r="BE181" s="525" t="e">
        <f ca="1">stat(calculs!BE181)</f>
        <v>#NAME?</v>
      </c>
      <c r="BF181" s="525" t="e">
        <f ca="1">stat(calculs!BF181)</f>
        <v>#NAME?</v>
      </c>
      <c r="BG181" s="729" t="e">
        <f ca="1">stat(calculs!BG181)</f>
        <v>#NAME?</v>
      </c>
      <c r="BH181" s="729" t="e">
        <f ca="1">stat(calculs!BH181)</f>
        <v>#NAME?</v>
      </c>
      <c r="BI181" s="729" t="e">
        <f ca="1">stat(calculs!BI181)</f>
        <v>#NAME?</v>
      </c>
      <c r="BJ181" s="729" t="e">
        <f ca="1">stat(calculs!BJ181)</f>
        <v>#NAME?</v>
      </c>
      <c r="BK181" s="729" t="e">
        <f ca="1">stat(calculs!BK181)</f>
        <v>#NAME?</v>
      </c>
      <c r="BL181" s="525" t="e">
        <f ca="1">stat(calculs!BL181)</f>
        <v>#NAME?</v>
      </c>
      <c r="BM181" s="525" t="e">
        <f ca="1">stat(calculs!BM181)</f>
        <v>#NAME?</v>
      </c>
      <c r="BN181" s="525" t="e">
        <f ca="1">stat(calculs!BN181)</f>
        <v>#NAME?</v>
      </c>
      <c r="BO181" s="525" t="e">
        <f ca="1">stat(calculs!BO181)</f>
        <v>#NAME?</v>
      </c>
      <c r="BP181" s="525" t="e">
        <f ca="1">stat(calculs!BP181)</f>
        <v>#NAME?</v>
      </c>
      <c r="BQ181" s="525" t="e">
        <f ca="1">stat(calculs!BQ181)</f>
        <v>#NAME?</v>
      </c>
      <c r="BR181" s="525" t="e">
        <f ca="1">stat(calculs!BR181)</f>
        <v>#NAME?</v>
      </c>
    </row>
    <row r="182" spans="1:70" x14ac:dyDescent="0.2">
      <c r="A182" s="222">
        <f>données_step[[#This Row],[Datum]]</f>
        <v>44733</v>
      </c>
      <c r="B182" s="223"/>
      <c r="C182" s="224">
        <f t="shared" si="2"/>
        <v>3</v>
      </c>
      <c r="D182" s="523" t="e">
        <f ca="1">stat(charge_entree[[#This Row],[ch_E_DBO5]])</f>
        <v>#NAME?</v>
      </c>
      <c r="E182" s="523" t="e">
        <f ca="1">stat(charge_entree[[#This Row],[ch_E_DCO]])</f>
        <v>#NAME?</v>
      </c>
      <c r="F182" s="523" t="e">
        <f ca="1">stat(charge_entree[[#This Row],[ch_E_COT]])</f>
        <v>#NAME?</v>
      </c>
      <c r="G182" s="523" t="e">
        <f ca="1">stat(charge_entree[[#This Row],[ch_E_NH4]])</f>
        <v>#NAME?</v>
      </c>
      <c r="H182" s="523" t="e">
        <f ca="1">stat(charge_entree[[#This Row],[ch_E_NTOT]])</f>
        <v>#NAME?</v>
      </c>
      <c r="I182" s="523" t="e">
        <f ca="1">stat(charge_entree[[#This Row],[ch_E_PTOT]])</f>
        <v>#NAME?</v>
      </c>
      <c r="J182" s="523" t="e">
        <f ca="1">stat(charge_entree[[#This Row],[ch_S_DBO]])</f>
        <v>#NAME?</v>
      </c>
      <c r="K182" s="523" t="e">
        <f ca="1">stat(charge_entree[[#This Row],[ch_S-DCO]])</f>
        <v>#NAME?</v>
      </c>
      <c r="L182" s="523" t="e">
        <f ca="1">stat(charge_entree[[#This Row],[ch_S_DOC]])</f>
        <v>#NAME?</v>
      </c>
      <c r="M182" s="523" t="e">
        <f ca="1">stat(charge_entree[[#This Row],[ch_S_NH4]])</f>
        <v>#NAME?</v>
      </c>
      <c r="N182" s="523" t="e">
        <f ca="1">stat(charge_entree[[#This Row],[ch_S_NO2]])</f>
        <v>#NAME?</v>
      </c>
      <c r="O182" s="523" t="e">
        <f ca="1">stat(charge_entree[[#This Row],[ch_S_NO3]])</f>
        <v>#NAME?</v>
      </c>
      <c r="P182" s="523" t="e">
        <f ca="1">stat(charge_entree[[#This Row],[ch_S_PTOT]])</f>
        <v>#NAME?</v>
      </c>
      <c r="Q182" s="523" t="e">
        <f ca="1">stat(charge_entree[[#This Row],[ch_S_SNDT]])</f>
        <v>#NAME?</v>
      </c>
      <c r="R182" s="523">
        <f>calculs!R182</f>
        <v>0</v>
      </c>
      <c r="S182" s="523" t="e">
        <f ca="1">stat(calculs!S182)</f>
        <v>#NAME?</v>
      </c>
      <c r="T182" s="523" t="e">
        <f ca="1">stat(calculs!T182)</f>
        <v>#NAME?</v>
      </c>
      <c r="U182" s="523" t="e">
        <f ca="1">stat(calculs!U182)</f>
        <v>#NAME?</v>
      </c>
      <c r="V182" s="523" t="e">
        <f ca="1">stat(calculs!V182)</f>
        <v>#NAME?</v>
      </c>
      <c r="W182" s="523" t="e">
        <f ca="1">stat(calculs!W182)</f>
        <v>#NAME?</v>
      </c>
      <c r="X182" s="523" t="e">
        <f ca="1">stat(calculs!X182)</f>
        <v>#NAME?</v>
      </c>
      <c r="Y182" s="523" t="e">
        <f ca="1">stat(calculs!Y182)</f>
        <v>#NAME?</v>
      </c>
      <c r="Z182" s="523" t="e">
        <f ca="1">stat(calculs!Z182)</f>
        <v>#NAME?</v>
      </c>
      <c r="AA182" s="523" t="e">
        <f ca="1">stat(calculs!AA182)</f>
        <v>#NAME?</v>
      </c>
      <c r="AB182" s="523" t="e">
        <f ca="1">stat(calculs!AB182)</f>
        <v>#NAME?</v>
      </c>
      <c r="AC182" s="523" t="e">
        <f ca="1">stat(calculs!AC182)</f>
        <v>#NAME?</v>
      </c>
      <c r="AD182" s="523" t="e">
        <f ca="1">stat(calculs!AD182)</f>
        <v>#NAME?</v>
      </c>
      <c r="AE182" s="523" t="e">
        <f ca="1">stat(calculs!AE182)</f>
        <v>#NAME?</v>
      </c>
      <c r="AF182" s="523" t="e">
        <f ca="1">stat(calculs!AF182)</f>
        <v>#NAME?</v>
      </c>
      <c r="AG182" s="523" t="e">
        <f ca="1">stat(calculs!AG182)</f>
        <v>#NAME?</v>
      </c>
      <c r="AH182" s="523" t="e">
        <f ca="1">stat(calculs!AH182)</f>
        <v>#NAME?</v>
      </c>
      <c r="AI182" s="523" t="e">
        <f ca="1">stat(calculs!AI182)</f>
        <v>#NAME?</v>
      </c>
      <c r="AJ182" s="523" t="e">
        <f ca="1">stat(calculs!AJ182)</f>
        <v>#NAME?</v>
      </c>
      <c r="AK182" s="523" t="e">
        <f ca="1">stat(calculs!AK182)</f>
        <v>#NAME?</v>
      </c>
      <c r="AL182" s="523" t="e">
        <f ca="1">stat(calculs!AL182)</f>
        <v>#NAME?</v>
      </c>
      <c r="AM182" s="523" t="e">
        <f ca="1">stat(calculs!AM182)</f>
        <v>#NAME?</v>
      </c>
      <c r="AN182" s="523" t="e">
        <f ca="1">stat(calculs!AN182)</f>
        <v>#NAME?</v>
      </c>
      <c r="AO182" s="523" t="e">
        <f ca="1">stat(calculs!AO182)</f>
        <v>#NAME?</v>
      </c>
      <c r="AP182" s="523" t="e">
        <f ca="1">stat(calculs!AP182)</f>
        <v>#NAME?</v>
      </c>
      <c r="AQ182" s="523" t="e">
        <f ca="1">stat(calculs!AQ182)</f>
        <v>#NAME?</v>
      </c>
      <c r="AV182" s="525" t="str">
        <f>stat(calculs!AV182)</f>
        <v/>
      </c>
      <c r="AW182" s="525" t="str">
        <f>stat(calculs!AW182)</f>
        <v/>
      </c>
      <c r="AX182" s="525" t="str">
        <f>stat(calculs!AX182)</f>
        <v/>
      </c>
      <c r="AY182" s="525" t="e">
        <f ca="1">stat(calculs!AY182)</f>
        <v>#NAME?</v>
      </c>
      <c r="AZ182" s="525" t="e">
        <f ca="1">stat(calculs!AZ182)</f>
        <v>#NAME?</v>
      </c>
      <c r="BA182" s="525" t="e">
        <f ca="1">stat(calculs!BA182)</f>
        <v>#NAME?</v>
      </c>
      <c r="BB182" s="525" t="e">
        <f ca="1">stat(calculs!BB182)</f>
        <v>#NAME?</v>
      </c>
      <c r="BC182" s="525" t="e">
        <f ca="1">stat(calculs!BC182)</f>
        <v>#NAME?</v>
      </c>
      <c r="BD182" s="525" t="e">
        <f ca="1">stat(calculs!BD182)</f>
        <v>#NAME?</v>
      </c>
      <c r="BE182" s="525" t="e">
        <f ca="1">stat(calculs!BE182)</f>
        <v>#NAME?</v>
      </c>
      <c r="BF182" s="525" t="e">
        <f ca="1">stat(calculs!BF182)</f>
        <v>#NAME?</v>
      </c>
      <c r="BG182" s="729" t="e">
        <f ca="1">stat(calculs!BG182)</f>
        <v>#NAME?</v>
      </c>
      <c r="BH182" s="729" t="e">
        <f ca="1">stat(calculs!BH182)</f>
        <v>#NAME?</v>
      </c>
      <c r="BI182" s="729" t="e">
        <f ca="1">stat(calculs!BI182)</f>
        <v>#NAME?</v>
      </c>
      <c r="BJ182" s="729" t="e">
        <f ca="1">stat(calculs!BJ182)</f>
        <v>#NAME?</v>
      </c>
      <c r="BK182" s="729" t="e">
        <f ca="1">stat(calculs!BK182)</f>
        <v>#NAME?</v>
      </c>
      <c r="BL182" s="525" t="e">
        <f ca="1">stat(calculs!BL182)</f>
        <v>#NAME?</v>
      </c>
      <c r="BM182" s="525" t="e">
        <f ca="1">stat(calculs!BM182)</f>
        <v>#NAME?</v>
      </c>
      <c r="BN182" s="525" t="e">
        <f ca="1">stat(calculs!BN182)</f>
        <v>#NAME?</v>
      </c>
      <c r="BO182" s="525" t="e">
        <f ca="1">stat(calculs!BO182)</f>
        <v>#NAME?</v>
      </c>
      <c r="BP182" s="525" t="e">
        <f ca="1">stat(calculs!BP182)</f>
        <v>#NAME?</v>
      </c>
      <c r="BQ182" s="525" t="e">
        <f ca="1">stat(calculs!BQ182)</f>
        <v>#NAME?</v>
      </c>
      <c r="BR182" s="525" t="e">
        <f ca="1">stat(calculs!BR182)</f>
        <v>#NAME?</v>
      </c>
    </row>
    <row r="183" spans="1:70" x14ac:dyDescent="0.2">
      <c r="A183" s="222">
        <f>données_step[[#This Row],[Datum]]</f>
        <v>44734</v>
      </c>
      <c r="B183" s="223"/>
      <c r="C183" s="224">
        <f t="shared" si="2"/>
        <v>4</v>
      </c>
      <c r="D183" s="523" t="e">
        <f ca="1">stat(charge_entree[[#This Row],[ch_E_DBO5]])</f>
        <v>#NAME?</v>
      </c>
      <c r="E183" s="523" t="e">
        <f ca="1">stat(charge_entree[[#This Row],[ch_E_DCO]])</f>
        <v>#NAME?</v>
      </c>
      <c r="F183" s="523" t="e">
        <f ca="1">stat(charge_entree[[#This Row],[ch_E_COT]])</f>
        <v>#NAME?</v>
      </c>
      <c r="G183" s="523" t="e">
        <f ca="1">stat(charge_entree[[#This Row],[ch_E_NH4]])</f>
        <v>#NAME?</v>
      </c>
      <c r="H183" s="523" t="e">
        <f ca="1">stat(charge_entree[[#This Row],[ch_E_NTOT]])</f>
        <v>#NAME?</v>
      </c>
      <c r="I183" s="523" t="e">
        <f ca="1">stat(charge_entree[[#This Row],[ch_E_PTOT]])</f>
        <v>#NAME?</v>
      </c>
      <c r="J183" s="523" t="e">
        <f ca="1">stat(charge_entree[[#This Row],[ch_S_DBO]])</f>
        <v>#NAME?</v>
      </c>
      <c r="K183" s="523" t="e">
        <f ca="1">stat(charge_entree[[#This Row],[ch_S-DCO]])</f>
        <v>#NAME?</v>
      </c>
      <c r="L183" s="523" t="e">
        <f ca="1">stat(charge_entree[[#This Row],[ch_S_DOC]])</f>
        <v>#NAME?</v>
      </c>
      <c r="M183" s="523" t="e">
        <f ca="1">stat(charge_entree[[#This Row],[ch_S_NH4]])</f>
        <v>#NAME?</v>
      </c>
      <c r="N183" s="523" t="e">
        <f ca="1">stat(charge_entree[[#This Row],[ch_S_NO2]])</f>
        <v>#NAME?</v>
      </c>
      <c r="O183" s="523" t="e">
        <f ca="1">stat(charge_entree[[#This Row],[ch_S_NO3]])</f>
        <v>#NAME?</v>
      </c>
      <c r="P183" s="523" t="e">
        <f ca="1">stat(charge_entree[[#This Row],[ch_S_PTOT]])</f>
        <v>#NAME?</v>
      </c>
      <c r="Q183" s="523" t="e">
        <f ca="1">stat(charge_entree[[#This Row],[ch_S_SNDT]])</f>
        <v>#NAME?</v>
      </c>
      <c r="R183" s="523">
        <f>calculs!R183</f>
        <v>0</v>
      </c>
      <c r="S183" s="523" t="e">
        <f ca="1">stat(calculs!S183)</f>
        <v>#NAME?</v>
      </c>
      <c r="T183" s="523" t="e">
        <f ca="1">stat(calculs!T183)</f>
        <v>#NAME?</v>
      </c>
      <c r="U183" s="523" t="e">
        <f ca="1">stat(calculs!U183)</f>
        <v>#NAME?</v>
      </c>
      <c r="V183" s="523" t="e">
        <f ca="1">stat(calculs!V183)</f>
        <v>#NAME?</v>
      </c>
      <c r="W183" s="523" t="e">
        <f ca="1">stat(calculs!W183)</f>
        <v>#NAME?</v>
      </c>
      <c r="X183" s="523" t="e">
        <f ca="1">stat(calculs!X183)</f>
        <v>#NAME?</v>
      </c>
      <c r="Y183" s="523" t="e">
        <f ca="1">stat(calculs!Y183)</f>
        <v>#NAME?</v>
      </c>
      <c r="Z183" s="523" t="e">
        <f ca="1">stat(calculs!Z183)</f>
        <v>#NAME?</v>
      </c>
      <c r="AA183" s="523" t="e">
        <f ca="1">stat(calculs!AA183)</f>
        <v>#NAME?</v>
      </c>
      <c r="AB183" s="523" t="e">
        <f ca="1">stat(calculs!AB183)</f>
        <v>#NAME?</v>
      </c>
      <c r="AC183" s="523" t="e">
        <f ca="1">stat(calculs!AC183)</f>
        <v>#NAME?</v>
      </c>
      <c r="AD183" s="523" t="e">
        <f ca="1">stat(calculs!AD183)</f>
        <v>#NAME?</v>
      </c>
      <c r="AE183" s="523" t="e">
        <f ca="1">stat(calculs!AE183)</f>
        <v>#NAME?</v>
      </c>
      <c r="AF183" s="523" t="e">
        <f ca="1">stat(calculs!AF183)</f>
        <v>#NAME?</v>
      </c>
      <c r="AG183" s="523" t="e">
        <f ca="1">stat(calculs!AG183)</f>
        <v>#NAME?</v>
      </c>
      <c r="AH183" s="523" t="e">
        <f ca="1">stat(calculs!AH183)</f>
        <v>#NAME?</v>
      </c>
      <c r="AI183" s="523" t="e">
        <f ca="1">stat(calculs!AI183)</f>
        <v>#NAME?</v>
      </c>
      <c r="AJ183" s="523" t="e">
        <f ca="1">stat(calculs!AJ183)</f>
        <v>#NAME?</v>
      </c>
      <c r="AK183" s="523" t="e">
        <f ca="1">stat(calculs!AK183)</f>
        <v>#NAME?</v>
      </c>
      <c r="AL183" s="523" t="e">
        <f ca="1">stat(calculs!AL183)</f>
        <v>#NAME?</v>
      </c>
      <c r="AM183" s="523" t="e">
        <f ca="1">stat(calculs!AM183)</f>
        <v>#NAME?</v>
      </c>
      <c r="AN183" s="523" t="e">
        <f ca="1">stat(calculs!AN183)</f>
        <v>#NAME?</v>
      </c>
      <c r="AO183" s="523" t="e">
        <f ca="1">stat(calculs!AO183)</f>
        <v>#NAME?</v>
      </c>
      <c r="AP183" s="523" t="e">
        <f ca="1">stat(calculs!AP183)</f>
        <v>#NAME?</v>
      </c>
      <c r="AQ183" s="523" t="e">
        <f ca="1">stat(calculs!AQ183)</f>
        <v>#NAME?</v>
      </c>
      <c r="AV183" s="525" t="str">
        <f>stat(calculs!AV183)</f>
        <v/>
      </c>
      <c r="AW183" s="525" t="str">
        <f>stat(calculs!AW183)</f>
        <v/>
      </c>
      <c r="AX183" s="525" t="str">
        <f>stat(calculs!AX183)</f>
        <v/>
      </c>
      <c r="AY183" s="525" t="e">
        <f ca="1">stat(calculs!AY183)</f>
        <v>#NAME?</v>
      </c>
      <c r="AZ183" s="525" t="e">
        <f ca="1">stat(calculs!AZ183)</f>
        <v>#NAME?</v>
      </c>
      <c r="BA183" s="525" t="e">
        <f ca="1">stat(calculs!BA183)</f>
        <v>#NAME?</v>
      </c>
      <c r="BB183" s="525" t="e">
        <f ca="1">stat(calculs!BB183)</f>
        <v>#NAME?</v>
      </c>
      <c r="BC183" s="525" t="e">
        <f ca="1">stat(calculs!BC183)</f>
        <v>#NAME?</v>
      </c>
      <c r="BD183" s="525" t="e">
        <f ca="1">stat(calculs!BD183)</f>
        <v>#NAME?</v>
      </c>
      <c r="BE183" s="525" t="e">
        <f ca="1">stat(calculs!BE183)</f>
        <v>#NAME?</v>
      </c>
      <c r="BF183" s="525" t="e">
        <f ca="1">stat(calculs!BF183)</f>
        <v>#NAME?</v>
      </c>
      <c r="BG183" s="729" t="e">
        <f ca="1">stat(calculs!BG183)</f>
        <v>#NAME?</v>
      </c>
      <c r="BH183" s="729" t="e">
        <f ca="1">stat(calculs!BH183)</f>
        <v>#NAME?</v>
      </c>
      <c r="BI183" s="729" t="e">
        <f ca="1">stat(calculs!BI183)</f>
        <v>#NAME?</v>
      </c>
      <c r="BJ183" s="729" t="e">
        <f ca="1">stat(calculs!BJ183)</f>
        <v>#NAME?</v>
      </c>
      <c r="BK183" s="729" t="e">
        <f ca="1">stat(calculs!BK183)</f>
        <v>#NAME?</v>
      </c>
      <c r="BL183" s="525" t="e">
        <f ca="1">stat(calculs!BL183)</f>
        <v>#NAME?</v>
      </c>
      <c r="BM183" s="525" t="e">
        <f ca="1">stat(calculs!BM183)</f>
        <v>#NAME?</v>
      </c>
      <c r="BN183" s="525" t="e">
        <f ca="1">stat(calculs!BN183)</f>
        <v>#NAME?</v>
      </c>
      <c r="BO183" s="525" t="e">
        <f ca="1">stat(calculs!BO183)</f>
        <v>#NAME?</v>
      </c>
      <c r="BP183" s="525" t="e">
        <f ca="1">stat(calculs!BP183)</f>
        <v>#NAME?</v>
      </c>
      <c r="BQ183" s="525" t="e">
        <f ca="1">stat(calculs!BQ183)</f>
        <v>#NAME?</v>
      </c>
      <c r="BR183" s="525" t="e">
        <f ca="1">stat(calculs!BR183)</f>
        <v>#NAME?</v>
      </c>
    </row>
    <row r="184" spans="1:70" x14ac:dyDescent="0.2">
      <c r="A184" s="222">
        <f>données_step[[#This Row],[Datum]]</f>
        <v>44735</v>
      </c>
      <c r="B184" s="223"/>
      <c r="C184" s="224">
        <f t="shared" si="2"/>
        <v>5</v>
      </c>
      <c r="D184" s="523" t="e">
        <f ca="1">stat(charge_entree[[#This Row],[ch_E_DBO5]])</f>
        <v>#NAME?</v>
      </c>
      <c r="E184" s="523" t="e">
        <f ca="1">stat(charge_entree[[#This Row],[ch_E_DCO]])</f>
        <v>#NAME?</v>
      </c>
      <c r="F184" s="523" t="e">
        <f ca="1">stat(charge_entree[[#This Row],[ch_E_COT]])</f>
        <v>#NAME?</v>
      </c>
      <c r="G184" s="523" t="e">
        <f ca="1">stat(charge_entree[[#This Row],[ch_E_NH4]])</f>
        <v>#NAME?</v>
      </c>
      <c r="H184" s="523" t="e">
        <f ca="1">stat(charge_entree[[#This Row],[ch_E_NTOT]])</f>
        <v>#NAME?</v>
      </c>
      <c r="I184" s="523" t="e">
        <f ca="1">stat(charge_entree[[#This Row],[ch_E_PTOT]])</f>
        <v>#NAME?</v>
      </c>
      <c r="J184" s="523" t="e">
        <f ca="1">stat(charge_entree[[#This Row],[ch_S_DBO]])</f>
        <v>#NAME?</v>
      </c>
      <c r="K184" s="523" t="e">
        <f ca="1">stat(charge_entree[[#This Row],[ch_S-DCO]])</f>
        <v>#NAME?</v>
      </c>
      <c r="L184" s="523" t="e">
        <f ca="1">stat(charge_entree[[#This Row],[ch_S_DOC]])</f>
        <v>#NAME?</v>
      </c>
      <c r="M184" s="523" t="e">
        <f ca="1">stat(charge_entree[[#This Row],[ch_S_NH4]])</f>
        <v>#NAME?</v>
      </c>
      <c r="N184" s="523" t="e">
        <f ca="1">stat(charge_entree[[#This Row],[ch_S_NO2]])</f>
        <v>#NAME?</v>
      </c>
      <c r="O184" s="523" t="e">
        <f ca="1">stat(charge_entree[[#This Row],[ch_S_NO3]])</f>
        <v>#NAME?</v>
      </c>
      <c r="P184" s="523" t="e">
        <f ca="1">stat(charge_entree[[#This Row],[ch_S_PTOT]])</f>
        <v>#NAME?</v>
      </c>
      <c r="Q184" s="523" t="e">
        <f ca="1">stat(charge_entree[[#This Row],[ch_S_SNDT]])</f>
        <v>#NAME?</v>
      </c>
      <c r="R184" s="523">
        <f>calculs!R184</f>
        <v>0</v>
      </c>
      <c r="S184" s="523" t="e">
        <f ca="1">stat(calculs!S184)</f>
        <v>#NAME?</v>
      </c>
      <c r="T184" s="523" t="e">
        <f ca="1">stat(calculs!T184)</f>
        <v>#NAME?</v>
      </c>
      <c r="U184" s="523" t="e">
        <f ca="1">stat(calculs!U184)</f>
        <v>#NAME?</v>
      </c>
      <c r="V184" s="523" t="e">
        <f ca="1">stat(calculs!V184)</f>
        <v>#NAME?</v>
      </c>
      <c r="W184" s="523" t="e">
        <f ca="1">stat(calculs!W184)</f>
        <v>#NAME?</v>
      </c>
      <c r="X184" s="523" t="e">
        <f ca="1">stat(calculs!X184)</f>
        <v>#NAME?</v>
      </c>
      <c r="Y184" s="523" t="e">
        <f ca="1">stat(calculs!Y184)</f>
        <v>#NAME?</v>
      </c>
      <c r="Z184" s="523" t="e">
        <f ca="1">stat(calculs!Z184)</f>
        <v>#NAME?</v>
      </c>
      <c r="AA184" s="523" t="e">
        <f ca="1">stat(calculs!AA184)</f>
        <v>#NAME?</v>
      </c>
      <c r="AB184" s="523" t="e">
        <f ca="1">stat(calculs!AB184)</f>
        <v>#NAME?</v>
      </c>
      <c r="AC184" s="523" t="e">
        <f ca="1">stat(calculs!AC184)</f>
        <v>#NAME?</v>
      </c>
      <c r="AD184" s="523" t="e">
        <f ca="1">stat(calculs!AD184)</f>
        <v>#NAME?</v>
      </c>
      <c r="AE184" s="523" t="e">
        <f ca="1">stat(calculs!AE184)</f>
        <v>#NAME?</v>
      </c>
      <c r="AF184" s="523" t="e">
        <f ca="1">stat(calculs!AF184)</f>
        <v>#NAME?</v>
      </c>
      <c r="AG184" s="523" t="e">
        <f ca="1">stat(calculs!AG184)</f>
        <v>#NAME?</v>
      </c>
      <c r="AH184" s="523" t="e">
        <f ca="1">stat(calculs!AH184)</f>
        <v>#NAME?</v>
      </c>
      <c r="AI184" s="523" t="e">
        <f ca="1">stat(calculs!AI184)</f>
        <v>#NAME?</v>
      </c>
      <c r="AJ184" s="523" t="e">
        <f ca="1">stat(calculs!AJ184)</f>
        <v>#NAME?</v>
      </c>
      <c r="AK184" s="523" t="e">
        <f ca="1">stat(calculs!AK184)</f>
        <v>#NAME?</v>
      </c>
      <c r="AL184" s="523" t="e">
        <f ca="1">stat(calculs!AL184)</f>
        <v>#NAME?</v>
      </c>
      <c r="AM184" s="523" t="e">
        <f ca="1">stat(calculs!AM184)</f>
        <v>#NAME?</v>
      </c>
      <c r="AN184" s="523" t="e">
        <f ca="1">stat(calculs!AN184)</f>
        <v>#NAME?</v>
      </c>
      <c r="AO184" s="523" t="e">
        <f ca="1">stat(calculs!AO184)</f>
        <v>#NAME?</v>
      </c>
      <c r="AP184" s="523" t="e">
        <f ca="1">stat(calculs!AP184)</f>
        <v>#NAME?</v>
      </c>
      <c r="AQ184" s="523" t="e">
        <f ca="1">stat(calculs!AQ184)</f>
        <v>#NAME?</v>
      </c>
      <c r="AV184" s="525" t="str">
        <f>stat(calculs!AV184)</f>
        <v/>
      </c>
      <c r="AW184" s="525" t="str">
        <f>stat(calculs!AW184)</f>
        <v/>
      </c>
      <c r="AX184" s="525" t="str">
        <f>stat(calculs!AX184)</f>
        <v/>
      </c>
      <c r="AY184" s="525" t="e">
        <f ca="1">stat(calculs!AY184)</f>
        <v>#NAME?</v>
      </c>
      <c r="AZ184" s="525" t="e">
        <f ca="1">stat(calculs!AZ184)</f>
        <v>#NAME?</v>
      </c>
      <c r="BA184" s="525" t="e">
        <f ca="1">stat(calculs!BA184)</f>
        <v>#NAME?</v>
      </c>
      <c r="BB184" s="525" t="e">
        <f ca="1">stat(calculs!BB184)</f>
        <v>#NAME?</v>
      </c>
      <c r="BC184" s="525" t="e">
        <f ca="1">stat(calculs!BC184)</f>
        <v>#NAME?</v>
      </c>
      <c r="BD184" s="525" t="e">
        <f ca="1">stat(calculs!BD184)</f>
        <v>#NAME?</v>
      </c>
      <c r="BE184" s="525" t="e">
        <f ca="1">stat(calculs!BE184)</f>
        <v>#NAME?</v>
      </c>
      <c r="BF184" s="525" t="e">
        <f ca="1">stat(calculs!BF184)</f>
        <v>#NAME?</v>
      </c>
      <c r="BG184" s="729" t="e">
        <f ca="1">stat(calculs!BG184)</f>
        <v>#NAME?</v>
      </c>
      <c r="BH184" s="729" t="e">
        <f ca="1">stat(calculs!BH184)</f>
        <v>#NAME?</v>
      </c>
      <c r="BI184" s="729" t="e">
        <f ca="1">stat(calculs!BI184)</f>
        <v>#NAME?</v>
      </c>
      <c r="BJ184" s="729" t="e">
        <f ca="1">stat(calculs!BJ184)</f>
        <v>#NAME?</v>
      </c>
      <c r="BK184" s="729" t="e">
        <f ca="1">stat(calculs!BK184)</f>
        <v>#NAME?</v>
      </c>
      <c r="BL184" s="525" t="e">
        <f ca="1">stat(calculs!BL184)</f>
        <v>#NAME?</v>
      </c>
      <c r="BM184" s="525" t="e">
        <f ca="1">stat(calculs!BM184)</f>
        <v>#NAME?</v>
      </c>
      <c r="BN184" s="525" t="e">
        <f ca="1">stat(calculs!BN184)</f>
        <v>#NAME?</v>
      </c>
      <c r="BO184" s="525" t="e">
        <f ca="1">stat(calculs!BO184)</f>
        <v>#NAME?</v>
      </c>
      <c r="BP184" s="525" t="e">
        <f ca="1">stat(calculs!BP184)</f>
        <v>#NAME?</v>
      </c>
      <c r="BQ184" s="525" t="e">
        <f ca="1">stat(calculs!BQ184)</f>
        <v>#NAME?</v>
      </c>
      <c r="BR184" s="525" t="e">
        <f ca="1">stat(calculs!BR184)</f>
        <v>#NAME?</v>
      </c>
    </row>
    <row r="185" spans="1:70" x14ac:dyDescent="0.2">
      <c r="A185" s="222">
        <f>données_step[[#This Row],[Datum]]</f>
        <v>44736</v>
      </c>
      <c r="B185" s="223"/>
      <c r="C185" s="224">
        <f t="shared" si="2"/>
        <v>6</v>
      </c>
      <c r="D185" s="523" t="e">
        <f ca="1">stat(charge_entree[[#This Row],[ch_E_DBO5]])</f>
        <v>#NAME?</v>
      </c>
      <c r="E185" s="523" t="e">
        <f ca="1">stat(charge_entree[[#This Row],[ch_E_DCO]])</f>
        <v>#NAME?</v>
      </c>
      <c r="F185" s="523" t="e">
        <f ca="1">stat(charge_entree[[#This Row],[ch_E_COT]])</f>
        <v>#NAME?</v>
      </c>
      <c r="G185" s="523" t="e">
        <f ca="1">stat(charge_entree[[#This Row],[ch_E_NH4]])</f>
        <v>#NAME?</v>
      </c>
      <c r="H185" s="523" t="e">
        <f ca="1">stat(charge_entree[[#This Row],[ch_E_NTOT]])</f>
        <v>#NAME?</v>
      </c>
      <c r="I185" s="523" t="e">
        <f ca="1">stat(charge_entree[[#This Row],[ch_E_PTOT]])</f>
        <v>#NAME?</v>
      </c>
      <c r="J185" s="523" t="e">
        <f ca="1">stat(charge_entree[[#This Row],[ch_S_DBO]])</f>
        <v>#NAME?</v>
      </c>
      <c r="K185" s="523" t="e">
        <f ca="1">stat(charge_entree[[#This Row],[ch_S-DCO]])</f>
        <v>#NAME?</v>
      </c>
      <c r="L185" s="523" t="e">
        <f ca="1">stat(charge_entree[[#This Row],[ch_S_DOC]])</f>
        <v>#NAME?</v>
      </c>
      <c r="M185" s="523" t="e">
        <f ca="1">stat(charge_entree[[#This Row],[ch_S_NH4]])</f>
        <v>#NAME?</v>
      </c>
      <c r="N185" s="523" t="e">
        <f ca="1">stat(charge_entree[[#This Row],[ch_S_NO2]])</f>
        <v>#NAME?</v>
      </c>
      <c r="O185" s="523" t="e">
        <f ca="1">stat(charge_entree[[#This Row],[ch_S_NO3]])</f>
        <v>#NAME?</v>
      </c>
      <c r="P185" s="523" t="e">
        <f ca="1">stat(charge_entree[[#This Row],[ch_S_PTOT]])</f>
        <v>#NAME?</v>
      </c>
      <c r="Q185" s="523" t="e">
        <f ca="1">stat(charge_entree[[#This Row],[ch_S_SNDT]])</f>
        <v>#NAME?</v>
      </c>
      <c r="R185" s="523">
        <f>calculs!R185</f>
        <v>0</v>
      </c>
      <c r="S185" s="523" t="e">
        <f ca="1">stat(calculs!S185)</f>
        <v>#NAME?</v>
      </c>
      <c r="T185" s="523" t="e">
        <f ca="1">stat(calculs!T185)</f>
        <v>#NAME?</v>
      </c>
      <c r="U185" s="523" t="e">
        <f ca="1">stat(calculs!U185)</f>
        <v>#NAME?</v>
      </c>
      <c r="V185" s="523" t="e">
        <f ca="1">stat(calculs!V185)</f>
        <v>#NAME?</v>
      </c>
      <c r="W185" s="523" t="e">
        <f ca="1">stat(calculs!W185)</f>
        <v>#NAME?</v>
      </c>
      <c r="X185" s="523" t="e">
        <f ca="1">stat(calculs!X185)</f>
        <v>#NAME?</v>
      </c>
      <c r="Y185" s="523" t="e">
        <f ca="1">stat(calculs!Y185)</f>
        <v>#NAME?</v>
      </c>
      <c r="Z185" s="523" t="e">
        <f ca="1">stat(calculs!Z185)</f>
        <v>#NAME?</v>
      </c>
      <c r="AA185" s="523" t="e">
        <f ca="1">stat(calculs!AA185)</f>
        <v>#NAME?</v>
      </c>
      <c r="AB185" s="523" t="e">
        <f ca="1">stat(calculs!AB185)</f>
        <v>#NAME?</v>
      </c>
      <c r="AC185" s="523" t="e">
        <f ca="1">stat(calculs!AC185)</f>
        <v>#NAME?</v>
      </c>
      <c r="AD185" s="523" t="e">
        <f ca="1">stat(calculs!AD185)</f>
        <v>#NAME?</v>
      </c>
      <c r="AE185" s="523" t="e">
        <f ca="1">stat(calculs!AE185)</f>
        <v>#NAME?</v>
      </c>
      <c r="AF185" s="523" t="e">
        <f ca="1">stat(calculs!AF185)</f>
        <v>#NAME?</v>
      </c>
      <c r="AG185" s="523" t="e">
        <f ca="1">stat(calculs!AG185)</f>
        <v>#NAME?</v>
      </c>
      <c r="AH185" s="523" t="e">
        <f ca="1">stat(calculs!AH185)</f>
        <v>#NAME?</v>
      </c>
      <c r="AI185" s="523" t="e">
        <f ca="1">stat(calculs!AI185)</f>
        <v>#NAME?</v>
      </c>
      <c r="AJ185" s="523" t="e">
        <f ca="1">stat(calculs!AJ185)</f>
        <v>#NAME?</v>
      </c>
      <c r="AK185" s="523" t="e">
        <f ca="1">stat(calculs!AK185)</f>
        <v>#NAME?</v>
      </c>
      <c r="AL185" s="523" t="e">
        <f ca="1">stat(calculs!AL185)</f>
        <v>#NAME?</v>
      </c>
      <c r="AM185" s="523" t="e">
        <f ca="1">stat(calculs!AM185)</f>
        <v>#NAME?</v>
      </c>
      <c r="AN185" s="523" t="e">
        <f ca="1">stat(calculs!AN185)</f>
        <v>#NAME?</v>
      </c>
      <c r="AO185" s="523" t="e">
        <f ca="1">stat(calculs!AO185)</f>
        <v>#NAME?</v>
      </c>
      <c r="AP185" s="523" t="e">
        <f ca="1">stat(calculs!AP185)</f>
        <v>#NAME?</v>
      </c>
      <c r="AQ185" s="523" t="e">
        <f ca="1">stat(calculs!AQ185)</f>
        <v>#NAME?</v>
      </c>
      <c r="AV185" s="525" t="str">
        <f>stat(calculs!AV185)</f>
        <v/>
      </c>
      <c r="AW185" s="525" t="str">
        <f>stat(calculs!AW185)</f>
        <v/>
      </c>
      <c r="AX185" s="525" t="str">
        <f>stat(calculs!AX185)</f>
        <v/>
      </c>
      <c r="AY185" s="525" t="e">
        <f ca="1">stat(calculs!AY185)</f>
        <v>#NAME?</v>
      </c>
      <c r="AZ185" s="525" t="e">
        <f ca="1">stat(calculs!AZ185)</f>
        <v>#NAME?</v>
      </c>
      <c r="BA185" s="525" t="e">
        <f ca="1">stat(calculs!BA185)</f>
        <v>#NAME?</v>
      </c>
      <c r="BB185" s="525" t="e">
        <f ca="1">stat(calculs!BB185)</f>
        <v>#NAME?</v>
      </c>
      <c r="BC185" s="525" t="e">
        <f ca="1">stat(calculs!BC185)</f>
        <v>#NAME?</v>
      </c>
      <c r="BD185" s="525" t="e">
        <f ca="1">stat(calculs!BD185)</f>
        <v>#NAME?</v>
      </c>
      <c r="BE185" s="525" t="e">
        <f ca="1">stat(calculs!BE185)</f>
        <v>#NAME?</v>
      </c>
      <c r="BF185" s="525" t="e">
        <f ca="1">stat(calculs!BF185)</f>
        <v>#NAME?</v>
      </c>
      <c r="BG185" s="729" t="e">
        <f ca="1">stat(calculs!BG185)</f>
        <v>#NAME?</v>
      </c>
      <c r="BH185" s="729" t="e">
        <f ca="1">stat(calculs!BH185)</f>
        <v>#NAME?</v>
      </c>
      <c r="BI185" s="729" t="e">
        <f ca="1">stat(calculs!BI185)</f>
        <v>#NAME?</v>
      </c>
      <c r="BJ185" s="729" t="e">
        <f ca="1">stat(calculs!BJ185)</f>
        <v>#NAME?</v>
      </c>
      <c r="BK185" s="729" t="e">
        <f ca="1">stat(calculs!BK185)</f>
        <v>#NAME?</v>
      </c>
      <c r="BL185" s="525" t="e">
        <f ca="1">stat(calculs!BL185)</f>
        <v>#NAME?</v>
      </c>
      <c r="BM185" s="525" t="e">
        <f ca="1">stat(calculs!BM185)</f>
        <v>#NAME?</v>
      </c>
      <c r="BN185" s="525" t="e">
        <f ca="1">stat(calculs!BN185)</f>
        <v>#NAME?</v>
      </c>
      <c r="BO185" s="525" t="e">
        <f ca="1">stat(calculs!BO185)</f>
        <v>#NAME?</v>
      </c>
      <c r="BP185" s="525" t="e">
        <f ca="1">stat(calculs!BP185)</f>
        <v>#NAME?</v>
      </c>
      <c r="BQ185" s="525" t="e">
        <f ca="1">stat(calculs!BQ185)</f>
        <v>#NAME?</v>
      </c>
      <c r="BR185" s="525" t="e">
        <f ca="1">stat(calculs!BR185)</f>
        <v>#NAME?</v>
      </c>
    </row>
    <row r="186" spans="1:70" x14ac:dyDescent="0.2">
      <c r="A186" s="222">
        <f>données_step[[#This Row],[Datum]]</f>
        <v>44737</v>
      </c>
      <c r="B186" s="223"/>
      <c r="C186" s="224">
        <f t="shared" si="2"/>
        <v>7</v>
      </c>
      <c r="D186" s="523" t="e">
        <f ca="1">stat(charge_entree[[#This Row],[ch_E_DBO5]])</f>
        <v>#NAME?</v>
      </c>
      <c r="E186" s="523" t="e">
        <f ca="1">stat(charge_entree[[#This Row],[ch_E_DCO]])</f>
        <v>#NAME?</v>
      </c>
      <c r="F186" s="523" t="e">
        <f ca="1">stat(charge_entree[[#This Row],[ch_E_COT]])</f>
        <v>#NAME?</v>
      </c>
      <c r="G186" s="523" t="e">
        <f ca="1">stat(charge_entree[[#This Row],[ch_E_NH4]])</f>
        <v>#NAME?</v>
      </c>
      <c r="H186" s="523" t="e">
        <f ca="1">stat(charge_entree[[#This Row],[ch_E_NTOT]])</f>
        <v>#NAME?</v>
      </c>
      <c r="I186" s="523" t="e">
        <f ca="1">stat(charge_entree[[#This Row],[ch_E_PTOT]])</f>
        <v>#NAME?</v>
      </c>
      <c r="J186" s="523" t="e">
        <f ca="1">stat(charge_entree[[#This Row],[ch_S_DBO]])</f>
        <v>#NAME?</v>
      </c>
      <c r="K186" s="523" t="e">
        <f ca="1">stat(charge_entree[[#This Row],[ch_S-DCO]])</f>
        <v>#NAME?</v>
      </c>
      <c r="L186" s="523" t="e">
        <f ca="1">stat(charge_entree[[#This Row],[ch_S_DOC]])</f>
        <v>#NAME?</v>
      </c>
      <c r="M186" s="523" t="e">
        <f ca="1">stat(charge_entree[[#This Row],[ch_S_NH4]])</f>
        <v>#NAME?</v>
      </c>
      <c r="N186" s="523" t="e">
        <f ca="1">stat(charge_entree[[#This Row],[ch_S_NO2]])</f>
        <v>#NAME?</v>
      </c>
      <c r="O186" s="523" t="e">
        <f ca="1">stat(charge_entree[[#This Row],[ch_S_NO3]])</f>
        <v>#NAME?</v>
      </c>
      <c r="P186" s="523" t="e">
        <f ca="1">stat(charge_entree[[#This Row],[ch_S_PTOT]])</f>
        <v>#NAME?</v>
      </c>
      <c r="Q186" s="523" t="e">
        <f ca="1">stat(charge_entree[[#This Row],[ch_S_SNDT]])</f>
        <v>#NAME?</v>
      </c>
      <c r="R186" s="523">
        <f>calculs!R186</f>
        <v>0</v>
      </c>
      <c r="S186" s="523" t="e">
        <f ca="1">stat(calculs!S186)</f>
        <v>#NAME?</v>
      </c>
      <c r="T186" s="523" t="e">
        <f ca="1">stat(calculs!T186)</f>
        <v>#NAME?</v>
      </c>
      <c r="U186" s="523" t="e">
        <f ca="1">stat(calculs!U186)</f>
        <v>#NAME?</v>
      </c>
      <c r="V186" s="523" t="e">
        <f ca="1">stat(calculs!V186)</f>
        <v>#NAME?</v>
      </c>
      <c r="W186" s="523" t="e">
        <f ca="1">stat(calculs!W186)</f>
        <v>#NAME?</v>
      </c>
      <c r="X186" s="523" t="e">
        <f ca="1">stat(calculs!X186)</f>
        <v>#NAME?</v>
      </c>
      <c r="Y186" s="523" t="e">
        <f ca="1">stat(calculs!Y186)</f>
        <v>#NAME?</v>
      </c>
      <c r="Z186" s="523" t="e">
        <f ca="1">stat(calculs!Z186)</f>
        <v>#NAME?</v>
      </c>
      <c r="AA186" s="523" t="e">
        <f ca="1">stat(calculs!AA186)</f>
        <v>#NAME?</v>
      </c>
      <c r="AB186" s="523" t="e">
        <f ca="1">stat(calculs!AB186)</f>
        <v>#NAME?</v>
      </c>
      <c r="AC186" s="523" t="e">
        <f ca="1">stat(calculs!AC186)</f>
        <v>#NAME?</v>
      </c>
      <c r="AD186" s="523" t="e">
        <f ca="1">stat(calculs!AD186)</f>
        <v>#NAME?</v>
      </c>
      <c r="AE186" s="523" t="e">
        <f ca="1">stat(calculs!AE186)</f>
        <v>#NAME?</v>
      </c>
      <c r="AF186" s="523" t="e">
        <f ca="1">stat(calculs!AF186)</f>
        <v>#NAME?</v>
      </c>
      <c r="AG186" s="523" t="e">
        <f ca="1">stat(calculs!AG186)</f>
        <v>#NAME?</v>
      </c>
      <c r="AH186" s="523" t="e">
        <f ca="1">stat(calculs!AH186)</f>
        <v>#NAME?</v>
      </c>
      <c r="AI186" s="523" t="e">
        <f ca="1">stat(calculs!AI186)</f>
        <v>#NAME?</v>
      </c>
      <c r="AJ186" s="523" t="e">
        <f ca="1">stat(calculs!AJ186)</f>
        <v>#NAME?</v>
      </c>
      <c r="AK186" s="523" t="e">
        <f ca="1">stat(calculs!AK186)</f>
        <v>#NAME?</v>
      </c>
      <c r="AL186" s="523" t="e">
        <f ca="1">stat(calculs!AL186)</f>
        <v>#NAME?</v>
      </c>
      <c r="AM186" s="523" t="e">
        <f ca="1">stat(calculs!AM186)</f>
        <v>#NAME?</v>
      </c>
      <c r="AN186" s="523" t="e">
        <f ca="1">stat(calculs!AN186)</f>
        <v>#NAME?</v>
      </c>
      <c r="AO186" s="523" t="e">
        <f ca="1">stat(calculs!AO186)</f>
        <v>#NAME?</v>
      </c>
      <c r="AP186" s="523" t="e">
        <f ca="1">stat(calculs!AP186)</f>
        <v>#NAME?</v>
      </c>
      <c r="AQ186" s="523" t="e">
        <f ca="1">stat(calculs!AQ186)</f>
        <v>#NAME?</v>
      </c>
      <c r="AV186" s="525" t="str">
        <f>stat(calculs!AV186)</f>
        <v/>
      </c>
      <c r="AW186" s="525" t="str">
        <f>stat(calculs!AW186)</f>
        <v/>
      </c>
      <c r="AX186" s="525" t="str">
        <f>stat(calculs!AX186)</f>
        <v/>
      </c>
      <c r="AY186" s="525" t="e">
        <f ca="1">stat(calculs!AY186)</f>
        <v>#NAME?</v>
      </c>
      <c r="AZ186" s="525" t="e">
        <f ca="1">stat(calculs!AZ186)</f>
        <v>#NAME?</v>
      </c>
      <c r="BA186" s="525" t="e">
        <f ca="1">stat(calculs!BA186)</f>
        <v>#NAME?</v>
      </c>
      <c r="BB186" s="525" t="e">
        <f ca="1">stat(calculs!BB186)</f>
        <v>#NAME?</v>
      </c>
      <c r="BC186" s="525" t="e">
        <f ca="1">stat(calculs!BC186)</f>
        <v>#NAME?</v>
      </c>
      <c r="BD186" s="525" t="e">
        <f ca="1">stat(calculs!BD186)</f>
        <v>#NAME?</v>
      </c>
      <c r="BE186" s="525" t="e">
        <f ca="1">stat(calculs!BE186)</f>
        <v>#NAME?</v>
      </c>
      <c r="BF186" s="525" t="e">
        <f ca="1">stat(calculs!BF186)</f>
        <v>#NAME?</v>
      </c>
      <c r="BG186" s="729" t="e">
        <f ca="1">stat(calculs!BG186)</f>
        <v>#NAME?</v>
      </c>
      <c r="BH186" s="729" t="e">
        <f ca="1">stat(calculs!BH186)</f>
        <v>#NAME?</v>
      </c>
      <c r="BI186" s="729" t="e">
        <f ca="1">stat(calculs!BI186)</f>
        <v>#NAME?</v>
      </c>
      <c r="BJ186" s="729" t="e">
        <f ca="1">stat(calculs!BJ186)</f>
        <v>#NAME?</v>
      </c>
      <c r="BK186" s="729" t="e">
        <f ca="1">stat(calculs!BK186)</f>
        <v>#NAME?</v>
      </c>
      <c r="BL186" s="525" t="e">
        <f ca="1">stat(calculs!BL186)</f>
        <v>#NAME?</v>
      </c>
      <c r="BM186" s="525" t="e">
        <f ca="1">stat(calculs!BM186)</f>
        <v>#NAME?</v>
      </c>
      <c r="BN186" s="525" t="e">
        <f ca="1">stat(calculs!BN186)</f>
        <v>#NAME?</v>
      </c>
      <c r="BO186" s="525" t="e">
        <f ca="1">stat(calculs!BO186)</f>
        <v>#NAME?</v>
      </c>
      <c r="BP186" s="525" t="e">
        <f ca="1">stat(calculs!BP186)</f>
        <v>#NAME?</v>
      </c>
      <c r="BQ186" s="525" t="e">
        <f ca="1">stat(calculs!BQ186)</f>
        <v>#NAME?</v>
      </c>
      <c r="BR186" s="525" t="e">
        <f ca="1">stat(calculs!BR186)</f>
        <v>#NAME?</v>
      </c>
    </row>
    <row r="187" spans="1:70" x14ac:dyDescent="0.2">
      <c r="A187" s="222">
        <f>données_step[[#This Row],[Datum]]</f>
        <v>44738</v>
      </c>
      <c r="B187" s="223"/>
      <c r="C187" s="224">
        <f t="shared" si="2"/>
        <v>1</v>
      </c>
      <c r="D187" s="523" t="e">
        <f ca="1">stat(charge_entree[[#This Row],[ch_E_DBO5]])</f>
        <v>#NAME?</v>
      </c>
      <c r="E187" s="523" t="e">
        <f ca="1">stat(charge_entree[[#This Row],[ch_E_DCO]])</f>
        <v>#NAME?</v>
      </c>
      <c r="F187" s="523" t="e">
        <f ca="1">stat(charge_entree[[#This Row],[ch_E_COT]])</f>
        <v>#NAME?</v>
      </c>
      <c r="G187" s="523" t="e">
        <f ca="1">stat(charge_entree[[#This Row],[ch_E_NH4]])</f>
        <v>#NAME?</v>
      </c>
      <c r="H187" s="523" t="e">
        <f ca="1">stat(charge_entree[[#This Row],[ch_E_NTOT]])</f>
        <v>#NAME?</v>
      </c>
      <c r="I187" s="523" t="e">
        <f ca="1">stat(charge_entree[[#This Row],[ch_E_PTOT]])</f>
        <v>#NAME?</v>
      </c>
      <c r="J187" s="523" t="e">
        <f ca="1">stat(charge_entree[[#This Row],[ch_S_DBO]])</f>
        <v>#NAME?</v>
      </c>
      <c r="K187" s="523" t="e">
        <f ca="1">stat(charge_entree[[#This Row],[ch_S-DCO]])</f>
        <v>#NAME?</v>
      </c>
      <c r="L187" s="523" t="e">
        <f ca="1">stat(charge_entree[[#This Row],[ch_S_DOC]])</f>
        <v>#NAME?</v>
      </c>
      <c r="M187" s="523" t="e">
        <f ca="1">stat(charge_entree[[#This Row],[ch_S_NH4]])</f>
        <v>#NAME?</v>
      </c>
      <c r="N187" s="523" t="e">
        <f ca="1">stat(charge_entree[[#This Row],[ch_S_NO2]])</f>
        <v>#NAME?</v>
      </c>
      <c r="O187" s="523" t="e">
        <f ca="1">stat(charge_entree[[#This Row],[ch_S_NO3]])</f>
        <v>#NAME?</v>
      </c>
      <c r="P187" s="523" t="e">
        <f ca="1">stat(charge_entree[[#This Row],[ch_S_PTOT]])</f>
        <v>#NAME?</v>
      </c>
      <c r="Q187" s="523" t="e">
        <f ca="1">stat(charge_entree[[#This Row],[ch_S_SNDT]])</f>
        <v>#NAME?</v>
      </c>
      <c r="R187" s="523">
        <f>calculs!R187</f>
        <v>0</v>
      </c>
      <c r="S187" s="523" t="e">
        <f ca="1">stat(calculs!S187)</f>
        <v>#NAME?</v>
      </c>
      <c r="T187" s="523" t="e">
        <f ca="1">stat(calculs!T187)</f>
        <v>#NAME?</v>
      </c>
      <c r="U187" s="523" t="e">
        <f ca="1">stat(calculs!U187)</f>
        <v>#NAME?</v>
      </c>
      <c r="V187" s="523" t="e">
        <f ca="1">stat(calculs!V187)</f>
        <v>#NAME?</v>
      </c>
      <c r="W187" s="523" t="e">
        <f ca="1">stat(calculs!W187)</f>
        <v>#NAME?</v>
      </c>
      <c r="X187" s="523" t="e">
        <f ca="1">stat(calculs!X187)</f>
        <v>#NAME?</v>
      </c>
      <c r="Y187" s="523" t="e">
        <f ca="1">stat(calculs!Y187)</f>
        <v>#NAME?</v>
      </c>
      <c r="Z187" s="523" t="e">
        <f ca="1">stat(calculs!Z187)</f>
        <v>#NAME?</v>
      </c>
      <c r="AA187" s="523" t="e">
        <f ca="1">stat(calculs!AA187)</f>
        <v>#NAME?</v>
      </c>
      <c r="AB187" s="523" t="e">
        <f ca="1">stat(calculs!AB187)</f>
        <v>#NAME?</v>
      </c>
      <c r="AC187" s="523" t="e">
        <f ca="1">stat(calculs!AC187)</f>
        <v>#NAME?</v>
      </c>
      <c r="AD187" s="523" t="e">
        <f ca="1">stat(calculs!AD187)</f>
        <v>#NAME?</v>
      </c>
      <c r="AE187" s="523" t="e">
        <f ca="1">stat(calculs!AE187)</f>
        <v>#NAME?</v>
      </c>
      <c r="AF187" s="523" t="e">
        <f ca="1">stat(calculs!AF187)</f>
        <v>#NAME?</v>
      </c>
      <c r="AG187" s="523" t="e">
        <f ca="1">stat(calculs!AG187)</f>
        <v>#NAME?</v>
      </c>
      <c r="AH187" s="523" t="e">
        <f ca="1">stat(calculs!AH187)</f>
        <v>#NAME?</v>
      </c>
      <c r="AI187" s="523" t="e">
        <f ca="1">stat(calculs!AI187)</f>
        <v>#NAME?</v>
      </c>
      <c r="AJ187" s="523" t="e">
        <f ca="1">stat(calculs!AJ187)</f>
        <v>#NAME?</v>
      </c>
      <c r="AK187" s="523" t="e">
        <f ca="1">stat(calculs!AK187)</f>
        <v>#NAME?</v>
      </c>
      <c r="AL187" s="523" t="e">
        <f ca="1">stat(calculs!AL187)</f>
        <v>#NAME?</v>
      </c>
      <c r="AM187" s="523" t="e">
        <f ca="1">stat(calculs!AM187)</f>
        <v>#NAME?</v>
      </c>
      <c r="AN187" s="523" t="e">
        <f ca="1">stat(calculs!AN187)</f>
        <v>#NAME?</v>
      </c>
      <c r="AO187" s="523" t="e">
        <f ca="1">stat(calculs!AO187)</f>
        <v>#NAME?</v>
      </c>
      <c r="AP187" s="523" t="e">
        <f ca="1">stat(calculs!AP187)</f>
        <v>#NAME?</v>
      </c>
      <c r="AQ187" s="523" t="e">
        <f ca="1">stat(calculs!AQ187)</f>
        <v>#NAME?</v>
      </c>
      <c r="AV187" s="525" t="str">
        <f>stat(calculs!AV187)</f>
        <v/>
      </c>
      <c r="AW187" s="525" t="str">
        <f>stat(calculs!AW187)</f>
        <v/>
      </c>
      <c r="AX187" s="525" t="str">
        <f>stat(calculs!AX187)</f>
        <v/>
      </c>
      <c r="AY187" s="525" t="e">
        <f ca="1">stat(calculs!AY187)</f>
        <v>#NAME?</v>
      </c>
      <c r="AZ187" s="525" t="e">
        <f ca="1">stat(calculs!AZ187)</f>
        <v>#NAME?</v>
      </c>
      <c r="BA187" s="525" t="e">
        <f ca="1">stat(calculs!BA187)</f>
        <v>#NAME?</v>
      </c>
      <c r="BB187" s="525" t="e">
        <f ca="1">stat(calculs!BB187)</f>
        <v>#NAME?</v>
      </c>
      <c r="BC187" s="525" t="e">
        <f ca="1">stat(calculs!BC187)</f>
        <v>#NAME?</v>
      </c>
      <c r="BD187" s="525" t="e">
        <f ca="1">stat(calculs!BD187)</f>
        <v>#NAME?</v>
      </c>
      <c r="BE187" s="525" t="e">
        <f ca="1">stat(calculs!BE187)</f>
        <v>#NAME?</v>
      </c>
      <c r="BF187" s="525" t="e">
        <f ca="1">stat(calculs!BF187)</f>
        <v>#NAME?</v>
      </c>
      <c r="BG187" s="729" t="e">
        <f ca="1">stat(calculs!BG187)</f>
        <v>#NAME?</v>
      </c>
      <c r="BH187" s="729" t="e">
        <f ca="1">stat(calculs!BH187)</f>
        <v>#NAME?</v>
      </c>
      <c r="BI187" s="729" t="e">
        <f ca="1">stat(calculs!BI187)</f>
        <v>#NAME?</v>
      </c>
      <c r="BJ187" s="729" t="e">
        <f ca="1">stat(calculs!BJ187)</f>
        <v>#NAME?</v>
      </c>
      <c r="BK187" s="729" t="e">
        <f ca="1">stat(calculs!BK187)</f>
        <v>#NAME?</v>
      </c>
      <c r="BL187" s="525" t="e">
        <f ca="1">stat(calculs!BL187)</f>
        <v>#NAME?</v>
      </c>
      <c r="BM187" s="525" t="e">
        <f ca="1">stat(calculs!BM187)</f>
        <v>#NAME?</v>
      </c>
      <c r="BN187" s="525" t="e">
        <f ca="1">stat(calculs!BN187)</f>
        <v>#NAME?</v>
      </c>
      <c r="BO187" s="525" t="e">
        <f ca="1">stat(calculs!BO187)</f>
        <v>#NAME?</v>
      </c>
      <c r="BP187" s="525" t="e">
        <f ca="1">stat(calculs!BP187)</f>
        <v>#NAME?</v>
      </c>
      <c r="BQ187" s="525" t="e">
        <f ca="1">stat(calculs!BQ187)</f>
        <v>#NAME?</v>
      </c>
      <c r="BR187" s="525" t="e">
        <f ca="1">stat(calculs!BR187)</f>
        <v>#NAME?</v>
      </c>
    </row>
    <row r="188" spans="1:70" x14ac:dyDescent="0.2">
      <c r="A188" s="222">
        <f>données_step[[#This Row],[Datum]]</f>
        <v>44739</v>
      </c>
      <c r="B188" s="223"/>
      <c r="C188" s="224">
        <f t="shared" si="2"/>
        <v>2</v>
      </c>
      <c r="D188" s="523" t="e">
        <f ca="1">stat(charge_entree[[#This Row],[ch_E_DBO5]])</f>
        <v>#NAME?</v>
      </c>
      <c r="E188" s="523" t="e">
        <f ca="1">stat(charge_entree[[#This Row],[ch_E_DCO]])</f>
        <v>#NAME?</v>
      </c>
      <c r="F188" s="523" t="e">
        <f ca="1">stat(charge_entree[[#This Row],[ch_E_COT]])</f>
        <v>#NAME?</v>
      </c>
      <c r="G188" s="523" t="e">
        <f ca="1">stat(charge_entree[[#This Row],[ch_E_NH4]])</f>
        <v>#NAME?</v>
      </c>
      <c r="H188" s="523" t="e">
        <f ca="1">stat(charge_entree[[#This Row],[ch_E_NTOT]])</f>
        <v>#NAME?</v>
      </c>
      <c r="I188" s="523" t="e">
        <f ca="1">stat(charge_entree[[#This Row],[ch_E_PTOT]])</f>
        <v>#NAME?</v>
      </c>
      <c r="J188" s="523" t="e">
        <f ca="1">stat(charge_entree[[#This Row],[ch_S_DBO]])</f>
        <v>#NAME?</v>
      </c>
      <c r="K188" s="523" t="e">
        <f ca="1">stat(charge_entree[[#This Row],[ch_S-DCO]])</f>
        <v>#NAME?</v>
      </c>
      <c r="L188" s="523" t="e">
        <f ca="1">stat(charge_entree[[#This Row],[ch_S_DOC]])</f>
        <v>#NAME?</v>
      </c>
      <c r="M188" s="523" t="e">
        <f ca="1">stat(charge_entree[[#This Row],[ch_S_NH4]])</f>
        <v>#NAME?</v>
      </c>
      <c r="N188" s="523" t="e">
        <f ca="1">stat(charge_entree[[#This Row],[ch_S_NO2]])</f>
        <v>#NAME?</v>
      </c>
      <c r="O188" s="523" t="e">
        <f ca="1">stat(charge_entree[[#This Row],[ch_S_NO3]])</f>
        <v>#NAME?</v>
      </c>
      <c r="P188" s="523" t="e">
        <f ca="1">stat(charge_entree[[#This Row],[ch_S_PTOT]])</f>
        <v>#NAME?</v>
      </c>
      <c r="Q188" s="523" t="e">
        <f ca="1">stat(charge_entree[[#This Row],[ch_S_SNDT]])</f>
        <v>#NAME?</v>
      </c>
      <c r="R188" s="523">
        <f>calculs!R188</f>
        <v>0</v>
      </c>
      <c r="S188" s="523" t="e">
        <f ca="1">stat(calculs!S188)</f>
        <v>#NAME?</v>
      </c>
      <c r="T188" s="523" t="e">
        <f ca="1">stat(calculs!T188)</f>
        <v>#NAME?</v>
      </c>
      <c r="U188" s="523" t="e">
        <f ca="1">stat(calculs!U188)</f>
        <v>#NAME?</v>
      </c>
      <c r="V188" s="523" t="e">
        <f ca="1">stat(calculs!V188)</f>
        <v>#NAME?</v>
      </c>
      <c r="W188" s="523" t="e">
        <f ca="1">stat(calculs!W188)</f>
        <v>#NAME?</v>
      </c>
      <c r="X188" s="523" t="e">
        <f ca="1">stat(calculs!X188)</f>
        <v>#NAME?</v>
      </c>
      <c r="Y188" s="523" t="e">
        <f ca="1">stat(calculs!Y188)</f>
        <v>#NAME?</v>
      </c>
      <c r="Z188" s="523" t="e">
        <f ca="1">stat(calculs!Z188)</f>
        <v>#NAME?</v>
      </c>
      <c r="AA188" s="523" t="e">
        <f ca="1">stat(calculs!AA188)</f>
        <v>#NAME?</v>
      </c>
      <c r="AB188" s="523" t="e">
        <f ca="1">stat(calculs!AB188)</f>
        <v>#NAME?</v>
      </c>
      <c r="AC188" s="523" t="e">
        <f ca="1">stat(calculs!AC188)</f>
        <v>#NAME?</v>
      </c>
      <c r="AD188" s="523" t="e">
        <f ca="1">stat(calculs!AD188)</f>
        <v>#NAME?</v>
      </c>
      <c r="AE188" s="523" t="e">
        <f ca="1">stat(calculs!AE188)</f>
        <v>#NAME?</v>
      </c>
      <c r="AF188" s="523" t="e">
        <f ca="1">stat(calculs!AF188)</f>
        <v>#NAME?</v>
      </c>
      <c r="AG188" s="523" t="e">
        <f ca="1">stat(calculs!AG188)</f>
        <v>#NAME?</v>
      </c>
      <c r="AH188" s="523" t="e">
        <f ca="1">stat(calculs!AH188)</f>
        <v>#NAME?</v>
      </c>
      <c r="AI188" s="523" t="e">
        <f ca="1">stat(calculs!AI188)</f>
        <v>#NAME?</v>
      </c>
      <c r="AJ188" s="523" t="e">
        <f ca="1">stat(calculs!AJ188)</f>
        <v>#NAME?</v>
      </c>
      <c r="AK188" s="523" t="e">
        <f ca="1">stat(calculs!AK188)</f>
        <v>#NAME?</v>
      </c>
      <c r="AL188" s="523" t="e">
        <f ca="1">stat(calculs!AL188)</f>
        <v>#NAME?</v>
      </c>
      <c r="AM188" s="523" t="e">
        <f ca="1">stat(calculs!AM188)</f>
        <v>#NAME?</v>
      </c>
      <c r="AN188" s="523" t="e">
        <f ca="1">stat(calculs!AN188)</f>
        <v>#NAME?</v>
      </c>
      <c r="AO188" s="523" t="e">
        <f ca="1">stat(calculs!AO188)</f>
        <v>#NAME?</v>
      </c>
      <c r="AP188" s="523" t="e">
        <f ca="1">stat(calculs!AP188)</f>
        <v>#NAME?</v>
      </c>
      <c r="AQ188" s="523" t="e">
        <f ca="1">stat(calculs!AQ188)</f>
        <v>#NAME?</v>
      </c>
      <c r="AV188" s="525" t="str">
        <f>stat(calculs!AV188)</f>
        <v/>
      </c>
      <c r="AW188" s="525" t="str">
        <f>stat(calculs!AW188)</f>
        <v/>
      </c>
      <c r="AX188" s="525" t="str">
        <f>stat(calculs!AX188)</f>
        <v/>
      </c>
      <c r="AY188" s="525" t="e">
        <f ca="1">stat(calculs!AY188)</f>
        <v>#NAME?</v>
      </c>
      <c r="AZ188" s="525" t="e">
        <f ca="1">stat(calculs!AZ188)</f>
        <v>#NAME?</v>
      </c>
      <c r="BA188" s="525" t="e">
        <f ca="1">stat(calculs!BA188)</f>
        <v>#NAME?</v>
      </c>
      <c r="BB188" s="525" t="e">
        <f ca="1">stat(calculs!BB188)</f>
        <v>#NAME?</v>
      </c>
      <c r="BC188" s="525" t="e">
        <f ca="1">stat(calculs!BC188)</f>
        <v>#NAME?</v>
      </c>
      <c r="BD188" s="525" t="e">
        <f ca="1">stat(calculs!BD188)</f>
        <v>#NAME?</v>
      </c>
      <c r="BE188" s="525" t="e">
        <f ca="1">stat(calculs!BE188)</f>
        <v>#NAME?</v>
      </c>
      <c r="BF188" s="525" t="e">
        <f ca="1">stat(calculs!BF188)</f>
        <v>#NAME?</v>
      </c>
      <c r="BG188" s="729" t="e">
        <f ca="1">stat(calculs!BG188)</f>
        <v>#NAME?</v>
      </c>
      <c r="BH188" s="729" t="e">
        <f ca="1">stat(calculs!BH188)</f>
        <v>#NAME?</v>
      </c>
      <c r="BI188" s="729" t="e">
        <f ca="1">stat(calculs!BI188)</f>
        <v>#NAME?</v>
      </c>
      <c r="BJ188" s="729" t="e">
        <f ca="1">stat(calculs!BJ188)</f>
        <v>#NAME?</v>
      </c>
      <c r="BK188" s="729" t="e">
        <f ca="1">stat(calculs!BK188)</f>
        <v>#NAME?</v>
      </c>
      <c r="BL188" s="525" t="e">
        <f ca="1">stat(calculs!BL188)</f>
        <v>#NAME?</v>
      </c>
      <c r="BM188" s="525" t="e">
        <f ca="1">stat(calculs!BM188)</f>
        <v>#NAME?</v>
      </c>
      <c r="BN188" s="525" t="e">
        <f ca="1">stat(calculs!BN188)</f>
        <v>#NAME?</v>
      </c>
      <c r="BO188" s="525" t="e">
        <f ca="1">stat(calculs!BO188)</f>
        <v>#NAME?</v>
      </c>
      <c r="BP188" s="525" t="e">
        <f ca="1">stat(calculs!BP188)</f>
        <v>#NAME?</v>
      </c>
      <c r="BQ188" s="525" t="e">
        <f ca="1">stat(calculs!BQ188)</f>
        <v>#NAME?</v>
      </c>
      <c r="BR188" s="525" t="e">
        <f ca="1">stat(calculs!BR188)</f>
        <v>#NAME?</v>
      </c>
    </row>
    <row r="189" spans="1:70" x14ac:dyDescent="0.2">
      <c r="A189" s="222">
        <f>données_step[[#This Row],[Datum]]</f>
        <v>44740</v>
      </c>
      <c r="B189" s="223"/>
      <c r="C189" s="224">
        <f t="shared" si="2"/>
        <v>3</v>
      </c>
      <c r="D189" s="523" t="e">
        <f ca="1">stat(charge_entree[[#This Row],[ch_E_DBO5]])</f>
        <v>#NAME?</v>
      </c>
      <c r="E189" s="523" t="e">
        <f ca="1">stat(charge_entree[[#This Row],[ch_E_DCO]])</f>
        <v>#NAME?</v>
      </c>
      <c r="F189" s="523" t="e">
        <f ca="1">stat(charge_entree[[#This Row],[ch_E_COT]])</f>
        <v>#NAME?</v>
      </c>
      <c r="G189" s="523" t="e">
        <f ca="1">stat(charge_entree[[#This Row],[ch_E_NH4]])</f>
        <v>#NAME?</v>
      </c>
      <c r="H189" s="523" t="e">
        <f ca="1">stat(charge_entree[[#This Row],[ch_E_NTOT]])</f>
        <v>#NAME?</v>
      </c>
      <c r="I189" s="523" t="e">
        <f ca="1">stat(charge_entree[[#This Row],[ch_E_PTOT]])</f>
        <v>#NAME?</v>
      </c>
      <c r="J189" s="523" t="e">
        <f ca="1">stat(charge_entree[[#This Row],[ch_S_DBO]])</f>
        <v>#NAME?</v>
      </c>
      <c r="K189" s="523" t="e">
        <f ca="1">stat(charge_entree[[#This Row],[ch_S-DCO]])</f>
        <v>#NAME?</v>
      </c>
      <c r="L189" s="523" t="e">
        <f ca="1">stat(charge_entree[[#This Row],[ch_S_DOC]])</f>
        <v>#NAME?</v>
      </c>
      <c r="M189" s="523" t="e">
        <f ca="1">stat(charge_entree[[#This Row],[ch_S_NH4]])</f>
        <v>#NAME?</v>
      </c>
      <c r="N189" s="523" t="e">
        <f ca="1">stat(charge_entree[[#This Row],[ch_S_NO2]])</f>
        <v>#NAME?</v>
      </c>
      <c r="O189" s="523" t="e">
        <f ca="1">stat(charge_entree[[#This Row],[ch_S_NO3]])</f>
        <v>#NAME?</v>
      </c>
      <c r="P189" s="523" t="e">
        <f ca="1">stat(charge_entree[[#This Row],[ch_S_PTOT]])</f>
        <v>#NAME?</v>
      </c>
      <c r="Q189" s="523" t="e">
        <f ca="1">stat(charge_entree[[#This Row],[ch_S_SNDT]])</f>
        <v>#NAME?</v>
      </c>
      <c r="R189" s="523">
        <f>calculs!R189</f>
        <v>0</v>
      </c>
      <c r="S189" s="523" t="e">
        <f ca="1">stat(calculs!S189)</f>
        <v>#NAME?</v>
      </c>
      <c r="T189" s="523" t="e">
        <f ca="1">stat(calculs!T189)</f>
        <v>#NAME?</v>
      </c>
      <c r="U189" s="523" t="e">
        <f ca="1">stat(calculs!U189)</f>
        <v>#NAME?</v>
      </c>
      <c r="V189" s="523" t="e">
        <f ca="1">stat(calculs!V189)</f>
        <v>#NAME?</v>
      </c>
      <c r="W189" s="523" t="e">
        <f ca="1">stat(calculs!W189)</f>
        <v>#NAME?</v>
      </c>
      <c r="X189" s="523" t="e">
        <f ca="1">stat(calculs!X189)</f>
        <v>#NAME?</v>
      </c>
      <c r="Y189" s="523" t="e">
        <f ca="1">stat(calculs!Y189)</f>
        <v>#NAME?</v>
      </c>
      <c r="Z189" s="523" t="e">
        <f ca="1">stat(calculs!Z189)</f>
        <v>#NAME?</v>
      </c>
      <c r="AA189" s="523" t="e">
        <f ca="1">stat(calculs!AA189)</f>
        <v>#NAME?</v>
      </c>
      <c r="AB189" s="523" t="e">
        <f ca="1">stat(calculs!AB189)</f>
        <v>#NAME?</v>
      </c>
      <c r="AC189" s="523" t="e">
        <f ca="1">stat(calculs!AC189)</f>
        <v>#NAME?</v>
      </c>
      <c r="AD189" s="523" t="e">
        <f ca="1">stat(calculs!AD189)</f>
        <v>#NAME?</v>
      </c>
      <c r="AE189" s="523" t="e">
        <f ca="1">stat(calculs!AE189)</f>
        <v>#NAME?</v>
      </c>
      <c r="AF189" s="523" t="e">
        <f ca="1">stat(calculs!AF189)</f>
        <v>#NAME?</v>
      </c>
      <c r="AG189" s="523" t="e">
        <f ca="1">stat(calculs!AG189)</f>
        <v>#NAME?</v>
      </c>
      <c r="AH189" s="523" t="e">
        <f ca="1">stat(calculs!AH189)</f>
        <v>#NAME?</v>
      </c>
      <c r="AI189" s="523" t="e">
        <f ca="1">stat(calculs!AI189)</f>
        <v>#NAME?</v>
      </c>
      <c r="AJ189" s="523" t="e">
        <f ca="1">stat(calculs!AJ189)</f>
        <v>#NAME?</v>
      </c>
      <c r="AK189" s="523" t="e">
        <f ca="1">stat(calculs!AK189)</f>
        <v>#NAME?</v>
      </c>
      <c r="AL189" s="523" t="e">
        <f ca="1">stat(calculs!AL189)</f>
        <v>#NAME?</v>
      </c>
      <c r="AM189" s="523" t="e">
        <f ca="1">stat(calculs!AM189)</f>
        <v>#NAME?</v>
      </c>
      <c r="AN189" s="523" t="e">
        <f ca="1">stat(calculs!AN189)</f>
        <v>#NAME?</v>
      </c>
      <c r="AO189" s="523" t="e">
        <f ca="1">stat(calculs!AO189)</f>
        <v>#NAME?</v>
      </c>
      <c r="AP189" s="523" t="e">
        <f ca="1">stat(calculs!AP189)</f>
        <v>#NAME?</v>
      </c>
      <c r="AQ189" s="523" t="e">
        <f ca="1">stat(calculs!AQ189)</f>
        <v>#NAME?</v>
      </c>
      <c r="AV189" s="525" t="str">
        <f>stat(calculs!AV189)</f>
        <v/>
      </c>
      <c r="AW189" s="525" t="str">
        <f>stat(calculs!AW189)</f>
        <v/>
      </c>
      <c r="AX189" s="525" t="str">
        <f>stat(calculs!AX189)</f>
        <v/>
      </c>
      <c r="AY189" s="525" t="e">
        <f ca="1">stat(calculs!AY189)</f>
        <v>#NAME?</v>
      </c>
      <c r="AZ189" s="525" t="e">
        <f ca="1">stat(calculs!AZ189)</f>
        <v>#NAME?</v>
      </c>
      <c r="BA189" s="525" t="e">
        <f ca="1">stat(calculs!BA189)</f>
        <v>#NAME?</v>
      </c>
      <c r="BB189" s="525" t="e">
        <f ca="1">stat(calculs!BB189)</f>
        <v>#NAME?</v>
      </c>
      <c r="BC189" s="525" t="e">
        <f ca="1">stat(calculs!BC189)</f>
        <v>#NAME?</v>
      </c>
      <c r="BD189" s="525" t="e">
        <f ca="1">stat(calculs!BD189)</f>
        <v>#NAME?</v>
      </c>
      <c r="BE189" s="525" t="e">
        <f ca="1">stat(calculs!BE189)</f>
        <v>#NAME?</v>
      </c>
      <c r="BF189" s="525" t="e">
        <f ca="1">stat(calculs!BF189)</f>
        <v>#NAME?</v>
      </c>
      <c r="BG189" s="729" t="e">
        <f ca="1">stat(calculs!BG189)</f>
        <v>#NAME?</v>
      </c>
      <c r="BH189" s="729" t="e">
        <f ca="1">stat(calculs!BH189)</f>
        <v>#NAME?</v>
      </c>
      <c r="BI189" s="729" t="e">
        <f ca="1">stat(calculs!BI189)</f>
        <v>#NAME?</v>
      </c>
      <c r="BJ189" s="729" t="e">
        <f ca="1">stat(calculs!BJ189)</f>
        <v>#NAME?</v>
      </c>
      <c r="BK189" s="729" t="e">
        <f ca="1">stat(calculs!BK189)</f>
        <v>#NAME?</v>
      </c>
      <c r="BL189" s="525" t="e">
        <f ca="1">stat(calculs!BL189)</f>
        <v>#NAME?</v>
      </c>
      <c r="BM189" s="525" t="e">
        <f ca="1">stat(calculs!BM189)</f>
        <v>#NAME?</v>
      </c>
      <c r="BN189" s="525" t="e">
        <f ca="1">stat(calculs!BN189)</f>
        <v>#NAME?</v>
      </c>
      <c r="BO189" s="525" t="e">
        <f ca="1">stat(calculs!BO189)</f>
        <v>#NAME?</v>
      </c>
      <c r="BP189" s="525" t="e">
        <f ca="1">stat(calculs!BP189)</f>
        <v>#NAME?</v>
      </c>
      <c r="BQ189" s="525" t="e">
        <f ca="1">stat(calculs!BQ189)</f>
        <v>#NAME?</v>
      </c>
      <c r="BR189" s="525" t="e">
        <f ca="1">stat(calculs!BR189)</f>
        <v>#NAME?</v>
      </c>
    </row>
    <row r="190" spans="1:70" x14ac:dyDescent="0.2">
      <c r="A190" s="222">
        <f>données_step[[#This Row],[Datum]]</f>
        <v>44741</v>
      </c>
      <c r="B190" s="223"/>
      <c r="C190" s="224">
        <f t="shared" si="2"/>
        <v>4</v>
      </c>
      <c r="D190" s="523" t="e">
        <f ca="1">stat(charge_entree[[#This Row],[ch_E_DBO5]])</f>
        <v>#NAME?</v>
      </c>
      <c r="E190" s="523" t="e">
        <f ca="1">stat(charge_entree[[#This Row],[ch_E_DCO]])</f>
        <v>#NAME?</v>
      </c>
      <c r="F190" s="523" t="e">
        <f ca="1">stat(charge_entree[[#This Row],[ch_E_COT]])</f>
        <v>#NAME?</v>
      </c>
      <c r="G190" s="523" t="e">
        <f ca="1">stat(charge_entree[[#This Row],[ch_E_NH4]])</f>
        <v>#NAME?</v>
      </c>
      <c r="H190" s="523" t="e">
        <f ca="1">stat(charge_entree[[#This Row],[ch_E_NTOT]])</f>
        <v>#NAME?</v>
      </c>
      <c r="I190" s="523" t="e">
        <f ca="1">stat(charge_entree[[#This Row],[ch_E_PTOT]])</f>
        <v>#NAME?</v>
      </c>
      <c r="J190" s="523" t="e">
        <f ca="1">stat(charge_entree[[#This Row],[ch_S_DBO]])</f>
        <v>#NAME?</v>
      </c>
      <c r="K190" s="523" t="e">
        <f ca="1">stat(charge_entree[[#This Row],[ch_S-DCO]])</f>
        <v>#NAME?</v>
      </c>
      <c r="L190" s="523" t="e">
        <f ca="1">stat(charge_entree[[#This Row],[ch_S_DOC]])</f>
        <v>#NAME?</v>
      </c>
      <c r="M190" s="523" t="e">
        <f ca="1">stat(charge_entree[[#This Row],[ch_S_NH4]])</f>
        <v>#NAME?</v>
      </c>
      <c r="N190" s="523" t="e">
        <f ca="1">stat(charge_entree[[#This Row],[ch_S_NO2]])</f>
        <v>#NAME?</v>
      </c>
      <c r="O190" s="523" t="e">
        <f ca="1">stat(charge_entree[[#This Row],[ch_S_NO3]])</f>
        <v>#NAME?</v>
      </c>
      <c r="P190" s="523" t="e">
        <f ca="1">stat(charge_entree[[#This Row],[ch_S_PTOT]])</f>
        <v>#NAME?</v>
      </c>
      <c r="Q190" s="523" t="e">
        <f ca="1">stat(charge_entree[[#This Row],[ch_S_SNDT]])</f>
        <v>#NAME?</v>
      </c>
      <c r="R190" s="523">
        <f>calculs!R190</f>
        <v>0</v>
      </c>
      <c r="S190" s="523" t="e">
        <f ca="1">stat(calculs!S190)</f>
        <v>#NAME?</v>
      </c>
      <c r="T190" s="523" t="e">
        <f ca="1">stat(calculs!T190)</f>
        <v>#NAME?</v>
      </c>
      <c r="U190" s="523" t="e">
        <f ca="1">stat(calculs!U190)</f>
        <v>#NAME?</v>
      </c>
      <c r="V190" s="523" t="e">
        <f ca="1">stat(calculs!V190)</f>
        <v>#NAME?</v>
      </c>
      <c r="W190" s="523" t="e">
        <f ca="1">stat(calculs!W190)</f>
        <v>#NAME?</v>
      </c>
      <c r="X190" s="523" t="e">
        <f ca="1">stat(calculs!X190)</f>
        <v>#NAME?</v>
      </c>
      <c r="Y190" s="523" t="e">
        <f ca="1">stat(calculs!Y190)</f>
        <v>#NAME?</v>
      </c>
      <c r="Z190" s="523" t="e">
        <f ca="1">stat(calculs!Z190)</f>
        <v>#NAME?</v>
      </c>
      <c r="AA190" s="523" t="e">
        <f ca="1">stat(calculs!AA190)</f>
        <v>#NAME?</v>
      </c>
      <c r="AB190" s="523" t="e">
        <f ca="1">stat(calculs!AB190)</f>
        <v>#NAME?</v>
      </c>
      <c r="AC190" s="523" t="e">
        <f ca="1">stat(calculs!AC190)</f>
        <v>#NAME?</v>
      </c>
      <c r="AD190" s="523" t="e">
        <f ca="1">stat(calculs!AD190)</f>
        <v>#NAME?</v>
      </c>
      <c r="AE190" s="523" t="e">
        <f ca="1">stat(calculs!AE190)</f>
        <v>#NAME?</v>
      </c>
      <c r="AF190" s="523" t="e">
        <f ca="1">stat(calculs!AF190)</f>
        <v>#NAME?</v>
      </c>
      <c r="AG190" s="523" t="e">
        <f ca="1">stat(calculs!AG190)</f>
        <v>#NAME?</v>
      </c>
      <c r="AH190" s="523" t="e">
        <f ca="1">stat(calculs!AH190)</f>
        <v>#NAME?</v>
      </c>
      <c r="AI190" s="523" t="e">
        <f ca="1">stat(calculs!AI190)</f>
        <v>#NAME?</v>
      </c>
      <c r="AJ190" s="523" t="e">
        <f ca="1">stat(calculs!AJ190)</f>
        <v>#NAME?</v>
      </c>
      <c r="AK190" s="523" t="e">
        <f ca="1">stat(calculs!AK190)</f>
        <v>#NAME?</v>
      </c>
      <c r="AL190" s="523" t="e">
        <f ca="1">stat(calculs!AL190)</f>
        <v>#NAME?</v>
      </c>
      <c r="AM190" s="523" t="e">
        <f ca="1">stat(calculs!AM190)</f>
        <v>#NAME?</v>
      </c>
      <c r="AN190" s="523" t="e">
        <f ca="1">stat(calculs!AN190)</f>
        <v>#NAME?</v>
      </c>
      <c r="AO190" s="523" t="e">
        <f ca="1">stat(calculs!AO190)</f>
        <v>#NAME?</v>
      </c>
      <c r="AP190" s="523" t="e">
        <f ca="1">stat(calculs!AP190)</f>
        <v>#NAME?</v>
      </c>
      <c r="AQ190" s="523" t="e">
        <f ca="1">stat(calculs!AQ190)</f>
        <v>#NAME?</v>
      </c>
      <c r="AV190" s="525" t="str">
        <f>stat(calculs!AV190)</f>
        <v/>
      </c>
      <c r="AW190" s="525" t="str">
        <f>stat(calculs!AW190)</f>
        <v/>
      </c>
      <c r="AX190" s="525" t="str">
        <f>stat(calculs!AX190)</f>
        <v/>
      </c>
      <c r="AY190" s="525" t="e">
        <f ca="1">stat(calculs!AY190)</f>
        <v>#NAME?</v>
      </c>
      <c r="AZ190" s="525" t="e">
        <f ca="1">stat(calculs!AZ190)</f>
        <v>#NAME?</v>
      </c>
      <c r="BA190" s="525" t="e">
        <f ca="1">stat(calculs!BA190)</f>
        <v>#NAME?</v>
      </c>
      <c r="BB190" s="525" t="e">
        <f ca="1">stat(calculs!BB190)</f>
        <v>#NAME?</v>
      </c>
      <c r="BC190" s="525" t="e">
        <f ca="1">stat(calculs!BC190)</f>
        <v>#NAME?</v>
      </c>
      <c r="BD190" s="525" t="e">
        <f ca="1">stat(calculs!BD190)</f>
        <v>#NAME?</v>
      </c>
      <c r="BE190" s="525" t="e">
        <f ca="1">stat(calculs!BE190)</f>
        <v>#NAME?</v>
      </c>
      <c r="BF190" s="525" t="e">
        <f ca="1">stat(calculs!BF190)</f>
        <v>#NAME?</v>
      </c>
      <c r="BG190" s="729" t="e">
        <f ca="1">stat(calculs!BG190)</f>
        <v>#NAME?</v>
      </c>
      <c r="BH190" s="729" t="e">
        <f ca="1">stat(calculs!BH190)</f>
        <v>#NAME?</v>
      </c>
      <c r="BI190" s="729" t="e">
        <f ca="1">stat(calculs!BI190)</f>
        <v>#NAME?</v>
      </c>
      <c r="BJ190" s="729" t="e">
        <f ca="1">stat(calculs!BJ190)</f>
        <v>#NAME?</v>
      </c>
      <c r="BK190" s="729" t="e">
        <f ca="1">stat(calculs!BK190)</f>
        <v>#NAME?</v>
      </c>
      <c r="BL190" s="525" t="e">
        <f ca="1">stat(calculs!BL190)</f>
        <v>#NAME?</v>
      </c>
      <c r="BM190" s="525" t="e">
        <f ca="1">stat(calculs!BM190)</f>
        <v>#NAME?</v>
      </c>
      <c r="BN190" s="525" t="e">
        <f ca="1">stat(calculs!BN190)</f>
        <v>#NAME?</v>
      </c>
      <c r="BO190" s="525" t="e">
        <f ca="1">stat(calculs!BO190)</f>
        <v>#NAME?</v>
      </c>
      <c r="BP190" s="525" t="e">
        <f ca="1">stat(calculs!BP190)</f>
        <v>#NAME?</v>
      </c>
      <c r="BQ190" s="525" t="e">
        <f ca="1">stat(calculs!BQ190)</f>
        <v>#NAME?</v>
      </c>
      <c r="BR190" s="525" t="e">
        <f ca="1">stat(calculs!BR190)</f>
        <v>#NAME?</v>
      </c>
    </row>
    <row r="191" spans="1:70" x14ac:dyDescent="0.2">
      <c r="A191" s="222">
        <f>données_step[[#This Row],[Datum]]</f>
        <v>44742</v>
      </c>
      <c r="B191" s="223"/>
      <c r="C191" s="224">
        <f t="shared" si="2"/>
        <v>5</v>
      </c>
      <c r="D191" s="523" t="e">
        <f ca="1">stat(charge_entree[[#This Row],[ch_E_DBO5]])</f>
        <v>#NAME?</v>
      </c>
      <c r="E191" s="523" t="e">
        <f ca="1">stat(charge_entree[[#This Row],[ch_E_DCO]])</f>
        <v>#NAME?</v>
      </c>
      <c r="F191" s="523" t="e">
        <f ca="1">stat(charge_entree[[#This Row],[ch_E_COT]])</f>
        <v>#NAME?</v>
      </c>
      <c r="G191" s="523" t="e">
        <f ca="1">stat(charge_entree[[#This Row],[ch_E_NH4]])</f>
        <v>#NAME?</v>
      </c>
      <c r="H191" s="523" t="e">
        <f ca="1">stat(charge_entree[[#This Row],[ch_E_NTOT]])</f>
        <v>#NAME?</v>
      </c>
      <c r="I191" s="523" t="e">
        <f ca="1">stat(charge_entree[[#This Row],[ch_E_PTOT]])</f>
        <v>#NAME?</v>
      </c>
      <c r="J191" s="523" t="e">
        <f ca="1">stat(charge_entree[[#This Row],[ch_S_DBO]])</f>
        <v>#NAME?</v>
      </c>
      <c r="K191" s="523" t="e">
        <f ca="1">stat(charge_entree[[#This Row],[ch_S-DCO]])</f>
        <v>#NAME?</v>
      </c>
      <c r="L191" s="523" t="e">
        <f ca="1">stat(charge_entree[[#This Row],[ch_S_DOC]])</f>
        <v>#NAME?</v>
      </c>
      <c r="M191" s="523" t="e">
        <f ca="1">stat(charge_entree[[#This Row],[ch_S_NH4]])</f>
        <v>#NAME?</v>
      </c>
      <c r="N191" s="523" t="e">
        <f ca="1">stat(charge_entree[[#This Row],[ch_S_NO2]])</f>
        <v>#NAME?</v>
      </c>
      <c r="O191" s="523" t="e">
        <f ca="1">stat(charge_entree[[#This Row],[ch_S_NO3]])</f>
        <v>#NAME?</v>
      </c>
      <c r="P191" s="523" t="e">
        <f ca="1">stat(charge_entree[[#This Row],[ch_S_PTOT]])</f>
        <v>#NAME?</v>
      </c>
      <c r="Q191" s="523" t="e">
        <f ca="1">stat(charge_entree[[#This Row],[ch_S_SNDT]])</f>
        <v>#NAME?</v>
      </c>
      <c r="R191" s="523">
        <f>calculs!R191</f>
        <v>0</v>
      </c>
      <c r="S191" s="523" t="e">
        <f ca="1">stat(calculs!S191)</f>
        <v>#NAME?</v>
      </c>
      <c r="T191" s="523" t="e">
        <f ca="1">stat(calculs!T191)</f>
        <v>#NAME?</v>
      </c>
      <c r="U191" s="523" t="e">
        <f ca="1">stat(calculs!U191)</f>
        <v>#NAME?</v>
      </c>
      <c r="V191" s="523" t="e">
        <f ca="1">stat(calculs!V191)</f>
        <v>#NAME?</v>
      </c>
      <c r="W191" s="523" t="e">
        <f ca="1">stat(calculs!W191)</f>
        <v>#NAME?</v>
      </c>
      <c r="X191" s="523" t="e">
        <f ca="1">stat(calculs!X191)</f>
        <v>#NAME?</v>
      </c>
      <c r="Y191" s="523" t="e">
        <f ca="1">stat(calculs!Y191)</f>
        <v>#NAME?</v>
      </c>
      <c r="Z191" s="523" t="e">
        <f ca="1">stat(calculs!Z191)</f>
        <v>#NAME?</v>
      </c>
      <c r="AA191" s="523" t="e">
        <f ca="1">stat(calculs!AA191)</f>
        <v>#NAME?</v>
      </c>
      <c r="AB191" s="523" t="e">
        <f ca="1">stat(calculs!AB191)</f>
        <v>#NAME?</v>
      </c>
      <c r="AC191" s="523" t="e">
        <f ca="1">stat(calculs!AC191)</f>
        <v>#NAME?</v>
      </c>
      <c r="AD191" s="523" t="e">
        <f ca="1">stat(calculs!AD191)</f>
        <v>#NAME?</v>
      </c>
      <c r="AE191" s="523" t="e">
        <f ca="1">stat(calculs!AE191)</f>
        <v>#NAME?</v>
      </c>
      <c r="AF191" s="523" t="e">
        <f ca="1">stat(calculs!AF191)</f>
        <v>#NAME?</v>
      </c>
      <c r="AG191" s="523" t="e">
        <f ca="1">stat(calculs!AG191)</f>
        <v>#NAME?</v>
      </c>
      <c r="AH191" s="523" t="e">
        <f ca="1">stat(calculs!AH191)</f>
        <v>#NAME?</v>
      </c>
      <c r="AI191" s="523" t="e">
        <f ca="1">stat(calculs!AI191)</f>
        <v>#NAME?</v>
      </c>
      <c r="AJ191" s="523" t="e">
        <f ca="1">stat(calculs!AJ191)</f>
        <v>#NAME?</v>
      </c>
      <c r="AK191" s="523" t="e">
        <f ca="1">stat(calculs!AK191)</f>
        <v>#NAME?</v>
      </c>
      <c r="AL191" s="523" t="e">
        <f ca="1">stat(calculs!AL191)</f>
        <v>#NAME?</v>
      </c>
      <c r="AM191" s="523" t="e">
        <f ca="1">stat(calculs!AM191)</f>
        <v>#NAME?</v>
      </c>
      <c r="AN191" s="523" t="e">
        <f ca="1">stat(calculs!AN191)</f>
        <v>#NAME?</v>
      </c>
      <c r="AO191" s="523" t="e">
        <f ca="1">stat(calculs!AO191)</f>
        <v>#NAME?</v>
      </c>
      <c r="AP191" s="523" t="e">
        <f ca="1">stat(calculs!AP191)</f>
        <v>#NAME?</v>
      </c>
      <c r="AQ191" s="523" t="e">
        <f ca="1">stat(calculs!AQ191)</f>
        <v>#NAME?</v>
      </c>
      <c r="AV191" s="525" t="str">
        <f>stat(calculs!AV191)</f>
        <v/>
      </c>
      <c r="AW191" s="525" t="str">
        <f>stat(calculs!AW191)</f>
        <v/>
      </c>
      <c r="AX191" s="525" t="str">
        <f>stat(calculs!AX191)</f>
        <v/>
      </c>
      <c r="AY191" s="525" t="e">
        <f ca="1">stat(calculs!AY191)</f>
        <v>#NAME?</v>
      </c>
      <c r="AZ191" s="525" t="e">
        <f ca="1">stat(calculs!AZ191)</f>
        <v>#NAME?</v>
      </c>
      <c r="BA191" s="525" t="e">
        <f ca="1">stat(calculs!BA191)</f>
        <v>#NAME?</v>
      </c>
      <c r="BB191" s="525" t="e">
        <f ca="1">stat(calculs!BB191)</f>
        <v>#NAME?</v>
      </c>
      <c r="BC191" s="525" t="e">
        <f ca="1">stat(calculs!BC191)</f>
        <v>#NAME?</v>
      </c>
      <c r="BD191" s="525" t="e">
        <f ca="1">stat(calculs!BD191)</f>
        <v>#NAME?</v>
      </c>
      <c r="BE191" s="525" t="e">
        <f ca="1">stat(calculs!BE191)</f>
        <v>#NAME?</v>
      </c>
      <c r="BF191" s="525" t="e">
        <f ca="1">stat(calculs!BF191)</f>
        <v>#NAME?</v>
      </c>
      <c r="BG191" s="729" t="e">
        <f ca="1">stat(calculs!BG191)</f>
        <v>#NAME?</v>
      </c>
      <c r="BH191" s="729" t="e">
        <f ca="1">stat(calculs!BH191)</f>
        <v>#NAME?</v>
      </c>
      <c r="BI191" s="729" t="e">
        <f ca="1">stat(calculs!BI191)</f>
        <v>#NAME?</v>
      </c>
      <c r="BJ191" s="729" t="e">
        <f ca="1">stat(calculs!BJ191)</f>
        <v>#NAME?</v>
      </c>
      <c r="BK191" s="729" t="e">
        <f ca="1">stat(calculs!BK191)</f>
        <v>#NAME?</v>
      </c>
      <c r="BL191" s="525" t="e">
        <f ca="1">stat(calculs!BL191)</f>
        <v>#NAME?</v>
      </c>
      <c r="BM191" s="525" t="e">
        <f ca="1">stat(calculs!BM191)</f>
        <v>#NAME?</v>
      </c>
      <c r="BN191" s="525" t="e">
        <f ca="1">stat(calculs!BN191)</f>
        <v>#NAME?</v>
      </c>
      <c r="BO191" s="525" t="e">
        <f ca="1">stat(calculs!BO191)</f>
        <v>#NAME?</v>
      </c>
      <c r="BP191" s="525" t="e">
        <f ca="1">stat(calculs!BP191)</f>
        <v>#NAME?</v>
      </c>
      <c r="BQ191" s="525" t="e">
        <f ca="1">stat(calculs!BQ191)</f>
        <v>#NAME?</v>
      </c>
      <c r="BR191" s="525" t="e">
        <f ca="1">stat(calculs!BR191)</f>
        <v>#NAME?</v>
      </c>
    </row>
    <row r="192" spans="1:70" x14ac:dyDescent="0.2">
      <c r="A192" s="222">
        <f>données_step[[#This Row],[Datum]]</f>
        <v>44743</v>
      </c>
      <c r="B192" s="223"/>
      <c r="C192" s="224">
        <f t="shared" si="2"/>
        <v>6</v>
      </c>
      <c r="D192" s="523" t="e">
        <f ca="1">stat(charge_entree[[#This Row],[ch_E_DBO5]])</f>
        <v>#NAME?</v>
      </c>
      <c r="E192" s="523" t="e">
        <f ca="1">stat(charge_entree[[#This Row],[ch_E_DCO]])</f>
        <v>#NAME?</v>
      </c>
      <c r="F192" s="523" t="e">
        <f ca="1">stat(charge_entree[[#This Row],[ch_E_COT]])</f>
        <v>#NAME?</v>
      </c>
      <c r="G192" s="523" t="e">
        <f ca="1">stat(charge_entree[[#This Row],[ch_E_NH4]])</f>
        <v>#NAME?</v>
      </c>
      <c r="H192" s="523" t="e">
        <f ca="1">stat(charge_entree[[#This Row],[ch_E_NTOT]])</f>
        <v>#NAME?</v>
      </c>
      <c r="I192" s="523" t="e">
        <f ca="1">stat(charge_entree[[#This Row],[ch_E_PTOT]])</f>
        <v>#NAME?</v>
      </c>
      <c r="J192" s="523" t="e">
        <f ca="1">stat(charge_entree[[#This Row],[ch_S_DBO]])</f>
        <v>#NAME?</v>
      </c>
      <c r="K192" s="523" t="e">
        <f ca="1">stat(charge_entree[[#This Row],[ch_S-DCO]])</f>
        <v>#NAME?</v>
      </c>
      <c r="L192" s="523" t="e">
        <f ca="1">stat(charge_entree[[#This Row],[ch_S_DOC]])</f>
        <v>#NAME?</v>
      </c>
      <c r="M192" s="523" t="e">
        <f ca="1">stat(charge_entree[[#This Row],[ch_S_NH4]])</f>
        <v>#NAME?</v>
      </c>
      <c r="N192" s="523" t="e">
        <f ca="1">stat(charge_entree[[#This Row],[ch_S_NO2]])</f>
        <v>#NAME?</v>
      </c>
      <c r="O192" s="523" t="e">
        <f ca="1">stat(charge_entree[[#This Row],[ch_S_NO3]])</f>
        <v>#NAME?</v>
      </c>
      <c r="P192" s="523" t="e">
        <f ca="1">stat(charge_entree[[#This Row],[ch_S_PTOT]])</f>
        <v>#NAME?</v>
      </c>
      <c r="Q192" s="523" t="e">
        <f ca="1">stat(charge_entree[[#This Row],[ch_S_SNDT]])</f>
        <v>#NAME?</v>
      </c>
      <c r="R192" s="523">
        <f>calculs!R192</f>
        <v>0</v>
      </c>
      <c r="S192" s="523" t="e">
        <f ca="1">stat(calculs!S192)</f>
        <v>#NAME?</v>
      </c>
      <c r="T192" s="523" t="e">
        <f ca="1">stat(calculs!T192)</f>
        <v>#NAME?</v>
      </c>
      <c r="U192" s="523" t="e">
        <f ca="1">stat(calculs!U192)</f>
        <v>#NAME?</v>
      </c>
      <c r="V192" s="523" t="e">
        <f ca="1">stat(calculs!V192)</f>
        <v>#NAME?</v>
      </c>
      <c r="W192" s="523" t="e">
        <f ca="1">stat(calculs!W192)</f>
        <v>#NAME?</v>
      </c>
      <c r="X192" s="523" t="e">
        <f ca="1">stat(calculs!X192)</f>
        <v>#NAME?</v>
      </c>
      <c r="Y192" s="523" t="e">
        <f ca="1">stat(calculs!Y192)</f>
        <v>#NAME?</v>
      </c>
      <c r="Z192" s="523" t="e">
        <f ca="1">stat(calculs!Z192)</f>
        <v>#NAME?</v>
      </c>
      <c r="AA192" s="523" t="e">
        <f ca="1">stat(calculs!AA192)</f>
        <v>#NAME?</v>
      </c>
      <c r="AB192" s="523" t="e">
        <f ca="1">stat(calculs!AB192)</f>
        <v>#NAME?</v>
      </c>
      <c r="AC192" s="523" t="e">
        <f ca="1">stat(calculs!AC192)</f>
        <v>#NAME?</v>
      </c>
      <c r="AD192" s="523" t="e">
        <f ca="1">stat(calculs!AD192)</f>
        <v>#NAME?</v>
      </c>
      <c r="AE192" s="523" t="e">
        <f ca="1">stat(calculs!AE192)</f>
        <v>#NAME?</v>
      </c>
      <c r="AF192" s="523" t="e">
        <f ca="1">stat(calculs!AF192)</f>
        <v>#NAME?</v>
      </c>
      <c r="AG192" s="523" t="e">
        <f ca="1">stat(calculs!AG192)</f>
        <v>#NAME?</v>
      </c>
      <c r="AH192" s="523" t="e">
        <f ca="1">stat(calculs!AH192)</f>
        <v>#NAME?</v>
      </c>
      <c r="AI192" s="523" t="e">
        <f ca="1">stat(calculs!AI192)</f>
        <v>#NAME?</v>
      </c>
      <c r="AJ192" s="523" t="e">
        <f ca="1">stat(calculs!AJ192)</f>
        <v>#NAME?</v>
      </c>
      <c r="AK192" s="523" t="e">
        <f ca="1">stat(calculs!AK192)</f>
        <v>#NAME?</v>
      </c>
      <c r="AL192" s="523" t="e">
        <f ca="1">stat(calculs!AL192)</f>
        <v>#NAME?</v>
      </c>
      <c r="AM192" s="523" t="e">
        <f ca="1">stat(calculs!AM192)</f>
        <v>#NAME?</v>
      </c>
      <c r="AN192" s="523" t="e">
        <f ca="1">stat(calculs!AN192)</f>
        <v>#NAME?</v>
      </c>
      <c r="AO192" s="523" t="e">
        <f ca="1">stat(calculs!AO192)</f>
        <v>#NAME?</v>
      </c>
      <c r="AP192" s="523" t="e">
        <f ca="1">stat(calculs!AP192)</f>
        <v>#NAME?</v>
      </c>
      <c r="AQ192" s="523" t="e">
        <f ca="1">stat(calculs!AQ192)</f>
        <v>#NAME?</v>
      </c>
      <c r="AV192" s="525" t="str">
        <f>stat(calculs!AV192)</f>
        <v/>
      </c>
      <c r="AW192" s="525" t="str">
        <f>stat(calculs!AW192)</f>
        <v/>
      </c>
      <c r="AX192" s="525" t="str">
        <f>stat(calculs!AX192)</f>
        <v/>
      </c>
      <c r="AY192" s="525" t="e">
        <f ca="1">stat(calculs!AY192)</f>
        <v>#NAME?</v>
      </c>
      <c r="AZ192" s="525" t="e">
        <f ca="1">stat(calculs!AZ192)</f>
        <v>#NAME?</v>
      </c>
      <c r="BA192" s="525" t="e">
        <f ca="1">stat(calculs!BA192)</f>
        <v>#NAME?</v>
      </c>
      <c r="BB192" s="525" t="e">
        <f ca="1">stat(calculs!BB192)</f>
        <v>#NAME?</v>
      </c>
      <c r="BC192" s="525" t="e">
        <f ca="1">stat(calculs!BC192)</f>
        <v>#NAME?</v>
      </c>
      <c r="BD192" s="525" t="e">
        <f ca="1">stat(calculs!BD192)</f>
        <v>#NAME?</v>
      </c>
      <c r="BE192" s="525" t="e">
        <f ca="1">stat(calculs!BE192)</f>
        <v>#NAME?</v>
      </c>
      <c r="BF192" s="525" t="e">
        <f ca="1">stat(calculs!BF192)</f>
        <v>#NAME?</v>
      </c>
      <c r="BG192" s="729" t="e">
        <f ca="1">stat(calculs!BG192)</f>
        <v>#NAME?</v>
      </c>
      <c r="BH192" s="729" t="e">
        <f ca="1">stat(calculs!BH192)</f>
        <v>#NAME?</v>
      </c>
      <c r="BI192" s="729" t="e">
        <f ca="1">stat(calculs!BI192)</f>
        <v>#NAME?</v>
      </c>
      <c r="BJ192" s="729" t="e">
        <f ca="1">stat(calculs!BJ192)</f>
        <v>#NAME?</v>
      </c>
      <c r="BK192" s="729" t="e">
        <f ca="1">stat(calculs!BK192)</f>
        <v>#NAME?</v>
      </c>
      <c r="BL192" s="525" t="e">
        <f ca="1">stat(calculs!BL192)</f>
        <v>#NAME?</v>
      </c>
      <c r="BM192" s="525" t="e">
        <f ca="1">stat(calculs!BM192)</f>
        <v>#NAME?</v>
      </c>
      <c r="BN192" s="525" t="e">
        <f ca="1">stat(calculs!BN192)</f>
        <v>#NAME?</v>
      </c>
      <c r="BO192" s="525" t="e">
        <f ca="1">stat(calculs!BO192)</f>
        <v>#NAME?</v>
      </c>
      <c r="BP192" s="525" t="e">
        <f ca="1">stat(calculs!BP192)</f>
        <v>#NAME?</v>
      </c>
      <c r="BQ192" s="525" t="e">
        <f ca="1">stat(calculs!BQ192)</f>
        <v>#NAME?</v>
      </c>
      <c r="BR192" s="525" t="e">
        <f ca="1">stat(calculs!BR192)</f>
        <v>#NAME?</v>
      </c>
    </row>
    <row r="193" spans="1:70" x14ac:dyDescent="0.2">
      <c r="A193" s="222">
        <f>données_step[[#This Row],[Datum]]</f>
        <v>44744</v>
      </c>
      <c r="B193" s="223"/>
      <c r="C193" s="224">
        <f t="shared" si="2"/>
        <v>7</v>
      </c>
      <c r="D193" s="523" t="e">
        <f ca="1">stat(charge_entree[[#This Row],[ch_E_DBO5]])</f>
        <v>#NAME?</v>
      </c>
      <c r="E193" s="523" t="e">
        <f ca="1">stat(charge_entree[[#This Row],[ch_E_DCO]])</f>
        <v>#NAME?</v>
      </c>
      <c r="F193" s="523" t="e">
        <f ca="1">stat(charge_entree[[#This Row],[ch_E_COT]])</f>
        <v>#NAME?</v>
      </c>
      <c r="G193" s="523" t="e">
        <f ca="1">stat(charge_entree[[#This Row],[ch_E_NH4]])</f>
        <v>#NAME?</v>
      </c>
      <c r="H193" s="523" t="e">
        <f ca="1">stat(charge_entree[[#This Row],[ch_E_NTOT]])</f>
        <v>#NAME?</v>
      </c>
      <c r="I193" s="523" t="e">
        <f ca="1">stat(charge_entree[[#This Row],[ch_E_PTOT]])</f>
        <v>#NAME?</v>
      </c>
      <c r="J193" s="523" t="e">
        <f ca="1">stat(charge_entree[[#This Row],[ch_S_DBO]])</f>
        <v>#NAME?</v>
      </c>
      <c r="K193" s="523" t="e">
        <f ca="1">stat(charge_entree[[#This Row],[ch_S-DCO]])</f>
        <v>#NAME?</v>
      </c>
      <c r="L193" s="523" t="e">
        <f ca="1">stat(charge_entree[[#This Row],[ch_S_DOC]])</f>
        <v>#NAME?</v>
      </c>
      <c r="M193" s="523" t="e">
        <f ca="1">stat(charge_entree[[#This Row],[ch_S_NH4]])</f>
        <v>#NAME?</v>
      </c>
      <c r="N193" s="523" t="e">
        <f ca="1">stat(charge_entree[[#This Row],[ch_S_NO2]])</f>
        <v>#NAME?</v>
      </c>
      <c r="O193" s="523" t="e">
        <f ca="1">stat(charge_entree[[#This Row],[ch_S_NO3]])</f>
        <v>#NAME?</v>
      </c>
      <c r="P193" s="523" t="e">
        <f ca="1">stat(charge_entree[[#This Row],[ch_S_PTOT]])</f>
        <v>#NAME?</v>
      </c>
      <c r="Q193" s="523" t="e">
        <f ca="1">stat(charge_entree[[#This Row],[ch_S_SNDT]])</f>
        <v>#NAME?</v>
      </c>
      <c r="R193" s="523">
        <f>calculs!R193</f>
        <v>0</v>
      </c>
      <c r="S193" s="523" t="e">
        <f ca="1">stat(calculs!S193)</f>
        <v>#NAME?</v>
      </c>
      <c r="T193" s="523" t="e">
        <f ca="1">stat(calculs!T193)</f>
        <v>#NAME?</v>
      </c>
      <c r="U193" s="523" t="e">
        <f ca="1">stat(calculs!U193)</f>
        <v>#NAME?</v>
      </c>
      <c r="V193" s="523" t="e">
        <f ca="1">stat(calculs!V193)</f>
        <v>#NAME?</v>
      </c>
      <c r="W193" s="523" t="e">
        <f ca="1">stat(calculs!W193)</f>
        <v>#NAME?</v>
      </c>
      <c r="X193" s="523" t="e">
        <f ca="1">stat(calculs!X193)</f>
        <v>#NAME?</v>
      </c>
      <c r="Y193" s="523" t="e">
        <f ca="1">stat(calculs!Y193)</f>
        <v>#NAME?</v>
      </c>
      <c r="Z193" s="523" t="e">
        <f ca="1">stat(calculs!Z193)</f>
        <v>#NAME?</v>
      </c>
      <c r="AA193" s="523" t="e">
        <f ca="1">stat(calculs!AA193)</f>
        <v>#NAME?</v>
      </c>
      <c r="AB193" s="523" t="e">
        <f ca="1">stat(calculs!AB193)</f>
        <v>#NAME?</v>
      </c>
      <c r="AC193" s="523" t="e">
        <f ca="1">stat(calculs!AC193)</f>
        <v>#NAME?</v>
      </c>
      <c r="AD193" s="523" t="e">
        <f ca="1">stat(calculs!AD193)</f>
        <v>#NAME?</v>
      </c>
      <c r="AE193" s="523" t="e">
        <f ca="1">stat(calculs!AE193)</f>
        <v>#NAME?</v>
      </c>
      <c r="AF193" s="523" t="e">
        <f ca="1">stat(calculs!AF193)</f>
        <v>#NAME?</v>
      </c>
      <c r="AG193" s="523" t="e">
        <f ca="1">stat(calculs!AG193)</f>
        <v>#NAME?</v>
      </c>
      <c r="AH193" s="523" t="e">
        <f ca="1">stat(calculs!AH193)</f>
        <v>#NAME?</v>
      </c>
      <c r="AI193" s="523" t="e">
        <f ca="1">stat(calculs!AI193)</f>
        <v>#NAME?</v>
      </c>
      <c r="AJ193" s="523" t="e">
        <f ca="1">stat(calculs!AJ193)</f>
        <v>#NAME?</v>
      </c>
      <c r="AK193" s="523" t="e">
        <f ca="1">stat(calculs!AK193)</f>
        <v>#NAME?</v>
      </c>
      <c r="AL193" s="523" t="e">
        <f ca="1">stat(calculs!AL193)</f>
        <v>#NAME?</v>
      </c>
      <c r="AM193" s="523" t="e">
        <f ca="1">stat(calculs!AM193)</f>
        <v>#NAME?</v>
      </c>
      <c r="AN193" s="523" t="e">
        <f ca="1">stat(calculs!AN193)</f>
        <v>#NAME?</v>
      </c>
      <c r="AO193" s="523" t="e">
        <f ca="1">stat(calculs!AO193)</f>
        <v>#NAME?</v>
      </c>
      <c r="AP193" s="523" t="e">
        <f ca="1">stat(calculs!AP193)</f>
        <v>#NAME?</v>
      </c>
      <c r="AQ193" s="523" t="e">
        <f ca="1">stat(calculs!AQ193)</f>
        <v>#NAME?</v>
      </c>
      <c r="AV193" s="525" t="str">
        <f>stat(calculs!AV193)</f>
        <v/>
      </c>
      <c r="AW193" s="525" t="str">
        <f>stat(calculs!AW193)</f>
        <v/>
      </c>
      <c r="AX193" s="525" t="str">
        <f>stat(calculs!AX193)</f>
        <v/>
      </c>
      <c r="AY193" s="525" t="e">
        <f ca="1">stat(calculs!AY193)</f>
        <v>#NAME?</v>
      </c>
      <c r="AZ193" s="525" t="e">
        <f ca="1">stat(calculs!AZ193)</f>
        <v>#NAME?</v>
      </c>
      <c r="BA193" s="525" t="e">
        <f ca="1">stat(calculs!BA193)</f>
        <v>#NAME?</v>
      </c>
      <c r="BB193" s="525" t="e">
        <f ca="1">stat(calculs!BB193)</f>
        <v>#NAME?</v>
      </c>
      <c r="BC193" s="525" t="e">
        <f ca="1">stat(calculs!BC193)</f>
        <v>#NAME?</v>
      </c>
      <c r="BD193" s="525" t="e">
        <f ca="1">stat(calculs!BD193)</f>
        <v>#NAME?</v>
      </c>
      <c r="BE193" s="525" t="e">
        <f ca="1">stat(calculs!BE193)</f>
        <v>#NAME?</v>
      </c>
      <c r="BF193" s="525" t="e">
        <f ca="1">stat(calculs!BF193)</f>
        <v>#NAME?</v>
      </c>
      <c r="BG193" s="729" t="e">
        <f ca="1">stat(calculs!BG193)</f>
        <v>#NAME?</v>
      </c>
      <c r="BH193" s="729" t="e">
        <f ca="1">stat(calculs!BH193)</f>
        <v>#NAME?</v>
      </c>
      <c r="BI193" s="729" t="e">
        <f ca="1">stat(calculs!BI193)</f>
        <v>#NAME?</v>
      </c>
      <c r="BJ193" s="729" t="e">
        <f ca="1">stat(calculs!BJ193)</f>
        <v>#NAME?</v>
      </c>
      <c r="BK193" s="729" t="e">
        <f ca="1">stat(calculs!BK193)</f>
        <v>#NAME?</v>
      </c>
      <c r="BL193" s="525" t="e">
        <f ca="1">stat(calculs!BL193)</f>
        <v>#NAME?</v>
      </c>
      <c r="BM193" s="525" t="e">
        <f ca="1">stat(calculs!BM193)</f>
        <v>#NAME?</v>
      </c>
      <c r="BN193" s="525" t="e">
        <f ca="1">stat(calculs!BN193)</f>
        <v>#NAME?</v>
      </c>
      <c r="BO193" s="525" t="e">
        <f ca="1">stat(calculs!BO193)</f>
        <v>#NAME?</v>
      </c>
      <c r="BP193" s="525" t="e">
        <f ca="1">stat(calculs!BP193)</f>
        <v>#NAME?</v>
      </c>
      <c r="BQ193" s="525" t="e">
        <f ca="1">stat(calculs!BQ193)</f>
        <v>#NAME?</v>
      </c>
      <c r="BR193" s="525" t="e">
        <f ca="1">stat(calculs!BR193)</f>
        <v>#NAME?</v>
      </c>
    </row>
    <row r="194" spans="1:70" x14ac:dyDescent="0.2">
      <c r="A194" s="222">
        <f>données_step[[#This Row],[Datum]]</f>
        <v>44745</v>
      </c>
      <c r="B194" s="223"/>
      <c r="C194" s="224">
        <f t="shared" si="2"/>
        <v>1</v>
      </c>
      <c r="D194" s="523" t="e">
        <f ca="1">stat(charge_entree[[#This Row],[ch_E_DBO5]])</f>
        <v>#NAME?</v>
      </c>
      <c r="E194" s="523" t="e">
        <f ca="1">stat(charge_entree[[#This Row],[ch_E_DCO]])</f>
        <v>#NAME?</v>
      </c>
      <c r="F194" s="523" t="e">
        <f ca="1">stat(charge_entree[[#This Row],[ch_E_COT]])</f>
        <v>#NAME?</v>
      </c>
      <c r="G194" s="523" t="e">
        <f ca="1">stat(charge_entree[[#This Row],[ch_E_NH4]])</f>
        <v>#NAME?</v>
      </c>
      <c r="H194" s="523" t="e">
        <f ca="1">stat(charge_entree[[#This Row],[ch_E_NTOT]])</f>
        <v>#NAME?</v>
      </c>
      <c r="I194" s="523" t="e">
        <f ca="1">stat(charge_entree[[#This Row],[ch_E_PTOT]])</f>
        <v>#NAME?</v>
      </c>
      <c r="J194" s="523" t="e">
        <f ca="1">stat(charge_entree[[#This Row],[ch_S_DBO]])</f>
        <v>#NAME?</v>
      </c>
      <c r="K194" s="523" t="e">
        <f ca="1">stat(charge_entree[[#This Row],[ch_S-DCO]])</f>
        <v>#NAME?</v>
      </c>
      <c r="L194" s="523" t="e">
        <f ca="1">stat(charge_entree[[#This Row],[ch_S_DOC]])</f>
        <v>#NAME?</v>
      </c>
      <c r="M194" s="523" t="e">
        <f ca="1">stat(charge_entree[[#This Row],[ch_S_NH4]])</f>
        <v>#NAME?</v>
      </c>
      <c r="N194" s="523" t="e">
        <f ca="1">stat(charge_entree[[#This Row],[ch_S_NO2]])</f>
        <v>#NAME?</v>
      </c>
      <c r="O194" s="523" t="e">
        <f ca="1">stat(charge_entree[[#This Row],[ch_S_NO3]])</f>
        <v>#NAME?</v>
      </c>
      <c r="P194" s="523" t="e">
        <f ca="1">stat(charge_entree[[#This Row],[ch_S_PTOT]])</f>
        <v>#NAME?</v>
      </c>
      <c r="Q194" s="523" t="e">
        <f ca="1">stat(charge_entree[[#This Row],[ch_S_SNDT]])</f>
        <v>#NAME?</v>
      </c>
      <c r="R194" s="523">
        <f>calculs!R194</f>
        <v>0</v>
      </c>
      <c r="S194" s="523" t="e">
        <f ca="1">stat(calculs!S194)</f>
        <v>#NAME?</v>
      </c>
      <c r="T194" s="523" t="e">
        <f ca="1">stat(calculs!T194)</f>
        <v>#NAME?</v>
      </c>
      <c r="U194" s="523" t="e">
        <f ca="1">stat(calculs!U194)</f>
        <v>#NAME?</v>
      </c>
      <c r="V194" s="523" t="e">
        <f ca="1">stat(calculs!V194)</f>
        <v>#NAME?</v>
      </c>
      <c r="W194" s="523" t="e">
        <f ca="1">stat(calculs!W194)</f>
        <v>#NAME?</v>
      </c>
      <c r="X194" s="523" t="e">
        <f ca="1">stat(calculs!X194)</f>
        <v>#NAME?</v>
      </c>
      <c r="Y194" s="523" t="e">
        <f ca="1">stat(calculs!Y194)</f>
        <v>#NAME?</v>
      </c>
      <c r="Z194" s="523" t="e">
        <f ca="1">stat(calculs!Z194)</f>
        <v>#NAME?</v>
      </c>
      <c r="AA194" s="523" t="e">
        <f ca="1">stat(calculs!AA194)</f>
        <v>#NAME?</v>
      </c>
      <c r="AB194" s="523" t="e">
        <f ca="1">stat(calculs!AB194)</f>
        <v>#NAME?</v>
      </c>
      <c r="AC194" s="523" t="e">
        <f ca="1">stat(calculs!AC194)</f>
        <v>#NAME?</v>
      </c>
      <c r="AD194" s="523" t="e">
        <f ca="1">stat(calculs!AD194)</f>
        <v>#NAME?</v>
      </c>
      <c r="AE194" s="523" t="e">
        <f ca="1">stat(calculs!AE194)</f>
        <v>#NAME?</v>
      </c>
      <c r="AF194" s="523" t="e">
        <f ca="1">stat(calculs!AF194)</f>
        <v>#NAME?</v>
      </c>
      <c r="AG194" s="523" t="e">
        <f ca="1">stat(calculs!AG194)</f>
        <v>#NAME?</v>
      </c>
      <c r="AH194" s="523" t="e">
        <f ca="1">stat(calculs!AH194)</f>
        <v>#NAME?</v>
      </c>
      <c r="AI194" s="523" t="e">
        <f ca="1">stat(calculs!AI194)</f>
        <v>#NAME?</v>
      </c>
      <c r="AJ194" s="523" t="e">
        <f ca="1">stat(calculs!AJ194)</f>
        <v>#NAME?</v>
      </c>
      <c r="AK194" s="523" t="e">
        <f ca="1">stat(calculs!AK194)</f>
        <v>#NAME?</v>
      </c>
      <c r="AL194" s="523" t="e">
        <f ca="1">stat(calculs!AL194)</f>
        <v>#NAME?</v>
      </c>
      <c r="AM194" s="523" t="e">
        <f ca="1">stat(calculs!AM194)</f>
        <v>#NAME?</v>
      </c>
      <c r="AN194" s="523" t="e">
        <f ca="1">stat(calculs!AN194)</f>
        <v>#NAME?</v>
      </c>
      <c r="AO194" s="523" t="e">
        <f ca="1">stat(calculs!AO194)</f>
        <v>#NAME?</v>
      </c>
      <c r="AP194" s="523" t="e">
        <f ca="1">stat(calculs!AP194)</f>
        <v>#NAME?</v>
      </c>
      <c r="AQ194" s="523" t="e">
        <f ca="1">stat(calculs!AQ194)</f>
        <v>#NAME?</v>
      </c>
      <c r="AV194" s="525" t="str">
        <f>stat(calculs!AV194)</f>
        <v/>
      </c>
      <c r="AW194" s="525" t="str">
        <f>stat(calculs!AW194)</f>
        <v/>
      </c>
      <c r="AX194" s="525" t="str">
        <f>stat(calculs!AX194)</f>
        <v/>
      </c>
      <c r="AY194" s="525" t="e">
        <f ca="1">stat(calculs!AY194)</f>
        <v>#NAME?</v>
      </c>
      <c r="AZ194" s="525" t="e">
        <f ca="1">stat(calculs!AZ194)</f>
        <v>#NAME?</v>
      </c>
      <c r="BA194" s="525" t="e">
        <f ca="1">stat(calculs!BA194)</f>
        <v>#NAME?</v>
      </c>
      <c r="BB194" s="525" t="e">
        <f ca="1">stat(calculs!BB194)</f>
        <v>#NAME?</v>
      </c>
      <c r="BC194" s="525" t="e">
        <f ca="1">stat(calculs!BC194)</f>
        <v>#NAME?</v>
      </c>
      <c r="BD194" s="525" t="e">
        <f ca="1">stat(calculs!BD194)</f>
        <v>#NAME?</v>
      </c>
      <c r="BE194" s="525" t="e">
        <f ca="1">stat(calculs!BE194)</f>
        <v>#NAME?</v>
      </c>
      <c r="BF194" s="525" t="e">
        <f ca="1">stat(calculs!BF194)</f>
        <v>#NAME?</v>
      </c>
      <c r="BG194" s="729" t="e">
        <f ca="1">stat(calculs!BG194)</f>
        <v>#NAME?</v>
      </c>
      <c r="BH194" s="729" t="e">
        <f ca="1">stat(calculs!BH194)</f>
        <v>#NAME?</v>
      </c>
      <c r="BI194" s="729" t="e">
        <f ca="1">stat(calculs!BI194)</f>
        <v>#NAME?</v>
      </c>
      <c r="BJ194" s="729" t="e">
        <f ca="1">stat(calculs!BJ194)</f>
        <v>#NAME?</v>
      </c>
      <c r="BK194" s="729" t="e">
        <f ca="1">stat(calculs!BK194)</f>
        <v>#NAME?</v>
      </c>
      <c r="BL194" s="525" t="e">
        <f ca="1">stat(calculs!BL194)</f>
        <v>#NAME?</v>
      </c>
      <c r="BM194" s="525" t="e">
        <f ca="1">stat(calculs!BM194)</f>
        <v>#NAME?</v>
      </c>
      <c r="BN194" s="525" t="e">
        <f ca="1">stat(calculs!BN194)</f>
        <v>#NAME?</v>
      </c>
      <c r="BO194" s="525" t="e">
        <f ca="1">stat(calculs!BO194)</f>
        <v>#NAME?</v>
      </c>
      <c r="BP194" s="525" t="e">
        <f ca="1">stat(calculs!BP194)</f>
        <v>#NAME?</v>
      </c>
      <c r="BQ194" s="525" t="e">
        <f ca="1">stat(calculs!BQ194)</f>
        <v>#NAME?</v>
      </c>
      <c r="BR194" s="525" t="e">
        <f ca="1">stat(calculs!BR194)</f>
        <v>#NAME?</v>
      </c>
    </row>
    <row r="195" spans="1:70" x14ac:dyDescent="0.2">
      <c r="A195" s="222">
        <f>données_step[[#This Row],[Datum]]</f>
        <v>44746</v>
      </c>
      <c r="B195" s="223"/>
      <c r="C195" s="224">
        <f t="shared" si="2"/>
        <v>2</v>
      </c>
      <c r="D195" s="523" t="e">
        <f ca="1">stat(charge_entree[[#This Row],[ch_E_DBO5]])</f>
        <v>#NAME?</v>
      </c>
      <c r="E195" s="523" t="e">
        <f ca="1">stat(charge_entree[[#This Row],[ch_E_DCO]])</f>
        <v>#NAME?</v>
      </c>
      <c r="F195" s="523" t="e">
        <f ca="1">stat(charge_entree[[#This Row],[ch_E_COT]])</f>
        <v>#NAME?</v>
      </c>
      <c r="G195" s="523" t="e">
        <f ca="1">stat(charge_entree[[#This Row],[ch_E_NH4]])</f>
        <v>#NAME?</v>
      </c>
      <c r="H195" s="523" t="e">
        <f ca="1">stat(charge_entree[[#This Row],[ch_E_NTOT]])</f>
        <v>#NAME?</v>
      </c>
      <c r="I195" s="523" t="e">
        <f ca="1">stat(charge_entree[[#This Row],[ch_E_PTOT]])</f>
        <v>#NAME?</v>
      </c>
      <c r="J195" s="523" t="e">
        <f ca="1">stat(charge_entree[[#This Row],[ch_S_DBO]])</f>
        <v>#NAME?</v>
      </c>
      <c r="K195" s="523" t="e">
        <f ca="1">stat(charge_entree[[#This Row],[ch_S-DCO]])</f>
        <v>#NAME?</v>
      </c>
      <c r="L195" s="523" t="e">
        <f ca="1">stat(charge_entree[[#This Row],[ch_S_DOC]])</f>
        <v>#NAME?</v>
      </c>
      <c r="M195" s="523" t="e">
        <f ca="1">stat(charge_entree[[#This Row],[ch_S_NH4]])</f>
        <v>#NAME?</v>
      </c>
      <c r="N195" s="523" t="e">
        <f ca="1">stat(charge_entree[[#This Row],[ch_S_NO2]])</f>
        <v>#NAME?</v>
      </c>
      <c r="O195" s="523" t="e">
        <f ca="1">stat(charge_entree[[#This Row],[ch_S_NO3]])</f>
        <v>#NAME?</v>
      </c>
      <c r="P195" s="523" t="e">
        <f ca="1">stat(charge_entree[[#This Row],[ch_S_PTOT]])</f>
        <v>#NAME?</v>
      </c>
      <c r="Q195" s="523" t="e">
        <f ca="1">stat(charge_entree[[#This Row],[ch_S_SNDT]])</f>
        <v>#NAME?</v>
      </c>
      <c r="R195" s="523">
        <f>calculs!R195</f>
        <v>0</v>
      </c>
      <c r="S195" s="523" t="e">
        <f ca="1">stat(calculs!S195)</f>
        <v>#NAME?</v>
      </c>
      <c r="T195" s="523" t="e">
        <f ca="1">stat(calculs!T195)</f>
        <v>#NAME?</v>
      </c>
      <c r="U195" s="523" t="e">
        <f ca="1">stat(calculs!U195)</f>
        <v>#NAME?</v>
      </c>
      <c r="V195" s="523" t="e">
        <f ca="1">stat(calculs!V195)</f>
        <v>#NAME?</v>
      </c>
      <c r="W195" s="523" t="e">
        <f ca="1">stat(calculs!W195)</f>
        <v>#NAME?</v>
      </c>
      <c r="X195" s="523" t="e">
        <f ca="1">stat(calculs!X195)</f>
        <v>#NAME?</v>
      </c>
      <c r="Y195" s="523" t="e">
        <f ca="1">stat(calculs!Y195)</f>
        <v>#NAME?</v>
      </c>
      <c r="Z195" s="523" t="e">
        <f ca="1">stat(calculs!Z195)</f>
        <v>#NAME?</v>
      </c>
      <c r="AA195" s="523" t="e">
        <f ca="1">stat(calculs!AA195)</f>
        <v>#NAME?</v>
      </c>
      <c r="AB195" s="523" t="e">
        <f ca="1">stat(calculs!AB195)</f>
        <v>#NAME?</v>
      </c>
      <c r="AC195" s="523" t="e">
        <f ca="1">stat(calculs!AC195)</f>
        <v>#NAME?</v>
      </c>
      <c r="AD195" s="523" t="e">
        <f ca="1">stat(calculs!AD195)</f>
        <v>#NAME?</v>
      </c>
      <c r="AE195" s="523" t="e">
        <f ca="1">stat(calculs!AE195)</f>
        <v>#NAME?</v>
      </c>
      <c r="AF195" s="523" t="e">
        <f ca="1">stat(calculs!AF195)</f>
        <v>#NAME?</v>
      </c>
      <c r="AG195" s="523" t="e">
        <f ca="1">stat(calculs!AG195)</f>
        <v>#NAME?</v>
      </c>
      <c r="AH195" s="523" t="e">
        <f ca="1">stat(calculs!AH195)</f>
        <v>#NAME?</v>
      </c>
      <c r="AI195" s="523" t="e">
        <f ca="1">stat(calculs!AI195)</f>
        <v>#NAME?</v>
      </c>
      <c r="AJ195" s="523" t="e">
        <f ca="1">stat(calculs!AJ195)</f>
        <v>#NAME?</v>
      </c>
      <c r="AK195" s="523" t="e">
        <f ca="1">stat(calculs!AK195)</f>
        <v>#NAME?</v>
      </c>
      <c r="AL195" s="523" t="e">
        <f ca="1">stat(calculs!AL195)</f>
        <v>#NAME?</v>
      </c>
      <c r="AM195" s="523" t="e">
        <f ca="1">stat(calculs!AM195)</f>
        <v>#NAME?</v>
      </c>
      <c r="AN195" s="523" t="e">
        <f ca="1">stat(calculs!AN195)</f>
        <v>#NAME?</v>
      </c>
      <c r="AO195" s="523" t="e">
        <f ca="1">stat(calculs!AO195)</f>
        <v>#NAME?</v>
      </c>
      <c r="AP195" s="523" t="e">
        <f ca="1">stat(calculs!AP195)</f>
        <v>#NAME?</v>
      </c>
      <c r="AQ195" s="523" t="e">
        <f ca="1">stat(calculs!AQ195)</f>
        <v>#NAME?</v>
      </c>
      <c r="AV195" s="525" t="str">
        <f>stat(calculs!AV195)</f>
        <v/>
      </c>
      <c r="AW195" s="525" t="str">
        <f>stat(calculs!AW195)</f>
        <v/>
      </c>
      <c r="AX195" s="525" t="str">
        <f>stat(calculs!AX195)</f>
        <v/>
      </c>
      <c r="AY195" s="525" t="e">
        <f ca="1">stat(calculs!AY195)</f>
        <v>#NAME?</v>
      </c>
      <c r="AZ195" s="525" t="e">
        <f ca="1">stat(calculs!AZ195)</f>
        <v>#NAME?</v>
      </c>
      <c r="BA195" s="525" t="e">
        <f ca="1">stat(calculs!BA195)</f>
        <v>#NAME?</v>
      </c>
      <c r="BB195" s="525" t="e">
        <f ca="1">stat(calculs!BB195)</f>
        <v>#NAME?</v>
      </c>
      <c r="BC195" s="525" t="e">
        <f ca="1">stat(calculs!BC195)</f>
        <v>#NAME?</v>
      </c>
      <c r="BD195" s="525" t="e">
        <f ca="1">stat(calculs!BD195)</f>
        <v>#NAME?</v>
      </c>
      <c r="BE195" s="525" t="e">
        <f ca="1">stat(calculs!BE195)</f>
        <v>#NAME?</v>
      </c>
      <c r="BF195" s="525" t="e">
        <f ca="1">stat(calculs!BF195)</f>
        <v>#NAME?</v>
      </c>
      <c r="BG195" s="729" t="e">
        <f ca="1">stat(calculs!BG195)</f>
        <v>#NAME?</v>
      </c>
      <c r="BH195" s="729" t="e">
        <f ca="1">stat(calculs!BH195)</f>
        <v>#NAME?</v>
      </c>
      <c r="BI195" s="729" t="e">
        <f ca="1">stat(calculs!BI195)</f>
        <v>#NAME?</v>
      </c>
      <c r="BJ195" s="729" t="e">
        <f ca="1">stat(calculs!BJ195)</f>
        <v>#NAME?</v>
      </c>
      <c r="BK195" s="729" t="e">
        <f ca="1">stat(calculs!BK195)</f>
        <v>#NAME?</v>
      </c>
      <c r="BL195" s="525" t="e">
        <f ca="1">stat(calculs!BL195)</f>
        <v>#NAME?</v>
      </c>
      <c r="BM195" s="525" t="e">
        <f ca="1">stat(calculs!BM195)</f>
        <v>#NAME?</v>
      </c>
      <c r="BN195" s="525" t="e">
        <f ca="1">stat(calculs!BN195)</f>
        <v>#NAME?</v>
      </c>
      <c r="BO195" s="525" t="e">
        <f ca="1">stat(calculs!BO195)</f>
        <v>#NAME?</v>
      </c>
      <c r="BP195" s="525" t="e">
        <f ca="1">stat(calculs!BP195)</f>
        <v>#NAME?</v>
      </c>
      <c r="BQ195" s="525" t="e">
        <f ca="1">stat(calculs!BQ195)</f>
        <v>#NAME?</v>
      </c>
      <c r="BR195" s="525" t="e">
        <f ca="1">stat(calculs!BR195)</f>
        <v>#NAME?</v>
      </c>
    </row>
    <row r="196" spans="1:70" x14ac:dyDescent="0.2">
      <c r="A196" s="222">
        <f>données_step[[#This Row],[Datum]]</f>
        <v>44747</v>
      </c>
      <c r="B196" s="223"/>
      <c r="C196" s="224">
        <f t="shared" si="2"/>
        <v>3</v>
      </c>
      <c r="D196" s="523" t="e">
        <f ca="1">stat(charge_entree[[#This Row],[ch_E_DBO5]])</f>
        <v>#NAME?</v>
      </c>
      <c r="E196" s="523" t="e">
        <f ca="1">stat(charge_entree[[#This Row],[ch_E_DCO]])</f>
        <v>#NAME?</v>
      </c>
      <c r="F196" s="523" t="e">
        <f ca="1">stat(charge_entree[[#This Row],[ch_E_COT]])</f>
        <v>#NAME?</v>
      </c>
      <c r="G196" s="523" t="e">
        <f ca="1">stat(charge_entree[[#This Row],[ch_E_NH4]])</f>
        <v>#NAME?</v>
      </c>
      <c r="H196" s="523" t="e">
        <f ca="1">stat(charge_entree[[#This Row],[ch_E_NTOT]])</f>
        <v>#NAME?</v>
      </c>
      <c r="I196" s="523" t="e">
        <f ca="1">stat(charge_entree[[#This Row],[ch_E_PTOT]])</f>
        <v>#NAME?</v>
      </c>
      <c r="J196" s="523" t="e">
        <f ca="1">stat(charge_entree[[#This Row],[ch_S_DBO]])</f>
        <v>#NAME?</v>
      </c>
      <c r="K196" s="523" t="e">
        <f ca="1">stat(charge_entree[[#This Row],[ch_S-DCO]])</f>
        <v>#NAME?</v>
      </c>
      <c r="L196" s="523" t="e">
        <f ca="1">stat(charge_entree[[#This Row],[ch_S_DOC]])</f>
        <v>#NAME?</v>
      </c>
      <c r="M196" s="523" t="e">
        <f ca="1">stat(charge_entree[[#This Row],[ch_S_NH4]])</f>
        <v>#NAME?</v>
      </c>
      <c r="N196" s="523" t="e">
        <f ca="1">stat(charge_entree[[#This Row],[ch_S_NO2]])</f>
        <v>#NAME?</v>
      </c>
      <c r="O196" s="523" t="e">
        <f ca="1">stat(charge_entree[[#This Row],[ch_S_NO3]])</f>
        <v>#NAME?</v>
      </c>
      <c r="P196" s="523" t="e">
        <f ca="1">stat(charge_entree[[#This Row],[ch_S_PTOT]])</f>
        <v>#NAME?</v>
      </c>
      <c r="Q196" s="523" t="e">
        <f ca="1">stat(charge_entree[[#This Row],[ch_S_SNDT]])</f>
        <v>#NAME?</v>
      </c>
      <c r="R196" s="523">
        <f>calculs!R196</f>
        <v>0</v>
      </c>
      <c r="S196" s="523" t="e">
        <f ca="1">stat(calculs!S196)</f>
        <v>#NAME?</v>
      </c>
      <c r="T196" s="523" t="e">
        <f ca="1">stat(calculs!T196)</f>
        <v>#NAME?</v>
      </c>
      <c r="U196" s="523" t="e">
        <f ca="1">stat(calculs!U196)</f>
        <v>#NAME?</v>
      </c>
      <c r="V196" s="523" t="e">
        <f ca="1">stat(calculs!V196)</f>
        <v>#NAME?</v>
      </c>
      <c r="W196" s="523" t="e">
        <f ca="1">stat(calculs!W196)</f>
        <v>#NAME?</v>
      </c>
      <c r="X196" s="523" t="e">
        <f ca="1">stat(calculs!X196)</f>
        <v>#NAME?</v>
      </c>
      <c r="Y196" s="523" t="e">
        <f ca="1">stat(calculs!Y196)</f>
        <v>#NAME?</v>
      </c>
      <c r="Z196" s="523" t="e">
        <f ca="1">stat(calculs!Z196)</f>
        <v>#NAME?</v>
      </c>
      <c r="AA196" s="523" t="e">
        <f ca="1">stat(calculs!AA196)</f>
        <v>#NAME?</v>
      </c>
      <c r="AB196" s="523" t="e">
        <f ca="1">stat(calculs!AB196)</f>
        <v>#NAME?</v>
      </c>
      <c r="AC196" s="523" t="e">
        <f ca="1">stat(calculs!AC196)</f>
        <v>#NAME?</v>
      </c>
      <c r="AD196" s="523" t="e">
        <f ca="1">stat(calculs!AD196)</f>
        <v>#NAME?</v>
      </c>
      <c r="AE196" s="523" t="e">
        <f ca="1">stat(calculs!AE196)</f>
        <v>#NAME?</v>
      </c>
      <c r="AF196" s="523" t="e">
        <f ca="1">stat(calculs!AF196)</f>
        <v>#NAME?</v>
      </c>
      <c r="AG196" s="523" t="e">
        <f ca="1">stat(calculs!AG196)</f>
        <v>#NAME?</v>
      </c>
      <c r="AH196" s="523" t="e">
        <f ca="1">stat(calculs!AH196)</f>
        <v>#NAME?</v>
      </c>
      <c r="AI196" s="523" t="e">
        <f ca="1">stat(calculs!AI196)</f>
        <v>#NAME?</v>
      </c>
      <c r="AJ196" s="523" t="e">
        <f ca="1">stat(calculs!AJ196)</f>
        <v>#NAME?</v>
      </c>
      <c r="AK196" s="523" t="e">
        <f ca="1">stat(calculs!AK196)</f>
        <v>#NAME?</v>
      </c>
      <c r="AL196" s="523" t="e">
        <f ca="1">stat(calculs!AL196)</f>
        <v>#NAME?</v>
      </c>
      <c r="AM196" s="523" t="e">
        <f ca="1">stat(calculs!AM196)</f>
        <v>#NAME?</v>
      </c>
      <c r="AN196" s="523" t="e">
        <f ca="1">stat(calculs!AN196)</f>
        <v>#NAME?</v>
      </c>
      <c r="AO196" s="523" t="e">
        <f ca="1">stat(calculs!AO196)</f>
        <v>#NAME?</v>
      </c>
      <c r="AP196" s="523" t="e">
        <f ca="1">stat(calculs!AP196)</f>
        <v>#NAME?</v>
      </c>
      <c r="AQ196" s="523" t="e">
        <f ca="1">stat(calculs!AQ196)</f>
        <v>#NAME?</v>
      </c>
      <c r="AV196" s="525" t="str">
        <f>stat(calculs!AV196)</f>
        <v/>
      </c>
      <c r="AW196" s="525" t="str">
        <f>stat(calculs!AW196)</f>
        <v/>
      </c>
      <c r="AX196" s="525" t="str">
        <f>stat(calculs!AX196)</f>
        <v/>
      </c>
      <c r="AY196" s="525" t="e">
        <f ca="1">stat(calculs!AY196)</f>
        <v>#NAME?</v>
      </c>
      <c r="AZ196" s="525" t="e">
        <f ca="1">stat(calculs!AZ196)</f>
        <v>#NAME?</v>
      </c>
      <c r="BA196" s="525" t="e">
        <f ca="1">stat(calculs!BA196)</f>
        <v>#NAME?</v>
      </c>
      <c r="BB196" s="525" t="e">
        <f ca="1">stat(calculs!BB196)</f>
        <v>#NAME?</v>
      </c>
      <c r="BC196" s="525" t="e">
        <f ca="1">stat(calculs!BC196)</f>
        <v>#NAME?</v>
      </c>
      <c r="BD196" s="525" t="e">
        <f ca="1">stat(calculs!BD196)</f>
        <v>#NAME?</v>
      </c>
      <c r="BE196" s="525" t="e">
        <f ca="1">stat(calculs!BE196)</f>
        <v>#NAME?</v>
      </c>
      <c r="BF196" s="525" t="e">
        <f ca="1">stat(calculs!BF196)</f>
        <v>#NAME?</v>
      </c>
      <c r="BG196" s="729" t="e">
        <f ca="1">stat(calculs!BG196)</f>
        <v>#NAME?</v>
      </c>
      <c r="BH196" s="729" t="e">
        <f ca="1">stat(calculs!BH196)</f>
        <v>#NAME?</v>
      </c>
      <c r="BI196" s="729" t="e">
        <f ca="1">stat(calculs!BI196)</f>
        <v>#NAME?</v>
      </c>
      <c r="BJ196" s="729" t="e">
        <f ca="1">stat(calculs!BJ196)</f>
        <v>#NAME?</v>
      </c>
      <c r="BK196" s="729" t="e">
        <f ca="1">stat(calculs!BK196)</f>
        <v>#NAME?</v>
      </c>
      <c r="BL196" s="525" t="e">
        <f ca="1">stat(calculs!BL196)</f>
        <v>#NAME?</v>
      </c>
      <c r="BM196" s="525" t="e">
        <f ca="1">stat(calculs!BM196)</f>
        <v>#NAME?</v>
      </c>
      <c r="BN196" s="525" t="e">
        <f ca="1">stat(calculs!BN196)</f>
        <v>#NAME?</v>
      </c>
      <c r="BO196" s="525" t="e">
        <f ca="1">stat(calculs!BO196)</f>
        <v>#NAME?</v>
      </c>
      <c r="BP196" s="525" t="e">
        <f ca="1">stat(calculs!BP196)</f>
        <v>#NAME?</v>
      </c>
      <c r="BQ196" s="525" t="e">
        <f ca="1">stat(calculs!BQ196)</f>
        <v>#NAME?</v>
      </c>
      <c r="BR196" s="525" t="e">
        <f ca="1">stat(calculs!BR196)</f>
        <v>#NAME?</v>
      </c>
    </row>
    <row r="197" spans="1:70" x14ac:dyDescent="0.2">
      <c r="A197" s="222">
        <f>données_step[[#This Row],[Datum]]</f>
        <v>44748</v>
      </c>
      <c r="B197" s="223"/>
      <c r="C197" s="224">
        <f t="shared" si="2"/>
        <v>4</v>
      </c>
      <c r="D197" s="523" t="e">
        <f ca="1">stat(charge_entree[[#This Row],[ch_E_DBO5]])</f>
        <v>#NAME?</v>
      </c>
      <c r="E197" s="523" t="e">
        <f ca="1">stat(charge_entree[[#This Row],[ch_E_DCO]])</f>
        <v>#NAME?</v>
      </c>
      <c r="F197" s="523" t="e">
        <f ca="1">stat(charge_entree[[#This Row],[ch_E_COT]])</f>
        <v>#NAME?</v>
      </c>
      <c r="G197" s="523" t="e">
        <f ca="1">stat(charge_entree[[#This Row],[ch_E_NH4]])</f>
        <v>#NAME?</v>
      </c>
      <c r="H197" s="523" t="e">
        <f ca="1">stat(charge_entree[[#This Row],[ch_E_NTOT]])</f>
        <v>#NAME?</v>
      </c>
      <c r="I197" s="523" t="e">
        <f ca="1">stat(charge_entree[[#This Row],[ch_E_PTOT]])</f>
        <v>#NAME?</v>
      </c>
      <c r="J197" s="523" t="e">
        <f ca="1">stat(charge_entree[[#This Row],[ch_S_DBO]])</f>
        <v>#NAME?</v>
      </c>
      <c r="K197" s="523" t="e">
        <f ca="1">stat(charge_entree[[#This Row],[ch_S-DCO]])</f>
        <v>#NAME?</v>
      </c>
      <c r="L197" s="523" t="e">
        <f ca="1">stat(charge_entree[[#This Row],[ch_S_DOC]])</f>
        <v>#NAME?</v>
      </c>
      <c r="M197" s="523" t="e">
        <f ca="1">stat(charge_entree[[#This Row],[ch_S_NH4]])</f>
        <v>#NAME?</v>
      </c>
      <c r="N197" s="523" t="e">
        <f ca="1">stat(charge_entree[[#This Row],[ch_S_NO2]])</f>
        <v>#NAME?</v>
      </c>
      <c r="O197" s="523" t="e">
        <f ca="1">stat(charge_entree[[#This Row],[ch_S_NO3]])</f>
        <v>#NAME?</v>
      </c>
      <c r="P197" s="523" t="e">
        <f ca="1">stat(charge_entree[[#This Row],[ch_S_PTOT]])</f>
        <v>#NAME?</v>
      </c>
      <c r="Q197" s="523" t="e">
        <f ca="1">stat(charge_entree[[#This Row],[ch_S_SNDT]])</f>
        <v>#NAME?</v>
      </c>
      <c r="R197" s="523">
        <f>calculs!R197</f>
        <v>0</v>
      </c>
      <c r="S197" s="523" t="e">
        <f ca="1">stat(calculs!S197)</f>
        <v>#NAME?</v>
      </c>
      <c r="T197" s="523" t="e">
        <f ca="1">stat(calculs!T197)</f>
        <v>#NAME?</v>
      </c>
      <c r="U197" s="523" t="e">
        <f ca="1">stat(calculs!U197)</f>
        <v>#NAME?</v>
      </c>
      <c r="V197" s="523" t="e">
        <f ca="1">stat(calculs!V197)</f>
        <v>#NAME?</v>
      </c>
      <c r="W197" s="523" t="e">
        <f ca="1">stat(calculs!W197)</f>
        <v>#NAME?</v>
      </c>
      <c r="X197" s="523" t="e">
        <f ca="1">stat(calculs!X197)</f>
        <v>#NAME?</v>
      </c>
      <c r="Y197" s="523" t="e">
        <f ca="1">stat(calculs!Y197)</f>
        <v>#NAME?</v>
      </c>
      <c r="Z197" s="523" t="e">
        <f ca="1">stat(calculs!Z197)</f>
        <v>#NAME?</v>
      </c>
      <c r="AA197" s="523" t="e">
        <f ca="1">stat(calculs!AA197)</f>
        <v>#NAME?</v>
      </c>
      <c r="AB197" s="523" t="e">
        <f ca="1">stat(calculs!AB197)</f>
        <v>#NAME?</v>
      </c>
      <c r="AC197" s="523" t="e">
        <f ca="1">stat(calculs!AC197)</f>
        <v>#NAME?</v>
      </c>
      <c r="AD197" s="523" t="e">
        <f ca="1">stat(calculs!AD197)</f>
        <v>#NAME?</v>
      </c>
      <c r="AE197" s="523" t="e">
        <f ca="1">stat(calculs!AE197)</f>
        <v>#NAME?</v>
      </c>
      <c r="AF197" s="523" t="e">
        <f ca="1">stat(calculs!AF197)</f>
        <v>#NAME?</v>
      </c>
      <c r="AG197" s="523" t="e">
        <f ca="1">stat(calculs!AG197)</f>
        <v>#NAME?</v>
      </c>
      <c r="AH197" s="523" t="e">
        <f ca="1">stat(calculs!AH197)</f>
        <v>#NAME?</v>
      </c>
      <c r="AI197" s="523" t="e">
        <f ca="1">stat(calculs!AI197)</f>
        <v>#NAME?</v>
      </c>
      <c r="AJ197" s="523" t="e">
        <f ca="1">stat(calculs!AJ197)</f>
        <v>#NAME?</v>
      </c>
      <c r="AK197" s="523" t="e">
        <f ca="1">stat(calculs!AK197)</f>
        <v>#NAME?</v>
      </c>
      <c r="AL197" s="523" t="e">
        <f ca="1">stat(calculs!AL197)</f>
        <v>#NAME?</v>
      </c>
      <c r="AM197" s="523" t="e">
        <f ca="1">stat(calculs!AM197)</f>
        <v>#NAME?</v>
      </c>
      <c r="AN197" s="523" t="e">
        <f ca="1">stat(calculs!AN197)</f>
        <v>#NAME?</v>
      </c>
      <c r="AO197" s="523" t="e">
        <f ca="1">stat(calculs!AO197)</f>
        <v>#NAME?</v>
      </c>
      <c r="AP197" s="523" t="e">
        <f ca="1">stat(calculs!AP197)</f>
        <v>#NAME?</v>
      </c>
      <c r="AQ197" s="523" t="e">
        <f ca="1">stat(calculs!AQ197)</f>
        <v>#NAME?</v>
      </c>
      <c r="AV197" s="525" t="str">
        <f>stat(calculs!AV197)</f>
        <v/>
      </c>
      <c r="AW197" s="525" t="str">
        <f>stat(calculs!AW197)</f>
        <v/>
      </c>
      <c r="AX197" s="525" t="str">
        <f>stat(calculs!AX197)</f>
        <v/>
      </c>
      <c r="AY197" s="525" t="e">
        <f ca="1">stat(calculs!AY197)</f>
        <v>#NAME?</v>
      </c>
      <c r="AZ197" s="525" t="e">
        <f ca="1">stat(calculs!AZ197)</f>
        <v>#NAME?</v>
      </c>
      <c r="BA197" s="525" t="e">
        <f ca="1">stat(calculs!BA197)</f>
        <v>#NAME?</v>
      </c>
      <c r="BB197" s="525" t="e">
        <f ca="1">stat(calculs!BB197)</f>
        <v>#NAME?</v>
      </c>
      <c r="BC197" s="525" t="e">
        <f ca="1">stat(calculs!BC197)</f>
        <v>#NAME?</v>
      </c>
      <c r="BD197" s="525" t="e">
        <f ca="1">stat(calculs!BD197)</f>
        <v>#NAME?</v>
      </c>
      <c r="BE197" s="525" t="e">
        <f ca="1">stat(calculs!BE197)</f>
        <v>#NAME?</v>
      </c>
      <c r="BF197" s="525" t="e">
        <f ca="1">stat(calculs!BF197)</f>
        <v>#NAME?</v>
      </c>
      <c r="BG197" s="729" t="e">
        <f ca="1">stat(calculs!BG197)</f>
        <v>#NAME?</v>
      </c>
      <c r="BH197" s="729" t="e">
        <f ca="1">stat(calculs!BH197)</f>
        <v>#NAME?</v>
      </c>
      <c r="BI197" s="729" t="e">
        <f ca="1">stat(calculs!BI197)</f>
        <v>#NAME?</v>
      </c>
      <c r="BJ197" s="729" t="e">
        <f ca="1">stat(calculs!BJ197)</f>
        <v>#NAME?</v>
      </c>
      <c r="BK197" s="729" t="e">
        <f ca="1">stat(calculs!BK197)</f>
        <v>#NAME?</v>
      </c>
      <c r="BL197" s="525" t="e">
        <f ca="1">stat(calculs!BL197)</f>
        <v>#NAME?</v>
      </c>
      <c r="BM197" s="525" t="e">
        <f ca="1">stat(calculs!BM197)</f>
        <v>#NAME?</v>
      </c>
      <c r="BN197" s="525" t="e">
        <f ca="1">stat(calculs!BN197)</f>
        <v>#NAME?</v>
      </c>
      <c r="BO197" s="525" t="e">
        <f ca="1">stat(calculs!BO197)</f>
        <v>#NAME?</v>
      </c>
      <c r="BP197" s="525" t="e">
        <f ca="1">stat(calculs!BP197)</f>
        <v>#NAME?</v>
      </c>
      <c r="BQ197" s="525" t="e">
        <f ca="1">stat(calculs!BQ197)</f>
        <v>#NAME?</v>
      </c>
      <c r="BR197" s="525" t="e">
        <f ca="1">stat(calculs!BR197)</f>
        <v>#NAME?</v>
      </c>
    </row>
    <row r="198" spans="1:70" x14ac:dyDescent="0.2">
      <c r="A198" s="222">
        <f>données_step[[#This Row],[Datum]]</f>
        <v>44749</v>
      </c>
      <c r="B198" s="223"/>
      <c r="C198" s="224">
        <f t="shared" si="2"/>
        <v>5</v>
      </c>
      <c r="D198" s="523" t="e">
        <f ca="1">stat(charge_entree[[#This Row],[ch_E_DBO5]])</f>
        <v>#NAME?</v>
      </c>
      <c r="E198" s="523" t="e">
        <f ca="1">stat(charge_entree[[#This Row],[ch_E_DCO]])</f>
        <v>#NAME?</v>
      </c>
      <c r="F198" s="523" t="e">
        <f ca="1">stat(charge_entree[[#This Row],[ch_E_COT]])</f>
        <v>#NAME?</v>
      </c>
      <c r="G198" s="523" t="e">
        <f ca="1">stat(charge_entree[[#This Row],[ch_E_NH4]])</f>
        <v>#NAME?</v>
      </c>
      <c r="H198" s="523" t="e">
        <f ca="1">stat(charge_entree[[#This Row],[ch_E_NTOT]])</f>
        <v>#NAME?</v>
      </c>
      <c r="I198" s="523" t="e">
        <f ca="1">stat(charge_entree[[#This Row],[ch_E_PTOT]])</f>
        <v>#NAME?</v>
      </c>
      <c r="J198" s="523" t="e">
        <f ca="1">stat(charge_entree[[#This Row],[ch_S_DBO]])</f>
        <v>#NAME?</v>
      </c>
      <c r="K198" s="523" t="e">
        <f ca="1">stat(charge_entree[[#This Row],[ch_S-DCO]])</f>
        <v>#NAME?</v>
      </c>
      <c r="L198" s="523" t="e">
        <f ca="1">stat(charge_entree[[#This Row],[ch_S_DOC]])</f>
        <v>#NAME?</v>
      </c>
      <c r="M198" s="523" t="e">
        <f ca="1">stat(charge_entree[[#This Row],[ch_S_NH4]])</f>
        <v>#NAME?</v>
      </c>
      <c r="N198" s="523" t="e">
        <f ca="1">stat(charge_entree[[#This Row],[ch_S_NO2]])</f>
        <v>#NAME?</v>
      </c>
      <c r="O198" s="523" t="e">
        <f ca="1">stat(charge_entree[[#This Row],[ch_S_NO3]])</f>
        <v>#NAME?</v>
      </c>
      <c r="P198" s="523" t="e">
        <f ca="1">stat(charge_entree[[#This Row],[ch_S_PTOT]])</f>
        <v>#NAME?</v>
      </c>
      <c r="Q198" s="523" t="e">
        <f ca="1">stat(charge_entree[[#This Row],[ch_S_SNDT]])</f>
        <v>#NAME?</v>
      </c>
      <c r="R198" s="523">
        <f>calculs!R198</f>
        <v>0</v>
      </c>
      <c r="S198" s="523" t="e">
        <f ca="1">stat(calculs!S198)</f>
        <v>#NAME?</v>
      </c>
      <c r="T198" s="523" t="e">
        <f ca="1">stat(calculs!T198)</f>
        <v>#NAME?</v>
      </c>
      <c r="U198" s="523" t="e">
        <f ca="1">stat(calculs!U198)</f>
        <v>#NAME?</v>
      </c>
      <c r="V198" s="523" t="e">
        <f ca="1">stat(calculs!V198)</f>
        <v>#NAME?</v>
      </c>
      <c r="W198" s="523" t="e">
        <f ca="1">stat(calculs!W198)</f>
        <v>#NAME?</v>
      </c>
      <c r="X198" s="523" t="e">
        <f ca="1">stat(calculs!X198)</f>
        <v>#NAME?</v>
      </c>
      <c r="Y198" s="523" t="e">
        <f ca="1">stat(calculs!Y198)</f>
        <v>#NAME?</v>
      </c>
      <c r="Z198" s="523" t="e">
        <f ca="1">stat(calculs!Z198)</f>
        <v>#NAME?</v>
      </c>
      <c r="AA198" s="523" t="e">
        <f ca="1">stat(calculs!AA198)</f>
        <v>#NAME?</v>
      </c>
      <c r="AB198" s="523" t="e">
        <f ca="1">stat(calculs!AB198)</f>
        <v>#NAME?</v>
      </c>
      <c r="AC198" s="523" t="e">
        <f ca="1">stat(calculs!AC198)</f>
        <v>#NAME?</v>
      </c>
      <c r="AD198" s="523" t="e">
        <f ca="1">stat(calculs!AD198)</f>
        <v>#NAME?</v>
      </c>
      <c r="AE198" s="523" t="e">
        <f ca="1">stat(calculs!AE198)</f>
        <v>#NAME?</v>
      </c>
      <c r="AF198" s="523" t="e">
        <f ca="1">stat(calculs!AF198)</f>
        <v>#NAME?</v>
      </c>
      <c r="AG198" s="523" t="e">
        <f ca="1">stat(calculs!AG198)</f>
        <v>#NAME?</v>
      </c>
      <c r="AH198" s="523" t="e">
        <f ca="1">stat(calculs!AH198)</f>
        <v>#NAME?</v>
      </c>
      <c r="AI198" s="523" t="e">
        <f ca="1">stat(calculs!AI198)</f>
        <v>#NAME?</v>
      </c>
      <c r="AJ198" s="523" t="e">
        <f ca="1">stat(calculs!AJ198)</f>
        <v>#NAME?</v>
      </c>
      <c r="AK198" s="523" t="e">
        <f ca="1">stat(calculs!AK198)</f>
        <v>#NAME?</v>
      </c>
      <c r="AL198" s="523" t="e">
        <f ca="1">stat(calculs!AL198)</f>
        <v>#NAME?</v>
      </c>
      <c r="AM198" s="523" t="e">
        <f ca="1">stat(calculs!AM198)</f>
        <v>#NAME?</v>
      </c>
      <c r="AN198" s="523" t="e">
        <f ca="1">stat(calculs!AN198)</f>
        <v>#NAME?</v>
      </c>
      <c r="AO198" s="523" t="e">
        <f ca="1">stat(calculs!AO198)</f>
        <v>#NAME?</v>
      </c>
      <c r="AP198" s="523" t="e">
        <f ca="1">stat(calculs!AP198)</f>
        <v>#NAME?</v>
      </c>
      <c r="AQ198" s="523" t="e">
        <f ca="1">stat(calculs!AQ198)</f>
        <v>#NAME?</v>
      </c>
      <c r="AV198" s="525" t="str">
        <f>stat(calculs!AV198)</f>
        <v/>
      </c>
      <c r="AW198" s="525" t="str">
        <f>stat(calculs!AW198)</f>
        <v/>
      </c>
      <c r="AX198" s="525" t="str">
        <f>stat(calculs!AX198)</f>
        <v/>
      </c>
      <c r="AY198" s="525" t="e">
        <f ca="1">stat(calculs!AY198)</f>
        <v>#NAME?</v>
      </c>
      <c r="AZ198" s="525" t="e">
        <f ca="1">stat(calculs!AZ198)</f>
        <v>#NAME?</v>
      </c>
      <c r="BA198" s="525" t="e">
        <f ca="1">stat(calculs!BA198)</f>
        <v>#NAME?</v>
      </c>
      <c r="BB198" s="525" t="e">
        <f ca="1">stat(calculs!BB198)</f>
        <v>#NAME?</v>
      </c>
      <c r="BC198" s="525" t="e">
        <f ca="1">stat(calculs!BC198)</f>
        <v>#NAME?</v>
      </c>
      <c r="BD198" s="525" t="e">
        <f ca="1">stat(calculs!BD198)</f>
        <v>#NAME?</v>
      </c>
      <c r="BE198" s="525" t="e">
        <f ca="1">stat(calculs!BE198)</f>
        <v>#NAME?</v>
      </c>
      <c r="BF198" s="525" t="e">
        <f ca="1">stat(calculs!BF198)</f>
        <v>#NAME?</v>
      </c>
      <c r="BG198" s="729" t="e">
        <f ca="1">stat(calculs!BG198)</f>
        <v>#NAME?</v>
      </c>
      <c r="BH198" s="729" t="e">
        <f ca="1">stat(calculs!BH198)</f>
        <v>#NAME?</v>
      </c>
      <c r="BI198" s="729" t="e">
        <f ca="1">stat(calculs!BI198)</f>
        <v>#NAME?</v>
      </c>
      <c r="BJ198" s="729" t="e">
        <f ca="1">stat(calculs!BJ198)</f>
        <v>#NAME?</v>
      </c>
      <c r="BK198" s="729" t="e">
        <f ca="1">stat(calculs!BK198)</f>
        <v>#NAME?</v>
      </c>
      <c r="BL198" s="525" t="e">
        <f ca="1">stat(calculs!BL198)</f>
        <v>#NAME?</v>
      </c>
      <c r="BM198" s="525" t="e">
        <f ca="1">stat(calculs!BM198)</f>
        <v>#NAME?</v>
      </c>
      <c r="BN198" s="525" t="e">
        <f ca="1">stat(calculs!BN198)</f>
        <v>#NAME?</v>
      </c>
      <c r="BO198" s="525" t="e">
        <f ca="1">stat(calculs!BO198)</f>
        <v>#NAME?</v>
      </c>
      <c r="BP198" s="525" t="e">
        <f ca="1">stat(calculs!BP198)</f>
        <v>#NAME?</v>
      </c>
      <c r="BQ198" s="525" t="e">
        <f ca="1">stat(calculs!BQ198)</f>
        <v>#NAME?</v>
      </c>
      <c r="BR198" s="525" t="e">
        <f ca="1">stat(calculs!BR198)</f>
        <v>#NAME?</v>
      </c>
    </row>
    <row r="199" spans="1:70" x14ac:dyDescent="0.2">
      <c r="A199" s="222">
        <f>données_step[[#This Row],[Datum]]</f>
        <v>44750</v>
      </c>
      <c r="B199" s="223"/>
      <c r="C199" s="224">
        <f t="shared" si="2"/>
        <v>6</v>
      </c>
      <c r="D199" s="523" t="e">
        <f ca="1">stat(charge_entree[[#This Row],[ch_E_DBO5]])</f>
        <v>#NAME?</v>
      </c>
      <c r="E199" s="523" t="e">
        <f ca="1">stat(charge_entree[[#This Row],[ch_E_DCO]])</f>
        <v>#NAME?</v>
      </c>
      <c r="F199" s="523" t="e">
        <f ca="1">stat(charge_entree[[#This Row],[ch_E_COT]])</f>
        <v>#NAME?</v>
      </c>
      <c r="G199" s="523" t="e">
        <f ca="1">stat(charge_entree[[#This Row],[ch_E_NH4]])</f>
        <v>#NAME?</v>
      </c>
      <c r="H199" s="523" t="e">
        <f ca="1">stat(charge_entree[[#This Row],[ch_E_NTOT]])</f>
        <v>#NAME?</v>
      </c>
      <c r="I199" s="523" t="e">
        <f ca="1">stat(charge_entree[[#This Row],[ch_E_PTOT]])</f>
        <v>#NAME?</v>
      </c>
      <c r="J199" s="523" t="e">
        <f ca="1">stat(charge_entree[[#This Row],[ch_S_DBO]])</f>
        <v>#NAME?</v>
      </c>
      <c r="K199" s="523" t="e">
        <f ca="1">stat(charge_entree[[#This Row],[ch_S-DCO]])</f>
        <v>#NAME?</v>
      </c>
      <c r="L199" s="523" t="e">
        <f ca="1">stat(charge_entree[[#This Row],[ch_S_DOC]])</f>
        <v>#NAME?</v>
      </c>
      <c r="M199" s="523" t="e">
        <f ca="1">stat(charge_entree[[#This Row],[ch_S_NH4]])</f>
        <v>#NAME?</v>
      </c>
      <c r="N199" s="523" t="e">
        <f ca="1">stat(charge_entree[[#This Row],[ch_S_NO2]])</f>
        <v>#NAME?</v>
      </c>
      <c r="O199" s="523" t="e">
        <f ca="1">stat(charge_entree[[#This Row],[ch_S_NO3]])</f>
        <v>#NAME?</v>
      </c>
      <c r="P199" s="523" t="e">
        <f ca="1">stat(charge_entree[[#This Row],[ch_S_PTOT]])</f>
        <v>#NAME?</v>
      </c>
      <c r="Q199" s="523" t="e">
        <f ca="1">stat(charge_entree[[#This Row],[ch_S_SNDT]])</f>
        <v>#NAME?</v>
      </c>
      <c r="R199" s="523">
        <f>calculs!R199</f>
        <v>0</v>
      </c>
      <c r="S199" s="523" t="e">
        <f ca="1">stat(calculs!S199)</f>
        <v>#NAME?</v>
      </c>
      <c r="T199" s="523" t="e">
        <f ca="1">stat(calculs!T199)</f>
        <v>#NAME?</v>
      </c>
      <c r="U199" s="523" t="e">
        <f ca="1">stat(calculs!U199)</f>
        <v>#NAME?</v>
      </c>
      <c r="V199" s="523" t="e">
        <f ca="1">stat(calculs!V199)</f>
        <v>#NAME?</v>
      </c>
      <c r="W199" s="523" t="e">
        <f ca="1">stat(calculs!W199)</f>
        <v>#NAME?</v>
      </c>
      <c r="X199" s="523" t="e">
        <f ca="1">stat(calculs!X199)</f>
        <v>#NAME?</v>
      </c>
      <c r="Y199" s="523" t="e">
        <f ca="1">stat(calculs!Y199)</f>
        <v>#NAME?</v>
      </c>
      <c r="Z199" s="523" t="e">
        <f ca="1">stat(calculs!Z199)</f>
        <v>#NAME?</v>
      </c>
      <c r="AA199" s="523" t="e">
        <f ca="1">stat(calculs!AA199)</f>
        <v>#NAME?</v>
      </c>
      <c r="AB199" s="523" t="e">
        <f ca="1">stat(calculs!AB199)</f>
        <v>#NAME?</v>
      </c>
      <c r="AC199" s="523" t="e">
        <f ca="1">stat(calculs!AC199)</f>
        <v>#NAME?</v>
      </c>
      <c r="AD199" s="523" t="e">
        <f ca="1">stat(calculs!AD199)</f>
        <v>#NAME?</v>
      </c>
      <c r="AE199" s="523" t="e">
        <f ca="1">stat(calculs!AE199)</f>
        <v>#NAME?</v>
      </c>
      <c r="AF199" s="523" t="e">
        <f ca="1">stat(calculs!AF199)</f>
        <v>#NAME?</v>
      </c>
      <c r="AG199" s="523" t="e">
        <f ca="1">stat(calculs!AG199)</f>
        <v>#NAME?</v>
      </c>
      <c r="AH199" s="523" t="e">
        <f ca="1">stat(calculs!AH199)</f>
        <v>#NAME?</v>
      </c>
      <c r="AI199" s="523" t="e">
        <f ca="1">stat(calculs!AI199)</f>
        <v>#NAME?</v>
      </c>
      <c r="AJ199" s="523" t="e">
        <f ca="1">stat(calculs!AJ199)</f>
        <v>#NAME?</v>
      </c>
      <c r="AK199" s="523" t="e">
        <f ca="1">stat(calculs!AK199)</f>
        <v>#NAME?</v>
      </c>
      <c r="AL199" s="523" t="e">
        <f ca="1">stat(calculs!AL199)</f>
        <v>#NAME?</v>
      </c>
      <c r="AM199" s="523" t="e">
        <f ca="1">stat(calculs!AM199)</f>
        <v>#NAME?</v>
      </c>
      <c r="AN199" s="523" t="e">
        <f ca="1">stat(calculs!AN199)</f>
        <v>#NAME?</v>
      </c>
      <c r="AO199" s="523" t="e">
        <f ca="1">stat(calculs!AO199)</f>
        <v>#NAME?</v>
      </c>
      <c r="AP199" s="523" t="e">
        <f ca="1">stat(calculs!AP199)</f>
        <v>#NAME?</v>
      </c>
      <c r="AQ199" s="523" t="e">
        <f ca="1">stat(calculs!AQ199)</f>
        <v>#NAME?</v>
      </c>
      <c r="AV199" s="525" t="str">
        <f>stat(calculs!AV199)</f>
        <v/>
      </c>
      <c r="AW199" s="525" t="str">
        <f>stat(calculs!AW199)</f>
        <v/>
      </c>
      <c r="AX199" s="525" t="str">
        <f>stat(calculs!AX199)</f>
        <v/>
      </c>
      <c r="AY199" s="525" t="e">
        <f ca="1">stat(calculs!AY199)</f>
        <v>#NAME?</v>
      </c>
      <c r="AZ199" s="525" t="e">
        <f ca="1">stat(calculs!AZ199)</f>
        <v>#NAME?</v>
      </c>
      <c r="BA199" s="525" t="e">
        <f ca="1">stat(calculs!BA199)</f>
        <v>#NAME?</v>
      </c>
      <c r="BB199" s="525" t="e">
        <f ca="1">stat(calculs!BB199)</f>
        <v>#NAME?</v>
      </c>
      <c r="BC199" s="525" t="e">
        <f ca="1">stat(calculs!BC199)</f>
        <v>#NAME?</v>
      </c>
      <c r="BD199" s="525" t="e">
        <f ca="1">stat(calculs!BD199)</f>
        <v>#NAME?</v>
      </c>
      <c r="BE199" s="525" t="e">
        <f ca="1">stat(calculs!BE199)</f>
        <v>#NAME?</v>
      </c>
      <c r="BF199" s="525" t="e">
        <f ca="1">stat(calculs!BF199)</f>
        <v>#NAME?</v>
      </c>
      <c r="BG199" s="729" t="e">
        <f ca="1">stat(calculs!BG199)</f>
        <v>#NAME?</v>
      </c>
      <c r="BH199" s="729" t="e">
        <f ca="1">stat(calculs!BH199)</f>
        <v>#NAME?</v>
      </c>
      <c r="BI199" s="729" t="e">
        <f ca="1">stat(calculs!BI199)</f>
        <v>#NAME?</v>
      </c>
      <c r="BJ199" s="729" t="e">
        <f ca="1">stat(calculs!BJ199)</f>
        <v>#NAME?</v>
      </c>
      <c r="BK199" s="729" t="e">
        <f ca="1">stat(calculs!BK199)</f>
        <v>#NAME?</v>
      </c>
      <c r="BL199" s="525" t="e">
        <f ca="1">stat(calculs!BL199)</f>
        <v>#NAME?</v>
      </c>
      <c r="BM199" s="525" t="e">
        <f ca="1">stat(calculs!BM199)</f>
        <v>#NAME?</v>
      </c>
      <c r="BN199" s="525" t="e">
        <f ca="1">stat(calculs!BN199)</f>
        <v>#NAME?</v>
      </c>
      <c r="BO199" s="525" t="e">
        <f ca="1">stat(calculs!BO199)</f>
        <v>#NAME?</v>
      </c>
      <c r="BP199" s="525" t="e">
        <f ca="1">stat(calculs!BP199)</f>
        <v>#NAME?</v>
      </c>
      <c r="BQ199" s="525" t="e">
        <f ca="1">stat(calculs!BQ199)</f>
        <v>#NAME?</v>
      </c>
      <c r="BR199" s="525" t="e">
        <f ca="1">stat(calculs!BR199)</f>
        <v>#NAME?</v>
      </c>
    </row>
    <row r="200" spans="1:70" x14ac:dyDescent="0.2">
      <c r="A200" s="222">
        <f>données_step[[#This Row],[Datum]]</f>
        <v>44751</v>
      </c>
      <c r="B200" s="223"/>
      <c r="C200" s="224">
        <f t="shared" si="2"/>
        <v>7</v>
      </c>
      <c r="D200" s="523" t="e">
        <f ca="1">stat(charge_entree[[#This Row],[ch_E_DBO5]])</f>
        <v>#NAME?</v>
      </c>
      <c r="E200" s="523" t="e">
        <f ca="1">stat(charge_entree[[#This Row],[ch_E_DCO]])</f>
        <v>#NAME?</v>
      </c>
      <c r="F200" s="523" t="e">
        <f ca="1">stat(charge_entree[[#This Row],[ch_E_COT]])</f>
        <v>#NAME?</v>
      </c>
      <c r="G200" s="523" t="e">
        <f ca="1">stat(charge_entree[[#This Row],[ch_E_NH4]])</f>
        <v>#NAME?</v>
      </c>
      <c r="H200" s="523" t="e">
        <f ca="1">stat(charge_entree[[#This Row],[ch_E_NTOT]])</f>
        <v>#NAME?</v>
      </c>
      <c r="I200" s="523" t="e">
        <f ca="1">stat(charge_entree[[#This Row],[ch_E_PTOT]])</f>
        <v>#NAME?</v>
      </c>
      <c r="J200" s="523" t="e">
        <f ca="1">stat(charge_entree[[#This Row],[ch_S_DBO]])</f>
        <v>#NAME?</v>
      </c>
      <c r="K200" s="523" t="e">
        <f ca="1">stat(charge_entree[[#This Row],[ch_S-DCO]])</f>
        <v>#NAME?</v>
      </c>
      <c r="L200" s="523" t="e">
        <f ca="1">stat(charge_entree[[#This Row],[ch_S_DOC]])</f>
        <v>#NAME?</v>
      </c>
      <c r="M200" s="523" t="e">
        <f ca="1">stat(charge_entree[[#This Row],[ch_S_NH4]])</f>
        <v>#NAME?</v>
      </c>
      <c r="N200" s="523" t="e">
        <f ca="1">stat(charge_entree[[#This Row],[ch_S_NO2]])</f>
        <v>#NAME?</v>
      </c>
      <c r="O200" s="523" t="e">
        <f ca="1">stat(charge_entree[[#This Row],[ch_S_NO3]])</f>
        <v>#NAME?</v>
      </c>
      <c r="P200" s="523" t="e">
        <f ca="1">stat(charge_entree[[#This Row],[ch_S_PTOT]])</f>
        <v>#NAME?</v>
      </c>
      <c r="Q200" s="523" t="e">
        <f ca="1">stat(charge_entree[[#This Row],[ch_S_SNDT]])</f>
        <v>#NAME?</v>
      </c>
      <c r="R200" s="523">
        <f>calculs!R200</f>
        <v>0</v>
      </c>
      <c r="S200" s="523" t="e">
        <f ca="1">stat(calculs!S200)</f>
        <v>#NAME?</v>
      </c>
      <c r="T200" s="523" t="e">
        <f ca="1">stat(calculs!T200)</f>
        <v>#NAME?</v>
      </c>
      <c r="U200" s="523" t="e">
        <f ca="1">stat(calculs!U200)</f>
        <v>#NAME?</v>
      </c>
      <c r="V200" s="523" t="e">
        <f ca="1">stat(calculs!V200)</f>
        <v>#NAME?</v>
      </c>
      <c r="W200" s="523" t="e">
        <f ca="1">stat(calculs!W200)</f>
        <v>#NAME?</v>
      </c>
      <c r="X200" s="523" t="e">
        <f ca="1">stat(calculs!X200)</f>
        <v>#NAME?</v>
      </c>
      <c r="Y200" s="523" t="e">
        <f ca="1">stat(calculs!Y200)</f>
        <v>#NAME?</v>
      </c>
      <c r="Z200" s="523" t="e">
        <f ca="1">stat(calculs!Z200)</f>
        <v>#NAME?</v>
      </c>
      <c r="AA200" s="523" t="e">
        <f ca="1">stat(calculs!AA200)</f>
        <v>#NAME?</v>
      </c>
      <c r="AB200" s="523" t="e">
        <f ca="1">stat(calculs!AB200)</f>
        <v>#NAME?</v>
      </c>
      <c r="AC200" s="523" t="e">
        <f ca="1">stat(calculs!AC200)</f>
        <v>#NAME?</v>
      </c>
      <c r="AD200" s="523" t="e">
        <f ca="1">stat(calculs!AD200)</f>
        <v>#NAME?</v>
      </c>
      <c r="AE200" s="523" t="e">
        <f ca="1">stat(calculs!AE200)</f>
        <v>#NAME?</v>
      </c>
      <c r="AF200" s="523" t="e">
        <f ca="1">stat(calculs!AF200)</f>
        <v>#NAME?</v>
      </c>
      <c r="AG200" s="523" t="e">
        <f ca="1">stat(calculs!AG200)</f>
        <v>#NAME?</v>
      </c>
      <c r="AH200" s="523" t="e">
        <f ca="1">stat(calculs!AH200)</f>
        <v>#NAME?</v>
      </c>
      <c r="AI200" s="523" t="e">
        <f ca="1">stat(calculs!AI200)</f>
        <v>#NAME?</v>
      </c>
      <c r="AJ200" s="523" t="e">
        <f ca="1">stat(calculs!AJ200)</f>
        <v>#NAME?</v>
      </c>
      <c r="AK200" s="523" t="e">
        <f ca="1">stat(calculs!AK200)</f>
        <v>#NAME?</v>
      </c>
      <c r="AL200" s="523" t="e">
        <f ca="1">stat(calculs!AL200)</f>
        <v>#NAME?</v>
      </c>
      <c r="AM200" s="523" t="e">
        <f ca="1">stat(calculs!AM200)</f>
        <v>#NAME?</v>
      </c>
      <c r="AN200" s="523" t="e">
        <f ca="1">stat(calculs!AN200)</f>
        <v>#NAME?</v>
      </c>
      <c r="AO200" s="523" t="e">
        <f ca="1">stat(calculs!AO200)</f>
        <v>#NAME?</v>
      </c>
      <c r="AP200" s="523" t="e">
        <f ca="1">stat(calculs!AP200)</f>
        <v>#NAME?</v>
      </c>
      <c r="AQ200" s="523" t="e">
        <f ca="1">stat(calculs!AQ200)</f>
        <v>#NAME?</v>
      </c>
      <c r="AV200" s="525" t="str">
        <f>stat(calculs!AV200)</f>
        <v/>
      </c>
      <c r="AW200" s="525" t="str">
        <f>stat(calculs!AW200)</f>
        <v/>
      </c>
      <c r="AX200" s="525" t="str">
        <f>stat(calculs!AX200)</f>
        <v/>
      </c>
      <c r="AY200" s="525" t="e">
        <f ca="1">stat(calculs!AY200)</f>
        <v>#NAME?</v>
      </c>
      <c r="AZ200" s="525" t="e">
        <f ca="1">stat(calculs!AZ200)</f>
        <v>#NAME?</v>
      </c>
      <c r="BA200" s="525" t="e">
        <f ca="1">stat(calculs!BA200)</f>
        <v>#NAME?</v>
      </c>
      <c r="BB200" s="525" t="e">
        <f ca="1">stat(calculs!BB200)</f>
        <v>#NAME?</v>
      </c>
      <c r="BC200" s="525" t="e">
        <f ca="1">stat(calculs!BC200)</f>
        <v>#NAME?</v>
      </c>
      <c r="BD200" s="525" t="e">
        <f ca="1">stat(calculs!BD200)</f>
        <v>#NAME?</v>
      </c>
      <c r="BE200" s="525" t="e">
        <f ca="1">stat(calculs!BE200)</f>
        <v>#NAME?</v>
      </c>
      <c r="BF200" s="525" t="e">
        <f ca="1">stat(calculs!BF200)</f>
        <v>#NAME?</v>
      </c>
      <c r="BG200" s="729" t="e">
        <f ca="1">stat(calculs!BG200)</f>
        <v>#NAME?</v>
      </c>
      <c r="BH200" s="729" t="e">
        <f ca="1">stat(calculs!BH200)</f>
        <v>#NAME?</v>
      </c>
      <c r="BI200" s="729" t="e">
        <f ca="1">stat(calculs!BI200)</f>
        <v>#NAME?</v>
      </c>
      <c r="BJ200" s="729" t="e">
        <f ca="1">stat(calculs!BJ200)</f>
        <v>#NAME?</v>
      </c>
      <c r="BK200" s="729" t="e">
        <f ca="1">stat(calculs!BK200)</f>
        <v>#NAME?</v>
      </c>
      <c r="BL200" s="525" t="e">
        <f ca="1">stat(calculs!BL200)</f>
        <v>#NAME?</v>
      </c>
      <c r="BM200" s="525" t="e">
        <f ca="1">stat(calculs!BM200)</f>
        <v>#NAME?</v>
      </c>
      <c r="BN200" s="525" t="e">
        <f ca="1">stat(calculs!BN200)</f>
        <v>#NAME?</v>
      </c>
      <c r="BO200" s="525" t="e">
        <f ca="1">stat(calculs!BO200)</f>
        <v>#NAME?</v>
      </c>
      <c r="BP200" s="525" t="e">
        <f ca="1">stat(calculs!BP200)</f>
        <v>#NAME?</v>
      </c>
      <c r="BQ200" s="525" t="e">
        <f ca="1">stat(calculs!BQ200)</f>
        <v>#NAME?</v>
      </c>
      <c r="BR200" s="525" t="e">
        <f ca="1">stat(calculs!BR200)</f>
        <v>#NAME?</v>
      </c>
    </row>
    <row r="201" spans="1:70" x14ac:dyDescent="0.2">
      <c r="A201" s="222">
        <f>données_step[[#This Row],[Datum]]</f>
        <v>44752</v>
      </c>
      <c r="B201" s="223"/>
      <c r="C201" s="224">
        <f t="shared" si="2"/>
        <v>1</v>
      </c>
      <c r="D201" s="523" t="e">
        <f ca="1">stat(charge_entree[[#This Row],[ch_E_DBO5]])</f>
        <v>#NAME?</v>
      </c>
      <c r="E201" s="523" t="e">
        <f ca="1">stat(charge_entree[[#This Row],[ch_E_DCO]])</f>
        <v>#NAME?</v>
      </c>
      <c r="F201" s="523" t="e">
        <f ca="1">stat(charge_entree[[#This Row],[ch_E_COT]])</f>
        <v>#NAME?</v>
      </c>
      <c r="G201" s="523" t="e">
        <f ca="1">stat(charge_entree[[#This Row],[ch_E_NH4]])</f>
        <v>#NAME?</v>
      </c>
      <c r="H201" s="523" t="e">
        <f ca="1">stat(charge_entree[[#This Row],[ch_E_NTOT]])</f>
        <v>#NAME?</v>
      </c>
      <c r="I201" s="523" t="e">
        <f ca="1">stat(charge_entree[[#This Row],[ch_E_PTOT]])</f>
        <v>#NAME?</v>
      </c>
      <c r="J201" s="523" t="e">
        <f ca="1">stat(charge_entree[[#This Row],[ch_S_DBO]])</f>
        <v>#NAME?</v>
      </c>
      <c r="K201" s="523" t="e">
        <f ca="1">stat(charge_entree[[#This Row],[ch_S-DCO]])</f>
        <v>#NAME?</v>
      </c>
      <c r="L201" s="523" t="e">
        <f ca="1">stat(charge_entree[[#This Row],[ch_S_DOC]])</f>
        <v>#NAME?</v>
      </c>
      <c r="M201" s="523" t="e">
        <f ca="1">stat(charge_entree[[#This Row],[ch_S_NH4]])</f>
        <v>#NAME?</v>
      </c>
      <c r="N201" s="523" t="e">
        <f ca="1">stat(charge_entree[[#This Row],[ch_S_NO2]])</f>
        <v>#NAME?</v>
      </c>
      <c r="O201" s="523" t="e">
        <f ca="1">stat(charge_entree[[#This Row],[ch_S_NO3]])</f>
        <v>#NAME?</v>
      </c>
      <c r="P201" s="523" t="e">
        <f ca="1">stat(charge_entree[[#This Row],[ch_S_PTOT]])</f>
        <v>#NAME?</v>
      </c>
      <c r="Q201" s="523" t="e">
        <f ca="1">stat(charge_entree[[#This Row],[ch_S_SNDT]])</f>
        <v>#NAME?</v>
      </c>
      <c r="R201" s="523">
        <f>calculs!R201</f>
        <v>0</v>
      </c>
      <c r="S201" s="523" t="e">
        <f ca="1">stat(calculs!S201)</f>
        <v>#NAME?</v>
      </c>
      <c r="T201" s="523" t="e">
        <f ca="1">stat(calculs!T201)</f>
        <v>#NAME?</v>
      </c>
      <c r="U201" s="523" t="e">
        <f ca="1">stat(calculs!U201)</f>
        <v>#NAME?</v>
      </c>
      <c r="V201" s="523" t="e">
        <f ca="1">stat(calculs!V201)</f>
        <v>#NAME?</v>
      </c>
      <c r="W201" s="523" t="e">
        <f ca="1">stat(calculs!W201)</f>
        <v>#NAME?</v>
      </c>
      <c r="X201" s="523" t="e">
        <f ca="1">stat(calculs!X201)</f>
        <v>#NAME?</v>
      </c>
      <c r="Y201" s="523" t="e">
        <f ca="1">stat(calculs!Y201)</f>
        <v>#NAME?</v>
      </c>
      <c r="Z201" s="523" t="e">
        <f ca="1">stat(calculs!Z201)</f>
        <v>#NAME?</v>
      </c>
      <c r="AA201" s="523" t="e">
        <f ca="1">stat(calculs!AA201)</f>
        <v>#NAME?</v>
      </c>
      <c r="AB201" s="523" t="e">
        <f ca="1">stat(calculs!AB201)</f>
        <v>#NAME?</v>
      </c>
      <c r="AC201" s="523" t="e">
        <f ca="1">stat(calculs!AC201)</f>
        <v>#NAME?</v>
      </c>
      <c r="AD201" s="523" t="e">
        <f ca="1">stat(calculs!AD201)</f>
        <v>#NAME?</v>
      </c>
      <c r="AE201" s="523" t="e">
        <f ca="1">stat(calculs!AE201)</f>
        <v>#NAME?</v>
      </c>
      <c r="AF201" s="523" t="e">
        <f ca="1">stat(calculs!AF201)</f>
        <v>#NAME?</v>
      </c>
      <c r="AG201" s="523" t="e">
        <f ca="1">stat(calculs!AG201)</f>
        <v>#NAME?</v>
      </c>
      <c r="AH201" s="523" t="e">
        <f ca="1">stat(calculs!AH201)</f>
        <v>#NAME?</v>
      </c>
      <c r="AI201" s="523" t="e">
        <f ca="1">stat(calculs!AI201)</f>
        <v>#NAME?</v>
      </c>
      <c r="AJ201" s="523" t="e">
        <f ca="1">stat(calculs!AJ201)</f>
        <v>#NAME?</v>
      </c>
      <c r="AK201" s="523" t="e">
        <f ca="1">stat(calculs!AK201)</f>
        <v>#NAME?</v>
      </c>
      <c r="AL201" s="523" t="e">
        <f ca="1">stat(calculs!AL201)</f>
        <v>#NAME?</v>
      </c>
      <c r="AM201" s="523" t="e">
        <f ca="1">stat(calculs!AM201)</f>
        <v>#NAME?</v>
      </c>
      <c r="AN201" s="523" t="e">
        <f ca="1">stat(calculs!AN201)</f>
        <v>#NAME?</v>
      </c>
      <c r="AO201" s="523" t="e">
        <f ca="1">stat(calculs!AO201)</f>
        <v>#NAME?</v>
      </c>
      <c r="AP201" s="523" t="e">
        <f ca="1">stat(calculs!AP201)</f>
        <v>#NAME?</v>
      </c>
      <c r="AQ201" s="523" t="e">
        <f ca="1">stat(calculs!AQ201)</f>
        <v>#NAME?</v>
      </c>
      <c r="AV201" s="525" t="str">
        <f>stat(calculs!AV201)</f>
        <v/>
      </c>
      <c r="AW201" s="525" t="str">
        <f>stat(calculs!AW201)</f>
        <v/>
      </c>
      <c r="AX201" s="525" t="str">
        <f>stat(calculs!AX201)</f>
        <v/>
      </c>
      <c r="AY201" s="525" t="e">
        <f ca="1">stat(calculs!AY201)</f>
        <v>#NAME?</v>
      </c>
      <c r="AZ201" s="525" t="e">
        <f ca="1">stat(calculs!AZ201)</f>
        <v>#NAME?</v>
      </c>
      <c r="BA201" s="525" t="e">
        <f ca="1">stat(calculs!BA201)</f>
        <v>#NAME?</v>
      </c>
      <c r="BB201" s="525" t="e">
        <f ca="1">stat(calculs!BB201)</f>
        <v>#NAME?</v>
      </c>
      <c r="BC201" s="525" t="e">
        <f ca="1">stat(calculs!BC201)</f>
        <v>#NAME?</v>
      </c>
      <c r="BD201" s="525" t="e">
        <f ca="1">stat(calculs!BD201)</f>
        <v>#NAME?</v>
      </c>
      <c r="BE201" s="525" t="e">
        <f ca="1">stat(calculs!BE201)</f>
        <v>#NAME?</v>
      </c>
      <c r="BF201" s="525" t="e">
        <f ca="1">stat(calculs!BF201)</f>
        <v>#NAME?</v>
      </c>
      <c r="BG201" s="729" t="e">
        <f ca="1">stat(calculs!BG201)</f>
        <v>#NAME?</v>
      </c>
      <c r="BH201" s="729" t="e">
        <f ca="1">stat(calculs!BH201)</f>
        <v>#NAME?</v>
      </c>
      <c r="BI201" s="729" t="e">
        <f ca="1">stat(calculs!BI201)</f>
        <v>#NAME?</v>
      </c>
      <c r="BJ201" s="729" t="e">
        <f ca="1">stat(calculs!BJ201)</f>
        <v>#NAME?</v>
      </c>
      <c r="BK201" s="729" t="e">
        <f ca="1">stat(calculs!BK201)</f>
        <v>#NAME?</v>
      </c>
      <c r="BL201" s="525" t="e">
        <f ca="1">stat(calculs!BL201)</f>
        <v>#NAME?</v>
      </c>
      <c r="BM201" s="525" t="e">
        <f ca="1">stat(calculs!BM201)</f>
        <v>#NAME?</v>
      </c>
      <c r="BN201" s="525" t="e">
        <f ca="1">stat(calculs!BN201)</f>
        <v>#NAME?</v>
      </c>
      <c r="BO201" s="525" t="e">
        <f ca="1">stat(calculs!BO201)</f>
        <v>#NAME?</v>
      </c>
      <c r="BP201" s="525" t="e">
        <f ca="1">stat(calculs!BP201)</f>
        <v>#NAME?</v>
      </c>
      <c r="BQ201" s="525" t="e">
        <f ca="1">stat(calculs!BQ201)</f>
        <v>#NAME?</v>
      </c>
      <c r="BR201" s="525" t="e">
        <f ca="1">stat(calculs!BR201)</f>
        <v>#NAME?</v>
      </c>
    </row>
    <row r="202" spans="1:70" x14ac:dyDescent="0.2">
      <c r="A202" s="222">
        <f>données_step[[#This Row],[Datum]]</f>
        <v>44753</v>
      </c>
      <c r="B202" s="223"/>
      <c r="C202" s="224">
        <f t="shared" si="2"/>
        <v>2</v>
      </c>
      <c r="D202" s="523" t="e">
        <f ca="1">stat(charge_entree[[#This Row],[ch_E_DBO5]])</f>
        <v>#NAME?</v>
      </c>
      <c r="E202" s="523" t="e">
        <f ca="1">stat(charge_entree[[#This Row],[ch_E_DCO]])</f>
        <v>#NAME?</v>
      </c>
      <c r="F202" s="523" t="e">
        <f ca="1">stat(charge_entree[[#This Row],[ch_E_COT]])</f>
        <v>#NAME?</v>
      </c>
      <c r="G202" s="523" t="e">
        <f ca="1">stat(charge_entree[[#This Row],[ch_E_NH4]])</f>
        <v>#NAME?</v>
      </c>
      <c r="H202" s="523" t="e">
        <f ca="1">stat(charge_entree[[#This Row],[ch_E_NTOT]])</f>
        <v>#NAME?</v>
      </c>
      <c r="I202" s="523" t="e">
        <f ca="1">stat(charge_entree[[#This Row],[ch_E_PTOT]])</f>
        <v>#NAME?</v>
      </c>
      <c r="J202" s="523" t="e">
        <f ca="1">stat(charge_entree[[#This Row],[ch_S_DBO]])</f>
        <v>#NAME?</v>
      </c>
      <c r="K202" s="523" t="e">
        <f ca="1">stat(charge_entree[[#This Row],[ch_S-DCO]])</f>
        <v>#NAME?</v>
      </c>
      <c r="L202" s="523" t="e">
        <f ca="1">stat(charge_entree[[#This Row],[ch_S_DOC]])</f>
        <v>#NAME?</v>
      </c>
      <c r="M202" s="523" t="e">
        <f ca="1">stat(charge_entree[[#This Row],[ch_S_NH4]])</f>
        <v>#NAME?</v>
      </c>
      <c r="N202" s="523" t="e">
        <f ca="1">stat(charge_entree[[#This Row],[ch_S_NO2]])</f>
        <v>#NAME?</v>
      </c>
      <c r="O202" s="523" t="e">
        <f ca="1">stat(charge_entree[[#This Row],[ch_S_NO3]])</f>
        <v>#NAME?</v>
      </c>
      <c r="P202" s="523" t="e">
        <f ca="1">stat(charge_entree[[#This Row],[ch_S_PTOT]])</f>
        <v>#NAME?</v>
      </c>
      <c r="Q202" s="523" t="e">
        <f ca="1">stat(charge_entree[[#This Row],[ch_S_SNDT]])</f>
        <v>#NAME?</v>
      </c>
      <c r="R202" s="523">
        <f>calculs!R202</f>
        <v>0</v>
      </c>
      <c r="S202" s="523" t="e">
        <f ca="1">stat(calculs!S202)</f>
        <v>#NAME?</v>
      </c>
      <c r="T202" s="523" t="e">
        <f ca="1">stat(calculs!T202)</f>
        <v>#NAME?</v>
      </c>
      <c r="U202" s="523" t="e">
        <f ca="1">stat(calculs!U202)</f>
        <v>#NAME?</v>
      </c>
      <c r="V202" s="523" t="e">
        <f ca="1">stat(calculs!V202)</f>
        <v>#NAME?</v>
      </c>
      <c r="W202" s="523" t="e">
        <f ca="1">stat(calculs!W202)</f>
        <v>#NAME?</v>
      </c>
      <c r="X202" s="523" t="e">
        <f ca="1">stat(calculs!X202)</f>
        <v>#NAME?</v>
      </c>
      <c r="Y202" s="523" t="e">
        <f ca="1">stat(calculs!Y202)</f>
        <v>#NAME?</v>
      </c>
      <c r="Z202" s="523" t="e">
        <f ca="1">stat(calculs!Z202)</f>
        <v>#NAME?</v>
      </c>
      <c r="AA202" s="523" t="e">
        <f ca="1">stat(calculs!AA202)</f>
        <v>#NAME?</v>
      </c>
      <c r="AB202" s="523" t="e">
        <f ca="1">stat(calculs!AB202)</f>
        <v>#NAME?</v>
      </c>
      <c r="AC202" s="523" t="e">
        <f ca="1">stat(calculs!AC202)</f>
        <v>#NAME?</v>
      </c>
      <c r="AD202" s="523" t="e">
        <f ca="1">stat(calculs!AD202)</f>
        <v>#NAME?</v>
      </c>
      <c r="AE202" s="523" t="e">
        <f ca="1">stat(calculs!AE202)</f>
        <v>#NAME?</v>
      </c>
      <c r="AF202" s="523" t="e">
        <f ca="1">stat(calculs!AF202)</f>
        <v>#NAME?</v>
      </c>
      <c r="AG202" s="523" t="e">
        <f ca="1">stat(calculs!AG202)</f>
        <v>#NAME?</v>
      </c>
      <c r="AH202" s="523" t="e">
        <f ca="1">stat(calculs!AH202)</f>
        <v>#NAME?</v>
      </c>
      <c r="AI202" s="523" t="e">
        <f ca="1">stat(calculs!AI202)</f>
        <v>#NAME?</v>
      </c>
      <c r="AJ202" s="523" t="e">
        <f ca="1">stat(calculs!AJ202)</f>
        <v>#NAME?</v>
      </c>
      <c r="AK202" s="523" t="e">
        <f ca="1">stat(calculs!AK202)</f>
        <v>#NAME?</v>
      </c>
      <c r="AL202" s="523" t="e">
        <f ca="1">stat(calculs!AL202)</f>
        <v>#NAME?</v>
      </c>
      <c r="AM202" s="523" t="e">
        <f ca="1">stat(calculs!AM202)</f>
        <v>#NAME?</v>
      </c>
      <c r="AN202" s="523" t="e">
        <f ca="1">stat(calculs!AN202)</f>
        <v>#NAME?</v>
      </c>
      <c r="AO202" s="523" t="e">
        <f ca="1">stat(calculs!AO202)</f>
        <v>#NAME?</v>
      </c>
      <c r="AP202" s="523" t="e">
        <f ca="1">stat(calculs!AP202)</f>
        <v>#NAME?</v>
      </c>
      <c r="AQ202" s="523" t="e">
        <f ca="1">stat(calculs!AQ202)</f>
        <v>#NAME?</v>
      </c>
      <c r="AV202" s="525" t="str">
        <f>stat(calculs!AV202)</f>
        <v/>
      </c>
      <c r="AW202" s="525" t="str">
        <f>stat(calculs!AW202)</f>
        <v/>
      </c>
      <c r="AX202" s="525" t="str">
        <f>stat(calculs!AX202)</f>
        <v/>
      </c>
      <c r="AY202" s="525" t="e">
        <f ca="1">stat(calculs!AY202)</f>
        <v>#NAME?</v>
      </c>
      <c r="AZ202" s="525" t="e">
        <f ca="1">stat(calculs!AZ202)</f>
        <v>#NAME?</v>
      </c>
      <c r="BA202" s="525" t="e">
        <f ca="1">stat(calculs!BA202)</f>
        <v>#NAME?</v>
      </c>
      <c r="BB202" s="525" t="e">
        <f ca="1">stat(calculs!BB202)</f>
        <v>#NAME?</v>
      </c>
      <c r="BC202" s="525" t="e">
        <f ca="1">stat(calculs!BC202)</f>
        <v>#NAME?</v>
      </c>
      <c r="BD202" s="525" t="e">
        <f ca="1">stat(calculs!BD202)</f>
        <v>#NAME?</v>
      </c>
      <c r="BE202" s="525" t="e">
        <f ca="1">stat(calculs!BE202)</f>
        <v>#NAME?</v>
      </c>
      <c r="BF202" s="525" t="e">
        <f ca="1">stat(calculs!BF202)</f>
        <v>#NAME?</v>
      </c>
      <c r="BG202" s="729" t="e">
        <f ca="1">stat(calculs!BG202)</f>
        <v>#NAME?</v>
      </c>
      <c r="BH202" s="729" t="e">
        <f ca="1">stat(calculs!BH202)</f>
        <v>#NAME?</v>
      </c>
      <c r="BI202" s="729" t="e">
        <f ca="1">stat(calculs!BI202)</f>
        <v>#NAME?</v>
      </c>
      <c r="BJ202" s="729" t="e">
        <f ca="1">stat(calculs!BJ202)</f>
        <v>#NAME?</v>
      </c>
      <c r="BK202" s="729" t="e">
        <f ca="1">stat(calculs!BK202)</f>
        <v>#NAME?</v>
      </c>
      <c r="BL202" s="525" t="e">
        <f ca="1">stat(calculs!BL202)</f>
        <v>#NAME?</v>
      </c>
      <c r="BM202" s="525" t="e">
        <f ca="1">stat(calculs!BM202)</f>
        <v>#NAME?</v>
      </c>
      <c r="BN202" s="525" t="e">
        <f ca="1">stat(calculs!BN202)</f>
        <v>#NAME?</v>
      </c>
      <c r="BO202" s="525" t="e">
        <f ca="1">stat(calculs!BO202)</f>
        <v>#NAME?</v>
      </c>
      <c r="BP202" s="525" t="e">
        <f ca="1">stat(calculs!BP202)</f>
        <v>#NAME?</v>
      </c>
      <c r="BQ202" s="525" t="e">
        <f ca="1">stat(calculs!BQ202)</f>
        <v>#NAME?</v>
      </c>
      <c r="BR202" s="525" t="e">
        <f ca="1">stat(calculs!BR202)</f>
        <v>#NAME?</v>
      </c>
    </row>
    <row r="203" spans="1:70" x14ac:dyDescent="0.2">
      <c r="A203" s="222">
        <f>données_step[[#This Row],[Datum]]</f>
        <v>44754</v>
      </c>
      <c r="B203" s="223"/>
      <c r="C203" s="224">
        <f t="shared" si="2"/>
        <v>3</v>
      </c>
      <c r="D203" s="523" t="e">
        <f ca="1">stat(charge_entree[[#This Row],[ch_E_DBO5]])</f>
        <v>#NAME?</v>
      </c>
      <c r="E203" s="523" t="e">
        <f ca="1">stat(charge_entree[[#This Row],[ch_E_DCO]])</f>
        <v>#NAME?</v>
      </c>
      <c r="F203" s="523" t="e">
        <f ca="1">stat(charge_entree[[#This Row],[ch_E_COT]])</f>
        <v>#NAME?</v>
      </c>
      <c r="G203" s="523" t="e">
        <f ca="1">stat(charge_entree[[#This Row],[ch_E_NH4]])</f>
        <v>#NAME?</v>
      </c>
      <c r="H203" s="523" t="e">
        <f ca="1">stat(charge_entree[[#This Row],[ch_E_NTOT]])</f>
        <v>#NAME?</v>
      </c>
      <c r="I203" s="523" t="e">
        <f ca="1">stat(charge_entree[[#This Row],[ch_E_PTOT]])</f>
        <v>#NAME?</v>
      </c>
      <c r="J203" s="523" t="e">
        <f ca="1">stat(charge_entree[[#This Row],[ch_S_DBO]])</f>
        <v>#NAME?</v>
      </c>
      <c r="K203" s="523" t="e">
        <f ca="1">stat(charge_entree[[#This Row],[ch_S-DCO]])</f>
        <v>#NAME?</v>
      </c>
      <c r="L203" s="523" t="e">
        <f ca="1">stat(charge_entree[[#This Row],[ch_S_DOC]])</f>
        <v>#NAME?</v>
      </c>
      <c r="M203" s="523" t="e">
        <f ca="1">stat(charge_entree[[#This Row],[ch_S_NH4]])</f>
        <v>#NAME?</v>
      </c>
      <c r="N203" s="523" t="e">
        <f ca="1">stat(charge_entree[[#This Row],[ch_S_NO2]])</f>
        <v>#NAME?</v>
      </c>
      <c r="O203" s="523" t="e">
        <f ca="1">stat(charge_entree[[#This Row],[ch_S_NO3]])</f>
        <v>#NAME?</v>
      </c>
      <c r="P203" s="523" t="e">
        <f ca="1">stat(charge_entree[[#This Row],[ch_S_PTOT]])</f>
        <v>#NAME?</v>
      </c>
      <c r="Q203" s="523" t="e">
        <f ca="1">stat(charge_entree[[#This Row],[ch_S_SNDT]])</f>
        <v>#NAME?</v>
      </c>
      <c r="R203" s="523">
        <f>calculs!R203</f>
        <v>0</v>
      </c>
      <c r="S203" s="523" t="e">
        <f ca="1">stat(calculs!S203)</f>
        <v>#NAME?</v>
      </c>
      <c r="T203" s="523" t="e">
        <f ca="1">stat(calculs!T203)</f>
        <v>#NAME?</v>
      </c>
      <c r="U203" s="523" t="e">
        <f ca="1">stat(calculs!U203)</f>
        <v>#NAME?</v>
      </c>
      <c r="V203" s="523" t="e">
        <f ca="1">stat(calculs!V203)</f>
        <v>#NAME?</v>
      </c>
      <c r="W203" s="523" t="e">
        <f ca="1">stat(calculs!W203)</f>
        <v>#NAME?</v>
      </c>
      <c r="X203" s="523" t="e">
        <f ca="1">stat(calculs!X203)</f>
        <v>#NAME?</v>
      </c>
      <c r="Y203" s="523" t="e">
        <f ca="1">stat(calculs!Y203)</f>
        <v>#NAME?</v>
      </c>
      <c r="Z203" s="523" t="e">
        <f ca="1">stat(calculs!Z203)</f>
        <v>#NAME?</v>
      </c>
      <c r="AA203" s="523" t="e">
        <f ca="1">stat(calculs!AA203)</f>
        <v>#NAME?</v>
      </c>
      <c r="AB203" s="523" t="e">
        <f ca="1">stat(calculs!AB203)</f>
        <v>#NAME?</v>
      </c>
      <c r="AC203" s="523" t="e">
        <f ca="1">stat(calculs!AC203)</f>
        <v>#NAME?</v>
      </c>
      <c r="AD203" s="523" t="e">
        <f ca="1">stat(calculs!AD203)</f>
        <v>#NAME?</v>
      </c>
      <c r="AE203" s="523" t="e">
        <f ca="1">stat(calculs!AE203)</f>
        <v>#NAME?</v>
      </c>
      <c r="AF203" s="523" t="e">
        <f ca="1">stat(calculs!AF203)</f>
        <v>#NAME?</v>
      </c>
      <c r="AG203" s="523" t="e">
        <f ca="1">stat(calculs!AG203)</f>
        <v>#NAME?</v>
      </c>
      <c r="AH203" s="523" t="e">
        <f ca="1">stat(calculs!AH203)</f>
        <v>#NAME?</v>
      </c>
      <c r="AI203" s="523" t="e">
        <f ca="1">stat(calculs!AI203)</f>
        <v>#NAME?</v>
      </c>
      <c r="AJ203" s="523" t="e">
        <f ca="1">stat(calculs!AJ203)</f>
        <v>#NAME?</v>
      </c>
      <c r="AK203" s="523" t="e">
        <f ca="1">stat(calculs!AK203)</f>
        <v>#NAME?</v>
      </c>
      <c r="AL203" s="523" t="e">
        <f ca="1">stat(calculs!AL203)</f>
        <v>#NAME?</v>
      </c>
      <c r="AM203" s="523" t="e">
        <f ca="1">stat(calculs!AM203)</f>
        <v>#NAME?</v>
      </c>
      <c r="AN203" s="523" t="e">
        <f ca="1">stat(calculs!AN203)</f>
        <v>#NAME?</v>
      </c>
      <c r="AO203" s="523" t="e">
        <f ca="1">stat(calculs!AO203)</f>
        <v>#NAME?</v>
      </c>
      <c r="AP203" s="523" t="e">
        <f ca="1">stat(calculs!AP203)</f>
        <v>#NAME?</v>
      </c>
      <c r="AQ203" s="523" t="e">
        <f ca="1">stat(calculs!AQ203)</f>
        <v>#NAME?</v>
      </c>
      <c r="AV203" s="525" t="str">
        <f>stat(calculs!AV203)</f>
        <v/>
      </c>
      <c r="AW203" s="525" t="str">
        <f>stat(calculs!AW203)</f>
        <v/>
      </c>
      <c r="AX203" s="525" t="str">
        <f>stat(calculs!AX203)</f>
        <v/>
      </c>
      <c r="AY203" s="525" t="e">
        <f ca="1">stat(calculs!AY203)</f>
        <v>#NAME?</v>
      </c>
      <c r="AZ203" s="525" t="e">
        <f ca="1">stat(calculs!AZ203)</f>
        <v>#NAME?</v>
      </c>
      <c r="BA203" s="525" t="e">
        <f ca="1">stat(calculs!BA203)</f>
        <v>#NAME?</v>
      </c>
      <c r="BB203" s="525" t="e">
        <f ca="1">stat(calculs!BB203)</f>
        <v>#NAME?</v>
      </c>
      <c r="BC203" s="525" t="e">
        <f ca="1">stat(calculs!BC203)</f>
        <v>#NAME?</v>
      </c>
      <c r="BD203" s="525" t="e">
        <f ca="1">stat(calculs!BD203)</f>
        <v>#NAME?</v>
      </c>
      <c r="BE203" s="525" t="e">
        <f ca="1">stat(calculs!BE203)</f>
        <v>#NAME?</v>
      </c>
      <c r="BF203" s="525" t="e">
        <f ca="1">stat(calculs!BF203)</f>
        <v>#NAME?</v>
      </c>
      <c r="BG203" s="729" t="e">
        <f ca="1">stat(calculs!BG203)</f>
        <v>#NAME?</v>
      </c>
      <c r="BH203" s="729" t="e">
        <f ca="1">stat(calculs!BH203)</f>
        <v>#NAME?</v>
      </c>
      <c r="BI203" s="729" t="e">
        <f ca="1">stat(calculs!BI203)</f>
        <v>#NAME?</v>
      </c>
      <c r="BJ203" s="729" t="e">
        <f ca="1">stat(calculs!BJ203)</f>
        <v>#NAME?</v>
      </c>
      <c r="BK203" s="729" t="e">
        <f ca="1">stat(calculs!BK203)</f>
        <v>#NAME?</v>
      </c>
      <c r="BL203" s="525" t="e">
        <f ca="1">stat(calculs!BL203)</f>
        <v>#NAME?</v>
      </c>
      <c r="BM203" s="525" t="e">
        <f ca="1">stat(calculs!BM203)</f>
        <v>#NAME?</v>
      </c>
      <c r="BN203" s="525" t="e">
        <f ca="1">stat(calculs!BN203)</f>
        <v>#NAME?</v>
      </c>
      <c r="BO203" s="525" t="e">
        <f ca="1">stat(calculs!BO203)</f>
        <v>#NAME?</v>
      </c>
      <c r="BP203" s="525" t="e">
        <f ca="1">stat(calculs!BP203)</f>
        <v>#NAME?</v>
      </c>
      <c r="BQ203" s="525" t="e">
        <f ca="1">stat(calculs!BQ203)</f>
        <v>#NAME?</v>
      </c>
      <c r="BR203" s="525" t="e">
        <f ca="1">stat(calculs!BR203)</f>
        <v>#NAME?</v>
      </c>
    </row>
    <row r="204" spans="1:70" x14ac:dyDescent="0.2">
      <c r="A204" s="222">
        <f>données_step[[#This Row],[Datum]]</f>
        <v>44755</v>
      </c>
      <c r="B204" s="223"/>
      <c r="C204" s="224">
        <f t="shared" ref="C204:C267" si="3">WEEKDAY(A204)</f>
        <v>4</v>
      </c>
      <c r="D204" s="523" t="e">
        <f ca="1">stat(charge_entree[[#This Row],[ch_E_DBO5]])</f>
        <v>#NAME?</v>
      </c>
      <c r="E204" s="523" t="e">
        <f ca="1">stat(charge_entree[[#This Row],[ch_E_DCO]])</f>
        <v>#NAME?</v>
      </c>
      <c r="F204" s="523" t="e">
        <f ca="1">stat(charge_entree[[#This Row],[ch_E_COT]])</f>
        <v>#NAME?</v>
      </c>
      <c r="G204" s="523" t="e">
        <f ca="1">stat(charge_entree[[#This Row],[ch_E_NH4]])</f>
        <v>#NAME?</v>
      </c>
      <c r="H204" s="523" t="e">
        <f ca="1">stat(charge_entree[[#This Row],[ch_E_NTOT]])</f>
        <v>#NAME?</v>
      </c>
      <c r="I204" s="523" t="e">
        <f ca="1">stat(charge_entree[[#This Row],[ch_E_PTOT]])</f>
        <v>#NAME?</v>
      </c>
      <c r="J204" s="523" t="e">
        <f ca="1">stat(charge_entree[[#This Row],[ch_S_DBO]])</f>
        <v>#NAME?</v>
      </c>
      <c r="K204" s="523" t="e">
        <f ca="1">stat(charge_entree[[#This Row],[ch_S-DCO]])</f>
        <v>#NAME?</v>
      </c>
      <c r="L204" s="523" t="e">
        <f ca="1">stat(charge_entree[[#This Row],[ch_S_DOC]])</f>
        <v>#NAME?</v>
      </c>
      <c r="M204" s="523" t="e">
        <f ca="1">stat(charge_entree[[#This Row],[ch_S_NH4]])</f>
        <v>#NAME?</v>
      </c>
      <c r="N204" s="523" t="e">
        <f ca="1">stat(charge_entree[[#This Row],[ch_S_NO2]])</f>
        <v>#NAME?</v>
      </c>
      <c r="O204" s="523" t="e">
        <f ca="1">stat(charge_entree[[#This Row],[ch_S_NO3]])</f>
        <v>#NAME?</v>
      </c>
      <c r="P204" s="523" t="e">
        <f ca="1">stat(charge_entree[[#This Row],[ch_S_PTOT]])</f>
        <v>#NAME?</v>
      </c>
      <c r="Q204" s="523" t="e">
        <f ca="1">stat(charge_entree[[#This Row],[ch_S_SNDT]])</f>
        <v>#NAME?</v>
      </c>
      <c r="R204" s="523">
        <f>calculs!R204</f>
        <v>0</v>
      </c>
      <c r="S204" s="523" t="e">
        <f ca="1">stat(calculs!S204)</f>
        <v>#NAME?</v>
      </c>
      <c r="T204" s="523" t="e">
        <f ca="1">stat(calculs!T204)</f>
        <v>#NAME?</v>
      </c>
      <c r="U204" s="523" t="e">
        <f ca="1">stat(calculs!U204)</f>
        <v>#NAME?</v>
      </c>
      <c r="V204" s="523" t="e">
        <f ca="1">stat(calculs!V204)</f>
        <v>#NAME?</v>
      </c>
      <c r="W204" s="523" t="e">
        <f ca="1">stat(calculs!W204)</f>
        <v>#NAME?</v>
      </c>
      <c r="X204" s="523" t="e">
        <f ca="1">stat(calculs!X204)</f>
        <v>#NAME?</v>
      </c>
      <c r="Y204" s="523" t="e">
        <f ca="1">stat(calculs!Y204)</f>
        <v>#NAME?</v>
      </c>
      <c r="Z204" s="523" t="e">
        <f ca="1">stat(calculs!Z204)</f>
        <v>#NAME?</v>
      </c>
      <c r="AA204" s="523" t="e">
        <f ca="1">stat(calculs!AA204)</f>
        <v>#NAME?</v>
      </c>
      <c r="AB204" s="523" t="e">
        <f ca="1">stat(calculs!AB204)</f>
        <v>#NAME?</v>
      </c>
      <c r="AC204" s="523" t="e">
        <f ca="1">stat(calculs!AC204)</f>
        <v>#NAME?</v>
      </c>
      <c r="AD204" s="523" t="e">
        <f ca="1">stat(calculs!AD204)</f>
        <v>#NAME?</v>
      </c>
      <c r="AE204" s="523" t="e">
        <f ca="1">stat(calculs!AE204)</f>
        <v>#NAME?</v>
      </c>
      <c r="AF204" s="523" t="e">
        <f ca="1">stat(calculs!AF204)</f>
        <v>#NAME?</v>
      </c>
      <c r="AG204" s="523" t="e">
        <f ca="1">stat(calculs!AG204)</f>
        <v>#NAME?</v>
      </c>
      <c r="AH204" s="523" t="e">
        <f ca="1">stat(calculs!AH204)</f>
        <v>#NAME?</v>
      </c>
      <c r="AI204" s="523" t="e">
        <f ca="1">stat(calculs!AI204)</f>
        <v>#NAME?</v>
      </c>
      <c r="AJ204" s="523" t="e">
        <f ca="1">stat(calculs!AJ204)</f>
        <v>#NAME?</v>
      </c>
      <c r="AK204" s="523" t="e">
        <f ca="1">stat(calculs!AK204)</f>
        <v>#NAME?</v>
      </c>
      <c r="AL204" s="523" t="e">
        <f ca="1">stat(calculs!AL204)</f>
        <v>#NAME?</v>
      </c>
      <c r="AM204" s="523" t="e">
        <f ca="1">stat(calculs!AM204)</f>
        <v>#NAME?</v>
      </c>
      <c r="AN204" s="523" t="e">
        <f ca="1">stat(calculs!AN204)</f>
        <v>#NAME?</v>
      </c>
      <c r="AO204" s="523" t="e">
        <f ca="1">stat(calculs!AO204)</f>
        <v>#NAME?</v>
      </c>
      <c r="AP204" s="523" t="e">
        <f ca="1">stat(calculs!AP204)</f>
        <v>#NAME?</v>
      </c>
      <c r="AQ204" s="523" t="e">
        <f ca="1">stat(calculs!AQ204)</f>
        <v>#NAME?</v>
      </c>
      <c r="AV204" s="525" t="str">
        <f>stat(calculs!AV204)</f>
        <v/>
      </c>
      <c r="AW204" s="525" t="str">
        <f>stat(calculs!AW204)</f>
        <v/>
      </c>
      <c r="AX204" s="525" t="str">
        <f>stat(calculs!AX204)</f>
        <v/>
      </c>
      <c r="AY204" s="525" t="e">
        <f ca="1">stat(calculs!AY204)</f>
        <v>#NAME?</v>
      </c>
      <c r="AZ204" s="525" t="e">
        <f ca="1">stat(calculs!AZ204)</f>
        <v>#NAME?</v>
      </c>
      <c r="BA204" s="525" t="e">
        <f ca="1">stat(calculs!BA204)</f>
        <v>#NAME?</v>
      </c>
      <c r="BB204" s="525" t="e">
        <f ca="1">stat(calculs!BB204)</f>
        <v>#NAME?</v>
      </c>
      <c r="BC204" s="525" t="e">
        <f ca="1">stat(calculs!BC204)</f>
        <v>#NAME?</v>
      </c>
      <c r="BD204" s="525" t="e">
        <f ca="1">stat(calculs!BD204)</f>
        <v>#NAME?</v>
      </c>
      <c r="BE204" s="525" t="e">
        <f ca="1">stat(calculs!BE204)</f>
        <v>#NAME?</v>
      </c>
      <c r="BF204" s="525" t="e">
        <f ca="1">stat(calculs!BF204)</f>
        <v>#NAME?</v>
      </c>
      <c r="BG204" s="729" t="e">
        <f ca="1">stat(calculs!BG204)</f>
        <v>#NAME?</v>
      </c>
      <c r="BH204" s="729" t="e">
        <f ca="1">stat(calculs!BH204)</f>
        <v>#NAME?</v>
      </c>
      <c r="BI204" s="729" t="e">
        <f ca="1">stat(calculs!BI204)</f>
        <v>#NAME?</v>
      </c>
      <c r="BJ204" s="729" t="e">
        <f ca="1">stat(calculs!BJ204)</f>
        <v>#NAME?</v>
      </c>
      <c r="BK204" s="729" t="e">
        <f ca="1">stat(calculs!BK204)</f>
        <v>#NAME?</v>
      </c>
      <c r="BL204" s="525" t="e">
        <f ca="1">stat(calculs!BL204)</f>
        <v>#NAME?</v>
      </c>
      <c r="BM204" s="525" t="e">
        <f ca="1">stat(calculs!BM204)</f>
        <v>#NAME?</v>
      </c>
      <c r="BN204" s="525" t="e">
        <f ca="1">stat(calculs!BN204)</f>
        <v>#NAME?</v>
      </c>
      <c r="BO204" s="525" t="e">
        <f ca="1">stat(calculs!BO204)</f>
        <v>#NAME?</v>
      </c>
      <c r="BP204" s="525" t="e">
        <f ca="1">stat(calculs!BP204)</f>
        <v>#NAME?</v>
      </c>
      <c r="BQ204" s="525" t="e">
        <f ca="1">stat(calculs!BQ204)</f>
        <v>#NAME?</v>
      </c>
      <c r="BR204" s="525" t="e">
        <f ca="1">stat(calculs!BR204)</f>
        <v>#NAME?</v>
      </c>
    </row>
    <row r="205" spans="1:70" x14ac:dyDescent="0.2">
      <c r="A205" s="222">
        <f>données_step[[#This Row],[Datum]]</f>
        <v>44756</v>
      </c>
      <c r="B205" s="223"/>
      <c r="C205" s="224">
        <f t="shared" si="3"/>
        <v>5</v>
      </c>
      <c r="D205" s="523" t="e">
        <f ca="1">stat(charge_entree[[#This Row],[ch_E_DBO5]])</f>
        <v>#NAME?</v>
      </c>
      <c r="E205" s="523" t="e">
        <f ca="1">stat(charge_entree[[#This Row],[ch_E_DCO]])</f>
        <v>#NAME?</v>
      </c>
      <c r="F205" s="523" t="e">
        <f ca="1">stat(charge_entree[[#This Row],[ch_E_COT]])</f>
        <v>#NAME?</v>
      </c>
      <c r="G205" s="523" t="e">
        <f ca="1">stat(charge_entree[[#This Row],[ch_E_NH4]])</f>
        <v>#NAME?</v>
      </c>
      <c r="H205" s="523" t="e">
        <f ca="1">stat(charge_entree[[#This Row],[ch_E_NTOT]])</f>
        <v>#NAME?</v>
      </c>
      <c r="I205" s="523" t="e">
        <f ca="1">stat(charge_entree[[#This Row],[ch_E_PTOT]])</f>
        <v>#NAME?</v>
      </c>
      <c r="J205" s="523" t="e">
        <f ca="1">stat(charge_entree[[#This Row],[ch_S_DBO]])</f>
        <v>#NAME?</v>
      </c>
      <c r="K205" s="523" t="e">
        <f ca="1">stat(charge_entree[[#This Row],[ch_S-DCO]])</f>
        <v>#NAME?</v>
      </c>
      <c r="L205" s="523" t="e">
        <f ca="1">stat(charge_entree[[#This Row],[ch_S_DOC]])</f>
        <v>#NAME?</v>
      </c>
      <c r="M205" s="523" t="e">
        <f ca="1">stat(charge_entree[[#This Row],[ch_S_NH4]])</f>
        <v>#NAME?</v>
      </c>
      <c r="N205" s="523" t="e">
        <f ca="1">stat(charge_entree[[#This Row],[ch_S_NO2]])</f>
        <v>#NAME?</v>
      </c>
      <c r="O205" s="523" t="e">
        <f ca="1">stat(charge_entree[[#This Row],[ch_S_NO3]])</f>
        <v>#NAME?</v>
      </c>
      <c r="P205" s="523" t="e">
        <f ca="1">stat(charge_entree[[#This Row],[ch_S_PTOT]])</f>
        <v>#NAME?</v>
      </c>
      <c r="Q205" s="523" t="e">
        <f ca="1">stat(charge_entree[[#This Row],[ch_S_SNDT]])</f>
        <v>#NAME?</v>
      </c>
      <c r="R205" s="523">
        <f>calculs!R205</f>
        <v>0</v>
      </c>
      <c r="S205" s="523" t="e">
        <f ca="1">stat(calculs!S205)</f>
        <v>#NAME?</v>
      </c>
      <c r="T205" s="523" t="e">
        <f ca="1">stat(calculs!T205)</f>
        <v>#NAME?</v>
      </c>
      <c r="U205" s="523" t="e">
        <f ca="1">stat(calculs!U205)</f>
        <v>#NAME?</v>
      </c>
      <c r="V205" s="523" t="e">
        <f ca="1">stat(calculs!V205)</f>
        <v>#NAME?</v>
      </c>
      <c r="W205" s="523" t="e">
        <f ca="1">stat(calculs!W205)</f>
        <v>#NAME?</v>
      </c>
      <c r="X205" s="523" t="e">
        <f ca="1">stat(calculs!X205)</f>
        <v>#NAME?</v>
      </c>
      <c r="Y205" s="523" t="e">
        <f ca="1">stat(calculs!Y205)</f>
        <v>#NAME?</v>
      </c>
      <c r="Z205" s="523" t="e">
        <f ca="1">stat(calculs!Z205)</f>
        <v>#NAME?</v>
      </c>
      <c r="AA205" s="523" t="e">
        <f ca="1">stat(calculs!AA205)</f>
        <v>#NAME?</v>
      </c>
      <c r="AB205" s="523" t="e">
        <f ca="1">stat(calculs!AB205)</f>
        <v>#NAME?</v>
      </c>
      <c r="AC205" s="523" t="e">
        <f ca="1">stat(calculs!AC205)</f>
        <v>#NAME?</v>
      </c>
      <c r="AD205" s="523" t="e">
        <f ca="1">stat(calculs!AD205)</f>
        <v>#NAME?</v>
      </c>
      <c r="AE205" s="523" t="e">
        <f ca="1">stat(calculs!AE205)</f>
        <v>#NAME?</v>
      </c>
      <c r="AF205" s="523" t="e">
        <f ca="1">stat(calculs!AF205)</f>
        <v>#NAME?</v>
      </c>
      <c r="AG205" s="523" t="e">
        <f ca="1">stat(calculs!AG205)</f>
        <v>#NAME?</v>
      </c>
      <c r="AH205" s="523" t="e">
        <f ca="1">stat(calculs!AH205)</f>
        <v>#NAME?</v>
      </c>
      <c r="AI205" s="523" t="e">
        <f ca="1">stat(calculs!AI205)</f>
        <v>#NAME?</v>
      </c>
      <c r="AJ205" s="523" t="e">
        <f ca="1">stat(calculs!AJ205)</f>
        <v>#NAME?</v>
      </c>
      <c r="AK205" s="523" t="e">
        <f ca="1">stat(calculs!AK205)</f>
        <v>#NAME?</v>
      </c>
      <c r="AL205" s="523" t="e">
        <f ca="1">stat(calculs!AL205)</f>
        <v>#NAME?</v>
      </c>
      <c r="AM205" s="523" t="e">
        <f ca="1">stat(calculs!AM205)</f>
        <v>#NAME?</v>
      </c>
      <c r="AN205" s="523" t="e">
        <f ca="1">stat(calculs!AN205)</f>
        <v>#NAME?</v>
      </c>
      <c r="AO205" s="523" t="e">
        <f ca="1">stat(calculs!AO205)</f>
        <v>#NAME?</v>
      </c>
      <c r="AP205" s="523" t="e">
        <f ca="1">stat(calculs!AP205)</f>
        <v>#NAME?</v>
      </c>
      <c r="AQ205" s="523" t="e">
        <f ca="1">stat(calculs!AQ205)</f>
        <v>#NAME?</v>
      </c>
      <c r="AV205" s="525" t="str">
        <f>stat(calculs!AV205)</f>
        <v/>
      </c>
      <c r="AW205" s="525" t="str">
        <f>stat(calculs!AW205)</f>
        <v/>
      </c>
      <c r="AX205" s="525" t="str">
        <f>stat(calculs!AX205)</f>
        <v/>
      </c>
      <c r="AY205" s="525" t="e">
        <f ca="1">stat(calculs!AY205)</f>
        <v>#NAME?</v>
      </c>
      <c r="AZ205" s="525" t="e">
        <f ca="1">stat(calculs!AZ205)</f>
        <v>#NAME?</v>
      </c>
      <c r="BA205" s="525" t="e">
        <f ca="1">stat(calculs!BA205)</f>
        <v>#NAME?</v>
      </c>
      <c r="BB205" s="525" t="e">
        <f ca="1">stat(calculs!BB205)</f>
        <v>#NAME?</v>
      </c>
      <c r="BC205" s="525" t="e">
        <f ca="1">stat(calculs!BC205)</f>
        <v>#NAME?</v>
      </c>
      <c r="BD205" s="525" t="e">
        <f ca="1">stat(calculs!BD205)</f>
        <v>#NAME?</v>
      </c>
      <c r="BE205" s="525" t="e">
        <f ca="1">stat(calculs!BE205)</f>
        <v>#NAME?</v>
      </c>
      <c r="BF205" s="525" t="e">
        <f ca="1">stat(calculs!BF205)</f>
        <v>#NAME?</v>
      </c>
      <c r="BG205" s="729" t="e">
        <f ca="1">stat(calculs!BG205)</f>
        <v>#NAME?</v>
      </c>
      <c r="BH205" s="729" t="e">
        <f ca="1">stat(calculs!BH205)</f>
        <v>#NAME?</v>
      </c>
      <c r="BI205" s="729" t="e">
        <f ca="1">stat(calculs!BI205)</f>
        <v>#NAME?</v>
      </c>
      <c r="BJ205" s="729" t="e">
        <f ca="1">stat(calculs!BJ205)</f>
        <v>#NAME?</v>
      </c>
      <c r="BK205" s="729" t="e">
        <f ca="1">stat(calculs!BK205)</f>
        <v>#NAME?</v>
      </c>
      <c r="BL205" s="525" t="e">
        <f ca="1">stat(calculs!BL205)</f>
        <v>#NAME?</v>
      </c>
      <c r="BM205" s="525" t="e">
        <f ca="1">stat(calculs!BM205)</f>
        <v>#NAME?</v>
      </c>
      <c r="BN205" s="525" t="e">
        <f ca="1">stat(calculs!BN205)</f>
        <v>#NAME?</v>
      </c>
      <c r="BO205" s="525" t="e">
        <f ca="1">stat(calculs!BO205)</f>
        <v>#NAME?</v>
      </c>
      <c r="BP205" s="525" t="e">
        <f ca="1">stat(calculs!BP205)</f>
        <v>#NAME?</v>
      </c>
      <c r="BQ205" s="525" t="e">
        <f ca="1">stat(calculs!BQ205)</f>
        <v>#NAME?</v>
      </c>
      <c r="BR205" s="525" t="e">
        <f ca="1">stat(calculs!BR205)</f>
        <v>#NAME?</v>
      </c>
    </row>
    <row r="206" spans="1:70" x14ac:dyDescent="0.2">
      <c r="A206" s="222">
        <f>données_step[[#This Row],[Datum]]</f>
        <v>44757</v>
      </c>
      <c r="B206" s="223"/>
      <c r="C206" s="224">
        <f t="shared" si="3"/>
        <v>6</v>
      </c>
      <c r="D206" s="523" t="e">
        <f ca="1">stat(charge_entree[[#This Row],[ch_E_DBO5]])</f>
        <v>#NAME?</v>
      </c>
      <c r="E206" s="523" t="e">
        <f ca="1">stat(charge_entree[[#This Row],[ch_E_DCO]])</f>
        <v>#NAME?</v>
      </c>
      <c r="F206" s="523" t="e">
        <f ca="1">stat(charge_entree[[#This Row],[ch_E_COT]])</f>
        <v>#NAME?</v>
      </c>
      <c r="G206" s="523" t="e">
        <f ca="1">stat(charge_entree[[#This Row],[ch_E_NH4]])</f>
        <v>#NAME?</v>
      </c>
      <c r="H206" s="523" t="e">
        <f ca="1">stat(charge_entree[[#This Row],[ch_E_NTOT]])</f>
        <v>#NAME?</v>
      </c>
      <c r="I206" s="523" t="e">
        <f ca="1">stat(charge_entree[[#This Row],[ch_E_PTOT]])</f>
        <v>#NAME?</v>
      </c>
      <c r="J206" s="523" t="e">
        <f ca="1">stat(charge_entree[[#This Row],[ch_S_DBO]])</f>
        <v>#NAME?</v>
      </c>
      <c r="K206" s="523" t="e">
        <f ca="1">stat(charge_entree[[#This Row],[ch_S-DCO]])</f>
        <v>#NAME?</v>
      </c>
      <c r="L206" s="523" t="e">
        <f ca="1">stat(charge_entree[[#This Row],[ch_S_DOC]])</f>
        <v>#NAME?</v>
      </c>
      <c r="M206" s="523" t="e">
        <f ca="1">stat(charge_entree[[#This Row],[ch_S_NH4]])</f>
        <v>#NAME?</v>
      </c>
      <c r="N206" s="523" t="e">
        <f ca="1">stat(charge_entree[[#This Row],[ch_S_NO2]])</f>
        <v>#NAME?</v>
      </c>
      <c r="O206" s="523" t="e">
        <f ca="1">stat(charge_entree[[#This Row],[ch_S_NO3]])</f>
        <v>#NAME?</v>
      </c>
      <c r="P206" s="523" t="e">
        <f ca="1">stat(charge_entree[[#This Row],[ch_S_PTOT]])</f>
        <v>#NAME?</v>
      </c>
      <c r="Q206" s="523" t="e">
        <f ca="1">stat(charge_entree[[#This Row],[ch_S_SNDT]])</f>
        <v>#NAME?</v>
      </c>
      <c r="R206" s="523">
        <f>calculs!R206</f>
        <v>0</v>
      </c>
      <c r="S206" s="523" t="e">
        <f ca="1">stat(calculs!S206)</f>
        <v>#NAME?</v>
      </c>
      <c r="T206" s="523" t="e">
        <f ca="1">stat(calculs!T206)</f>
        <v>#NAME?</v>
      </c>
      <c r="U206" s="523" t="e">
        <f ca="1">stat(calculs!U206)</f>
        <v>#NAME?</v>
      </c>
      <c r="V206" s="523" t="e">
        <f ca="1">stat(calculs!V206)</f>
        <v>#NAME?</v>
      </c>
      <c r="W206" s="523" t="e">
        <f ca="1">stat(calculs!W206)</f>
        <v>#NAME?</v>
      </c>
      <c r="X206" s="523" t="e">
        <f ca="1">stat(calculs!X206)</f>
        <v>#NAME?</v>
      </c>
      <c r="Y206" s="523" t="e">
        <f ca="1">stat(calculs!Y206)</f>
        <v>#NAME?</v>
      </c>
      <c r="Z206" s="523" t="e">
        <f ca="1">stat(calculs!Z206)</f>
        <v>#NAME?</v>
      </c>
      <c r="AA206" s="523" t="e">
        <f ca="1">stat(calculs!AA206)</f>
        <v>#NAME?</v>
      </c>
      <c r="AB206" s="523" t="e">
        <f ca="1">stat(calculs!AB206)</f>
        <v>#NAME?</v>
      </c>
      <c r="AC206" s="523" t="e">
        <f ca="1">stat(calculs!AC206)</f>
        <v>#NAME?</v>
      </c>
      <c r="AD206" s="523" t="e">
        <f ca="1">stat(calculs!AD206)</f>
        <v>#NAME?</v>
      </c>
      <c r="AE206" s="523" t="e">
        <f ca="1">stat(calculs!AE206)</f>
        <v>#NAME?</v>
      </c>
      <c r="AF206" s="523" t="e">
        <f ca="1">stat(calculs!AF206)</f>
        <v>#NAME?</v>
      </c>
      <c r="AG206" s="523" t="e">
        <f ca="1">stat(calculs!AG206)</f>
        <v>#NAME?</v>
      </c>
      <c r="AH206" s="523" t="e">
        <f ca="1">stat(calculs!AH206)</f>
        <v>#NAME?</v>
      </c>
      <c r="AI206" s="523" t="e">
        <f ca="1">stat(calculs!AI206)</f>
        <v>#NAME?</v>
      </c>
      <c r="AJ206" s="523" t="e">
        <f ca="1">stat(calculs!AJ206)</f>
        <v>#NAME?</v>
      </c>
      <c r="AK206" s="523" t="e">
        <f ca="1">stat(calculs!AK206)</f>
        <v>#NAME?</v>
      </c>
      <c r="AL206" s="523" t="e">
        <f ca="1">stat(calculs!AL206)</f>
        <v>#NAME?</v>
      </c>
      <c r="AM206" s="523" t="e">
        <f ca="1">stat(calculs!AM206)</f>
        <v>#NAME?</v>
      </c>
      <c r="AN206" s="523" t="e">
        <f ca="1">stat(calculs!AN206)</f>
        <v>#NAME?</v>
      </c>
      <c r="AO206" s="523" t="e">
        <f ca="1">stat(calculs!AO206)</f>
        <v>#NAME?</v>
      </c>
      <c r="AP206" s="523" t="e">
        <f ca="1">stat(calculs!AP206)</f>
        <v>#NAME?</v>
      </c>
      <c r="AQ206" s="523" t="e">
        <f ca="1">stat(calculs!AQ206)</f>
        <v>#NAME?</v>
      </c>
      <c r="AV206" s="525" t="str">
        <f>stat(calculs!AV206)</f>
        <v/>
      </c>
      <c r="AW206" s="525" t="str">
        <f>stat(calculs!AW206)</f>
        <v/>
      </c>
      <c r="AX206" s="525" t="str">
        <f>stat(calculs!AX206)</f>
        <v/>
      </c>
      <c r="AY206" s="525" t="e">
        <f ca="1">stat(calculs!AY206)</f>
        <v>#NAME?</v>
      </c>
      <c r="AZ206" s="525" t="e">
        <f ca="1">stat(calculs!AZ206)</f>
        <v>#NAME?</v>
      </c>
      <c r="BA206" s="525" t="e">
        <f ca="1">stat(calculs!BA206)</f>
        <v>#NAME?</v>
      </c>
      <c r="BB206" s="525" t="e">
        <f ca="1">stat(calculs!BB206)</f>
        <v>#NAME?</v>
      </c>
      <c r="BC206" s="525" t="e">
        <f ca="1">stat(calculs!BC206)</f>
        <v>#NAME?</v>
      </c>
      <c r="BD206" s="525" t="e">
        <f ca="1">stat(calculs!BD206)</f>
        <v>#NAME?</v>
      </c>
      <c r="BE206" s="525" t="e">
        <f ca="1">stat(calculs!BE206)</f>
        <v>#NAME?</v>
      </c>
      <c r="BF206" s="525" t="e">
        <f ca="1">stat(calculs!BF206)</f>
        <v>#NAME?</v>
      </c>
      <c r="BG206" s="729" t="e">
        <f ca="1">stat(calculs!BG206)</f>
        <v>#NAME?</v>
      </c>
      <c r="BH206" s="729" t="e">
        <f ca="1">stat(calculs!BH206)</f>
        <v>#NAME?</v>
      </c>
      <c r="BI206" s="729" t="e">
        <f ca="1">stat(calculs!BI206)</f>
        <v>#NAME?</v>
      </c>
      <c r="BJ206" s="729" t="e">
        <f ca="1">stat(calculs!BJ206)</f>
        <v>#NAME?</v>
      </c>
      <c r="BK206" s="729" t="e">
        <f ca="1">stat(calculs!BK206)</f>
        <v>#NAME?</v>
      </c>
      <c r="BL206" s="525" t="e">
        <f ca="1">stat(calculs!BL206)</f>
        <v>#NAME?</v>
      </c>
      <c r="BM206" s="525" t="e">
        <f ca="1">stat(calculs!BM206)</f>
        <v>#NAME?</v>
      </c>
      <c r="BN206" s="525" t="e">
        <f ca="1">stat(calculs!BN206)</f>
        <v>#NAME?</v>
      </c>
      <c r="BO206" s="525" t="e">
        <f ca="1">stat(calculs!BO206)</f>
        <v>#NAME?</v>
      </c>
      <c r="BP206" s="525" t="e">
        <f ca="1">stat(calculs!BP206)</f>
        <v>#NAME?</v>
      </c>
      <c r="BQ206" s="525" t="e">
        <f ca="1">stat(calculs!BQ206)</f>
        <v>#NAME?</v>
      </c>
      <c r="BR206" s="525" t="e">
        <f ca="1">stat(calculs!BR206)</f>
        <v>#NAME?</v>
      </c>
    </row>
    <row r="207" spans="1:70" x14ac:dyDescent="0.2">
      <c r="A207" s="222">
        <f>données_step[[#This Row],[Datum]]</f>
        <v>44758</v>
      </c>
      <c r="B207" s="223"/>
      <c r="C207" s="224">
        <f t="shared" si="3"/>
        <v>7</v>
      </c>
      <c r="D207" s="523" t="e">
        <f ca="1">stat(charge_entree[[#This Row],[ch_E_DBO5]])</f>
        <v>#NAME?</v>
      </c>
      <c r="E207" s="523" t="e">
        <f ca="1">stat(charge_entree[[#This Row],[ch_E_DCO]])</f>
        <v>#NAME?</v>
      </c>
      <c r="F207" s="523" t="e">
        <f ca="1">stat(charge_entree[[#This Row],[ch_E_COT]])</f>
        <v>#NAME?</v>
      </c>
      <c r="G207" s="523" t="e">
        <f ca="1">stat(charge_entree[[#This Row],[ch_E_NH4]])</f>
        <v>#NAME?</v>
      </c>
      <c r="H207" s="523" t="e">
        <f ca="1">stat(charge_entree[[#This Row],[ch_E_NTOT]])</f>
        <v>#NAME?</v>
      </c>
      <c r="I207" s="523" t="e">
        <f ca="1">stat(charge_entree[[#This Row],[ch_E_PTOT]])</f>
        <v>#NAME?</v>
      </c>
      <c r="J207" s="523" t="e">
        <f ca="1">stat(charge_entree[[#This Row],[ch_S_DBO]])</f>
        <v>#NAME?</v>
      </c>
      <c r="K207" s="523" t="e">
        <f ca="1">stat(charge_entree[[#This Row],[ch_S-DCO]])</f>
        <v>#NAME?</v>
      </c>
      <c r="L207" s="523" t="e">
        <f ca="1">stat(charge_entree[[#This Row],[ch_S_DOC]])</f>
        <v>#NAME?</v>
      </c>
      <c r="M207" s="523" t="e">
        <f ca="1">stat(charge_entree[[#This Row],[ch_S_NH4]])</f>
        <v>#NAME?</v>
      </c>
      <c r="N207" s="523" t="e">
        <f ca="1">stat(charge_entree[[#This Row],[ch_S_NO2]])</f>
        <v>#NAME?</v>
      </c>
      <c r="O207" s="523" t="e">
        <f ca="1">stat(charge_entree[[#This Row],[ch_S_NO3]])</f>
        <v>#NAME?</v>
      </c>
      <c r="P207" s="523" t="e">
        <f ca="1">stat(charge_entree[[#This Row],[ch_S_PTOT]])</f>
        <v>#NAME?</v>
      </c>
      <c r="Q207" s="523" t="e">
        <f ca="1">stat(charge_entree[[#This Row],[ch_S_SNDT]])</f>
        <v>#NAME?</v>
      </c>
      <c r="R207" s="523">
        <f>calculs!R207</f>
        <v>0</v>
      </c>
      <c r="S207" s="523" t="e">
        <f ca="1">stat(calculs!S207)</f>
        <v>#NAME?</v>
      </c>
      <c r="T207" s="523" t="e">
        <f ca="1">stat(calculs!T207)</f>
        <v>#NAME?</v>
      </c>
      <c r="U207" s="523" t="e">
        <f ca="1">stat(calculs!U207)</f>
        <v>#NAME?</v>
      </c>
      <c r="V207" s="523" t="e">
        <f ca="1">stat(calculs!V207)</f>
        <v>#NAME?</v>
      </c>
      <c r="W207" s="523" t="e">
        <f ca="1">stat(calculs!W207)</f>
        <v>#NAME?</v>
      </c>
      <c r="X207" s="523" t="e">
        <f ca="1">stat(calculs!X207)</f>
        <v>#NAME?</v>
      </c>
      <c r="Y207" s="523" t="e">
        <f ca="1">stat(calculs!Y207)</f>
        <v>#NAME?</v>
      </c>
      <c r="Z207" s="523" t="e">
        <f ca="1">stat(calculs!Z207)</f>
        <v>#NAME?</v>
      </c>
      <c r="AA207" s="523" t="e">
        <f ca="1">stat(calculs!AA207)</f>
        <v>#NAME?</v>
      </c>
      <c r="AB207" s="523" t="e">
        <f ca="1">stat(calculs!AB207)</f>
        <v>#NAME?</v>
      </c>
      <c r="AC207" s="523" t="e">
        <f ca="1">stat(calculs!AC207)</f>
        <v>#NAME?</v>
      </c>
      <c r="AD207" s="523" t="e">
        <f ca="1">stat(calculs!AD207)</f>
        <v>#NAME?</v>
      </c>
      <c r="AE207" s="523" t="e">
        <f ca="1">stat(calculs!AE207)</f>
        <v>#NAME?</v>
      </c>
      <c r="AF207" s="523" t="e">
        <f ca="1">stat(calculs!AF207)</f>
        <v>#NAME?</v>
      </c>
      <c r="AG207" s="523" t="e">
        <f ca="1">stat(calculs!AG207)</f>
        <v>#NAME?</v>
      </c>
      <c r="AH207" s="523" t="e">
        <f ca="1">stat(calculs!AH207)</f>
        <v>#NAME?</v>
      </c>
      <c r="AI207" s="523" t="e">
        <f ca="1">stat(calculs!AI207)</f>
        <v>#NAME?</v>
      </c>
      <c r="AJ207" s="523" t="e">
        <f ca="1">stat(calculs!AJ207)</f>
        <v>#NAME?</v>
      </c>
      <c r="AK207" s="523" t="e">
        <f ca="1">stat(calculs!AK207)</f>
        <v>#NAME?</v>
      </c>
      <c r="AL207" s="523" t="e">
        <f ca="1">stat(calculs!AL207)</f>
        <v>#NAME?</v>
      </c>
      <c r="AM207" s="523" t="e">
        <f ca="1">stat(calculs!AM207)</f>
        <v>#NAME?</v>
      </c>
      <c r="AN207" s="523" t="e">
        <f ca="1">stat(calculs!AN207)</f>
        <v>#NAME?</v>
      </c>
      <c r="AO207" s="523" t="e">
        <f ca="1">stat(calculs!AO207)</f>
        <v>#NAME?</v>
      </c>
      <c r="AP207" s="523" t="e">
        <f ca="1">stat(calculs!AP207)</f>
        <v>#NAME?</v>
      </c>
      <c r="AQ207" s="523" t="e">
        <f ca="1">stat(calculs!AQ207)</f>
        <v>#NAME?</v>
      </c>
      <c r="AV207" s="525" t="str">
        <f>stat(calculs!AV207)</f>
        <v/>
      </c>
      <c r="AW207" s="525" t="str">
        <f>stat(calculs!AW207)</f>
        <v/>
      </c>
      <c r="AX207" s="525" t="str">
        <f>stat(calculs!AX207)</f>
        <v/>
      </c>
      <c r="AY207" s="525" t="e">
        <f ca="1">stat(calculs!AY207)</f>
        <v>#NAME?</v>
      </c>
      <c r="AZ207" s="525" t="e">
        <f ca="1">stat(calculs!AZ207)</f>
        <v>#NAME?</v>
      </c>
      <c r="BA207" s="525" t="e">
        <f ca="1">stat(calculs!BA207)</f>
        <v>#NAME?</v>
      </c>
      <c r="BB207" s="525" t="e">
        <f ca="1">stat(calculs!BB207)</f>
        <v>#NAME?</v>
      </c>
      <c r="BC207" s="525" t="e">
        <f ca="1">stat(calculs!BC207)</f>
        <v>#NAME?</v>
      </c>
      <c r="BD207" s="525" t="e">
        <f ca="1">stat(calculs!BD207)</f>
        <v>#NAME?</v>
      </c>
      <c r="BE207" s="525" t="e">
        <f ca="1">stat(calculs!BE207)</f>
        <v>#NAME?</v>
      </c>
      <c r="BF207" s="525" t="e">
        <f ca="1">stat(calculs!BF207)</f>
        <v>#NAME?</v>
      </c>
      <c r="BG207" s="729" t="e">
        <f ca="1">stat(calculs!BG207)</f>
        <v>#NAME?</v>
      </c>
      <c r="BH207" s="729" t="e">
        <f ca="1">stat(calculs!BH207)</f>
        <v>#NAME?</v>
      </c>
      <c r="BI207" s="729" t="e">
        <f ca="1">stat(calculs!BI207)</f>
        <v>#NAME?</v>
      </c>
      <c r="BJ207" s="729" t="e">
        <f ca="1">stat(calculs!BJ207)</f>
        <v>#NAME?</v>
      </c>
      <c r="BK207" s="729" t="e">
        <f ca="1">stat(calculs!BK207)</f>
        <v>#NAME?</v>
      </c>
      <c r="BL207" s="525" t="e">
        <f ca="1">stat(calculs!BL207)</f>
        <v>#NAME?</v>
      </c>
      <c r="BM207" s="525" t="e">
        <f ca="1">stat(calculs!BM207)</f>
        <v>#NAME?</v>
      </c>
      <c r="BN207" s="525" t="e">
        <f ca="1">stat(calculs!BN207)</f>
        <v>#NAME?</v>
      </c>
      <c r="BO207" s="525" t="e">
        <f ca="1">stat(calculs!BO207)</f>
        <v>#NAME?</v>
      </c>
      <c r="BP207" s="525" t="e">
        <f ca="1">stat(calculs!BP207)</f>
        <v>#NAME?</v>
      </c>
      <c r="BQ207" s="525" t="e">
        <f ca="1">stat(calculs!BQ207)</f>
        <v>#NAME?</v>
      </c>
      <c r="BR207" s="525" t="e">
        <f ca="1">stat(calculs!BR207)</f>
        <v>#NAME?</v>
      </c>
    </row>
    <row r="208" spans="1:70" x14ac:dyDescent="0.2">
      <c r="A208" s="222">
        <f>données_step[[#This Row],[Datum]]</f>
        <v>44759</v>
      </c>
      <c r="B208" s="223"/>
      <c r="C208" s="224">
        <f t="shared" si="3"/>
        <v>1</v>
      </c>
      <c r="D208" s="523" t="e">
        <f ca="1">stat(charge_entree[[#This Row],[ch_E_DBO5]])</f>
        <v>#NAME?</v>
      </c>
      <c r="E208" s="523" t="e">
        <f ca="1">stat(charge_entree[[#This Row],[ch_E_DCO]])</f>
        <v>#NAME?</v>
      </c>
      <c r="F208" s="523" t="e">
        <f ca="1">stat(charge_entree[[#This Row],[ch_E_COT]])</f>
        <v>#NAME?</v>
      </c>
      <c r="G208" s="523" t="e">
        <f ca="1">stat(charge_entree[[#This Row],[ch_E_NH4]])</f>
        <v>#NAME?</v>
      </c>
      <c r="H208" s="523" t="e">
        <f ca="1">stat(charge_entree[[#This Row],[ch_E_NTOT]])</f>
        <v>#NAME?</v>
      </c>
      <c r="I208" s="523" t="e">
        <f ca="1">stat(charge_entree[[#This Row],[ch_E_PTOT]])</f>
        <v>#NAME?</v>
      </c>
      <c r="J208" s="523" t="e">
        <f ca="1">stat(charge_entree[[#This Row],[ch_S_DBO]])</f>
        <v>#NAME?</v>
      </c>
      <c r="K208" s="523" t="e">
        <f ca="1">stat(charge_entree[[#This Row],[ch_S-DCO]])</f>
        <v>#NAME?</v>
      </c>
      <c r="L208" s="523" t="e">
        <f ca="1">stat(charge_entree[[#This Row],[ch_S_DOC]])</f>
        <v>#NAME?</v>
      </c>
      <c r="M208" s="523" t="e">
        <f ca="1">stat(charge_entree[[#This Row],[ch_S_NH4]])</f>
        <v>#NAME?</v>
      </c>
      <c r="N208" s="523" t="e">
        <f ca="1">stat(charge_entree[[#This Row],[ch_S_NO2]])</f>
        <v>#NAME?</v>
      </c>
      <c r="O208" s="523" t="e">
        <f ca="1">stat(charge_entree[[#This Row],[ch_S_NO3]])</f>
        <v>#NAME?</v>
      </c>
      <c r="P208" s="523" t="e">
        <f ca="1">stat(charge_entree[[#This Row],[ch_S_PTOT]])</f>
        <v>#NAME?</v>
      </c>
      <c r="Q208" s="523" t="e">
        <f ca="1">stat(charge_entree[[#This Row],[ch_S_SNDT]])</f>
        <v>#NAME?</v>
      </c>
      <c r="R208" s="523">
        <f>calculs!R208</f>
        <v>0</v>
      </c>
      <c r="S208" s="523" t="e">
        <f ca="1">stat(calculs!S208)</f>
        <v>#NAME?</v>
      </c>
      <c r="T208" s="523" t="e">
        <f ca="1">stat(calculs!T208)</f>
        <v>#NAME?</v>
      </c>
      <c r="U208" s="523" t="e">
        <f ca="1">stat(calculs!U208)</f>
        <v>#NAME?</v>
      </c>
      <c r="V208" s="523" t="e">
        <f ca="1">stat(calculs!V208)</f>
        <v>#NAME?</v>
      </c>
      <c r="W208" s="523" t="e">
        <f ca="1">stat(calculs!W208)</f>
        <v>#NAME?</v>
      </c>
      <c r="X208" s="523" t="e">
        <f ca="1">stat(calculs!X208)</f>
        <v>#NAME?</v>
      </c>
      <c r="Y208" s="523" t="e">
        <f ca="1">stat(calculs!Y208)</f>
        <v>#NAME?</v>
      </c>
      <c r="Z208" s="523" t="e">
        <f ca="1">stat(calculs!Z208)</f>
        <v>#NAME?</v>
      </c>
      <c r="AA208" s="523" t="e">
        <f ca="1">stat(calculs!AA208)</f>
        <v>#NAME?</v>
      </c>
      <c r="AB208" s="523" t="e">
        <f ca="1">stat(calculs!AB208)</f>
        <v>#NAME?</v>
      </c>
      <c r="AC208" s="523" t="e">
        <f ca="1">stat(calculs!AC208)</f>
        <v>#NAME?</v>
      </c>
      <c r="AD208" s="523" t="e">
        <f ca="1">stat(calculs!AD208)</f>
        <v>#NAME?</v>
      </c>
      <c r="AE208" s="523" t="e">
        <f ca="1">stat(calculs!AE208)</f>
        <v>#NAME?</v>
      </c>
      <c r="AF208" s="523" t="e">
        <f ca="1">stat(calculs!AF208)</f>
        <v>#NAME?</v>
      </c>
      <c r="AG208" s="523" t="e">
        <f ca="1">stat(calculs!AG208)</f>
        <v>#NAME?</v>
      </c>
      <c r="AH208" s="523" t="e">
        <f ca="1">stat(calculs!AH208)</f>
        <v>#NAME?</v>
      </c>
      <c r="AI208" s="523" t="e">
        <f ca="1">stat(calculs!AI208)</f>
        <v>#NAME?</v>
      </c>
      <c r="AJ208" s="523" t="e">
        <f ca="1">stat(calculs!AJ208)</f>
        <v>#NAME?</v>
      </c>
      <c r="AK208" s="523" t="e">
        <f ca="1">stat(calculs!AK208)</f>
        <v>#NAME?</v>
      </c>
      <c r="AL208" s="523" t="e">
        <f ca="1">stat(calculs!AL208)</f>
        <v>#NAME?</v>
      </c>
      <c r="AM208" s="523" t="e">
        <f ca="1">stat(calculs!AM208)</f>
        <v>#NAME?</v>
      </c>
      <c r="AN208" s="523" t="e">
        <f ca="1">stat(calculs!AN208)</f>
        <v>#NAME?</v>
      </c>
      <c r="AO208" s="523" t="e">
        <f ca="1">stat(calculs!AO208)</f>
        <v>#NAME?</v>
      </c>
      <c r="AP208" s="523" t="e">
        <f ca="1">stat(calculs!AP208)</f>
        <v>#NAME?</v>
      </c>
      <c r="AQ208" s="523" t="e">
        <f ca="1">stat(calculs!AQ208)</f>
        <v>#NAME?</v>
      </c>
      <c r="AV208" s="525" t="str">
        <f>stat(calculs!AV208)</f>
        <v/>
      </c>
      <c r="AW208" s="525" t="str">
        <f>stat(calculs!AW208)</f>
        <v/>
      </c>
      <c r="AX208" s="525" t="str">
        <f>stat(calculs!AX208)</f>
        <v/>
      </c>
      <c r="AY208" s="525" t="e">
        <f ca="1">stat(calculs!AY208)</f>
        <v>#NAME?</v>
      </c>
      <c r="AZ208" s="525" t="e">
        <f ca="1">stat(calculs!AZ208)</f>
        <v>#NAME?</v>
      </c>
      <c r="BA208" s="525" t="e">
        <f ca="1">stat(calculs!BA208)</f>
        <v>#NAME?</v>
      </c>
      <c r="BB208" s="525" t="e">
        <f ca="1">stat(calculs!BB208)</f>
        <v>#NAME?</v>
      </c>
      <c r="BC208" s="525" t="e">
        <f ca="1">stat(calculs!BC208)</f>
        <v>#NAME?</v>
      </c>
      <c r="BD208" s="525" t="e">
        <f ca="1">stat(calculs!BD208)</f>
        <v>#NAME?</v>
      </c>
      <c r="BE208" s="525" t="e">
        <f ca="1">stat(calculs!BE208)</f>
        <v>#NAME?</v>
      </c>
      <c r="BF208" s="525" t="e">
        <f ca="1">stat(calculs!BF208)</f>
        <v>#NAME?</v>
      </c>
      <c r="BG208" s="729" t="e">
        <f ca="1">stat(calculs!BG208)</f>
        <v>#NAME?</v>
      </c>
      <c r="BH208" s="729" t="e">
        <f ca="1">stat(calculs!BH208)</f>
        <v>#NAME?</v>
      </c>
      <c r="BI208" s="729" t="e">
        <f ca="1">stat(calculs!BI208)</f>
        <v>#NAME?</v>
      </c>
      <c r="BJ208" s="729" t="e">
        <f ca="1">stat(calculs!BJ208)</f>
        <v>#NAME?</v>
      </c>
      <c r="BK208" s="729" t="e">
        <f ca="1">stat(calculs!BK208)</f>
        <v>#NAME?</v>
      </c>
      <c r="BL208" s="525" t="e">
        <f ca="1">stat(calculs!BL208)</f>
        <v>#NAME?</v>
      </c>
      <c r="BM208" s="525" t="e">
        <f ca="1">stat(calculs!BM208)</f>
        <v>#NAME?</v>
      </c>
      <c r="BN208" s="525" t="e">
        <f ca="1">stat(calculs!BN208)</f>
        <v>#NAME?</v>
      </c>
      <c r="BO208" s="525" t="e">
        <f ca="1">stat(calculs!BO208)</f>
        <v>#NAME?</v>
      </c>
      <c r="BP208" s="525" t="e">
        <f ca="1">stat(calculs!BP208)</f>
        <v>#NAME?</v>
      </c>
      <c r="BQ208" s="525" t="e">
        <f ca="1">stat(calculs!BQ208)</f>
        <v>#NAME?</v>
      </c>
      <c r="BR208" s="525" t="e">
        <f ca="1">stat(calculs!BR208)</f>
        <v>#NAME?</v>
      </c>
    </row>
    <row r="209" spans="1:70" x14ac:dyDescent="0.2">
      <c r="A209" s="222">
        <f>données_step[[#This Row],[Datum]]</f>
        <v>44760</v>
      </c>
      <c r="B209" s="223"/>
      <c r="C209" s="224">
        <f t="shared" si="3"/>
        <v>2</v>
      </c>
      <c r="D209" s="523" t="e">
        <f ca="1">stat(charge_entree[[#This Row],[ch_E_DBO5]])</f>
        <v>#NAME?</v>
      </c>
      <c r="E209" s="523" t="e">
        <f ca="1">stat(charge_entree[[#This Row],[ch_E_DCO]])</f>
        <v>#NAME?</v>
      </c>
      <c r="F209" s="523" t="e">
        <f ca="1">stat(charge_entree[[#This Row],[ch_E_COT]])</f>
        <v>#NAME?</v>
      </c>
      <c r="G209" s="523" t="e">
        <f ca="1">stat(charge_entree[[#This Row],[ch_E_NH4]])</f>
        <v>#NAME?</v>
      </c>
      <c r="H209" s="523" t="e">
        <f ca="1">stat(charge_entree[[#This Row],[ch_E_NTOT]])</f>
        <v>#NAME?</v>
      </c>
      <c r="I209" s="523" t="e">
        <f ca="1">stat(charge_entree[[#This Row],[ch_E_PTOT]])</f>
        <v>#NAME?</v>
      </c>
      <c r="J209" s="523" t="e">
        <f ca="1">stat(charge_entree[[#This Row],[ch_S_DBO]])</f>
        <v>#NAME?</v>
      </c>
      <c r="K209" s="523" t="e">
        <f ca="1">stat(charge_entree[[#This Row],[ch_S-DCO]])</f>
        <v>#NAME?</v>
      </c>
      <c r="L209" s="523" t="e">
        <f ca="1">stat(charge_entree[[#This Row],[ch_S_DOC]])</f>
        <v>#NAME?</v>
      </c>
      <c r="M209" s="523" t="e">
        <f ca="1">stat(charge_entree[[#This Row],[ch_S_NH4]])</f>
        <v>#NAME?</v>
      </c>
      <c r="N209" s="523" t="e">
        <f ca="1">stat(charge_entree[[#This Row],[ch_S_NO2]])</f>
        <v>#NAME?</v>
      </c>
      <c r="O209" s="523" t="e">
        <f ca="1">stat(charge_entree[[#This Row],[ch_S_NO3]])</f>
        <v>#NAME?</v>
      </c>
      <c r="P209" s="523" t="e">
        <f ca="1">stat(charge_entree[[#This Row],[ch_S_PTOT]])</f>
        <v>#NAME?</v>
      </c>
      <c r="Q209" s="523" t="e">
        <f ca="1">stat(charge_entree[[#This Row],[ch_S_SNDT]])</f>
        <v>#NAME?</v>
      </c>
      <c r="R209" s="523">
        <f>calculs!R209</f>
        <v>0</v>
      </c>
      <c r="S209" s="523" t="e">
        <f ca="1">stat(calculs!S209)</f>
        <v>#NAME?</v>
      </c>
      <c r="T209" s="523" t="e">
        <f ca="1">stat(calculs!T209)</f>
        <v>#NAME?</v>
      </c>
      <c r="U209" s="523" t="e">
        <f ca="1">stat(calculs!U209)</f>
        <v>#NAME?</v>
      </c>
      <c r="V209" s="523" t="e">
        <f ca="1">stat(calculs!V209)</f>
        <v>#NAME?</v>
      </c>
      <c r="W209" s="523" t="e">
        <f ca="1">stat(calculs!W209)</f>
        <v>#NAME?</v>
      </c>
      <c r="X209" s="523" t="e">
        <f ca="1">stat(calculs!X209)</f>
        <v>#NAME?</v>
      </c>
      <c r="Y209" s="523" t="e">
        <f ca="1">stat(calculs!Y209)</f>
        <v>#NAME?</v>
      </c>
      <c r="Z209" s="523" t="e">
        <f ca="1">stat(calculs!Z209)</f>
        <v>#NAME?</v>
      </c>
      <c r="AA209" s="523" t="e">
        <f ca="1">stat(calculs!AA209)</f>
        <v>#NAME?</v>
      </c>
      <c r="AB209" s="523" t="e">
        <f ca="1">stat(calculs!AB209)</f>
        <v>#NAME?</v>
      </c>
      <c r="AC209" s="523" t="e">
        <f ca="1">stat(calculs!AC209)</f>
        <v>#NAME?</v>
      </c>
      <c r="AD209" s="523" t="e">
        <f ca="1">stat(calculs!AD209)</f>
        <v>#NAME?</v>
      </c>
      <c r="AE209" s="523" t="e">
        <f ca="1">stat(calculs!AE209)</f>
        <v>#NAME?</v>
      </c>
      <c r="AF209" s="523" t="e">
        <f ca="1">stat(calculs!AF209)</f>
        <v>#NAME?</v>
      </c>
      <c r="AG209" s="523" t="e">
        <f ca="1">stat(calculs!AG209)</f>
        <v>#NAME?</v>
      </c>
      <c r="AH209" s="523" t="e">
        <f ca="1">stat(calculs!AH209)</f>
        <v>#NAME?</v>
      </c>
      <c r="AI209" s="523" t="e">
        <f ca="1">stat(calculs!AI209)</f>
        <v>#NAME?</v>
      </c>
      <c r="AJ209" s="523" t="e">
        <f ca="1">stat(calculs!AJ209)</f>
        <v>#NAME?</v>
      </c>
      <c r="AK209" s="523" t="e">
        <f ca="1">stat(calculs!AK209)</f>
        <v>#NAME?</v>
      </c>
      <c r="AL209" s="523" t="e">
        <f ca="1">stat(calculs!AL209)</f>
        <v>#NAME?</v>
      </c>
      <c r="AM209" s="523" t="e">
        <f ca="1">stat(calculs!AM209)</f>
        <v>#NAME?</v>
      </c>
      <c r="AN209" s="523" t="e">
        <f ca="1">stat(calculs!AN209)</f>
        <v>#NAME?</v>
      </c>
      <c r="AO209" s="523" t="e">
        <f ca="1">stat(calculs!AO209)</f>
        <v>#NAME?</v>
      </c>
      <c r="AP209" s="523" t="e">
        <f ca="1">stat(calculs!AP209)</f>
        <v>#NAME?</v>
      </c>
      <c r="AQ209" s="523" t="e">
        <f ca="1">stat(calculs!AQ209)</f>
        <v>#NAME?</v>
      </c>
      <c r="AV209" s="525" t="str">
        <f>stat(calculs!AV209)</f>
        <v/>
      </c>
      <c r="AW209" s="525" t="str">
        <f>stat(calculs!AW209)</f>
        <v/>
      </c>
      <c r="AX209" s="525" t="str">
        <f>stat(calculs!AX209)</f>
        <v/>
      </c>
      <c r="AY209" s="525" t="e">
        <f ca="1">stat(calculs!AY209)</f>
        <v>#NAME?</v>
      </c>
      <c r="AZ209" s="525" t="e">
        <f ca="1">stat(calculs!AZ209)</f>
        <v>#NAME?</v>
      </c>
      <c r="BA209" s="525" t="e">
        <f ca="1">stat(calculs!BA209)</f>
        <v>#NAME?</v>
      </c>
      <c r="BB209" s="525" t="e">
        <f ca="1">stat(calculs!BB209)</f>
        <v>#NAME?</v>
      </c>
      <c r="BC209" s="525" t="e">
        <f ca="1">stat(calculs!BC209)</f>
        <v>#NAME?</v>
      </c>
      <c r="BD209" s="525" t="e">
        <f ca="1">stat(calculs!BD209)</f>
        <v>#NAME?</v>
      </c>
      <c r="BE209" s="525" t="e">
        <f ca="1">stat(calculs!BE209)</f>
        <v>#NAME?</v>
      </c>
      <c r="BF209" s="525" t="e">
        <f ca="1">stat(calculs!BF209)</f>
        <v>#NAME?</v>
      </c>
      <c r="BG209" s="729" t="e">
        <f ca="1">stat(calculs!BG209)</f>
        <v>#NAME?</v>
      </c>
      <c r="BH209" s="729" t="e">
        <f ca="1">stat(calculs!BH209)</f>
        <v>#NAME?</v>
      </c>
      <c r="BI209" s="729" t="e">
        <f ca="1">stat(calculs!BI209)</f>
        <v>#NAME?</v>
      </c>
      <c r="BJ209" s="729" t="e">
        <f ca="1">stat(calculs!BJ209)</f>
        <v>#NAME?</v>
      </c>
      <c r="BK209" s="729" t="e">
        <f ca="1">stat(calculs!BK209)</f>
        <v>#NAME?</v>
      </c>
      <c r="BL209" s="525" t="e">
        <f ca="1">stat(calculs!BL209)</f>
        <v>#NAME?</v>
      </c>
      <c r="BM209" s="525" t="e">
        <f ca="1">stat(calculs!BM209)</f>
        <v>#NAME?</v>
      </c>
      <c r="BN209" s="525" t="e">
        <f ca="1">stat(calculs!BN209)</f>
        <v>#NAME?</v>
      </c>
      <c r="BO209" s="525" t="e">
        <f ca="1">stat(calculs!BO209)</f>
        <v>#NAME?</v>
      </c>
      <c r="BP209" s="525" t="e">
        <f ca="1">stat(calculs!BP209)</f>
        <v>#NAME?</v>
      </c>
      <c r="BQ209" s="525" t="e">
        <f ca="1">stat(calculs!BQ209)</f>
        <v>#NAME?</v>
      </c>
      <c r="BR209" s="525" t="e">
        <f ca="1">stat(calculs!BR209)</f>
        <v>#NAME?</v>
      </c>
    </row>
    <row r="210" spans="1:70" x14ac:dyDescent="0.2">
      <c r="A210" s="222">
        <f>données_step[[#This Row],[Datum]]</f>
        <v>44761</v>
      </c>
      <c r="B210" s="223"/>
      <c r="C210" s="224">
        <f t="shared" si="3"/>
        <v>3</v>
      </c>
      <c r="D210" s="523" t="e">
        <f ca="1">stat(charge_entree[[#This Row],[ch_E_DBO5]])</f>
        <v>#NAME?</v>
      </c>
      <c r="E210" s="523" t="e">
        <f ca="1">stat(charge_entree[[#This Row],[ch_E_DCO]])</f>
        <v>#NAME?</v>
      </c>
      <c r="F210" s="523" t="e">
        <f ca="1">stat(charge_entree[[#This Row],[ch_E_COT]])</f>
        <v>#NAME?</v>
      </c>
      <c r="G210" s="523" t="e">
        <f ca="1">stat(charge_entree[[#This Row],[ch_E_NH4]])</f>
        <v>#NAME?</v>
      </c>
      <c r="H210" s="523" t="e">
        <f ca="1">stat(charge_entree[[#This Row],[ch_E_NTOT]])</f>
        <v>#NAME?</v>
      </c>
      <c r="I210" s="523" t="e">
        <f ca="1">stat(charge_entree[[#This Row],[ch_E_PTOT]])</f>
        <v>#NAME?</v>
      </c>
      <c r="J210" s="523" t="e">
        <f ca="1">stat(charge_entree[[#This Row],[ch_S_DBO]])</f>
        <v>#NAME?</v>
      </c>
      <c r="K210" s="523" t="e">
        <f ca="1">stat(charge_entree[[#This Row],[ch_S-DCO]])</f>
        <v>#NAME?</v>
      </c>
      <c r="L210" s="523" t="e">
        <f ca="1">stat(charge_entree[[#This Row],[ch_S_DOC]])</f>
        <v>#NAME?</v>
      </c>
      <c r="M210" s="523" t="e">
        <f ca="1">stat(charge_entree[[#This Row],[ch_S_NH4]])</f>
        <v>#NAME?</v>
      </c>
      <c r="N210" s="523" t="e">
        <f ca="1">stat(charge_entree[[#This Row],[ch_S_NO2]])</f>
        <v>#NAME?</v>
      </c>
      <c r="O210" s="523" t="e">
        <f ca="1">stat(charge_entree[[#This Row],[ch_S_NO3]])</f>
        <v>#NAME?</v>
      </c>
      <c r="P210" s="523" t="e">
        <f ca="1">stat(charge_entree[[#This Row],[ch_S_PTOT]])</f>
        <v>#NAME?</v>
      </c>
      <c r="Q210" s="523" t="e">
        <f ca="1">stat(charge_entree[[#This Row],[ch_S_SNDT]])</f>
        <v>#NAME?</v>
      </c>
      <c r="R210" s="523">
        <f>calculs!R210</f>
        <v>0</v>
      </c>
      <c r="S210" s="523" t="e">
        <f ca="1">stat(calculs!S210)</f>
        <v>#NAME?</v>
      </c>
      <c r="T210" s="523" t="e">
        <f ca="1">stat(calculs!T210)</f>
        <v>#NAME?</v>
      </c>
      <c r="U210" s="523" t="e">
        <f ca="1">stat(calculs!U210)</f>
        <v>#NAME?</v>
      </c>
      <c r="V210" s="523" t="e">
        <f ca="1">stat(calculs!V210)</f>
        <v>#NAME?</v>
      </c>
      <c r="W210" s="523" t="e">
        <f ca="1">stat(calculs!W210)</f>
        <v>#NAME?</v>
      </c>
      <c r="X210" s="523" t="e">
        <f ca="1">stat(calculs!X210)</f>
        <v>#NAME?</v>
      </c>
      <c r="Y210" s="523" t="e">
        <f ca="1">stat(calculs!Y210)</f>
        <v>#NAME?</v>
      </c>
      <c r="Z210" s="523" t="e">
        <f ca="1">stat(calculs!Z210)</f>
        <v>#NAME?</v>
      </c>
      <c r="AA210" s="523" t="e">
        <f ca="1">stat(calculs!AA210)</f>
        <v>#NAME?</v>
      </c>
      <c r="AB210" s="523" t="e">
        <f ca="1">stat(calculs!AB210)</f>
        <v>#NAME?</v>
      </c>
      <c r="AC210" s="523" t="e">
        <f ca="1">stat(calculs!AC210)</f>
        <v>#NAME?</v>
      </c>
      <c r="AD210" s="523" t="e">
        <f ca="1">stat(calculs!AD210)</f>
        <v>#NAME?</v>
      </c>
      <c r="AE210" s="523" t="e">
        <f ca="1">stat(calculs!AE210)</f>
        <v>#NAME?</v>
      </c>
      <c r="AF210" s="523" t="e">
        <f ca="1">stat(calculs!AF210)</f>
        <v>#NAME?</v>
      </c>
      <c r="AG210" s="523" t="e">
        <f ca="1">stat(calculs!AG210)</f>
        <v>#NAME?</v>
      </c>
      <c r="AH210" s="523" t="e">
        <f ca="1">stat(calculs!AH210)</f>
        <v>#NAME?</v>
      </c>
      <c r="AI210" s="523" t="e">
        <f ca="1">stat(calculs!AI210)</f>
        <v>#NAME?</v>
      </c>
      <c r="AJ210" s="523" t="e">
        <f ca="1">stat(calculs!AJ210)</f>
        <v>#NAME?</v>
      </c>
      <c r="AK210" s="523" t="e">
        <f ca="1">stat(calculs!AK210)</f>
        <v>#NAME?</v>
      </c>
      <c r="AL210" s="523" t="e">
        <f ca="1">stat(calculs!AL210)</f>
        <v>#NAME?</v>
      </c>
      <c r="AM210" s="523" t="e">
        <f ca="1">stat(calculs!AM210)</f>
        <v>#NAME?</v>
      </c>
      <c r="AN210" s="523" t="e">
        <f ca="1">stat(calculs!AN210)</f>
        <v>#NAME?</v>
      </c>
      <c r="AO210" s="523" t="e">
        <f ca="1">stat(calculs!AO210)</f>
        <v>#NAME?</v>
      </c>
      <c r="AP210" s="523" t="e">
        <f ca="1">stat(calculs!AP210)</f>
        <v>#NAME?</v>
      </c>
      <c r="AQ210" s="523" t="e">
        <f ca="1">stat(calculs!AQ210)</f>
        <v>#NAME?</v>
      </c>
      <c r="AV210" s="525" t="str">
        <f>stat(calculs!AV210)</f>
        <v/>
      </c>
      <c r="AW210" s="525" t="str">
        <f>stat(calculs!AW210)</f>
        <v/>
      </c>
      <c r="AX210" s="525" t="str">
        <f>stat(calculs!AX210)</f>
        <v/>
      </c>
      <c r="AY210" s="525" t="e">
        <f ca="1">stat(calculs!AY210)</f>
        <v>#NAME?</v>
      </c>
      <c r="AZ210" s="525" t="e">
        <f ca="1">stat(calculs!AZ210)</f>
        <v>#NAME?</v>
      </c>
      <c r="BA210" s="525" t="e">
        <f ca="1">stat(calculs!BA210)</f>
        <v>#NAME?</v>
      </c>
      <c r="BB210" s="525" t="e">
        <f ca="1">stat(calculs!BB210)</f>
        <v>#NAME?</v>
      </c>
      <c r="BC210" s="525" t="e">
        <f ca="1">stat(calculs!BC210)</f>
        <v>#NAME?</v>
      </c>
      <c r="BD210" s="525" t="e">
        <f ca="1">stat(calculs!BD210)</f>
        <v>#NAME?</v>
      </c>
      <c r="BE210" s="525" t="e">
        <f ca="1">stat(calculs!BE210)</f>
        <v>#NAME?</v>
      </c>
      <c r="BF210" s="525" t="e">
        <f ca="1">stat(calculs!BF210)</f>
        <v>#NAME?</v>
      </c>
      <c r="BG210" s="729" t="e">
        <f ca="1">stat(calculs!BG210)</f>
        <v>#NAME?</v>
      </c>
      <c r="BH210" s="729" t="e">
        <f ca="1">stat(calculs!BH210)</f>
        <v>#NAME?</v>
      </c>
      <c r="BI210" s="729" t="e">
        <f ca="1">stat(calculs!BI210)</f>
        <v>#NAME?</v>
      </c>
      <c r="BJ210" s="729" t="e">
        <f ca="1">stat(calculs!BJ210)</f>
        <v>#NAME?</v>
      </c>
      <c r="BK210" s="729" t="e">
        <f ca="1">stat(calculs!BK210)</f>
        <v>#NAME?</v>
      </c>
      <c r="BL210" s="525" t="e">
        <f ca="1">stat(calculs!BL210)</f>
        <v>#NAME?</v>
      </c>
      <c r="BM210" s="525" t="e">
        <f ca="1">stat(calculs!BM210)</f>
        <v>#NAME?</v>
      </c>
      <c r="BN210" s="525" t="e">
        <f ca="1">stat(calculs!BN210)</f>
        <v>#NAME?</v>
      </c>
      <c r="BO210" s="525" t="e">
        <f ca="1">stat(calculs!BO210)</f>
        <v>#NAME?</v>
      </c>
      <c r="BP210" s="525" t="e">
        <f ca="1">stat(calculs!BP210)</f>
        <v>#NAME?</v>
      </c>
      <c r="BQ210" s="525" t="e">
        <f ca="1">stat(calculs!BQ210)</f>
        <v>#NAME?</v>
      </c>
      <c r="BR210" s="525" t="e">
        <f ca="1">stat(calculs!BR210)</f>
        <v>#NAME?</v>
      </c>
    </row>
    <row r="211" spans="1:70" x14ac:dyDescent="0.2">
      <c r="A211" s="222">
        <f>données_step[[#This Row],[Datum]]</f>
        <v>44762</v>
      </c>
      <c r="B211" s="223"/>
      <c r="C211" s="224">
        <f t="shared" si="3"/>
        <v>4</v>
      </c>
      <c r="D211" s="523" t="e">
        <f ca="1">stat(charge_entree[[#This Row],[ch_E_DBO5]])</f>
        <v>#NAME?</v>
      </c>
      <c r="E211" s="523" t="e">
        <f ca="1">stat(charge_entree[[#This Row],[ch_E_DCO]])</f>
        <v>#NAME?</v>
      </c>
      <c r="F211" s="523" t="e">
        <f ca="1">stat(charge_entree[[#This Row],[ch_E_COT]])</f>
        <v>#NAME?</v>
      </c>
      <c r="G211" s="523" t="e">
        <f ca="1">stat(charge_entree[[#This Row],[ch_E_NH4]])</f>
        <v>#NAME?</v>
      </c>
      <c r="H211" s="523" t="e">
        <f ca="1">stat(charge_entree[[#This Row],[ch_E_NTOT]])</f>
        <v>#NAME?</v>
      </c>
      <c r="I211" s="523" t="e">
        <f ca="1">stat(charge_entree[[#This Row],[ch_E_PTOT]])</f>
        <v>#NAME?</v>
      </c>
      <c r="J211" s="523" t="e">
        <f ca="1">stat(charge_entree[[#This Row],[ch_S_DBO]])</f>
        <v>#NAME?</v>
      </c>
      <c r="K211" s="523" t="e">
        <f ca="1">stat(charge_entree[[#This Row],[ch_S-DCO]])</f>
        <v>#NAME?</v>
      </c>
      <c r="L211" s="523" t="e">
        <f ca="1">stat(charge_entree[[#This Row],[ch_S_DOC]])</f>
        <v>#NAME?</v>
      </c>
      <c r="M211" s="523" t="e">
        <f ca="1">stat(charge_entree[[#This Row],[ch_S_NH4]])</f>
        <v>#NAME?</v>
      </c>
      <c r="N211" s="523" t="e">
        <f ca="1">stat(charge_entree[[#This Row],[ch_S_NO2]])</f>
        <v>#NAME?</v>
      </c>
      <c r="O211" s="523" t="e">
        <f ca="1">stat(charge_entree[[#This Row],[ch_S_NO3]])</f>
        <v>#NAME?</v>
      </c>
      <c r="P211" s="523" t="e">
        <f ca="1">stat(charge_entree[[#This Row],[ch_S_PTOT]])</f>
        <v>#NAME?</v>
      </c>
      <c r="Q211" s="523" t="e">
        <f ca="1">stat(charge_entree[[#This Row],[ch_S_SNDT]])</f>
        <v>#NAME?</v>
      </c>
      <c r="R211" s="523">
        <f>calculs!R211</f>
        <v>0</v>
      </c>
      <c r="S211" s="523" t="e">
        <f ca="1">stat(calculs!S211)</f>
        <v>#NAME?</v>
      </c>
      <c r="T211" s="523" t="e">
        <f ca="1">stat(calculs!T211)</f>
        <v>#NAME?</v>
      </c>
      <c r="U211" s="523" t="e">
        <f ca="1">stat(calculs!U211)</f>
        <v>#NAME?</v>
      </c>
      <c r="V211" s="523" t="e">
        <f ca="1">stat(calculs!V211)</f>
        <v>#NAME?</v>
      </c>
      <c r="W211" s="523" t="e">
        <f ca="1">stat(calculs!W211)</f>
        <v>#NAME?</v>
      </c>
      <c r="X211" s="523" t="e">
        <f ca="1">stat(calculs!X211)</f>
        <v>#NAME?</v>
      </c>
      <c r="Y211" s="523" t="e">
        <f ca="1">stat(calculs!Y211)</f>
        <v>#NAME?</v>
      </c>
      <c r="Z211" s="523" t="e">
        <f ca="1">stat(calculs!Z211)</f>
        <v>#NAME?</v>
      </c>
      <c r="AA211" s="523" t="e">
        <f ca="1">stat(calculs!AA211)</f>
        <v>#NAME?</v>
      </c>
      <c r="AB211" s="523" t="e">
        <f ca="1">stat(calculs!AB211)</f>
        <v>#NAME?</v>
      </c>
      <c r="AC211" s="523" t="e">
        <f ca="1">stat(calculs!AC211)</f>
        <v>#NAME?</v>
      </c>
      <c r="AD211" s="523" t="e">
        <f ca="1">stat(calculs!AD211)</f>
        <v>#NAME?</v>
      </c>
      <c r="AE211" s="523" t="e">
        <f ca="1">stat(calculs!AE211)</f>
        <v>#NAME?</v>
      </c>
      <c r="AF211" s="523" t="e">
        <f ca="1">stat(calculs!AF211)</f>
        <v>#NAME?</v>
      </c>
      <c r="AG211" s="523" t="e">
        <f ca="1">stat(calculs!AG211)</f>
        <v>#NAME?</v>
      </c>
      <c r="AH211" s="523" t="e">
        <f ca="1">stat(calculs!AH211)</f>
        <v>#NAME?</v>
      </c>
      <c r="AI211" s="523" t="e">
        <f ca="1">stat(calculs!AI211)</f>
        <v>#NAME?</v>
      </c>
      <c r="AJ211" s="523" t="e">
        <f ca="1">stat(calculs!AJ211)</f>
        <v>#NAME?</v>
      </c>
      <c r="AK211" s="523" t="e">
        <f ca="1">stat(calculs!AK211)</f>
        <v>#NAME?</v>
      </c>
      <c r="AL211" s="523" t="e">
        <f ca="1">stat(calculs!AL211)</f>
        <v>#NAME?</v>
      </c>
      <c r="AM211" s="523" t="e">
        <f ca="1">stat(calculs!AM211)</f>
        <v>#NAME?</v>
      </c>
      <c r="AN211" s="523" t="e">
        <f ca="1">stat(calculs!AN211)</f>
        <v>#NAME?</v>
      </c>
      <c r="AO211" s="523" t="e">
        <f ca="1">stat(calculs!AO211)</f>
        <v>#NAME?</v>
      </c>
      <c r="AP211" s="523" t="e">
        <f ca="1">stat(calculs!AP211)</f>
        <v>#NAME?</v>
      </c>
      <c r="AQ211" s="523" t="e">
        <f ca="1">stat(calculs!AQ211)</f>
        <v>#NAME?</v>
      </c>
      <c r="AV211" s="525" t="str">
        <f>stat(calculs!AV211)</f>
        <v/>
      </c>
      <c r="AW211" s="525" t="str">
        <f>stat(calculs!AW211)</f>
        <v/>
      </c>
      <c r="AX211" s="525" t="str">
        <f>stat(calculs!AX211)</f>
        <v/>
      </c>
      <c r="AY211" s="525" t="e">
        <f ca="1">stat(calculs!AY211)</f>
        <v>#NAME?</v>
      </c>
      <c r="AZ211" s="525" t="e">
        <f ca="1">stat(calculs!AZ211)</f>
        <v>#NAME?</v>
      </c>
      <c r="BA211" s="525" t="e">
        <f ca="1">stat(calculs!BA211)</f>
        <v>#NAME?</v>
      </c>
      <c r="BB211" s="525" t="e">
        <f ca="1">stat(calculs!BB211)</f>
        <v>#NAME?</v>
      </c>
      <c r="BC211" s="525" t="e">
        <f ca="1">stat(calculs!BC211)</f>
        <v>#NAME?</v>
      </c>
      <c r="BD211" s="525" t="e">
        <f ca="1">stat(calculs!BD211)</f>
        <v>#NAME?</v>
      </c>
      <c r="BE211" s="525" t="e">
        <f ca="1">stat(calculs!BE211)</f>
        <v>#NAME?</v>
      </c>
      <c r="BF211" s="525" t="e">
        <f ca="1">stat(calculs!BF211)</f>
        <v>#NAME?</v>
      </c>
      <c r="BG211" s="729" t="e">
        <f ca="1">stat(calculs!BG211)</f>
        <v>#NAME?</v>
      </c>
      <c r="BH211" s="729" t="e">
        <f ca="1">stat(calculs!BH211)</f>
        <v>#NAME?</v>
      </c>
      <c r="BI211" s="729" t="e">
        <f ca="1">stat(calculs!BI211)</f>
        <v>#NAME?</v>
      </c>
      <c r="BJ211" s="729" t="e">
        <f ca="1">stat(calculs!BJ211)</f>
        <v>#NAME?</v>
      </c>
      <c r="BK211" s="729" t="e">
        <f ca="1">stat(calculs!BK211)</f>
        <v>#NAME?</v>
      </c>
      <c r="BL211" s="525" t="e">
        <f ca="1">stat(calculs!BL211)</f>
        <v>#NAME?</v>
      </c>
      <c r="BM211" s="525" t="e">
        <f ca="1">stat(calculs!BM211)</f>
        <v>#NAME?</v>
      </c>
      <c r="BN211" s="525" t="e">
        <f ca="1">stat(calculs!BN211)</f>
        <v>#NAME?</v>
      </c>
      <c r="BO211" s="525" t="e">
        <f ca="1">stat(calculs!BO211)</f>
        <v>#NAME?</v>
      </c>
      <c r="BP211" s="525" t="e">
        <f ca="1">stat(calculs!BP211)</f>
        <v>#NAME?</v>
      </c>
      <c r="BQ211" s="525" t="e">
        <f ca="1">stat(calculs!BQ211)</f>
        <v>#NAME?</v>
      </c>
      <c r="BR211" s="525" t="e">
        <f ca="1">stat(calculs!BR211)</f>
        <v>#NAME?</v>
      </c>
    </row>
    <row r="212" spans="1:70" x14ac:dyDescent="0.2">
      <c r="A212" s="222">
        <f>données_step[[#This Row],[Datum]]</f>
        <v>44763</v>
      </c>
      <c r="B212" s="223"/>
      <c r="C212" s="224">
        <f t="shared" si="3"/>
        <v>5</v>
      </c>
      <c r="D212" s="523" t="e">
        <f ca="1">stat(charge_entree[[#This Row],[ch_E_DBO5]])</f>
        <v>#NAME?</v>
      </c>
      <c r="E212" s="523" t="e">
        <f ca="1">stat(charge_entree[[#This Row],[ch_E_DCO]])</f>
        <v>#NAME?</v>
      </c>
      <c r="F212" s="523" t="e">
        <f ca="1">stat(charge_entree[[#This Row],[ch_E_COT]])</f>
        <v>#NAME?</v>
      </c>
      <c r="G212" s="523" t="e">
        <f ca="1">stat(charge_entree[[#This Row],[ch_E_NH4]])</f>
        <v>#NAME?</v>
      </c>
      <c r="H212" s="523" t="e">
        <f ca="1">stat(charge_entree[[#This Row],[ch_E_NTOT]])</f>
        <v>#NAME?</v>
      </c>
      <c r="I212" s="523" t="e">
        <f ca="1">stat(charge_entree[[#This Row],[ch_E_PTOT]])</f>
        <v>#NAME?</v>
      </c>
      <c r="J212" s="523" t="e">
        <f ca="1">stat(charge_entree[[#This Row],[ch_S_DBO]])</f>
        <v>#NAME?</v>
      </c>
      <c r="K212" s="523" t="e">
        <f ca="1">stat(charge_entree[[#This Row],[ch_S-DCO]])</f>
        <v>#NAME?</v>
      </c>
      <c r="L212" s="523" t="e">
        <f ca="1">stat(charge_entree[[#This Row],[ch_S_DOC]])</f>
        <v>#NAME?</v>
      </c>
      <c r="M212" s="523" t="e">
        <f ca="1">stat(charge_entree[[#This Row],[ch_S_NH4]])</f>
        <v>#NAME?</v>
      </c>
      <c r="N212" s="523" t="e">
        <f ca="1">stat(charge_entree[[#This Row],[ch_S_NO2]])</f>
        <v>#NAME?</v>
      </c>
      <c r="O212" s="523" t="e">
        <f ca="1">stat(charge_entree[[#This Row],[ch_S_NO3]])</f>
        <v>#NAME?</v>
      </c>
      <c r="P212" s="523" t="e">
        <f ca="1">stat(charge_entree[[#This Row],[ch_S_PTOT]])</f>
        <v>#NAME?</v>
      </c>
      <c r="Q212" s="523" t="e">
        <f ca="1">stat(charge_entree[[#This Row],[ch_S_SNDT]])</f>
        <v>#NAME?</v>
      </c>
      <c r="R212" s="523">
        <f>calculs!R212</f>
        <v>0</v>
      </c>
      <c r="S212" s="523" t="e">
        <f ca="1">stat(calculs!S212)</f>
        <v>#NAME?</v>
      </c>
      <c r="T212" s="523" t="e">
        <f ca="1">stat(calculs!T212)</f>
        <v>#NAME?</v>
      </c>
      <c r="U212" s="523" t="e">
        <f ca="1">stat(calculs!U212)</f>
        <v>#NAME?</v>
      </c>
      <c r="V212" s="523" t="e">
        <f ca="1">stat(calculs!V212)</f>
        <v>#NAME?</v>
      </c>
      <c r="W212" s="523" t="e">
        <f ca="1">stat(calculs!W212)</f>
        <v>#NAME?</v>
      </c>
      <c r="X212" s="523" t="e">
        <f ca="1">stat(calculs!X212)</f>
        <v>#NAME?</v>
      </c>
      <c r="Y212" s="523" t="e">
        <f ca="1">stat(calculs!Y212)</f>
        <v>#NAME?</v>
      </c>
      <c r="Z212" s="523" t="e">
        <f ca="1">stat(calculs!Z212)</f>
        <v>#NAME?</v>
      </c>
      <c r="AA212" s="523" t="e">
        <f ca="1">stat(calculs!AA212)</f>
        <v>#NAME?</v>
      </c>
      <c r="AB212" s="523" t="e">
        <f ca="1">stat(calculs!AB212)</f>
        <v>#NAME?</v>
      </c>
      <c r="AC212" s="523" t="e">
        <f ca="1">stat(calculs!AC212)</f>
        <v>#NAME?</v>
      </c>
      <c r="AD212" s="523" t="e">
        <f ca="1">stat(calculs!AD212)</f>
        <v>#NAME?</v>
      </c>
      <c r="AE212" s="523" t="e">
        <f ca="1">stat(calculs!AE212)</f>
        <v>#NAME?</v>
      </c>
      <c r="AF212" s="523" t="e">
        <f ca="1">stat(calculs!AF212)</f>
        <v>#NAME?</v>
      </c>
      <c r="AG212" s="523" t="e">
        <f ca="1">stat(calculs!AG212)</f>
        <v>#NAME?</v>
      </c>
      <c r="AH212" s="523" t="e">
        <f ca="1">stat(calculs!AH212)</f>
        <v>#NAME?</v>
      </c>
      <c r="AI212" s="523" t="e">
        <f ca="1">stat(calculs!AI212)</f>
        <v>#NAME?</v>
      </c>
      <c r="AJ212" s="523" t="e">
        <f ca="1">stat(calculs!AJ212)</f>
        <v>#NAME?</v>
      </c>
      <c r="AK212" s="523" t="e">
        <f ca="1">stat(calculs!AK212)</f>
        <v>#NAME?</v>
      </c>
      <c r="AL212" s="523" t="e">
        <f ca="1">stat(calculs!AL212)</f>
        <v>#NAME?</v>
      </c>
      <c r="AM212" s="523" t="e">
        <f ca="1">stat(calculs!AM212)</f>
        <v>#NAME?</v>
      </c>
      <c r="AN212" s="523" t="e">
        <f ca="1">stat(calculs!AN212)</f>
        <v>#NAME?</v>
      </c>
      <c r="AO212" s="523" t="e">
        <f ca="1">stat(calculs!AO212)</f>
        <v>#NAME?</v>
      </c>
      <c r="AP212" s="523" t="e">
        <f ca="1">stat(calculs!AP212)</f>
        <v>#NAME?</v>
      </c>
      <c r="AQ212" s="523" t="e">
        <f ca="1">stat(calculs!AQ212)</f>
        <v>#NAME?</v>
      </c>
      <c r="AV212" s="525" t="str">
        <f>stat(calculs!AV212)</f>
        <v/>
      </c>
      <c r="AW212" s="525" t="str">
        <f>stat(calculs!AW212)</f>
        <v/>
      </c>
      <c r="AX212" s="525" t="str">
        <f>stat(calculs!AX212)</f>
        <v/>
      </c>
      <c r="AY212" s="525" t="e">
        <f ca="1">stat(calculs!AY212)</f>
        <v>#NAME?</v>
      </c>
      <c r="AZ212" s="525" t="e">
        <f ca="1">stat(calculs!AZ212)</f>
        <v>#NAME?</v>
      </c>
      <c r="BA212" s="525" t="e">
        <f ca="1">stat(calculs!BA212)</f>
        <v>#NAME?</v>
      </c>
      <c r="BB212" s="525" t="e">
        <f ca="1">stat(calculs!BB212)</f>
        <v>#NAME?</v>
      </c>
      <c r="BC212" s="525" t="e">
        <f ca="1">stat(calculs!BC212)</f>
        <v>#NAME?</v>
      </c>
      <c r="BD212" s="525" t="e">
        <f ca="1">stat(calculs!BD212)</f>
        <v>#NAME?</v>
      </c>
      <c r="BE212" s="525" t="e">
        <f ca="1">stat(calculs!BE212)</f>
        <v>#NAME?</v>
      </c>
      <c r="BF212" s="525" t="e">
        <f ca="1">stat(calculs!BF212)</f>
        <v>#NAME?</v>
      </c>
      <c r="BG212" s="729" t="e">
        <f ca="1">stat(calculs!BG212)</f>
        <v>#NAME?</v>
      </c>
      <c r="BH212" s="729" t="e">
        <f ca="1">stat(calculs!BH212)</f>
        <v>#NAME?</v>
      </c>
      <c r="BI212" s="729" t="e">
        <f ca="1">stat(calculs!BI212)</f>
        <v>#NAME?</v>
      </c>
      <c r="BJ212" s="729" t="e">
        <f ca="1">stat(calculs!BJ212)</f>
        <v>#NAME?</v>
      </c>
      <c r="BK212" s="729" t="e">
        <f ca="1">stat(calculs!BK212)</f>
        <v>#NAME?</v>
      </c>
      <c r="BL212" s="525" t="e">
        <f ca="1">stat(calculs!BL212)</f>
        <v>#NAME?</v>
      </c>
      <c r="BM212" s="525" t="e">
        <f ca="1">stat(calculs!BM212)</f>
        <v>#NAME?</v>
      </c>
      <c r="BN212" s="525" t="e">
        <f ca="1">stat(calculs!BN212)</f>
        <v>#NAME?</v>
      </c>
      <c r="BO212" s="525" t="e">
        <f ca="1">stat(calculs!BO212)</f>
        <v>#NAME?</v>
      </c>
      <c r="BP212" s="525" t="e">
        <f ca="1">stat(calculs!BP212)</f>
        <v>#NAME?</v>
      </c>
      <c r="BQ212" s="525" t="e">
        <f ca="1">stat(calculs!BQ212)</f>
        <v>#NAME?</v>
      </c>
      <c r="BR212" s="525" t="e">
        <f ca="1">stat(calculs!BR212)</f>
        <v>#NAME?</v>
      </c>
    </row>
    <row r="213" spans="1:70" x14ac:dyDescent="0.2">
      <c r="A213" s="222">
        <f>données_step[[#This Row],[Datum]]</f>
        <v>44764</v>
      </c>
      <c r="B213" s="223"/>
      <c r="C213" s="224">
        <f t="shared" si="3"/>
        <v>6</v>
      </c>
      <c r="D213" s="523" t="e">
        <f ca="1">stat(charge_entree[[#This Row],[ch_E_DBO5]])</f>
        <v>#NAME?</v>
      </c>
      <c r="E213" s="523" t="e">
        <f ca="1">stat(charge_entree[[#This Row],[ch_E_DCO]])</f>
        <v>#NAME?</v>
      </c>
      <c r="F213" s="523" t="e">
        <f ca="1">stat(charge_entree[[#This Row],[ch_E_COT]])</f>
        <v>#NAME?</v>
      </c>
      <c r="G213" s="523" t="e">
        <f ca="1">stat(charge_entree[[#This Row],[ch_E_NH4]])</f>
        <v>#NAME?</v>
      </c>
      <c r="H213" s="523" t="e">
        <f ca="1">stat(charge_entree[[#This Row],[ch_E_NTOT]])</f>
        <v>#NAME?</v>
      </c>
      <c r="I213" s="523" t="e">
        <f ca="1">stat(charge_entree[[#This Row],[ch_E_PTOT]])</f>
        <v>#NAME?</v>
      </c>
      <c r="J213" s="523" t="e">
        <f ca="1">stat(charge_entree[[#This Row],[ch_S_DBO]])</f>
        <v>#NAME?</v>
      </c>
      <c r="K213" s="523" t="e">
        <f ca="1">stat(charge_entree[[#This Row],[ch_S-DCO]])</f>
        <v>#NAME?</v>
      </c>
      <c r="L213" s="523" t="e">
        <f ca="1">stat(charge_entree[[#This Row],[ch_S_DOC]])</f>
        <v>#NAME?</v>
      </c>
      <c r="M213" s="523" t="e">
        <f ca="1">stat(charge_entree[[#This Row],[ch_S_NH4]])</f>
        <v>#NAME?</v>
      </c>
      <c r="N213" s="523" t="e">
        <f ca="1">stat(charge_entree[[#This Row],[ch_S_NO2]])</f>
        <v>#NAME?</v>
      </c>
      <c r="O213" s="523" t="e">
        <f ca="1">stat(charge_entree[[#This Row],[ch_S_NO3]])</f>
        <v>#NAME?</v>
      </c>
      <c r="P213" s="523" t="e">
        <f ca="1">stat(charge_entree[[#This Row],[ch_S_PTOT]])</f>
        <v>#NAME?</v>
      </c>
      <c r="Q213" s="523" t="e">
        <f ca="1">stat(charge_entree[[#This Row],[ch_S_SNDT]])</f>
        <v>#NAME?</v>
      </c>
      <c r="R213" s="523">
        <f>calculs!R213</f>
        <v>0</v>
      </c>
      <c r="S213" s="523" t="e">
        <f ca="1">stat(calculs!S213)</f>
        <v>#NAME?</v>
      </c>
      <c r="T213" s="523" t="e">
        <f ca="1">stat(calculs!T213)</f>
        <v>#NAME?</v>
      </c>
      <c r="U213" s="523" t="e">
        <f ca="1">stat(calculs!U213)</f>
        <v>#NAME?</v>
      </c>
      <c r="V213" s="523" t="e">
        <f ca="1">stat(calculs!V213)</f>
        <v>#NAME?</v>
      </c>
      <c r="W213" s="523" t="e">
        <f ca="1">stat(calculs!W213)</f>
        <v>#NAME?</v>
      </c>
      <c r="X213" s="523" t="e">
        <f ca="1">stat(calculs!X213)</f>
        <v>#NAME?</v>
      </c>
      <c r="Y213" s="523" t="e">
        <f ca="1">stat(calculs!Y213)</f>
        <v>#NAME?</v>
      </c>
      <c r="Z213" s="523" t="e">
        <f ca="1">stat(calculs!Z213)</f>
        <v>#NAME?</v>
      </c>
      <c r="AA213" s="523" t="e">
        <f ca="1">stat(calculs!AA213)</f>
        <v>#NAME?</v>
      </c>
      <c r="AB213" s="523" t="e">
        <f ca="1">stat(calculs!AB213)</f>
        <v>#NAME?</v>
      </c>
      <c r="AC213" s="523" t="e">
        <f ca="1">stat(calculs!AC213)</f>
        <v>#NAME?</v>
      </c>
      <c r="AD213" s="523" t="e">
        <f ca="1">stat(calculs!AD213)</f>
        <v>#NAME?</v>
      </c>
      <c r="AE213" s="523" t="e">
        <f ca="1">stat(calculs!AE213)</f>
        <v>#NAME?</v>
      </c>
      <c r="AF213" s="523" t="e">
        <f ca="1">stat(calculs!AF213)</f>
        <v>#NAME?</v>
      </c>
      <c r="AG213" s="523" t="e">
        <f ca="1">stat(calculs!AG213)</f>
        <v>#NAME?</v>
      </c>
      <c r="AH213" s="523" t="e">
        <f ca="1">stat(calculs!AH213)</f>
        <v>#NAME?</v>
      </c>
      <c r="AI213" s="523" t="e">
        <f ca="1">stat(calculs!AI213)</f>
        <v>#NAME?</v>
      </c>
      <c r="AJ213" s="523" t="e">
        <f ca="1">stat(calculs!AJ213)</f>
        <v>#NAME?</v>
      </c>
      <c r="AK213" s="523" t="e">
        <f ca="1">stat(calculs!AK213)</f>
        <v>#NAME?</v>
      </c>
      <c r="AL213" s="523" t="e">
        <f ca="1">stat(calculs!AL213)</f>
        <v>#NAME?</v>
      </c>
      <c r="AM213" s="523" t="e">
        <f ca="1">stat(calculs!AM213)</f>
        <v>#NAME?</v>
      </c>
      <c r="AN213" s="523" t="e">
        <f ca="1">stat(calculs!AN213)</f>
        <v>#NAME?</v>
      </c>
      <c r="AO213" s="523" t="e">
        <f ca="1">stat(calculs!AO213)</f>
        <v>#NAME?</v>
      </c>
      <c r="AP213" s="523" t="e">
        <f ca="1">stat(calculs!AP213)</f>
        <v>#NAME?</v>
      </c>
      <c r="AQ213" s="523" t="e">
        <f ca="1">stat(calculs!AQ213)</f>
        <v>#NAME?</v>
      </c>
      <c r="AV213" s="525" t="str">
        <f>stat(calculs!AV213)</f>
        <v/>
      </c>
      <c r="AW213" s="525" t="str">
        <f>stat(calculs!AW213)</f>
        <v/>
      </c>
      <c r="AX213" s="525" t="str">
        <f>stat(calculs!AX213)</f>
        <v/>
      </c>
      <c r="AY213" s="525" t="e">
        <f ca="1">stat(calculs!AY213)</f>
        <v>#NAME?</v>
      </c>
      <c r="AZ213" s="525" t="e">
        <f ca="1">stat(calculs!AZ213)</f>
        <v>#NAME?</v>
      </c>
      <c r="BA213" s="525" t="e">
        <f ca="1">stat(calculs!BA213)</f>
        <v>#NAME?</v>
      </c>
      <c r="BB213" s="525" t="e">
        <f ca="1">stat(calculs!BB213)</f>
        <v>#NAME?</v>
      </c>
      <c r="BC213" s="525" t="e">
        <f ca="1">stat(calculs!BC213)</f>
        <v>#NAME?</v>
      </c>
      <c r="BD213" s="525" t="e">
        <f ca="1">stat(calculs!BD213)</f>
        <v>#NAME?</v>
      </c>
      <c r="BE213" s="525" t="e">
        <f ca="1">stat(calculs!BE213)</f>
        <v>#NAME?</v>
      </c>
      <c r="BF213" s="525" t="e">
        <f ca="1">stat(calculs!BF213)</f>
        <v>#NAME?</v>
      </c>
      <c r="BG213" s="729" t="e">
        <f ca="1">stat(calculs!BG213)</f>
        <v>#NAME?</v>
      </c>
      <c r="BH213" s="729" t="e">
        <f ca="1">stat(calculs!BH213)</f>
        <v>#NAME?</v>
      </c>
      <c r="BI213" s="729" t="e">
        <f ca="1">stat(calculs!BI213)</f>
        <v>#NAME?</v>
      </c>
      <c r="BJ213" s="729" t="e">
        <f ca="1">stat(calculs!BJ213)</f>
        <v>#NAME?</v>
      </c>
      <c r="BK213" s="729" t="e">
        <f ca="1">stat(calculs!BK213)</f>
        <v>#NAME?</v>
      </c>
      <c r="BL213" s="525" t="e">
        <f ca="1">stat(calculs!BL213)</f>
        <v>#NAME?</v>
      </c>
      <c r="BM213" s="525" t="e">
        <f ca="1">stat(calculs!BM213)</f>
        <v>#NAME?</v>
      </c>
      <c r="BN213" s="525" t="e">
        <f ca="1">stat(calculs!BN213)</f>
        <v>#NAME?</v>
      </c>
      <c r="BO213" s="525" t="e">
        <f ca="1">stat(calculs!BO213)</f>
        <v>#NAME?</v>
      </c>
      <c r="BP213" s="525" t="e">
        <f ca="1">stat(calculs!BP213)</f>
        <v>#NAME?</v>
      </c>
      <c r="BQ213" s="525" t="e">
        <f ca="1">stat(calculs!BQ213)</f>
        <v>#NAME?</v>
      </c>
      <c r="BR213" s="525" t="e">
        <f ca="1">stat(calculs!BR213)</f>
        <v>#NAME?</v>
      </c>
    </row>
    <row r="214" spans="1:70" x14ac:dyDescent="0.2">
      <c r="A214" s="222">
        <f>données_step[[#This Row],[Datum]]</f>
        <v>44765</v>
      </c>
      <c r="B214" s="223"/>
      <c r="C214" s="224">
        <f t="shared" si="3"/>
        <v>7</v>
      </c>
      <c r="D214" s="523" t="e">
        <f ca="1">stat(charge_entree[[#This Row],[ch_E_DBO5]])</f>
        <v>#NAME?</v>
      </c>
      <c r="E214" s="523" t="e">
        <f ca="1">stat(charge_entree[[#This Row],[ch_E_DCO]])</f>
        <v>#NAME?</v>
      </c>
      <c r="F214" s="523" t="e">
        <f ca="1">stat(charge_entree[[#This Row],[ch_E_COT]])</f>
        <v>#NAME?</v>
      </c>
      <c r="G214" s="523" t="e">
        <f ca="1">stat(charge_entree[[#This Row],[ch_E_NH4]])</f>
        <v>#NAME?</v>
      </c>
      <c r="H214" s="523" t="e">
        <f ca="1">stat(charge_entree[[#This Row],[ch_E_NTOT]])</f>
        <v>#NAME?</v>
      </c>
      <c r="I214" s="523" t="e">
        <f ca="1">stat(charge_entree[[#This Row],[ch_E_PTOT]])</f>
        <v>#NAME?</v>
      </c>
      <c r="J214" s="523" t="e">
        <f ca="1">stat(charge_entree[[#This Row],[ch_S_DBO]])</f>
        <v>#NAME?</v>
      </c>
      <c r="K214" s="523" t="e">
        <f ca="1">stat(charge_entree[[#This Row],[ch_S-DCO]])</f>
        <v>#NAME?</v>
      </c>
      <c r="L214" s="523" t="e">
        <f ca="1">stat(charge_entree[[#This Row],[ch_S_DOC]])</f>
        <v>#NAME?</v>
      </c>
      <c r="M214" s="523" t="e">
        <f ca="1">stat(charge_entree[[#This Row],[ch_S_NH4]])</f>
        <v>#NAME?</v>
      </c>
      <c r="N214" s="523" t="e">
        <f ca="1">stat(charge_entree[[#This Row],[ch_S_NO2]])</f>
        <v>#NAME?</v>
      </c>
      <c r="O214" s="523" t="e">
        <f ca="1">stat(charge_entree[[#This Row],[ch_S_NO3]])</f>
        <v>#NAME?</v>
      </c>
      <c r="P214" s="523" t="e">
        <f ca="1">stat(charge_entree[[#This Row],[ch_S_PTOT]])</f>
        <v>#NAME?</v>
      </c>
      <c r="Q214" s="523" t="e">
        <f ca="1">stat(charge_entree[[#This Row],[ch_S_SNDT]])</f>
        <v>#NAME?</v>
      </c>
      <c r="R214" s="523">
        <f>calculs!R214</f>
        <v>0</v>
      </c>
      <c r="S214" s="523" t="e">
        <f ca="1">stat(calculs!S214)</f>
        <v>#NAME?</v>
      </c>
      <c r="T214" s="523" t="e">
        <f ca="1">stat(calculs!T214)</f>
        <v>#NAME?</v>
      </c>
      <c r="U214" s="523" t="e">
        <f ca="1">stat(calculs!U214)</f>
        <v>#NAME?</v>
      </c>
      <c r="V214" s="523" t="e">
        <f ca="1">stat(calculs!V214)</f>
        <v>#NAME?</v>
      </c>
      <c r="W214" s="523" t="e">
        <f ca="1">stat(calculs!W214)</f>
        <v>#NAME?</v>
      </c>
      <c r="X214" s="523" t="e">
        <f ca="1">stat(calculs!X214)</f>
        <v>#NAME?</v>
      </c>
      <c r="Y214" s="523" t="e">
        <f ca="1">stat(calculs!Y214)</f>
        <v>#NAME?</v>
      </c>
      <c r="Z214" s="523" t="e">
        <f ca="1">stat(calculs!Z214)</f>
        <v>#NAME?</v>
      </c>
      <c r="AA214" s="523" t="e">
        <f ca="1">stat(calculs!AA214)</f>
        <v>#NAME?</v>
      </c>
      <c r="AB214" s="523" t="e">
        <f ca="1">stat(calculs!AB214)</f>
        <v>#NAME?</v>
      </c>
      <c r="AC214" s="523" t="e">
        <f ca="1">stat(calculs!AC214)</f>
        <v>#NAME?</v>
      </c>
      <c r="AD214" s="523" t="e">
        <f ca="1">stat(calculs!AD214)</f>
        <v>#NAME?</v>
      </c>
      <c r="AE214" s="523" t="e">
        <f ca="1">stat(calculs!AE214)</f>
        <v>#NAME?</v>
      </c>
      <c r="AF214" s="523" t="e">
        <f ca="1">stat(calculs!AF214)</f>
        <v>#NAME?</v>
      </c>
      <c r="AG214" s="523" t="e">
        <f ca="1">stat(calculs!AG214)</f>
        <v>#NAME?</v>
      </c>
      <c r="AH214" s="523" t="e">
        <f ca="1">stat(calculs!AH214)</f>
        <v>#NAME?</v>
      </c>
      <c r="AI214" s="523" t="e">
        <f ca="1">stat(calculs!AI214)</f>
        <v>#NAME?</v>
      </c>
      <c r="AJ214" s="523" t="e">
        <f ca="1">stat(calculs!AJ214)</f>
        <v>#NAME?</v>
      </c>
      <c r="AK214" s="523" t="e">
        <f ca="1">stat(calculs!AK214)</f>
        <v>#NAME?</v>
      </c>
      <c r="AL214" s="523" t="e">
        <f ca="1">stat(calculs!AL214)</f>
        <v>#NAME?</v>
      </c>
      <c r="AM214" s="523" t="e">
        <f ca="1">stat(calculs!AM214)</f>
        <v>#NAME?</v>
      </c>
      <c r="AN214" s="523" t="e">
        <f ca="1">stat(calculs!AN214)</f>
        <v>#NAME?</v>
      </c>
      <c r="AO214" s="523" t="e">
        <f ca="1">stat(calculs!AO214)</f>
        <v>#NAME?</v>
      </c>
      <c r="AP214" s="523" t="e">
        <f ca="1">stat(calculs!AP214)</f>
        <v>#NAME?</v>
      </c>
      <c r="AQ214" s="523" t="e">
        <f ca="1">stat(calculs!AQ214)</f>
        <v>#NAME?</v>
      </c>
      <c r="AV214" s="525" t="str">
        <f>stat(calculs!AV214)</f>
        <v/>
      </c>
      <c r="AW214" s="525" t="str">
        <f>stat(calculs!AW214)</f>
        <v/>
      </c>
      <c r="AX214" s="525" t="str">
        <f>stat(calculs!AX214)</f>
        <v/>
      </c>
      <c r="AY214" s="525" t="e">
        <f ca="1">stat(calculs!AY214)</f>
        <v>#NAME?</v>
      </c>
      <c r="AZ214" s="525" t="e">
        <f ca="1">stat(calculs!AZ214)</f>
        <v>#NAME?</v>
      </c>
      <c r="BA214" s="525" t="e">
        <f ca="1">stat(calculs!BA214)</f>
        <v>#NAME?</v>
      </c>
      <c r="BB214" s="525" t="e">
        <f ca="1">stat(calculs!BB214)</f>
        <v>#NAME?</v>
      </c>
      <c r="BC214" s="525" t="e">
        <f ca="1">stat(calculs!BC214)</f>
        <v>#NAME?</v>
      </c>
      <c r="BD214" s="525" t="e">
        <f ca="1">stat(calculs!BD214)</f>
        <v>#NAME?</v>
      </c>
      <c r="BE214" s="525" t="e">
        <f ca="1">stat(calculs!BE214)</f>
        <v>#NAME?</v>
      </c>
      <c r="BF214" s="525" t="e">
        <f ca="1">stat(calculs!BF214)</f>
        <v>#NAME?</v>
      </c>
      <c r="BG214" s="729" t="e">
        <f ca="1">stat(calculs!BG214)</f>
        <v>#NAME?</v>
      </c>
      <c r="BH214" s="729" t="e">
        <f ca="1">stat(calculs!BH214)</f>
        <v>#NAME?</v>
      </c>
      <c r="BI214" s="729" t="e">
        <f ca="1">stat(calculs!BI214)</f>
        <v>#NAME?</v>
      </c>
      <c r="BJ214" s="729" t="e">
        <f ca="1">stat(calculs!BJ214)</f>
        <v>#NAME?</v>
      </c>
      <c r="BK214" s="729" t="e">
        <f ca="1">stat(calculs!BK214)</f>
        <v>#NAME?</v>
      </c>
      <c r="BL214" s="525" t="e">
        <f ca="1">stat(calculs!BL214)</f>
        <v>#NAME?</v>
      </c>
      <c r="BM214" s="525" t="e">
        <f ca="1">stat(calculs!BM214)</f>
        <v>#NAME?</v>
      </c>
      <c r="BN214" s="525" t="e">
        <f ca="1">stat(calculs!BN214)</f>
        <v>#NAME?</v>
      </c>
      <c r="BO214" s="525" t="e">
        <f ca="1">stat(calculs!BO214)</f>
        <v>#NAME?</v>
      </c>
      <c r="BP214" s="525" t="e">
        <f ca="1">stat(calculs!BP214)</f>
        <v>#NAME?</v>
      </c>
      <c r="BQ214" s="525" t="e">
        <f ca="1">stat(calculs!BQ214)</f>
        <v>#NAME?</v>
      </c>
      <c r="BR214" s="525" t="e">
        <f ca="1">stat(calculs!BR214)</f>
        <v>#NAME?</v>
      </c>
    </row>
    <row r="215" spans="1:70" x14ac:dyDescent="0.2">
      <c r="A215" s="222">
        <f>données_step[[#This Row],[Datum]]</f>
        <v>44766</v>
      </c>
      <c r="B215" s="223"/>
      <c r="C215" s="224">
        <f t="shared" si="3"/>
        <v>1</v>
      </c>
      <c r="D215" s="523" t="e">
        <f ca="1">stat(charge_entree[[#This Row],[ch_E_DBO5]])</f>
        <v>#NAME?</v>
      </c>
      <c r="E215" s="523" t="e">
        <f ca="1">stat(charge_entree[[#This Row],[ch_E_DCO]])</f>
        <v>#NAME?</v>
      </c>
      <c r="F215" s="523" t="e">
        <f ca="1">stat(charge_entree[[#This Row],[ch_E_COT]])</f>
        <v>#NAME?</v>
      </c>
      <c r="G215" s="523" t="e">
        <f ca="1">stat(charge_entree[[#This Row],[ch_E_NH4]])</f>
        <v>#NAME?</v>
      </c>
      <c r="H215" s="523" t="e">
        <f ca="1">stat(charge_entree[[#This Row],[ch_E_NTOT]])</f>
        <v>#NAME?</v>
      </c>
      <c r="I215" s="523" t="e">
        <f ca="1">stat(charge_entree[[#This Row],[ch_E_PTOT]])</f>
        <v>#NAME?</v>
      </c>
      <c r="J215" s="523" t="e">
        <f ca="1">stat(charge_entree[[#This Row],[ch_S_DBO]])</f>
        <v>#NAME?</v>
      </c>
      <c r="K215" s="523" t="e">
        <f ca="1">stat(charge_entree[[#This Row],[ch_S-DCO]])</f>
        <v>#NAME?</v>
      </c>
      <c r="L215" s="523" t="e">
        <f ca="1">stat(charge_entree[[#This Row],[ch_S_DOC]])</f>
        <v>#NAME?</v>
      </c>
      <c r="M215" s="523" t="e">
        <f ca="1">stat(charge_entree[[#This Row],[ch_S_NH4]])</f>
        <v>#NAME?</v>
      </c>
      <c r="N215" s="523" t="e">
        <f ca="1">stat(charge_entree[[#This Row],[ch_S_NO2]])</f>
        <v>#NAME?</v>
      </c>
      <c r="O215" s="523" t="e">
        <f ca="1">stat(charge_entree[[#This Row],[ch_S_NO3]])</f>
        <v>#NAME?</v>
      </c>
      <c r="P215" s="523" t="e">
        <f ca="1">stat(charge_entree[[#This Row],[ch_S_PTOT]])</f>
        <v>#NAME?</v>
      </c>
      <c r="Q215" s="523" t="e">
        <f ca="1">stat(charge_entree[[#This Row],[ch_S_SNDT]])</f>
        <v>#NAME?</v>
      </c>
      <c r="R215" s="523">
        <f>calculs!R215</f>
        <v>0</v>
      </c>
      <c r="S215" s="523" t="e">
        <f ca="1">stat(calculs!S215)</f>
        <v>#NAME?</v>
      </c>
      <c r="T215" s="523" t="e">
        <f ca="1">stat(calculs!T215)</f>
        <v>#NAME?</v>
      </c>
      <c r="U215" s="523" t="e">
        <f ca="1">stat(calculs!U215)</f>
        <v>#NAME?</v>
      </c>
      <c r="V215" s="523" t="e">
        <f ca="1">stat(calculs!V215)</f>
        <v>#NAME?</v>
      </c>
      <c r="W215" s="523" t="e">
        <f ca="1">stat(calculs!W215)</f>
        <v>#NAME?</v>
      </c>
      <c r="X215" s="523" t="e">
        <f ca="1">stat(calculs!X215)</f>
        <v>#NAME?</v>
      </c>
      <c r="Y215" s="523" t="e">
        <f ca="1">stat(calculs!Y215)</f>
        <v>#NAME?</v>
      </c>
      <c r="Z215" s="523" t="e">
        <f ca="1">stat(calculs!Z215)</f>
        <v>#NAME?</v>
      </c>
      <c r="AA215" s="523" t="e">
        <f ca="1">stat(calculs!AA215)</f>
        <v>#NAME?</v>
      </c>
      <c r="AB215" s="523" t="e">
        <f ca="1">stat(calculs!AB215)</f>
        <v>#NAME?</v>
      </c>
      <c r="AC215" s="523" t="e">
        <f ca="1">stat(calculs!AC215)</f>
        <v>#NAME?</v>
      </c>
      <c r="AD215" s="523" t="e">
        <f ca="1">stat(calculs!AD215)</f>
        <v>#NAME?</v>
      </c>
      <c r="AE215" s="523" t="e">
        <f ca="1">stat(calculs!AE215)</f>
        <v>#NAME?</v>
      </c>
      <c r="AF215" s="523" t="e">
        <f ca="1">stat(calculs!AF215)</f>
        <v>#NAME?</v>
      </c>
      <c r="AG215" s="523" t="e">
        <f ca="1">stat(calculs!AG215)</f>
        <v>#NAME?</v>
      </c>
      <c r="AH215" s="523" t="e">
        <f ca="1">stat(calculs!AH215)</f>
        <v>#NAME?</v>
      </c>
      <c r="AI215" s="523" t="e">
        <f ca="1">stat(calculs!AI215)</f>
        <v>#NAME?</v>
      </c>
      <c r="AJ215" s="523" t="e">
        <f ca="1">stat(calculs!AJ215)</f>
        <v>#NAME?</v>
      </c>
      <c r="AK215" s="523" t="e">
        <f ca="1">stat(calculs!AK215)</f>
        <v>#NAME?</v>
      </c>
      <c r="AL215" s="523" t="e">
        <f ca="1">stat(calculs!AL215)</f>
        <v>#NAME?</v>
      </c>
      <c r="AM215" s="523" t="e">
        <f ca="1">stat(calculs!AM215)</f>
        <v>#NAME?</v>
      </c>
      <c r="AN215" s="523" t="e">
        <f ca="1">stat(calculs!AN215)</f>
        <v>#NAME?</v>
      </c>
      <c r="AO215" s="523" t="e">
        <f ca="1">stat(calculs!AO215)</f>
        <v>#NAME?</v>
      </c>
      <c r="AP215" s="523" t="e">
        <f ca="1">stat(calculs!AP215)</f>
        <v>#NAME?</v>
      </c>
      <c r="AQ215" s="523" t="e">
        <f ca="1">stat(calculs!AQ215)</f>
        <v>#NAME?</v>
      </c>
      <c r="AV215" s="525" t="str">
        <f>stat(calculs!AV215)</f>
        <v/>
      </c>
      <c r="AW215" s="525" t="str">
        <f>stat(calculs!AW215)</f>
        <v/>
      </c>
      <c r="AX215" s="525" t="str">
        <f>stat(calculs!AX215)</f>
        <v/>
      </c>
      <c r="AY215" s="525" t="e">
        <f ca="1">stat(calculs!AY215)</f>
        <v>#NAME?</v>
      </c>
      <c r="AZ215" s="525" t="e">
        <f ca="1">stat(calculs!AZ215)</f>
        <v>#NAME?</v>
      </c>
      <c r="BA215" s="525" t="e">
        <f ca="1">stat(calculs!BA215)</f>
        <v>#NAME?</v>
      </c>
      <c r="BB215" s="525" t="e">
        <f ca="1">stat(calculs!BB215)</f>
        <v>#NAME?</v>
      </c>
      <c r="BC215" s="525" t="e">
        <f ca="1">stat(calculs!BC215)</f>
        <v>#NAME?</v>
      </c>
      <c r="BD215" s="525" t="e">
        <f ca="1">stat(calculs!BD215)</f>
        <v>#NAME?</v>
      </c>
      <c r="BE215" s="525" t="e">
        <f ca="1">stat(calculs!BE215)</f>
        <v>#NAME?</v>
      </c>
      <c r="BF215" s="525" t="e">
        <f ca="1">stat(calculs!BF215)</f>
        <v>#NAME?</v>
      </c>
      <c r="BG215" s="729" t="e">
        <f ca="1">stat(calculs!BG215)</f>
        <v>#NAME?</v>
      </c>
      <c r="BH215" s="729" t="e">
        <f ca="1">stat(calculs!BH215)</f>
        <v>#NAME?</v>
      </c>
      <c r="BI215" s="729" t="e">
        <f ca="1">stat(calculs!BI215)</f>
        <v>#NAME?</v>
      </c>
      <c r="BJ215" s="729" t="e">
        <f ca="1">stat(calculs!BJ215)</f>
        <v>#NAME?</v>
      </c>
      <c r="BK215" s="729" t="e">
        <f ca="1">stat(calculs!BK215)</f>
        <v>#NAME?</v>
      </c>
      <c r="BL215" s="525" t="e">
        <f ca="1">stat(calculs!BL215)</f>
        <v>#NAME?</v>
      </c>
      <c r="BM215" s="525" t="e">
        <f ca="1">stat(calculs!BM215)</f>
        <v>#NAME?</v>
      </c>
      <c r="BN215" s="525" t="e">
        <f ca="1">stat(calculs!BN215)</f>
        <v>#NAME?</v>
      </c>
      <c r="BO215" s="525" t="e">
        <f ca="1">stat(calculs!BO215)</f>
        <v>#NAME?</v>
      </c>
      <c r="BP215" s="525" t="e">
        <f ca="1">stat(calculs!BP215)</f>
        <v>#NAME?</v>
      </c>
      <c r="BQ215" s="525" t="e">
        <f ca="1">stat(calculs!BQ215)</f>
        <v>#NAME?</v>
      </c>
      <c r="BR215" s="525" t="e">
        <f ca="1">stat(calculs!BR215)</f>
        <v>#NAME?</v>
      </c>
    </row>
    <row r="216" spans="1:70" x14ac:dyDescent="0.2">
      <c r="A216" s="222">
        <f>données_step[[#This Row],[Datum]]</f>
        <v>44767</v>
      </c>
      <c r="B216" s="223"/>
      <c r="C216" s="224">
        <f t="shared" si="3"/>
        <v>2</v>
      </c>
      <c r="D216" s="523" t="e">
        <f ca="1">stat(charge_entree[[#This Row],[ch_E_DBO5]])</f>
        <v>#NAME?</v>
      </c>
      <c r="E216" s="523" t="e">
        <f ca="1">stat(charge_entree[[#This Row],[ch_E_DCO]])</f>
        <v>#NAME?</v>
      </c>
      <c r="F216" s="523" t="e">
        <f ca="1">stat(charge_entree[[#This Row],[ch_E_COT]])</f>
        <v>#NAME?</v>
      </c>
      <c r="G216" s="523" t="e">
        <f ca="1">stat(charge_entree[[#This Row],[ch_E_NH4]])</f>
        <v>#NAME?</v>
      </c>
      <c r="H216" s="523" t="e">
        <f ca="1">stat(charge_entree[[#This Row],[ch_E_NTOT]])</f>
        <v>#NAME?</v>
      </c>
      <c r="I216" s="523" t="e">
        <f ca="1">stat(charge_entree[[#This Row],[ch_E_PTOT]])</f>
        <v>#NAME?</v>
      </c>
      <c r="J216" s="523" t="e">
        <f ca="1">stat(charge_entree[[#This Row],[ch_S_DBO]])</f>
        <v>#NAME?</v>
      </c>
      <c r="K216" s="523" t="e">
        <f ca="1">stat(charge_entree[[#This Row],[ch_S-DCO]])</f>
        <v>#NAME?</v>
      </c>
      <c r="L216" s="523" t="e">
        <f ca="1">stat(charge_entree[[#This Row],[ch_S_DOC]])</f>
        <v>#NAME?</v>
      </c>
      <c r="M216" s="523" t="e">
        <f ca="1">stat(charge_entree[[#This Row],[ch_S_NH4]])</f>
        <v>#NAME?</v>
      </c>
      <c r="N216" s="523" t="e">
        <f ca="1">stat(charge_entree[[#This Row],[ch_S_NO2]])</f>
        <v>#NAME?</v>
      </c>
      <c r="O216" s="523" t="e">
        <f ca="1">stat(charge_entree[[#This Row],[ch_S_NO3]])</f>
        <v>#NAME?</v>
      </c>
      <c r="P216" s="523" t="e">
        <f ca="1">stat(charge_entree[[#This Row],[ch_S_PTOT]])</f>
        <v>#NAME?</v>
      </c>
      <c r="Q216" s="523" t="e">
        <f ca="1">stat(charge_entree[[#This Row],[ch_S_SNDT]])</f>
        <v>#NAME?</v>
      </c>
      <c r="R216" s="523">
        <f>calculs!R216</f>
        <v>0</v>
      </c>
      <c r="S216" s="523" t="e">
        <f ca="1">stat(calculs!S216)</f>
        <v>#NAME?</v>
      </c>
      <c r="T216" s="523" t="e">
        <f ca="1">stat(calculs!T216)</f>
        <v>#NAME?</v>
      </c>
      <c r="U216" s="523" t="e">
        <f ca="1">stat(calculs!U216)</f>
        <v>#NAME?</v>
      </c>
      <c r="V216" s="523" t="e">
        <f ca="1">stat(calculs!V216)</f>
        <v>#NAME?</v>
      </c>
      <c r="W216" s="523" t="e">
        <f ca="1">stat(calculs!W216)</f>
        <v>#NAME?</v>
      </c>
      <c r="X216" s="523" t="e">
        <f ca="1">stat(calculs!X216)</f>
        <v>#NAME?</v>
      </c>
      <c r="Y216" s="523" t="e">
        <f ca="1">stat(calculs!Y216)</f>
        <v>#NAME?</v>
      </c>
      <c r="Z216" s="523" t="e">
        <f ca="1">stat(calculs!Z216)</f>
        <v>#NAME?</v>
      </c>
      <c r="AA216" s="523" t="e">
        <f ca="1">stat(calculs!AA216)</f>
        <v>#NAME?</v>
      </c>
      <c r="AB216" s="523" t="e">
        <f ca="1">stat(calculs!AB216)</f>
        <v>#NAME?</v>
      </c>
      <c r="AC216" s="523" t="e">
        <f ca="1">stat(calculs!AC216)</f>
        <v>#NAME?</v>
      </c>
      <c r="AD216" s="523" t="e">
        <f ca="1">stat(calculs!AD216)</f>
        <v>#NAME?</v>
      </c>
      <c r="AE216" s="523" t="e">
        <f ca="1">stat(calculs!AE216)</f>
        <v>#NAME?</v>
      </c>
      <c r="AF216" s="523" t="e">
        <f ca="1">stat(calculs!AF216)</f>
        <v>#NAME?</v>
      </c>
      <c r="AG216" s="523" t="e">
        <f ca="1">stat(calculs!AG216)</f>
        <v>#NAME?</v>
      </c>
      <c r="AH216" s="523" t="e">
        <f ca="1">stat(calculs!AH216)</f>
        <v>#NAME?</v>
      </c>
      <c r="AI216" s="523" t="e">
        <f ca="1">stat(calculs!AI216)</f>
        <v>#NAME?</v>
      </c>
      <c r="AJ216" s="523" t="e">
        <f ca="1">stat(calculs!AJ216)</f>
        <v>#NAME?</v>
      </c>
      <c r="AK216" s="523" t="e">
        <f ca="1">stat(calculs!AK216)</f>
        <v>#NAME?</v>
      </c>
      <c r="AL216" s="523" t="e">
        <f ca="1">stat(calculs!AL216)</f>
        <v>#NAME?</v>
      </c>
      <c r="AM216" s="523" t="e">
        <f ca="1">stat(calculs!AM216)</f>
        <v>#NAME?</v>
      </c>
      <c r="AN216" s="523" t="e">
        <f ca="1">stat(calculs!AN216)</f>
        <v>#NAME?</v>
      </c>
      <c r="AO216" s="523" t="e">
        <f ca="1">stat(calculs!AO216)</f>
        <v>#NAME?</v>
      </c>
      <c r="AP216" s="523" t="e">
        <f ca="1">stat(calculs!AP216)</f>
        <v>#NAME?</v>
      </c>
      <c r="AQ216" s="523" t="e">
        <f ca="1">stat(calculs!AQ216)</f>
        <v>#NAME?</v>
      </c>
      <c r="AV216" s="525" t="str">
        <f>stat(calculs!AV216)</f>
        <v/>
      </c>
      <c r="AW216" s="525" t="str">
        <f>stat(calculs!AW216)</f>
        <v/>
      </c>
      <c r="AX216" s="525" t="str">
        <f>stat(calculs!AX216)</f>
        <v/>
      </c>
      <c r="AY216" s="525" t="e">
        <f ca="1">stat(calculs!AY216)</f>
        <v>#NAME?</v>
      </c>
      <c r="AZ216" s="525" t="e">
        <f ca="1">stat(calculs!AZ216)</f>
        <v>#NAME?</v>
      </c>
      <c r="BA216" s="525" t="e">
        <f ca="1">stat(calculs!BA216)</f>
        <v>#NAME?</v>
      </c>
      <c r="BB216" s="525" t="e">
        <f ca="1">stat(calculs!BB216)</f>
        <v>#NAME?</v>
      </c>
      <c r="BC216" s="525" t="e">
        <f ca="1">stat(calculs!BC216)</f>
        <v>#NAME?</v>
      </c>
      <c r="BD216" s="525" t="e">
        <f ca="1">stat(calculs!BD216)</f>
        <v>#NAME?</v>
      </c>
      <c r="BE216" s="525" t="e">
        <f ca="1">stat(calculs!BE216)</f>
        <v>#NAME?</v>
      </c>
      <c r="BF216" s="525" t="e">
        <f ca="1">stat(calculs!BF216)</f>
        <v>#NAME?</v>
      </c>
      <c r="BG216" s="729" t="e">
        <f ca="1">stat(calculs!BG216)</f>
        <v>#NAME?</v>
      </c>
      <c r="BH216" s="729" t="e">
        <f ca="1">stat(calculs!BH216)</f>
        <v>#NAME?</v>
      </c>
      <c r="BI216" s="729" t="e">
        <f ca="1">stat(calculs!BI216)</f>
        <v>#NAME?</v>
      </c>
      <c r="BJ216" s="729" t="e">
        <f ca="1">stat(calculs!BJ216)</f>
        <v>#NAME?</v>
      </c>
      <c r="BK216" s="729" t="e">
        <f ca="1">stat(calculs!BK216)</f>
        <v>#NAME?</v>
      </c>
      <c r="BL216" s="525" t="e">
        <f ca="1">stat(calculs!BL216)</f>
        <v>#NAME?</v>
      </c>
      <c r="BM216" s="525" t="e">
        <f ca="1">stat(calculs!BM216)</f>
        <v>#NAME?</v>
      </c>
      <c r="BN216" s="525" t="e">
        <f ca="1">stat(calculs!BN216)</f>
        <v>#NAME?</v>
      </c>
      <c r="BO216" s="525" t="e">
        <f ca="1">stat(calculs!BO216)</f>
        <v>#NAME?</v>
      </c>
      <c r="BP216" s="525" t="e">
        <f ca="1">stat(calculs!BP216)</f>
        <v>#NAME?</v>
      </c>
      <c r="BQ216" s="525" t="e">
        <f ca="1">stat(calculs!BQ216)</f>
        <v>#NAME?</v>
      </c>
      <c r="BR216" s="525" t="e">
        <f ca="1">stat(calculs!BR216)</f>
        <v>#NAME?</v>
      </c>
    </row>
    <row r="217" spans="1:70" x14ac:dyDescent="0.2">
      <c r="A217" s="222">
        <f>données_step[[#This Row],[Datum]]</f>
        <v>44768</v>
      </c>
      <c r="B217" s="223"/>
      <c r="C217" s="224">
        <f t="shared" si="3"/>
        <v>3</v>
      </c>
      <c r="D217" s="523" t="e">
        <f ca="1">stat(charge_entree[[#This Row],[ch_E_DBO5]])</f>
        <v>#NAME?</v>
      </c>
      <c r="E217" s="523" t="e">
        <f ca="1">stat(charge_entree[[#This Row],[ch_E_DCO]])</f>
        <v>#NAME?</v>
      </c>
      <c r="F217" s="523" t="e">
        <f ca="1">stat(charge_entree[[#This Row],[ch_E_COT]])</f>
        <v>#NAME?</v>
      </c>
      <c r="G217" s="523" t="e">
        <f ca="1">stat(charge_entree[[#This Row],[ch_E_NH4]])</f>
        <v>#NAME?</v>
      </c>
      <c r="H217" s="523" t="e">
        <f ca="1">stat(charge_entree[[#This Row],[ch_E_NTOT]])</f>
        <v>#NAME?</v>
      </c>
      <c r="I217" s="523" t="e">
        <f ca="1">stat(charge_entree[[#This Row],[ch_E_PTOT]])</f>
        <v>#NAME?</v>
      </c>
      <c r="J217" s="523" t="e">
        <f ca="1">stat(charge_entree[[#This Row],[ch_S_DBO]])</f>
        <v>#NAME?</v>
      </c>
      <c r="K217" s="523" t="e">
        <f ca="1">stat(charge_entree[[#This Row],[ch_S-DCO]])</f>
        <v>#NAME?</v>
      </c>
      <c r="L217" s="523" t="e">
        <f ca="1">stat(charge_entree[[#This Row],[ch_S_DOC]])</f>
        <v>#NAME?</v>
      </c>
      <c r="M217" s="523" t="e">
        <f ca="1">stat(charge_entree[[#This Row],[ch_S_NH4]])</f>
        <v>#NAME?</v>
      </c>
      <c r="N217" s="523" t="e">
        <f ca="1">stat(charge_entree[[#This Row],[ch_S_NO2]])</f>
        <v>#NAME?</v>
      </c>
      <c r="O217" s="523" t="e">
        <f ca="1">stat(charge_entree[[#This Row],[ch_S_NO3]])</f>
        <v>#NAME?</v>
      </c>
      <c r="P217" s="523" t="e">
        <f ca="1">stat(charge_entree[[#This Row],[ch_S_PTOT]])</f>
        <v>#NAME?</v>
      </c>
      <c r="Q217" s="523" t="e">
        <f ca="1">stat(charge_entree[[#This Row],[ch_S_SNDT]])</f>
        <v>#NAME?</v>
      </c>
      <c r="R217" s="523">
        <f>calculs!R217</f>
        <v>0</v>
      </c>
      <c r="S217" s="523" t="e">
        <f ca="1">stat(calculs!S217)</f>
        <v>#NAME?</v>
      </c>
      <c r="T217" s="523" t="e">
        <f ca="1">stat(calculs!T217)</f>
        <v>#NAME?</v>
      </c>
      <c r="U217" s="523" t="e">
        <f ca="1">stat(calculs!U217)</f>
        <v>#NAME?</v>
      </c>
      <c r="V217" s="523" t="e">
        <f ca="1">stat(calculs!V217)</f>
        <v>#NAME?</v>
      </c>
      <c r="W217" s="523" t="e">
        <f ca="1">stat(calculs!W217)</f>
        <v>#NAME?</v>
      </c>
      <c r="X217" s="523" t="e">
        <f ca="1">stat(calculs!X217)</f>
        <v>#NAME?</v>
      </c>
      <c r="Y217" s="523" t="e">
        <f ca="1">stat(calculs!Y217)</f>
        <v>#NAME?</v>
      </c>
      <c r="Z217" s="523" t="e">
        <f ca="1">stat(calculs!Z217)</f>
        <v>#NAME?</v>
      </c>
      <c r="AA217" s="523" t="e">
        <f ca="1">stat(calculs!AA217)</f>
        <v>#NAME?</v>
      </c>
      <c r="AB217" s="523" t="e">
        <f ca="1">stat(calculs!AB217)</f>
        <v>#NAME?</v>
      </c>
      <c r="AC217" s="523" t="e">
        <f ca="1">stat(calculs!AC217)</f>
        <v>#NAME?</v>
      </c>
      <c r="AD217" s="523" t="e">
        <f ca="1">stat(calculs!AD217)</f>
        <v>#NAME?</v>
      </c>
      <c r="AE217" s="523" t="e">
        <f ca="1">stat(calculs!AE217)</f>
        <v>#NAME?</v>
      </c>
      <c r="AF217" s="523" t="e">
        <f ca="1">stat(calculs!AF217)</f>
        <v>#NAME?</v>
      </c>
      <c r="AG217" s="523" t="e">
        <f ca="1">stat(calculs!AG217)</f>
        <v>#NAME?</v>
      </c>
      <c r="AH217" s="523" t="e">
        <f ca="1">stat(calculs!AH217)</f>
        <v>#NAME?</v>
      </c>
      <c r="AI217" s="523" t="e">
        <f ca="1">stat(calculs!AI217)</f>
        <v>#NAME?</v>
      </c>
      <c r="AJ217" s="523" t="e">
        <f ca="1">stat(calculs!AJ217)</f>
        <v>#NAME?</v>
      </c>
      <c r="AK217" s="523" t="e">
        <f ca="1">stat(calculs!AK217)</f>
        <v>#NAME?</v>
      </c>
      <c r="AL217" s="523" t="e">
        <f ca="1">stat(calculs!AL217)</f>
        <v>#NAME?</v>
      </c>
      <c r="AM217" s="523" t="e">
        <f ca="1">stat(calculs!AM217)</f>
        <v>#NAME?</v>
      </c>
      <c r="AN217" s="523" t="e">
        <f ca="1">stat(calculs!AN217)</f>
        <v>#NAME?</v>
      </c>
      <c r="AO217" s="523" t="e">
        <f ca="1">stat(calculs!AO217)</f>
        <v>#NAME?</v>
      </c>
      <c r="AP217" s="523" t="e">
        <f ca="1">stat(calculs!AP217)</f>
        <v>#NAME?</v>
      </c>
      <c r="AQ217" s="523" t="e">
        <f ca="1">stat(calculs!AQ217)</f>
        <v>#NAME?</v>
      </c>
      <c r="AV217" s="525" t="str">
        <f>stat(calculs!AV217)</f>
        <v/>
      </c>
      <c r="AW217" s="525" t="str">
        <f>stat(calculs!AW217)</f>
        <v/>
      </c>
      <c r="AX217" s="525" t="str">
        <f>stat(calculs!AX217)</f>
        <v/>
      </c>
      <c r="AY217" s="525" t="e">
        <f ca="1">stat(calculs!AY217)</f>
        <v>#NAME?</v>
      </c>
      <c r="AZ217" s="525" t="e">
        <f ca="1">stat(calculs!AZ217)</f>
        <v>#NAME?</v>
      </c>
      <c r="BA217" s="525" t="e">
        <f ca="1">stat(calculs!BA217)</f>
        <v>#NAME?</v>
      </c>
      <c r="BB217" s="525" t="e">
        <f ca="1">stat(calculs!BB217)</f>
        <v>#NAME?</v>
      </c>
      <c r="BC217" s="525" t="e">
        <f ca="1">stat(calculs!BC217)</f>
        <v>#NAME?</v>
      </c>
      <c r="BD217" s="525" t="e">
        <f ca="1">stat(calculs!BD217)</f>
        <v>#NAME?</v>
      </c>
      <c r="BE217" s="525" t="e">
        <f ca="1">stat(calculs!BE217)</f>
        <v>#NAME?</v>
      </c>
      <c r="BF217" s="525" t="e">
        <f ca="1">stat(calculs!BF217)</f>
        <v>#NAME?</v>
      </c>
      <c r="BG217" s="729" t="e">
        <f ca="1">stat(calculs!BG217)</f>
        <v>#NAME?</v>
      </c>
      <c r="BH217" s="729" t="e">
        <f ca="1">stat(calculs!BH217)</f>
        <v>#NAME?</v>
      </c>
      <c r="BI217" s="729" t="e">
        <f ca="1">stat(calculs!BI217)</f>
        <v>#NAME?</v>
      </c>
      <c r="BJ217" s="729" t="e">
        <f ca="1">stat(calculs!BJ217)</f>
        <v>#NAME?</v>
      </c>
      <c r="BK217" s="729" t="e">
        <f ca="1">stat(calculs!BK217)</f>
        <v>#NAME?</v>
      </c>
      <c r="BL217" s="525" t="e">
        <f ca="1">stat(calculs!BL217)</f>
        <v>#NAME?</v>
      </c>
      <c r="BM217" s="525" t="e">
        <f ca="1">stat(calculs!BM217)</f>
        <v>#NAME?</v>
      </c>
      <c r="BN217" s="525" t="e">
        <f ca="1">stat(calculs!BN217)</f>
        <v>#NAME?</v>
      </c>
      <c r="BO217" s="525" t="e">
        <f ca="1">stat(calculs!BO217)</f>
        <v>#NAME?</v>
      </c>
      <c r="BP217" s="525" t="e">
        <f ca="1">stat(calculs!BP217)</f>
        <v>#NAME?</v>
      </c>
      <c r="BQ217" s="525" t="e">
        <f ca="1">stat(calculs!BQ217)</f>
        <v>#NAME?</v>
      </c>
      <c r="BR217" s="525" t="e">
        <f ca="1">stat(calculs!BR217)</f>
        <v>#NAME?</v>
      </c>
    </row>
    <row r="218" spans="1:70" x14ac:dyDescent="0.2">
      <c r="A218" s="222">
        <f>données_step[[#This Row],[Datum]]</f>
        <v>44769</v>
      </c>
      <c r="B218" s="223"/>
      <c r="C218" s="224">
        <f t="shared" si="3"/>
        <v>4</v>
      </c>
      <c r="D218" s="523" t="e">
        <f ca="1">stat(charge_entree[[#This Row],[ch_E_DBO5]])</f>
        <v>#NAME?</v>
      </c>
      <c r="E218" s="523" t="e">
        <f ca="1">stat(charge_entree[[#This Row],[ch_E_DCO]])</f>
        <v>#NAME?</v>
      </c>
      <c r="F218" s="523" t="e">
        <f ca="1">stat(charge_entree[[#This Row],[ch_E_COT]])</f>
        <v>#NAME?</v>
      </c>
      <c r="G218" s="523" t="e">
        <f ca="1">stat(charge_entree[[#This Row],[ch_E_NH4]])</f>
        <v>#NAME?</v>
      </c>
      <c r="H218" s="523" t="e">
        <f ca="1">stat(charge_entree[[#This Row],[ch_E_NTOT]])</f>
        <v>#NAME?</v>
      </c>
      <c r="I218" s="523" t="e">
        <f ca="1">stat(charge_entree[[#This Row],[ch_E_PTOT]])</f>
        <v>#NAME?</v>
      </c>
      <c r="J218" s="523" t="e">
        <f ca="1">stat(charge_entree[[#This Row],[ch_S_DBO]])</f>
        <v>#NAME?</v>
      </c>
      <c r="K218" s="523" t="e">
        <f ca="1">stat(charge_entree[[#This Row],[ch_S-DCO]])</f>
        <v>#NAME?</v>
      </c>
      <c r="L218" s="523" t="e">
        <f ca="1">stat(charge_entree[[#This Row],[ch_S_DOC]])</f>
        <v>#NAME?</v>
      </c>
      <c r="M218" s="523" t="e">
        <f ca="1">stat(charge_entree[[#This Row],[ch_S_NH4]])</f>
        <v>#NAME?</v>
      </c>
      <c r="N218" s="523" t="e">
        <f ca="1">stat(charge_entree[[#This Row],[ch_S_NO2]])</f>
        <v>#NAME?</v>
      </c>
      <c r="O218" s="523" t="e">
        <f ca="1">stat(charge_entree[[#This Row],[ch_S_NO3]])</f>
        <v>#NAME?</v>
      </c>
      <c r="P218" s="523" t="e">
        <f ca="1">stat(charge_entree[[#This Row],[ch_S_PTOT]])</f>
        <v>#NAME?</v>
      </c>
      <c r="Q218" s="523" t="e">
        <f ca="1">stat(charge_entree[[#This Row],[ch_S_SNDT]])</f>
        <v>#NAME?</v>
      </c>
      <c r="R218" s="523">
        <f>calculs!R218</f>
        <v>0</v>
      </c>
      <c r="S218" s="523" t="e">
        <f ca="1">stat(calculs!S218)</f>
        <v>#NAME?</v>
      </c>
      <c r="T218" s="523" t="e">
        <f ca="1">stat(calculs!T218)</f>
        <v>#NAME?</v>
      </c>
      <c r="U218" s="523" t="e">
        <f ca="1">stat(calculs!U218)</f>
        <v>#NAME?</v>
      </c>
      <c r="V218" s="523" t="e">
        <f ca="1">stat(calculs!V218)</f>
        <v>#NAME?</v>
      </c>
      <c r="W218" s="523" t="e">
        <f ca="1">stat(calculs!W218)</f>
        <v>#NAME?</v>
      </c>
      <c r="X218" s="523" t="e">
        <f ca="1">stat(calculs!X218)</f>
        <v>#NAME?</v>
      </c>
      <c r="Y218" s="523" t="e">
        <f ca="1">stat(calculs!Y218)</f>
        <v>#NAME?</v>
      </c>
      <c r="Z218" s="523" t="e">
        <f ca="1">stat(calculs!Z218)</f>
        <v>#NAME?</v>
      </c>
      <c r="AA218" s="523" t="e">
        <f ca="1">stat(calculs!AA218)</f>
        <v>#NAME?</v>
      </c>
      <c r="AB218" s="523" t="e">
        <f ca="1">stat(calculs!AB218)</f>
        <v>#NAME?</v>
      </c>
      <c r="AC218" s="523" t="e">
        <f ca="1">stat(calculs!AC218)</f>
        <v>#NAME?</v>
      </c>
      <c r="AD218" s="523" t="e">
        <f ca="1">stat(calculs!AD218)</f>
        <v>#NAME?</v>
      </c>
      <c r="AE218" s="523" t="e">
        <f ca="1">stat(calculs!AE218)</f>
        <v>#NAME?</v>
      </c>
      <c r="AF218" s="523" t="e">
        <f ca="1">stat(calculs!AF218)</f>
        <v>#NAME?</v>
      </c>
      <c r="AG218" s="523" t="e">
        <f ca="1">stat(calculs!AG218)</f>
        <v>#NAME?</v>
      </c>
      <c r="AH218" s="523" t="e">
        <f ca="1">stat(calculs!AH218)</f>
        <v>#NAME?</v>
      </c>
      <c r="AI218" s="523" t="e">
        <f ca="1">stat(calculs!AI218)</f>
        <v>#NAME?</v>
      </c>
      <c r="AJ218" s="523" t="e">
        <f ca="1">stat(calculs!AJ218)</f>
        <v>#NAME?</v>
      </c>
      <c r="AK218" s="523" t="e">
        <f ca="1">stat(calculs!AK218)</f>
        <v>#NAME?</v>
      </c>
      <c r="AL218" s="523" t="e">
        <f ca="1">stat(calculs!AL218)</f>
        <v>#NAME?</v>
      </c>
      <c r="AM218" s="523" t="e">
        <f ca="1">stat(calculs!AM218)</f>
        <v>#NAME?</v>
      </c>
      <c r="AN218" s="523" t="e">
        <f ca="1">stat(calculs!AN218)</f>
        <v>#NAME?</v>
      </c>
      <c r="AO218" s="523" t="e">
        <f ca="1">stat(calculs!AO218)</f>
        <v>#NAME?</v>
      </c>
      <c r="AP218" s="523" t="e">
        <f ca="1">stat(calculs!AP218)</f>
        <v>#NAME?</v>
      </c>
      <c r="AQ218" s="523" t="e">
        <f ca="1">stat(calculs!AQ218)</f>
        <v>#NAME?</v>
      </c>
      <c r="AV218" s="525" t="str">
        <f>stat(calculs!AV218)</f>
        <v/>
      </c>
      <c r="AW218" s="525" t="str">
        <f>stat(calculs!AW218)</f>
        <v/>
      </c>
      <c r="AX218" s="525" t="str">
        <f>stat(calculs!AX218)</f>
        <v/>
      </c>
      <c r="AY218" s="525" t="e">
        <f ca="1">stat(calculs!AY218)</f>
        <v>#NAME?</v>
      </c>
      <c r="AZ218" s="525" t="e">
        <f ca="1">stat(calculs!AZ218)</f>
        <v>#NAME?</v>
      </c>
      <c r="BA218" s="525" t="e">
        <f ca="1">stat(calculs!BA218)</f>
        <v>#NAME?</v>
      </c>
      <c r="BB218" s="525" t="e">
        <f ca="1">stat(calculs!BB218)</f>
        <v>#NAME?</v>
      </c>
      <c r="BC218" s="525" t="e">
        <f ca="1">stat(calculs!BC218)</f>
        <v>#NAME?</v>
      </c>
      <c r="BD218" s="525" t="e">
        <f ca="1">stat(calculs!BD218)</f>
        <v>#NAME?</v>
      </c>
      <c r="BE218" s="525" t="e">
        <f ca="1">stat(calculs!BE218)</f>
        <v>#NAME?</v>
      </c>
      <c r="BF218" s="525" t="e">
        <f ca="1">stat(calculs!BF218)</f>
        <v>#NAME?</v>
      </c>
      <c r="BG218" s="729" t="e">
        <f ca="1">stat(calculs!BG218)</f>
        <v>#NAME?</v>
      </c>
      <c r="BH218" s="729" t="e">
        <f ca="1">stat(calculs!BH218)</f>
        <v>#NAME?</v>
      </c>
      <c r="BI218" s="729" t="e">
        <f ca="1">stat(calculs!BI218)</f>
        <v>#NAME?</v>
      </c>
      <c r="BJ218" s="729" t="e">
        <f ca="1">stat(calculs!BJ218)</f>
        <v>#NAME?</v>
      </c>
      <c r="BK218" s="729" t="e">
        <f ca="1">stat(calculs!BK218)</f>
        <v>#NAME?</v>
      </c>
      <c r="BL218" s="525" t="e">
        <f ca="1">stat(calculs!BL218)</f>
        <v>#NAME?</v>
      </c>
      <c r="BM218" s="525" t="e">
        <f ca="1">stat(calculs!BM218)</f>
        <v>#NAME?</v>
      </c>
      <c r="BN218" s="525" t="e">
        <f ca="1">stat(calculs!BN218)</f>
        <v>#NAME?</v>
      </c>
      <c r="BO218" s="525" t="e">
        <f ca="1">stat(calculs!BO218)</f>
        <v>#NAME?</v>
      </c>
      <c r="BP218" s="525" t="e">
        <f ca="1">stat(calculs!BP218)</f>
        <v>#NAME?</v>
      </c>
      <c r="BQ218" s="525" t="e">
        <f ca="1">stat(calculs!BQ218)</f>
        <v>#NAME?</v>
      </c>
      <c r="BR218" s="525" t="e">
        <f ca="1">stat(calculs!BR218)</f>
        <v>#NAME?</v>
      </c>
    </row>
    <row r="219" spans="1:70" x14ac:dyDescent="0.2">
      <c r="A219" s="222">
        <f>données_step[[#This Row],[Datum]]</f>
        <v>44770</v>
      </c>
      <c r="B219" s="223"/>
      <c r="C219" s="224">
        <f t="shared" si="3"/>
        <v>5</v>
      </c>
      <c r="D219" s="523" t="e">
        <f ca="1">stat(charge_entree[[#This Row],[ch_E_DBO5]])</f>
        <v>#NAME?</v>
      </c>
      <c r="E219" s="523" t="e">
        <f ca="1">stat(charge_entree[[#This Row],[ch_E_DCO]])</f>
        <v>#NAME?</v>
      </c>
      <c r="F219" s="523" t="e">
        <f ca="1">stat(charge_entree[[#This Row],[ch_E_COT]])</f>
        <v>#NAME?</v>
      </c>
      <c r="G219" s="523" t="e">
        <f ca="1">stat(charge_entree[[#This Row],[ch_E_NH4]])</f>
        <v>#NAME?</v>
      </c>
      <c r="H219" s="523" t="e">
        <f ca="1">stat(charge_entree[[#This Row],[ch_E_NTOT]])</f>
        <v>#NAME?</v>
      </c>
      <c r="I219" s="523" t="e">
        <f ca="1">stat(charge_entree[[#This Row],[ch_E_PTOT]])</f>
        <v>#NAME?</v>
      </c>
      <c r="J219" s="523" t="e">
        <f ca="1">stat(charge_entree[[#This Row],[ch_S_DBO]])</f>
        <v>#NAME?</v>
      </c>
      <c r="K219" s="523" t="e">
        <f ca="1">stat(charge_entree[[#This Row],[ch_S-DCO]])</f>
        <v>#NAME?</v>
      </c>
      <c r="L219" s="523" t="e">
        <f ca="1">stat(charge_entree[[#This Row],[ch_S_DOC]])</f>
        <v>#NAME?</v>
      </c>
      <c r="M219" s="523" t="e">
        <f ca="1">stat(charge_entree[[#This Row],[ch_S_NH4]])</f>
        <v>#NAME?</v>
      </c>
      <c r="N219" s="523" t="e">
        <f ca="1">stat(charge_entree[[#This Row],[ch_S_NO2]])</f>
        <v>#NAME?</v>
      </c>
      <c r="O219" s="523" t="e">
        <f ca="1">stat(charge_entree[[#This Row],[ch_S_NO3]])</f>
        <v>#NAME?</v>
      </c>
      <c r="P219" s="523" t="e">
        <f ca="1">stat(charge_entree[[#This Row],[ch_S_PTOT]])</f>
        <v>#NAME?</v>
      </c>
      <c r="Q219" s="523" t="e">
        <f ca="1">stat(charge_entree[[#This Row],[ch_S_SNDT]])</f>
        <v>#NAME?</v>
      </c>
      <c r="R219" s="523">
        <f>calculs!R219</f>
        <v>0</v>
      </c>
      <c r="S219" s="523" t="e">
        <f ca="1">stat(calculs!S219)</f>
        <v>#NAME?</v>
      </c>
      <c r="T219" s="523" t="e">
        <f ca="1">stat(calculs!T219)</f>
        <v>#NAME?</v>
      </c>
      <c r="U219" s="523" t="e">
        <f ca="1">stat(calculs!U219)</f>
        <v>#NAME?</v>
      </c>
      <c r="V219" s="523" t="e">
        <f ca="1">stat(calculs!V219)</f>
        <v>#NAME?</v>
      </c>
      <c r="W219" s="523" t="e">
        <f ca="1">stat(calculs!W219)</f>
        <v>#NAME?</v>
      </c>
      <c r="X219" s="523" t="e">
        <f ca="1">stat(calculs!X219)</f>
        <v>#NAME?</v>
      </c>
      <c r="Y219" s="523" t="e">
        <f ca="1">stat(calculs!Y219)</f>
        <v>#NAME?</v>
      </c>
      <c r="Z219" s="523" t="e">
        <f ca="1">stat(calculs!Z219)</f>
        <v>#NAME?</v>
      </c>
      <c r="AA219" s="523" t="e">
        <f ca="1">stat(calculs!AA219)</f>
        <v>#NAME?</v>
      </c>
      <c r="AB219" s="523" t="e">
        <f ca="1">stat(calculs!AB219)</f>
        <v>#NAME?</v>
      </c>
      <c r="AC219" s="523" t="e">
        <f ca="1">stat(calculs!AC219)</f>
        <v>#NAME?</v>
      </c>
      <c r="AD219" s="523" t="e">
        <f ca="1">stat(calculs!AD219)</f>
        <v>#NAME?</v>
      </c>
      <c r="AE219" s="523" t="e">
        <f ca="1">stat(calculs!AE219)</f>
        <v>#NAME?</v>
      </c>
      <c r="AF219" s="523" t="e">
        <f ca="1">stat(calculs!AF219)</f>
        <v>#NAME?</v>
      </c>
      <c r="AG219" s="523" t="e">
        <f ca="1">stat(calculs!AG219)</f>
        <v>#NAME?</v>
      </c>
      <c r="AH219" s="523" t="e">
        <f ca="1">stat(calculs!AH219)</f>
        <v>#NAME?</v>
      </c>
      <c r="AI219" s="523" t="e">
        <f ca="1">stat(calculs!AI219)</f>
        <v>#NAME?</v>
      </c>
      <c r="AJ219" s="523" t="e">
        <f ca="1">stat(calculs!AJ219)</f>
        <v>#NAME?</v>
      </c>
      <c r="AK219" s="523" t="e">
        <f ca="1">stat(calculs!AK219)</f>
        <v>#NAME?</v>
      </c>
      <c r="AL219" s="523" t="e">
        <f ca="1">stat(calculs!AL219)</f>
        <v>#NAME?</v>
      </c>
      <c r="AM219" s="523" t="e">
        <f ca="1">stat(calculs!AM219)</f>
        <v>#NAME?</v>
      </c>
      <c r="AN219" s="523" t="e">
        <f ca="1">stat(calculs!AN219)</f>
        <v>#NAME?</v>
      </c>
      <c r="AO219" s="523" t="e">
        <f ca="1">stat(calculs!AO219)</f>
        <v>#NAME?</v>
      </c>
      <c r="AP219" s="523" t="e">
        <f ca="1">stat(calculs!AP219)</f>
        <v>#NAME?</v>
      </c>
      <c r="AQ219" s="523" t="e">
        <f ca="1">stat(calculs!AQ219)</f>
        <v>#NAME?</v>
      </c>
      <c r="AV219" s="525" t="str">
        <f>stat(calculs!AV219)</f>
        <v/>
      </c>
      <c r="AW219" s="525" t="str">
        <f>stat(calculs!AW219)</f>
        <v/>
      </c>
      <c r="AX219" s="525" t="str">
        <f>stat(calculs!AX219)</f>
        <v/>
      </c>
      <c r="AY219" s="525" t="e">
        <f ca="1">stat(calculs!AY219)</f>
        <v>#NAME?</v>
      </c>
      <c r="AZ219" s="525" t="e">
        <f ca="1">stat(calculs!AZ219)</f>
        <v>#NAME?</v>
      </c>
      <c r="BA219" s="525" t="e">
        <f ca="1">stat(calculs!BA219)</f>
        <v>#NAME?</v>
      </c>
      <c r="BB219" s="525" t="e">
        <f ca="1">stat(calculs!BB219)</f>
        <v>#NAME?</v>
      </c>
      <c r="BC219" s="525" t="e">
        <f ca="1">stat(calculs!BC219)</f>
        <v>#NAME?</v>
      </c>
      <c r="BD219" s="525" t="e">
        <f ca="1">stat(calculs!BD219)</f>
        <v>#NAME?</v>
      </c>
      <c r="BE219" s="525" t="e">
        <f ca="1">stat(calculs!BE219)</f>
        <v>#NAME?</v>
      </c>
      <c r="BF219" s="525" t="e">
        <f ca="1">stat(calculs!BF219)</f>
        <v>#NAME?</v>
      </c>
      <c r="BG219" s="729" t="e">
        <f ca="1">stat(calculs!BG219)</f>
        <v>#NAME?</v>
      </c>
      <c r="BH219" s="729" t="e">
        <f ca="1">stat(calculs!BH219)</f>
        <v>#NAME?</v>
      </c>
      <c r="BI219" s="729" t="e">
        <f ca="1">stat(calculs!BI219)</f>
        <v>#NAME?</v>
      </c>
      <c r="BJ219" s="729" t="e">
        <f ca="1">stat(calculs!BJ219)</f>
        <v>#NAME?</v>
      </c>
      <c r="BK219" s="729" t="e">
        <f ca="1">stat(calculs!BK219)</f>
        <v>#NAME?</v>
      </c>
      <c r="BL219" s="525" t="e">
        <f ca="1">stat(calculs!BL219)</f>
        <v>#NAME?</v>
      </c>
      <c r="BM219" s="525" t="e">
        <f ca="1">stat(calculs!BM219)</f>
        <v>#NAME?</v>
      </c>
      <c r="BN219" s="525" t="e">
        <f ca="1">stat(calculs!BN219)</f>
        <v>#NAME?</v>
      </c>
      <c r="BO219" s="525" t="e">
        <f ca="1">stat(calculs!BO219)</f>
        <v>#NAME?</v>
      </c>
      <c r="BP219" s="525" t="e">
        <f ca="1">stat(calculs!BP219)</f>
        <v>#NAME?</v>
      </c>
      <c r="BQ219" s="525" t="e">
        <f ca="1">stat(calculs!BQ219)</f>
        <v>#NAME?</v>
      </c>
      <c r="BR219" s="525" t="e">
        <f ca="1">stat(calculs!BR219)</f>
        <v>#NAME?</v>
      </c>
    </row>
    <row r="220" spans="1:70" x14ac:dyDescent="0.2">
      <c r="A220" s="222">
        <f>données_step[[#This Row],[Datum]]</f>
        <v>44771</v>
      </c>
      <c r="B220" s="223"/>
      <c r="C220" s="224">
        <f t="shared" si="3"/>
        <v>6</v>
      </c>
      <c r="D220" s="523" t="e">
        <f ca="1">stat(charge_entree[[#This Row],[ch_E_DBO5]])</f>
        <v>#NAME?</v>
      </c>
      <c r="E220" s="523" t="e">
        <f ca="1">stat(charge_entree[[#This Row],[ch_E_DCO]])</f>
        <v>#NAME?</v>
      </c>
      <c r="F220" s="523" t="e">
        <f ca="1">stat(charge_entree[[#This Row],[ch_E_COT]])</f>
        <v>#NAME?</v>
      </c>
      <c r="G220" s="523" t="e">
        <f ca="1">stat(charge_entree[[#This Row],[ch_E_NH4]])</f>
        <v>#NAME?</v>
      </c>
      <c r="H220" s="523" t="e">
        <f ca="1">stat(charge_entree[[#This Row],[ch_E_NTOT]])</f>
        <v>#NAME?</v>
      </c>
      <c r="I220" s="523" t="e">
        <f ca="1">stat(charge_entree[[#This Row],[ch_E_PTOT]])</f>
        <v>#NAME?</v>
      </c>
      <c r="J220" s="523" t="e">
        <f ca="1">stat(charge_entree[[#This Row],[ch_S_DBO]])</f>
        <v>#NAME?</v>
      </c>
      <c r="K220" s="523" t="e">
        <f ca="1">stat(charge_entree[[#This Row],[ch_S-DCO]])</f>
        <v>#NAME?</v>
      </c>
      <c r="L220" s="523" t="e">
        <f ca="1">stat(charge_entree[[#This Row],[ch_S_DOC]])</f>
        <v>#NAME?</v>
      </c>
      <c r="M220" s="523" t="e">
        <f ca="1">stat(charge_entree[[#This Row],[ch_S_NH4]])</f>
        <v>#NAME?</v>
      </c>
      <c r="N220" s="523" t="e">
        <f ca="1">stat(charge_entree[[#This Row],[ch_S_NO2]])</f>
        <v>#NAME?</v>
      </c>
      <c r="O220" s="523" t="e">
        <f ca="1">stat(charge_entree[[#This Row],[ch_S_NO3]])</f>
        <v>#NAME?</v>
      </c>
      <c r="P220" s="523" t="e">
        <f ca="1">stat(charge_entree[[#This Row],[ch_S_PTOT]])</f>
        <v>#NAME?</v>
      </c>
      <c r="Q220" s="523" t="e">
        <f ca="1">stat(charge_entree[[#This Row],[ch_S_SNDT]])</f>
        <v>#NAME?</v>
      </c>
      <c r="R220" s="523">
        <f>calculs!R220</f>
        <v>0</v>
      </c>
      <c r="S220" s="523" t="e">
        <f ca="1">stat(calculs!S220)</f>
        <v>#NAME?</v>
      </c>
      <c r="T220" s="523" t="e">
        <f ca="1">stat(calculs!T220)</f>
        <v>#NAME?</v>
      </c>
      <c r="U220" s="523" t="e">
        <f ca="1">stat(calculs!U220)</f>
        <v>#NAME?</v>
      </c>
      <c r="V220" s="523" t="e">
        <f ca="1">stat(calculs!V220)</f>
        <v>#NAME?</v>
      </c>
      <c r="W220" s="523" t="e">
        <f ca="1">stat(calculs!W220)</f>
        <v>#NAME?</v>
      </c>
      <c r="X220" s="523" t="e">
        <f ca="1">stat(calculs!X220)</f>
        <v>#NAME?</v>
      </c>
      <c r="Y220" s="523" t="e">
        <f ca="1">stat(calculs!Y220)</f>
        <v>#NAME?</v>
      </c>
      <c r="Z220" s="523" t="e">
        <f ca="1">stat(calculs!Z220)</f>
        <v>#NAME?</v>
      </c>
      <c r="AA220" s="523" t="e">
        <f ca="1">stat(calculs!AA220)</f>
        <v>#NAME?</v>
      </c>
      <c r="AB220" s="523" t="e">
        <f ca="1">stat(calculs!AB220)</f>
        <v>#NAME?</v>
      </c>
      <c r="AC220" s="523" t="e">
        <f ca="1">stat(calculs!AC220)</f>
        <v>#NAME?</v>
      </c>
      <c r="AD220" s="523" t="e">
        <f ca="1">stat(calculs!AD220)</f>
        <v>#NAME?</v>
      </c>
      <c r="AE220" s="523" t="e">
        <f ca="1">stat(calculs!AE220)</f>
        <v>#NAME?</v>
      </c>
      <c r="AF220" s="523" t="e">
        <f ca="1">stat(calculs!AF220)</f>
        <v>#NAME?</v>
      </c>
      <c r="AG220" s="523" t="e">
        <f ca="1">stat(calculs!AG220)</f>
        <v>#NAME?</v>
      </c>
      <c r="AH220" s="523" t="e">
        <f ca="1">stat(calculs!AH220)</f>
        <v>#NAME?</v>
      </c>
      <c r="AI220" s="523" t="e">
        <f ca="1">stat(calculs!AI220)</f>
        <v>#NAME?</v>
      </c>
      <c r="AJ220" s="523" t="e">
        <f ca="1">stat(calculs!AJ220)</f>
        <v>#NAME?</v>
      </c>
      <c r="AK220" s="523" t="e">
        <f ca="1">stat(calculs!AK220)</f>
        <v>#NAME?</v>
      </c>
      <c r="AL220" s="523" t="e">
        <f ca="1">stat(calculs!AL220)</f>
        <v>#NAME?</v>
      </c>
      <c r="AM220" s="523" t="e">
        <f ca="1">stat(calculs!AM220)</f>
        <v>#NAME?</v>
      </c>
      <c r="AN220" s="523" t="e">
        <f ca="1">stat(calculs!AN220)</f>
        <v>#NAME?</v>
      </c>
      <c r="AO220" s="523" t="e">
        <f ca="1">stat(calculs!AO220)</f>
        <v>#NAME?</v>
      </c>
      <c r="AP220" s="523" t="e">
        <f ca="1">stat(calculs!AP220)</f>
        <v>#NAME?</v>
      </c>
      <c r="AQ220" s="523" t="e">
        <f ca="1">stat(calculs!AQ220)</f>
        <v>#NAME?</v>
      </c>
      <c r="AV220" s="525" t="str">
        <f>stat(calculs!AV220)</f>
        <v/>
      </c>
      <c r="AW220" s="525" t="str">
        <f>stat(calculs!AW220)</f>
        <v/>
      </c>
      <c r="AX220" s="525" t="str">
        <f>stat(calculs!AX220)</f>
        <v/>
      </c>
      <c r="AY220" s="525" t="e">
        <f ca="1">stat(calculs!AY220)</f>
        <v>#NAME?</v>
      </c>
      <c r="AZ220" s="525" t="e">
        <f ca="1">stat(calculs!AZ220)</f>
        <v>#NAME?</v>
      </c>
      <c r="BA220" s="525" t="e">
        <f ca="1">stat(calculs!BA220)</f>
        <v>#NAME?</v>
      </c>
      <c r="BB220" s="525" t="e">
        <f ca="1">stat(calculs!BB220)</f>
        <v>#NAME?</v>
      </c>
      <c r="BC220" s="525" t="e">
        <f ca="1">stat(calculs!BC220)</f>
        <v>#NAME?</v>
      </c>
      <c r="BD220" s="525" t="e">
        <f ca="1">stat(calculs!BD220)</f>
        <v>#NAME?</v>
      </c>
      <c r="BE220" s="525" t="e">
        <f ca="1">stat(calculs!BE220)</f>
        <v>#NAME?</v>
      </c>
      <c r="BF220" s="525" t="e">
        <f ca="1">stat(calculs!BF220)</f>
        <v>#NAME?</v>
      </c>
      <c r="BG220" s="729" t="e">
        <f ca="1">stat(calculs!BG220)</f>
        <v>#NAME?</v>
      </c>
      <c r="BH220" s="729" t="e">
        <f ca="1">stat(calculs!BH220)</f>
        <v>#NAME?</v>
      </c>
      <c r="BI220" s="729" t="e">
        <f ca="1">stat(calculs!BI220)</f>
        <v>#NAME?</v>
      </c>
      <c r="BJ220" s="729" t="e">
        <f ca="1">stat(calculs!BJ220)</f>
        <v>#NAME?</v>
      </c>
      <c r="BK220" s="729" t="e">
        <f ca="1">stat(calculs!BK220)</f>
        <v>#NAME?</v>
      </c>
      <c r="BL220" s="525" t="e">
        <f ca="1">stat(calculs!BL220)</f>
        <v>#NAME?</v>
      </c>
      <c r="BM220" s="525" t="e">
        <f ca="1">stat(calculs!BM220)</f>
        <v>#NAME?</v>
      </c>
      <c r="BN220" s="525" t="e">
        <f ca="1">stat(calculs!BN220)</f>
        <v>#NAME?</v>
      </c>
      <c r="BO220" s="525" t="e">
        <f ca="1">stat(calculs!BO220)</f>
        <v>#NAME?</v>
      </c>
      <c r="BP220" s="525" t="e">
        <f ca="1">stat(calculs!BP220)</f>
        <v>#NAME?</v>
      </c>
      <c r="BQ220" s="525" t="e">
        <f ca="1">stat(calculs!BQ220)</f>
        <v>#NAME?</v>
      </c>
      <c r="BR220" s="525" t="e">
        <f ca="1">stat(calculs!BR220)</f>
        <v>#NAME?</v>
      </c>
    </row>
    <row r="221" spans="1:70" x14ac:dyDescent="0.2">
      <c r="A221" s="222">
        <f>données_step[[#This Row],[Datum]]</f>
        <v>44772</v>
      </c>
      <c r="B221" s="223"/>
      <c r="C221" s="224">
        <f t="shared" si="3"/>
        <v>7</v>
      </c>
      <c r="D221" s="523" t="e">
        <f ca="1">stat(charge_entree[[#This Row],[ch_E_DBO5]])</f>
        <v>#NAME?</v>
      </c>
      <c r="E221" s="523" t="e">
        <f ca="1">stat(charge_entree[[#This Row],[ch_E_DCO]])</f>
        <v>#NAME?</v>
      </c>
      <c r="F221" s="523" t="e">
        <f ca="1">stat(charge_entree[[#This Row],[ch_E_COT]])</f>
        <v>#NAME?</v>
      </c>
      <c r="G221" s="523" t="e">
        <f ca="1">stat(charge_entree[[#This Row],[ch_E_NH4]])</f>
        <v>#NAME?</v>
      </c>
      <c r="H221" s="523" t="e">
        <f ca="1">stat(charge_entree[[#This Row],[ch_E_NTOT]])</f>
        <v>#NAME?</v>
      </c>
      <c r="I221" s="523" t="e">
        <f ca="1">stat(charge_entree[[#This Row],[ch_E_PTOT]])</f>
        <v>#NAME?</v>
      </c>
      <c r="J221" s="523" t="e">
        <f ca="1">stat(charge_entree[[#This Row],[ch_S_DBO]])</f>
        <v>#NAME?</v>
      </c>
      <c r="K221" s="523" t="e">
        <f ca="1">stat(charge_entree[[#This Row],[ch_S-DCO]])</f>
        <v>#NAME?</v>
      </c>
      <c r="L221" s="523" t="e">
        <f ca="1">stat(charge_entree[[#This Row],[ch_S_DOC]])</f>
        <v>#NAME?</v>
      </c>
      <c r="M221" s="523" t="e">
        <f ca="1">stat(charge_entree[[#This Row],[ch_S_NH4]])</f>
        <v>#NAME?</v>
      </c>
      <c r="N221" s="523" t="e">
        <f ca="1">stat(charge_entree[[#This Row],[ch_S_NO2]])</f>
        <v>#NAME?</v>
      </c>
      <c r="O221" s="523" t="e">
        <f ca="1">stat(charge_entree[[#This Row],[ch_S_NO3]])</f>
        <v>#NAME?</v>
      </c>
      <c r="P221" s="523" t="e">
        <f ca="1">stat(charge_entree[[#This Row],[ch_S_PTOT]])</f>
        <v>#NAME?</v>
      </c>
      <c r="Q221" s="523" t="e">
        <f ca="1">stat(charge_entree[[#This Row],[ch_S_SNDT]])</f>
        <v>#NAME?</v>
      </c>
      <c r="R221" s="523">
        <f>calculs!R221</f>
        <v>0</v>
      </c>
      <c r="S221" s="523" t="e">
        <f ca="1">stat(calculs!S221)</f>
        <v>#NAME?</v>
      </c>
      <c r="T221" s="523" t="e">
        <f ca="1">stat(calculs!T221)</f>
        <v>#NAME?</v>
      </c>
      <c r="U221" s="523" t="e">
        <f ca="1">stat(calculs!U221)</f>
        <v>#NAME?</v>
      </c>
      <c r="V221" s="523" t="e">
        <f ca="1">stat(calculs!V221)</f>
        <v>#NAME?</v>
      </c>
      <c r="W221" s="523" t="e">
        <f ca="1">stat(calculs!W221)</f>
        <v>#NAME?</v>
      </c>
      <c r="X221" s="523" t="e">
        <f ca="1">stat(calculs!X221)</f>
        <v>#NAME?</v>
      </c>
      <c r="Y221" s="523" t="e">
        <f ca="1">stat(calculs!Y221)</f>
        <v>#NAME?</v>
      </c>
      <c r="Z221" s="523" t="e">
        <f ca="1">stat(calculs!Z221)</f>
        <v>#NAME?</v>
      </c>
      <c r="AA221" s="523" t="e">
        <f ca="1">stat(calculs!AA221)</f>
        <v>#NAME?</v>
      </c>
      <c r="AB221" s="523" t="e">
        <f ca="1">stat(calculs!AB221)</f>
        <v>#NAME?</v>
      </c>
      <c r="AC221" s="523" t="e">
        <f ca="1">stat(calculs!AC221)</f>
        <v>#NAME?</v>
      </c>
      <c r="AD221" s="523" t="e">
        <f ca="1">stat(calculs!AD221)</f>
        <v>#NAME?</v>
      </c>
      <c r="AE221" s="523" t="e">
        <f ca="1">stat(calculs!AE221)</f>
        <v>#NAME?</v>
      </c>
      <c r="AF221" s="523" t="e">
        <f ca="1">stat(calculs!AF221)</f>
        <v>#NAME?</v>
      </c>
      <c r="AG221" s="523" t="e">
        <f ca="1">stat(calculs!AG221)</f>
        <v>#NAME?</v>
      </c>
      <c r="AH221" s="523" t="e">
        <f ca="1">stat(calculs!AH221)</f>
        <v>#NAME?</v>
      </c>
      <c r="AI221" s="523" t="e">
        <f ca="1">stat(calculs!AI221)</f>
        <v>#NAME?</v>
      </c>
      <c r="AJ221" s="523" t="e">
        <f ca="1">stat(calculs!AJ221)</f>
        <v>#NAME?</v>
      </c>
      <c r="AK221" s="523" t="e">
        <f ca="1">stat(calculs!AK221)</f>
        <v>#NAME?</v>
      </c>
      <c r="AL221" s="523" t="e">
        <f ca="1">stat(calculs!AL221)</f>
        <v>#NAME?</v>
      </c>
      <c r="AM221" s="523" t="e">
        <f ca="1">stat(calculs!AM221)</f>
        <v>#NAME?</v>
      </c>
      <c r="AN221" s="523" t="e">
        <f ca="1">stat(calculs!AN221)</f>
        <v>#NAME?</v>
      </c>
      <c r="AO221" s="523" t="e">
        <f ca="1">stat(calculs!AO221)</f>
        <v>#NAME?</v>
      </c>
      <c r="AP221" s="523" t="e">
        <f ca="1">stat(calculs!AP221)</f>
        <v>#NAME?</v>
      </c>
      <c r="AQ221" s="523" t="e">
        <f ca="1">stat(calculs!AQ221)</f>
        <v>#NAME?</v>
      </c>
      <c r="AV221" s="525" t="str">
        <f>stat(calculs!AV221)</f>
        <v/>
      </c>
      <c r="AW221" s="525" t="str">
        <f>stat(calculs!AW221)</f>
        <v/>
      </c>
      <c r="AX221" s="525" t="str">
        <f>stat(calculs!AX221)</f>
        <v/>
      </c>
      <c r="AY221" s="525" t="e">
        <f ca="1">stat(calculs!AY221)</f>
        <v>#NAME?</v>
      </c>
      <c r="AZ221" s="525" t="e">
        <f ca="1">stat(calculs!AZ221)</f>
        <v>#NAME?</v>
      </c>
      <c r="BA221" s="525" t="e">
        <f ca="1">stat(calculs!BA221)</f>
        <v>#NAME?</v>
      </c>
      <c r="BB221" s="525" t="e">
        <f ca="1">stat(calculs!BB221)</f>
        <v>#NAME?</v>
      </c>
      <c r="BC221" s="525" t="e">
        <f ca="1">stat(calculs!BC221)</f>
        <v>#NAME?</v>
      </c>
      <c r="BD221" s="525" t="e">
        <f ca="1">stat(calculs!BD221)</f>
        <v>#NAME?</v>
      </c>
      <c r="BE221" s="525" t="e">
        <f ca="1">stat(calculs!BE221)</f>
        <v>#NAME?</v>
      </c>
      <c r="BF221" s="525" t="e">
        <f ca="1">stat(calculs!BF221)</f>
        <v>#NAME?</v>
      </c>
      <c r="BG221" s="729" t="e">
        <f ca="1">stat(calculs!BG221)</f>
        <v>#NAME?</v>
      </c>
      <c r="BH221" s="729" t="e">
        <f ca="1">stat(calculs!BH221)</f>
        <v>#NAME?</v>
      </c>
      <c r="BI221" s="729" t="e">
        <f ca="1">stat(calculs!BI221)</f>
        <v>#NAME?</v>
      </c>
      <c r="BJ221" s="729" t="e">
        <f ca="1">stat(calculs!BJ221)</f>
        <v>#NAME?</v>
      </c>
      <c r="BK221" s="729" t="e">
        <f ca="1">stat(calculs!BK221)</f>
        <v>#NAME?</v>
      </c>
      <c r="BL221" s="525" t="e">
        <f ca="1">stat(calculs!BL221)</f>
        <v>#NAME?</v>
      </c>
      <c r="BM221" s="525" t="e">
        <f ca="1">stat(calculs!BM221)</f>
        <v>#NAME?</v>
      </c>
      <c r="BN221" s="525" t="e">
        <f ca="1">stat(calculs!BN221)</f>
        <v>#NAME?</v>
      </c>
      <c r="BO221" s="525" t="e">
        <f ca="1">stat(calculs!BO221)</f>
        <v>#NAME?</v>
      </c>
      <c r="BP221" s="525" t="e">
        <f ca="1">stat(calculs!BP221)</f>
        <v>#NAME?</v>
      </c>
      <c r="BQ221" s="525" t="e">
        <f ca="1">stat(calculs!BQ221)</f>
        <v>#NAME?</v>
      </c>
      <c r="BR221" s="525" t="e">
        <f ca="1">stat(calculs!BR221)</f>
        <v>#NAME?</v>
      </c>
    </row>
    <row r="222" spans="1:70" x14ac:dyDescent="0.2">
      <c r="A222" s="222">
        <f>données_step[[#This Row],[Datum]]</f>
        <v>44773</v>
      </c>
      <c r="B222" s="223"/>
      <c r="C222" s="224">
        <f t="shared" si="3"/>
        <v>1</v>
      </c>
      <c r="D222" s="523" t="e">
        <f ca="1">stat(charge_entree[[#This Row],[ch_E_DBO5]])</f>
        <v>#NAME?</v>
      </c>
      <c r="E222" s="523" t="e">
        <f ca="1">stat(charge_entree[[#This Row],[ch_E_DCO]])</f>
        <v>#NAME?</v>
      </c>
      <c r="F222" s="523" t="e">
        <f ca="1">stat(charge_entree[[#This Row],[ch_E_COT]])</f>
        <v>#NAME?</v>
      </c>
      <c r="G222" s="523" t="e">
        <f ca="1">stat(charge_entree[[#This Row],[ch_E_NH4]])</f>
        <v>#NAME?</v>
      </c>
      <c r="H222" s="523" t="e">
        <f ca="1">stat(charge_entree[[#This Row],[ch_E_NTOT]])</f>
        <v>#NAME?</v>
      </c>
      <c r="I222" s="523" t="e">
        <f ca="1">stat(charge_entree[[#This Row],[ch_E_PTOT]])</f>
        <v>#NAME?</v>
      </c>
      <c r="J222" s="523" t="e">
        <f ca="1">stat(charge_entree[[#This Row],[ch_S_DBO]])</f>
        <v>#NAME?</v>
      </c>
      <c r="K222" s="523" t="e">
        <f ca="1">stat(charge_entree[[#This Row],[ch_S-DCO]])</f>
        <v>#NAME?</v>
      </c>
      <c r="L222" s="523" t="e">
        <f ca="1">stat(charge_entree[[#This Row],[ch_S_DOC]])</f>
        <v>#NAME?</v>
      </c>
      <c r="M222" s="523" t="e">
        <f ca="1">stat(charge_entree[[#This Row],[ch_S_NH4]])</f>
        <v>#NAME?</v>
      </c>
      <c r="N222" s="523" t="e">
        <f ca="1">stat(charge_entree[[#This Row],[ch_S_NO2]])</f>
        <v>#NAME?</v>
      </c>
      <c r="O222" s="523" t="e">
        <f ca="1">stat(charge_entree[[#This Row],[ch_S_NO3]])</f>
        <v>#NAME?</v>
      </c>
      <c r="P222" s="523" t="e">
        <f ca="1">stat(charge_entree[[#This Row],[ch_S_PTOT]])</f>
        <v>#NAME?</v>
      </c>
      <c r="Q222" s="523" t="e">
        <f ca="1">stat(charge_entree[[#This Row],[ch_S_SNDT]])</f>
        <v>#NAME?</v>
      </c>
      <c r="R222" s="523">
        <f>calculs!R222</f>
        <v>0</v>
      </c>
      <c r="S222" s="523" t="e">
        <f ca="1">stat(calculs!S222)</f>
        <v>#NAME?</v>
      </c>
      <c r="T222" s="523" t="e">
        <f ca="1">stat(calculs!T222)</f>
        <v>#NAME?</v>
      </c>
      <c r="U222" s="523" t="e">
        <f ca="1">stat(calculs!U222)</f>
        <v>#NAME?</v>
      </c>
      <c r="V222" s="523" t="e">
        <f ca="1">stat(calculs!V222)</f>
        <v>#NAME?</v>
      </c>
      <c r="W222" s="523" t="e">
        <f ca="1">stat(calculs!W222)</f>
        <v>#NAME?</v>
      </c>
      <c r="X222" s="523" t="e">
        <f ca="1">stat(calculs!X222)</f>
        <v>#NAME?</v>
      </c>
      <c r="Y222" s="523" t="e">
        <f ca="1">stat(calculs!Y222)</f>
        <v>#NAME?</v>
      </c>
      <c r="Z222" s="523" t="e">
        <f ca="1">stat(calculs!Z222)</f>
        <v>#NAME?</v>
      </c>
      <c r="AA222" s="523" t="e">
        <f ca="1">stat(calculs!AA222)</f>
        <v>#NAME?</v>
      </c>
      <c r="AB222" s="523" t="e">
        <f ca="1">stat(calculs!AB222)</f>
        <v>#NAME?</v>
      </c>
      <c r="AC222" s="523" t="e">
        <f ca="1">stat(calculs!AC222)</f>
        <v>#NAME?</v>
      </c>
      <c r="AD222" s="523" t="e">
        <f ca="1">stat(calculs!AD222)</f>
        <v>#NAME?</v>
      </c>
      <c r="AE222" s="523" t="e">
        <f ca="1">stat(calculs!AE222)</f>
        <v>#NAME?</v>
      </c>
      <c r="AF222" s="523" t="e">
        <f ca="1">stat(calculs!AF222)</f>
        <v>#NAME?</v>
      </c>
      <c r="AG222" s="523" t="e">
        <f ca="1">stat(calculs!AG222)</f>
        <v>#NAME?</v>
      </c>
      <c r="AH222" s="523" t="e">
        <f ca="1">stat(calculs!AH222)</f>
        <v>#NAME?</v>
      </c>
      <c r="AI222" s="523" t="e">
        <f ca="1">stat(calculs!AI222)</f>
        <v>#NAME?</v>
      </c>
      <c r="AJ222" s="523" t="e">
        <f ca="1">stat(calculs!AJ222)</f>
        <v>#NAME?</v>
      </c>
      <c r="AK222" s="523" t="e">
        <f ca="1">stat(calculs!AK222)</f>
        <v>#NAME?</v>
      </c>
      <c r="AL222" s="523" t="e">
        <f ca="1">stat(calculs!AL222)</f>
        <v>#NAME?</v>
      </c>
      <c r="AM222" s="523" t="e">
        <f ca="1">stat(calculs!AM222)</f>
        <v>#NAME?</v>
      </c>
      <c r="AN222" s="523" t="e">
        <f ca="1">stat(calculs!AN222)</f>
        <v>#NAME?</v>
      </c>
      <c r="AO222" s="523" t="e">
        <f ca="1">stat(calculs!AO222)</f>
        <v>#NAME?</v>
      </c>
      <c r="AP222" s="523" t="e">
        <f ca="1">stat(calculs!AP222)</f>
        <v>#NAME?</v>
      </c>
      <c r="AQ222" s="523" t="e">
        <f ca="1">stat(calculs!AQ222)</f>
        <v>#NAME?</v>
      </c>
      <c r="AV222" s="525" t="str">
        <f>stat(calculs!AV222)</f>
        <v/>
      </c>
      <c r="AW222" s="525" t="str">
        <f>stat(calculs!AW222)</f>
        <v/>
      </c>
      <c r="AX222" s="525" t="str">
        <f>stat(calculs!AX222)</f>
        <v/>
      </c>
      <c r="AY222" s="525" t="e">
        <f ca="1">stat(calculs!AY222)</f>
        <v>#NAME?</v>
      </c>
      <c r="AZ222" s="525" t="e">
        <f ca="1">stat(calculs!AZ222)</f>
        <v>#NAME?</v>
      </c>
      <c r="BA222" s="525" t="e">
        <f ca="1">stat(calculs!BA222)</f>
        <v>#NAME?</v>
      </c>
      <c r="BB222" s="525" t="e">
        <f ca="1">stat(calculs!BB222)</f>
        <v>#NAME?</v>
      </c>
      <c r="BC222" s="525" t="e">
        <f ca="1">stat(calculs!BC222)</f>
        <v>#NAME?</v>
      </c>
      <c r="BD222" s="525" t="e">
        <f ca="1">stat(calculs!BD222)</f>
        <v>#NAME?</v>
      </c>
      <c r="BE222" s="525" t="e">
        <f ca="1">stat(calculs!BE222)</f>
        <v>#NAME?</v>
      </c>
      <c r="BF222" s="525" t="e">
        <f ca="1">stat(calculs!BF222)</f>
        <v>#NAME?</v>
      </c>
      <c r="BG222" s="729" t="e">
        <f ca="1">stat(calculs!BG222)</f>
        <v>#NAME?</v>
      </c>
      <c r="BH222" s="729" t="e">
        <f ca="1">stat(calculs!BH222)</f>
        <v>#NAME?</v>
      </c>
      <c r="BI222" s="729" t="e">
        <f ca="1">stat(calculs!BI222)</f>
        <v>#NAME?</v>
      </c>
      <c r="BJ222" s="729" t="e">
        <f ca="1">stat(calculs!BJ222)</f>
        <v>#NAME?</v>
      </c>
      <c r="BK222" s="729" t="e">
        <f ca="1">stat(calculs!BK222)</f>
        <v>#NAME?</v>
      </c>
      <c r="BL222" s="525" t="e">
        <f ca="1">stat(calculs!BL222)</f>
        <v>#NAME?</v>
      </c>
      <c r="BM222" s="525" t="e">
        <f ca="1">stat(calculs!BM222)</f>
        <v>#NAME?</v>
      </c>
      <c r="BN222" s="525" t="e">
        <f ca="1">stat(calculs!BN222)</f>
        <v>#NAME?</v>
      </c>
      <c r="BO222" s="525" t="e">
        <f ca="1">stat(calculs!BO222)</f>
        <v>#NAME?</v>
      </c>
      <c r="BP222" s="525" t="e">
        <f ca="1">stat(calculs!BP222)</f>
        <v>#NAME?</v>
      </c>
      <c r="BQ222" s="525" t="e">
        <f ca="1">stat(calculs!BQ222)</f>
        <v>#NAME?</v>
      </c>
      <c r="BR222" s="525" t="e">
        <f ca="1">stat(calculs!BR222)</f>
        <v>#NAME?</v>
      </c>
    </row>
    <row r="223" spans="1:70" x14ac:dyDescent="0.2">
      <c r="A223" s="222">
        <f>données_step[[#This Row],[Datum]]</f>
        <v>44774</v>
      </c>
      <c r="B223" s="223"/>
      <c r="C223" s="224">
        <f t="shared" si="3"/>
        <v>2</v>
      </c>
      <c r="D223" s="523" t="e">
        <f ca="1">stat(charge_entree[[#This Row],[ch_E_DBO5]])</f>
        <v>#NAME?</v>
      </c>
      <c r="E223" s="523" t="e">
        <f ca="1">stat(charge_entree[[#This Row],[ch_E_DCO]])</f>
        <v>#NAME?</v>
      </c>
      <c r="F223" s="523" t="e">
        <f ca="1">stat(charge_entree[[#This Row],[ch_E_COT]])</f>
        <v>#NAME?</v>
      </c>
      <c r="G223" s="523" t="e">
        <f ca="1">stat(charge_entree[[#This Row],[ch_E_NH4]])</f>
        <v>#NAME?</v>
      </c>
      <c r="H223" s="523" t="e">
        <f ca="1">stat(charge_entree[[#This Row],[ch_E_NTOT]])</f>
        <v>#NAME?</v>
      </c>
      <c r="I223" s="523" t="e">
        <f ca="1">stat(charge_entree[[#This Row],[ch_E_PTOT]])</f>
        <v>#NAME?</v>
      </c>
      <c r="J223" s="523" t="e">
        <f ca="1">stat(charge_entree[[#This Row],[ch_S_DBO]])</f>
        <v>#NAME?</v>
      </c>
      <c r="K223" s="523" t="e">
        <f ca="1">stat(charge_entree[[#This Row],[ch_S-DCO]])</f>
        <v>#NAME?</v>
      </c>
      <c r="L223" s="523" t="e">
        <f ca="1">stat(charge_entree[[#This Row],[ch_S_DOC]])</f>
        <v>#NAME?</v>
      </c>
      <c r="M223" s="523" t="e">
        <f ca="1">stat(charge_entree[[#This Row],[ch_S_NH4]])</f>
        <v>#NAME?</v>
      </c>
      <c r="N223" s="523" t="e">
        <f ca="1">stat(charge_entree[[#This Row],[ch_S_NO2]])</f>
        <v>#NAME?</v>
      </c>
      <c r="O223" s="523" t="e">
        <f ca="1">stat(charge_entree[[#This Row],[ch_S_NO3]])</f>
        <v>#NAME?</v>
      </c>
      <c r="P223" s="523" t="e">
        <f ca="1">stat(charge_entree[[#This Row],[ch_S_PTOT]])</f>
        <v>#NAME?</v>
      </c>
      <c r="Q223" s="523" t="e">
        <f ca="1">stat(charge_entree[[#This Row],[ch_S_SNDT]])</f>
        <v>#NAME?</v>
      </c>
      <c r="R223" s="523">
        <f>calculs!R223</f>
        <v>0</v>
      </c>
      <c r="S223" s="523" t="e">
        <f ca="1">stat(calculs!S223)</f>
        <v>#NAME?</v>
      </c>
      <c r="T223" s="523" t="e">
        <f ca="1">stat(calculs!T223)</f>
        <v>#NAME?</v>
      </c>
      <c r="U223" s="523" t="e">
        <f ca="1">stat(calculs!U223)</f>
        <v>#NAME?</v>
      </c>
      <c r="V223" s="523" t="e">
        <f ca="1">stat(calculs!V223)</f>
        <v>#NAME?</v>
      </c>
      <c r="W223" s="523" t="e">
        <f ca="1">stat(calculs!W223)</f>
        <v>#NAME?</v>
      </c>
      <c r="X223" s="523" t="e">
        <f ca="1">stat(calculs!X223)</f>
        <v>#NAME?</v>
      </c>
      <c r="Y223" s="523" t="e">
        <f ca="1">stat(calculs!Y223)</f>
        <v>#NAME?</v>
      </c>
      <c r="Z223" s="523" t="e">
        <f ca="1">stat(calculs!Z223)</f>
        <v>#NAME?</v>
      </c>
      <c r="AA223" s="523" t="e">
        <f ca="1">stat(calculs!AA223)</f>
        <v>#NAME?</v>
      </c>
      <c r="AB223" s="523" t="e">
        <f ca="1">stat(calculs!AB223)</f>
        <v>#NAME?</v>
      </c>
      <c r="AC223" s="523" t="e">
        <f ca="1">stat(calculs!AC223)</f>
        <v>#NAME?</v>
      </c>
      <c r="AD223" s="523" t="e">
        <f ca="1">stat(calculs!AD223)</f>
        <v>#NAME?</v>
      </c>
      <c r="AE223" s="523" t="e">
        <f ca="1">stat(calculs!AE223)</f>
        <v>#NAME?</v>
      </c>
      <c r="AF223" s="523" t="e">
        <f ca="1">stat(calculs!AF223)</f>
        <v>#NAME?</v>
      </c>
      <c r="AG223" s="523" t="e">
        <f ca="1">stat(calculs!AG223)</f>
        <v>#NAME?</v>
      </c>
      <c r="AH223" s="523" t="e">
        <f ca="1">stat(calculs!AH223)</f>
        <v>#NAME?</v>
      </c>
      <c r="AI223" s="523" t="e">
        <f ca="1">stat(calculs!AI223)</f>
        <v>#NAME?</v>
      </c>
      <c r="AJ223" s="523" t="e">
        <f ca="1">stat(calculs!AJ223)</f>
        <v>#NAME?</v>
      </c>
      <c r="AK223" s="523" t="e">
        <f ca="1">stat(calculs!AK223)</f>
        <v>#NAME?</v>
      </c>
      <c r="AL223" s="523" t="e">
        <f ca="1">stat(calculs!AL223)</f>
        <v>#NAME?</v>
      </c>
      <c r="AM223" s="523" t="e">
        <f ca="1">stat(calculs!AM223)</f>
        <v>#NAME?</v>
      </c>
      <c r="AN223" s="523" t="e">
        <f ca="1">stat(calculs!AN223)</f>
        <v>#NAME?</v>
      </c>
      <c r="AO223" s="523" t="e">
        <f ca="1">stat(calculs!AO223)</f>
        <v>#NAME?</v>
      </c>
      <c r="AP223" s="523" t="e">
        <f ca="1">stat(calculs!AP223)</f>
        <v>#NAME?</v>
      </c>
      <c r="AQ223" s="523" t="e">
        <f ca="1">stat(calculs!AQ223)</f>
        <v>#NAME?</v>
      </c>
      <c r="AV223" s="525" t="str">
        <f>stat(calculs!AV223)</f>
        <v/>
      </c>
      <c r="AW223" s="525" t="str">
        <f>stat(calculs!AW223)</f>
        <v/>
      </c>
      <c r="AX223" s="525" t="str">
        <f>stat(calculs!AX223)</f>
        <v/>
      </c>
      <c r="AY223" s="525" t="e">
        <f ca="1">stat(calculs!AY223)</f>
        <v>#NAME?</v>
      </c>
      <c r="AZ223" s="525" t="e">
        <f ca="1">stat(calculs!AZ223)</f>
        <v>#NAME?</v>
      </c>
      <c r="BA223" s="525" t="e">
        <f ca="1">stat(calculs!BA223)</f>
        <v>#NAME?</v>
      </c>
      <c r="BB223" s="525" t="e">
        <f ca="1">stat(calculs!BB223)</f>
        <v>#NAME?</v>
      </c>
      <c r="BC223" s="525" t="e">
        <f ca="1">stat(calculs!BC223)</f>
        <v>#NAME?</v>
      </c>
      <c r="BD223" s="525" t="e">
        <f ca="1">stat(calculs!BD223)</f>
        <v>#NAME?</v>
      </c>
      <c r="BE223" s="525" t="e">
        <f ca="1">stat(calculs!BE223)</f>
        <v>#NAME?</v>
      </c>
      <c r="BF223" s="525" t="e">
        <f ca="1">stat(calculs!BF223)</f>
        <v>#NAME?</v>
      </c>
      <c r="BG223" s="729" t="e">
        <f ca="1">stat(calculs!BG223)</f>
        <v>#NAME?</v>
      </c>
      <c r="BH223" s="729" t="e">
        <f ca="1">stat(calculs!BH223)</f>
        <v>#NAME?</v>
      </c>
      <c r="BI223" s="729" t="e">
        <f ca="1">stat(calculs!BI223)</f>
        <v>#NAME?</v>
      </c>
      <c r="BJ223" s="729" t="e">
        <f ca="1">stat(calculs!BJ223)</f>
        <v>#NAME?</v>
      </c>
      <c r="BK223" s="729" t="e">
        <f ca="1">stat(calculs!BK223)</f>
        <v>#NAME?</v>
      </c>
      <c r="BL223" s="525" t="e">
        <f ca="1">stat(calculs!BL223)</f>
        <v>#NAME?</v>
      </c>
      <c r="BM223" s="525" t="e">
        <f ca="1">stat(calculs!BM223)</f>
        <v>#NAME?</v>
      </c>
      <c r="BN223" s="525" t="e">
        <f ca="1">stat(calculs!BN223)</f>
        <v>#NAME?</v>
      </c>
      <c r="BO223" s="525" t="e">
        <f ca="1">stat(calculs!BO223)</f>
        <v>#NAME?</v>
      </c>
      <c r="BP223" s="525" t="e">
        <f ca="1">stat(calculs!BP223)</f>
        <v>#NAME?</v>
      </c>
      <c r="BQ223" s="525" t="e">
        <f ca="1">stat(calculs!BQ223)</f>
        <v>#NAME?</v>
      </c>
      <c r="BR223" s="525" t="e">
        <f ca="1">stat(calculs!BR223)</f>
        <v>#NAME?</v>
      </c>
    </row>
    <row r="224" spans="1:70" x14ac:dyDescent="0.2">
      <c r="A224" s="222">
        <f>données_step[[#This Row],[Datum]]</f>
        <v>44775</v>
      </c>
      <c r="B224" s="223"/>
      <c r="C224" s="224">
        <f t="shared" si="3"/>
        <v>3</v>
      </c>
      <c r="D224" s="523" t="e">
        <f ca="1">stat(charge_entree[[#This Row],[ch_E_DBO5]])</f>
        <v>#NAME?</v>
      </c>
      <c r="E224" s="523" t="e">
        <f ca="1">stat(charge_entree[[#This Row],[ch_E_DCO]])</f>
        <v>#NAME?</v>
      </c>
      <c r="F224" s="523" t="e">
        <f ca="1">stat(charge_entree[[#This Row],[ch_E_COT]])</f>
        <v>#NAME?</v>
      </c>
      <c r="G224" s="523" t="e">
        <f ca="1">stat(charge_entree[[#This Row],[ch_E_NH4]])</f>
        <v>#NAME?</v>
      </c>
      <c r="H224" s="523" t="e">
        <f ca="1">stat(charge_entree[[#This Row],[ch_E_NTOT]])</f>
        <v>#NAME?</v>
      </c>
      <c r="I224" s="523" t="e">
        <f ca="1">stat(charge_entree[[#This Row],[ch_E_PTOT]])</f>
        <v>#NAME?</v>
      </c>
      <c r="J224" s="523" t="e">
        <f ca="1">stat(charge_entree[[#This Row],[ch_S_DBO]])</f>
        <v>#NAME?</v>
      </c>
      <c r="K224" s="523" t="e">
        <f ca="1">stat(charge_entree[[#This Row],[ch_S-DCO]])</f>
        <v>#NAME?</v>
      </c>
      <c r="L224" s="523" t="e">
        <f ca="1">stat(charge_entree[[#This Row],[ch_S_DOC]])</f>
        <v>#NAME?</v>
      </c>
      <c r="M224" s="523" t="e">
        <f ca="1">stat(charge_entree[[#This Row],[ch_S_NH4]])</f>
        <v>#NAME?</v>
      </c>
      <c r="N224" s="523" t="e">
        <f ca="1">stat(charge_entree[[#This Row],[ch_S_NO2]])</f>
        <v>#NAME?</v>
      </c>
      <c r="O224" s="523" t="e">
        <f ca="1">stat(charge_entree[[#This Row],[ch_S_NO3]])</f>
        <v>#NAME?</v>
      </c>
      <c r="P224" s="523" t="e">
        <f ca="1">stat(charge_entree[[#This Row],[ch_S_PTOT]])</f>
        <v>#NAME?</v>
      </c>
      <c r="Q224" s="523" t="e">
        <f ca="1">stat(charge_entree[[#This Row],[ch_S_SNDT]])</f>
        <v>#NAME?</v>
      </c>
      <c r="R224" s="523">
        <f>calculs!R224</f>
        <v>0</v>
      </c>
      <c r="S224" s="523" t="e">
        <f ca="1">stat(calculs!S224)</f>
        <v>#NAME?</v>
      </c>
      <c r="T224" s="523" t="e">
        <f ca="1">stat(calculs!T224)</f>
        <v>#NAME?</v>
      </c>
      <c r="U224" s="523" t="e">
        <f ca="1">stat(calculs!U224)</f>
        <v>#NAME?</v>
      </c>
      <c r="V224" s="523" t="e">
        <f ca="1">stat(calculs!V224)</f>
        <v>#NAME?</v>
      </c>
      <c r="W224" s="523" t="e">
        <f ca="1">stat(calculs!W224)</f>
        <v>#NAME?</v>
      </c>
      <c r="X224" s="523" t="e">
        <f ca="1">stat(calculs!X224)</f>
        <v>#NAME?</v>
      </c>
      <c r="Y224" s="523" t="e">
        <f ca="1">stat(calculs!Y224)</f>
        <v>#NAME?</v>
      </c>
      <c r="Z224" s="523" t="e">
        <f ca="1">stat(calculs!Z224)</f>
        <v>#NAME?</v>
      </c>
      <c r="AA224" s="523" t="e">
        <f ca="1">stat(calculs!AA224)</f>
        <v>#NAME?</v>
      </c>
      <c r="AB224" s="523" t="e">
        <f ca="1">stat(calculs!AB224)</f>
        <v>#NAME?</v>
      </c>
      <c r="AC224" s="523" t="e">
        <f ca="1">stat(calculs!AC224)</f>
        <v>#NAME?</v>
      </c>
      <c r="AD224" s="523" t="e">
        <f ca="1">stat(calculs!AD224)</f>
        <v>#NAME?</v>
      </c>
      <c r="AE224" s="523" t="e">
        <f ca="1">stat(calculs!AE224)</f>
        <v>#NAME?</v>
      </c>
      <c r="AF224" s="523" t="e">
        <f ca="1">stat(calculs!AF224)</f>
        <v>#NAME?</v>
      </c>
      <c r="AG224" s="523" t="e">
        <f ca="1">stat(calculs!AG224)</f>
        <v>#NAME?</v>
      </c>
      <c r="AH224" s="523" t="e">
        <f ca="1">stat(calculs!AH224)</f>
        <v>#NAME?</v>
      </c>
      <c r="AI224" s="523" t="e">
        <f ca="1">stat(calculs!AI224)</f>
        <v>#NAME?</v>
      </c>
      <c r="AJ224" s="523" t="e">
        <f ca="1">stat(calculs!AJ224)</f>
        <v>#NAME?</v>
      </c>
      <c r="AK224" s="523" t="e">
        <f ca="1">stat(calculs!AK224)</f>
        <v>#NAME?</v>
      </c>
      <c r="AL224" s="523" t="e">
        <f ca="1">stat(calculs!AL224)</f>
        <v>#NAME?</v>
      </c>
      <c r="AM224" s="523" t="e">
        <f ca="1">stat(calculs!AM224)</f>
        <v>#NAME?</v>
      </c>
      <c r="AN224" s="523" t="e">
        <f ca="1">stat(calculs!AN224)</f>
        <v>#NAME?</v>
      </c>
      <c r="AO224" s="523" t="e">
        <f ca="1">stat(calculs!AO224)</f>
        <v>#NAME?</v>
      </c>
      <c r="AP224" s="523" t="e">
        <f ca="1">stat(calculs!AP224)</f>
        <v>#NAME?</v>
      </c>
      <c r="AQ224" s="523" t="e">
        <f ca="1">stat(calculs!AQ224)</f>
        <v>#NAME?</v>
      </c>
      <c r="AV224" s="525" t="str">
        <f>stat(calculs!AV224)</f>
        <v/>
      </c>
      <c r="AW224" s="525" t="str">
        <f>stat(calculs!AW224)</f>
        <v/>
      </c>
      <c r="AX224" s="525" t="str">
        <f>stat(calculs!AX224)</f>
        <v/>
      </c>
      <c r="AY224" s="525" t="e">
        <f ca="1">stat(calculs!AY224)</f>
        <v>#NAME?</v>
      </c>
      <c r="AZ224" s="525" t="e">
        <f ca="1">stat(calculs!AZ224)</f>
        <v>#NAME?</v>
      </c>
      <c r="BA224" s="525" t="e">
        <f ca="1">stat(calculs!BA224)</f>
        <v>#NAME?</v>
      </c>
      <c r="BB224" s="525" t="e">
        <f ca="1">stat(calculs!BB224)</f>
        <v>#NAME?</v>
      </c>
      <c r="BC224" s="525" t="e">
        <f ca="1">stat(calculs!BC224)</f>
        <v>#NAME?</v>
      </c>
      <c r="BD224" s="525" t="e">
        <f ca="1">stat(calculs!BD224)</f>
        <v>#NAME?</v>
      </c>
      <c r="BE224" s="525" t="e">
        <f ca="1">stat(calculs!BE224)</f>
        <v>#NAME?</v>
      </c>
      <c r="BF224" s="525" t="e">
        <f ca="1">stat(calculs!BF224)</f>
        <v>#NAME?</v>
      </c>
      <c r="BG224" s="729" t="e">
        <f ca="1">stat(calculs!BG224)</f>
        <v>#NAME?</v>
      </c>
      <c r="BH224" s="729" t="e">
        <f ca="1">stat(calculs!BH224)</f>
        <v>#NAME?</v>
      </c>
      <c r="BI224" s="729" t="e">
        <f ca="1">stat(calculs!BI224)</f>
        <v>#NAME?</v>
      </c>
      <c r="BJ224" s="729" t="e">
        <f ca="1">stat(calculs!BJ224)</f>
        <v>#NAME?</v>
      </c>
      <c r="BK224" s="729" t="e">
        <f ca="1">stat(calculs!BK224)</f>
        <v>#NAME?</v>
      </c>
      <c r="BL224" s="525" t="e">
        <f ca="1">stat(calculs!BL224)</f>
        <v>#NAME?</v>
      </c>
      <c r="BM224" s="525" t="e">
        <f ca="1">stat(calculs!BM224)</f>
        <v>#NAME?</v>
      </c>
      <c r="BN224" s="525" t="e">
        <f ca="1">stat(calculs!BN224)</f>
        <v>#NAME?</v>
      </c>
      <c r="BO224" s="525" t="e">
        <f ca="1">stat(calculs!BO224)</f>
        <v>#NAME?</v>
      </c>
      <c r="BP224" s="525" t="e">
        <f ca="1">stat(calculs!BP224)</f>
        <v>#NAME?</v>
      </c>
      <c r="BQ224" s="525" t="e">
        <f ca="1">stat(calculs!BQ224)</f>
        <v>#NAME?</v>
      </c>
      <c r="BR224" s="525" t="e">
        <f ca="1">stat(calculs!BR224)</f>
        <v>#NAME?</v>
      </c>
    </row>
    <row r="225" spans="1:70" x14ac:dyDescent="0.2">
      <c r="A225" s="222">
        <f>données_step[[#This Row],[Datum]]</f>
        <v>44776</v>
      </c>
      <c r="B225" s="223"/>
      <c r="C225" s="224">
        <f t="shared" si="3"/>
        <v>4</v>
      </c>
      <c r="D225" s="523" t="e">
        <f ca="1">stat(charge_entree[[#This Row],[ch_E_DBO5]])</f>
        <v>#NAME?</v>
      </c>
      <c r="E225" s="523" t="e">
        <f ca="1">stat(charge_entree[[#This Row],[ch_E_DCO]])</f>
        <v>#NAME?</v>
      </c>
      <c r="F225" s="523" t="e">
        <f ca="1">stat(charge_entree[[#This Row],[ch_E_COT]])</f>
        <v>#NAME?</v>
      </c>
      <c r="G225" s="523" t="e">
        <f ca="1">stat(charge_entree[[#This Row],[ch_E_NH4]])</f>
        <v>#NAME?</v>
      </c>
      <c r="H225" s="523" t="e">
        <f ca="1">stat(charge_entree[[#This Row],[ch_E_NTOT]])</f>
        <v>#NAME?</v>
      </c>
      <c r="I225" s="523" t="e">
        <f ca="1">stat(charge_entree[[#This Row],[ch_E_PTOT]])</f>
        <v>#NAME?</v>
      </c>
      <c r="J225" s="523" t="e">
        <f ca="1">stat(charge_entree[[#This Row],[ch_S_DBO]])</f>
        <v>#NAME?</v>
      </c>
      <c r="K225" s="523" t="e">
        <f ca="1">stat(charge_entree[[#This Row],[ch_S-DCO]])</f>
        <v>#NAME?</v>
      </c>
      <c r="L225" s="523" t="e">
        <f ca="1">stat(charge_entree[[#This Row],[ch_S_DOC]])</f>
        <v>#NAME?</v>
      </c>
      <c r="M225" s="523" t="e">
        <f ca="1">stat(charge_entree[[#This Row],[ch_S_NH4]])</f>
        <v>#NAME?</v>
      </c>
      <c r="N225" s="523" t="e">
        <f ca="1">stat(charge_entree[[#This Row],[ch_S_NO2]])</f>
        <v>#NAME?</v>
      </c>
      <c r="O225" s="523" t="e">
        <f ca="1">stat(charge_entree[[#This Row],[ch_S_NO3]])</f>
        <v>#NAME?</v>
      </c>
      <c r="P225" s="523" t="e">
        <f ca="1">stat(charge_entree[[#This Row],[ch_S_PTOT]])</f>
        <v>#NAME?</v>
      </c>
      <c r="Q225" s="523" t="e">
        <f ca="1">stat(charge_entree[[#This Row],[ch_S_SNDT]])</f>
        <v>#NAME?</v>
      </c>
      <c r="R225" s="523">
        <f>calculs!R225</f>
        <v>0</v>
      </c>
      <c r="S225" s="523" t="e">
        <f ca="1">stat(calculs!S225)</f>
        <v>#NAME?</v>
      </c>
      <c r="T225" s="523" t="e">
        <f ca="1">stat(calculs!T225)</f>
        <v>#NAME?</v>
      </c>
      <c r="U225" s="523" t="e">
        <f ca="1">stat(calculs!U225)</f>
        <v>#NAME?</v>
      </c>
      <c r="V225" s="523" t="e">
        <f ca="1">stat(calculs!V225)</f>
        <v>#NAME?</v>
      </c>
      <c r="W225" s="523" t="e">
        <f ca="1">stat(calculs!W225)</f>
        <v>#NAME?</v>
      </c>
      <c r="X225" s="523" t="e">
        <f ca="1">stat(calculs!X225)</f>
        <v>#NAME?</v>
      </c>
      <c r="Y225" s="523" t="e">
        <f ca="1">stat(calculs!Y225)</f>
        <v>#NAME?</v>
      </c>
      <c r="Z225" s="523" t="e">
        <f ca="1">stat(calculs!Z225)</f>
        <v>#NAME?</v>
      </c>
      <c r="AA225" s="523" t="e">
        <f ca="1">stat(calculs!AA225)</f>
        <v>#NAME?</v>
      </c>
      <c r="AB225" s="523" t="e">
        <f ca="1">stat(calculs!AB225)</f>
        <v>#NAME?</v>
      </c>
      <c r="AC225" s="523" t="e">
        <f ca="1">stat(calculs!AC225)</f>
        <v>#NAME?</v>
      </c>
      <c r="AD225" s="523" t="e">
        <f ca="1">stat(calculs!AD225)</f>
        <v>#NAME?</v>
      </c>
      <c r="AE225" s="523" t="e">
        <f ca="1">stat(calculs!AE225)</f>
        <v>#NAME?</v>
      </c>
      <c r="AF225" s="523" t="e">
        <f ca="1">stat(calculs!AF225)</f>
        <v>#NAME?</v>
      </c>
      <c r="AG225" s="523" t="e">
        <f ca="1">stat(calculs!AG225)</f>
        <v>#NAME?</v>
      </c>
      <c r="AH225" s="523" t="e">
        <f ca="1">stat(calculs!AH225)</f>
        <v>#NAME?</v>
      </c>
      <c r="AI225" s="523" t="e">
        <f ca="1">stat(calculs!AI225)</f>
        <v>#NAME?</v>
      </c>
      <c r="AJ225" s="523" t="e">
        <f ca="1">stat(calculs!AJ225)</f>
        <v>#NAME?</v>
      </c>
      <c r="AK225" s="523" t="e">
        <f ca="1">stat(calculs!AK225)</f>
        <v>#NAME?</v>
      </c>
      <c r="AL225" s="523" t="e">
        <f ca="1">stat(calculs!AL225)</f>
        <v>#NAME?</v>
      </c>
      <c r="AM225" s="523" t="e">
        <f ca="1">stat(calculs!AM225)</f>
        <v>#NAME?</v>
      </c>
      <c r="AN225" s="523" t="e">
        <f ca="1">stat(calculs!AN225)</f>
        <v>#NAME?</v>
      </c>
      <c r="AO225" s="523" t="e">
        <f ca="1">stat(calculs!AO225)</f>
        <v>#NAME?</v>
      </c>
      <c r="AP225" s="523" t="e">
        <f ca="1">stat(calculs!AP225)</f>
        <v>#NAME?</v>
      </c>
      <c r="AQ225" s="523" t="e">
        <f ca="1">stat(calculs!AQ225)</f>
        <v>#NAME?</v>
      </c>
      <c r="AV225" s="525" t="str">
        <f>stat(calculs!AV225)</f>
        <v/>
      </c>
      <c r="AW225" s="525" t="str">
        <f>stat(calculs!AW225)</f>
        <v/>
      </c>
      <c r="AX225" s="525" t="str">
        <f>stat(calculs!AX225)</f>
        <v/>
      </c>
      <c r="AY225" s="525" t="e">
        <f ca="1">stat(calculs!AY225)</f>
        <v>#NAME?</v>
      </c>
      <c r="AZ225" s="525" t="e">
        <f ca="1">stat(calculs!AZ225)</f>
        <v>#NAME?</v>
      </c>
      <c r="BA225" s="525" t="e">
        <f ca="1">stat(calculs!BA225)</f>
        <v>#NAME?</v>
      </c>
      <c r="BB225" s="525" t="e">
        <f ca="1">stat(calculs!BB225)</f>
        <v>#NAME?</v>
      </c>
      <c r="BC225" s="525" t="e">
        <f ca="1">stat(calculs!BC225)</f>
        <v>#NAME?</v>
      </c>
      <c r="BD225" s="525" t="e">
        <f ca="1">stat(calculs!BD225)</f>
        <v>#NAME?</v>
      </c>
      <c r="BE225" s="525" t="e">
        <f ca="1">stat(calculs!BE225)</f>
        <v>#NAME?</v>
      </c>
      <c r="BF225" s="525" t="e">
        <f ca="1">stat(calculs!BF225)</f>
        <v>#NAME?</v>
      </c>
      <c r="BG225" s="729" t="e">
        <f ca="1">stat(calculs!BG225)</f>
        <v>#NAME?</v>
      </c>
      <c r="BH225" s="729" t="e">
        <f ca="1">stat(calculs!BH225)</f>
        <v>#NAME?</v>
      </c>
      <c r="BI225" s="729" t="e">
        <f ca="1">stat(calculs!BI225)</f>
        <v>#NAME?</v>
      </c>
      <c r="BJ225" s="729" t="e">
        <f ca="1">stat(calculs!BJ225)</f>
        <v>#NAME?</v>
      </c>
      <c r="BK225" s="729" t="e">
        <f ca="1">stat(calculs!BK225)</f>
        <v>#NAME?</v>
      </c>
      <c r="BL225" s="525" t="e">
        <f ca="1">stat(calculs!BL225)</f>
        <v>#NAME?</v>
      </c>
      <c r="BM225" s="525" t="e">
        <f ca="1">stat(calculs!BM225)</f>
        <v>#NAME?</v>
      </c>
      <c r="BN225" s="525" t="e">
        <f ca="1">stat(calculs!BN225)</f>
        <v>#NAME?</v>
      </c>
      <c r="BO225" s="525" t="e">
        <f ca="1">stat(calculs!BO225)</f>
        <v>#NAME?</v>
      </c>
      <c r="BP225" s="525" t="e">
        <f ca="1">stat(calculs!BP225)</f>
        <v>#NAME?</v>
      </c>
      <c r="BQ225" s="525" t="e">
        <f ca="1">stat(calculs!BQ225)</f>
        <v>#NAME?</v>
      </c>
      <c r="BR225" s="525" t="e">
        <f ca="1">stat(calculs!BR225)</f>
        <v>#NAME?</v>
      </c>
    </row>
    <row r="226" spans="1:70" x14ac:dyDescent="0.2">
      <c r="A226" s="222">
        <f>données_step[[#This Row],[Datum]]</f>
        <v>44777</v>
      </c>
      <c r="B226" s="223"/>
      <c r="C226" s="224">
        <f t="shared" si="3"/>
        <v>5</v>
      </c>
      <c r="D226" s="523" t="e">
        <f ca="1">stat(charge_entree[[#This Row],[ch_E_DBO5]])</f>
        <v>#NAME?</v>
      </c>
      <c r="E226" s="523" t="e">
        <f ca="1">stat(charge_entree[[#This Row],[ch_E_DCO]])</f>
        <v>#NAME?</v>
      </c>
      <c r="F226" s="523" t="e">
        <f ca="1">stat(charge_entree[[#This Row],[ch_E_COT]])</f>
        <v>#NAME?</v>
      </c>
      <c r="G226" s="523" t="e">
        <f ca="1">stat(charge_entree[[#This Row],[ch_E_NH4]])</f>
        <v>#NAME?</v>
      </c>
      <c r="H226" s="523" t="e">
        <f ca="1">stat(charge_entree[[#This Row],[ch_E_NTOT]])</f>
        <v>#NAME?</v>
      </c>
      <c r="I226" s="523" t="e">
        <f ca="1">stat(charge_entree[[#This Row],[ch_E_PTOT]])</f>
        <v>#NAME?</v>
      </c>
      <c r="J226" s="523" t="e">
        <f ca="1">stat(charge_entree[[#This Row],[ch_S_DBO]])</f>
        <v>#NAME?</v>
      </c>
      <c r="K226" s="523" t="e">
        <f ca="1">stat(charge_entree[[#This Row],[ch_S-DCO]])</f>
        <v>#NAME?</v>
      </c>
      <c r="L226" s="523" t="e">
        <f ca="1">stat(charge_entree[[#This Row],[ch_S_DOC]])</f>
        <v>#NAME?</v>
      </c>
      <c r="M226" s="523" t="e">
        <f ca="1">stat(charge_entree[[#This Row],[ch_S_NH4]])</f>
        <v>#NAME?</v>
      </c>
      <c r="N226" s="523" t="e">
        <f ca="1">stat(charge_entree[[#This Row],[ch_S_NO2]])</f>
        <v>#NAME?</v>
      </c>
      <c r="O226" s="523" t="e">
        <f ca="1">stat(charge_entree[[#This Row],[ch_S_NO3]])</f>
        <v>#NAME?</v>
      </c>
      <c r="P226" s="523" t="e">
        <f ca="1">stat(charge_entree[[#This Row],[ch_S_PTOT]])</f>
        <v>#NAME?</v>
      </c>
      <c r="Q226" s="523" t="e">
        <f ca="1">stat(charge_entree[[#This Row],[ch_S_SNDT]])</f>
        <v>#NAME?</v>
      </c>
      <c r="R226" s="523">
        <f>calculs!R226</f>
        <v>0</v>
      </c>
      <c r="S226" s="523" t="e">
        <f ca="1">stat(calculs!S226)</f>
        <v>#NAME?</v>
      </c>
      <c r="T226" s="523" t="e">
        <f ca="1">stat(calculs!T226)</f>
        <v>#NAME?</v>
      </c>
      <c r="U226" s="523" t="e">
        <f ca="1">stat(calculs!U226)</f>
        <v>#NAME?</v>
      </c>
      <c r="V226" s="523" t="e">
        <f ca="1">stat(calculs!V226)</f>
        <v>#NAME?</v>
      </c>
      <c r="W226" s="523" t="e">
        <f ca="1">stat(calculs!W226)</f>
        <v>#NAME?</v>
      </c>
      <c r="X226" s="523" t="e">
        <f ca="1">stat(calculs!X226)</f>
        <v>#NAME?</v>
      </c>
      <c r="Y226" s="523" t="e">
        <f ca="1">stat(calculs!Y226)</f>
        <v>#NAME?</v>
      </c>
      <c r="Z226" s="523" t="e">
        <f ca="1">stat(calculs!Z226)</f>
        <v>#NAME?</v>
      </c>
      <c r="AA226" s="523" t="e">
        <f ca="1">stat(calculs!AA226)</f>
        <v>#NAME?</v>
      </c>
      <c r="AB226" s="523" t="e">
        <f ca="1">stat(calculs!AB226)</f>
        <v>#NAME?</v>
      </c>
      <c r="AC226" s="523" t="e">
        <f ca="1">stat(calculs!AC226)</f>
        <v>#NAME?</v>
      </c>
      <c r="AD226" s="523" t="e">
        <f ca="1">stat(calculs!AD226)</f>
        <v>#NAME?</v>
      </c>
      <c r="AE226" s="523" t="e">
        <f ca="1">stat(calculs!AE226)</f>
        <v>#NAME?</v>
      </c>
      <c r="AF226" s="523" t="e">
        <f ca="1">stat(calculs!AF226)</f>
        <v>#NAME?</v>
      </c>
      <c r="AG226" s="523" t="e">
        <f ca="1">stat(calculs!AG226)</f>
        <v>#NAME?</v>
      </c>
      <c r="AH226" s="523" t="e">
        <f ca="1">stat(calculs!AH226)</f>
        <v>#NAME?</v>
      </c>
      <c r="AI226" s="523" t="e">
        <f ca="1">stat(calculs!AI226)</f>
        <v>#NAME?</v>
      </c>
      <c r="AJ226" s="523" t="e">
        <f ca="1">stat(calculs!AJ226)</f>
        <v>#NAME?</v>
      </c>
      <c r="AK226" s="523" t="e">
        <f ca="1">stat(calculs!AK226)</f>
        <v>#NAME?</v>
      </c>
      <c r="AL226" s="523" t="e">
        <f ca="1">stat(calculs!AL226)</f>
        <v>#NAME?</v>
      </c>
      <c r="AM226" s="523" t="e">
        <f ca="1">stat(calculs!AM226)</f>
        <v>#NAME?</v>
      </c>
      <c r="AN226" s="523" t="e">
        <f ca="1">stat(calculs!AN226)</f>
        <v>#NAME?</v>
      </c>
      <c r="AO226" s="523" t="e">
        <f ca="1">stat(calculs!AO226)</f>
        <v>#NAME?</v>
      </c>
      <c r="AP226" s="523" t="e">
        <f ca="1">stat(calculs!AP226)</f>
        <v>#NAME?</v>
      </c>
      <c r="AQ226" s="523" t="e">
        <f ca="1">stat(calculs!AQ226)</f>
        <v>#NAME?</v>
      </c>
      <c r="AV226" s="525" t="str">
        <f>stat(calculs!AV226)</f>
        <v/>
      </c>
      <c r="AW226" s="525" t="str">
        <f>stat(calculs!AW226)</f>
        <v/>
      </c>
      <c r="AX226" s="525" t="str">
        <f>stat(calculs!AX226)</f>
        <v/>
      </c>
      <c r="AY226" s="525" t="e">
        <f ca="1">stat(calculs!AY226)</f>
        <v>#NAME?</v>
      </c>
      <c r="AZ226" s="525" t="e">
        <f ca="1">stat(calculs!AZ226)</f>
        <v>#NAME?</v>
      </c>
      <c r="BA226" s="525" t="e">
        <f ca="1">stat(calculs!BA226)</f>
        <v>#NAME?</v>
      </c>
      <c r="BB226" s="525" t="e">
        <f ca="1">stat(calculs!BB226)</f>
        <v>#NAME?</v>
      </c>
      <c r="BC226" s="525" t="e">
        <f ca="1">stat(calculs!BC226)</f>
        <v>#NAME?</v>
      </c>
      <c r="BD226" s="525" t="e">
        <f ca="1">stat(calculs!BD226)</f>
        <v>#NAME?</v>
      </c>
      <c r="BE226" s="525" t="e">
        <f ca="1">stat(calculs!BE226)</f>
        <v>#NAME?</v>
      </c>
      <c r="BF226" s="525" t="e">
        <f ca="1">stat(calculs!BF226)</f>
        <v>#NAME?</v>
      </c>
      <c r="BG226" s="729" t="e">
        <f ca="1">stat(calculs!BG226)</f>
        <v>#NAME?</v>
      </c>
      <c r="BH226" s="729" t="e">
        <f ca="1">stat(calculs!BH226)</f>
        <v>#NAME?</v>
      </c>
      <c r="BI226" s="729" t="e">
        <f ca="1">stat(calculs!BI226)</f>
        <v>#NAME?</v>
      </c>
      <c r="BJ226" s="729" t="e">
        <f ca="1">stat(calculs!BJ226)</f>
        <v>#NAME?</v>
      </c>
      <c r="BK226" s="729" t="e">
        <f ca="1">stat(calculs!BK226)</f>
        <v>#NAME?</v>
      </c>
      <c r="BL226" s="525" t="e">
        <f ca="1">stat(calculs!BL226)</f>
        <v>#NAME?</v>
      </c>
      <c r="BM226" s="525" t="e">
        <f ca="1">stat(calculs!BM226)</f>
        <v>#NAME?</v>
      </c>
      <c r="BN226" s="525" t="e">
        <f ca="1">stat(calculs!BN226)</f>
        <v>#NAME?</v>
      </c>
      <c r="BO226" s="525" t="e">
        <f ca="1">stat(calculs!BO226)</f>
        <v>#NAME?</v>
      </c>
      <c r="BP226" s="525" t="e">
        <f ca="1">stat(calculs!BP226)</f>
        <v>#NAME?</v>
      </c>
      <c r="BQ226" s="525" t="e">
        <f ca="1">stat(calculs!BQ226)</f>
        <v>#NAME?</v>
      </c>
      <c r="BR226" s="525" t="e">
        <f ca="1">stat(calculs!BR226)</f>
        <v>#NAME?</v>
      </c>
    </row>
    <row r="227" spans="1:70" x14ac:dyDescent="0.2">
      <c r="A227" s="222">
        <f>données_step[[#This Row],[Datum]]</f>
        <v>44778</v>
      </c>
      <c r="B227" s="223"/>
      <c r="C227" s="224">
        <f t="shared" si="3"/>
        <v>6</v>
      </c>
      <c r="D227" s="523" t="e">
        <f ca="1">stat(charge_entree[[#This Row],[ch_E_DBO5]])</f>
        <v>#NAME?</v>
      </c>
      <c r="E227" s="523" t="e">
        <f ca="1">stat(charge_entree[[#This Row],[ch_E_DCO]])</f>
        <v>#NAME?</v>
      </c>
      <c r="F227" s="523" t="e">
        <f ca="1">stat(charge_entree[[#This Row],[ch_E_COT]])</f>
        <v>#NAME?</v>
      </c>
      <c r="G227" s="523" t="e">
        <f ca="1">stat(charge_entree[[#This Row],[ch_E_NH4]])</f>
        <v>#NAME?</v>
      </c>
      <c r="H227" s="523" t="e">
        <f ca="1">stat(charge_entree[[#This Row],[ch_E_NTOT]])</f>
        <v>#NAME?</v>
      </c>
      <c r="I227" s="523" t="e">
        <f ca="1">stat(charge_entree[[#This Row],[ch_E_PTOT]])</f>
        <v>#NAME?</v>
      </c>
      <c r="J227" s="523" t="e">
        <f ca="1">stat(charge_entree[[#This Row],[ch_S_DBO]])</f>
        <v>#NAME?</v>
      </c>
      <c r="K227" s="523" t="e">
        <f ca="1">stat(charge_entree[[#This Row],[ch_S-DCO]])</f>
        <v>#NAME?</v>
      </c>
      <c r="L227" s="523" t="e">
        <f ca="1">stat(charge_entree[[#This Row],[ch_S_DOC]])</f>
        <v>#NAME?</v>
      </c>
      <c r="M227" s="523" t="e">
        <f ca="1">stat(charge_entree[[#This Row],[ch_S_NH4]])</f>
        <v>#NAME?</v>
      </c>
      <c r="N227" s="523" t="e">
        <f ca="1">stat(charge_entree[[#This Row],[ch_S_NO2]])</f>
        <v>#NAME?</v>
      </c>
      <c r="O227" s="523" t="e">
        <f ca="1">stat(charge_entree[[#This Row],[ch_S_NO3]])</f>
        <v>#NAME?</v>
      </c>
      <c r="P227" s="523" t="e">
        <f ca="1">stat(charge_entree[[#This Row],[ch_S_PTOT]])</f>
        <v>#NAME?</v>
      </c>
      <c r="Q227" s="523" t="e">
        <f ca="1">stat(charge_entree[[#This Row],[ch_S_SNDT]])</f>
        <v>#NAME?</v>
      </c>
      <c r="R227" s="523">
        <f>calculs!R227</f>
        <v>0</v>
      </c>
      <c r="S227" s="523" t="e">
        <f ca="1">stat(calculs!S227)</f>
        <v>#NAME?</v>
      </c>
      <c r="T227" s="523" t="e">
        <f ca="1">stat(calculs!T227)</f>
        <v>#NAME?</v>
      </c>
      <c r="U227" s="523" t="e">
        <f ca="1">stat(calculs!U227)</f>
        <v>#NAME?</v>
      </c>
      <c r="V227" s="523" t="e">
        <f ca="1">stat(calculs!V227)</f>
        <v>#NAME?</v>
      </c>
      <c r="W227" s="523" t="e">
        <f ca="1">stat(calculs!W227)</f>
        <v>#NAME?</v>
      </c>
      <c r="X227" s="523" t="e">
        <f ca="1">stat(calculs!X227)</f>
        <v>#NAME?</v>
      </c>
      <c r="Y227" s="523" t="e">
        <f ca="1">stat(calculs!Y227)</f>
        <v>#NAME?</v>
      </c>
      <c r="Z227" s="523" t="e">
        <f ca="1">stat(calculs!Z227)</f>
        <v>#NAME?</v>
      </c>
      <c r="AA227" s="523" t="e">
        <f ca="1">stat(calculs!AA227)</f>
        <v>#NAME?</v>
      </c>
      <c r="AB227" s="523" t="e">
        <f ca="1">stat(calculs!AB227)</f>
        <v>#NAME?</v>
      </c>
      <c r="AC227" s="523" t="e">
        <f ca="1">stat(calculs!AC227)</f>
        <v>#NAME?</v>
      </c>
      <c r="AD227" s="523" t="e">
        <f ca="1">stat(calculs!AD227)</f>
        <v>#NAME?</v>
      </c>
      <c r="AE227" s="523" t="e">
        <f ca="1">stat(calculs!AE227)</f>
        <v>#NAME?</v>
      </c>
      <c r="AF227" s="523" t="e">
        <f ca="1">stat(calculs!AF227)</f>
        <v>#NAME?</v>
      </c>
      <c r="AG227" s="523" t="e">
        <f ca="1">stat(calculs!AG227)</f>
        <v>#NAME?</v>
      </c>
      <c r="AH227" s="523" t="e">
        <f ca="1">stat(calculs!AH227)</f>
        <v>#NAME?</v>
      </c>
      <c r="AI227" s="523" t="e">
        <f ca="1">stat(calculs!AI227)</f>
        <v>#NAME?</v>
      </c>
      <c r="AJ227" s="523" t="e">
        <f ca="1">stat(calculs!AJ227)</f>
        <v>#NAME?</v>
      </c>
      <c r="AK227" s="523" t="e">
        <f ca="1">stat(calculs!AK227)</f>
        <v>#NAME?</v>
      </c>
      <c r="AL227" s="523" t="e">
        <f ca="1">stat(calculs!AL227)</f>
        <v>#NAME?</v>
      </c>
      <c r="AM227" s="523" t="e">
        <f ca="1">stat(calculs!AM227)</f>
        <v>#NAME?</v>
      </c>
      <c r="AN227" s="523" t="e">
        <f ca="1">stat(calculs!AN227)</f>
        <v>#NAME?</v>
      </c>
      <c r="AO227" s="523" t="e">
        <f ca="1">stat(calculs!AO227)</f>
        <v>#NAME?</v>
      </c>
      <c r="AP227" s="523" t="e">
        <f ca="1">stat(calculs!AP227)</f>
        <v>#NAME?</v>
      </c>
      <c r="AQ227" s="523" t="e">
        <f ca="1">stat(calculs!AQ227)</f>
        <v>#NAME?</v>
      </c>
      <c r="AV227" s="525" t="str">
        <f>stat(calculs!AV227)</f>
        <v/>
      </c>
      <c r="AW227" s="525" t="str">
        <f>stat(calculs!AW227)</f>
        <v/>
      </c>
      <c r="AX227" s="525" t="str">
        <f>stat(calculs!AX227)</f>
        <v/>
      </c>
      <c r="AY227" s="525" t="e">
        <f ca="1">stat(calculs!AY227)</f>
        <v>#NAME?</v>
      </c>
      <c r="AZ227" s="525" t="e">
        <f ca="1">stat(calculs!AZ227)</f>
        <v>#NAME?</v>
      </c>
      <c r="BA227" s="525" t="e">
        <f ca="1">stat(calculs!BA227)</f>
        <v>#NAME?</v>
      </c>
      <c r="BB227" s="525" t="e">
        <f ca="1">stat(calculs!BB227)</f>
        <v>#NAME?</v>
      </c>
      <c r="BC227" s="525" t="e">
        <f ca="1">stat(calculs!BC227)</f>
        <v>#NAME?</v>
      </c>
      <c r="BD227" s="525" t="e">
        <f ca="1">stat(calculs!BD227)</f>
        <v>#NAME?</v>
      </c>
      <c r="BE227" s="525" t="e">
        <f ca="1">stat(calculs!BE227)</f>
        <v>#NAME?</v>
      </c>
      <c r="BF227" s="525" t="e">
        <f ca="1">stat(calculs!BF227)</f>
        <v>#NAME?</v>
      </c>
      <c r="BG227" s="729" t="e">
        <f ca="1">stat(calculs!BG227)</f>
        <v>#NAME?</v>
      </c>
      <c r="BH227" s="729" t="e">
        <f ca="1">stat(calculs!BH227)</f>
        <v>#NAME?</v>
      </c>
      <c r="BI227" s="729" t="e">
        <f ca="1">stat(calculs!BI227)</f>
        <v>#NAME?</v>
      </c>
      <c r="BJ227" s="729" t="e">
        <f ca="1">stat(calculs!BJ227)</f>
        <v>#NAME?</v>
      </c>
      <c r="BK227" s="729" t="e">
        <f ca="1">stat(calculs!BK227)</f>
        <v>#NAME?</v>
      </c>
      <c r="BL227" s="525" t="e">
        <f ca="1">stat(calculs!BL227)</f>
        <v>#NAME?</v>
      </c>
      <c r="BM227" s="525" t="e">
        <f ca="1">stat(calculs!BM227)</f>
        <v>#NAME?</v>
      </c>
      <c r="BN227" s="525" t="e">
        <f ca="1">stat(calculs!BN227)</f>
        <v>#NAME?</v>
      </c>
      <c r="BO227" s="525" t="e">
        <f ca="1">stat(calculs!BO227)</f>
        <v>#NAME?</v>
      </c>
      <c r="BP227" s="525" t="e">
        <f ca="1">stat(calculs!BP227)</f>
        <v>#NAME?</v>
      </c>
      <c r="BQ227" s="525" t="e">
        <f ca="1">stat(calculs!BQ227)</f>
        <v>#NAME?</v>
      </c>
      <c r="BR227" s="525" t="e">
        <f ca="1">stat(calculs!BR227)</f>
        <v>#NAME?</v>
      </c>
    </row>
    <row r="228" spans="1:70" x14ac:dyDescent="0.2">
      <c r="A228" s="222">
        <f>données_step[[#This Row],[Datum]]</f>
        <v>44779</v>
      </c>
      <c r="B228" s="223"/>
      <c r="C228" s="224">
        <f t="shared" si="3"/>
        <v>7</v>
      </c>
      <c r="D228" s="523" t="e">
        <f ca="1">stat(charge_entree[[#This Row],[ch_E_DBO5]])</f>
        <v>#NAME?</v>
      </c>
      <c r="E228" s="523" t="e">
        <f ca="1">stat(charge_entree[[#This Row],[ch_E_DCO]])</f>
        <v>#NAME?</v>
      </c>
      <c r="F228" s="523" t="e">
        <f ca="1">stat(charge_entree[[#This Row],[ch_E_COT]])</f>
        <v>#NAME?</v>
      </c>
      <c r="G228" s="523" t="e">
        <f ca="1">stat(charge_entree[[#This Row],[ch_E_NH4]])</f>
        <v>#NAME?</v>
      </c>
      <c r="H228" s="523" t="e">
        <f ca="1">stat(charge_entree[[#This Row],[ch_E_NTOT]])</f>
        <v>#NAME?</v>
      </c>
      <c r="I228" s="523" t="e">
        <f ca="1">stat(charge_entree[[#This Row],[ch_E_PTOT]])</f>
        <v>#NAME?</v>
      </c>
      <c r="J228" s="523" t="e">
        <f ca="1">stat(charge_entree[[#This Row],[ch_S_DBO]])</f>
        <v>#NAME?</v>
      </c>
      <c r="K228" s="523" t="e">
        <f ca="1">stat(charge_entree[[#This Row],[ch_S-DCO]])</f>
        <v>#NAME?</v>
      </c>
      <c r="L228" s="523" t="e">
        <f ca="1">stat(charge_entree[[#This Row],[ch_S_DOC]])</f>
        <v>#NAME?</v>
      </c>
      <c r="M228" s="523" t="e">
        <f ca="1">stat(charge_entree[[#This Row],[ch_S_NH4]])</f>
        <v>#NAME?</v>
      </c>
      <c r="N228" s="523" t="e">
        <f ca="1">stat(charge_entree[[#This Row],[ch_S_NO2]])</f>
        <v>#NAME?</v>
      </c>
      <c r="O228" s="523" t="e">
        <f ca="1">stat(charge_entree[[#This Row],[ch_S_NO3]])</f>
        <v>#NAME?</v>
      </c>
      <c r="P228" s="523" t="e">
        <f ca="1">stat(charge_entree[[#This Row],[ch_S_PTOT]])</f>
        <v>#NAME?</v>
      </c>
      <c r="Q228" s="523" t="e">
        <f ca="1">stat(charge_entree[[#This Row],[ch_S_SNDT]])</f>
        <v>#NAME?</v>
      </c>
      <c r="R228" s="523">
        <f>calculs!R228</f>
        <v>0</v>
      </c>
      <c r="S228" s="523" t="e">
        <f ca="1">stat(calculs!S228)</f>
        <v>#NAME?</v>
      </c>
      <c r="T228" s="523" t="e">
        <f ca="1">stat(calculs!T228)</f>
        <v>#NAME?</v>
      </c>
      <c r="U228" s="523" t="e">
        <f ca="1">stat(calculs!U228)</f>
        <v>#NAME?</v>
      </c>
      <c r="V228" s="523" t="e">
        <f ca="1">stat(calculs!V228)</f>
        <v>#NAME?</v>
      </c>
      <c r="W228" s="523" t="e">
        <f ca="1">stat(calculs!W228)</f>
        <v>#NAME?</v>
      </c>
      <c r="X228" s="523" t="e">
        <f ca="1">stat(calculs!X228)</f>
        <v>#NAME?</v>
      </c>
      <c r="Y228" s="523" t="e">
        <f ca="1">stat(calculs!Y228)</f>
        <v>#NAME?</v>
      </c>
      <c r="Z228" s="523" t="e">
        <f ca="1">stat(calculs!Z228)</f>
        <v>#NAME?</v>
      </c>
      <c r="AA228" s="523" t="e">
        <f ca="1">stat(calculs!AA228)</f>
        <v>#NAME?</v>
      </c>
      <c r="AB228" s="523" t="e">
        <f ca="1">stat(calculs!AB228)</f>
        <v>#NAME?</v>
      </c>
      <c r="AC228" s="523" t="e">
        <f ca="1">stat(calculs!AC228)</f>
        <v>#NAME?</v>
      </c>
      <c r="AD228" s="523" t="e">
        <f ca="1">stat(calculs!AD228)</f>
        <v>#NAME?</v>
      </c>
      <c r="AE228" s="523" t="e">
        <f ca="1">stat(calculs!AE228)</f>
        <v>#NAME?</v>
      </c>
      <c r="AF228" s="523" t="e">
        <f ca="1">stat(calculs!AF228)</f>
        <v>#NAME?</v>
      </c>
      <c r="AG228" s="523" t="e">
        <f ca="1">stat(calculs!AG228)</f>
        <v>#NAME?</v>
      </c>
      <c r="AH228" s="523" t="e">
        <f ca="1">stat(calculs!AH228)</f>
        <v>#NAME?</v>
      </c>
      <c r="AI228" s="523" t="e">
        <f ca="1">stat(calculs!AI228)</f>
        <v>#NAME?</v>
      </c>
      <c r="AJ228" s="523" t="e">
        <f ca="1">stat(calculs!AJ228)</f>
        <v>#NAME?</v>
      </c>
      <c r="AK228" s="523" t="e">
        <f ca="1">stat(calculs!AK228)</f>
        <v>#NAME?</v>
      </c>
      <c r="AL228" s="523" t="e">
        <f ca="1">stat(calculs!AL228)</f>
        <v>#NAME?</v>
      </c>
      <c r="AM228" s="523" t="e">
        <f ca="1">stat(calculs!AM228)</f>
        <v>#NAME?</v>
      </c>
      <c r="AN228" s="523" t="e">
        <f ca="1">stat(calculs!AN228)</f>
        <v>#NAME?</v>
      </c>
      <c r="AO228" s="523" t="e">
        <f ca="1">stat(calculs!AO228)</f>
        <v>#NAME?</v>
      </c>
      <c r="AP228" s="523" t="e">
        <f ca="1">stat(calculs!AP228)</f>
        <v>#NAME?</v>
      </c>
      <c r="AQ228" s="523" t="e">
        <f ca="1">stat(calculs!AQ228)</f>
        <v>#NAME?</v>
      </c>
      <c r="AV228" s="525" t="str">
        <f>stat(calculs!AV228)</f>
        <v/>
      </c>
      <c r="AW228" s="525" t="str">
        <f>stat(calculs!AW228)</f>
        <v/>
      </c>
      <c r="AX228" s="525" t="str">
        <f>stat(calculs!AX228)</f>
        <v/>
      </c>
      <c r="AY228" s="525" t="e">
        <f ca="1">stat(calculs!AY228)</f>
        <v>#NAME?</v>
      </c>
      <c r="AZ228" s="525" t="e">
        <f ca="1">stat(calculs!AZ228)</f>
        <v>#NAME?</v>
      </c>
      <c r="BA228" s="525" t="e">
        <f ca="1">stat(calculs!BA228)</f>
        <v>#NAME?</v>
      </c>
      <c r="BB228" s="525" t="e">
        <f ca="1">stat(calculs!BB228)</f>
        <v>#NAME?</v>
      </c>
      <c r="BC228" s="525" t="e">
        <f ca="1">stat(calculs!BC228)</f>
        <v>#NAME?</v>
      </c>
      <c r="BD228" s="525" t="e">
        <f ca="1">stat(calculs!BD228)</f>
        <v>#NAME?</v>
      </c>
      <c r="BE228" s="525" t="e">
        <f ca="1">stat(calculs!BE228)</f>
        <v>#NAME?</v>
      </c>
      <c r="BF228" s="525" t="e">
        <f ca="1">stat(calculs!BF228)</f>
        <v>#NAME?</v>
      </c>
      <c r="BG228" s="729" t="e">
        <f ca="1">stat(calculs!BG228)</f>
        <v>#NAME?</v>
      </c>
      <c r="BH228" s="729" t="e">
        <f ca="1">stat(calculs!BH228)</f>
        <v>#NAME?</v>
      </c>
      <c r="BI228" s="729" t="e">
        <f ca="1">stat(calculs!BI228)</f>
        <v>#NAME?</v>
      </c>
      <c r="BJ228" s="729" t="e">
        <f ca="1">stat(calculs!BJ228)</f>
        <v>#NAME?</v>
      </c>
      <c r="BK228" s="729" t="e">
        <f ca="1">stat(calculs!BK228)</f>
        <v>#NAME?</v>
      </c>
      <c r="BL228" s="525" t="e">
        <f ca="1">stat(calculs!BL228)</f>
        <v>#NAME?</v>
      </c>
      <c r="BM228" s="525" t="e">
        <f ca="1">stat(calculs!BM228)</f>
        <v>#NAME?</v>
      </c>
      <c r="BN228" s="525" t="e">
        <f ca="1">stat(calculs!BN228)</f>
        <v>#NAME?</v>
      </c>
      <c r="BO228" s="525" t="e">
        <f ca="1">stat(calculs!BO228)</f>
        <v>#NAME?</v>
      </c>
      <c r="BP228" s="525" t="e">
        <f ca="1">stat(calculs!BP228)</f>
        <v>#NAME?</v>
      </c>
      <c r="BQ228" s="525" t="e">
        <f ca="1">stat(calculs!BQ228)</f>
        <v>#NAME?</v>
      </c>
      <c r="BR228" s="525" t="e">
        <f ca="1">stat(calculs!BR228)</f>
        <v>#NAME?</v>
      </c>
    </row>
    <row r="229" spans="1:70" x14ac:dyDescent="0.2">
      <c r="A229" s="222">
        <f>données_step[[#This Row],[Datum]]</f>
        <v>44780</v>
      </c>
      <c r="B229" s="223"/>
      <c r="C229" s="224">
        <f t="shared" si="3"/>
        <v>1</v>
      </c>
      <c r="D229" s="523" t="e">
        <f ca="1">stat(charge_entree[[#This Row],[ch_E_DBO5]])</f>
        <v>#NAME?</v>
      </c>
      <c r="E229" s="523" t="e">
        <f ca="1">stat(charge_entree[[#This Row],[ch_E_DCO]])</f>
        <v>#NAME?</v>
      </c>
      <c r="F229" s="523" t="e">
        <f ca="1">stat(charge_entree[[#This Row],[ch_E_COT]])</f>
        <v>#NAME?</v>
      </c>
      <c r="G229" s="523" t="e">
        <f ca="1">stat(charge_entree[[#This Row],[ch_E_NH4]])</f>
        <v>#NAME?</v>
      </c>
      <c r="H229" s="523" t="e">
        <f ca="1">stat(charge_entree[[#This Row],[ch_E_NTOT]])</f>
        <v>#NAME?</v>
      </c>
      <c r="I229" s="523" t="e">
        <f ca="1">stat(charge_entree[[#This Row],[ch_E_PTOT]])</f>
        <v>#NAME?</v>
      </c>
      <c r="J229" s="523" t="e">
        <f ca="1">stat(charge_entree[[#This Row],[ch_S_DBO]])</f>
        <v>#NAME?</v>
      </c>
      <c r="K229" s="523" t="e">
        <f ca="1">stat(charge_entree[[#This Row],[ch_S-DCO]])</f>
        <v>#NAME?</v>
      </c>
      <c r="L229" s="523" t="e">
        <f ca="1">stat(charge_entree[[#This Row],[ch_S_DOC]])</f>
        <v>#NAME?</v>
      </c>
      <c r="M229" s="523" t="e">
        <f ca="1">stat(charge_entree[[#This Row],[ch_S_NH4]])</f>
        <v>#NAME?</v>
      </c>
      <c r="N229" s="523" t="e">
        <f ca="1">stat(charge_entree[[#This Row],[ch_S_NO2]])</f>
        <v>#NAME?</v>
      </c>
      <c r="O229" s="523" t="e">
        <f ca="1">stat(charge_entree[[#This Row],[ch_S_NO3]])</f>
        <v>#NAME?</v>
      </c>
      <c r="P229" s="523" t="e">
        <f ca="1">stat(charge_entree[[#This Row],[ch_S_PTOT]])</f>
        <v>#NAME?</v>
      </c>
      <c r="Q229" s="523" t="e">
        <f ca="1">stat(charge_entree[[#This Row],[ch_S_SNDT]])</f>
        <v>#NAME?</v>
      </c>
      <c r="R229" s="523">
        <f>calculs!R229</f>
        <v>0</v>
      </c>
      <c r="S229" s="523" t="e">
        <f ca="1">stat(calculs!S229)</f>
        <v>#NAME?</v>
      </c>
      <c r="T229" s="523" t="e">
        <f ca="1">stat(calculs!T229)</f>
        <v>#NAME?</v>
      </c>
      <c r="U229" s="523" t="e">
        <f ca="1">stat(calculs!U229)</f>
        <v>#NAME?</v>
      </c>
      <c r="V229" s="523" t="e">
        <f ca="1">stat(calculs!V229)</f>
        <v>#NAME?</v>
      </c>
      <c r="W229" s="523" t="e">
        <f ca="1">stat(calculs!W229)</f>
        <v>#NAME?</v>
      </c>
      <c r="X229" s="523" t="e">
        <f ca="1">stat(calculs!X229)</f>
        <v>#NAME?</v>
      </c>
      <c r="Y229" s="523" t="e">
        <f ca="1">stat(calculs!Y229)</f>
        <v>#NAME?</v>
      </c>
      <c r="Z229" s="523" t="e">
        <f ca="1">stat(calculs!Z229)</f>
        <v>#NAME?</v>
      </c>
      <c r="AA229" s="523" t="e">
        <f ca="1">stat(calculs!AA229)</f>
        <v>#NAME?</v>
      </c>
      <c r="AB229" s="523" t="e">
        <f ca="1">stat(calculs!AB229)</f>
        <v>#NAME?</v>
      </c>
      <c r="AC229" s="523" t="e">
        <f ca="1">stat(calculs!AC229)</f>
        <v>#NAME?</v>
      </c>
      <c r="AD229" s="523" t="e">
        <f ca="1">stat(calculs!AD229)</f>
        <v>#NAME?</v>
      </c>
      <c r="AE229" s="523" t="e">
        <f ca="1">stat(calculs!AE229)</f>
        <v>#NAME?</v>
      </c>
      <c r="AF229" s="523" t="e">
        <f ca="1">stat(calculs!AF229)</f>
        <v>#NAME?</v>
      </c>
      <c r="AG229" s="523" t="e">
        <f ca="1">stat(calculs!AG229)</f>
        <v>#NAME?</v>
      </c>
      <c r="AH229" s="523" t="e">
        <f ca="1">stat(calculs!AH229)</f>
        <v>#NAME?</v>
      </c>
      <c r="AI229" s="523" t="e">
        <f ca="1">stat(calculs!AI229)</f>
        <v>#NAME?</v>
      </c>
      <c r="AJ229" s="523" t="e">
        <f ca="1">stat(calculs!AJ229)</f>
        <v>#NAME?</v>
      </c>
      <c r="AK229" s="523" t="e">
        <f ca="1">stat(calculs!AK229)</f>
        <v>#NAME?</v>
      </c>
      <c r="AL229" s="523" t="e">
        <f ca="1">stat(calculs!AL229)</f>
        <v>#NAME?</v>
      </c>
      <c r="AM229" s="523" t="e">
        <f ca="1">stat(calculs!AM229)</f>
        <v>#NAME?</v>
      </c>
      <c r="AN229" s="523" t="e">
        <f ca="1">stat(calculs!AN229)</f>
        <v>#NAME?</v>
      </c>
      <c r="AO229" s="523" t="e">
        <f ca="1">stat(calculs!AO229)</f>
        <v>#NAME?</v>
      </c>
      <c r="AP229" s="523" t="e">
        <f ca="1">stat(calculs!AP229)</f>
        <v>#NAME?</v>
      </c>
      <c r="AQ229" s="523" t="e">
        <f ca="1">stat(calculs!AQ229)</f>
        <v>#NAME?</v>
      </c>
      <c r="AV229" s="525" t="str">
        <f>stat(calculs!AV229)</f>
        <v/>
      </c>
      <c r="AW229" s="525" t="str">
        <f>stat(calculs!AW229)</f>
        <v/>
      </c>
      <c r="AX229" s="525" t="str">
        <f>stat(calculs!AX229)</f>
        <v/>
      </c>
      <c r="AY229" s="525" t="e">
        <f ca="1">stat(calculs!AY229)</f>
        <v>#NAME?</v>
      </c>
      <c r="AZ229" s="525" t="e">
        <f ca="1">stat(calculs!AZ229)</f>
        <v>#NAME?</v>
      </c>
      <c r="BA229" s="525" t="e">
        <f ca="1">stat(calculs!BA229)</f>
        <v>#NAME?</v>
      </c>
      <c r="BB229" s="525" t="e">
        <f ca="1">stat(calculs!BB229)</f>
        <v>#NAME?</v>
      </c>
      <c r="BC229" s="525" t="e">
        <f ca="1">stat(calculs!BC229)</f>
        <v>#NAME?</v>
      </c>
      <c r="BD229" s="525" t="e">
        <f ca="1">stat(calculs!BD229)</f>
        <v>#NAME?</v>
      </c>
      <c r="BE229" s="525" t="e">
        <f ca="1">stat(calculs!BE229)</f>
        <v>#NAME?</v>
      </c>
      <c r="BF229" s="525" t="e">
        <f ca="1">stat(calculs!BF229)</f>
        <v>#NAME?</v>
      </c>
      <c r="BG229" s="729" t="e">
        <f ca="1">stat(calculs!BG229)</f>
        <v>#NAME?</v>
      </c>
      <c r="BH229" s="729" t="e">
        <f ca="1">stat(calculs!BH229)</f>
        <v>#NAME?</v>
      </c>
      <c r="BI229" s="729" t="e">
        <f ca="1">stat(calculs!BI229)</f>
        <v>#NAME?</v>
      </c>
      <c r="BJ229" s="729" t="e">
        <f ca="1">stat(calculs!BJ229)</f>
        <v>#NAME?</v>
      </c>
      <c r="BK229" s="729" t="e">
        <f ca="1">stat(calculs!BK229)</f>
        <v>#NAME?</v>
      </c>
      <c r="BL229" s="525" t="e">
        <f ca="1">stat(calculs!BL229)</f>
        <v>#NAME?</v>
      </c>
      <c r="BM229" s="525" t="e">
        <f ca="1">stat(calculs!BM229)</f>
        <v>#NAME?</v>
      </c>
      <c r="BN229" s="525" t="e">
        <f ca="1">stat(calculs!BN229)</f>
        <v>#NAME?</v>
      </c>
      <c r="BO229" s="525" t="e">
        <f ca="1">stat(calculs!BO229)</f>
        <v>#NAME?</v>
      </c>
      <c r="BP229" s="525" t="e">
        <f ca="1">stat(calculs!BP229)</f>
        <v>#NAME?</v>
      </c>
      <c r="BQ229" s="525" t="e">
        <f ca="1">stat(calculs!BQ229)</f>
        <v>#NAME?</v>
      </c>
      <c r="BR229" s="525" t="e">
        <f ca="1">stat(calculs!BR229)</f>
        <v>#NAME?</v>
      </c>
    </row>
    <row r="230" spans="1:70" x14ac:dyDescent="0.2">
      <c r="A230" s="222">
        <f>données_step[[#This Row],[Datum]]</f>
        <v>44781</v>
      </c>
      <c r="B230" s="223"/>
      <c r="C230" s="224">
        <f t="shared" si="3"/>
        <v>2</v>
      </c>
      <c r="D230" s="523" t="e">
        <f ca="1">stat(charge_entree[[#This Row],[ch_E_DBO5]])</f>
        <v>#NAME?</v>
      </c>
      <c r="E230" s="523" t="e">
        <f ca="1">stat(charge_entree[[#This Row],[ch_E_DCO]])</f>
        <v>#NAME?</v>
      </c>
      <c r="F230" s="523" t="e">
        <f ca="1">stat(charge_entree[[#This Row],[ch_E_COT]])</f>
        <v>#NAME?</v>
      </c>
      <c r="G230" s="523" t="e">
        <f ca="1">stat(charge_entree[[#This Row],[ch_E_NH4]])</f>
        <v>#NAME?</v>
      </c>
      <c r="H230" s="523" t="e">
        <f ca="1">stat(charge_entree[[#This Row],[ch_E_NTOT]])</f>
        <v>#NAME?</v>
      </c>
      <c r="I230" s="523" t="e">
        <f ca="1">stat(charge_entree[[#This Row],[ch_E_PTOT]])</f>
        <v>#NAME?</v>
      </c>
      <c r="J230" s="523" t="e">
        <f ca="1">stat(charge_entree[[#This Row],[ch_S_DBO]])</f>
        <v>#NAME?</v>
      </c>
      <c r="K230" s="523" t="e">
        <f ca="1">stat(charge_entree[[#This Row],[ch_S-DCO]])</f>
        <v>#NAME?</v>
      </c>
      <c r="L230" s="523" t="e">
        <f ca="1">stat(charge_entree[[#This Row],[ch_S_DOC]])</f>
        <v>#NAME?</v>
      </c>
      <c r="M230" s="523" t="e">
        <f ca="1">stat(charge_entree[[#This Row],[ch_S_NH4]])</f>
        <v>#NAME?</v>
      </c>
      <c r="N230" s="523" t="e">
        <f ca="1">stat(charge_entree[[#This Row],[ch_S_NO2]])</f>
        <v>#NAME?</v>
      </c>
      <c r="O230" s="523" t="e">
        <f ca="1">stat(charge_entree[[#This Row],[ch_S_NO3]])</f>
        <v>#NAME?</v>
      </c>
      <c r="P230" s="523" t="e">
        <f ca="1">stat(charge_entree[[#This Row],[ch_S_PTOT]])</f>
        <v>#NAME?</v>
      </c>
      <c r="Q230" s="523" t="e">
        <f ca="1">stat(charge_entree[[#This Row],[ch_S_SNDT]])</f>
        <v>#NAME?</v>
      </c>
      <c r="R230" s="523">
        <f>calculs!R230</f>
        <v>0</v>
      </c>
      <c r="S230" s="523" t="e">
        <f ca="1">stat(calculs!S230)</f>
        <v>#NAME?</v>
      </c>
      <c r="T230" s="523" t="e">
        <f ca="1">stat(calculs!T230)</f>
        <v>#NAME?</v>
      </c>
      <c r="U230" s="523" t="e">
        <f ca="1">stat(calculs!U230)</f>
        <v>#NAME?</v>
      </c>
      <c r="V230" s="523" t="e">
        <f ca="1">stat(calculs!V230)</f>
        <v>#NAME?</v>
      </c>
      <c r="W230" s="523" t="e">
        <f ca="1">stat(calculs!W230)</f>
        <v>#NAME?</v>
      </c>
      <c r="X230" s="523" t="e">
        <f ca="1">stat(calculs!X230)</f>
        <v>#NAME?</v>
      </c>
      <c r="Y230" s="523" t="e">
        <f ca="1">stat(calculs!Y230)</f>
        <v>#NAME?</v>
      </c>
      <c r="Z230" s="523" t="e">
        <f ca="1">stat(calculs!Z230)</f>
        <v>#NAME?</v>
      </c>
      <c r="AA230" s="523" t="e">
        <f ca="1">stat(calculs!AA230)</f>
        <v>#NAME?</v>
      </c>
      <c r="AB230" s="523" t="e">
        <f ca="1">stat(calculs!AB230)</f>
        <v>#NAME?</v>
      </c>
      <c r="AC230" s="523" t="e">
        <f ca="1">stat(calculs!AC230)</f>
        <v>#NAME?</v>
      </c>
      <c r="AD230" s="523" t="e">
        <f ca="1">stat(calculs!AD230)</f>
        <v>#NAME?</v>
      </c>
      <c r="AE230" s="523" t="e">
        <f ca="1">stat(calculs!AE230)</f>
        <v>#NAME?</v>
      </c>
      <c r="AF230" s="523" t="e">
        <f ca="1">stat(calculs!AF230)</f>
        <v>#NAME?</v>
      </c>
      <c r="AG230" s="523" t="e">
        <f ca="1">stat(calculs!AG230)</f>
        <v>#NAME?</v>
      </c>
      <c r="AH230" s="523" t="e">
        <f ca="1">stat(calculs!AH230)</f>
        <v>#NAME?</v>
      </c>
      <c r="AI230" s="523" t="e">
        <f ca="1">stat(calculs!AI230)</f>
        <v>#NAME?</v>
      </c>
      <c r="AJ230" s="523" t="e">
        <f ca="1">stat(calculs!AJ230)</f>
        <v>#NAME?</v>
      </c>
      <c r="AK230" s="523" t="e">
        <f ca="1">stat(calculs!AK230)</f>
        <v>#NAME?</v>
      </c>
      <c r="AL230" s="523" t="e">
        <f ca="1">stat(calculs!AL230)</f>
        <v>#NAME?</v>
      </c>
      <c r="AM230" s="523" t="e">
        <f ca="1">stat(calculs!AM230)</f>
        <v>#NAME?</v>
      </c>
      <c r="AN230" s="523" t="e">
        <f ca="1">stat(calculs!AN230)</f>
        <v>#NAME?</v>
      </c>
      <c r="AO230" s="523" t="e">
        <f ca="1">stat(calculs!AO230)</f>
        <v>#NAME?</v>
      </c>
      <c r="AP230" s="523" t="e">
        <f ca="1">stat(calculs!AP230)</f>
        <v>#NAME?</v>
      </c>
      <c r="AQ230" s="523" t="e">
        <f ca="1">stat(calculs!AQ230)</f>
        <v>#NAME?</v>
      </c>
      <c r="AV230" s="525" t="str">
        <f>stat(calculs!AV230)</f>
        <v/>
      </c>
      <c r="AW230" s="525" t="str">
        <f>stat(calculs!AW230)</f>
        <v/>
      </c>
      <c r="AX230" s="525" t="str">
        <f>stat(calculs!AX230)</f>
        <v/>
      </c>
      <c r="AY230" s="525" t="e">
        <f ca="1">stat(calculs!AY230)</f>
        <v>#NAME?</v>
      </c>
      <c r="AZ230" s="525" t="e">
        <f ca="1">stat(calculs!AZ230)</f>
        <v>#NAME?</v>
      </c>
      <c r="BA230" s="525" t="e">
        <f ca="1">stat(calculs!BA230)</f>
        <v>#NAME?</v>
      </c>
      <c r="BB230" s="525" t="e">
        <f ca="1">stat(calculs!BB230)</f>
        <v>#NAME?</v>
      </c>
      <c r="BC230" s="525" t="e">
        <f ca="1">stat(calculs!BC230)</f>
        <v>#NAME?</v>
      </c>
      <c r="BD230" s="525" t="e">
        <f ca="1">stat(calculs!BD230)</f>
        <v>#NAME?</v>
      </c>
      <c r="BE230" s="525" t="e">
        <f ca="1">stat(calculs!BE230)</f>
        <v>#NAME?</v>
      </c>
      <c r="BF230" s="525" t="e">
        <f ca="1">stat(calculs!BF230)</f>
        <v>#NAME?</v>
      </c>
      <c r="BG230" s="729" t="e">
        <f ca="1">stat(calculs!BG230)</f>
        <v>#NAME?</v>
      </c>
      <c r="BH230" s="729" t="e">
        <f ca="1">stat(calculs!BH230)</f>
        <v>#NAME?</v>
      </c>
      <c r="BI230" s="729" t="e">
        <f ca="1">stat(calculs!BI230)</f>
        <v>#NAME?</v>
      </c>
      <c r="BJ230" s="729" t="e">
        <f ca="1">stat(calculs!BJ230)</f>
        <v>#NAME?</v>
      </c>
      <c r="BK230" s="729" t="e">
        <f ca="1">stat(calculs!BK230)</f>
        <v>#NAME?</v>
      </c>
      <c r="BL230" s="525" t="e">
        <f ca="1">stat(calculs!BL230)</f>
        <v>#NAME?</v>
      </c>
      <c r="BM230" s="525" t="e">
        <f ca="1">stat(calculs!BM230)</f>
        <v>#NAME?</v>
      </c>
      <c r="BN230" s="525" t="e">
        <f ca="1">stat(calculs!BN230)</f>
        <v>#NAME?</v>
      </c>
      <c r="BO230" s="525" t="e">
        <f ca="1">stat(calculs!BO230)</f>
        <v>#NAME?</v>
      </c>
      <c r="BP230" s="525" t="e">
        <f ca="1">stat(calculs!BP230)</f>
        <v>#NAME?</v>
      </c>
      <c r="BQ230" s="525" t="e">
        <f ca="1">stat(calculs!BQ230)</f>
        <v>#NAME?</v>
      </c>
      <c r="BR230" s="525" t="e">
        <f ca="1">stat(calculs!BR230)</f>
        <v>#NAME?</v>
      </c>
    </row>
    <row r="231" spans="1:70" x14ac:dyDescent="0.2">
      <c r="A231" s="222">
        <f>données_step[[#This Row],[Datum]]</f>
        <v>44782</v>
      </c>
      <c r="B231" s="223"/>
      <c r="C231" s="224">
        <f t="shared" si="3"/>
        <v>3</v>
      </c>
      <c r="D231" s="523" t="e">
        <f ca="1">stat(charge_entree[[#This Row],[ch_E_DBO5]])</f>
        <v>#NAME?</v>
      </c>
      <c r="E231" s="523" t="e">
        <f ca="1">stat(charge_entree[[#This Row],[ch_E_DCO]])</f>
        <v>#NAME?</v>
      </c>
      <c r="F231" s="523" t="e">
        <f ca="1">stat(charge_entree[[#This Row],[ch_E_COT]])</f>
        <v>#NAME?</v>
      </c>
      <c r="G231" s="523" t="e">
        <f ca="1">stat(charge_entree[[#This Row],[ch_E_NH4]])</f>
        <v>#NAME?</v>
      </c>
      <c r="H231" s="523" t="e">
        <f ca="1">stat(charge_entree[[#This Row],[ch_E_NTOT]])</f>
        <v>#NAME?</v>
      </c>
      <c r="I231" s="523" t="e">
        <f ca="1">stat(charge_entree[[#This Row],[ch_E_PTOT]])</f>
        <v>#NAME?</v>
      </c>
      <c r="J231" s="523" t="e">
        <f ca="1">stat(charge_entree[[#This Row],[ch_S_DBO]])</f>
        <v>#NAME?</v>
      </c>
      <c r="K231" s="523" t="e">
        <f ca="1">stat(charge_entree[[#This Row],[ch_S-DCO]])</f>
        <v>#NAME?</v>
      </c>
      <c r="L231" s="523" t="e">
        <f ca="1">stat(charge_entree[[#This Row],[ch_S_DOC]])</f>
        <v>#NAME?</v>
      </c>
      <c r="M231" s="523" t="e">
        <f ca="1">stat(charge_entree[[#This Row],[ch_S_NH4]])</f>
        <v>#NAME?</v>
      </c>
      <c r="N231" s="523" t="e">
        <f ca="1">stat(charge_entree[[#This Row],[ch_S_NO2]])</f>
        <v>#NAME?</v>
      </c>
      <c r="O231" s="523" t="e">
        <f ca="1">stat(charge_entree[[#This Row],[ch_S_NO3]])</f>
        <v>#NAME?</v>
      </c>
      <c r="P231" s="523" t="e">
        <f ca="1">stat(charge_entree[[#This Row],[ch_S_PTOT]])</f>
        <v>#NAME?</v>
      </c>
      <c r="Q231" s="523" t="e">
        <f ca="1">stat(charge_entree[[#This Row],[ch_S_SNDT]])</f>
        <v>#NAME?</v>
      </c>
      <c r="R231" s="523">
        <f>calculs!R231</f>
        <v>0</v>
      </c>
      <c r="S231" s="523" t="e">
        <f ca="1">stat(calculs!S231)</f>
        <v>#NAME?</v>
      </c>
      <c r="T231" s="523" t="e">
        <f ca="1">stat(calculs!T231)</f>
        <v>#NAME?</v>
      </c>
      <c r="U231" s="523" t="e">
        <f ca="1">stat(calculs!U231)</f>
        <v>#NAME?</v>
      </c>
      <c r="V231" s="523" t="e">
        <f ca="1">stat(calculs!V231)</f>
        <v>#NAME?</v>
      </c>
      <c r="W231" s="523" t="e">
        <f ca="1">stat(calculs!W231)</f>
        <v>#NAME?</v>
      </c>
      <c r="X231" s="523" t="e">
        <f ca="1">stat(calculs!X231)</f>
        <v>#NAME?</v>
      </c>
      <c r="Y231" s="523" t="e">
        <f ca="1">stat(calculs!Y231)</f>
        <v>#NAME?</v>
      </c>
      <c r="Z231" s="523" t="e">
        <f ca="1">stat(calculs!Z231)</f>
        <v>#NAME?</v>
      </c>
      <c r="AA231" s="523" t="e">
        <f ca="1">stat(calculs!AA231)</f>
        <v>#NAME?</v>
      </c>
      <c r="AB231" s="523" t="e">
        <f ca="1">stat(calculs!AB231)</f>
        <v>#NAME?</v>
      </c>
      <c r="AC231" s="523" t="e">
        <f ca="1">stat(calculs!AC231)</f>
        <v>#NAME?</v>
      </c>
      <c r="AD231" s="523" t="e">
        <f ca="1">stat(calculs!AD231)</f>
        <v>#NAME?</v>
      </c>
      <c r="AE231" s="523" t="e">
        <f ca="1">stat(calculs!AE231)</f>
        <v>#NAME?</v>
      </c>
      <c r="AF231" s="523" t="e">
        <f ca="1">stat(calculs!AF231)</f>
        <v>#NAME?</v>
      </c>
      <c r="AG231" s="523" t="e">
        <f ca="1">stat(calculs!AG231)</f>
        <v>#NAME?</v>
      </c>
      <c r="AH231" s="523" t="e">
        <f ca="1">stat(calculs!AH231)</f>
        <v>#NAME?</v>
      </c>
      <c r="AI231" s="523" t="e">
        <f ca="1">stat(calculs!AI231)</f>
        <v>#NAME?</v>
      </c>
      <c r="AJ231" s="523" t="e">
        <f ca="1">stat(calculs!AJ231)</f>
        <v>#NAME?</v>
      </c>
      <c r="AK231" s="523" t="e">
        <f ca="1">stat(calculs!AK231)</f>
        <v>#NAME?</v>
      </c>
      <c r="AL231" s="523" t="e">
        <f ca="1">stat(calculs!AL231)</f>
        <v>#NAME?</v>
      </c>
      <c r="AM231" s="523" t="e">
        <f ca="1">stat(calculs!AM231)</f>
        <v>#NAME?</v>
      </c>
      <c r="AN231" s="523" t="e">
        <f ca="1">stat(calculs!AN231)</f>
        <v>#NAME?</v>
      </c>
      <c r="AO231" s="523" t="e">
        <f ca="1">stat(calculs!AO231)</f>
        <v>#NAME?</v>
      </c>
      <c r="AP231" s="523" t="e">
        <f ca="1">stat(calculs!AP231)</f>
        <v>#NAME?</v>
      </c>
      <c r="AQ231" s="523" t="e">
        <f ca="1">stat(calculs!AQ231)</f>
        <v>#NAME?</v>
      </c>
      <c r="AV231" s="525" t="str">
        <f>stat(calculs!AV231)</f>
        <v/>
      </c>
      <c r="AW231" s="525" t="str">
        <f>stat(calculs!AW231)</f>
        <v/>
      </c>
      <c r="AX231" s="525" t="str">
        <f>stat(calculs!AX231)</f>
        <v/>
      </c>
      <c r="AY231" s="525" t="e">
        <f ca="1">stat(calculs!AY231)</f>
        <v>#NAME?</v>
      </c>
      <c r="AZ231" s="525" t="e">
        <f ca="1">stat(calculs!AZ231)</f>
        <v>#NAME?</v>
      </c>
      <c r="BA231" s="525" t="e">
        <f ca="1">stat(calculs!BA231)</f>
        <v>#NAME?</v>
      </c>
      <c r="BB231" s="525" t="e">
        <f ca="1">stat(calculs!BB231)</f>
        <v>#NAME?</v>
      </c>
      <c r="BC231" s="525" t="e">
        <f ca="1">stat(calculs!BC231)</f>
        <v>#NAME?</v>
      </c>
      <c r="BD231" s="525" t="e">
        <f ca="1">stat(calculs!BD231)</f>
        <v>#NAME?</v>
      </c>
      <c r="BE231" s="525" t="e">
        <f ca="1">stat(calculs!BE231)</f>
        <v>#NAME?</v>
      </c>
      <c r="BF231" s="525" t="e">
        <f ca="1">stat(calculs!BF231)</f>
        <v>#NAME?</v>
      </c>
      <c r="BG231" s="729" t="e">
        <f ca="1">stat(calculs!BG231)</f>
        <v>#NAME?</v>
      </c>
      <c r="BH231" s="729" t="e">
        <f ca="1">stat(calculs!BH231)</f>
        <v>#NAME?</v>
      </c>
      <c r="BI231" s="729" t="e">
        <f ca="1">stat(calculs!BI231)</f>
        <v>#NAME?</v>
      </c>
      <c r="BJ231" s="729" t="e">
        <f ca="1">stat(calculs!BJ231)</f>
        <v>#NAME?</v>
      </c>
      <c r="BK231" s="729" t="e">
        <f ca="1">stat(calculs!BK231)</f>
        <v>#NAME?</v>
      </c>
      <c r="BL231" s="525" t="e">
        <f ca="1">stat(calculs!BL231)</f>
        <v>#NAME?</v>
      </c>
      <c r="BM231" s="525" t="e">
        <f ca="1">stat(calculs!BM231)</f>
        <v>#NAME?</v>
      </c>
      <c r="BN231" s="525" t="e">
        <f ca="1">stat(calculs!BN231)</f>
        <v>#NAME?</v>
      </c>
      <c r="BO231" s="525" t="e">
        <f ca="1">stat(calculs!BO231)</f>
        <v>#NAME?</v>
      </c>
      <c r="BP231" s="525" t="e">
        <f ca="1">stat(calculs!BP231)</f>
        <v>#NAME?</v>
      </c>
      <c r="BQ231" s="525" t="e">
        <f ca="1">stat(calculs!BQ231)</f>
        <v>#NAME?</v>
      </c>
      <c r="BR231" s="525" t="e">
        <f ca="1">stat(calculs!BR231)</f>
        <v>#NAME?</v>
      </c>
    </row>
    <row r="232" spans="1:70" x14ac:dyDescent="0.2">
      <c r="A232" s="222">
        <f>données_step[[#This Row],[Datum]]</f>
        <v>44783</v>
      </c>
      <c r="B232" s="223"/>
      <c r="C232" s="224">
        <f t="shared" si="3"/>
        <v>4</v>
      </c>
      <c r="D232" s="523" t="e">
        <f ca="1">stat(charge_entree[[#This Row],[ch_E_DBO5]])</f>
        <v>#NAME?</v>
      </c>
      <c r="E232" s="523" t="e">
        <f ca="1">stat(charge_entree[[#This Row],[ch_E_DCO]])</f>
        <v>#NAME?</v>
      </c>
      <c r="F232" s="523" t="e">
        <f ca="1">stat(charge_entree[[#This Row],[ch_E_COT]])</f>
        <v>#NAME?</v>
      </c>
      <c r="G232" s="523" t="e">
        <f ca="1">stat(charge_entree[[#This Row],[ch_E_NH4]])</f>
        <v>#NAME?</v>
      </c>
      <c r="H232" s="523" t="e">
        <f ca="1">stat(charge_entree[[#This Row],[ch_E_NTOT]])</f>
        <v>#NAME?</v>
      </c>
      <c r="I232" s="523" t="e">
        <f ca="1">stat(charge_entree[[#This Row],[ch_E_PTOT]])</f>
        <v>#NAME?</v>
      </c>
      <c r="J232" s="523" t="e">
        <f ca="1">stat(charge_entree[[#This Row],[ch_S_DBO]])</f>
        <v>#NAME?</v>
      </c>
      <c r="K232" s="523" t="e">
        <f ca="1">stat(charge_entree[[#This Row],[ch_S-DCO]])</f>
        <v>#NAME?</v>
      </c>
      <c r="L232" s="523" t="e">
        <f ca="1">stat(charge_entree[[#This Row],[ch_S_DOC]])</f>
        <v>#NAME?</v>
      </c>
      <c r="M232" s="523" t="e">
        <f ca="1">stat(charge_entree[[#This Row],[ch_S_NH4]])</f>
        <v>#NAME?</v>
      </c>
      <c r="N232" s="523" t="e">
        <f ca="1">stat(charge_entree[[#This Row],[ch_S_NO2]])</f>
        <v>#NAME?</v>
      </c>
      <c r="O232" s="523" t="e">
        <f ca="1">stat(charge_entree[[#This Row],[ch_S_NO3]])</f>
        <v>#NAME?</v>
      </c>
      <c r="P232" s="523" t="e">
        <f ca="1">stat(charge_entree[[#This Row],[ch_S_PTOT]])</f>
        <v>#NAME?</v>
      </c>
      <c r="Q232" s="523" t="e">
        <f ca="1">stat(charge_entree[[#This Row],[ch_S_SNDT]])</f>
        <v>#NAME?</v>
      </c>
      <c r="R232" s="523">
        <f>calculs!R232</f>
        <v>0</v>
      </c>
      <c r="S232" s="523" t="e">
        <f ca="1">stat(calculs!S232)</f>
        <v>#NAME?</v>
      </c>
      <c r="T232" s="523" t="e">
        <f ca="1">stat(calculs!T232)</f>
        <v>#NAME?</v>
      </c>
      <c r="U232" s="523" t="e">
        <f ca="1">stat(calculs!U232)</f>
        <v>#NAME?</v>
      </c>
      <c r="V232" s="523" t="e">
        <f ca="1">stat(calculs!V232)</f>
        <v>#NAME?</v>
      </c>
      <c r="W232" s="523" t="e">
        <f ca="1">stat(calculs!W232)</f>
        <v>#NAME?</v>
      </c>
      <c r="X232" s="523" t="e">
        <f ca="1">stat(calculs!X232)</f>
        <v>#NAME?</v>
      </c>
      <c r="Y232" s="523" t="e">
        <f ca="1">stat(calculs!Y232)</f>
        <v>#NAME?</v>
      </c>
      <c r="Z232" s="523" t="e">
        <f ca="1">stat(calculs!Z232)</f>
        <v>#NAME?</v>
      </c>
      <c r="AA232" s="523" t="e">
        <f ca="1">stat(calculs!AA232)</f>
        <v>#NAME?</v>
      </c>
      <c r="AB232" s="523" t="e">
        <f ca="1">stat(calculs!AB232)</f>
        <v>#NAME?</v>
      </c>
      <c r="AC232" s="523" t="e">
        <f ca="1">stat(calculs!AC232)</f>
        <v>#NAME?</v>
      </c>
      <c r="AD232" s="523" t="e">
        <f ca="1">stat(calculs!AD232)</f>
        <v>#NAME?</v>
      </c>
      <c r="AE232" s="523" t="e">
        <f ca="1">stat(calculs!AE232)</f>
        <v>#NAME?</v>
      </c>
      <c r="AF232" s="523" t="e">
        <f ca="1">stat(calculs!AF232)</f>
        <v>#NAME?</v>
      </c>
      <c r="AG232" s="523" t="e">
        <f ca="1">stat(calculs!AG232)</f>
        <v>#NAME?</v>
      </c>
      <c r="AH232" s="523" t="e">
        <f ca="1">stat(calculs!AH232)</f>
        <v>#NAME?</v>
      </c>
      <c r="AI232" s="523" t="e">
        <f ca="1">stat(calculs!AI232)</f>
        <v>#NAME?</v>
      </c>
      <c r="AJ232" s="523" t="e">
        <f ca="1">stat(calculs!AJ232)</f>
        <v>#NAME?</v>
      </c>
      <c r="AK232" s="523" t="e">
        <f ca="1">stat(calculs!AK232)</f>
        <v>#NAME?</v>
      </c>
      <c r="AL232" s="523" t="e">
        <f ca="1">stat(calculs!AL232)</f>
        <v>#NAME?</v>
      </c>
      <c r="AM232" s="523" t="e">
        <f ca="1">stat(calculs!AM232)</f>
        <v>#NAME?</v>
      </c>
      <c r="AN232" s="523" t="e">
        <f ca="1">stat(calculs!AN232)</f>
        <v>#NAME?</v>
      </c>
      <c r="AO232" s="523" t="e">
        <f ca="1">stat(calculs!AO232)</f>
        <v>#NAME?</v>
      </c>
      <c r="AP232" s="523" t="e">
        <f ca="1">stat(calculs!AP232)</f>
        <v>#NAME?</v>
      </c>
      <c r="AQ232" s="523" t="e">
        <f ca="1">stat(calculs!AQ232)</f>
        <v>#NAME?</v>
      </c>
      <c r="AV232" s="525" t="str">
        <f>stat(calculs!AV232)</f>
        <v/>
      </c>
      <c r="AW232" s="525" t="str">
        <f>stat(calculs!AW232)</f>
        <v/>
      </c>
      <c r="AX232" s="525" t="str">
        <f>stat(calculs!AX232)</f>
        <v/>
      </c>
      <c r="AY232" s="525" t="e">
        <f ca="1">stat(calculs!AY232)</f>
        <v>#NAME?</v>
      </c>
      <c r="AZ232" s="525" t="e">
        <f ca="1">stat(calculs!AZ232)</f>
        <v>#NAME?</v>
      </c>
      <c r="BA232" s="525" t="e">
        <f ca="1">stat(calculs!BA232)</f>
        <v>#NAME?</v>
      </c>
      <c r="BB232" s="525" t="e">
        <f ca="1">stat(calculs!BB232)</f>
        <v>#NAME?</v>
      </c>
      <c r="BC232" s="525" t="e">
        <f ca="1">stat(calculs!BC232)</f>
        <v>#NAME?</v>
      </c>
      <c r="BD232" s="525" t="e">
        <f ca="1">stat(calculs!BD232)</f>
        <v>#NAME?</v>
      </c>
      <c r="BE232" s="525" t="e">
        <f ca="1">stat(calculs!BE232)</f>
        <v>#NAME?</v>
      </c>
      <c r="BF232" s="525" t="e">
        <f ca="1">stat(calculs!BF232)</f>
        <v>#NAME?</v>
      </c>
      <c r="BG232" s="729" t="e">
        <f ca="1">stat(calculs!BG232)</f>
        <v>#NAME?</v>
      </c>
      <c r="BH232" s="729" t="e">
        <f ca="1">stat(calculs!BH232)</f>
        <v>#NAME?</v>
      </c>
      <c r="BI232" s="729" t="e">
        <f ca="1">stat(calculs!BI232)</f>
        <v>#NAME?</v>
      </c>
      <c r="BJ232" s="729" t="e">
        <f ca="1">stat(calculs!BJ232)</f>
        <v>#NAME?</v>
      </c>
      <c r="BK232" s="729" t="e">
        <f ca="1">stat(calculs!BK232)</f>
        <v>#NAME?</v>
      </c>
      <c r="BL232" s="525" t="e">
        <f ca="1">stat(calculs!BL232)</f>
        <v>#NAME?</v>
      </c>
      <c r="BM232" s="525" t="e">
        <f ca="1">stat(calculs!BM232)</f>
        <v>#NAME?</v>
      </c>
      <c r="BN232" s="525" t="e">
        <f ca="1">stat(calculs!BN232)</f>
        <v>#NAME?</v>
      </c>
      <c r="BO232" s="525" t="e">
        <f ca="1">stat(calculs!BO232)</f>
        <v>#NAME?</v>
      </c>
      <c r="BP232" s="525" t="e">
        <f ca="1">stat(calculs!BP232)</f>
        <v>#NAME?</v>
      </c>
      <c r="BQ232" s="525" t="e">
        <f ca="1">stat(calculs!BQ232)</f>
        <v>#NAME?</v>
      </c>
      <c r="BR232" s="525" t="e">
        <f ca="1">stat(calculs!BR232)</f>
        <v>#NAME?</v>
      </c>
    </row>
    <row r="233" spans="1:70" x14ac:dyDescent="0.2">
      <c r="A233" s="222">
        <f>données_step[[#This Row],[Datum]]</f>
        <v>44784</v>
      </c>
      <c r="B233" s="223"/>
      <c r="C233" s="224">
        <f t="shared" si="3"/>
        <v>5</v>
      </c>
      <c r="D233" s="523" t="e">
        <f ca="1">stat(charge_entree[[#This Row],[ch_E_DBO5]])</f>
        <v>#NAME?</v>
      </c>
      <c r="E233" s="523" t="e">
        <f ca="1">stat(charge_entree[[#This Row],[ch_E_DCO]])</f>
        <v>#NAME?</v>
      </c>
      <c r="F233" s="523" t="e">
        <f ca="1">stat(charge_entree[[#This Row],[ch_E_COT]])</f>
        <v>#NAME?</v>
      </c>
      <c r="G233" s="523" t="e">
        <f ca="1">stat(charge_entree[[#This Row],[ch_E_NH4]])</f>
        <v>#NAME?</v>
      </c>
      <c r="H233" s="523" t="e">
        <f ca="1">stat(charge_entree[[#This Row],[ch_E_NTOT]])</f>
        <v>#NAME?</v>
      </c>
      <c r="I233" s="523" t="e">
        <f ca="1">stat(charge_entree[[#This Row],[ch_E_PTOT]])</f>
        <v>#NAME?</v>
      </c>
      <c r="J233" s="523" t="e">
        <f ca="1">stat(charge_entree[[#This Row],[ch_S_DBO]])</f>
        <v>#NAME?</v>
      </c>
      <c r="K233" s="523" t="e">
        <f ca="1">stat(charge_entree[[#This Row],[ch_S-DCO]])</f>
        <v>#NAME?</v>
      </c>
      <c r="L233" s="523" t="e">
        <f ca="1">stat(charge_entree[[#This Row],[ch_S_DOC]])</f>
        <v>#NAME?</v>
      </c>
      <c r="M233" s="523" t="e">
        <f ca="1">stat(charge_entree[[#This Row],[ch_S_NH4]])</f>
        <v>#NAME?</v>
      </c>
      <c r="N233" s="523" t="e">
        <f ca="1">stat(charge_entree[[#This Row],[ch_S_NO2]])</f>
        <v>#NAME?</v>
      </c>
      <c r="O233" s="523" t="e">
        <f ca="1">stat(charge_entree[[#This Row],[ch_S_NO3]])</f>
        <v>#NAME?</v>
      </c>
      <c r="P233" s="523" t="e">
        <f ca="1">stat(charge_entree[[#This Row],[ch_S_PTOT]])</f>
        <v>#NAME?</v>
      </c>
      <c r="Q233" s="523" t="e">
        <f ca="1">stat(charge_entree[[#This Row],[ch_S_SNDT]])</f>
        <v>#NAME?</v>
      </c>
      <c r="R233" s="523">
        <f>calculs!R233</f>
        <v>0</v>
      </c>
      <c r="S233" s="523" t="e">
        <f ca="1">stat(calculs!S233)</f>
        <v>#NAME?</v>
      </c>
      <c r="T233" s="523" t="e">
        <f ca="1">stat(calculs!T233)</f>
        <v>#NAME?</v>
      </c>
      <c r="U233" s="523" t="e">
        <f ca="1">stat(calculs!U233)</f>
        <v>#NAME?</v>
      </c>
      <c r="V233" s="523" t="e">
        <f ca="1">stat(calculs!V233)</f>
        <v>#NAME?</v>
      </c>
      <c r="W233" s="523" t="e">
        <f ca="1">stat(calculs!W233)</f>
        <v>#NAME?</v>
      </c>
      <c r="X233" s="523" t="e">
        <f ca="1">stat(calculs!X233)</f>
        <v>#NAME?</v>
      </c>
      <c r="Y233" s="523" t="e">
        <f ca="1">stat(calculs!Y233)</f>
        <v>#NAME?</v>
      </c>
      <c r="Z233" s="523" t="e">
        <f ca="1">stat(calculs!Z233)</f>
        <v>#NAME?</v>
      </c>
      <c r="AA233" s="523" t="e">
        <f ca="1">stat(calculs!AA233)</f>
        <v>#NAME?</v>
      </c>
      <c r="AB233" s="523" t="e">
        <f ca="1">stat(calculs!AB233)</f>
        <v>#NAME?</v>
      </c>
      <c r="AC233" s="523" t="e">
        <f ca="1">stat(calculs!AC233)</f>
        <v>#NAME?</v>
      </c>
      <c r="AD233" s="523" t="e">
        <f ca="1">stat(calculs!AD233)</f>
        <v>#NAME?</v>
      </c>
      <c r="AE233" s="523" t="e">
        <f ca="1">stat(calculs!AE233)</f>
        <v>#NAME?</v>
      </c>
      <c r="AF233" s="523" t="e">
        <f ca="1">stat(calculs!AF233)</f>
        <v>#NAME?</v>
      </c>
      <c r="AG233" s="523" t="e">
        <f ca="1">stat(calculs!AG233)</f>
        <v>#NAME?</v>
      </c>
      <c r="AH233" s="523" t="e">
        <f ca="1">stat(calculs!AH233)</f>
        <v>#NAME?</v>
      </c>
      <c r="AI233" s="523" t="e">
        <f ca="1">stat(calculs!AI233)</f>
        <v>#NAME?</v>
      </c>
      <c r="AJ233" s="523" t="e">
        <f ca="1">stat(calculs!AJ233)</f>
        <v>#NAME?</v>
      </c>
      <c r="AK233" s="523" t="e">
        <f ca="1">stat(calculs!AK233)</f>
        <v>#NAME?</v>
      </c>
      <c r="AL233" s="523" t="e">
        <f ca="1">stat(calculs!AL233)</f>
        <v>#NAME?</v>
      </c>
      <c r="AM233" s="523" t="e">
        <f ca="1">stat(calculs!AM233)</f>
        <v>#NAME?</v>
      </c>
      <c r="AN233" s="523" t="e">
        <f ca="1">stat(calculs!AN233)</f>
        <v>#NAME?</v>
      </c>
      <c r="AO233" s="523" t="e">
        <f ca="1">stat(calculs!AO233)</f>
        <v>#NAME?</v>
      </c>
      <c r="AP233" s="523" t="e">
        <f ca="1">stat(calculs!AP233)</f>
        <v>#NAME?</v>
      </c>
      <c r="AQ233" s="523" t="e">
        <f ca="1">stat(calculs!AQ233)</f>
        <v>#NAME?</v>
      </c>
      <c r="AV233" s="525" t="str">
        <f>stat(calculs!AV233)</f>
        <v/>
      </c>
      <c r="AW233" s="525" t="str">
        <f>stat(calculs!AW233)</f>
        <v/>
      </c>
      <c r="AX233" s="525" t="str">
        <f>stat(calculs!AX233)</f>
        <v/>
      </c>
      <c r="AY233" s="525" t="e">
        <f ca="1">stat(calculs!AY233)</f>
        <v>#NAME?</v>
      </c>
      <c r="AZ233" s="525" t="e">
        <f ca="1">stat(calculs!AZ233)</f>
        <v>#NAME?</v>
      </c>
      <c r="BA233" s="525" t="e">
        <f ca="1">stat(calculs!BA233)</f>
        <v>#NAME?</v>
      </c>
      <c r="BB233" s="525" t="e">
        <f ca="1">stat(calculs!BB233)</f>
        <v>#NAME?</v>
      </c>
      <c r="BC233" s="525" t="e">
        <f ca="1">stat(calculs!BC233)</f>
        <v>#NAME?</v>
      </c>
      <c r="BD233" s="525" t="e">
        <f ca="1">stat(calculs!BD233)</f>
        <v>#NAME?</v>
      </c>
      <c r="BE233" s="525" t="e">
        <f ca="1">stat(calculs!BE233)</f>
        <v>#NAME?</v>
      </c>
      <c r="BF233" s="525" t="e">
        <f ca="1">stat(calculs!BF233)</f>
        <v>#NAME?</v>
      </c>
      <c r="BG233" s="729" t="e">
        <f ca="1">stat(calculs!BG233)</f>
        <v>#NAME?</v>
      </c>
      <c r="BH233" s="729" t="e">
        <f ca="1">stat(calculs!BH233)</f>
        <v>#NAME?</v>
      </c>
      <c r="BI233" s="729" t="e">
        <f ca="1">stat(calculs!BI233)</f>
        <v>#NAME?</v>
      </c>
      <c r="BJ233" s="729" t="e">
        <f ca="1">stat(calculs!BJ233)</f>
        <v>#NAME?</v>
      </c>
      <c r="BK233" s="729" t="e">
        <f ca="1">stat(calculs!BK233)</f>
        <v>#NAME?</v>
      </c>
      <c r="BL233" s="525" t="e">
        <f ca="1">stat(calculs!BL233)</f>
        <v>#NAME?</v>
      </c>
      <c r="BM233" s="525" t="e">
        <f ca="1">stat(calculs!BM233)</f>
        <v>#NAME?</v>
      </c>
      <c r="BN233" s="525" t="e">
        <f ca="1">stat(calculs!BN233)</f>
        <v>#NAME?</v>
      </c>
      <c r="BO233" s="525" t="e">
        <f ca="1">stat(calculs!BO233)</f>
        <v>#NAME?</v>
      </c>
      <c r="BP233" s="525" t="e">
        <f ca="1">stat(calculs!BP233)</f>
        <v>#NAME?</v>
      </c>
      <c r="BQ233" s="525" t="e">
        <f ca="1">stat(calculs!BQ233)</f>
        <v>#NAME?</v>
      </c>
      <c r="BR233" s="525" t="e">
        <f ca="1">stat(calculs!BR233)</f>
        <v>#NAME?</v>
      </c>
    </row>
    <row r="234" spans="1:70" x14ac:dyDescent="0.2">
      <c r="A234" s="222">
        <f>données_step[[#This Row],[Datum]]</f>
        <v>44785</v>
      </c>
      <c r="B234" s="223"/>
      <c r="C234" s="224">
        <f t="shared" si="3"/>
        <v>6</v>
      </c>
      <c r="D234" s="523" t="e">
        <f ca="1">stat(charge_entree[[#This Row],[ch_E_DBO5]])</f>
        <v>#NAME?</v>
      </c>
      <c r="E234" s="523" t="e">
        <f ca="1">stat(charge_entree[[#This Row],[ch_E_DCO]])</f>
        <v>#NAME?</v>
      </c>
      <c r="F234" s="523" t="e">
        <f ca="1">stat(charge_entree[[#This Row],[ch_E_COT]])</f>
        <v>#NAME?</v>
      </c>
      <c r="G234" s="523" t="e">
        <f ca="1">stat(charge_entree[[#This Row],[ch_E_NH4]])</f>
        <v>#NAME?</v>
      </c>
      <c r="H234" s="523" t="e">
        <f ca="1">stat(charge_entree[[#This Row],[ch_E_NTOT]])</f>
        <v>#NAME?</v>
      </c>
      <c r="I234" s="523" t="e">
        <f ca="1">stat(charge_entree[[#This Row],[ch_E_PTOT]])</f>
        <v>#NAME?</v>
      </c>
      <c r="J234" s="523" t="e">
        <f ca="1">stat(charge_entree[[#This Row],[ch_S_DBO]])</f>
        <v>#NAME?</v>
      </c>
      <c r="K234" s="523" t="e">
        <f ca="1">stat(charge_entree[[#This Row],[ch_S-DCO]])</f>
        <v>#NAME?</v>
      </c>
      <c r="L234" s="523" t="e">
        <f ca="1">stat(charge_entree[[#This Row],[ch_S_DOC]])</f>
        <v>#NAME?</v>
      </c>
      <c r="M234" s="523" t="e">
        <f ca="1">stat(charge_entree[[#This Row],[ch_S_NH4]])</f>
        <v>#NAME?</v>
      </c>
      <c r="N234" s="523" t="e">
        <f ca="1">stat(charge_entree[[#This Row],[ch_S_NO2]])</f>
        <v>#NAME?</v>
      </c>
      <c r="O234" s="523" t="e">
        <f ca="1">stat(charge_entree[[#This Row],[ch_S_NO3]])</f>
        <v>#NAME?</v>
      </c>
      <c r="P234" s="523" t="e">
        <f ca="1">stat(charge_entree[[#This Row],[ch_S_PTOT]])</f>
        <v>#NAME?</v>
      </c>
      <c r="Q234" s="523" t="e">
        <f ca="1">stat(charge_entree[[#This Row],[ch_S_SNDT]])</f>
        <v>#NAME?</v>
      </c>
      <c r="R234" s="523">
        <f>calculs!R234</f>
        <v>0</v>
      </c>
      <c r="S234" s="523" t="e">
        <f ca="1">stat(calculs!S234)</f>
        <v>#NAME?</v>
      </c>
      <c r="T234" s="523" t="e">
        <f ca="1">stat(calculs!T234)</f>
        <v>#NAME?</v>
      </c>
      <c r="U234" s="523" t="e">
        <f ca="1">stat(calculs!U234)</f>
        <v>#NAME?</v>
      </c>
      <c r="V234" s="523" t="e">
        <f ca="1">stat(calculs!V234)</f>
        <v>#NAME?</v>
      </c>
      <c r="W234" s="523" t="e">
        <f ca="1">stat(calculs!W234)</f>
        <v>#NAME?</v>
      </c>
      <c r="X234" s="523" t="e">
        <f ca="1">stat(calculs!X234)</f>
        <v>#NAME?</v>
      </c>
      <c r="Y234" s="523" t="e">
        <f ca="1">stat(calculs!Y234)</f>
        <v>#NAME?</v>
      </c>
      <c r="Z234" s="523" t="e">
        <f ca="1">stat(calculs!Z234)</f>
        <v>#NAME?</v>
      </c>
      <c r="AA234" s="523" t="e">
        <f ca="1">stat(calculs!AA234)</f>
        <v>#NAME?</v>
      </c>
      <c r="AB234" s="523" t="e">
        <f ca="1">stat(calculs!AB234)</f>
        <v>#NAME?</v>
      </c>
      <c r="AC234" s="523" t="e">
        <f ca="1">stat(calculs!AC234)</f>
        <v>#NAME?</v>
      </c>
      <c r="AD234" s="523" t="e">
        <f ca="1">stat(calculs!AD234)</f>
        <v>#NAME?</v>
      </c>
      <c r="AE234" s="523" t="e">
        <f ca="1">stat(calculs!AE234)</f>
        <v>#NAME?</v>
      </c>
      <c r="AF234" s="523" t="e">
        <f ca="1">stat(calculs!AF234)</f>
        <v>#NAME?</v>
      </c>
      <c r="AG234" s="523" t="e">
        <f ca="1">stat(calculs!AG234)</f>
        <v>#NAME?</v>
      </c>
      <c r="AH234" s="523" t="e">
        <f ca="1">stat(calculs!AH234)</f>
        <v>#NAME?</v>
      </c>
      <c r="AI234" s="523" t="e">
        <f ca="1">stat(calculs!AI234)</f>
        <v>#NAME?</v>
      </c>
      <c r="AJ234" s="523" t="e">
        <f ca="1">stat(calculs!AJ234)</f>
        <v>#NAME?</v>
      </c>
      <c r="AK234" s="523" t="e">
        <f ca="1">stat(calculs!AK234)</f>
        <v>#NAME?</v>
      </c>
      <c r="AL234" s="523" t="e">
        <f ca="1">stat(calculs!AL234)</f>
        <v>#NAME?</v>
      </c>
      <c r="AM234" s="523" t="e">
        <f ca="1">stat(calculs!AM234)</f>
        <v>#NAME?</v>
      </c>
      <c r="AN234" s="523" t="e">
        <f ca="1">stat(calculs!AN234)</f>
        <v>#NAME?</v>
      </c>
      <c r="AO234" s="523" t="e">
        <f ca="1">stat(calculs!AO234)</f>
        <v>#NAME?</v>
      </c>
      <c r="AP234" s="523" t="e">
        <f ca="1">stat(calculs!AP234)</f>
        <v>#NAME?</v>
      </c>
      <c r="AQ234" s="523" t="e">
        <f ca="1">stat(calculs!AQ234)</f>
        <v>#NAME?</v>
      </c>
      <c r="AV234" s="525" t="str">
        <f>stat(calculs!AV234)</f>
        <v/>
      </c>
      <c r="AW234" s="525" t="str">
        <f>stat(calculs!AW234)</f>
        <v/>
      </c>
      <c r="AX234" s="525" t="str">
        <f>stat(calculs!AX234)</f>
        <v/>
      </c>
      <c r="AY234" s="525" t="e">
        <f ca="1">stat(calculs!AY234)</f>
        <v>#NAME?</v>
      </c>
      <c r="AZ234" s="525" t="e">
        <f ca="1">stat(calculs!AZ234)</f>
        <v>#NAME?</v>
      </c>
      <c r="BA234" s="525" t="e">
        <f ca="1">stat(calculs!BA234)</f>
        <v>#NAME?</v>
      </c>
      <c r="BB234" s="525" t="e">
        <f ca="1">stat(calculs!BB234)</f>
        <v>#NAME?</v>
      </c>
      <c r="BC234" s="525" t="e">
        <f ca="1">stat(calculs!BC234)</f>
        <v>#NAME?</v>
      </c>
      <c r="BD234" s="525" t="e">
        <f ca="1">stat(calculs!BD234)</f>
        <v>#NAME?</v>
      </c>
      <c r="BE234" s="525" t="e">
        <f ca="1">stat(calculs!BE234)</f>
        <v>#NAME?</v>
      </c>
      <c r="BF234" s="525" t="e">
        <f ca="1">stat(calculs!BF234)</f>
        <v>#NAME?</v>
      </c>
      <c r="BG234" s="729" t="e">
        <f ca="1">stat(calculs!BG234)</f>
        <v>#NAME?</v>
      </c>
      <c r="BH234" s="729" t="e">
        <f ca="1">stat(calculs!BH234)</f>
        <v>#NAME?</v>
      </c>
      <c r="BI234" s="729" t="e">
        <f ca="1">stat(calculs!BI234)</f>
        <v>#NAME?</v>
      </c>
      <c r="BJ234" s="729" t="e">
        <f ca="1">stat(calculs!BJ234)</f>
        <v>#NAME?</v>
      </c>
      <c r="BK234" s="729" t="e">
        <f ca="1">stat(calculs!BK234)</f>
        <v>#NAME?</v>
      </c>
      <c r="BL234" s="525" t="e">
        <f ca="1">stat(calculs!BL234)</f>
        <v>#NAME?</v>
      </c>
      <c r="BM234" s="525" t="e">
        <f ca="1">stat(calculs!BM234)</f>
        <v>#NAME?</v>
      </c>
      <c r="BN234" s="525" t="e">
        <f ca="1">stat(calculs!BN234)</f>
        <v>#NAME?</v>
      </c>
      <c r="BO234" s="525" t="e">
        <f ca="1">stat(calculs!BO234)</f>
        <v>#NAME?</v>
      </c>
      <c r="BP234" s="525" t="e">
        <f ca="1">stat(calculs!BP234)</f>
        <v>#NAME?</v>
      </c>
      <c r="BQ234" s="525" t="e">
        <f ca="1">stat(calculs!BQ234)</f>
        <v>#NAME?</v>
      </c>
      <c r="BR234" s="525" t="e">
        <f ca="1">stat(calculs!BR234)</f>
        <v>#NAME?</v>
      </c>
    </row>
    <row r="235" spans="1:70" x14ac:dyDescent="0.2">
      <c r="A235" s="222">
        <f>données_step[[#This Row],[Datum]]</f>
        <v>44786</v>
      </c>
      <c r="B235" s="223"/>
      <c r="C235" s="224">
        <f t="shared" si="3"/>
        <v>7</v>
      </c>
      <c r="D235" s="523" t="e">
        <f ca="1">stat(charge_entree[[#This Row],[ch_E_DBO5]])</f>
        <v>#NAME?</v>
      </c>
      <c r="E235" s="523" t="e">
        <f ca="1">stat(charge_entree[[#This Row],[ch_E_DCO]])</f>
        <v>#NAME?</v>
      </c>
      <c r="F235" s="523" t="e">
        <f ca="1">stat(charge_entree[[#This Row],[ch_E_COT]])</f>
        <v>#NAME?</v>
      </c>
      <c r="G235" s="523" t="e">
        <f ca="1">stat(charge_entree[[#This Row],[ch_E_NH4]])</f>
        <v>#NAME?</v>
      </c>
      <c r="H235" s="523" t="e">
        <f ca="1">stat(charge_entree[[#This Row],[ch_E_NTOT]])</f>
        <v>#NAME?</v>
      </c>
      <c r="I235" s="523" t="e">
        <f ca="1">stat(charge_entree[[#This Row],[ch_E_PTOT]])</f>
        <v>#NAME?</v>
      </c>
      <c r="J235" s="523" t="e">
        <f ca="1">stat(charge_entree[[#This Row],[ch_S_DBO]])</f>
        <v>#NAME?</v>
      </c>
      <c r="K235" s="523" t="e">
        <f ca="1">stat(charge_entree[[#This Row],[ch_S-DCO]])</f>
        <v>#NAME?</v>
      </c>
      <c r="L235" s="523" t="e">
        <f ca="1">stat(charge_entree[[#This Row],[ch_S_DOC]])</f>
        <v>#NAME?</v>
      </c>
      <c r="M235" s="523" t="e">
        <f ca="1">stat(charge_entree[[#This Row],[ch_S_NH4]])</f>
        <v>#NAME?</v>
      </c>
      <c r="N235" s="523" t="e">
        <f ca="1">stat(charge_entree[[#This Row],[ch_S_NO2]])</f>
        <v>#NAME?</v>
      </c>
      <c r="O235" s="523" t="e">
        <f ca="1">stat(charge_entree[[#This Row],[ch_S_NO3]])</f>
        <v>#NAME?</v>
      </c>
      <c r="P235" s="523" t="e">
        <f ca="1">stat(charge_entree[[#This Row],[ch_S_PTOT]])</f>
        <v>#NAME?</v>
      </c>
      <c r="Q235" s="523" t="e">
        <f ca="1">stat(charge_entree[[#This Row],[ch_S_SNDT]])</f>
        <v>#NAME?</v>
      </c>
      <c r="R235" s="523">
        <f>calculs!R235</f>
        <v>0</v>
      </c>
      <c r="S235" s="523" t="e">
        <f ca="1">stat(calculs!S235)</f>
        <v>#NAME?</v>
      </c>
      <c r="T235" s="523" t="e">
        <f ca="1">stat(calculs!T235)</f>
        <v>#NAME?</v>
      </c>
      <c r="U235" s="523" t="e">
        <f ca="1">stat(calculs!U235)</f>
        <v>#NAME?</v>
      </c>
      <c r="V235" s="523" t="e">
        <f ca="1">stat(calculs!V235)</f>
        <v>#NAME?</v>
      </c>
      <c r="W235" s="523" t="e">
        <f ca="1">stat(calculs!W235)</f>
        <v>#NAME?</v>
      </c>
      <c r="X235" s="523" t="e">
        <f ca="1">stat(calculs!X235)</f>
        <v>#NAME?</v>
      </c>
      <c r="Y235" s="523" t="e">
        <f ca="1">stat(calculs!Y235)</f>
        <v>#NAME?</v>
      </c>
      <c r="Z235" s="523" t="e">
        <f ca="1">stat(calculs!Z235)</f>
        <v>#NAME?</v>
      </c>
      <c r="AA235" s="523" t="e">
        <f ca="1">stat(calculs!AA235)</f>
        <v>#NAME?</v>
      </c>
      <c r="AB235" s="523" t="e">
        <f ca="1">stat(calculs!AB235)</f>
        <v>#NAME?</v>
      </c>
      <c r="AC235" s="523" t="e">
        <f ca="1">stat(calculs!AC235)</f>
        <v>#NAME?</v>
      </c>
      <c r="AD235" s="523" t="e">
        <f ca="1">stat(calculs!AD235)</f>
        <v>#NAME?</v>
      </c>
      <c r="AE235" s="523" t="e">
        <f ca="1">stat(calculs!AE235)</f>
        <v>#NAME?</v>
      </c>
      <c r="AF235" s="523" t="e">
        <f ca="1">stat(calculs!AF235)</f>
        <v>#NAME?</v>
      </c>
      <c r="AG235" s="523" t="e">
        <f ca="1">stat(calculs!AG235)</f>
        <v>#NAME?</v>
      </c>
      <c r="AH235" s="523" t="e">
        <f ca="1">stat(calculs!AH235)</f>
        <v>#NAME?</v>
      </c>
      <c r="AI235" s="523" t="e">
        <f ca="1">stat(calculs!AI235)</f>
        <v>#NAME?</v>
      </c>
      <c r="AJ235" s="523" t="e">
        <f ca="1">stat(calculs!AJ235)</f>
        <v>#NAME?</v>
      </c>
      <c r="AK235" s="523" t="e">
        <f ca="1">stat(calculs!AK235)</f>
        <v>#NAME?</v>
      </c>
      <c r="AL235" s="523" t="e">
        <f ca="1">stat(calculs!AL235)</f>
        <v>#NAME?</v>
      </c>
      <c r="AM235" s="523" t="e">
        <f ca="1">stat(calculs!AM235)</f>
        <v>#NAME?</v>
      </c>
      <c r="AN235" s="523" t="e">
        <f ca="1">stat(calculs!AN235)</f>
        <v>#NAME?</v>
      </c>
      <c r="AO235" s="523" t="e">
        <f ca="1">stat(calculs!AO235)</f>
        <v>#NAME?</v>
      </c>
      <c r="AP235" s="523" t="e">
        <f ca="1">stat(calculs!AP235)</f>
        <v>#NAME?</v>
      </c>
      <c r="AQ235" s="523" t="e">
        <f ca="1">stat(calculs!AQ235)</f>
        <v>#NAME?</v>
      </c>
      <c r="AV235" s="525" t="str">
        <f>stat(calculs!AV235)</f>
        <v/>
      </c>
      <c r="AW235" s="525" t="str">
        <f>stat(calculs!AW235)</f>
        <v/>
      </c>
      <c r="AX235" s="525" t="str">
        <f>stat(calculs!AX235)</f>
        <v/>
      </c>
      <c r="AY235" s="525" t="e">
        <f ca="1">stat(calculs!AY235)</f>
        <v>#NAME?</v>
      </c>
      <c r="AZ235" s="525" t="e">
        <f ca="1">stat(calculs!AZ235)</f>
        <v>#NAME?</v>
      </c>
      <c r="BA235" s="525" t="e">
        <f ca="1">stat(calculs!BA235)</f>
        <v>#NAME?</v>
      </c>
      <c r="BB235" s="525" t="e">
        <f ca="1">stat(calculs!BB235)</f>
        <v>#NAME?</v>
      </c>
      <c r="BC235" s="525" t="e">
        <f ca="1">stat(calculs!BC235)</f>
        <v>#NAME?</v>
      </c>
      <c r="BD235" s="525" t="e">
        <f ca="1">stat(calculs!BD235)</f>
        <v>#NAME?</v>
      </c>
      <c r="BE235" s="525" t="e">
        <f ca="1">stat(calculs!BE235)</f>
        <v>#NAME?</v>
      </c>
      <c r="BF235" s="525" t="e">
        <f ca="1">stat(calculs!BF235)</f>
        <v>#NAME?</v>
      </c>
      <c r="BG235" s="729" t="e">
        <f ca="1">stat(calculs!BG235)</f>
        <v>#NAME?</v>
      </c>
      <c r="BH235" s="729" t="e">
        <f ca="1">stat(calculs!BH235)</f>
        <v>#NAME?</v>
      </c>
      <c r="BI235" s="729" t="e">
        <f ca="1">stat(calculs!BI235)</f>
        <v>#NAME?</v>
      </c>
      <c r="BJ235" s="729" t="e">
        <f ca="1">stat(calculs!BJ235)</f>
        <v>#NAME?</v>
      </c>
      <c r="BK235" s="729" t="e">
        <f ca="1">stat(calculs!BK235)</f>
        <v>#NAME?</v>
      </c>
      <c r="BL235" s="525" t="e">
        <f ca="1">stat(calculs!BL235)</f>
        <v>#NAME?</v>
      </c>
      <c r="BM235" s="525" t="e">
        <f ca="1">stat(calculs!BM235)</f>
        <v>#NAME?</v>
      </c>
      <c r="BN235" s="525" t="e">
        <f ca="1">stat(calculs!BN235)</f>
        <v>#NAME?</v>
      </c>
      <c r="BO235" s="525" t="e">
        <f ca="1">stat(calculs!BO235)</f>
        <v>#NAME?</v>
      </c>
      <c r="BP235" s="525" t="e">
        <f ca="1">stat(calculs!BP235)</f>
        <v>#NAME?</v>
      </c>
      <c r="BQ235" s="525" t="e">
        <f ca="1">stat(calculs!BQ235)</f>
        <v>#NAME?</v>
      </c>
      <c r="BR235" s="525" t="e">
        <f ca="1">stat(calculs!BR235)</f>
        <v>#NAME?</v>
      </c>
    </row>
    <row r="236" spans="1:70" x14ac:dyDescent="0.2">
      <c r="A236" s="222">
        <f>données_step[[#This Row],[Datum]]</f>
        <v>44787</v>
      </c>
      <c r="B236" s="223"/>
      <c r="C236" s="224">
        <f t="shared" si="3"/>
        <v>1</v>
      </c>
      <c r="D236" s="523" t="e">
        <f ca="1">stat(charge_entree[[#This Row],[ch_E_DBO5]])</f>
        <v>#NAME?</v>
      </c>
      <c r="E236" s="523" t="e">
        <f ca="1">stat(charge_entree[[#This Row],[ch_E_DCO]])</f>
        <v>#NAME?</v>
      </c>
      <c r="F236" s="523" t="e">
        <f ca="1">stat(charge_entree[[#This Row],[ch_E_COT]])</f>
        <v>#NAME?</v>
      </c>
      <c r="G236" s="523" t="e">
        <f ca="1">stat(charge_entree[[#This Row],[ch_E_NH4]])</f>
        <v>#NAME?</v>
      </c>
      <c r="H236" s="523" t="e">
        <f ca="1">stat(charge_entree[[#This Row],[ch_E_NTOT]])</f>
        <v>#NAME?</v>
      </c>
      <c r="I236" s="523" t="e">
        <f ca="1">stat(charge_entree[[#This Row],[ch_E_PTOT]])</f>
        <v>#NAME?</v>
      </c>
      <c r="J236" s="523" t="e">
        <f ca="1">stat(charge_entree[[#This Row],[ch_S_DBO]])</f>
        <v>#NAME?</v>
      </c>
      <c r="K236" s="523" t="e">
        <f ca="1">stat(charge_entree[[#This Row],[ch_S-DCO]])</f>
        <v>#NAME?</v>
      </c>
      <c r="L236" s="523" t="e">
        <f ca="1">stat(charge_entree[[#This Row],[ch_S_DOC]])</f>
        <v>#NAME?</v>
      </c>
      <c r="M236" s="523" t="e">
        <f ca="1">stat(charge_entree[[#This Row],[ch_S_NH4]])</f>
        <v>#NAME?</v>
      </c>
      <c r="N236" s="523" t="e">
        <f ca="1">stat(charge_entree[[#This Row],[ch_S_NO2]])</f>
        <v>#NAME?</v>
      </c>
      <c r="O236" s="523" t="e">
        <f ca="1">stat(charge_entree[[#This Row],[ch_S_NO3]])</f>
        <v>#NAME?</v>
      </c>
      <c r="P236" s="523" t="e">
        <f ca="1">stat(charge_entree[[#This Row],[ch_S_PTOT]])</f>
        <v>#NAME?</v>
      </c>
      <c r="Q236" s="523" t="e">
        <f ca="1">stat(charge_entree[[#This Row],[ch_S_SNDT]])</f>
        <v>#NAME?</v>
      </c>
      <c r="R236" s="523">
        <f>calculs!R236</f>
        <v>0</v>
      </c>
      <c r="S236" s="523" t="e">
        <f ca="1">stat(calculs!S236)</f>
        <v>#NAME?</v>
      </c>
      <c r="T236" s="523" t="e">
        <f ca="1">stat(calculs!T236)</f>
        <v>#NAME?</v>
      </c>
      <c r="U236" s="523" t="e">
        <f ca="1">stat(calculs!U236)</f>
        <v>#NAME?</v>
      </c>
      <c r="V236" s="523" t="e">
        <f ca="1">stat(calculs!V236)</f>
        <v>#NAME?</v>
      </c>
      <c r="W236" s="523" t="e">
        <f ca="1">stat(calculs!W236)</f>
        <v>#NAME?</v>
      </c>
      <c r="X236" s="523" t="e">
        <f ca="1">stat(calculs!X236)</f>
        <v>#NAME?</v>
      </c>
      <c r="Y236" s="523" t="e">
        <f ca="1">stat(calculs!Y236)</f>
        <v>#NAME?</v>
      </c>
      <c r="Z236" s="523" t="e">
        <f ca="1">stat(calculs!Z236)</f>
        <v>#NAME?</v>
      </c>
      <c r="AA236" s="523" t="e">
        <f ca="1">stat(calculs!AA236)</f>
        <v>#NAME?</v>
      </c>
      <c r="AB236" s="523" t="e">
        <f ca="1">stat(calculs!AB236)</f>
        <v>#NAME?</v>
      </c>
      <c r="AC236" s="523" t="e">
        <f ca="1">stat(calculs!AC236)</f>
        <v>#NAME?</v>
      </c>
      <c r="AD236" s="523" t="e">
        <f ca="1">stat(calculs!AD236)</f>
        <v>#NAME?</v>
      </c>
      <c r="AE236" s="523" t="e">
        <f ca="1">stat(calculs!AE236)</f>
        <v>#NAME?</v>
      </c>
      <c r="AF236" s="523" t="e">
        <f ca="1">stat(calculs!AF236)</f>
        <v>#NAME?</v>
      </c>
      <c r="AG236" s="523" t="e">
        <f ca="1">stat(calculs!AG236)</f>
        <v>#NAME?</v>
      </c>
      <c r="AH236" s="523" t="e">
        <f ca="1">stat(calculs!AH236)</f>
        <v>#NAME?</v>
      </c>
      <c r="AI236" s="523" t="e">
        <f ca="1">stat(calculs!AI236)</f>
        <v>#NAME?</v>
      </c>
      <c r="AJ236" s="523" t="e">
        <f ca="1">stat(calculs!AJ236)</f>
        <v>#NAME?</v>
      </c>
      <c r="AK236" s="523" t="e">
        <f ca="1">stat(calculs!AK236)</f>
        <v>#NAME?</v>
      </c>
      <c r="AL236" s="523" t="e">
        <f ca="1">stat(calculs!AL236)</f>
        <v>#NAME?</v>
      </c>
      <c r="AM236" s="523" t="e">
        <f ca="1">stat(calculs!AM236)</f>
        <v>#NAME?</v>
      </c>
      <c r="AN236" s="523" t="e">
        <f ca="1">stat(calculs!AN236)</f>
        <v>#NAME?</v>
      </c>
      <c r="AO236" s="523" t="e">
        <f ca="1">stat(calculs!AO236)</f>
        <v>#NAME?</v>
      </c>
      <c r="AP236" s="523" t="e">
        <f ca="1">stat(calculs!AP236)</f>
        <v>#NAME?</v>
      </c>
      <c r="AQ236" s="523" t="e">
        <f ca="1">stat(calculs!AQ236)</f>
        <v>#NAME?</v>
      </c>
      <c r="AV236" s="525" t="str">
        <f>stat(calculs!AV236)</f>
        <v/>
      </c>
      <c r="AW236" s="525" t="str">
        <f>stat(calculs!AW236)</f>
        <v/>
      </c>
      <c r="AX236" s="525" t="str">
        <f>stat(calculs!AX236)</f>
        <v/>
      </c>
      <c r="AY236" s="525" t="e">
        <f ca="1">stat(calculs!AY236)</f>
        <v>#NAME?</v>
      </c>
      <c r="AZ236" s="525" t="e">
        <f ca="1">stat(calculs!AZ236)</f>
        <v>#NAME?</v>
      </c>
      <c r="BA236" s="525" t="e">
        <f ca="1">stat(calculs!BA236)</f>
        <v>#NAME?</v>
      </c>
      <c r="BB236" s="525" t="e">
        <f ca="1">stat(calculs!BB236)</f>
        <v>#NAME?</v>
      </c>
      <c r="BC236" s="525" t="e">
        <f ca="1">stat(calculs!BC236)</f>
        <v>#NAME?</v>
      </c>
      <c r="BD236" s="525" t="e">
        <f ca="1">stat(calculs!BD236)</f>
        <v>#NAME?</v>
      </c>
      <c r="BE236" s="525" t="e">
        <f ca="1">stat(calculs!BE236)</f>
        <v>#NAME?</v>
      </c>
      <c r="BF236" s="525" t="e">
        <f ca="1">stat(calculs!BF236)</f>
        <v>#NAME?</v>
      </c>
      <c r="BG236" s="729" t="e">
        <f ca="1">stat(calculs!BG236)</f>
        <v>#NAME?</v>
      </c>
      <c r="BH236" s="729" t="e">
        <f ca="1">stat(calculs!BH236)</f>
        <v>#NAME?</v>
      </c>
      <c r="BI236" s="729" t="e">
        <f ca="1">stat(calculs!BI236)</f>
        <v>#NAME?</v>
      </c>
      <c r="BJ236" s="729" t="e">
        <f ca="1">stat(calculs!BJ236)</f>
        <v>#NAME?</v>
      </c>
      <c r="BK236" s="729" t="e">
        <f ca="1">stat(calculs!BK236)</f>
        <v>#NAME?</v>
      </c>
      <c r="BL236" s="525" t="e">
        <f ca="1">stat(calculs!BL236)</f>
        <v>#NAME?</v>
      </c>
      <c r="BM236" s="525" t="e">
        <f ca="1">stat(calculs!BM236)</f>
        <v>#NAME?</v>
      </c>
      <c r="BN236" s="525" t="e">
        <f ca="1">stat(calculs!BN236)</f>
        <v>#NAME?</v>
      </c>
      <c r="BO236" s="525" t="e">
        <f ca="1">stat(calculs!BO236)</f>
        <v>#NAME?</v>
      </c>
      <c r="BP236" s="525" t="e">
        <f ca="1">stat(calculs!BP236)</f>
        <v>#NAME?</v>
      </c>
      <c r="BQ236" s="525" t="e">
        <f ca="1">stat(calculs!BQ236)</f>
        <v>#NAME?</v>
      </c>
      <c r="BR236" s="525" t="e">
        <f ca="1">stat(calculs!BR236)</f>
        <v>#NAME?</v>
      </c>
    </row>
    <row r="237" spans="1:70" x14ac:dyDescent="0.2">
      <c r="A237" s="222">
        <f>données_step[[#This Row],[Datum]]</f>
        <v>44788</v>
      </c>
      <c r="B237" s="223"/>
      <c r="C237" s="224">
        <f t="shared" si="3"/>
        <v>2</v>
      </c>
      <c r="D237" s="523" t="e">
        <f ca="1">stat(charge_entree[[#This Row],[ch_E_DBO5]])</f>
        <v>#NAME?</v>
      </c>
      <c r="E237" s="523" t="e">
        <f ca="1">stat(charge_entree[[#This Row],[ch_E_DCO]])</f>
        <v>#NAME?</v>
      </c>
      <c r="F237" s="523" t="e">
        <f ca="1">stat(charge_entree[[#This Row],[ch_E_COT]])</f>
        <v>#NAME?</v>
      </c>
      <c r="G237" s="523" t="e">
        <f ca="1">stat(charge_entree[[#This Row],[ch_E_NH4]])</f>
        <v>#NAME?</v>
      </c>
      <c r="H237" s="523" t="e">
        <f ca="1">stat(charge_entree[[#This Row],[ch_E_NTOT]])</f>
        <v>#NAME?</v>
      </c>
      <c r="I237" s="523" t="e">
        <f ca="1">stat(charge_entree[[#This Row],[ch_E_PTOT]])</f>
        <v>#NAME?</v>
      </c>
      <c r="J237" s="523" t="e">
        <f ca="1">stat(charge_entree[[#This Row],[ch_S_DBO]])</f>
        <v>#NAME?</v>
      </c>
      <c r="K237" s="523" t="e">
        <f ca="1">stat(charge_entree[[#This Row],[ch_S-DCO]])</f>
        <v>#NAME?</v>
      </c>
      <c r="L237" s="523" t="e">
        <f ca="1">stat(charge_entree[[#This Row],[ch_S_DOC]])</f>
        <v>#NAME?</v>
      </c>
      <c r="M237" s="523" t="e">
        <f ca="1">stat(charge_entree[[#This Row],[ch_S_NH4]])</f>
        <v>#NAME?</v>
      </c>
      <c r="N237" s="523" t="e">
        <f ca="1">stat(charge_entree[[#This Row],[ch_S_NO2]])</f>
        <v>#NAME?</v>
      </c>
      <c r="O237" s="523" t="e">
        <f ca="1">stat(charge_entree[[#This Row],[ch_S_NO3]])</f>
        <v>#NAME?</v>
      </c>
      <c r="P237" s="523" t="e">
        <f ca="1">stat(charge_entree[[#This Row],[ch_S_PTOT]])</f>
        <v>#NAME?</v>
      </c>
      <c r="Q237" s="523" t="e">
        <f ca="1">stat(charge_entree[[#This Row],[ch_S_SNDT]])</f>
        <v>#NAME?</v>
      </c>
      <c r="R237" s="523">
        <f>calculs!R237</f>
        <v>0</v>
      </c>
      <c r="S237" s="523" t="e">
        <f ca="1">stat(calculs!S237)</f>
        <v>#NAME?</v>
      </c>
      <c r="T237" s="523" t="e">
        <f ca="1">stat(calculs!T237)</f>
        <v>#NAME?</v>
      </c>
      <c r="U237" s="523" t="e">
        <f ca="1">stat(calculs!U237)</f>
        <v>#NAME?</v>
      </c>
      <c r="V237" s="523" t="e">
        <f ca="1">stat(calculs!V237)</f>
        <v>#NAME?</v>
      </c>
      <c r="W237" s="523" t="e">
        <f ca="1">stat(calculs!W237)</f>
        <v>#NAME?</v>
      </c>
      <c r="X237" s="523" t="e">
        <f ca="1">stat(calculs!X237)</f>
        <v>#NAME?</v>
      </c>
      <c r="Y237" s="523" t="e">
        <f ca="1">stat(calculs!Y237)</f>
        <v>#NAME?</v>
      </c>
      <c r="Z237" s="523" t="e">
        <f ca="1">stat(calculs!Z237)</f>
        <v>#NAME?</v>
      </c>
      <c r="AA237" s="523" t="e">
        <f ca="1">stat(calculs!AA237)</f>
        <v>#NAME?</v>
      </c>
      <c r="AB237" s="523" t="e">
        <f ca="1">stat(calculs!AB237)</f>
        <v>#NAME?</v>
      </c>
      <c r="AC237" s="523" t="e">
        <f ca="1">stat(calculs!AC237)</f>
        <v>#NAME?</v>
      </c>
      <c r="AD237" s="523" t="e">
        <f ca="1">stat(calculs!AD237)</f>
        <v>#NAME?</v>
      </c>
      <c r="AE237" s="523" t="e">
        <f ca="1">stat(calculs!AE237)</f>
        <v>#NAME?</v>
      </c>
      <c r="AF237" s="523" t="e">
        <f ca="1">stat(calculs!AF237)</f>
        <v>#NAME?</v>
      </c>
      <c r="AG237" s="523" t="e">
        <f ca="1">stat(calculs!AG237)</f>
        <v>#NAME?</v>
      </c>
      <c r="AH237" s="523" t="e">
        <f ca="1">stat(calculs!AH237)</f>
        <v>#NAME?</v>
      </c>
      <c r="AI237" s="523" t="e">
        <f ca="1">stat(calculs!AI237)</f>
        <v>#NAME?</v>
      </c>
      <c r="AJ237" s="523" t="e">
        <f ca="1">stat(calculs!AJ237)</f>
        <v>#NAME?</v>
      </c>
      <c r="AK237" s="523" t="e">
        <f ca="1">stat(calculs!AK237)</f>
        <v>#NAME?</v>
      </c>
      <c r="AL237" s="523" t="e">
        <f ca="1">stat(calculs!AL237)</f>
        <v>#NAME?</v>
      </c>
      <c r="AM237" s="523" t="e">
        <f ca="1">stat(calculs!AM237)</f>
        <v>#NAME?</v>
      </c>
      <c r="AN237" s="523" t="e">
        <f ca="1">stat(calculs!AN237)</f>
        <v>#NAME?</v>
      </c>
      <c r="AO237" s="523" t="e">
        <f ca="1">stat(calculs!AO237)</f>
        <v>#NAME?</v>
      </c>
      <c r="AP237" s="523" t="e">
        <f ca="1">stat(calculs!AP237)</f>
        <v>#NAME?</v>
      </c>
      <c r="AQ237" s="523" t="e">
        <f ca="1">stat(calculs!AQ237)</f>
        <v>#NAME?</v>
      </c>
      <c r="AV237" s="525" t="str">
        <f>stat(calculs!AV237)</f>
        <v/>
      </c>
      <c r="AW237" s="525" t="str">
        <f>stat(calculs!AW237)</f>
        <v/>
      </c>
      <c r="AX237" s="525" t="str">
        <f>stat(calculs!AX237)</f>
        <v/>
      </c>
      <c r="AY237" s="525" t="e">
        <f ca="1">stat(calculs!AY237)</f>
        <v>#NAME?</v>
      </c>
      <c r="AZ237" s="525" t="e">
        <f ca="1">stat(calculs!AZ237)</f>
        <v>#NAME?</v>
      </c>
      <c r="BA237" s="525" t="e">
        <f ca="1">stat(calculs!BA237)</f>
        <v>#NAME?</v>
      </c>
      <c r="BB237" s="525" t="e">
        <f ca="1">stat(calculs!BB237)</f>
        <v>#NAME?</v>
      </c>
      <c r="BC237" s="525" t="e">
        <f ca="1">stat(calculs!BC237)</f>
        <v>#NAME?</v>
      </c>
      <c r="BD237" s="525" t="e">
        <f ca="1">stat(calculs!BD237)</f>
        <v>#NAME?</v>
      </c>
      <c r="BE237" s="525" t="e">
        <f ca="1">stat(calculs!BE237)</f>
        <v>#NAME?</v>
      </c>
      <c r="BF237" s="525" t="e">
        <f ca="1">stat(calculs!BF237)</f>
        <v>#NAME?</v>
      </c>
      <c r="BG237" s="729" t="e">
        <f ca="1">stat(calculs!BG237)</f>
        <v>#NAME?</v>
      </c>
      <c r="BH237" s="729" t="e">
        <f ca="1">stat(calculs!BH237)</f>
        <v>#NAME?</v>
      </c>
      <c r="BI237" s="729" t="e">
        <f ca="1">stat(calculs!BI237)</f>
        <v>#NAME?</v>
      </c>
      <c r="BJ237" s="729" t="e">
        <f ca="1">stat(calculs!BJ237)</f>
        <v>#NAME?</v>
      </c>
      <c r="BK237" s="729" t="e">
        <f ca="1">stat(calculs!BK237)</f>
        <v>#NAME?</v>
      </c>
      <c r="BL237" s="525" t="e">
        <f ca="1">stat(calculs!BL237)</f>
        <v>#NAME?</v>
      </c>
      <c r="BM237" s="525" t="e">
        <f ca="1">stat(calculs!BM237)</f>
        <v>#NAME?</v>
      </c>
      <c r="BN237" s="525" t="e">
        <f ca="1">stat(calculs!BN237)</f>
        <v>#NAME?</v>
      </c>
      <c r="BO237" s="525" t="e">
        <f ca="1">stat(calculs!BO237)</f>
        <v>#NAME?</v>
      </c>
      <c r="BP237" s="525" t="e">
        <f ca="1">stat(calculs!BP237)</f>
        <v>#NAME?</v>
      </c>
      <c r="BQ237" s="525" t="e">
        <f ca="1">stat(calculs!BQ237)</f>
        <v>#NAME?</v>
      </c>
      <c r="BR237" s="525" t="e">
        <f ca="1">stat(calculs!BR237)</f>
        <v>#NAME?</v>
      </c>
    </row>
    <row r="238" spans="1:70" x14ac:dyDescent="0.2">
      <c r="A238" s="222">
        <f>données_step[[#This Row],[Datum]]</f>
        <v>44789</v>
      </c>
      <c r="B238" s="223"/>
      <c r="C238" s="224">
        <f t="shared" si="3"/>
        <v>3</v>
      </c>
      <c r="D238" s="523" t="e">
        <f ca="1">stat(charge_entree[[#This Row],[ch_E_DBO5]])</f>
        <v>#NAME?</v>
      </c>
      <c r="E238" s="523" t="e">
        <f ca="1">stat(charge_entree[[#This Row],[ch_E_DCO]])</f>
        <v>#NAME?</v>
      </c>
      <c r="F238" s="523" t="e">
        <f ca="1">stat(charge_entree[[#This Row],[ch_E_COT]])</f>
        <v>#NAME?</v>
      </c>
      <c r="G238" s="523" t="e">
        <f ca="1">stat(charge_entree[[#This Row],[ch_E_NH4]])</f>
        <v>#NAME?</v>
      </c>
      <c r="H238" s="523" t="e">
        <f ca="1">stat(charge_entree[[#This Row],[ch_E_NTOT]])</f>
        <v>#NAME?</v>
      </c>
      <c r="I238" s="523" t="e">
        <f ca="1">stat(charge_entree[[#This Row],[ch_E_PTOT]])</f>
        <v>#NAME?</v>
      </c>
      <c r="J238" s="523" t="e">
        <f ca="1">stat(charge_entree[[#This Row],[ch_S_DBO]])</f>
        <v>#NAME?</v>
      </c>
      <c r="K238" s="523" t="e">
        <f ca="1">stat(charge_entree[[#This Row],[ch_S-DCO]])</f>
        <v>#NAME?</v>
      </c>
      <c r="L238" s="523" t="e">
        <f ca="1">stat(charge_entree[[#This Row],[ch_S_DOC]])</f>
        <v>#NAME?</v>
      </c>
      <c r="M238" s="523" t="e">
        <f ca="1">stat(charge_entree[[#This Row],[ch_S_NH4]])</f>
        <v>#NAME?</v>
      </c>
      <c r="N238" s="523" t="e">
        <f ca="1">stat(charge_entree[[#This Row],[ch_S_NO2]])</f>
        <v>#NAME?</v>
      </c>
      <c r="O238" s="523" t="e">
        <f ca="1">stat(charge_entree[[#This Row],[ch_S_NO3]])</f>
        <v>#NAME?</v>
      </c>
      <c r="P238" s="523" t="e">
        <f ca="1">stat(charge_entree[[#This Row],[ch_S_PTOT]])</f>
        <v>#NAME?</v>
      </c>
      <c r="Q238" s="523" t="e">
        <f ca="1">stat(charge_entree[[#This Row],[ch_S_SNDT]])</f>
        <v>#NAME?</v>
      </c>
      <c r="R238" s="523">
        <f>calculs!R238</f>
        <v>0</v>
      </c>
      <c r="S238" s="523" t="e">
        <f ca="1">stat(calculs!S238)</f>
        <v>#NAME?</v>
      </c>
      <c r="T238" s="523" t="e">
        <f ca="1">stat(calculs!T238)</f>
        <v>#NAME?</v>
      </c>
      <c r="U238" s="523" t="e">
        <f ca="1">stat(calculs!U238)</f>
        <v>#NAME?</v>
      </c>
      <c r="V238" s="523" t="e">
        <f ca="1">stat(calculs!V238)</f>
        <v>#NAME?</v>
      </c>
      <c r="W238" s="523" t="e">
        <f ca="1">stat(calculs!W238)</f>
        <v>#NAME?</v>
      </c>
      <c r="X238" s="523" t="e">
        <f ca="1">stat(calculs!X238)</f>
        <v>#NAME?</v>
      </c>
      <c r="Y238" s="523" t="e">
        <f ca="1">stat(calculs!Y238)</f>
        <v>#NAME?</v>
      </c>
      <c r="Z238" s="523" t="e">
        <f ca="1">stat(calculs!Z238)</f>
        <v>#NAME?</v>
      </c>
      <c r="AA238" s="523" t="e">
        <f ca="1">stat(calculs!AA238)</f>
        <v>#NAME?</v>
      </c>
      <c r="AB238" s="523" t="e">
        <f ca="1">stat(calculs!AB238)</f>
        <v>#NAME?</v>
      </c>
      <c r="AC238" s="523" t="e">
        <f ca="1">stat(calculs!AC238)</f>
        <v>#NAME?</v>
      </c>
      <c r="AD238" s="523" t="e">
        <f ca="1">stat(calculs!AD238)</f>
        <v>#NAME?</v>
      </c>
      <c r="AE238" s="523" t="e">
        <f ca="1">stat(calculs!AE238)</f>
        <v>#NAME?</v>
      </c>
      <c r="AF238" s="523" t="e">
        <f ca="1">stat(calculs!AF238)</f>
        <v>#NAME?</v>
      </c>
      <c r="AG238" s="523" t="e">
        <f ca="1">stat(calculs!AG238)</f>
        <v>#NAME?</v>
      </c>
      <c r="AH238" s="523" t="e">
        <f ca="1">stat(calculs!AH238)</f>
        <v>#NAME?</v>
      </c>
      <c r="AI238" s="523" t="e">
        <f ca="1">stat(calculs!AI238)</f>
        <v>#NAME?</v>
      </c>
      <c r="AJ238" s="523" t="e">
        <f ca="1">stat(calculs!AJ238)</f>
        <v>#NAME?</v>
      </c>
      <c r="AK238" s="523" t="e">
        <f ca="1">stat(calculs!AK238)</f>
        <v>#NAME?</v>
      </c>
      <c r="AL238" s="523" t="e">
        <f ca="1">stat(calculs!AL238)</f>
        <v>#NAME?</v>
      </c>
      <c r="AM238" s="523" t="e">
        <f ca="1">stat(calculs!AM238)</f>
        <v>#NAME?</v>
      </c>
      <c r="AN238" s="523" t="e">
        <f ca="1">stat(calculs!AN238)</f>
        <v>#NAME?</v>
      </c>
      <c r="AO238" s="523" t="e">
        <f ca="1">stat(calculs!AO238)</f>
        <v>#NAME?</v>
      </c>
      <c r="AP238" s="523" t="e">
        <f ca="1">stat(calculs!AP238)</f>
        <v>#NAME?</v>
      </c>
      <c r="AQ238" s="523" t="e">
        <f ca="1">stat(calculs!AQ238)</f>
        <v>#NAME?</v>
      </c>
      <c r="AV238" s="525" t="str">
        <f>stat(calculs!AV238)</f>
        <v/>
      </c>
      <c r="AW238" s="525" t="str">
        <f>stat(calculs!AW238)</f>
        <v/>
      </c>
      <c r="AX238" s="525" t="str">
        <f>stat(calculs!AX238)</f>
        <v/>
      </c>
      <c r="AY238" s="525" t="e">
        <f ca="1">stat(calculs!AY238)</f>
        <v>#NAME?</v>
      </c>
      <c r="AZ238" s="525" t="e">
        <f ca="1">stat(calculs!AZ238)</f>
        <v>#NAME?</v>
      </c>
      <c r="BA238" s="525" t="e">
        <f ca="1">stat(calculs!BA238)</f>
        <v>#NAME?</v>
      </c>
      <c r="BB238" s="525" t="e">
        <f ca="1">stat(calculs!BB238)</f>
        <v>#NAME?</v>
      </c>
      <c r="BC238" s="525" t="e">
        <f ca="1">stat(calculs!BC238)</f>
        <v>#NAME?</v>
      </c>
      <c r="BD238" s="525" t="e">
        <f ca="1">stat(calculs!BD238)</f>
        <v>#NAME?</v>
      </c>
      <c r="BE238" s="525" t="e">
        <f ca="1">stat(calculs!BE238)</f>
        <v>#NAME?</v>
      </c>
      <c r="BF238" s="525" t="e">
        <f ca="1">stat(calculs!BF238)</f>
        <v>#NAME?</v>
      </c>
      <c r="BG238" s="729" t="e">
        <f ca="1">stat(calculs!BG238)</f>
        <v>#NAME?</v>
      </c>
      <c r="BH238" s="729" t="e">
        <f ca="1">stat(calculs!BH238)</f>
        <v>#NAME?</v>
      </c>
      <c r="BI238" s="729" t="e">
        <f ca="1">stat(calculs!BI238)</f>
        <v>#NAME?</v>
      </c>
      <c r="BJ238" s="729" t="e">
        <f ca="1">stat(calculs!BJ238)</f>
        <v>#NAME?</v>
      </c>
      <c r="BK238" s="729" t="e">
        <f ca="1">stat(calculs!BK238)</f>
        <v>#NAME?</v>
      </c>
      <c r="BL238" s="525" t="e">
        <f ca="1">stat(calculs!BL238)</f>
        <v>#NAME?</v>
      </c>
      <c r="BM238" s="525" t="e">
        <f ca="1">stat(calculs!BM238)</f>
        <v>#NAME?</v>
      </c>
      <c r="BN238" s="525" t="e">
        <f ca="1">stat(calculs!BN238)</f>
        <v>#NAME?</v>
      </c>
      <c r="BO238" s="525" t="e">
        <f ca="1">stat(calculs!BO238)</f>
        <v>#NAME?</v>
      </c>
      <c r="BP238" s="525" t="e">
        <f ca="1">stat(calculs!BP238)</f>
        <v>#NAME?</v>
      </c>
      <c r="BQ238" s="525" t="e">
        <f ca="1">stat(calculs!BQ238)</f>
        <v>#NAME?</v>
      </c>
      <c r="BR238" s="525" t="e">
        <f ca="1">stat(calculs!BR238)</f>
        <v>#NAME?</v>
      </c>
    </row>
    <row r="239" spans="1:70" x14ac:dyDescent="0.2">
      <c r="A239" s="222">
        <f>données_step[[#This Row],[Datum]]</f>
        <v>44790</v>
      </c>
      <c r="B239" s="223"/>
      <c r="C239" s="224">
        <f t="shared" si="3"/>
        <v>4</v>
      </c>
      <c r="D239" s="523" t="e">
        <f ca="1">stat(charge_entree[[#This Row],[ch_E_DBO5]])</f>
        <v>#NAME?</v>
      </c>
      <c r="E239" s="523" t="e">
        <f ca="1">stat(charge_entree[[#This Row],[ch_E_DCO]])</f>
        <v>#NAME?</v>
      </c>
      <c r="F239" s="523" t="e">
        <f ca="1">stat(charge_entree[[#This Row],[ch_E_COT]])</f>
        <v>#NAME?</v>
      </c>
      <c r="G239" s="523" t="e">
        <f ca="1">stat(charge_entree[[#This Row],[ch_E_NH4]])</f>
        <v>#NAME?</v>
      </c>
      <c r="H239" s="523" t="e">
        <f ca="1">stat(charge_entree[[#This Row],[ch_E_NTOT]])</f>
        <v>#NAME?</v>
      </c>
      <c r="I239" s="523" t="e">
        <f ca="1">stat(charge_entree[[#This Row],[ch_E_PTOT]])</f>
        <v>#NAME?</v>
      </c>
      <c r="J239" s="523" t="e">
        <f ca="1">stat(charge_entree[[#This Row],[ch_S_DBO]])</f>
        <v>#NAME?</v>
      </c>
      <c r="K239" s="523" t="e">
        <f ca="1">stat(charge_entree[[#This Row],[ch_S-DCO]])</f>
        <v>#NAME?</v>
      </c>
      <c r="L239" s="523" t="e">
        <f ca="1">stat(charge_entree[[#This Row],[ch_S_DOC]])</f>
        <v>#NAME?</v>
      </c>
      <c r="M239" s="523" t="e">
        <f ca="1">stat(charge_entree[[#This Row],[ch_S_NH4]])</f>
        <v>#NAME?</v>
      </c>
      <c r="N239" s="523" t="e">
        <f ca="1">stat(charge_entree[[#This Row],[ch_S_NO2]])</f>
        <v>#NAME?</v>
      </c>
      <c r="O239" s="523" t="e">
        <f ca="1">stat(charge_entree[[#This Row],[ch_S_NO3]])</f>
        <v>#NAME?</v>
      </c>
      <c r="P239" s="523" t="e">
        <f ca="1">stat(charge_entree[[#This Row],[ch_S_PTOT]])</f>
        <v>#NAME?</v>
      </c>
      <c r="Q239" s="523" t="e">
        <f ca="1">stat(charge_entree[[#This Row],[ch_S_SNDT]])</f>
        <v>#NAME?</v>
      </c>
      <c r="R239" s="523">
        <f>calculs!R239</f>
        <v>0</v>
      </c>
      <c r="S239" s="523" t="e">
        <f ca="1">stat(calculs!S239)</f>
        <v>#NAME?</v>
      </c>
      <c r="T239" s="523" t="e">
        <f ca="1">stat(calculs!T239)</f>
        <v>#NAME?</v>
      </c>
      <c r="U239" s="523" t="e">
        <f ca="1">stat(calculs!U239)</f>
        <v>#NAME?</v>
      </c>
      <c r="V239" s="523" t="e">
        <f ca="1">stat(calculs!V239)</f>
        <v>#NAME?</v>
      </c>
      <c r="W239" s="523" t="e">
        <f ca="1">stat(calculs!W239)</f>
        <v>#NAME?</v>
      </c>
      <c r="X239" s="523" t="e">
        <f ca="1">stat(calculs!X239)</f>
        <v>#NAME?</v>
      </c>
      <c r="Y239" s="523" t="e">
        <f ca="1">stat(calculs!Y239)</f>
        <v>#NAME?</v>
      </c>
      <c r="Z239" s="523" t="e">
        <f ca="1">stat(calculs!Z239)</f>
        <v>#NAME?</v>
      </c>
      <c r="AA239" s="523" t="e">
        <f ca="1">stat(calculs!AA239)</f>
        <v>#NAME?</v>
      </c>
      <c r="AB239" s="523" t="e">
        <f ca="1">stat(calculs!AB239)</f>
        <v>#NAME?</v>
      </c>
      <c r="AC239" s="523" t="e">
        <f ca="1">stat(calculs!AC239)</f>
        <v>#NAME?</v>
      </c>
      <c r="AD239" s="523" t="e">
        <f ca="1">stat(calculs!AD239)</f>
        <v>#NAME?</v>
      </c>
      <c r="AE239" s="523" t="e">
        <f ca="1">stat(calculs!AE239)</f>
        <v>#NAME?</v>
      </c>
      <c r="AF239" s="523" t="e">
        <f ca="1">stat(calculs!AF239)</f>
        <v>#NAME?</v>
      </c>
      <c r="AG239" s="523" t="e">
        <f ca="1">stat(calculs!AG239)</f>
        <v>#NAME?</v>
      </c>
      <c r="AH239" s="523" t="e">
        <f ca="1">stat(calculs!AH239)</f>
        <v>#NAME?</v>
      </c>
      <c r="AI239" s="523" t="e">
        <f ca="1">stat(calculs!AI239)</f>
        <v>#NAME?</v>
      </c>
      <c r="AJ239" s="523" t="e">
        <f ca="1">stat(calculs!AJ239)</f>
        <v>#NAME?</v>
      </c>
      <c r="AK239" s="523" t="e">
        <f ca="1">stat(calculs!AK239)</f>
        <v>#NAME?</v>
      </c>
      <c r="AL239" s="523" t="e">
        <f ca="1">stat(calculs!AL239)</f>
        <v>#NAME?</v>
      </c>
      <c r="AM239" s="523" t="e">
        <f ca="1">stat(calculs!AM239)</f>
        <v>#NAME?</v>
      </c>
      <c r="AN239" s="523" t="e">
        <f ca="1">stat(calculs!AN239)</f>
        <v>#NAME?</v>
      </c>
      <c r="AO239" s="523" t="e">
        <f ca="1">stat(calculs!AO239)</f>
        <v>#NAME?</v>
      </c>
      <c r="AP239" s="523" t="e">
        <f ca="1">stat(calculs!AP239)</f>
        <v>#NAME?</v>
      </c>
      <c r="AQ239" s="523" t="e">
        <f ca="1">stat(calculs!AQ239)</f>
        <v>#NAME?</v>
      </c>
      <c r="AV239" s="525" t="str">
        <f>stat(calculs!AV239)</f>
        <v/>
      </c>
      <c r="AW239" s="525" t="str">
        <f>stat(calculs!AW239)</f>
        <v/>
      </c>
      <c r="AX239" s="525" t="str">
        <f>stat(calculs!AX239)</f>
        <v/>
      </c>
      <c r="AY239" s="525" t="e">
        <f ca="1">stat(calculs!AY239)</f>
        <v>#NAME?</v>
      </c>
      <c r="AZ239" s="525" t="e">
        <f ca="1">stat(calculs!AZ239)</f>
        <v>#NAME?</v>
      </c>
      <c r="BA239" s="525" t="e">
        <f ca="1">stat(calculs!BA239)</f>
        <v>#NAME?</v>
      </c>
      <c r="BB239" s="525" t="e">
        <f ca="1">stat(calculs!BB239)</f>
        <v>#NAME?</v>
      </c>
      <c r="BC239" s="525" t="e">
        <f ca="1">stat(calculs!BC239)</f>
        <v>#NAME?</v>
      </c>
      <c r="BD239" s="525" t="e">
        <f ca="1">stat(calculs!BD239)</f>
        <v>#NAME?</v>
      </c>
      <c r="BE239" s="525" t="e">
        <f ca="1">stat(calculs!BE239)</f>
        <v>#NAME?</v>
      </c>
      <c r="BF239" s="525" t="e">
        <f ca="1">stat(calculs!BF239)</f>
        <v>#NAME?</v>
      </c>
      <c r="BG239" s="729" t="e">
        <f ca="1">stat(calculs!BG239)</f>
        <v>#NAME?</v>
      </c>
      <c r="BH239" s="729" t="e">
        <f ca="1">stat(calculs!BH239)</f>
        <v>#NAME?</v>
      </c>
      <c r="BI239" s="729" t="e">
        <f ca="1">stat(calculs!BI239)</f>
        <v>#NAME?</v>
      </c>
      <c r="BJ239" s="729" t="e">
        <f ca="1">stat(calculs!BJ239)</f>
        <v>#NAME?</v>
      </c>
      <c r="BK239" s="729" t="e">
        <f ca="1">stat(calculs!BK239)</f>
        <v>#NAME?</v>
      </c>
      <c r="BL239" s="525" t="e">
        <f ca="1">stat(calculs!BL239)</f>
        <v>#NAME?</v>
      </c>
      <c r="BM239" s="525" t="e">
        <f ca="1">stat(calculs!BM239)</f>
        <v>#NAME?</v>
      </c>
      <c r="BN239" s="525" t="e">
        <f ca="1">stat(calculs!BN239)</f>
        <v>#NAME?</v>
      </c>
      <c r="BO239" s="525" t="e">
        <f ca="1">stat(calculs!BO239)</f>
        <v>#NAME?</v>
      </c>
      <c r="BP239" s="525" t="e">
        <f ca="1">stat(calculs!BP239)</f>
        <v>#NAME?</v>
      </c>
      <c r="BQ239" s="525" t="e">
        <f ca="1">stat(calculs!BQ239)</f>
        <v>#NAME?</v>
      </c>
      <c r="BR239" s="525" t="e">
        <f ca="1">stat(calculs!BR239)</f>
        <v>#NAME?</v>
      </c>
    </row>
    <row r="240" spans="1:70" x14ac:dyDescent="0.2">
      <c r="A240" s="222">
        <f>données_step[[#This Row],[Datum]]</f>
        <v>44791</v>
      </c>
      <c r="B240" s="223"/>
      <c r="C240" s="224">
        <f t="shared" si="3"/>
        <v>5</v>
      </c>
      <c r="D240" s="523" t="e">
        <f ca="1">stat(charge_entree[[#This Row],[ch_E_DBO5]])</f>
        <v>#NAME?</v>
      </c>
      <c r="E240" s="523" t="e">
        <f ca="1">stat(charge_entree[[#This Row],[ch_E_DCO]])</f>
        <v>#NAME?</v>
      </c>
      <c r="F240" s="523" t="e">
        <f ca="1">stat(charge_entree[[#This Row],[ch_E_COT]])</f>
        <v>#NAME?</v>
      </c>
      <c r="G240" s="523" t="e">
        <f ca="1">stat(charge_entree[[#This Row],[ch_E_NH4]])</f>
        <v>#NAME?</v>
      </c>
      <c r="H240" s="523" t="e">
        <f ca="1">stat(charge_entree[[#This Row],[ch_E_NTOT]])</f>
        <v>#NAME?</v>
      </c>
      <c r="I240" s="523" t="e">
        <f ca="1">stat(charge_entree[[#This Row],[ch_E_PTOT]])</f>
        <v>#NAME?</v>
      </c>
      <c r="J240" s="523" t="e">
        <f ca="1">stat(charge_entree[[#This Row],[ch_S_DBO]])</f>
        <v>#NAME?</v>
      </c>
      <c r="K240" s="523" t="e">
        <f ca="1">stat(charge_entree[[#This Row],[ch_S-DCO]])</f>
        <v>#NAME?</v>
      </c>
      <c r="L240" s="523" t="e">
        <f ca="1">stat(charge_entree[[#This Row],[ch_S_DOC]])</f>
        <v>#NAME?</v>
      </c>
      <c r="M240" s="523" t="e">
        <f ca="1">stat(charge_entree[[#This Row],[ch_S_NH4]])</f>
        <v>#NAME?</v>
      </c>
      <c r="N240" s="523" t="e">
        <f ca="1">stat(charge_entree[[#This Row],[ch_S_NO2]])</f>
        <v>#NAME?</v>
      </c>
      <c r="O240" s="523" t="e">
        <f ca="1">stat(charge_entree[[#This Row],[ch_S_NO3]])</f>
        <v>#NAME?</v>
      </c>
      <c r="P240" s="523" t="e">
        <f ca="1">stat(charge_entree[[#This Row],[ch_S_PTOT]])</f>
        <v>#NAME?</v>
      </c>
      <c r="Q240" s="523" t="e">
        <f ca="1">stat(charge_entree[[#This Row],[ch_S_SNDT]])</f>
        <v>#NAME?</v>
      </c>
      <c r="R240" s="523">
        <f>calculs!R240</f>
        <v>0</v>
      </c>
      <c r="S240" s="523" t="e">
        <f ca="1">stat(calculs!S240)</f>
        <v>#NAME?</v>
      </c>
      <c r="T240" s="523" t="e">
        <f ca="1">stat(calculs!T240)</f>
        <v>#NAME?</v>
      </c>
      <c r="U240" s="523" t="e">
        <f ca="1">stat(calculs!U240)</f>
        <v>#NAME?</v>
      </c>
      <c r="V240" s="523" t="e">
        <f ca="1">stat(calculs!V240)</f>
        <v>#NAME?</v>
      </c>
      <c r="W240" s="523" t="e">
        <f ca="1">stat(calculs!W240)</f>
        <v>#NAME?</v>
      </c>
      <c r="X240" s="523" t="e">
        <f ca="1">stat(calculs!X240)</f>
        <v>#NAME?</v>
      </c>
      <c r="Y240" s="523" t="e">
        <f ca="1">stat(calculs!Y240)</f>
        <v>#NAME?</v>
      </c>
      <c r="Z240" s="523" t="e">
        <f ca="1">stat(calculs!Z240)</f>
        <v>#NAME?</v>
      </c>
      <c r="AA240" s="523" t="e">
        <f ca="1">stat(calculs!AA240)</f>
        <v>#NAME?</v>
      </c>
      <c r="AB240" s="523" t="e">
        <f ca="1">stat(calculs!AB240)</f>
        <v>#NAME?</v>
      </c>
      <c r="AC240" s="523" t="e">
        <f ca="1">stat(calculs!AC240)</f>
        <v>#NAME?</v>
      </c>
      <c r="AD240" s="523" t="e">
        <f ca="1">stat(calculs!AD240)</f>
        <v>#NAME?</v>
      </c>
      <c r="AE240" s="523" t="e">
        <f ca="1">stat(calculs!AE240)</f>
        <v>#NAME?</v>
      </c>
      <c r="AF240" s="523" t="e">
        <f ca="1">stat(calculs!AF240)</f>
        <v>#NAME?</v>
      </c>
      <c r="AG240" s="523" t="e">
        <f ca="1">stat(calculs!AG240)</f>
        <v>#NAME?</v>
      </c>
      <c r="AH240" s="523" t="e">
        <f ca="1">stat(calculs!AH240)</f>
        <v>#NAME?</v>
      </c>
      <c r="AI240" s="523" t="e">
        <f ca="1">stat(calculs!AI240)</f>
        <v>#NAME?</v>
      </c>
      <c r="AJ240" s="523" t="e">
        <f ca="1">stat(calculs!AJ240)</f>
        <v>#NAME?</v>
      </c>
      <c r="AK240" s="523" t="e">
        <f ca="1">stat(calculs!AK240)</f>
        <v>#NAME?</v>
      </c>
      <c r="AL240" s="523" t="e">
        <f ca="1">stat(calculs!AL240)</f>
        <v>#NAME?</v>
      </c>
      <c r="AM240" s="523" t="e">
        <f ca="1">stat(calculs!AM240)</f>
        <v>#NAME?</v>
      </c>
      <c r="AN240" s="523" t="e">
        <f ca="1">stat(calculs!AN240)</f>
        <v>#NAME?</v>
      </c>
      <c r="AO240" s="523" t="e">
        <f ca="1">stat(calculs!AO240)</f>
        <v>#NAME?</v>
      </c>
      <c r="AP240" s="523" t="e">
        <f ca="1">stat(calculs!AP240)</f>
        <v>#NAME?</v>
      </c>
      <c r="AQ240" s="523" t="e">
        <f ca="1">stat(calculs!AQ240)</f>
        <v>#NAME?</v>
      </c>
      <c r="AV240" s="525" t="str">
        <f>stat(calculs!AV240)</f>
        <v/>
      </c>
      <c r="AW240" s="525" t="str">
        <f>stat(calculs!AW240)</f>
        <v/>
      </c>
      <c r="AX240" s="525" t="str">
        <f>stat(calculs!AX240)</f>
        <v/>
      </c>
      <c r="AY240" s="525" t="e">
        <f ca="1">stat(calculs!AY240)</f>
        <v>#NAME?</v>
      </c>
      <c r="AZ240" s="525" t="e">
        <f ca="1">stat(calculs!AZ240)</f>
        <v>#NAME?</v>
      </c>
      <c r="BA240" s="525" t="e">
        <f ca="1">stat(calculs!BA240)</f>
        <v>#NAME?</v>
      </c>
      <c r="BB240" s="525" t="e">
        <f ca="1">stat(calculs!BB240)</f>
        <v>#NAME?</v>
      </c>
      <c r="BC240" s="525" t="e">
        <f ca="1">stat(calculs!BC240)</f>
        <v>#NAME?</v>
      </c>
      <c r="BD240" s="525" t="e">
        <f ca="1">stat(calculs!BD240)</f>
        <v>#NAME?</v>
      </c>
      <c r="BE240" s="525" t="e">
        <f ca="1">stat(calculs!BE240)</f>
        <v>#NAME?</v>
      </c>
      <c r="BF240" s="525" t="e">
        <f ca="1">stat(calculs!BF240)</f>
        <v>#NAME?</v>
      </c>
      <c r="BG240" s="729" t="e">
        <f ca="1">stat(calculs!BG240)</f>
        <v>#NAME?</v>
      </c>
      <c r="BH240" s="729" t="e">
        <f ca="1">stat(calculs!BH240)</f>
        <v>#NAME?</v>
      </c>
      <c r="BI240" s="729" t="e">
        <f ca="1">stat(calculs!BI240)</f>
        <v>#NAME?</v>
      </c>
      <c r="BJ240" s="729" t="e">
        <f ca="1">stat(calculs!BJ240)</f>
        <v>#NAME?</v>
      </c>
      <c r="BK240" s="729" t="e">
        <f ca="1">stat(calculs!BK240)</f>
        <v>#NAME?</v>
      </c>
      <c r="BL240" s="525" t="e">
        <f ca="1">stat(calculs!BL240)</f>
        <v>#NAME?</v>
      </c>
      <c r="BM240" s="525" t="e">
        <f ca="1">stat(calculs!BM240)</f>
        <v>#NAME?</v>
      </c>
      <c r="BN240" s="525" t="e">
        <f ca="1">stat(calculs!BN240)</f>
        <v>#NAME?</v>
      </c>
      <c r="BO240" s="525" t="e">
        <f ca="1">stat(calculs!BO240)</f>
        <v>#NAME?</v>
      </c>
      <c r="BP240" s="525" t="e">
        <f ca="1">stat(calculs!BP240)</f>
        <v>#NAME?</v>
      </c>
      <c r="BQ240" s="525" t="e">
        <f ca="1">stat(calculs!BQ240)</f>
        <v>#NAME?</v>
      </c>
      <c r="BR240" s="525" t="e">
        <f ca="1">stat(calculs!BR240)</f>
        <v>#NAME?</v>
      </c>
    </row>
    <row r="241" spans="1:70" x14ac:dyDescent="0.2">
      <c r="A241" s="222">
        <f>données_step[[#This Row],[Datum]]</f>
        <v>44792</v>
      </c>
      <c r="B241" s="223"/>
      <c r="C241" s="224">
        <f t="shared" si="3"/>
        <v>6</v>
      </c>
      <c r="D241" s="523" t="e">
        <f ca="1">stat(charge_entree[[#This Row],[ch_E_DBO5]])</f>
        <v>#NAME?</v>
      </c>
      <c r="E241" s="523" t="e">
        <f ca="1">stat(charge_entree[[#This Row],[ch_E_DCO]])</f>
        <v>#NAME?</v>
      </c>
      <c r="F241" s="523" t="e">
        <f ca="1">stat(charge_entree[[#This Row],[ch_E_COT]])</f>
        <v>#NAME?</v>
      </c>
      <c r="G241" s="523" t="e">
        <f ca="1">stat(charge_entree[[#This Row],[ch_E_NH4]])</f>
        <v>#NAME?</v>
      </c>
      <c r="H241" s="523" t="e">
        <f ca="1">stat(charge_entree[[#This Row],[ch_E_NTOT]])</f>
        <v>#NAME?</v>
      </c>
      <c r="I241" s="523" t="e">
        <f ca="1">stat(charge_entree[[#This Row],[ch_E_PTOT]])</f>
        <v>#NAME?</v>
      </c>
      <c r="J241" s="523" t="e">
        <f ca="1">stat(charge_entree[[#This Row],[ch_S_DBO]])</f>
        <v>#NAME?</v>
      </c>
      <c r="K241" s="523" t="e">
        <f ca="1">stat(charge_entree[[#This Row],[ch_S-DCO]])</f>
        <v>#NAME?</v>
      </c>
      <c r="L241" s="523" t="e">
        <f ca="1">stat(charge_entree[[#This Row],[ch_S_DOC]])</f>
        <v>#NAME?</v>
      </c>
      <c r="M241" s="523" t="e">
        <f ca="1">stat(charge_entree[[#This Row],[ch_S_NH4]])</f>
        <v>#NAME?</v>
      </c>
      <c r="N241" s="523" t="e">
        <f ca="1">stat(charge_entree[[#This Row],[ch_S_NO2]])</f>
        <v>#NAME?</v>
      </c>
      <c r="O241" s="523" t="e">
        <f ca="1">stat(charge_entree[[#This Row],[ch_S_NO3]])</f>
        <v>#NAME?</v>
      </c>
      <c r="P241" s="523" t="e">
        <f ca="1">stat(charge_entree[[#This Row],[ch_S_PTOT]])</f>
        <v>#NAME?</v>
      </c>
      <c r="Q241" s="523" t="e">
        <f ca="1">stat(charge_entree[[#This Row],[ch_S_SNDT]])</f>
        <v>#NAME?</v>
      </c>
      <c r="R241" s="523">
        <f>calculs!R241</f>
        <v>0</v>
      </c>
      <c r="S241" s="523" t="e">
        <f ca="1">stat(calculs!S241)</f>
        <v>#NAME?</v>
      </c>
      <c r="T241" s="523" t="e">
        <f ca="1">stat(calculs!T241)</f>
        <v>#NAME?</v>
      </c>
      <c r="U241" s="523" t="e">
        <f ca="1">stat(calculs!U241)</f>
        <v>#NAME?</v>
      </c>
      <c r="V241" s="523" t="e">
        <f ca="1">stat(calculs!V241)</f>
        <v>#NAME?</v>
      </c>
      <c r="W241" s="523" t="e">
        <f ca="1">stat(calculs!W241)</f>
        <v>#NAME?</v>
      </c>
      <c r="X241" s="523" t="e">
        <f ca="1">stat(calculs!X241)</f>
        <v>#NAME?</v>
      </c>
      <c r="Y241" s="523" t="e">
        <f ca="1">stat(calculs!Y241)</f>
        <v>#NAME?</v>
      </c>
      <c r="Z241" s="523" t="e">
        <f ca="1">stat(calculs!Z241)</f>
        <v>#NAME?</v>
      </c>
      <c r="AA241" s="523" t="e">
        <f ca="1">stat(calculs!AA241)</f>
        <v>#NAME?</v>
      </c>
      <c r="AB241" s="523" t="e">
        <f ca="1">stat(calculs!AB241)</f>
        <v>#NAME?</v>
      </c>
      <c r="AC241" s="523" t="e">
        <f ca="1">stat(calculs!AC241)</f>
        <v>#NAME?</v>
      </c>
      <c r="AD241" s="523" t="e">
        <f ca="1">stat(calculs!AD241)</f>
        <v>#NAME?</v>
      </c>
      <c r="AE241" s="523" t="e">
        <f ca="1">stat(calculs!AE241)</f>
        <v>#NAME?</v>
      </c>
      <c r="AF241" s="523" t="e">
        <f ca="1">stat(calculs!AF241)</f>
        <v>#NAME?</v>
      </c>
      <c r="AG241" s="523" t="e">
        <f ca="1">stat(calculs!AG241)</f>
        <v>#NAME?</v>
      </c>
      <c r="AH241" s="523" t="e">
        <f ca="1">stat(calculs!AH241)</f>
        <v>#NAME?</v>
      </c>
      <c r="AI241" s="523" t="e">
        <f ca="1">stat(calculs!AI241)</f>
        <v>#NAME?</v>
      </c>
      <c r="AJ241" s="523" t="e">
        <f ca="1">stat(calculs!AJ241)</f>
        <v>#NAME?</v>
      </c>
      <c r="AK241" s="523" t="e">
        <f ca="1">stat(calculs!AK241)</f>
        <v>#NAME?</v>
      </c>
      <c r="AL241" s="523" t="e">
        <f ca="1">stat(calculs!AL241)</f>
        <v>#NAME?</v>
      </c>
      <c r="AM241" s="523" t="e">
        <f ca="1">stat(calculs!AM241)</f>
        <v>#NAME?</v>
      </c>
      <c r="AN241" s="523" t="e">
        <f ca="1">stat(calculs!AN241)</f>
        <v>#NAME?</v>
      </c>
      <c r="AO241" s="523" t="e">
        <f ca="1">stat(calculs!AO241)</f>
        <v>#NAME?</v>
      </c>
      <c r="AP241" s="523" t="e">
        <f ca="1">stat(calculs!AP241)</f>
        <v>#NAME?</v>
      </c>
      <c r="AQ241" s="523" t="e">
        <f ca="1">stat(calculs!AQ241)</f>
        <v>#NAME?</v>
      </c>
      <c r="AV241" s="525" t="str">
        <f>stat(calculs!AV241)</f>
        <v/>
      </c>
      <c r="AW241" s="525" t="str">
        <f>stat(calculs!AW241)</f>
        <v/>
      </c>
      <c r="AX241" s="525" t="str">
        <f>stat(calculs!AX241)</f>
        <v/>
      </c>
      <c r="AY241" s="525" t="e">
        <f ca="1">stat(calculs!AY241)</f>
        <v>#NAME?</v>
      </c>
      <c r="AZ241" s="525" t="e">
        <f ca="1">stat(calculs!AZ241)</f>
        <v>#NAME?</v>
      </c>
      <c r="BA241" s="525" t="e">
        <f ca="1">stat(calculs!BA241)</f>
        <v>#NAME?</v>
      </c>
      <c r="BB241" s="525" t="e">
        <f ca="1">stat(calculs!BB241)</f>
        <v>#NAME?</v>
      </c>
      <c r="BC241" s="525" t="e">
        <f ca="1">stat(calculs!BC241)</f>
        <v>#NAME?</v>
      </c>
      <c r="BD241" s="525" t="e">
        <f ca="1">stat(calculs!BD241)</f>
        <v>#NAME?</v>
      </c>
      <c r="BE241" s="525" t="e">
        <f ca="1">stat(calculs!BE241)</f>
        <v>#NAME?</v>
      </c>
      <c r="BF241" s="525" t="e">
        <f ca="1">stat(calculs!BF241)</f>
        <v>#NAME?</v>
      </c>
      <c r="BG241" s="729" t="e">
        <f ca="1">stat(calculs!BG241)</f>
        <v>#NAME?</v>
      </c>
      <c r="BH241" s="729" t="e">
        <f ca="1">stat(calculs!BH241)</f>
        <v>#NAME?</v>
      </c>
      <c r="BI241" s="729" t="e">
        <f ca="1">stat(calculs!BI241)</f>
        <v>#NAME?</v>
      </c>
      <c r="BJ241" s="729" t="e">
        <f ca="1">stat(calculs!BJ241)</f>
        <v>#NAME?</v>
      </c>
      <c r="BK241" s="729" t="e">
        <f ca="1">stat(calculs!BK241)</f>
        <v>#NAME?</v>
      </c>
      <c r="BL241" s="525" t="e">
        <f ca="1">stat(calculs!BL241)</f>
        <v>#NAME?</v>
      </c>
      <c r="BM241" s="525" t="e">
        <f ca="1">stat(calculs!BM241)</f>
        <v>#NAME?</v>
      </c>
      <c r="BN241" s="525" t="e">
        <f ca="1">stat(calculs!BN241)</f>
        <v>#NAME?</v>
      </c>
      <c r="BO241" s="525" t="e">
        <f ca="1">stat(calculs!BO241)</f>
        <v>#NAME?</v>
      </c>
      <c r="BP241" s="525" t="e">
        <f ca="1">stat(calculs!BP241)</f>
        <v>#NAME?</v>
      </c>
      <c r="BQ241" s="525" t="e">
        <f ca="1">stat(calculs!BQ241)</f>
        <v>#NAME?</v>
      </c>
      <c r="BR241" s="525" t="e">
        <f ca="1">stat(calculs!BR241)</f>
        <v>#NAME?</v>
      </c>
    </row>
    <row r="242" spans="1:70" x14ac:dyDescent="0.2">
      <c r="A242" s="222">
        <f>données_step[[#This Row],[Datum]]</f>
        <v>44793</v>
      </c>
      <c r="B242" s="223"/>
      <c r="C242" s="224">
        <f t="shared" si="3"/>
        <v>7</v>
      </c>
      <c r="D242" s="523" t="e">
        <f ca="1">stat(charge_entree[[#This Row],[ch_E_DBO5]])</f>
        <v>#NAME?</v>
      </c>
      <c r="E242" s="523" t="e">
        <f ca="1">stat(charge_entree[[#This Row],[ch_E_DCO]])</f>
        <v>#NAME?</v>
      </c>
      <c r="F242" s="523" t="e">
        <f ca="1">stat(charge_entree[[#This Row],[ch_E_COT]])</f>
        <v>#NAME?</v>
      </c>
      <c r="G242" s="523" t="e">
        <f ca="1">stat(charge_entree[[#This Row],[ch_E_NH4]])</f>
        <v>#NAME?</v>
      </c>
      <c r="H242" s="523" t="e">
        <f ca="1">stat(charge_entree[[#This Row],[ch_E_NTOT]])</f>
        <v>#NAME?</v>
      </c>
      <c r="I242" s="523" t="e">
        <f ca="1">stat(charge_entree[[#This Row],[ch_E_PTOT]])</f>
        <v>#NAME?</v>
      </c>
      <c r="J242" s="523" t="e">
        <f ca="1">stat(charge_entree[[#This Row],[ch_S_DBO]])</f>
        <v>#NAME?</v>
      </c>
      <c r="K242" s="523" t="e">
        <f ca="1">stat(charge_entree[[#This Row],[ch_S-DCO]])</f>
        <v>#NAME?</v>
      </c>
      <c r="L242" s="523" t="e">
        <f ca="1">stat(charge_entree[[#This Row],[ch_S_DOC]])</f>
        <v>#NAME?</v>
      </c>
      <c r="M242" s="523" t="e">
        <f ca="1">stat(charge_entree[[#This Row],[ch_S_NH4]])</f>
        <v>#NAME?</v>
      </c>
      <c r="N242" s="523" t="e">
        <f ca="1">stat(charge_entree[[#This Row],[ch_S_NO2]])</f>
        <v>#NAME?</v>
      </c>
      <c r="O242" s="523" t="e">
        <f ca="1">stat(charge_entree[[#This Row],[ch_S_NO3]])</f>
        <v>#NAME?</v>
      </c>
      <c r="P242" s="523" t="e">
        <f ca="1">stat(charge_entree[[#This Row],[ch_S_PTOT]])</f>
        <v>#NAME?</v>
      </c>
      <c r="Q242" s="523" t="e">
        <f ca="1">stat(charge_entree[[#This Row],[ch_S_SNDT]])</f>
        <v>#NAME?</v>
      </c>
      <c r="R242" s="523">
        <f>calculs!R242</f>
        <v>0</v>
      </c>
      <c r="S242" s="523" t="e">
        <f ca="1">stat(calculs!S242)</f>
        <v>#NAME?</v>
      </c>
      <c r="T242" s="523" t="e">
        <f ca="1">stat(calculs!T242)</f>
        <v>#NAME?</v>
      </c>
      <c r="U242" s="523" t="e">
        <f ca="1">stat(calculs!U242)</f>
        <v>#NAME?</v>
      </c>
      <c r="V242" s="523" t="e">
        <f ca="1">stat(calculs!V242)</f>
        <v>#NAME?</v>
      </c>
      <c r="W242" s="523" t="e">
        <f ca="1">stat(calculs!W242)</f>
        <v>#NAME?</v>
      </c>
      <c r="X242" s="523" t="e">
        <f ca="1">stat(calculs!X242)</f>
        <v>#NAME?</v>
      </c>
      <c r="Y242" s="523" t="e">
        <f ca="1">stat(calculs!Y242)</f>
        <v>#NAME?</v>
      </c>
      <c r="Z242" s="523" t="e">
        <f ca="1">stat(calculs!Z242)</f>
        <v>#NAME?</v>
      </c>
      <c r="AA242" s="523" t="e">
        <f ca="1">stat(calculs!AA242)</f>
        <v>#NAME?</v>
      </c>
      <c r="AB242" s="523" t="e">
        <f ca="1">stat(calculs!AB242)</f>
        <v>#NAME?</v>
      </c>
      <c r="AC242" s="523" t="e">
        <f ca="1">stat(calculs!AC242)</f>
        <v>#NAME?</v>
      </c>
      <c r="AD242" s="523" t="e">
        <f ca="1">stat(calculs!AD242)</f>
        <v>#NAME?</v>
      </c>
      <c r="AE242" s="523" t="e">
        <f ca="1">stat(calculs!AE242)</f>
        <v>#NAME?</v>
      </c>
      <c r="AF242" s="523" t="e">
        <f ca="1">stat(calculs!AF242)</f>
        <v>#NAME?</v>
      </c>
      <c r="AG242" s="523" t="e">
        <f ca="1">stat(calculs!AG242)</f>
        <v>#NAME?</v>
      </c>
      <c r="AH242" s="523" t="e">
        <f ca="1">stat(calculs!AH242)</f>
        <v>#NAME?</v>
      </c>
      <c r="AI242" s="523" t="e">
        <f ca="1">stat(calculs!AI242)</f>
        <v>#NAME?</v>
      </c>
      <c r="AJ242" s="523" t="e">
        <f ca="1">stat(calculs!AJ242)</f>
        <v>#NAME?</v>
      </c>
      <c r="AK242" s="523" t="e">
        <f ca="1">stat(calculs!AK242)</f>
        <v>#NAME?</v>
      </c>
      <c r="AL242" s="523" t="e">
        <f ca="1">stat(calculs!AL242)</f>
        <v>#NAME?</v>
      </c>
      <c r="AM242" s="523" t="e">
        <f ca="1">stat(calculs!AM242)</f>
        <v>#NAME?</v>
      </c>
      <c r="AN242" s="523" t="e">
        <f ca="1">stat(calculs!AN242)</f>
        <v>#NAME?</v>
      </c>
      <c r="AO242" s="523" t="e">
        <f ca="1">stat(calculs!AO242)</f>
        <v>#NAME?</v>
      </c>
      <c r="AP242" s="523" t="e">
        <f ca="1">stat(calculs!AP242)</f>
        <v>#NAME?</v>
      </c>
      <c r="AQ242" s="523" t="e">
        <f ca="1">stat(calculs!AQ242)</f>
        <v>#NAME?</v>
      </c>
      <c r="AV242" s="525" t="str">
        <f>stat(calculs!AV242)</f>
        <v/>
      </c>
      <c r="AW242" s="525" t="str">
        <f>stat(calculs!AW242)</f>
        <v/>
      </c>
      <c r="AX242" s="525" t="str">
        <f>stat(calculs!AX242)</f>
        <v/>
      </c>
      <c r="AY242" s="525" t="e">
        <f ca="1">stat(calculs!AY242)</f>
        <v>#NAME?</v>
      </c>
      <c r="AZ242" s="525" t="e">
        <f ca="1">stat(calculs!AZ242)</f>
        <v>#NAME?</v>
      </c>
      <c r="BA242" s="525" t="e">
        <f ca="1">stat(calculs!BA242)</f>
        <v>#NAME?</v>
      </c>
      <c r="BB242" s="525" t="e">
        <f ca="1">stat(calculs!BB242)</f>
        <v>#NAME?</v>
      </c>
      <c r="BC242" s="525" t="e">
        <f ca="1">stat(calculs!BC242)</f>
        <v>#NAME?</v>
      </c>
      <c r="BD242" s="525" t="e">
        <f ca="1">stat(calculs!BD242)</f>
        <v>#NAME?</v>
      </c>
      <c r="BE242" s="525" t="e">
        <f ca="1">stat(calculs!BE242)</f>
        <v>#NAME?</v>
      </c>
      <c r="BF242" s="525" t="e">
        <f ca="1">stat(calculs!BF242)</f>
        <v>#NAME?</v>
      </c>
      <c r="BG242" s="729" t="e">
        <f ca="1">stat(calculs!BG242)</f>
        <v>#NAME?</v>
      </c>
      <c r="BH242" s="729" t="e">
        <f ca="1">stat(calculs!BH242)</f>
        <v>#NAME?</v>
      </c>
      <c r="BI242" s="729" t="e">
        <f ca="1">stat(calculs!BI242)</f>
        <v>#NAME?</v>
      </c>
      <c r="BJ242" s="729" t="e">
        <f ca="1">stat(calculs!BJ242)</f>
        <v>#NAME?</v>
      </c>
      <c r="BK242" s="729" t="e">
        <f ca="1">stat(calculs!BK242)</f>
        <v>#NAME?</v>
      </c>
      <c r="BL242" s="525" t="e">
        <f ca="1">stat(calculs!BL242)</f>
        <v>#NAME?</v>
      </c>
      <c r="BM242" s="525" t="e">
        <f ca="1">stat(calculs!BM242)</f>
        <v>#NAME?</v>
      </c>
      <c r="BN242" s="525" t="e">
        <f ca="1">stat(calculs!BN242)</f>
        <v>#NAME?</v>
      </c>
      <c r="BO242" s="525" t="e">
        <f ca="1">stat(calculs!BO242)</f>
        <v>#NAME?</v>
      </c>
      <c r="BP242" s="525" t="e">
        <f ca="1">stat(calculs!BP242)</f>
        <v>#NAME?</v>
      </c>
      <c r="BQ242" s="525" t="e">
        <f ca="1">stat(calculs!BQ242)</f>
        <v>#NAME?</v>
      </c>
      <c r="BR242" s="525" t="e">
        <f ca="1">stat(calculs!BR242)</f>
        <v>#NAME?</v>
      </c>
    </row>
    <row r="243" spans="1:70" x14ac:dyDescent="0.2">
      <c r="A243" s="222">
        <f>données_step[[#This Row],[Datum]]</f>
        <v>44794</v>
      </c>
      <c r="B243" s="223"/>
      <c r="C243" s="224">
        <f t="shared" si="3"/>
        <v>1</v>
      </c>
      <c r="D243" s="523" t="e">
        <f ca="1">stat(charge_entree[[#This Row],[ch_E_DBO5]])</f>
        <v>#NAME?</v>
      </c>
      <c r="E243" s="523" t="e">
        <f ca="1">stat(charge_entree[[#This Row],[ch_E_DCO]])</f>
        <v>#NAME?</v>
      </c>
      <c r="F243" s="523" t="e">
        <f ca="1">stat(charge_entree[[#This Row],[ch_E_COT]])</f>
        <v>#NAME?</v>
      </c>
      <c r="G243" s="523" t="e">
        <f ca="1">stat(charge_entree[[#This Row],[ch_E_NH4]])</f>
        <v>#NAME?</v>
      </c>
      <c r="H243" s="523" t="e">
        <f ca="1">stat(charge_entree[[#This Row],[ch_E_NTOT]])</f>
        <v>#NAME?</v>
      </c>
      <c r="I243" s="523" t="e">
        <f ca="1">stat(charge_entree[[#This Row],[ch_E_PTOT]])</f>
        <v>#NAME?</v>
      </c>
      <c r="J243" s="523" t="e">
        <f ca="1">stat(charge_entree[[#This Row],[ch_S_DBO]])</f>
        <v>#NAME?</v>
      </c>
      <c r="K243" s="523" t="e">
        <f ca="1">stat(charge_entree[[#This Row],[ch_S-DCO]])</f>
        <v>#NAME?</v>
      </c>
      <c r="L243" s="523" t="e">
        <f ca="1">stat(charge_entree[[#This Row],[ch_S_DOC]])</f>
        <v>#NAME?</v>
      </c>
      <c r="M243" s="523" t="e">
        <f ca="1">stat(charge_entree[[#This Row],[ch_S_NH4]])</f>
        <v>#NAME?</v>
      </c>
      <c r="N243" s="523" t="e">
        <f ca="1">stat(charge_entree[[#This Row],[ch_S_NO2]])</f>
        <v>#NAME?</v>
      </c>
      <c r="O243" s="523" t="e">
        <f ca="1">stat(charge_entree[[#This Row],[ch_S_NO3]])</f>
        <v>#NAME?</v>
      </c>
      <c r="P243" s="523" t="e">
        <f ca="1">stat(charge_entree[[#This Row],[ch_S_PTOT]])</f>
        <v>#NAME?</v>
      </c>
      <c r="Q243" s="523" t="e">
        <f ca="1">stat(charge_entree[[#This Row],[ch_S_SNDT]])</f>
        <v>#NAME?</v>
      </c>
      <c r="R243" s="523">
        <f>calculs!R243</f>
        <v>0</v>
      </c>
      <c r="S243" s="523" t="e">
        <f ca="1">stat(calculs!S243)</f>
        <v>#NAME?</v>
      </c>
      <c r="T243" s="523" t="e">
        <f ca="1">stat(calculs!T243)</f>
        <v>#NAME?</v>
      </c>
      <c r="U243" s="523" t="e">
        <f ca="1">stat(calculs!U243)</f>
        <v>#NAME?</v>
      </c>
      <c r="V243" s="523" t="e">
        <f ca="1">stat(calculs!V243)</f>
        <v>#NAME?</v>
      </c>
      <c r="W243" s="523" t="e">
        <f ca="1">stat(calculs!W243)</f>
        <v>#NAME?</v>
      </c>
      <c r="X243" s="523" t="e">
        <f ca="1">stat(calculs!X243)</f>
        <v>#NAME?</v>
      </c>
      <c r="Y243" s="523" t="e">
        <f ca="1">stat(calculs!Y243)</f>
        <v>#NAME?</v>
      </c>
      <c r="Z243" s="523" t="e">
        <f ca="1">stat(calculs!Z243)</f>
        <v>#NAME?</v>
      </c>
      <c r="AA243" s="523" t="e">
        <f ca="1">stat(calculs!AA243)</f>
        <v>#NAME?</v>
      </c>
      <c r="AB243" s="523" t="e">
        <f ca="1">stat(calculs!AB243)</f>
        <v>#NAME?</v>
      </c>
      <c r="AC243" s="523" t="e">
        <f ca="1">stat(calculs!AC243)</f>
        <v>#NAME?</v>
      </c>
      <c r="AD243" s="523" t="e">
        <f ca="1">stat(calculs!AD243)</f>
        <v>#NAME?</v>
      </c>
      <c r="AE243" s="523" t="e">
        <f ca="1">stat(calculs!AE243)</f>
        <v>#NAME?</v>
      </c>
      <c r="AF243" s="523" t="e">
        <f ca="1">stat(calculs!AF243)</f>
        <v>#NAME?</v>
      </c>
      <c r="AG243" s="523" t="e">
        <f ca="1">stat(calculs!AG243)</f>
        <v>#NAME?</v>
      </c>
      <c r="AH243" s="523" t="e">
        <f ca="1">stat(calculs!AH243)</f>
        <v>#NAME?</v>
      </c>
      <c r="AI243" s="523" t="e">
        <f ca="1">stat(calculs!AI243)</f>
        <v>#NAME?</v>
      </c>
      <c r="AJ243" s="523" t="e">
        <f ca="1">stat(calculs!AJ243)</f>
        <v>#NAME?</v>
      </c>
      <c r="AK243" s="523" t="e">
        <f ca="1">stat(calculs!AK243)</f>
        <v>#NAME?</v>
      </c>
      <c r="AL243" s="523" t="e">
        <f ca="1">stat(calculs!AL243)</f>
        <v>#NAME?</v>
      </c>
      <c r="AM243" s="523" t="e">
        <f ca="1">stat(calculs!AM243)</f>
        <v>#NAME?</v>
      </c>
      <c r="AN243" s="523" t="e">
        <f ca="1">stat(calculs!AN243)</f>
        <v>#NAME?</v>
      </c>
      <c r="AO243" s="523" t="e">
        <f ca="1">stat(calculs!AO243)</f>
        <v>#NAME?</v>
      </c>
      <c r="AP243" s="523" t="e">
        <f ca="1">stat(calculs!AP243)</f>
        <v>#NAME?</v>
      </c>
      <c r="AQ243" s="523" t="e">
        <f ca="1">stat(calculs!AQ243)</f>
        <v>#NAME?</v>
      </c>
      <c r="AV243" s="525" t="str">
        <f>stat(calculs!AV243)</f>
        <v/>
      </c>
      <c r="AW243" s="525" t="str">
        <f>stat(calculs!AW243)</f>
        <v/>
      </c>
      <c r="AX243" s="525" t="str">
        <f>stat(calculs!AX243)</f>
        <v/>
      </c>
      <c r="AY243" s="525" t="e">
        <f ca="1">stat(calculs!AY243)</f>
        <v>#NAME?</v>
      </c>
      <c r="AZ243" s="525" t="e">
        <f ca="1">stat(calculs!AZ243)</f>
        <v>#NAME?</v>
      </c>
      <c r="BA243" s="525" t="e">
        <f ca="1">stat(calculs!BA243)</f>
        <v>#NAME?</v>
      </c>
      <c r="BB243" s="525" t="e">
        <f ca="1">stat(calculs!BB243)</f>
        <v>#NAME?</v>
      </c>
      <c r="BC243" s="525" t="e">
        <f ca="1">stat(calculs!BC243)</f>
        <v>#NAME?</v>
      </c>
      <c r="BD243" s="525" t="e">
        <f ca="1">stat(calculs!BD243)</f>
        <v>#NAME?</v>
      </c>
      <c r="BE243" s="525" t="e">
        <f ca="1">stat(calculs!BE243)</f>
        <v>#NAME?</v>
      </c>
      <c r="BF243" s="525" t="e">
        <f ca="1">stat(calculs!BF243)</f>
        <v>#NAME?</v>
      </c>
      <c r="BG243" s="729" t="e">
        <f ca="1">stat(calculs!BG243)</f>
        <v>#NAME?</v>
      </c>
      <c r="BH243" s="729" t="e">
        <f ca="1">stat(calculs!BH243)</f>
        <v>#NAME?</v>
      </c>
      <c r="BI243" s="729" t="e">
        <f ca="1">stat(calculs!BI243)</f>
        <v>#NAME?</v>
      </c>
      <c r="BJ243" s="729" t="e">
        <f ca="1">stat(calculs!BJ243)</f>
        <v>#NAME?</v>
      </c>
      <c r="BK243" s="729" t="e">
        <f ca="1">stat(calculs!BK243)</f>
        <v>#NAME?</v>
      </c>
      <c r="BL243" s="525" t="e">
        <f ca="1">stat(calculs!BL243)</f>
        <v>#NAME?</v>
      </c>
      <c r="BM243" s="525" t="e">
        <f ca="1">stat(calculs!BM243)</f>
        <v>#NAME?</v>
      </c>
      <c r="BN243" s="525" t="e">
        <f ca="1">stat(calculs!BN243)</f>
        <v>#NAME?</v>
      </c>
      <c r="BO243" s="525" t="e">
        <f ca="1">stat(calculs!BO243)</f>
        <v>#NAME?</v>
      </c>
      <c r="BP243" s="525" t="e">
        <f ca="1">stat(calculs!BP243)</f>
        <v>#NAME?</v>
      </c>
      <c r="BQ243" s="525" t="e">
        <f ca="1">stat(calculs!BQ243)</f>
        <v>#NAME?</v>
      </c>
      <c r="BR243" s="525" t="e">
        <f ca="1">stat(calculs!BR243)</f>
        <v>#NAME?</v>
      </c>
    </row>
    <row r="244" spans="1:70" x14ac:dyDescent="0.2">
      <c r="A244" s="222">
        <f>données_step[[#This Row],[Datum]]</f>
        <v>44795</v>
      </c>
      <c r="B244" s="223"/>
      <c r="C244" s="224">
        <f t="shared" si="3"/>
        <v>2</v>
      </c>
      <c r="D244" s="523" t="e">
        <f ca="1">stat(charge_entree[[#This Row],[ch_E_DBO5]])</f>
        <v>#NAME?</v>
      </c>
      <c r="E244" s="523" t="e">
        <f ca="1">stat(charge_entree[[#This Row],[ch_E_DCO]])</f>
        <v>#NAME?</v>
      </c>
      <c r="F244" s="523" t="e">
        <f ca="1">stat(charge_entree[[#This Row],[ch_E_COT]])</f>
        <v>#NAME?</v>
      </c>
      <c r="G244" s="523" t="e">
        <f ca="1">stat(charge_entree[[#This Row],[ch_E_NH4]])</f>
        <v>#NAME?</v>
      </c>
      <c r="H244" s="523" t="e">
        <f ca="1">stat(charge_entree[[#This Row],[ch_E_NTOT]])</f>
        <v>#NAME?</v>
      </c>
      <c r="I244" s="523" t="e">
        <f ca="1">stat(charge_entree[[#This Row],[ch_E_PTOT]])</f>
        <v>#NAME?</v>
      </c>
      <c r="J244" s="523" t="e">
        <f ca="1">stat(charge_entree[[#This Row],[ch_S_DBO]])</f>
        <v>#NAME?</v>
      </c>
      <c r="K244" s="523" t="e">
        <f ca="1">stat(charge_entree[[#This Row],[ch_S-DCO]])</f>
        <v>#NAME?</v>
      </c>
      <c r="L244" s="523" t="e">
        <f ca="1">stat(charge_entree[[#This Row],[ch_S_DOC]])</f>
        <v>#NAME?</v>
      </c>
      <c r="M244" s="523" t="e">
        <f ca="1">stat(charge_entree[[#This Row],[ch_S_NH4]])</f>
        <v>#NAME?</v>
      </c>
      <c r="N244" s="523" t="e">
        <f ca="1">stat(charge_entree[[#This Row],[ch_S_NO2]])</f>
        <v>#NAME?</v>
      </c>
      <c r="O244" s="523" t="e">
        <f ca="1">stat(charge_entree[[#This Row],[ch_S_NO3]])</f>
        <v>#NAME?</v>
      </c>
      <c r="P244" s="523" t="e">
        <f ca="1">stat(charge_entree[[#This Row],[ch_S_PTOT]])</f>
        <v>#NAME?</v>
      </c>
      <c r="Q244" s="523" t="e">
        <f ca="1">stat(charge_entree[[#This Row],[ch_S_SNDT]])</f>
        <v>#NAME?</v>
      </c>
      <c r="R244" s="523">
        <f>calculs!R244</f>
        <v>0</v>
      </c>
      <c r="S244" s="523" t="e">
        <f ca="1">stat(calculs!S244)</f>
        <v>#NAME?</v>
      </c>
      <c r="T244" s="523" t="e">
        <f ca="1">stat(calculs!T244)</f>
        <v>#NAME?</v>
      </c>
      <c r="U244" s="523" t="e">
        <f ca="1">stat(calculs!U244)</f>
        <v>#NAME?</v>
      </c>
      <c r="V244" s="523" t="e">
        <f ca="1">stat(calculs!V244)</f>
        <v>#NAME?</v>
      </c>
      <c r="W244" s="523" t="e">
        <f ca="1">stat(calculs!W244)</f>
        <v>#NAME?</v>
      </c>
      <c r="X244" s="523" t="e">
        <f ca="1">stat(calculs!X244)</f>
        <v>#NAME?</v>
      </c>
      <c r="Y244" s="523" t="e">
        <f ca="1">stat(calculs!Y244)</f>
        <v>#NAME?</v>
      </c>
      <c r="Z244" s="523" t="e">
        <f ca="1">stat(calculs!Z244)</f>
        <v>#NAME?</v>
      </c>
      <c r="AA244" s="523" t="e">
        <f ca="1">stat(calculs!AA244)</f>
        <v>#NAME?</v>
      </c>
      <c r="AB244" s="523" t="e">
        <f ca="1">stat(calculs!AB244)</f>
        <v>#NAME?</v>
      </c>
      <c r="AC244" s="523" t="e">
        <f ca="1">stat(calculs!AC244)</f>
        <v>#NAME?</v>
      </c>
      <c r="AD244" s="523" t="e">
        <f ca="1">stat(calculs!AD244)</f>
        <v>#NAME?</v>
      </c>
      <c r="AE244" s="523" t="e">
        <f ca="1">stat(calculs!AE244)</f>
        <v>#NAME?</v>
      </c>
      <c r="AF244" s="523" t="e">
        <f ca="1">stat(calculs!AF244)</f>
        <v>#NAME?</v>
      </c>
      <c r="AG244" s="523" t="e">
        <f ca="1">stat(calculs!AG244)</f>
        <v>#NAME?</v>
      </c>
      <c r="AH244" s="523" t="e">
        <f ca="1">stat(calculs!AH244)</f>
        <v>#NAME?</v>
      </c>
      <c r="AI244" s="523" t="e">
        <f ca="1">stat(calculs!AI244)</f>
        <v>#NAME?</v>
      </c>
      <c r="AJ244" s="523" t="e">
        <f ca="1">stat(calculs!AJ244)</f>
        <v>#NAME?</v>
      </c>
      <c r="AK244" s="523" t="e">
        <f ca="1">stat(calculs!AK244)</f>
        <v>#NAME?</v>
      </c>
      <c r="AL244" s="523" t="e">
        <f ca="1">stat(calculs!AL244)</f>
        <v>#NAME?</v>
      </c>
      <c r="AM244" s="523" t="e">
        <f ca="1">stat(calculs!AM244)</f>
        <v>#NAME?</v>
      </c>
      <c r="AN244" s="523" t="e">
        <f ca="1">stat(calculs!AN244)</f>
        <v>#NAME?</v>
      </c>
      <c r="AO244" s="523" t="e">
        <f ca="1">stat(calculs!AO244)</f>
        <v>#NAME?</v>
      </c>
      <c r="AP244" s="523" t="e">
        <f ca="1">stat(calculs!AP244)</f>
        <v>#NAME?</v>
      </c>
      <c r="AQ244" s="523" t="e">
        <f ca="1">stat(calculs!AQ244)</f>
        <v>#NAME?</v>
      </c>
      <c r="AV244" s="525" t="str">
        <f>stat(calculs!AV244)</f>
        <v/>
      </c>
      <c r="AW244" s="525" t="str">
        <f>stat(calculs!AW244)</f>
        <v/>
      </c>
      <c r="AX244" s="525" t="str">
        <f>stat(calculs!AX244)</f>
        <v/>
      </c>
      <c r="AY244" s="525" t="e">
        <f ca="1">stat(calculs!AY244)</f>
        <v>#NAME?</v>
      </c>
      <c r="AZ244" s="525" t="e">
        <f ca="1">stat(calculs!AZ244)</f>
        <v>#NAME?</v>
      </c>
      <c r="BA244" s="525" t="e">
        <f ca="1">stat(calculs!BA244)</f>
        <v>#NAME?</v>
      </c>
      <c r="BB244" s="525" t="e">
        <f ca="1">stat(calculs!BB244)</f>
        <v>#NAME?</v>
      </c>
      <c r="BC244" s="525" t="e">
        <f ca="1">stat(calculs!BC244)</f>
        <v>#NAME?</v>
      </c>
      <c r="BD244" s="525" t="e">
        <f ca="1">stat(calculs!BD244)</f>
        <v>#NAME?</v>
      </c>
      <c r="BE244" s="525" t="e">
        <f ca="1">stat(calculs!BE244)</f>
        <v>#NAME?</v>
      </c>
      <c r="BF244" s="525" t="e">
        <f ca="1">stat(calculs!BF244)</f>
        <v>#NAME?</v>
      </c>
      <c r="BG244" s="729" t="e">
        <f ca="1">stat(calculs!BG244)</f>
        <v>#NAME?</v>
      </c>
      <c r="BH244" s="729" t="e">
        <f ca="1">stat(calculs!BH244)</f>
        <v>#NAME?</v>
      </c>
      <c r="BI244" s="729" t="e">
        <f ca="1">stat(calculs!BI244)</f>
        <v>#NAME?</v>
      </c>
      <c r="BJ244" s="729" t="e">
        <f ca="1">stat(calculs!BJ244)</f>
        <v>#NAME?</v>
      </c>
      <c r="BK244" s="729" t="e">
        <f ca="1">stat(calculs!BK244)</f>
        <v>#NAME?</v>
      </c>
      <c r="BL244" s="525" t="e">
        <f ca="1">stat(calculs!BL244)</f>
        <v>#NAME?</v>
      </c>
      <c r="BM244" s="525" t="e">
        <f ca="1">stat(calculs!BM244)</f>
        <v>#NAME?</v>
      </c>
      <c r="BN244" s="525" t="e">
        <f ca="1">stat(calculs!BN244)</f>
        <v>#NAME?</v>
      </c>
      <c r="BO244" s="525" t="e">
        <f ca="1">stat(calculs!BO244)</f>
        <v>#NAME?</v>
      </c>
      <c r="BP244" s="525" t="e">
        <f ca="1">stat(calculs!BP244)</f>
        <v>#NAME?</v>
      </c>
      <c r="BQ244" s="525" t="e">
        <f ca="1">stat(calculs!BQ244)</f>
        <v>#NAME?</v>
      </c>
      <c r="BR244" s="525" t="e">
        <f ca="1">stat(calculs!BR244)</f>
        <v>#NAME?</v>
      </c>
    </row>
    <row r="245" spans="1:70" x14ac:dyDescent="0.2">
      <c r="A245" s="222">
        <f>données_step[[#This Row],[Datum]]</f>
        <v>44796</v>
      </c>
      <c r="B245" s="223"/>
      <c r="C245" s="224">
        <f t="shared" si="3"/>
        <v>3</v>
      </c>
      <c r="D245" s="523" t="e">
        <f ca="1">stat(charge_entree[[#This Row],[ch_E_DBO5]])</f>
        <v>#NAME?</v>
      </c>
      <c r="E245" s="523" t="e">
        <f ca="1">stat(charge_entree[[#This Row],[ch_E_DCO]])</f>
        <v>#NAME?</v>
      </c>
      <c r="F245" s="523" t="e">
        <f ca="1">stat(charge_entree[[#This Row],[ch_E_COT]])</f>
        <v>#NAME?</v>
      </c>
      <c r="G245" s="523" t="e">
        <f ca="1">stat(charge_entree[[#This Row],[ch_E_NH4]])</f>
        <v>#NAME?</v>
      </c>
      <c r="H245" s="523" t="e">
        <f ca="1">stat(charge_entree[[#This Row],[ch_E_NTOT]])</f>
        <v>#NAME?</v>
      </c>
      <c r="I245" s="523" t="e">
        <f ca="1">stat(charge_entree[[#This Row],[ch_E_PTOT]])</f>
        <v>#NAME?</v>
      </c>
      <c r="J245" s="523" t="e">
        <f ca="1">stat(charge_entree[[#This Row],[ch_S_DBO]])</f>
        <v>#NAME?</v>
      </c>
      <c r="K245" s="523" t="e">
        <f ca="1">stat(charge_entree[[#This Row],[ch_S-DCO]])</f>
        <v>#NAME?</v>
      </c>
      <c r="L245" s="523" t="e">
        <f ca="1">stat(charge_entree[[#This Row],[ch_S_DOC]])</f>
        <v>#NAME?</v>
      </c>
      <c r="M245" s="523" t="e">
        <f ca="1">stat(charge_entree[[#This Row],[ch_S_NH4]])</f>
        <v>#NAME?</v>
      </c>
      <c r="N245" s="523" t="e">
        <f ca="1">stat(charge_entree[[#This Row],[ch_S_NO2]])</f>
        <v>#NAME?</v>
      </c>
      <c r="O245" s="523" t="e">
        <f ca="1">stat(charge_entree[[#This Row],[ch_S_NO3]])</f>
        <v>#NAME?</v>
      </c>
      <c r="P245" s="523" t="e">
        <f ca="1">stat(charge_entree[[#This Row],[ch_S_PTOT]])</f>
        <v>#NAME?</v>
      </c>
      <c r="Q245" s="523" t="e">
        <f ca="1">stat(charge_entree[[#This Row],[ch_S_SNDT]])</f>
        <v>#NAME?</v>
      </c>
      <c r="R245" s="523">
        <f>calculs!R245</f>
        <v>0</v>
      </c>
      <c r="S245" s="523" t="e">
        <f ca="1">stat(calculs!S245)</f>
        <v>#NAME?</v>
      </c>
      <c r="T245" s="523" t="e">
        <f ca="1">stat(calculs!T245)</f>
        <v>#NAME?</v>
      </c>
      <c r="U245" s="523" t="e">
        <f ca="1">stat(calculs!U245)</f>
        <v>#NAME?</v>
      </c>
      <c r="V245" s="523" t="e">
        <f ca="1">stat(calculs!V245)</f>
        <v>#NAME?</v>
      </c>
      <c r="W245" s="523" t="e">
        <f ca="1">stat(calculs!W245)</f>
        <v>#NAME?</v>
      </c>
      <c r="X245" s="523" t="e">
        <f ca="1">stat(calculs!X245)</f>
        <v>#NAME?</v>
      </c>
      <c r="Y245" s="523" t="e">
        <f ca="1">stat(calculs!Y245)</f>
        <v>#NAME?</v>
      </c>
      <c r="Z245" s="523" t="e">
        <f ca="1">stat(calculs!Z245)</f>
        <v>#NAME?</v>
      </c>
      <c r="AA245" s="523" t="e">
        <f ca="1">stat(calculs!AA245)</f>
        <v>#NAME?</v>
      </c>
      <c r="AB245" s="523" t="e">
        <f ca="1">stat(calculs!AB245)</f>
        <v>#NAME?</v>
      </c>
      <c r="AC245" s="523" t="e">
        <f ca="1">stat(calculs!AC245)</f>
        <v>#NAME?</v>
      </c>
      <c r="AD245" s="523" t="e">
        <f ca="1">stat(calculs!AD245)</f>
        <v>#NAME?</v>
      </c>
      <c r="AE245" s="523" t="e">
        <f ca="1">stat(calculs!AE245)</f>
        <v>#NAME?</v>
      </c>
      <c r="AF245" s="523" t="e">
        <f ca="1">stat(calculs!AF245)</f>
        <v>#NAME?</v>
      </c>
      <c r="AG245" s="523" t="e">
        <f ca="1">stat(calculs!AG245)</f>
        <v>#NAME?</v>
      </c>
      <c r="AH245" s="523" t="e">
        <f ca="1">stat(calculs!AH245)</f>
        <v>#NAME?</v>
      </c>
      <c r="AI245" s="523" t="e">
        <f ca="1">stat(calculs!AI245)</f>
        <v>#NAME?</v>
      </c>
      <c r="AJ245" s="523" t="e">
        <f ca="1">stat(calculs!AJ245)</f>
        <v>#NAME?</v>
      </c>
      <c r="AK245" s="523" t="e">
        <f ca="1">stat(calculs!AK245)</f>
        <v>#NAME?</v>
      </c>
      <c r="AL245" s="523" t="e">
        <f ca="1">stat(calculs!AL245)</f>
        <v>#NAME?</v>
      </c>
      <c r="AM245" s="523" t="e">
        <f ca="1">stat(calculs!AM245)</f>
        <v>#NAME?</v>
      </c>
      <c r="AN245" s="523" t="e">
        <f ca="1">stat(calculs!AN245)</f>
        <v>#NAME?</v>
      </c>
      <c r="AO245" s="523" t="e">
        <f ca="1">stat(calculs!AO245)</f>
        <v>#NAME?</v>
      </c>
      <c r="AP245" s="523" t="e">
        <f ca="1">stat(calculs!AP245)</f>
        <v>#NAME?</v>
      </c>
      <c r="AQ245" s="523" t="e">
        <f ca="1">stat(calculs!AQ245)</f>
        <v>#NAME?</v>
      </c>
      <c r="AV245" s="525" t="str">
        <f>stat(calculs!AV245)</f>
        <v/>
      </c>
      <c r="AW245" s="525" t="str">
        <f>stat(calculs!AW245)</f>
        <v/>
      </c>
      <c r="AX245" s="525" t="str">
        <f>stat(calculs!AX245)</f>
        <v/>
      </c>
      <c r="AY245" s="525" t="e">
        <f ca="1">stat(calculs!AY245)</f>
        <v>#NAME?</v>
      </c>
      <c r="AZ245" s="525" t="e">
        <f ca="1">stat(calculs!AZ245)</f>
        <v>#NAME?</v>
      </c>
      <c r="BA245" s="525" t="e">
        <f ca="1">stat(calculs!BA245)</f>
        <v>#NAME?</v>
      </c>
      <c r="BB245" s="525" t="e">
        <f ca="1">stat(calculs!BB245)</f>
        <v>#NAME?</v>
      </c>
      <c r="BC245" s="525" t="e">
        <f ca="1">stat(calculs!BC245)</f>
        <v>#NAME?</v>
      </c>
      <c r="BD245" s="525" t="e">
        <f ca="1">stat(calculs!BD245)</f>
        <v>#NAME?</v>
      </c>
      <c r="BE245" s="525" t="e">
        <f ca="1">stat(calculs!BE245)</f>
        <v>#NAME?</v>
      </c>
      <c r="BF245" s="525" t="e">
        <f ca="1">stat(calculs!BF245)</f>
        <v>#NAME?</v>
      </c>
      <c r="BG245" s="729" t="e">
        <f ca="1">stat(calculs!BG245)</f>
        <v>#NAME?</v>
      </c>
      <c r="BH245" s="729" t="e">
        <f ca="1">stat(calculs!BH245)</f>
        <v>#NAME?</v>
      </c>
      <c r="BI245" s="729" t="e">
        <f ca="1">stat(calculs!BI245)</f>
        <v>#NAME?</v>
      </c>
      <c r="BJ245" s="729" t="e">
        <f ca="1">stat(calculs!BJ245)</f>
        <v>#NAME?</v>
      </c>
      <c r="BK245" s="729" t="e">
        <f ca="1">stat(calculs!BK245)</f>
        <v>#NAME?</v>
      </c>
      <c r="BL245" s="525" t="e">
        <f ca="1">stat(calculs!BL245)</f>
        <v>#NAME?</v>
      </c>
      <c r="BM245" s="525" t="e">
        <f ca="1">stat(calculs!BM245)</f>
        <v>#NAME?</v>
      </c>
      <c r="BN245" s="525" t="e">
        <f ca="1">stat(calculs!BN245)</f>
        <v>#NAME?</v>
      </c>
      <c r="BO245" s="525" t="e">
        <f ca="1">stat(calculs!BO245)</f>
        <v>#NAME?</v>
      </c>
      <c r="BP245" s="525" t="e">
        <f ca="1">stat(calculs!BP245)</f>
        <v>#NAME?</v>
      </c>
      <c r="BQ245" s="525" t="e">
        <f ca="1">stat(calculs!BQ245)</f>
        <v>#NAME?</v>
      </c>
      <c r="BR245" s="525" t="e">
        <f ca="1">stat(calculs!BR245)</f>
        <v>#NAME?</v>
      </c>
    </row>
    <row r="246" spans="1:70" x14ac:dyDescent="0.2">
      <c r="A246" s="222">
        <f>données_step[[#This Row],[Datum]]</f>
        <v>44797</v>
      </c>
      <c r="B246" s="223"/>
      <c r="C246" s="224">
        <f t="shared" si="3"/>
        <v>4</v>
      </c>
      <c r="D246" s="523" t="e">
        <f ca="1">stat(charge_entree[[#This Row],[ch_E_DBO5]])</f>
        <v>#NAME?</v>
      </c>
      <c r="E246" s="523" t="e">
        <f ca="1">stat(charge_entree[[#This Row],[ch_E_DCO]])</f>
        <v>#NAME?</v>
      </c>
      <c r="F246" s="523" t="e">
        <f ca="1">stat(charge_entree[[#This Row],[ch_E_COT]])</f>
        <v>#NAME?</v>
      </c>
      <c r="G246" s="523" t="e">
        <f ca="1">stat(charge_entree[[#This Row],[ch_E_NH4]])</f>
        <v>#NAME?</v>
      </c>
      <c r="H246" s="523" t="e">
        <f ca="1">stat(charge_entree[[#This Row],[ch_E_NTOT]])</f>
        <v>#NAME?</v>
      </c>
      <c r="I246" s="523" t="e">
        <f ca="1">stat(charge_entree[[#This Row],[ch_E_PTOT]])</f>
        <v>#NAME?</v>
      </c>
      <c r="J246" s="523" t="e">
        <f ca="1">stat(charge_entree[[#This Row],[ch_S_DBO]])</f>
        <v>#NAME?</v>
      </c>
      <c r="K246" s="523" t="e">
        <f ca="1">stat(charge_entree[[#This Row],[ch_S-DCO]])</f>
        <v>#NAME?</v>
      </c>
      <c r="L246" s="523" t="e">
        <f ca="1">stat(charge_entree[[#This Row],[ch_S_DOC]])</f>
        <v>#NAME?</v>
      </c>
      <c r="M246" s="523" t="e">
        <f ca="1">stat(charge_entree[[#This Row],[ch_S_NH4]])</f>
        <v>#NAME?</v>
      </c>
      <c r="N246" s="523" t="e">
        <f ca="1">stat(charge_entree[[#This Row],[ch_S_NO2]])</f>
        <v>#NAME?</v>
      </c>
      <c r="O246" s="523" t="e">
        <f ca="1">stat(charge_entree[[#This Row],[ch_S_NO3]])</f>
        <v>#NAME?</v>
      </c>
      <c r="P246" s="523" t="e">
        <f ca="1">stat(charge_entree[[#This Row],[ch_S_PTOT]])</f>
        <v>#NAME?</v>
      </c>
      <c r="Q246" s="523" t="e">
        <f ca="1">stat(charge_entree[[#This Row],[ch_S_SNDT]])</f>
        <v>#NAME?</v>
      </c>
      <c r="R246" s="523">
        <f>calculs!R246</f>
        <v>0</v>
      </c>
      <c r="S246" s="523" t="e">
        <f ca="1">stat(calculs!S246)</f>
        <v>#NAME?</v>
      </c>
      <c r="T246" s="523" t="e">
        <f ca="1">stat(calculs!T246)</f>
        <v>#NAME?</v>
      </c>
      <c r="U246" s="523" t="e">
        <f ca="1">stat(calculs!U246)</f>
        <v>#NAME?</v>
      </c>
      <c r="V246" s="523" t="e">
        <f ca="1">stat(calculs!V246)</f>
        <v>#NAME?</v>
      </c>
      <c r="W246" s="523" t="e">
        <f ca="1">stat(calculs!W246)</f>
        <v>#NAME?</v>
      </c>
      <c r="X246" s="523" t="e">
        <f ca="1">stat(calculs!X246)</f>
        <v>#NAME?</v>
      </c>
      <c r="Y246" s="523" t="e">
        <f ca="1">stat(calculs!Y246)</f>
        <v>#NAME?</v>
      </c>
      <c r="Z246" s="523" t="e">
        <f ca="1">stat(calculs!Z246)</f>
        <v>#NAME?</v>
      </c>
      <c r="AA246" s="523" t="e">
        <f ca="1">stat(calculs!AA246)</f>
        <v>#NAME?</v>
      </c>
      <c r="AB246" s="523" t="e">
        <f ca="1">stat(calculs!AB246)</f>
        <v>#NAME?</v>
      </c>
      <c r="AC246" s="523" t="e">
        <f ca="1">stat(calculs!AC246)</f>
        <v>#NAME?</v>
      </c>
      <c r="AD246" s="523" t="e">
        <f ca="1">stat(calculs!AD246)</f>
        <v>#NAME?</v>
      </c>
      <c r="AE246" s="523" t="e">
        <f ca="1">stat(calculs!AE246)</f>
        <v>#NAME?</v>
      </c>
      <c r="AF246" s="523" t="e">
        <f ca="1">stat(calculs!AF246)</f>
        <v>#NAME?</v>
      </c>
      <c r="AG246" s="523" t="e">
        <f ca="1">stat(calculs!AG246)</f>
        <v>#NAME?</v>
      </c>
      <c r="AH246" s="523" t="e">
        <f ca="1">stat(calculs!AH246)</f>
        <v>#NAME?</v>
      </c>
      <c r="AI246" s="523" t="e">
        <f ca="1">stat(calculs!AI246)</f>
        <v>#NAME?</v>
      </c>
      <c r="AJ246" s="523" t="e">
        <f ca="1">stat(calculs!AJ246)</f>
        <v>#NAME?</v>
      </c>
      <c r="AK246" s="523" t="e">
        <f ca="1">stat(calculs!AK246)</f>
        <v>#NAME?</v>
      </c>
      <c r="AL246" s="523" t="e">
        <f ca="1">stat(calculs!AL246)</f>
        <v>#NAME?</v>
      </c>
      <c r="AM246" s="523" t="e">
        <f ca="1">stat(calculs!AM246)</f>
        <v>#NAME?</v>
      </c>
      <c r="AN246" s="523" t="e">
        <f ca="1">stat(calculs!AN246)</f>
        <v>#NAME?</v>
      </c>
      <c r="AO246" s="523" t="e">
        <f ca="1">stat(calculs!AO246)</f>
        <v>#NAME?</v>
      </c>
      <c r="AP246" s="523" t="e">
        <f ca="1">stat(calculs!AP246)</f>
        <v>#NAME?</v>
      </c>
      <c r="AQ246" s="523" t="e">
        <f ca="1">stat(calculs!AQ246)</f>
        <v>#NAME?</v>
      </c>
      <c r="AV246" s="525" t="str">
        <f>stat(calculs!AV246)</f>
        <v/>
      </c>
      <c r="AW246" s="525" t="str">
        <f>stat(calculs!AW246)</f>
        <v/>
      </c>
      <c r="AX246" s="525" t="str">
        <f>stat(calculs!AX246)</f>
        <v/>
      </c>
      <c r="AY246" s="525" t="e">
        <f ca="1">stat(calculs!AY246)</f>
        <v>#NAME?</v>
      </c>
      <c r="AZ246" s="525" t="e">
        <f ca="1">stat(calculs!AZ246)</f>
        <v>#NAME?</v>
      </c>
      <c r="BA246" s="525" t="e">
        <f ca="1">stat(calculs!BA246)</f>
        <v>#NAME?</v>
      </c>
      <c r="BB246" s="525" t="e">
        <f ca="1">stat(calculs!BB246)</f>
        <v>#NAME?</v>
      </c>
      <c r="BC246" s="525" t="e">
        <f ca="1">stat(calculs!BC246)</f>
        <v>#NAME?</v>
      </c>
      <c r="BD246" s="525" t="e">
        <f ca="1">stat(calculs!BD246)</f>
        <v>#NAME?</v>
      </c>
      <c r="BE246" s="525" t="e">
        <f ca="1">stat(calculs!BE246)</f>
        <v>#NAME?</v>
      </c>
      <c r="BF246" s="525" t="e">
        <f ca="1">stat(calculs!BF246)</f>
        <v>#NAME?</v>
      </c>
      <c r="BG246" s="729" t="e">
        <f ca="1">stat(calculs!BG246)</f>
        <v>#NAME?</v>
      </c>
      <c r="BH246" s="729" t="e">
        <f ca="1">stat(calculs!BH246)</f>
        <v>#NAME?</v>
      </c>
      <c r="BI246" s="729" t="e">
        <f ca="1">stat(calculs!BI246)</f>
        <v>#NAME?</v>
      </c>
      <c r="BJ246" s="729" t="e">
        <f ca="1">stat(calculs!BJ246)</f>
        <v>#NAME?</v>
      </c>
      <c r="BK246" s="729" t="e">
        <f ca="1">stat(calculs!BK246)</f>
        <v>#NAME?</v>
      </c>
      <c r="BL246" s="525" t="e">
        <f ca="1">stat(calculs!BL246)</f>
        <v>#NAME?</v>
      </c>
      <c r="BM246" s="525" t="e">
        <f ca="1">stat(calculs!BM246)</f>
        <v>#NAME?</v>
      </c>
      <c r="BN246" s="525" t="e">
        <f ca="1">stat(calculs!BN246)</f>
        <v>#NAME?</v>
      </c>
      <c r="BO246" s="525" t="e">
        <f ca="1">stat(calculs!BO246)</f>
        <v>#NAME?</v>
      </c>
      <c r="BP246" s="525" t="e">
        <f ca="1">stat(calculs!BP246)</f>
        <v>#NAME?</v>
      </c>
      <c r="BQ246" s="525" t="e">
        <f ca="1">stat(calculs!BQ246)</f>
        <v>#NAME?</v>
      </c>
      <c r="BR246" s="525" t="e">
        <f ca="1">stat(calculs!BR246)</f>
        <v>#NAME?</v>
      </c>
    </row>
    <row r="247" spans="1:70" x14ac:dyDescent="0.2">
      <c r="A247" s="222">
        <f>données_step[[#This Row],[Datum]]</f>
        <v>44798</v>
      </c>
      <c r="B247" s="223"/>
      <c r="C247" s="224">
        <f t="shared" si="3"/>
        <v>5</v>
      </c>
      <c r="D247" s="523" t="e">
        <f ca="1">stat(charge_entree[[#This Row],[ch_E_DBO5]])</f>
        <v>#NAME?</v>
      </c>
      <c r="E247" s="523" t="e">
        <f ca="1">stat(charge_entree[[#This Row],[ch_E_DCO]])</f>
        <v>#NAME?</v>
      </c>
      <c r="F247" s="523" t="e">
        <f ca="1">stat(charge_entree[[#This Row],[ch_E_COT]])</f>
        <v>#NAME?</v>
      </c>
      <c r="G247" s="523" t="e">
        <f ca="1">stat(charge_entree[[#This Row],[ch_E_NH4]])</f>
        <v>#NAME?</v>
      </c>
      <c r="H247" s="523" t="e">
        <f ca="1">stat(charge_entree[[#This Row],[ch_E_NTOT]])</f>
        <v>#NAME?</v>
      </c>
      <c r="I247" s="523" t="e">
        <f ca="1">stat(charge_entree[[#This Row],[ch_E_PTOT]])</f>
        <v>#NAME?</v>
      </c>
      <c r="J247" s="523" t="e">
        <f ca="1">stat(charge_entree[[#This Row],[ch_S_DBO]])</f>
        <v>#NAME?</v>
      </c>
      <c r="K247" s="523" t="e">
        <f ca="1">stat(charge_entree[[#This Row],[ch_S-DCO]])</f>
        <v>#NAME?</v>
      </c>
      <c r="L247" s="523" t="e">
        <f ca="1">stat(charge_entree[[#This Row],[ch_S_DOC]])</f>
        <v>#NAME?</v>
      </c>
      <c r="M247" s="523" t="e">
        <f ca="1">stat(charge_entree[[#This Row],[ch_S_NH4]])</f>
        <v>#NAME?</v>
      </c>
      <c r="N247" s="523" t="e">
        <f ca="1">stat(charge_entree[[#This Row],[ch_S_NO2]])</f>
        <v>#NAME?</v>
      </c>
      <c r="O247" s="523" t="e">
        <f ca="1">stat(charge_entree[[#This Row],[ch_S_NO3]])</f>
        <v>#NAME?</v>
      </c>
      <c r="P247" s="523" t="e">
        <f ca="1">stat(charge_entree[[#This Row],[ch_S_PTOT]])</f>
        <v>#NAME?</v>
      </c>
      <c r="Q247" s="523" t="e">
        <f ca="1">stat(charge_entree[[#This Row],[ch_S_SNDT]])</f>
        <v>#NAME?</v>
      </c>
      <c r="R247" s="523">
        <f>calculs!R247</f>
        <v>0</v>
      </c>
      <c r="S247" s="523" t="e">
        <f ca="1">stat(calculs!S247)</f>
        <v>#NAME?</v>
      </c>
      <c r="T247" s="523" t="e">
        <f ca="1">stat(calculs!T247)</f>
        <v>#NAME?</v>
      </c>
      <c r="U247" s="523" t="e">
        <f ca="1">stat(calculs!U247)</f>
        <v>#NAME?</v>
      </c>
      <c r="V247" s="523" t="e">
        <f ca="1">stat(calculs!V247)</f>
        <v>#NAME?</v>
      </c>
      <c r="W247" s="523" t="e">
        <f ca="1">stat(calculs!W247)</f>
        <v>#NAME?</v>
      </c>
      <c r="X247" s="523" t="e">
        <f ca="1">stat(calculs!X247)</f>
        <v>#NAME?</v>
      </c>
      <c r="Y247" s="523" t="e">
        <f ca="1">stat(calculs!Y247)</f>
        <v>#NAME?</v>
      </c>
      <c r="Z247" s="523" t="e">
        <f ca="1">stat(calculs!Z247)</f>
        <v>#NAME?</v>
      </c>
      <c r="AA247" s="523" t="e">
        <f ca="1">stat(calculs!AA247)</f>
        <v>#NAME?</v>
      </c>
      <c r="AB247" s="523" t="e">
        <f ca="1">stat(calculs!AB247)</f>
        <v>#NAME?</v>
      </c>
      <c r="AC247" s="523" t="e">
        <f ca="1">stat(calculs!AC247)</f>
        <v>#NAME?</v>
      </c>
      <c r="AD247" s="523" t="e">
        <f ca="1">stat(calculs!AD247)</f>
        <v>#NAME?</v>
      </c>
      <c r="AE247" s="523" t="e">
        <f ca="1">stat(calculs!AE247)</f>
        <v>#NAME?</v>
      </c>
      <c r="AF247" s="523" t="e">
        <f ca="1">stat(calculs!AF247)</f>
        <v>#NAME?</v>
      </c>
      <c r="AG247" s="523" t="e">
        <f ca="1">stat(calculs!AG247)</f>
        <v>#NAME?</v>
      </c>
      <c r="AH247" s="523" t="e">
        <f ca="1">stat(calculs!AH247)</f>
        <v>#NAME?</v>
      </c>
      <c r="AI247" s="523" t="e">
        <f ca="1">stat(calculs!AI247)</f>
        <v>#NAME?</v>
      </c>
      <c r="AJ247" s="523" t="e">
        <f ca="1">stat(calculs!AJ247)</f>
        <v>#NAME?</v>
      </c>
      <c r="AK247" s="523" t="e">
        <f ca="1">stat(calculs!AK247)</f>
        <v>#NAME?</v>
      </c>
      <c r="AL247" s="523" t="e">
        <f ca="1">stat(calculs!AL247)</f>
        <v>#NAME?</v>
      </c>
      <c r="AM247" s="523" t="e">
        <f ca="1">stat(calculs!AM247)</f>
        <v>#NAME?</v>
      </c>
      <c r="AN247" s="523" t="e">
        <f ca="1">stat(calculs!AN247)</f>
        <v>#NAME?</v>
      </c>
      <c r="AO247" s="523" t="e">
        <f ca="1">stat(calculs!AO247)</f>
        <v>#NAME?</v>
      </c>
      <c r="AP247" s="523" t="e">
        <f ca="1">stat(calculs!AP247)</f>
        <v>#NAME?</v>
      </c>
      <c r="AQ247" s="523" t="e">
        <f ca="1">stat(calculs!AQ247)</f>
        <v>#NAME?</v>
      </c>
      <c r="AV247" s="525" t="str">
        <f>stat(calculs!AV247)</f>
        <v/>
      </c>
      <c r="AW247" s="525" t="str">
        <f>stat(calculs!AW247)</f>
        <v/>
      </c>
      <c r="AX247" s="525" t="str">
        <f>stat(calculs!AX247)</f>
        <v/>
      </c>
      <c r="AY247" s="525" t="e">
        <f ca="1">stat(calculs!AY247)</f>
        <v>#NAME?</v>
      </c>
      <c r="AZ247" s="525" t="e">
        <f ca="1">stat(calculs!AZ247)</f>
        <v>#NAME?</v>
      </c>
      <c r="BA247" s="525" t="e">
        <f ca="1">stat(calculs!BA247)</f>
        <v>#NAME?</v>
      </c>
      <c r="BB247" s="525" t="e">
        <f ca="1">stat(calculs!BB247)</f>
        <v>#NAME?</v>
      </c>
      <c r="BC247" s="525" t="e">
        <f ca="1">stat(calculs!BC247)</f>
        <v>#NAME?</v>
      </c>
      <c r="BD247" s="525" t="e">
        <f ca="1">stat(calculs!BD247)</f>
        <v>#NAME?</v>
      </c>
      <c r="BE247" s="525" t="e">
        <f ca="1">stat(calculs!BE247)</f>
        <v>#NAME?</v>
      </c>
      <c r="BF247" s="525" t="e">
        <f ca="1">stat(calculs!BF247)</f>
        <v>#NAME?</v>
      </c>
      <c r="BG247" s="729" t="e">
        <f ca="1">stat(calculs!BG247)</f>
        <v>#NAME?</v>
      </c>
      <c r="BH247" s="729" t="e">
        <f ca="1">stat(calculs!BH247)</f>
        <v>#NAME?</v>
      </c>
      <c r="BI247" s="729" t="e">
        <f ca="1">stat(calculs!BI247)</f>
        <v>#NAME?</v>
      </c>
      <c r="BJ247" s="729" t="e">
        <f ca="1">stat(calculs!BJ247)</f>
        <v>#NAME?</v>
      </c>
      <c r="BK247" s="729" t="e">
        <f ca="1">stat(calculs!BK247)</f>
        <v>#NAME?</v>
      </c>
      <c r="BL247" s="525" t="e">
        <f ca="1">stat(calculs!BL247)</f>
        <v>#NAME?</v>
      </c>
      <c r="BM247" s="525" t="e">
        <f ca="1">stat(calculs!BM247)</f>
        <v>#NAME?</v>
      </c>
      <c r="BN247" s="525" t="e">
        <f ca="1">stat(calculs!BN247)</f>
        <v>#NAME?</v>
      </c>
      <c r="BO247" s="525" t="e">
        <f ca="1">stat(calculs!BO247)</f>
        <v>#NAME?</v>
      </c>
      <c r="BP247" s="525" t="e">
        <f ca="1">stat(calculs!BP247)</f>
        <v>#NAME?</v>
      </c>
      <c r="BQ247" s="525" t="e">
        <f ca="1">stat(calculs!BQ247)</f>
        <v>#NAME?</v>
      </c>
      <c r="BR247" s="525" t="e">
        <f ca="1">stat(calculs!BR247)</f>
        <v>#NAME?</v>
      </c>
    </row>
    <row r="248" spans="1:70" x14ac:dyDescent="0.2">
      <c r="A248" s="222">
        <f>données_step[[#This Row],[Datum]]</f>
        <v>44799</v>
      </c>
      <c r="B248" s="223"/>
      <c r="C248" s="224">
        <f t="shared" si="3"/>
        <v>6</v>
      </c>
      <c r="D248" s="523" t="e">
        <f ca="1">stat(charge_entree[[#This Row],[ch_E_DBO5]])</f>
        <v>#NAME?</v>
      </c>
      <c r="E248" s="523" t="e">
        <f ca="1">stat(charge_entree[[#This Row],[ch_E_DCO]])</f>
        <v>#NAME?</v>
      </c>
      <c r="F248" s="523" t="e">
        <f ca="1">stat(charge_entree[[#This Row],[ch_E_COT]])</f>
        <v>#NAME?</v>
      </c>
      <c r="G248" s="523" t="e">
        <f ca="1">stat(charge_entree[[#This Row],[ch_E_NH4]])</f>
        <v>#NAME?</v>
      </c>
      <c r="H248" s="523" t="e">
        <f ca="1">stat(charge_entree[[#This Row],[ch_E_NTOT]])</f>
        <v>#NAME?</v>
      </c>
      <c r="I248" s="523" t="e">
        <f ca="1">stat(charge_entree[[#This Row],[ch_E_PTOT]])</f>
        <v>#NAME?</v>
      </c>
      <c r="J248" s="523" t="e">
        <f ca="1">stat(charge_entree[[#This Row],[ch_S_DBO]])</f>
        <v>#NAME?</v>
      </c>
      <c r="K248" s="523" t="e">
        <f ca="1">stat(charge_entree[[#This Row],[ch_S-DCO]])</f>
        <v>#NAME?</v>
      </c>
      <c r="L248" s="523" t="e">
        <f ca="1">stat(charge_entree[[#This Row],[ch_S_DOC]])</f>
        <v>#NAME?</v>
      </c>
      <c r="M248" s="523" t="e">
        <f ca="1">stat(charge_entree[[#This Row],[ch_S_NH4]])</f>
        <v>#NAME?</v>
      </c>
      <c r="N248" s="523" t="e">
        <f ca="1">stat(charge_entree[[#This Row],[ch_S_NO2]])</f>
        <v>#NAME?</v>
      </c>
      <c r="O248" s="523" t="e">
        <f ca="1">stat(charge_entree[[#This Row],[ch_S_NO3]])</f>
        <v>#NAME?</v>
      </c>
      <c r="P248" s="523" t="e">
        <f ca="1">stat(charge_entree[[#This Row],[ch_S_PTOT]])</f>
        <v>#NAME?</v>
      </c>
      <c r="Q248" s="523" t="e">
        <f ca="1">stat(charge_entree[[#This Row],[ch_S_SNDT]])</f>
        <v>#NAME?</v>
      </c>
      <c r="R248" s="523">
        <f>calculs!R248</f>
        <v>0</v>
      </c>
      <c r="S248" s="523" t="e">
        <f ca="1">stat(calculs!S248)</f>
        <v>#NAME?</v>
      </c>
      <c r="T248" s="523" t="e">
        <f ca="1">stat(calculs!T248)</f>
        <v>#NAME?</v>
      </c>
      <c r="U248" s="523" t="e">
        <f ca="1">stat(calculs!U248)</f>
        <v>#NAME?</v>
      </c>
      <c r="V248" s="523" t="e">
        <f ca="1">stat(calculs!V248)</f>
        <v>#NAME?</v>
      </c>
      <c r="W248" s="523" t="e">
        <f ca="1">stat(calculs!W248)</f>
        <v>#NAME?</v>
      </c>
      <c r="X248" s="523" t="e">
        <f ca="1">stat(calculs!X248)</f>
        <v>#NAME?</v>
      </c>
      <c r="Y248" s="523" t="e">
        <f ca="1">stat(calculs!Y248)</f>
        <v>#NAME?</v>
      </c>
      <c r="Z248" s="523" t="e">
        <f ca="1">stat(calculs!Z248)</f>
        <v>#NAME?</v>
      </c>
      <c r="AA248" s="523" t="e">
        <f ca="1">stat(calculs!AA248)</f>
        <v>#NAME?</v>
      </c>
      <c r="AB248" s="523" t="e">
        <f ca="1">stat(calculs!AB248)</f>
        <v>#NAME?</v>
      </c>
      <c r="AC248" s="523" t="e">
        <f ca="1">stat(calculs!AC248)</f>
        <v>#NAME?</v>
      </c>
      <c r="AD248" s="523" t="e">
        <f ca="1">stat(calculs!AD248)</f>
        <v>#NAME?</v>
      </c>
      <c r="AE248" s="523" t="e">
        <f ca="1">stat(calculs!AE248)</f>
        <v>#NAME?</v>
      </c>
      <c r="AF248" s="523" t="e">
        <f ca="1">stat(calculs!AF248)</f>
        <v>#NAME?</v>
      </c>
      <c r="AG248" s="523" t="e">
        <f ca="1">stat(calculs!AG248)</f>
        <v>#NAME?</v>
      </c>
      <c r="AH248" s="523" t="e">
        <f ca="1">stat(calculs!AH248)</f>
        <v>#NAME?</v>
      </c>
      <c r="AI248" s="523" t="e">
        <f ca="1">stat(calculs!AI248)</f>
        <v>#NAME?</v>
      </c>
      <c r="AJ248" s="523" t="e">
        <f ca="1">stat(calculs!AJ248)</f>
        <v>#NAME?</v>
      </c>
      <c r="AK248" s="523" t="e">
        <f ca="1">stat(calculs!AK248)</f>
        <v>#NAME?</v>
      </c>
      <c r="AL248" s="523" t="e">
        <f ca="1">stat(calculs!AL248)</f>
        <v>#NAME?</v>
      </c>
      <c r="AM248" s="523" t="e">
        <f ca="1">stat(calculs!AM248)</f>
        <v>#NAME?</v>
      </c>
      <c r="AN248" s="523" t="e">
        <f ca="1">stat(calculs!AN248)</f>
        <v>#NAME?</v>
      </c>
      <c r="AO248" s="523" t="e">
        <f ca="1">stat(calculs!AO248)</f>
        <v>#NAME?</v>
      </c>
      <c r="AP248" s="523" t="e">
        <f ca="1">stat(calculs!AP248)</f>
        <v>#NAME?</v>
      </c>
      <c r="AQ248" s="523" t="e">
        <f ca="1">stat(calculs!AQ248)</f>
        <v>#NAME?</v>
      </c>
      <c r="AV248" s="525" t="str">
        <f>stat(calculs!AV248)</f>
        <v/>
      </c>
      <c r="AW248" s="525" t="str">
        <f>stat(calculs!AW248)</f>
        <v/>
      </c>
      <c r="AX248" s="525" t="str">
        <f>stat(calculs!AX248)</f>
        <v/>
      </c>
      <c r="AY248" s="525" t="e">
        <f ca="1">stat(calculs!AY248)</f>
        <v>#NAME?</v>
      </c>
      <c r="AZ248" s="525" t="e">
        <f ca="1">stat(calculs!AZ248)</f>
        <v>#NAME?</v>
      </c>
      <c r="BA248" s="525" t="e">
        <f ca="1">stat(calculs!BA248)</f>
        <v>#NAME?</v>
      </c>
      <c r="BB248" s="525" t="e">
        <f ca="1">stat(calculs!BB248)</f>
        <v>#NAME?</v>
      </c>
      <c r="BC248" s="525" t="e">
        <f ca="1">stat(calculs!BC248)</f>
        <v>#NAME?</v>
      </c>
      <c r="BD248" s="525" t="e">
        <f ca="1">stat(calculs!BD248)</f>
        <v>#NAME?</v>
      </c>
      <c r="BE248" s="525" t="e">
        <f ca="1">stat(calculs!BE248)</f>
        <v>#NAME?</v>
      </c>
      <c r="BF248" s="525" t="e">
        <f ca="1">stat(calculs!BF248)</f>
        <v>#NAME?</v>
      </c>
      <c r="BG248" s="729" t="e">
        <f ca="1">stat(calculs!BG248)</f>
        <v>#NAME?</v>
      </c>
      <c r="BH248" s="729" t="e">
        <f ca="1">stat(calculs!BH248)</f>
        <v>#NAME?</v>
      </c>
      <c r="BI248" s="729" t="e">
        <f ca="1">stat(calculs!BI248)</f>
        <v>#NAME?</v>
      </c>
      <c r="BJ248" s="729" t="e">
        <f ca="1">stat(calculs!BJ248)</f>
        <v>#NAME?</v>
      </c>
      <c r="BK248" s="729" t="e">
        <f ca="1">stat(calculs!BK248)</f>
        <v>#NAME?</v>
      </c>
      <c r="BL248" s="525" t="e">
        <f ca="1">stat(calculs!BL248)</f>
        <v>#NAME?</v>
      </c>
      <c r="BM248" s="525" t="e">
        <f ca="1">stat(calculs!BM248)</f>
        <v>#NAME?</v>
      </c>
      <c r="BN248" s="525" t="e">
        <f ca="1">stat(calculs!BN248)</f>
        <v>#NAME?</v>
      </c>
      <c r="BO248" s="525" t="e">
        <f ca="1">stat(calculs!BO248)</f>
        <v>#NAME?</v>
      </c>
      <c r="BP248" s="525" t="e">
        <f ca="1">stat(calculs!BP248)</f>
        <v>#NAME?</v>
      </c>
      <c r="BQ248" s="525" t="e">
        <f ca="1">stat(calculs!BQ248)</f>
        <v>#NAME?</v>
      </c>
      <c r="BR248" s="525" t="e">
        <f ca="1">stat(calculs!BR248)</f>
        <v>#NAME?</v>
      </c>
    </row>
    <row r="249" spans="1:70" x14ac:dyDescent="0.2">
      <c r="A249" s="222">
        <f>données_step[[#This Row],[Datum]]</f>
        <v>44800</v>
      </c>
      <c r="B249" s="223"/>
      <c r="C249" s="224">
        <f t="shared" si="3"/>
        <v>7</v>
      </c>
      <c r="D249" s="523" t="e">
        <f ca="1">stat(charge_entree[[#This Row],[ch_E_DBO5]])</f>
        <v>#NAME?</v>
      </c>
      <c r="E249" s="523" t="e">
        <f ca="1">stat(charge_entree[[#This Row],[ch_E_DCO]])</f>
        <v>#NAME?</v>
      </c>
      <c r="F249" s="523" t="e">
        <f ca="1">stat(charge_entree[[#This Row],[ch_E_COT]])</f>
        <v>#NAME?</v>
      </c>
      <c r="G249" s="523" t="e">
        <f ca="1">stat(charge_entree[[#This Row],[ch_E_NH4]])</f>
        <v>#NAME?</v>
      </c>
      <c r="H249" s="523" t="e">
        <f ca="1">stat(charge_entree[[#This Row],[ch_E_NTOT]])</f>
        <v>#NAME?</v>
      </c>
      <c r="I249" s="523" t="e">
        <f ca="1">stat(charge_entree[[#This Row],[ch_E_PTOT]])</f>
        <v>#NAME?</v>
      </c>
      <c r="J249" s="523" t="e">
        <f ca="1">stat(charge_entree[[#This Row],[ch_S_DBO]])</f>
        <v>#NAME?</v>
      </c>
      <c r="K249" s="523" t="e">
        <f ca="1">stat(charge_entree[[#This Row],[ch_S-DCO]])</f>
        <v>#NAME?</v>
      </c>
      <c r="L249" s="523" t="e">
        <f ca="1">stat(charge_entree[[#This Row],[ch_S_DOC]])</f>
        <v>#NAME?</v>
      </c>
      <c r="M249" s="523" t="e">
        <f ca="1">stat(charge_entree[[#This Row],[ch_S_NH4]])</f>
        <v>#NAME?</v>
      </c>
      <c r="N249" s="523" t="e">
        <f ca="1">stat(charge_entree[[#This Row],[ch_S_NO2]])</f>
        <v>#NAME?</v>
      </c>
      <c r="O249" s="523" t="e">
        <f ca="1">stat(charge_entree[[#This Row],[ch_S_NO3]])</f>
        <v>#NAME?</v>
      </c>
      <c r="P249" s="523" t="e">
        <f ca="1">stat(charge_entree[[#This Row],[ch_S_PTOT]])</f>
        <v>#NAME?</v>
      </c>
      <c r="Q249" s="523" t="e">
        <f ca="1">stat(charge_entree[[#This Row],[ch_S_SNDT]])</f>
        <v>#NAME?</v>
      </c>
      <c r="R249" s="523">
        <f>calculs!R249</f>
        <v>0</v>
      </c>
      <c r="S249" s="523" t="e">
        <f ca="1">stat(calculs!S249)</f>
        <v>#NAME?</v>
      </c>
      <c r="T249" s="523" t="e">
        <f ca="1">stat(calculs!T249)</f>
        <v>#NAME?</v>
      </c>
      <c r="U249" s="523" t="e">
        <f ca="1">stat(calculs!U249)</f>
        <v>#NAME?</v>
      </c>
      <c r="V249" s="523" t="e">
        <f ca="1">stat(calculs!V249)</f>
        <v>#NAME?</v>
      </c>
      <c r="W249" s="523" t="e">
        <f ca="1">stat(calculs!W249)</f>
        <v>#NAME?</v>
      </c>
      <c r="X249" s="523" t="e">
        <f ca="1">stat(calculs!X249)</f>
        <v>#NAME?</v>
      </c>
      <c r="Y249" s="523" t="e">
        <f ca="1">stat(calculs!Y249)</f>
        <v>#NAME?</v>
      </c>
      <c r="Z249" s="523" t="e">
        <f ca="1">stat(calculs!Z249)</f>
        <v>#NAME?</v>
      </c>
      <c r="AA249" s="523" t="e">
        <f ca="1">stat(calculs!AA249)</f>
        <v>#NAME?</v>
      </c>
      <c r="AB249" s="523" t="e">
        <f ca="1">stat(calculs!AB249)</f>
        <v>#NAME?</v>
      </c>
      <c r="AC249" s="523" t="e">
        <f ca="1">stat(calculs!AC249)</f>
        <v>#NAME?</v>
      </c>
      <c r="AD249" s="523" t="e">
        <f ca="1">stat(calculs!AD249)</f>
        <v>#NAME?</v>
      </c>
      <c r="AE249" s="523" t="e">
        <f ca="1">stat(calculs!AE249)</f>
        <v>#NAME?</v>
      </c>
      <c r="AF249" s="523" t="e">
        <f ca="1">stat(calculs!AF249)</f>
        <v>#NAME?</v>
      </c>
      <c r="AG249" s="523" t="e">
        <f ca="1">stat(calculs!AG249)</f>
        <v>#NAME?</v>
      </c>
      <c r="AH249" s="523" t="e">
        <f ca="1">stat(calculs!AH249)</f>
        <v>#NAME?</v>
      </c>
      <c r="AI249" s="523" t="e">
        <f ca="1">stat(calculs!AI249)</f>
        <v>#NAME?</v>
      </c>
      <c r="AJ249" s="523" t="e">
        <f ca="1">stat(calculs!AJ249)</f>
        <v>#NAME?</v>
      </c>
      <c r="AK249" s="523" t="e">
        <f ca="1">stat(calculs!AK249)</f>
        <v>#NAME?</v>
      </c>
      <c r="AL249" s="523" t="e">
        <f ca="1">stat(calculs!AL249)</f>
        <v>#NAME?</v>
      </c>
      <c r="AM249" s="523" t="e">
        <f ca="1">stat(calculs!AM249)</f>
        <v>#NAME?</v>
      </c>
      <c r="AN249" s="523" t="e">
        <f ca="1">stat(calculs!AN249)</f>
        <v>#NAME?</v>
      </c>
      <c r="AO249" s="523" t="e">
        <f ca="1">stat(calculs!AO249)</f>
        <v>#NAME?</v>
      </c>
      <c r="AP249" s="523" t="e">
        <f ca="1">stat(calculs!AP249)</f>
        <v>#NAME?</v>
      </c>
      <c r="AQ249" s="523" t="e">
        <f ca="1">stat(calculs!AQ249)</f>
        <v>#NAME?</v>
      </c>
      <c r="AV249" s="525" t="str">
        <f>stat(calculs!AV249)</f>
        <v/>
      </c>
      <c r="AW249" s="525" t="str">
        <f>stat(calculs!AW249)</f>
        <v/>
      </c>
      <c r="AX249" s="525" t="str">
        <f>stat(calculs!AX249)</f>
        <v/>
      </c>
      <c r="AY249" s="525" t="e">
        <f ca="1">stat(calculs!AY249)</f>
        <v>#NAME?</v>
      </c>
      <c r="AZ249" s="525" t="e">
        <f ca="1">stat(calculs!AZ249)</f>
        <v>#NAME?</v>
      </c>
      <c r="BA249" s="525" t="e">
        <f ca="1">stat(calculs!BA249)</f>
        <v>#NAME?</v>
      </c>
      <c r="BB249" s="525" t="e">
        <f ca="1">stat(calculs!BB249)</f>
        <v>#NAME?</v>
      </c>
      <c r="BC249" s="525" t="e">
        <f ca="1">stat(calculs!BC249)</f>
        <v>#NAME?</v>
      </c>
      <c r="BD249" s="525" t="e">
        <f ca="1">stat(calculs!BD249)</f>
        <v>#NAME?</v>
      </c>
      <c r="BE249" s="525" t="e">
        <f ca="1">stat(calculs!BE249)</f>
        <v>#NAME?</v>
      </c>
      <c r="BF249" s="525" t="e">
        <f ca="1">stat(calculs!BF249)</f>
        <v>#NAME?</v>
      </c>
      <c r="BG249" s="729" t="e">
        <f ca="1">stat(calculs!BG249)</f>
        <v>#NAME?</v>
      </c>
      <c r="BH249" s="729" t="e">
        <f ca="1">stat(calculs!BH249)</f>
        <v>#NAME?</v>
      </c>
      <c r="BI249" s="729" t="e">
        <f ca="1">stat(calculs!BI249)</f>
        <v>#NAME?</v>
      </c>
      <c r="BJ249" s="729" t="e">
        <f ca="1">stat(calculs!BJ249)</f>
        <v>#NAME?</v>
      </c>
      <c r="BK249" s="729" t="e">
        <f ca="1">stat(calculs!BK249)</f>
        <v>#NAME?</v>
      </c>
      <c r="BL249" s="525" t="e">
        <f ca="1">stat(calculs!BL249)</f>
        <v>#NAME?</v>
      </c>
      <c r="BM249" s="525" t="e">
        <f ca="1">stat(calculs!BM249)</f>
        <v>#NAME?</v>
      </c>
      <c r="BN249" s="525" t="e">
        <f ca="1">stat(calculs!BN249)</f>
        <v>#NAME?</v>
      </c>
      <c r="BO249" s="525" t="e">
        <f ca="1">stat(calculs!BO249)</f>
        <v>#NAME?</v>
      </c>
      <c r="BP249" s="525" t="e">
        <f ca="1">stat(calculs!BP249)</f>
        <v>#NAME?</v>
      </c>
      <c r="BQ249" s="525" t="e">
        <f ca="1">stat(calculs!BQ249)</f>
        <v>#NAME?</v>
      </c>
      <c r="BR249" s="525" t="e">
        <f ca="1">stat(calculs!BR249)</f>
        <v>#NAME?</v>
      </c>
    </row>
    <row r="250" spans="1:70" x14ac:dyDescent="0.2">
      <c r="A250" s="222">
        <f>données_step[[#This Row],[Datum]]</f>
        <v>44801</v>
      </c>
      <c r="B250" s="223"/>
      <c r="C250" s="224">
        <f t="shared" si="3"/>
        <v>1</v>
      </c>
      <c r="D250" s="523" t="e">
        <f ca="1">stat(charge_entree[[#This Row],[ch_E_DBO5]])</f>
        <v>#NAME?</v>
      </c>
      <c r="E250" s="523" t="e">
        <f ca="1">stat(charge_entree[[#This Row],[ch_E_DCO]])</f>
        <v>#NAME?</v>
      </c>
      <c r="F250" s="523" t="e">
        <f ca="1">stat(charge_entree[[#This Row],[ch_E_COT]])</f>
        <v>#NAME?</v>
      </c>
      <c r="G250" s="523" t="e">
        <f ca="1">stat(charge_entree[[#This Row],[ch_E_NH4]])</f>
        <v>#NAME?</v>
      </c>
      <c r="H250" s="523" t="e">
        <f ca="1">stat(charge_entree[[#This Row],[ch_E_NTOT]])</f>
        <v>#NAME?</v>
      </c>
      <c r="I250" s="523" t="e">
        <f ca="1">stat(charge_entree[[#This Row],[ch_E_PTOT]])</f>
        <v>#NAME?</v>
      </c>
      <c r="J250" s="523" t="e">
        <f ca="1">stat(charge_entree[[#This Row],[ch_S_DBO]])</f>
        <v>#NAME?</v>
      </c>
      <c r="K250" s="523" t="e">
        <f ca="1">stat(charge_entree[[#This Row],[ch_S-DCO]])</f>
        <v>#NAME?</v>
      </c>
      <c r="L250" s="523" t="e">
        <f ca="1">stat(charge_entree[[#This Row],[ch_S_DOC]])</f>
        <v>#NAME?</v>
      </c>
      <c r="M250" s="523" t="e">
        <f ca="1">stat(charge_entree[[#This Row],[ch_S_NH4]])</f>
        <v>#NAME?</v>
      </c>
      <c r="N250" s="523" t="e">
        <f ca="1">stat(charge_entree[[#This Row],[ch_S_NO2]])</f>
        <v>#NAME?</v>
      </c>
      <c r="O250" s="523" t="e">
        <f ca="1">stat(charge_entree[[#This Row],[ch_S_NO3]])</f>
        <v>#NAME?</v>
      </c>
      <c r="P250" s="523" t="e">
        <f ca="1">stat(charge_entree[[#This Row],[ch_S_PTOT]])</f>
        <v>#NAME?</v>
      </c>
      <c r="Q250" s="523" t="e">
        <f ca="1">stat(charge_entree[[#This Row],[ch_S_SNDT]])</f>
        <v>#NAME?</v>
      </c>
      <c r="R250" s="523">
        <f>calculs!R250</f>
        <v>0</v>
      </c>
      <c r="S250" s="523" t="e">
        <f ca="1">stat(calculs!S250)</f>
        <v>#NAME?</v>
      </c>
      <c r="T250" s="523" t="e">
        <f ca="1">stat(calculs!T250)</f>
        <v>#NAME?</v>
      </c>
      <c r="U250" s="523" t="e">
        <f ca="1">stat(calculs!U250)</f>
        <v>#NAME?</v>
      </c>
      <c r="V250" s="523" t="e">
        <f ca="1">stat(calculs!V250)</f>
        <v>#NAME?</v>
      </c>
      <c r="W250" s="523" t="e">
        <f ca="1">stat(calculs!W250)</f>
        <v>#NAME?</v>
      </c>
      <c r="X250" s="523" t="e">
        <f ca="1">stat(calculs!X250)</f>
        <v>#NAME?</v>
      </c>
      <c r="Y250" s="523" t="e">
        <f ca="1">stat(calculs!Y250)</f>
        <v>#NAME?</v>
      </c>
      <c r="Z250" s="523" t="e">
        <f ca="1">stat(calculs!Z250)</f>
        <v>#NAME?</v>
      </c>
      <c r="AA250" s="523" t="e">
        <f ca="1">stat(calculs!AA250)</f>
        <v>#NAME?</v>
      </c>
      <c r="AB250" s="523" t="e">
        <f ca="1">stat(calculs!AB250)</f>
        <v>#NAME?</v>
      </c>
      <c r="AC250" s="523" t="e">
        <f ca="1">stat(calculs!AC250)</f>
        <v>#NAME?</v>
      </c>
      <c r="AD250" s="523" t="e">
        <f ca="1">stat(calculs!AD250)</f>
        <v>#NAME?</v>
      </c>
      <c r="AE250" s="523" t="e">
        <f ca="1">stat(calculs!AE250)</f>
        <v>#NAME?</v>
      </c>
      <c r="AF250" s="523" t="e">
        <f ca="1">stat(calculs!AF250)</f>
        <v>#NAME?</v>
      </c>
      <c r="AG250" s="523" t="e">
        <f ca="1">stat(calculs!AG250)</f>
        <v>#NAME?</v>
      </c>
      <c r="AH250" s="523" t="e">
        <f ca="1">stat(calculs!AH250)</f>
        <v>#NAME?</v>
      </c>
      <c r="AI250" s="523" t="e">
        <f ca="1">stat(calculs!AI250)</f>
        <v>#NAME?</v>
      </c>
      <c r="AJ250" s="523" t="e">
        <f ca="1">stat(calculs!AJ250)</f>
        <v>#NAME?</v>
      </c>
      <c r="AK250" s="523" t="e">
        <f ca="1">stat(calculs!AK250)</f>
        <v>#NAME?</v>
      </c>
      <c r="AL250" s="523" t="e">
        <f ca="1">stat(calculs!AL250)</f>
        <v>#NAME?</v>
      </c>
      <c r="AM250" s="523" t="e">
        <f ca="1">stat(calculs!AM250)</f>
        <v>#NAME?</v>
      </c>
      <c r="AN250" s="523" t="e">
        <f ca="1">stat(calculs!AN250)</f>
        <v>#NAME?</v>
      </c>
      <c r="AO250" s="523" t="e">
        <f ca="1">stat(calculs!AO250)</f>
        <v>#NAME?</v>
      </c>
      <c r="AP250" s="523" t="e">
        <f ca="1">stat(calculs!AP250)</f>
        <v>#NAME?</v>
      </c>
      <c r="AQ250" s="523" t="e">
        <f ca="1">stat(calculs!AQ250)</f>
        <v>#NAME?</v>
      </c>
      <c r="AV250" s="525" t="str">
        <f>stat(calculs!AV250)</f>
        <v/>
      </c>
      <c r="AW250" s="525" t="str">
        <f>stat(calculs!AW250)</f>
        <v/>
      </c>
      <c r="AX250" s="525" t="str">
        <f>stat(calculs!AX250)</f>
        <v/>
      </c>
      <c r="AY250" s="525" t="e">
        <f ca="1">stat(calculs!AY250)</f>
        <v>#NAME?</v>
      </c>
      <c r="AZ250" s="525" t="e">
        <f ca="1">stat(calculs!AZ250)</f>
        <v>#NAME?</v>
      </c>
      <c r="BA250" s="525" t="e">
        <f ca="1">stat(calculs!BA250)</f>
        <v>#NAME?</v>
      </c>
      <c r="BB250" s="525" t="e">
        <f ca="1">stat(calculs!BB250)</f>
        <v>#NAME?</v>
      </c>
      <c r="BC250" s="525" t="e">
        <f ca="1">stat(calculs!BC250)</f>
        <v>#NAME?</v>
      </c>
      <c r="BD250" s="525" t="e">
        <f ca="1">stat(calculs!BD250)</f>
        <v>#NAME?</v>
      </c>
      <c r="BE250" s="525" t="e">
        <f ca="1">stat(calculs!BE250)</f>
        <v>#NAME?</v>
      </c>
      <c r="BF250" s="525" t="e">
        <f ca="1">stat(calculs!BF250)</f>
        <v>#NAME?</v>
      </c>
      <c r="BG250" s="729" t="e">
        <f ca="1">stat(calculs!BG250)</f>
        <v>#NAME?</v>
      </c>
      <c r="BH250" s="729" t="e">
        <f ca="1">stat(calculs!BH250)</f>
        <v>#NAME?</v>
      </c>
      <c r="BI250" s="729" t="e">
        <f ca="1">stat(calculs!BI250)</f>
        <v>#NAME?</v>
      </c>
      <c r="BJ250" s="729" t="e">
        <f ca="1">stat(calculs!BJ250)</f>
        <v>#NAME?</v>
      </c>
      <c r="BK250" s="729" t="e">
        <f ca="1">stat(calculs!BK250)</f>
        <v>#NAME?</v>
      </c>
      <c r="BL250" s="525" t="e">
        <f ca="1">stat(calculs!BL250)</f>
        <v>#NAME?</v>
      </c>
      <c r="BM250" s="525" t="e">
        <f ca="1">stat(calculs!BM250)</f>
        <v>#NAME?</v>
      </c>
      <c r="BN250" s="525" t="e">
        <f ca="1">stat(calculs!BN250)</f>
        <v>#NAME?</v>
      </c>
      <c r="BO250" s="525" t="e">
        <f ca="1">stat(calculs!BO250)</f>
        <v>#NAME?</v>
      </c>
      <c r="BP250" s="525" t="e">
        <f ca="1">stat(calculs!BP250)</f>
        <v>#NAME?</v>
      </c>
      <c r="BQ250" s="525" t="e">
        <f ca="1">stat(calculs!BQ250)</f>
        <v>#NAME?</v>
      </c>
      <c r="BR250" s="525" t="e">
        <f ca="1">stat(calculs!BR250)</f>
        <v>#NAME?</v>
      </c>
    </row>
    <row r="251" spans="1:70" x14ac:dyDescent="0.2">
      <c r="A251" s="222">
        <f>données_step[[#This Row],[Datum]]</f>
        <v>44802</v>
      </c>
      <c r="B251" s="223"/>
      <c r="C251" s="224">
        <f t="shared" si="3"/>
        <v>2</v>
      </c>
      <c r="D251" s="523" t="e">
        <f ca="1">stat(charge_entree[[#This Row],[ch_E_DBO5]])</f>
        <v>#NAME?</v>
      </c>
      <c r="E251" s="523" t="e">
        <f ca="1">stat(charge_entree[[#This Row],[ch_E_DCO]])</f>
        <v>#NAME?</v>
      </c>
      <c r="F251" s="523" t="e">
        <f ca="1">stat(charge_entree[[#This Row],[ch_E_COT]])</f>
        <v>#NAME?</v>
      </c>
      <c r="G251" s="523" t="e">
        <f ca="1">stat(charge_entree[[#This Row],[ch_E_NH4]])</f>
        <v>#NAME?</v>
      </c>
      <c r="H251" s="523" t="e">
        <f ca="1">stat(charge_entree[[#This Row],[ch_E_NTOT]])</f>
        <v>#NAME?</v>
      </c>
      <c r="I251" s="523" t="e">
        <f ca="1">stat(charge_entree[[#This Row],[ch_E_PTOT]])</f>
        <v>#NAME?</v>
      </c>
      <c r="J251" s="523" t="e">
        <f ca="1">stat(charge_entree[[#This Row],[ch_S_DBO]])</f>
        <v>#NAME?</v>
      </c>
      <c r="K251" s="523" t="e">
        <f ca="1">stat(charge_entree[[#This Row],[ch_S-DCO]])</f>
        <v>#NAME?</v>
      </c>
      <c r="L251" s="523" t="e">
        <f ca="1">stat(charge_entree[[#This Row],[ch_S_DOC]])</f>
        <v>#NAME?</v>
      </c>
      <c r="M251" s="523" t="e">
        <f ca="1">stat(charge_entree[[#This Row],[ch_S_NH4]])</f>
        <v>#NAME?</v>
      </c>
      <c r="N251" s="523" t="e">
        <f ca="1">stat(charge_entree[[#This Row],[ch_S_NO2]])</f>
        <v>#NAME?</v>
      </c>
      <c r="O251" s="523" t="e">
        <f ca="1">stat(charge_entree[[#This Row],[ch_S_NO3]])</f>
        <v>#NAME?</v>
      </c>
      <c r="P251" s="523" t="e">
        <f ca="1">stat(charge_entree[[#This Row],[ch_S_PTOT]])</f>
        <v>#NAME?</v>
      </c>
      <c r="Q251" s="523" t="e">
        <f ca="1">stat(charge_entree[[#This Row],[ch_S_SNDT]])</f>
        <v>#NAME?</v>
      </c>
      <c r="R251" s="523">
        <f>calculs!R251</f>
        <v>0</v>
      </c>
      <c r="S251" s="523" t="e">
        <f ca="1">stat(calculs!S251)</f>
        <v>#NAME?</v>
      </c>
      <c r="T251" s="523" t="e">
        <f ca="1">stat(calculs!T251)</f>
        <v>#NAME?</v>
      </c>
      <c r="U251" s="523" t="e">
        <f ca="1">stat(calculs!U251)</f>
        <v>#NAME?</v>
      </c>
      <c r="V251" s="523" t="e">
        <f ca="1">stat(calculs!V251)</f>
        <v>#NAME?</v>
      </c>
      <c r="W251" s="523" t="e">
        <f ca="1">stat(calculs!W251)</f>
        <v>#NAME?</v>
      </c>
      <c r="X251" s="523" t="e">
        <f ca="1">stat(calculs!X251)</f>
        <v>#NAME?</v>
      </c>
      <c r="Y251" s="523" t="e">
        <f ca="1">stat(calculs!Y251)</f>
        <v>#NAME?</v>
      </c>
      <c r="Z251" s="523" t="e">
        <f ca="1">stat(calculs!Z251)</f>
        <v>#NAME?</v>
      </c>
      <c r="AA251" s="523" t="e">
        <f ca="1">stat(calculs!AA251)</f>
        <v>#NAME?</v>
      </c>
      <c r="AB251" s="523" t="e">
        <f ca="1">stat(calculs!AB251)</f>
        <v>#NAME?</v>
      </c>
      <c r="AC251" s="523" t="e">
        <f ca="1">stat(calculs!AC251)</f>
        <v>#NAME?</v>
      </c>
      <c r="AD251" s="523" t="e">
        <f ca="1">stat(calculs!AD251)</f>
        <v>#NAME?</v>
      </c>
      <c r="AE251" s="523" t="e">
        <f ca="1">stat(calculs!AE251)</f>
        <v>#NAME?</v>
      </c>
      <c r="AF251" s="523" t="e">
        <f ca="1">stat(calculs!AF251)</f>
        <v>#NAME?</v>
      </c>
      <c r="AG251" s="523" t="e">
        <f ca="1">stat(calculs!AG251)</f>
        <v>#NAME?</v>
      </c>
      <c r="AH251" s="523" t="e">
        <f ca="1">stat(calculs!AH251)</f>
        <v>#NAME?</v>
      </c>
      <c r="AI251" s="523" t="e">
        <f ca="1">stat(calculs!AI251)</f>
        <v>#NAME?</v>
      </c>
      <c r="AJ251" s="523" t="e">
        <f ca="1">stat(calculs!AJ251)</f>
        <v>#NAME?</v>
      </c>
      <c r="AK251" s="523" t="e">
        <f ca="1">stat(calculs!AK251)</f>
        <v>#NAME?</v>
      </c>
      <c r="AL251" s="523" t="e">
        <f ca="1">stat(calculs!AL251)</f>
        <v>#NAME?</v>
      </c>
      <c r="AM251" s="523" t="e">
        <f ca="1">stat(calculs!AM251)</f>
        <v>#NAME?</v>
      </c>
      <c r="AN251" s="523" t="e">
        <f ca="1">stat(calculs!AN251)</f>
        <v>#NAME?</v>
      </c>
      <c r="AO251" s="523" t="e">
        <f ca="1">stat(calculs!AO251)</f>
        <v>#NAME?</v>
      </c>
      <c r="AP251" s="523" t="e">
        <f ca="1">stat(calculs!AP251)</f>
        <v>#NAME?</v>
      </c>
      <c r="AQ251" s="523" t="e">
        <f ca="1">stat(calculs!AQ251)</f>
        <v>#NAME?</v>
      </c>
      <c r="AV251" s="525" t="str">
        <f>stat(calculs!AV251)</f>
        <v/>
      </c>
      <c r="AW251" s="525" t="str">
        <f>stat(calculs!AW251)</f>
        <v/>
      </c>
      <c r="AX251" s="525" t="str">
        <f>stat(calculs!AX251)</f>
        <v/>
      </c>
      <c r="AY251" s="525" t="e">
        <f ca="1">stat(calculs!AY251)</f>
        <v>#NAME?</v>
      </c>
      <c r="AZ251" s="525" t="e">
        <f ca="1">stat(calculs!AZ251)</f>
        <v>#NAME?</v>
      </c>
      <c r="BA251" s="525" t="e">
        <f ca="1">stat(calculs!BA251)</f>
        <v>#NAME?</v>
      </c>
      <c r="BB251" s="525" t="e">
        <f ca="1">stat(calculs!BB251)</f>
        <v>#NAME?</v>
      </c>
      <c r="BC251" s="525" t="e">
        <f ca="1">stat(calculs!BC251)</f>
        <v>#NAME?</v>
      </c>
      <c r="BD251" s="525" t="e">
        <f ca="1">stat(calculs!BD251)</f>
        <v>#NAME?</v>
      </c>
      <c r="BE251" s="525" t="e">
        <f ca="1">stat(calculs!BE251)</f>
        <v>#NAME?</v>
      </c>
      <c r="BF251" s="525" t="e">
        <f ca="1">stat(calculs!BF251)</f>
        <v>#NAME?</v>
      </c>
      <c r="BG251" s="729" t="e">
        <f ca="1">stat(calculs!BG251)</f>
        <v>#NAME?</v>
      </c>
      <c r="BH251" s="729" t="e">
        <f ca="1">stat(calculs!BH251)</f>
        <v>#NAME?</v>
      </c>
      <c r="BI251" s="729" t="e">
        <f ca="1">stat(calculs!BI251)</f>
        <v>#NAME?</v>
      </c>
      <c r="BJ251" s="729" t="e">
        <f ca="1">stat(calculs!BJ251)</f>
        <v>#NAME?</v>
      </c>
      <c r="BK251" s="729" t="e">
        <f ca="1">stat(calculs!BK251)</f>
        <v>#NAME?</v>
      </c>
      <c r="BL251" s="525" t="e">
        <f ca="1">stat(calculs!BL251)</f>
        <v>#NAME?</v>
      </c>
      <c r="BM251" s="525" t="e">
        <f ca="1">stat(calculs!BM251)</f>
        <v>#NAME?</v>
      </c>
      <c r="BN251" s="525" t="e">
        <f ca="1">stat(calculs!BN251)</f>
        <v>#NAME?</v>
      </c>
      <c r="BO251" s="525" t="e">
        <f ca="1">stat(calculs!BO251)</f>
        <v>#NAME?</v>
      </c>
      <c r="BP251" s="525" t="e">
        <f ca="1">stat(calculs!BP251)</f>
        <v>#NAME?</v>
      </c>
      <c r="BQ251" s="525" t="e">
        <f ca="1">stat(calculs!BQ251)</f>
        <v>#NAME?</v>
      </c>
      <c r="BR251" s="525" t="e">
        <f ca="1">stat(calculs!BR251)</f>
        <v>#NAME?</v>
      </c>
    </row>
    <row r="252" spans="1:70" x14ac:dyDescent="0.2">
      <c r="A252" s="222">
        <f>données_step[[#This Row],[Datum]]</f>
        <v>44803</v>
      </c>
      <c r="B252" s="223"/>
      <c r="C252" s="224">
        <f t="shared" si="3"/>
        <v>3</v>
      </c>
      <c r="D252" s="523" t="e">
        <f ca="1">stat(charge_entree[[#This Row],[ch_E_DBO5]])</f>
        <v>#NAME?</v>
      </c>
      <c r="E252" s="523" t="e">
        <f ca="1">stat(charge_entree[[#This Row],[ch_E_DCO]])</f>
        <v>#NAME?</v>
      </c>
      <c r="F252" s="523" t="e">
        <f ca="1">stat(charge_entree[[#This Row],[ch_E_COT]])</f>
        <v>#NAME?</v>
      </c>
      <c r="G252" s="523" t="e">
        <f ca="1">stat(charge_entree[[#This Row],[ch_E_NH4]])</f>
        <v>#NAME?</v>
      </c>
      <c r="H252" s="523" t="e">
        <f ca="1">stat(charge_entree[[#This Row],[ch_E_NTOT]])</f>
        <v>#NAME?</v>
      </c>
      <c r="I252" s="523" t="e">
        <f ca="1">stat(charge_entree[[#This Row],[ch_E_PTOT]])</f>
        <v>#NAME?</v>
      </c>
      <c r="J252" s="523" t="e">
        <f ca="1">stat(charge_entree[[#This Row],[ch_S_DBO]])</f>
        <v>#NAME?</v>
      </c>
      <c r="K252" s="523" t="e">
        <f ca="1">stat(charge_entree[[#This Row],[ch_S-DCO]])</f>
        <v>#NAME?</v>
      </c>
      <c r="L252" s="523" t="e">
        <f ca="1">stat(charge_entree[[#This Row],[ch_S_DOC]])</f>
        <v>#NAME?</v>
      </c>
      <c r="M252" s="523" t="e">
        <f ca="1">stat(charge_entree[[#This Row],[ch_S_NH4]])</f>
        <v>#NAME?</v>
      </c>
      <c r="N252" s="523" t="e">
        <f ca="1">stat(charge_entree[[#This Row],[ch_S_NO2]])</f>
        <v>#NAME?</v>
      </c>
      <c r="O252" s="523" t="e">
        <f ca="1">stat(charge_entree[[#This Row],[ch_S_NO3]])</f>
        <v>#NAME?</v>
      </c>
      <c r="P252" s="523" t="e">
        <f ca="1">stat(charge_entree[[#This Row],[ch_S_PTOT]])</f>
        <v>#NAME?</v>
      </c>
      <c r="Q252" s="523" t="e">
        <f ca="1">stat(charge_entree[[#This Row],[ch_S_SNDT]])</f>
        <v>#NAME?</v>
      </c>
      <c r="R252" s="523">
        <f>calculs!R252</f>
        <v>0</v>
      </c>
      <c r="S252" s="523" t="e">
        <f ca="1">stat(calculs!S252)</f>
        <v>#NAME?</v>
      </c>
      <c r="T252" s="523" t="e">
        <f ca="1">stat(calculs!T252)</f>
        <v>#NAME?</v>
      </c>
      <c r="U252" s="523" t="e">
        <f ca="1">stat(calculs!U252)</f>
        <v>#NAME?</v>
      </c>
      <c r="V252" s="523" t="e">
        <f ca="1">stat(calculs!V252)</f>
        <v>#NAME?</v>
      </c>
      <c r="W252" s="523" t="e">
        <f ca="1">stat(calculs!W252)</f>
        <v>#NAME?</v>
      </c>
      <c r="X252" s="523" t="e">
        <f ca="1">stat(calculs!X252)</f>
        <v>#NAME?</v>
      </c>
      <c r="Y252" s="523" t="e">
        <f ca="1">stat(calculs!Y252)</f>
        <v>#NAME?</v>
      </c>
      <c r="Z252" s="523" t="e">
        <f ca="1">stat(calculs!Z252)</f>
        <v>#NAME?</v>
      </c>
      <c r="AA252" s="523" t="e">
        <f ca="1">stat(calculs!AA252)</f>
        <v>#NAME?</v>
      </c>
      <c r="AB252" s="523" t="e">
        <f ca="1">stat(calculs!AB252)</f>
        <v>#NAME?</v>
      </c>
      <c r="AC252" s="523" t="e">
        <f ca="1">stat(calculs!AC252)</f>
        <v>#NAME?</v>
      </c>
      <c r="AD252" s="523" t="e">
        <f ca="1">stat(calculs!AD252)</f>
        <v>#NAME?</v>
      </c>
      <c r="AE252" s="523" t="e">
        <f ca="1">stat(calculs!AE252)</f>
        <v>#NAME?</v>
      </c>
      <c r="AF252" s="523" t="e">
        <f ca="1">stat(calculs!AF252)</f>
        <v>#NAME?</v>
      </c>
      <c r="AG252" s="523" t="e">
        <f ca="1">stat(calculs!AG252)</f>
        <v>#NAME?</v>
      </c>
      <c r="AH252" s="523" t="e">
        <f ca="1">stat(calculs!AH252)</f>
        <v>#NAME?</v>
      </c>
      <c r="AI252" s="523" t="e">
        <f ca="1">stat(calculs!AI252)</f>
        <v>#NAME?</v>
      </c>
      <c r="AJ252" s="523" t="e">
        <f ca="1">stat(calculs!AJ252)</f>
        <v>#NAME?</v>
      </c>
      <c r="AK252" s="523" t="e">
        <f ca="1">stat(calculs!AK252)</f>
        <v>#NAME?</v>
      </c>
      <c r="AL252" s="523" t="e">
        <f ca="1">stat(calculs!AL252)</f>
        <v>#NAME?</v>
      </c>
      <c r="AM252" s="523" t="e">
        <f ca="1">stat(calculs!AM252)</f>
        <v>#NAME?</v>
      </c>
      <c r="AN252" s="523" t="e">
        <f ca="1">stat(calculs!AN252)</f>
        <v>#NAME?</v>
      </c>
      <c r="AO252" s="523" t="e">
        <f ca="1">stat(calculs!AO252)</f>
        <v>#NAME?</v>
      </c>
      <c r="AP252" s="523" t="e">
        <f ca="1">stat(calculs!AP252)</f>
        <v>#NAME?</v>
      </c>
      <c r="AQ252" s="523" t="e">
        <f ca="1">stat(calculs!AQ252)</f>
        <v>#NAME?</v>
      </c>
      <c r="AV252" s="525" t="str">
        <f>stat(calculs!AV252)</f>
        <v/>
      </c>
      <c r="AW252" s="525" t="str">
        <f>stat(calculs!AW252)</f>
        <v/>
      </c>
      <c r="AX252" s="525" t="str">
        <f>stat(calculs!AX252)</f>
        <v/>
      </c>
      <c r="AY252" s="525" t="e">
        <f ca="1">stat(calculs!AY252)</f>
        <v>#NAME?</v>
      </c>
      <c r="AZ252" s="525" t="e">
        <f ca="1">stat(calculs!AZ252)</f>
        <v>#NAME?</v>
      </c>
      <c r="BA252" s="525" t="e">
        <f ca="1">stat(calculs!BA252)</f>
        <v>#NAME?</v>
      </c>
      <c r="BB252" s="525" t="e">
        <f ca="1">stat(calculs!BB252)</f>
        <v>#NAME?</v>
      </c>
      <c r="BC252" s="525" t="e">
        <f ca="1">stat(calculs!BC252)</f>
        <v>#NAME?</v>
      </c>
      <c r="BD252" s="525" t="e">
        <f ca="1">stat(calculs!BD252)</f>
        <v>#NAME?</v>
      </c>
      <c r="BE252" s="525" t="e">
        <f ca="1">stat(calculs!BE252)</f>
        <v>#NAME?</v>
      </c>
      <c r="BF252" s="525" t="e">
        <f ca="1">stat(calculs!BF252)</f>
        <v>#NAME?</v>
      </c>
      <c r="BG252" s="729" t="e">
        <f ca="1">stat(calculs!BG252)</f>
        <v>#NAME?</v>
      </c>
      <c r="BH252" s="729" t="e">
        <f ca="1">stat(calculs!BH252)</f>
        <v>#NAME?</v>
      </c>
      <c r="BI252" s="729" t="e">
        <f ca="1">stat(calculs!BI252)</f>
        <v>#NAME?</v>
      </c>
      <c r="BJ252" s="729" t="e">
        <f ca="1">stat(calculs!BJ252)</f>
        <v>#NAME?</v>
      </c>
      <c r="BK252" s="729" t="e">
        <f ca="1">stat(calculs!BK252)</f>
        <v>#NAME?</v>
      </c>
      <c r="BL252" s="525" t="e">
        <f ca="1">stat(calculs!BL252)</f>
        <v>#NAME?</v>
      </c>
      <c r="BM252" s="525" t="e">
        <f ca="1">stat(calculs!BM252)</f>
        <v>#NAME?</v>
      </c>
      <c r="BN252" s="525" t="e">
        <f ca="1">stat(calculs!BN252)</f>
        <v>#NAME?</v>
      </c>
      <c r="BO252" s="525" t="e">
        <f ca="1">stat(calculs!BO252)</f>
        <v>#NAME?</v>
      </c>
      <c r="BP252" s="525" t="e">
        <f ca="1">stat(calculs!BP252)</f>
        <v>#NAME?</v>
      </c>
      <c r="BQ252" s="525" t="e">
        <f ca="1">stat(calculs!BQ252)</f>
        <v>#NAME?</v>
      </c>
      <c r="BR252" s="525" t="e">
        <f ca="1">stat(calculs!BR252)</f>
        <v>#NAME?</v>
      </c>
    </row>
    <row r="253" spans="1:70" x14ac:dyDescent="0.2">
      <c r="A253" s="222">
        <f>données_step[[#This Row],[Datum]]</f>
        <v>44804</v>
      </c>
      <c r="B253" s="223"/>
      <c r="C253" s="224">
        <f t="shared" si="3"/>
        <v>4</v>
      </c>
      <c r="D253" s="523" t="e">
        <f ca="1">stat(charge_entree[[#This Row],[ch_E_DBO5]])</f>
        <v>#NAME?</v>
      </c>
      <c r="E253" s="523" t="e">
        <f ca="1">stat(charge_entree[[#This Row],[ch_E_DCO]])</f>
        <v>#NAME?</v>
      </c>
      <c r="F253" s="523" t="e">
        <f ca="1">stat(charge_entree[[#This Row],[ch_E_COT]])</f>
        <v>#NAME?</v>
      </c>
      <c r="G253" s="523" t="e">
        <f ca="1">stat(charge_entree[[#This Row],[ch_E_NH4]])</f>
        <v>#NAME?</v>
      </c>
      <c r="H253" s="523" t="e">
        <f ca="1">stat(charge_entree[[#This Row],[ch_E_NTOT]])</f>
        <v>#NAME?</v>
      </c>
      <c r="I253" s="523" t="e">
        <f ca="1">stat(charge_entree[[#This Row],[ch_E_PTOT]])</f>
        <v>#NAME?</v>
      </c>
      <c r="J253" s="523" t="e">
        <f ca="1">stat(charge_entree[[#This Row],[ch_S_DBO]])</f>
        <v>#NAME?</v>
      </c>
      <c r="K253" s="523" t="e">
        <f ca="1">stat(charge_entree[[#This Row],[ch_S-DCO]])</f>
        <v>#NAME?</v>
      </c>
      <c r="L253" s="523" t="e">
        <f ca="1">stat(charge_entree[[#This Row],[ch_S_DOC]])</f>
        <v>#NAME?</v>
      </c>
      <c r="M253" s="523" t="e">
        <f ca="1">stat(charge_entree[[#This Row],[ch_S_NH4]])</f>
        <v>#NAME?</v>
      </c>
      <c r="N253" s="523" t="e">
        <f ca="1">stat(charge_entree[[#This Row],[ch_S_NO2]])</f>
        <v>#NAME?</v>
      </c>
      <c r="O253" s="523" t="e">
        <f ca="1">stat(charge_entree[[#This Row],[ch_S_NO3]])</f>
        <v>#NAME?</v>
      </c>
      <c r="P253" s="523" t="e">
        <f ca="1">stat(charge_entree[[#This Row],[ch_S_PTOT]])</f>
        <v>#NAME?</v>
      </c>
      <c r="Q253" s="523" t="e">
        <f ca="1">stat(charge_entree[[#This Row],[ch_S_SNDT]])</f>
        <v>#NAME?</v>
      </c>
      <c r="R253" s="523">
        <f>calculs!R253</f>
        <v>0</v>
      </c>
      <c r="S253" s="523" t="e">
        <f ca="1">stat(calculs!S253)</f>
        <v>#NAME?</v>
      </c>
      <c r="T253" s="523" t="e">
        <f ca="1">stat(calculs!T253)</f>
        <v>#NAME?</v>
      </c>
      <c r="U253" s="523" t="e">
        <f ca="1">stat(calculs!U253)</f>
        <v>#NAME?</v>
      </c>
      <c r="V253" s="523" t="e">
        <f ca="1">stat(calculs!V253)</f>
        <v>#NAME?</v>
      </c>
      <c r="W253" s="523" t="e">
        <f ca="1">stat(calculs!W253)</f>
        <v>#NAME?</v>
      </c>
      <c r="X253" s="523" t="e">
        <f ca="1">stat(calculs!X253)</f>
        <v>#NAME?</v>
      </c>
      <c r="Y253" s="523" t="e">
        <f ca="1">stat(calculs!Y253)</f>
        <v>#NAME?</v>
      </c>
      <c r="Z253" s="523" t="e">
        <f ca="1">stat(calculs!Z253)</f>
        <v>#NAME?</v>
      </c>
      <c r="AA253" s="523" t="e">
        <f ca="1">stat(calculs!AA253)</f>
        <v>#NAME?</v>
      </c>
      <c r="AB253" s="523" t="e">
        <f ca="1">stat(calculs!AB253)</f>
        <v>#NAME?</v>
      </c>
      <c r="AC253" s="523" t="e">
        <f ca="1">stat(calculs!AC253)</f>
        <v>#NAME?</v>
      </c>
      <c r="AD253" s="523" t="e">
        <f ca="1">stat(calculs!AD253)</f>
        <v>#NAME?</v>
      </c>
      <c r="AE253" s="523" t="e">
        <f ca="1">stat(calculs!AE253)</f>
        <v>#NAME?</v>
      </c>
      <c r="AF253" s="523" t="e">
        <f ca="1">stat(calculs!AF253)</f>
        <v>#NAME?</v>
      </c>
      <c r="AG253" s="523" t="e">
        <f ca="1">stat(calculs!AG253)</f>
        <v>#NAME?</v>
      </c>
      <c r="AH253" s="523" t="e">
        <f ca="1">stat(calculs!AH253)</f>
        <v>#NAME?</v>
      </c>
      <c r="AI253" s="523" t="e">
        <f ca="1">stat(calculs!AI253)</f>
        <v>#NAME?</v>
      </c>
      <c r="AJ253" s="523" t="e">
        <f ca="1">stat(calculs!AJ253)</f>
        <v>#NAME?</v>
      </c>
      <c r="AK253" s="523" t="e">
        <f ca="1">stat(calculs!AK253)</f>
        <v>#NAME?</v>
      </c>
      <c r="AL253" s="523" t="e">
        <f ca="1">stat(calculs!AL253)</f>
        <v>#NAME?</v>
      </c>
      <c r="AM253" s="523" t="e">
        <f ca="1">stat(calculs!AM253)</f>
        <v>#NAME?</v>
      </c>
      <c r="AN253" s="523" t="e">
        <f ca="1">stat(calculs!AN253)</f>
        <v>#NAME?</v>
      </c>
      <c r="AO253" s="523" t="e">
        <f ca="1">stat(calculs!AO253)</f>
        <v>#NAME?</v>
      </c>
      <c r="AP253" s="523" t="e">
        <f ca="1">stat(calculs!AP253)</f>
        <v>#NAME?</v>
      </c>
      <c r="AQ253" s="523" t="e">
        <f ca="1">stat(calculs!AQ253)</f>
        <v>#NAME?</v>
      </c>
      <c r="AV253" s="525" t="str">
        <f>stat(calculs!AV253)</f>
        <v/>
      </c>
      <c r="AW253" s="525" t="str">
        <f>stat(calculs!AW253)</f>
        <v/>
      </c>
      <c r="AX253" s="525" t="str">
        <f>stat(calculs!AX253)</f>
        <v/>
      </c>
      <c r="AY253" s="525" t="e">
        <f ca="1">stat(calculs!AY253)</f>
        <v>#NAME?</v>
      </c>
      <c r="AZ253" s="525" t="e">
        <f ca="1">stat(calculs!AZ253)</f>
        <v>#NAME?</v>
      </c>
      <c r="BA253" s="525" t="e">
        <f ca="1">stat(calculs!BA253)</f>
        <v>#NAME?</v>
      </c>
      <c r="BB253" s="525" t="e">
        <f ca="1">stat(calculs!BB253)</f>
        <v>#NAME?</v>
      </c>
      <c r="BC253" s="525" t="e">
        <f ca="1">stat(calculs!BC253)</f>
        <v>#NAME?</v>
      </c>
      <c r="BD253" s="525" t="e">
        <f ca="1">stat(calculs!BD253)</f>
        <v>#NAME?</v>
      </c>
      <c r="BE253" s="525" t="e">
        <f ca="1">stat(calculs!BE253)</f>
        <v>#NAME?</v>
      </c>
      <c r="BF253" s="525" t="e">
        <f ca="1">stat(calculs!BF253)</f>
        <v>#NAME?</v>
      </c>
      <c r="BG253" s="729" t="e">
        <f ca="1">stat(calculs!BG253)</f>
        <v>#NAME?</v>
      </c>
      <c r="BH253" s="729" t="e">
        <f ca="1">stat(calculs!BH253)</f>
        <v>#NAME?</v>
      </c>
      <c r="BI253" s="729" t="e">
        <f ca="1">stat(calculs!BI253)</f>
        <v>#NAME?</v>
      </c>
      <c r="BJ253" s="729" t="e">
        <f ca="1">stat(calculs!BJ253)</f>
        <v>#NAME?</v>
      </c>
      <c r="BK253" s="729" t="e">
        <f ca="1">stat(calculs!BK253)</f>
        <v>#NAME?</v>
      </c>
      <c r="BL253" s="525" t="e">
        <f ca="1">stat(calculs!BL253)</f>
        <v>#NAME?</v>
      </c>
      <c r="BM253" s="525" t="e">
        <f ca="1">stat(calculs!BM253)</f>
        <v>#NAME?</v>
      </c>
      <c r="BN253" s="525" t="e">
        <f ca="1">stat(calculs!BN253)</f>
        <v>#NAME?</v>
      </c>
      <c r="BO253" s="525" t="e">
        <f ca="1">stat(calculs!BO253)</f>
        <v>#NAME?</v>
      </c>
      <c r="BP253" s="525" t="e">
        <f ca="1">stat(calculs!BP253)</f>
        <v>#NAME?</v>
      </c>
      <c r="BQ253" s="525" t="e">
        <f ca="1">stat(calculs!BQ253)</f>
        <v>#NAME?</v>
      </c>
      <c r="BR253" s="525" t="e">
        <f ca="1">stat(calculs!BR253)</f>
        <v>#NAME?</v>
      </c>
    </row>
    <row r="254" spans="1:70" x14ac:dyDescent="0.2">
      <c r="A254" s="222">
        <f>données_step[[#This Row],[Datum]]</f>
        <v>44805</v>
      </c>
      <c r="B254" s="223"/>
      <c r="C254" s="224">
        <f t="shared" si="3"/>
        <v>5</v>
      </c>
      <c r="D254" s="523" t="e">
        <f ca="1">stat(charge_entree[[#This Row],[ch_E_DBO5]])</f>
        <v>#NAME?</v>
      </c>
      <c r="E254" s="523" t="e">
        <f ca="1">stat(charge_entree[[#This Row],[ch_E_DCO]])</f>
        <v>#NAME?</v>
      </c>
      <c r="F254" s="523" t="e">
        <f ca="1">stat(charge_entree[[#This Row],[ch_E_COT]])</f>
        <v>#NAME?</v>
      </c>
      <c r="G254" s="523" t="e">
        <f ca="1">stat(charge_entree[[#This Row],[ch_E_NH4]])</f>
        <v>#NAME?</v>
      </c>
      <c r="H254" s="523" t="e">
        <f ca="1">stat(charge_entree[[#This Row],[ch_E_NTOT]])</f>
        <v>#NAME?</v>
      </c>
      <c r="I254" s="523" t="e">
        <f ca="1">stat(charge_entree[[#This Row],[ch_E_PTOT]])</f>
        <v>#NAME?</v>
      </c>
      <c r="J254" s="523" t="e">
        <f ca="1">stat(charge_entree[[#This Row],[ch_S_DBO]])</f>
        <v>#NAME?</v>
      </c>
      <c r="K254" s="523" t="e">
        <f ca="1">stat(charge_entree[[#This Row],[ch_S-DCO]])</f>
        <v>#NAME?</v>
      </c>
      <c r="L254" s="523" t="e">
        <f ca="1">stat(charge_entree[[#This Row],[ch_S_DOC]])</f>
        <v>#NAME?</v>
      </c>
      <c r="M254" s="523" t="e">
        <f ca="1">stat(charge_entree[[#This Row],[ch_S_NH4]])</f>
        <v>#NAME?</v>
      </c>
      <c r="N254" s="523" t="e">
        <f ca="1">stat(charge_entree[[#This Row],[ch_S_NO2]])</f>
        <v>#NAME?</v>
      </c>
      <c r="O254" s="523" t="e">
        <f ca="1">stat(charge_entree[[#This Row],[ch_S_NO3]])</f>
        <v>#NAME?</v>
      </c>
      <c r="P254" s="523" t="e">
        <f ca="1">stat(charge_entree[[#This Row],[ch_S_PTOT]])</f>
        <v>#NAME?</v>
      </c>
      <c r="Q254" s="523" t="e">
        <f ca="1">stat(charge_entree[[#This Row],[ch_S_SNDT]])</f>
        <v>#NAME?</v>
      </c>
      <c r="R254" s="523">
        <f>calculs!R254</f>
        <v>0</v>
      </c>
      <c r="S254" s="523" t="e">
        <f ca="1">stat(calculs!S254)</f>
        <v>#NAME?</v>
      </c>
      <c r="T254" s="523" t="e">
        <f ca="1">stat(calculs!T254)</f>
        <v>#NAME?</v>
      </c>
      <c r="U254" s="523" t="e">
        <f ca="1">stat(calculs!U254)</f>
        <v>#NAME?</v>
      </c>
      <c r="V254" s="523" t="e">
        <f ca="1">stat(calculs!V254)</f>
        <v>#NAME?</v>
      </c>
      <c r="W254" s="523" t="e">
        <f ca="1">stat(calculs!W254)</f>
        <v>#NAME?</v>
      </c>
      <c r="X254" s="523" t="e">
        <f ca="1">stat(calculs!X254)</f>
        <v>#NAME?</v>
      </c>
      <c r="Y254" s="523" t="e">
        <f ca="1">stat(calculs!Y254)</f>
        <v>#NAME?</v>
      </c>
      <c r="Z254" s="523" t="e">
        <f ca="1">stat(calculs!Z254)</f>
        <v>#NAME?</v>
      </c>
      <c r="AA254" s="523" t="e">
        <f ca="1">stat(calculs!AA254)</f>
        <v>#NAME?</v>
      </c>
      <c r="AB254" s="523" t="e">
        <f ca="1">stat(calculs!AB254)</f>
        <v>#NAME?</v>
      </c>
      <c r="AC254" s="523" t="e">
        <f ca="1">stat(calculs!AC254)</f>
        <v>#NAME?</v>
      </c>
      <c r="AD254" s="523" t="e">
        <f ca="1">stat(calculs!AD254)</f>
        <v>#NAME?</v>
      </c>
      <c r="AE254" s="523" t="e">
        <f ca="1">stat(calculs!AE254)</f>
        <v>#NAME?</v>
      </c>
      <c r="AF254" s="523" t="e">
        <f ca="1">stat(calculs!AF254)</f>
        <v>#NAME?</v>
      </c>
      <c r="AG254" s="523" t="e">
        <f ca="1">stat(calculs!AG254)</f>
        <v>#NAME?</v>
      </c>
      <c r="AH254" s="523" t="e">
        <f ca="1">stat(calculs!AH254)</f>
        <v>#NAME?</v>
      </c>
      <c r="AI254" s="523" t="e">
        <f ca="1">stat(calculs!AI254)</f>
        <v>#NAME?</v>
      </c>
      <c r="AJ254" s="523" t="e">
        <f ca="1">stat(calculs!AJ254)</f>
        <v>#NAME?</v>
      </c>
      <c r="AK254" s="523" t="e">
        <f ca="1">stat(calculs!AK254)</f>
        <v>#NAME?</v>
      </c>
      <c r="AL254" s="523" t="e">
        <f ca="1">stat(calculs!AL254)</f>
        <v>#NAME?</v>
      </c>
      <c r="AM254" s="523" t="e">
        <f ca="1">stat(calculs!AM254)</f>
        <v>#NAME?</v>
      </c>
      <c r="AN254" s="523" t="e">
        <f ca="1">stat(calculs!AN254)</f>
        <v>#NAME?</v>
      </c>
      <c r="AO254" s="523" t="e">
        <f ca="1">stat(calculs!AO254)</f>
        <v>#NAME?</v>
      </c>
      <c r="AP254" s="523" t="e">
        <f ca="1">stat(calculs!AP254)</f>
        <v>#NAME?</v>
      </c>
      <c r="AQ254" s="523" t="e">
        <f ca="1">stat(calculs!AQ254)</f>
        <v>#NAME?</v>
      </c>
      <c r="AV254" s="525" t="str">
        <f>stat(calculs!AV254)</f>
        <v/>
      </c>
      <c r="AW254" s="525" t="str">
        <f>stat(calculs!AW254)</f>
        <v/>
      </c>
      <c r="AX254" s="525" t="str">
        <f>stat(calculs!AX254)</f>
        <v/>
      </c>
      <c r="AY254" s="525" t="e">
        <f ca="1">stat(calculs!AY254)</f>
        <v>#NAME?</v>
      </c>
      <c r="AZ254" s="525" t="e">
        <f ca="1">stat(calculs!AZ254)</f>
        <v>#NAME?</v>
      </c>
      <c r="BA254" s="525" t="e">
        <f ca="1">stat(calculs!BA254)</f>
        <v>#NAME?</v>
      </c>
      <c r="BB254" s="525" t="e">
        <f ca="1">stat(calculs!BB254)</f>
        <v>#NAME?</v>
      </c>
      <c r="BC254" s="525" t="e">
        <f ca="1">stat(calculs!BC254)</f>
        <v>#NAME?</v>
      </c>
      <c r="BD254" s="525" t="e">
        <f ca="1">stat(calculs!BD254)</f>
        <v>#NAME?</v>
      </c>
      <c r="BE254" s="525" t="e">
        <f ca="1">stat(calculs!BE254)</f>
        <v>#NAME?</v>
      </c>
      <c r="BF254" s="525" t="e">
        <f ca="1">stat(calculs!BF254)</f>
        <v>#NAME?</v>
      </c>
      <c r="BG254" s="729" t="e">
        <f ca="1">stat(calculs!BG254)</f>
        <v>#NAME?</v>
      </c>
      <c r="BH254" s="729" t="e">
        <f ca="1">stat(calculs!BH254)</f>
        <v>#NAME?</v>
      </c>
      <c r="BI254" s="729" t="e">
        <f ca="1">stat(calculs!BI254)</f>
        <v>#NAME?</v>
      </c>
      <c r="BJ254" s="729" t="e">
        <f ca="1">stat(calculs!BJ254)</f>
        <v>#NAME?</v>
      </c>
      <c r="BK254" s="729" t="e">
        <f ca="1">stat(calculs!BK254)</f>
        <v>#NAME?</v>
      </c>
      <c r="BL254" s="525" t="e">
        <f ca="1">stat(calculs!BL254)</f>
        <v>#NAME?</v>
      </c>
      <c r="BM254" s="525" t="e">
        <f ca="1">stat(calculs!BM254)</f>
        <v>#NAME?</v>
      </c>
      <c r="BN254" s="525" t="e">
        <f ca="1">stat(calculs!BN254)</f>
        <v>#NAME?</v>
      </c>
      <c r="BO254" s="525" t="e">
        <f ca="1">stat(calculs!BO254)</f>
        <v>#NAME?</v>
      </c>
      <c r="BP254" s="525" t="e">
        <f ca="1">stat(calculs!BP254)</f>
        <v>#NAME?</v>
      </c>
      <c r="BQ254" s="525" t="e">
        <f ca="1">stat(calculs!BQ254)</f>
        <v>#NAME?</v>
      </c>
      <c r="BR254" s="525" t="e">
        <f ca="1">stat(calculs!BR254)</f>
        <v>#NAME?</v>
      </c>
    </row>
    <row r="255" spans="1:70" x14ac:dyDescent="0.2">
      <c r="A255" s="222">
        <f>données_step[[#This Row],[Datum]]</f>
        <v>44806</v>
      </c>
      <c r="B255" s="223"/>
      <c r="C255" s="224">
        <f t="shared" si="3"/>
        <v>6</v>
      </c>
      <c r="D255" s="523" t="e">
        <f ca="1">stat(charge_entree[[#This Row],[ch_E_DBO5]])</f>
        <v>#NAME?</v>
      </c>
      <c r="E255" s="523" t="e">
        <f ca="1">stat(charge_entree[[#This Row],[ch_E_DCO]])</f>
        <v>#NAME?</v>
      </c>
      <c r="F255" s="523" t="e">
        <f ca="1">stat(charge_entree[[#This Row],[ch_E_COT]])</f>
        <v>#NAME?</v>
      </c>
      <c r="G255" s="523" t="e">
        <f ca="1">stat(charge_entree[[#This Row],[ch_E_NH4]])</f>
        <v>#NAME?</v>
      </c>
      <c r="H255" s="523" t="e">
        <f ca="1">stat(charge_entree[[#This Row],[ch_E_NTOT]])</f>
        <v>#NAME?</v>
      </c>
      <c r="I255" s="523" t="e">
        <f ca="1">stat(charge_entree[[#This Row],[ch_E_PTOT]])</f>
        <v>#NAME?</v>
      </c>
      <c r="J255" s="523" t="e">
        <f ca="1">stat(charge_entree[[#This Row],[ch_S_DBO]])</f>
        <v>#NAME?</v>
      </c>
      <c r="K255" s="523" t="e">
        <f ca="1">stat(charge_entree[[#This Row],[ch_S-DCO]])</f>
        <v>#NAME?</v>
      </c>
      <c r="L255" s="523" t="e">
        <f ca="1">stat(charge_entree[[#This Row],[ch_S_DOC]])</f>
        <v>#NAME?</v>
      </c>
      <c r="M255" s="523" t="e">
        <f ca="1">stat(charge_entree[[#This Row],[ch_S_NH4]])</f>
        <v>#NAME?</v>
      </c>
      <c r="N255" s="523" t="e">
        <f ca="1">stat(charge_entree[[#This Row],[ch_S_NO2]])</f>
        <v>#NAME?</v>
      </c>
      <c r="O255" s="523" t="e">
        <f ca="1">stat(charge_entree[[#This Row],[ch_S_NO3]])</f>
        <v>#NAME?</v>
      </c>
      <c r="P255" s="523" t="e">
        <f ca="1">stat(charge_entree[[#This Row],[ch_S_PTOT]])</f>
        <v>#NAME?</v>
      </c>
      <c r="Q255" s="523" t="e">
        <f ca="1">stat(charge_entree[[#This Row],[ch_S_SNDT]])</f>
        <v>#NAME?</v>
      </c>
      <c r="R255" s="523">
        <f>calculs!R255</f>
        <v>0</v>
      </c>
      <c r="S255" s="523" t="e">
        <f ca="1">stat(calculs!S255)</f>
        <v>#NAME?</v>
      </c>
      <c r="T255" s="523" t="e">
        <f ca="1">stat(calculs!T255)</f>
        <v>#NAME?</v>
      </c>
      <c r="U255" s="523" t="e">
        <f ca="1">stat(calculs!U255)</f>
        <v>#NAME?</v>
      </c>
      <c r="V255" s="523" t="e">
        <f ca="1">stat(calculs!V255)</f>
        <v>#NAME?</v>
      </c>
      <c r="W255" s="523" t="e">
        <f ca="1">stat(calculs!W255)</f>
        <v>#NAME?</v>
      </c>
      <c r="X255" s="523" t="e">
        <f ca="1">stat(calculs!X255)</f>
        <v>#NAME?</v>
      </c>
      <c r="Y255" s="523" t="e">
        <f ca="1">stat(calculs!Y255)</f>
        <v>#NAME?</v>
      </c>
      <c r="Z255" s="523" t="e">
        <f ca="1">stat(calculs!Z255)</f>
        <v>#NAME?</v>
      </c>
      <c r="AA255" s="523" t="e">
        <f ca="1">stat(calculs!AA255)</f>
        <v>#NAME?</v>
      </c>
      <c r="AB255" s="523" t="e">
        <f ca="1">stat(calculs!AB255)</f>
        <v>#NAME?</v>
      </c>
      <c r="AC255" s="523" t="e">
        <f ca="1">stat(calculs!AC255)</f>
        <v>#NAME?</v>
      </c>
      <c r="AD255" s="523" t="e">
        <f ca="1">stat(calculs!AD255)</f>
        <v>#NAME?</v>
      </c>
      <c r="AE255" s="523" t="e">
        <f ca="1">stat(calculs!AE255)</f>
        <v>#NAME?</v>
      </c>
      <c r="AF255" s="523" t="e">
        <f ca="1">stat(calculs!AF255)</f>
        <v>#NAME?</v>
      </c>
      <c r="AG255" s="523" t="e">
        <f ca="1">stat(calculs!AG255)</f>
        <v>#NAME?</v>
      </c>
      <c r="AH255" s="523" t="e">
        <f ca="1">stat(calculs!AH255)</f>
        <v>#NAME?</v>
      </c>
      <c r="AI255" s="523" t="e">
        <f ca="1">stat(calculs!AI255)</f>
        <v>#NAME?</v>
      </c>
      <c r="AJ255" s="523" t="e">
        <f ca="1">stat(calculs!AJ255)</f>
        <v>#NAME?</v>
      </c>
      <c r="AK255" s="523" t="e">
        <f ca="1">stat(calculs!AK255)</f>
        <v>#NAME?</v>
      </c>
      <c r="AL255" s="523" t="e">
        <f ca="1">stat(calculs!AL255)</f>
        <v>#NAME?</v>
      </c>
      <c r="AM255" s="523" t="e">
        <f ca="1">stat(calculs!AM255)</f>
        <v>#NAME?</v>
      </c>
      <c r="AN255" s="523" t="e">
        <f ca="1">stat(calculs!AN255)</f>
        <v>#NAME?</v>
      </c>
      <c r="AO255" s="523" t="e">
        <f ca="1">stat(calculs!AO255)</f>
        <v>#NAME?</v>
      </c>
      <c r="AP255" s="523" t="e">
        <f ca="1">stat(calculs!AP255)</f>
        <v>#NAME?</v>
      </c>
      <c r="AQ255" s="523" t="e">
        <f ca="1">stat(calculs!AQ255)</f>
        <v>#NAME?</v>
      </c>
      <c r="AV255" s="525" t="str">
        <f>stat(calculs!AV255)</f>
        <v/>
      </c>
      <c r="AW255" s="525" t="str">
        <f>stat(calculs!AW255)</f>
        <v/>
      </c>
      <c r="AX255" s="525" t="str">
        <f>stat(calculs!AX255)</f>
        <v/>
      </c>
      <c r="AY255" s="525" t="e">
        <f ca="1">stat(calculs!AY255)</f>
        <v>#NAME?</v>
      </c>
      <c r="AZ255" s="525" t="e">
        <f ca="1">stat(calculs!AZ255)</f>
        <v>#NAME?</v>
      </c>
      <c r="BA255" s="525" t="e">
        <f ca="1">stat(calculs!BA255)</f>
        <v>#NAME?</v>
      </c>
      <c r="BB255" s="525" t="e">
        <f ca="1">stat(calculs!BB255)</f>
        <v>#NAME?</v>
      </c>
      <c r="BC255" s="525" t="e">
        <f ca="1">stat(calculs!BC255)</f>
        <v>#NAME?</v>
      </c>
      <c r="BD255" s="525" t="e">
        <f ca="1">stat(calculs!BD255)</f>
        <v>#NAME?</v>
      </c>
      <c r="BE255" s="525" t="e">
        <f ca="1">stat(calculs!BE255)</f>
        <v>#NAME?</v>
      </c>
      <c r="BF255" s="525" t="e">
        <f ca="1">stat(calculs!BF255)</f>
        <v>#NAME?</v>
      </c>
      <c r="BG255" s="729" t="e">
        <f ca="1">stat(calculs!BG255)</f>
        <v>#NAME?</v>
      </c>
      <c r="BH255" s="729" t="e">
        <f ca="1">stat(calculs!BH255)</f>
        <v>#NAME?</v>
      </c>
      <c r="BI255" s="729" t="e">
        <f ca="1">stat(calculs!BI255)</f>
        <v>#NAME?</v>
      </c>
      <c r="BJ255" s="729" t="e">
        <f ca="1">stat(calculs!BJ255)</f>
        <v>#NAME?</v>
      </c>
      <c r="BK255" s="729" t="e">
        <f ca="1">stat(calculs!BK255)</f>
        <v>#NAME?</v>
      </c>
      <c r="BL255" s="525" t="e">
        <f ca="1">stat(calculs!BL255)</f>
        <v>#NAME?</v>
      </c>
      <c r="BM255" s="525" t="e">
        <f ca="1">stat(calculs!BM255)</f>
        <v>#NAME?</v>
      </c>
      <c r="BN255" s="525" t="e">
        <f ca="1">stat(calculs!BN255)</f>
        <v>#NAME?</v>
      </c>
      <c r="BO255" s="525" t="e">
        <f ca="1">stat(calculs!BO255)</f>
        <v>#NAME?</v>
      </c>
      <c r="BP255" s="525" t="e">
        <f ca="1">stat(calculs!BP255)</f>
        <v>#NAME?</v>
      </c>
      <c r="BQ255" s="525" t="e">
        <f ca="1">stat(calculs!BQ255)</f>
        <v>#NAME?</v>
      </c>
      <c r="BR255" s="525" t="e">
        <f ca="1">stat(calculs!BR255)</f>
        <v>#NAME?</v>
      </c>
    </row>
    <row r="256" spans="1:70" x14ac:dyDescent="0.2">
      <c r="A256" s="222">
        <f>données_step[[#This Row],[Datum]]</f>
        <v>44807</v>
      </c>
      <c r="B256" s="223"/>
      <c r="C256" s="224">
        <f t="shared" si="3"/>
        <v>7</v>
      </c>
      <c r="D256" s="523" t="e">
        <f ca="1">stat(charge_entree[[#This Row],[ch_E_DBO5]])</f>
        <v>#NAME?</v>
      </c>
      <c r="E256" s="523" t="e">
        <f ca="1">stat(charge_entree[[#This Row],[ch_E_DCO]])</f>
        <v>#NAME?</v>
      </c>
      <c r="F256" s="523" t="e">
        <f ca="1">stat(charge_entree[[#This Row],[ch_E_COT]])</f>
        <v>#NAME?</v>
      </c>
      <c r="G256" s="523" t="e">
        <f ca="1">stat(charge_entree[[#This Row],[ch_E_NH4]])</f>
        <v>#NAME?</v>
      </c>
      <c r="H256" s="523" t="e">
        <f ca="1">stat(charge_entree[[#This Row],[ch_E_NTOT]])</f>
        <v>#NAME?</v>
      </c>
      <c r="I256" s="523" t="e">
        <f ca="1">stat(charge_entree[[#This Row],[ch_E_PTOT]])</f>
        <v>#NAME?</v>
      </c>
      <c r="J256" s="523" t="e">
        <f ca="1">stat(charge_entree[[#This Row],[ch_S_DBO]])</f>
        <v>#NAME?</v>
      </c>
      <c r="K256" s="523" t="e">
        <f ca="1">stat(charge_entree[[#This Row],[ch_S-DCO]])</f>
        <v>#NAME?</v>
      </c>
      <c r="L256" s="523" t="e">
        <f ca="1">stat(charge_entree[[#This Row],[ch_S_DOC]])</f>
        <v>#NAME?</v>
      </c>
      <c r="M256" s="523" t="e">
        <f ca="1">stat(charge_entree[[#This Row],[ch_S_NH4]])</f>
        <v>#NAME?</v>
      </c>
      <c r="N256" s="523" t="e">
        <f ca="1">stat(charge_entree[[#This Row],[ch_S_NO2]])</f>
        <v>#NAME?</v>
      </c>
      <c r="O256" s="523" t="e">
        <f ca="1">stat(charge_entree[[#This Row],[ch_S_NO3]])</f>
        <v>#NAME?</v>
      </c>
      <c r="P256" s="523" t="e">
        <f ca="1">stat(charge_entree[[#This Row],[ch_S_PTOT]])</f>
        <v>#NAME?</v>
      </c>
      <c r="Q256" s="523" t="e">
        <f ca="1">stat(charge_entree[[#This Row],[ch_S_SNDT]])</f>
        <v>#NAME?</v>
      </c>
      <c r="R256" s="523">
        <f>calculs!R256</f>
        <v>0</v>
      </c>
      <c r="S256" s="523" t="e">
        <f ca="1">stat(calculs!S256)</f>
        <v>#NAME?</v>
      </c>
      <c r="T256" s="523" t="e">
        <f ca="1">stat(calculs!T256)</f>
        <v>#NAME?</v>
      </c>
      <c r="U256" s="523" t="e">
        <f ca="1">stat(calculs!U256)</f>
        <v>#NAME?</v>
      </c>
      <c r="V256" s="523" t="e">
        <f ca="1">stat(calculs!V256)</f>
        <v>#NAME?</v>
      </c>
      <c r="W256" s="523" t="e">
        <f ca="1">stat(calculs!W256)</f>
        <v>#NAME?</v>
      </c>
      <c r="X256" s="523" t="e">
        <f ca="1">stat(calculs!X256)</f>
        <v>#NAME?</v>
      </c>
      <c r="Y256" s="523" t="e">
        <f ca="1">stat(calculs!Y256)</f>
        <v>#NAME?</v>
      </c>
      <c r="Z256" s="523" t="e">
        <f ca="1">stat(calculs!Z256)</f>
        <v>#NAME?</v>
      </c>
      <c r="AA256" s="523" t="e">
        <f ca="1">stat(calculs!AA256)</f>
        <v>#NAME?</v>
      </c>
      <c r="AB256" s="523" t="e">
        <f ca="1">stat(calculs!AB256)</f>
        <v>#NAME?</v>
      </c>
      <c r="AC256" s="523" t="e">
        <f ca="1">stat(calculs!AC256)</f>
        <v>#NAME?</v>
      </c>
      <c r="AD256" s="523" t="e">
        <f ca="1">stat(calculs!AD256)</f>
        <v>#NAME?</v>
      </c>
      <c r="AE256" s="523" t="e">
        <f ca="1">stat(calculs!AE256)</f>
        <v>#NAME?</v>
      </c>
      <c r="AF256" s="523" t="e">
        <f ca="1">stat(calculs!AF256)</f>
        <v>#NAME?</v>
      </c>
      <c r="AG256" s="523" t="e">
        <f ca="1">stat(calculs!AG256)</f>
        <v>#NAME?</v>
      </c>
      <c r="AH256" s="523" t="e">
        <f ca="1">stat(calculs!AH256)</f>
        <v>#NAME?</v>
      </c>
      <c r="AI256" s="523" t="e">
        <f ca="1">stat(calculs!AI256)</f>
        <v>#NAME?</v>
      </c>
      <c r="AJ256" s="523" t="e">
        <f ca="1">stat(calculs!AJ256)</f>
        <v>#NAME?</v>
      </c>
      <c r="AK256" s="523" t="e">
        <f ca="1">stat(calculs!AK256)</f>
        <v>#NAME?</v>
      </c>
      <c r="AL256" s="523" t="e">
        <f ca="1">stat(calculs!AL256)</f>
        <v>#NAME?</v>
      </c>
      <c r="AM256" s="523" t="e">
        <f ca="1">stat(calculs!AM256)</f>
        <v>#NAME?</v>
      </c>
      <c r="AN256" s="523" t="e">
        <f ca="1">stat(calculs!AN256)</f>
        <v>#NAME?</v>
      </c>
      <c r="AO256" s="523" t="e">
        <f ca="1">stat(calculs!AO256)</f>
        <v>#NAME?</v>
      </c>
      <c r="AP256" s="523" t="e">
        <f ca="1">stat(calculs!AP256)</f>
        <v>#NAME?</v>
      </c>
      <c r="AQ256" s="523" t="e">
        <f ca="1">stat(calculs!AQ256)</f>
        <v>#NAME?</v>
      </c>
      <c r="AV256" s="525" t="str">
        <f>stat(calculs!AV256)</f>
        <v/>
      </c>
      <c r="AW256" s="525" t="str">
        <f>stat(calculs!AW256)</f>
        <v/>
      </c>
      <c r="AX256" s="525" t="str">
        <f>stat(calculs!AX256)</f>
        <v/>
      </c>
      <c r="AY256" s="525" t="e">
        <f ca="1">stat(calculs!AY256)</f>
        <v>#NAME?</v>
      </c>
      <c r="AZ256" s="525" t="e">
        <f ca="1">stat(calculs!AZ256)</f>
        <v>#NAME?</v>
      </c>
      <c r="BA256" s="525" t="e">
        <f ca="1">stat(calculs!BA256)</f>
        <v>#NAME?</v>
      </c>
      <c r="BB256" s="525" t="e">
        <f ca="1">stat(calculs!BB256)</f>
        <v>#NAME?</v>
      </c>
      <c r="BC256" s="525" t="e">
        <f ca="1">stat(calculs!BC256)</f>
        <v>#NAME?</v>
      </c>
      <c r="BD256" s="525" t="e">
        <f ca="1">stat(calculs!BD256)</f>
        <v>#NAME?</v>
      </c>
      <c r="BE256" s="525" t="e">
        <f ca="1">stat(calculs!BE256)</f>
        <v>#NAME?</v>
      </c>
      <c r="BF256" s="525" t="e">
        <f ca="1">stat(calculs!BF256)</f>
        <v>#NAME?</v>
      </c>
      <c r="BG256" s="729" t="e">
        <f ca="1">stat(calculs!BG256)</f>
        <v>#NAME?</v>
      </c>
      <c r="BH256" s="729" t="e">
        <f ca="1">stat(calculs!BH256)</f>
        <v>#NAME?</v>
      </c>
      <c r="BI256" s="729" t="e">
        <f ca="1">stat(calculs!BI256)</f>
        <v>#NAME?</v>
      </c>
      <c r="BJ256" s="729" t="e">
        <f ca="1">stat(calculs!BJ256)</f>
        <v>#NAME?</v>
      </c>
      <c r="BK256" s="729" t="e">
        <f ca="1">stat(calculs!BK256)</f>
        <v>#NAME?</v>
      </c>
      <c r="BL256" s="525" t="e">
        <f ca="1">stat(calculs!BL256)</f>
        <v>#NAME?</v>
      </c>
      <c r="BM256" s="525" t="e">
        <f ca="1">stat(calculs!BM256)</f>
        <v>#NAME?</v>
      </c>
      <c r="BN256" s="525" t="e">
        <f ca="1">stat(calculs!BN256)</f>
        <v>#NAME?</v>
      </c>
      <c r="BO256" s="525" t="e">
        <f ca="1">stat(calculs!BO256)</f>
        <v>#NAME?</v>
      </c>
      <c r="BP256" s="525" t="e">
        <f ca="1">stat(calculs!BP256)</f>
        <v>#NAME?</v>
      </c>
      <c r="BQ256" s="525" t="e">
        <f ca="1">stat(calculs!BQ256)</f>
        <v>#NAME?</v>
      </c>
      <c r="BR256" s="525" t="e">
        <f ca="1">stat(calculs!BR256)</f>
        <v>#NAME?</v>
      </c>
    </row>
    <row r="257" spans="1:70" x14ac:dyDescent="0.2">
      <c r="A257" s="222">
        <f>données_step[[#This Row],[Datum]]</f>
        <v>44808</v>
      </c>
      <c r="B257" s="223"/>
      <c r="C257" s="224">
        <f t="shared" si="3"/>
        <v>1</v>
      </c>
      <c r="D257" s="523" t="e">
        <f ca="1">stat(charge_entree[[#This Row],[ch_E_DBO5]])</f>
        <v>#NAME?</v>
      </c>
      <c r="E257" s="523" t="e">
        <f ca="1">stat(charge_entree[[#This Row],[ch_E_DCO]])</f>
        <v>#NAME?</v>
      </c>
      <c r="F257" s="523" t="e">
        <f ca="1">stat(charge_entree[[#This Row],[ch_E_COT]])</f>
        <v>#NAME?</v>
      </c>
      <c r="G257" s="523" t="e">
        <f ca="1">stat(charge_entree[[#This Row],[ch_E_NH4]])</f>
        <v>#NAME?</v>
      </c>
      <c r="H257" s="523" t="e">
        <f ca="1">stat(charge_entree[[#This Row],[ch_E_NTOT]])</f>
        <v>#NAME?</v>
      </c>
      <c r="I257" s="523" t="e">
        <f ca="1">stat(charge_entree[[#This Row],[ch_E_PTOT]])</f>
        <v>#NAME?</v>
      </c>
      <c r="J257" s="523" t="e">
        <f ca="1">stat(charge_entree[[#This Row],[ch_S_DBO]])</f>
        <v>#NAME?</v>
      </c>
      <c r="K257" s="523" t="e">
        <f ca="1">stat(charge_entree[[#This Row],[ch_S-DCO]])</f>
        <v>#NAME?</v>
      </c>
      <c r="L257" s="523" t="e">
        <f ca="1">stat(charge_entree[[#This Row],[ch_S_DOC]])</f>
        <v>#NAME?</v>
      </c>
      <c r="M257" s="523" t="e">
        <f ca="1">stat(charge_entree[[#This Row],[ch_S_NH4]])</f>
        <v>#NAME?</v>
      </c>
      <c r="N257" s="523" t="e">
        <f ca="1">stat(charge_entree[[#This Row],[ch_S_NO2]])</f>
        <v>#NAME?</v>
      </c>
      <c r="O257" s="523" t="e">
        <f ca="1">stat(charge_entree[[#This Row],[ch_S_NO3]])</f>
        <v>#NAME?</v>
      </c>
      <c r="P257" s="523" t="e">
        <f ca="1">stat(charge_entree[[#This Row],[ch_S_PTOT]])</f>
        <v>#NAME?</v>
      </c>
      <c r="Q257" s="523" t="e">
        <f ca="1">stat(charge_entree[[#This Row],[ch_S_SNDT]])</f>
        <v>#NAME?</v>
      </c>
      <c r="R257" s="523">
        <f>calculs!R257</f>
        <v>0</v>
      </c>
      <c r="S257" s="523" t="e">
        <f ca="1">stat(calculs!S257)</f>
        <v>#NAME?</v>
      </c>
      <c r="T257" s="523" t="e">
        <f ca="1">stat(calculs!T257)</f>
        <v>#NAME?</v>
      </c>
      <c r="U257" s="523" t="e">
        <f ca="1">stat(calculs!U257)</f>
        <v>#NAME?</v>
      </c>
      <c r="V257" s="523" t="e">
        <f ca="1">stat(calculs!V257)</f>
        <v>#NAME?</v>
      </c>
      <c r="W257" s="523" t="e">
        <f ca="1">stat(calculs!W257)</f>
        <v>#NAME?</v>
      </c>
      <c r="X257" s="523" t="e">
        <f ca="1">stat(calculs!X257)</f>
        <v>#NAME?</v>
      </c>
      <c r="Y257" s="523" t="e">
        <f ca="1">stat(calculs!Y257)</f>
        <v>#NAME?</v>
      </c>
      <c r="Z257" s="523" t="e">
        <f ca="1">stat(calculs!Z257)</f>
        <v>#NAME?</v>
      </c>
      <c r="AA257" s="523" t="e">
        <f ca="1">stat(calculs!AA257)</f>
        <v>#NAME?</v>
      </c>
      <c r="AB257" s="523" t="e">
        <f ca="1">stat(calculs!AB257)</f>
        <v>#NAME?</v>
      </c>
      <c r="AC257" s="523" t="e">
        <f ca="1">stat(calculs!AC257)</f>
        <v>#NAME?</v>
      </c>
      <c r="AD257" s="523" t="e">
        <f ca="1">stat(calculs!AD257)</f>
        <v>#NAME?</v>
      </c>
      <c r="AE257" s="523" t="e">
        <f ca="1">stat(calculs!AE257)</f>
        <v>#NAME?</v>
      </c>
      <c r="AF257" s="523" t="e">
        <f ca="1">stat(calculs!AF257)</f>
        <v>#NAME?</v>
      </c>
      <c r="AG257" s="523" t="e">
        <f ca="1">stat(calculs!AG257)</f>
        <v>#NAME?</v>
      </c>
      <c r="AH257" s="523" t="e">
        <f ca="1">stat(calculs!AH257)</f>
        <v>#NAME?</v>
      </c>
      <c r="AI257" s="523" t="e">
        <f ca="1">stat(calculs!AI257)</f>
        <v>#NAME?</v>
      </c>
      <c r="AJ257" s="523" t="e">
        <f ca="1">stat(calculs!AJ257)</f>
        <v>#NAME?</v>
      </c>
      <c r="AK257" s="523" t="e">
        <f ca="1">stat(calculs!AK257)</f>
        <v>#NAME?</v>
      </c>
      <c r="AL257" s="523" t="e">
        <f ca="1">stat(calculs!AL257)</f>
        <v>#NAME?</v>
      </c>
      <c r="AM257" s="523" t="e">
        <f ca="1">stat(calculs!AM257)</f>
        <v>#NAME?</v>
      </c>
      <c r="AN257" s="523" t="e">
        <f ca="1">stat(calculs!AN257)</f>
        <v>#NAME?</v>
      </c>
      <c r="AO257" s="523" t="e">
        <f ca="1">stat(calculs!AO257)</f>
        <v>#NAME?</v>
      </c>
      <c r="AP257" s="523" t="e">
        <f ca="1">stat(calculs!AP257)</f>
        <v>#NAME?</v>
      </c>
      <c r="AQ257" s="523" t="e">
        <f ca="1">stat(calculs!AQ257)</f>
        <v>#NAME?</v>
      </c>
      <c r="AV257" s="525" t="str">
        <f>stat(calculs!AV257)</f>
        <v/>
      </c>
      <c r="AW257" s="525" t="str">
        <f>stat(calculs!AW257)</f>
        <v/>
      </c>
      <c r="AX257" s="525" t="str">
        <f>stat(calculs!AX257)</f>
        <v/>
      </c>
      <c r="AY257" s="525" t="e">
        <f ca="1">stat(calculs!AY257)</f>
        <v>#NAME?</v>
      </c>
      <c r="AZ257" s="525" t="e">
        <f ca="1">stat(calculs!AZ257)</f>
        <v>#NAME?</v>
      </c>
      <c r="BA257" s="525" t="e">
        <f ca="1">stat(calculs!BA257)</f>
        <v>#NAME?</v>
      </c>
      <c r="BB257" s="525" t="e">
        <f ca="1">stat(calculs!BB257)</f>
        <v>#NAME?</v>
      </c>
      <c r="BC257" s="525" t="e">
        <f ca="1">stat(calculs!BC257)</f>
        <v>#NAME?</v>
      </c>
      <c r="BD257" s="525" t="e">
        <f ca="1">stat(calculs!BD257)</f>
        <v>#NAME?</v>
      </c>
      <c r="BE257" s="525" t="e">
        <f ca="1">stat(calculs!BE257)</f>
        <v>#NAME?</v>
      </c>
      <c r="BF257" s="525" t="e">
        <f ca="1">stat(calculs!BF257)</f>
        <v>#NAME?</v>
      </c>
      <c r="BG257" s="729" t="e">
        <f ca="1">stat(calculs!BG257)</f>
        <v>#NAME?</v>
      </c>
      <c r="BH257" s="729" t="e">
        <f ca="1">stat(calculs!BH257)</f>
        <v>#NAME?</v>
      </c>
      <c r="BI257" s="729" t="e">
        <f ca="1">stat(calculs!BI257)</f>
        <v>#NAME?</v>
      </c>
      <c r="BJ257" s="729" t="e">
        <f ca="1">stat(calculs!BJ257)</f>
        <v>#NAME?</v>
      </c>
      <c r="BK257" s="729" t="e">
        <f ca="1">stat(calculs!BK257)</f>
        <v>#NAME?</v>
      </c>
      <c r="BL257" s="525" t="e">
        <f ca="1">stat(calculs!BL257)</f>
        <v>#NAME?</v>
      </c>
      <c r="BM257" s="525" t="e">
        <f ca="1">stat(calculs!BM257)</f>
        <v>#NAME?</v>
      </c>
      <c r="BN257" s="525" t="e">
        <f ca="1">stat(calculs!BN257)</f>
        <v>#NAME?</v>
      </c>
      <c r="BO257" s="525" t="e">
        <f ca="1">stat(calculs!BO257)</f>
        <v>#NAME?</v>
      </c>
      <c r="BP257" s="525" t="e">
        <f ca="1">stat(calculs!BP257)</f>
        <v>#NAME?</v>
      </c>
      <c r="BQ257" s="525" t="e">
        <f ca="1">stat(calculs!BQ257)</f>
        <v>#NAME?</v>
      </c>
      <c r="BR257" s="525" t="e">
        <f ca="1">stat(calculs!BR257)</f>
        <v>#NAME?</v>
      </c>
    </row>
    <row r="258" spans="1:70" x14ac:dyDescent="0.2">
      <c r="A258" s="222">
        <f>données_step[[#This Row],[Datum]]</f>
        <v>44809</v>
      </c>
      <c r="B258" s="223"/>
      <c r="C258" s="224">
        <f t="shared" si="3"/>
        <v>2</v>
      </c>
      <c r="D258" s="523" t="e">
        <f ca="1">stat(charge_entree[[#This Row],[ch_E_DBO5]])</f>
        <v>#NAME?</v>
      </c>
      <c r="E258" s="523" t="e">
        <f ca="1">stat(charge_entree[[#This Row],[ch_E_DCO]])</f>
        <v>#NAME?</v>
      </c>
      <c r="F258" s="523" t="e">
        <f ca="1">stat(charge_entree[[#This Row],[ch_E_COT]])</f>
        <v>#NAME?</v>
      </c>
      <c r="G258" s="523" t="e">
        <f ca="1">stat(charge_entree[[#This Row],[ch_E_NH4]])</f>
        <v>#NAME?</v>
      </c>
      <c r="H258" s="523" t="e">
        <f ca="1">stat(charge_entree[[#This Row],[ch_E_NTOT]])</f>
        <v>#NAME?</v>
      </c>
      <c r="I258" s="523" t="e">
        <f ca="1">stat(charge_entree[[#This Row],[ch_E_PTOT]])</f>
        <v>#NAME?</v>
      </c>
      <c r="J258" s="523" t="e">
        <f ca="1">stat(charge_entree[[#This Row],[ch_S_DBO]])</f>
        <v>#NAME?</v>
      </c>
      <c r="K258" s="523" t="e">
        <f ca="1">stat(charge_entree[[#This Row],[ch_S-DCO]])</f>
        <v>#NAME?</v>
      </c>
      <c r="L258" s="523" t="e">
        <f ca="1">stat(charge_entree[[#This Row],[ch_S_DOC]])</f>
        <v>#NAME?</v>
      </c>
      <c r="M258" s="523" t="e">
        <f ca="1">stat(charge_entree[[#This Row],[ch_S_NH4]])</f>
        <v>#NAME?</v>
      </c>
      <c r="N258" s="523" t="e">
        <f ca="1">stat(charge_entree[[#This Row],[ch_S_NO2]])</f>
        <v>#NAME?</v>
      </c>
      <c r="O258" s="523" t="e">
        <f ca="1">stat(charge_entree[[#This Row],[ch_S_NO3]])</f>
        <v>#NAME?</v>
      </c>
      <c r="P258" s="523" t="e">
        <f ca="1">stat(charge_entree[[#This Row],[ch_S_PTOT]])</f>
        <v>#NAME?</v>
      </c>
      <c r="Q258" s="523" t="e">
        <f ca="1">stat(charge_entree[[#This Row],[ch_S_SNDT]])</f>
        <v>#NAME?</v>
      </c>
      <c r="R258" s="523">
        <f>calculs!R258</f>
        <v>0</v>
      </c>
      <c r="S258" s="523" t="e">
        <f ca="1">stat(calculs!S258)</f>
        <v>#NAME?</v>
      </c>
      <c r="T258" s="523" t="e">
        <f ca="1">stat(calculs!T258)</f>
        <v>#NAME?</v>
      </c>
      <c r="U258" s="523" t="e">
        <f ca="1">stat(calculs!U258)</f>
        <v>#NAME?</v>
      </c>
      <c r="V258" s="523" t="e">
        <f ca="1">stat(calculs!V258)</f>
        <v>#NAME?</v>
      </c>
      <c r="W258" s="523" t="e">
        <f ca="1">stat(calculs!W258)</f>
        <v>#NAME?</v>
      </c>
      <c r="X258" s="523" t="e">
        <f ca="1">stat(calculs!X258)</f>
        <v>#NAME?</v>
      </c>
      <c r="Y258" s="523" t="e">
        <f ca="1">stat(calculs!Y258)</f>
        <v>#NAME?</v>
      </c>
      <c r="Z258" s="523" t="e">
        <f ca="1">stat(calculs!Z258)</f>
        <v>#NAME?</v>
      </c>
      <c r="AA258" s="523" t="e">
        <f ca="1">stat(calculs!AA258)</f>
        <v>#NAME?</v>
      </c>
      <c r="AB258" s="523" t="e">
        <f ca="1">stat(calculs!AB258)</f>
        <v>#NAME?</v>
      </c>
      <c r="AC258" s="523" t="e">
        <f ca="1">stat(calculs!AC258)</f>
        <v>#NAME?</v>
      </c>
      <c r="AD258" s="523" t="e">
        <f ca="1">stat(calculs!AD258)</f>
        <v>#NAME?</v>
      </c>
      <c r="AE258" s="523" t="e">
        <f ca="1">stat(calculs!AE258)</f>
        <v>#NAME?</v>
      </c>
      <c r="AF258" s="523" t="e">
        <f ca="1">stat(calculs!AF258)</f>
        <v>#NAME?</v>
      </c>
      <c r="AG258" s="523" t="e">
        <f ca="1">stat(calculs!AG258)</f>
        <v>#NAME?</v>
      </c>
      <c r="AH258" s="523" t="e">
        <f ca="1">stat(calculs!AH258)</f>
        <v>#NAME?</v>
      </c>
      <c r="AI258" s="523" t="e">
        <f ca="1">stat(calculs!AI258)</f>
        <v>#NAME?</v>
      </c>
      <c r="AJ258" s="523" t="e">
        <f ca="1">stat(calculs!AJ258)</f>
        <v>#NAME?</v>
      </c>
      <c r="AK258" s="523" t="e">
        <f ca="1">stat(calculs!AK258)</f>
        <v>#NAME?</v>
      </c>
      <c r="AL258" s="523" t="e">
        <f ca="1">stat(calculs!AL258)</f>
        <v>#NAME?</v>
      </c>
      <c r="AM258" s="523" t="e">
        <f ca="1">stat(calculs!AM258)</f>
        <v>#NAME?</v>
      </c>
      <c r="AN258" s="523" t="e">
        <f ca="1">stat(calculs!AN258)</f>
        <v>#NAME?</v>
      </c>
      <c r="AO258" s="523" t="e">
        <f ca="1">stat(calculs!AO258)</f>
        <v>#NAME?</v>
      </c>
      <c r="AP258" s="523" t="e">
        <f ca="1">stat(calculs!AP258)</f>
        <v>#NAME?</v>
      </c>
      <c r="AQ258" s="523" t="e">
        <f ca="1">stat(calculs!AQ258)</f>
        <v>#NAME?</v>
      </c>
      <c r="AV258" s="525" t="str">
        <f>stat(calculs!AV258)</f>
        <v/>
      </c>
      <c r="AW258" s="525" t="str">
        <f>stat(calculs!AW258)</f>
        <v/>
      </c>
      <c r="AX258" s="525" t="str">
        <f>stat(calculs!AX258)</f>
        <v/>
      </c>
      <c r="AY258" s="525" t="e">
        <f ca="1">stat(calculs!AY258)</f>
        <v>#NAME?</v>
      </c>
      <c r="AZ258" s="525" t="e">
        <f ca="1">stat(calculs!AZ258)</f>
        <v>#NAME?</v>
      </c>
      <c r="BA258" s="525" t="e">
        <f ca="1">stat(calculs!BA258)</f>
        <v>#NAME?</v>
      </c>
      <c r="BB258" s="525" t="e">
        <f ca="1">stat(calculs!BB258)</f>
        <v>#NAME?</v>
      </c>
      <c r="BC258" s="525" t="e">
        <f ca="1">stat(calculs!BC258)</f>
        <v>#NAME?</v>
      </c>
      <c r="BD258" s="525" t="e">
        <f ca="1">stat(calculs!BD258)</f>
        <v>#NAME?</v>
      </c>
      <c r="BE258" s="525" t="e">
        <f ca="1">stat(calculs!BE258)</f>
        <v>#NAME?</v>
      </c>
      <c r="BF258" s="525" t="e">
        <f ca="1">stat(calculs!BF258)</f>
        <v>#NAME?</v>
      </c>
      <c r="BG258" s="729" t="e">
        <f ca="1">stat(calculs!BG258)</f>
        <v>#NAME?</v>
      </c>
      <c r="BH258" s="729" t="e">
        <f ca="1">stat(calculs!BH258)</f>
        <v>#NAME?</v>
      </c>
      <c r="BI258" s="729" t="e">
        <f ca="1">stat(calculs!BI258)</f>
        <v>#NAME?</v>
      </c>
      <c r="BJ258" s="729" t="e">
        <f ca="1">stat(calculs!BJ258)</f>
        <v>#NAME?</v>
      </c>
      <c r="BK258" s="729" t="e">
        <f ca="1">stat(calculs!BK258)</f>
        <v>#NAME?</v>
      </c>
      <c r="BL258" s="525" t="e">
        <f ca="1">stat(calculs!BL258)</f>
        <v>#NAME?</v>
      </c>
      <c r="BM258" s="525" t="e">
        <f ca="1">stat(calculs!BM258)</f>
        <v>#NAME?</v>
      </c>
      <c r="BN258" s="525" t="e">
        <f ca="1">stat(calculs!BN258)</f>
        <v>#NAME?</v>
      </c>
      <c r="BO258" s="525" t="e">
        <f ca="1">stat(calculs!BO258)</f>
        <v>#NAME?</v>
      </c>
      <c r="BP258" s="525" t="e">
        <f ca="1">stat(calculs!BP258)</f>
        <v>#NAME?</v>
      </c>
      <c r="BQ258" s="525" t="e">
        <f ca="1">stat(calculs!BQ258)</f>
        <v>#NAME?</v>
      </c>
      <c r="BR258" s="525" t="e">
        <f ca="1">stat(calculs!BR258)</f>
        <v>#NAME?</v>
      </c>
    </row>
    <row r="259" spans="1:70" x14ac:dyDescent="0.2">
      <c r="A259" s="222">
        <f>données_step[[#This Row],[Datum]]</f>
        <v>44810</v>
      </c>
      <c r="B259" s="223"/>
      <c r="C259" s="224">
        <f t="shared" si="3"/>
        <v>3</v>
      </c>
      <c r="D259" s="523" t="e">
        <f ca="1">stat(charge_entree[[#This Row],[ch_E_DBO5]])</f>
        <v>#NAME?</v>
      </c>
      <c r="E259" s="523" t="e">
        <f ca="1">stat(charge_entree[[#This Row],[ch_E_DCO]])</f>
        <v>#NAME?</v>
      </c>
      <c r="F259" s="523" t="e">
        <f ca="1">stat(charge_entree[[#This Row],[ch_E_COT]])</f>
        <v>#NAME?</v>
      </c>
      <c r="G259" s="523" t="e">
        <f ca="1">stat(charge_entree[[#This Row],[ch_E_NH4]])</f>
        <v>#NAME?</v>
      </c>
      <c r="H259" s="523" t="e">
        <f ca="1">stat(charge_entree[[#This Row],[ch_E_NTOT]])</f>
        <v>#NAME?</v>
      </c>
      <c r="I259" s="523" t="e">
        <f ca="1">stat(charge_entree[[#This Row],[ch_E_PTOT]])</f>
        <v>#NAME?</v>
      </c>
      <c r="J259" s="523" t="e">
        <f ca="1">stat(charge_entree[[#This Row],[ch_S_DBO]])</f>
        <v>#NAME?</v>
      </c>
      <c r="K259" s="523" t="e">
        <f ca="1">stat(charge_entree[[#This Row],[ch_S-DCO]])</f>
        <v>#NAME?</v>
      </c>
      <c r="L259" s="523" t="e">
        <f ca="1">stat(charge_entree[[#This Row],[ch_S_DOC]])</f>
        <v>#NAME?</v>
      </c>
      <c r="M259" s="523" t="e">
        <f ca="1">stat(charge_entree[[#This Row],[ch_S_NH4]])</f>
        <v>#NAME?</v>
      </c>
      <c r="N259" s="523" t="e">
        <f ca="1">stat(charge_entree[[#This Row],[ch_S_NO2]])</f>
        <v>#NAME?</v>
      </c>
      <c r="O259" s="523" t="e">
        <f ca="1">stat(charge_entree[[#This Row],[ch_S_NO3]])</f>
        <v>#NAME?</v>
      </c>
      <c r="P259" s="523" t="e">
        <f ca="1">stat(charge_entree[[#This Row],[ch_S_PTOT]])</f>
        <v>#NAME?</v>
      </c>
      <c r="Q259" s="523" t="e">
        <f ca="1">stat(charge_entree[[#This Row],[ch_S_SNDT]])</f>
        <v>#NAME?</v>
      </c>
      <c r="R259" s="523">
        <f>calculs!R259</f>
        <v>0</v>
      </c>
      <c r="S259" s="523" t="e">
        <f ca="1">stat(calculs!S259)</f>
        <v>#NAME?</v>
      </c>
      <c r="T259" s="523" t="e">
        <f ca="1">stat(calculs!T259)</f>
        <v>#NAME?</v>
      </c>
      <c r="U259" s="523" t="e">
        <f ca="1">stat(calculs!U259)</f>
        <v>#NAME?</v>
      </c>
      <c r="V259" s="523" t="e">
        <f ca="1">stat(calculs!V259)</f>
        <v>#NAME?</v>
      </c>
      <c r="W259" s="523" t="e">
        <f ca="1">stat(calculs!W259)</f>
        <v>#NAME?</v>
      </c>
      <c r="X259" s="523" t="e">
        <f ca="1">stat(calculs!X259)</f>
        <v>#NAME?</v>
      </c>
      <c r="Y259" s="523" t="e">
        <f ca="1">stat(calculs!Y259)</f>
        <v>#NAME?</v>
      </c>
      <c r="Z259" s="523" t="e">
        <f ca="1">stat(calculs!Z259)</f>
        <v>#NAME?</v>
      </c>
      <c r="AA259" s="523" t="e">
        <f ca="1">stat(calculs!AA259)</f>
        <v>#NAME?</v>
      </c>
      <c r="AB259" s="523" t="e">
        <f ca="1">stat(calculs!AB259)</f>
        <v>#NAME?</v>
      </c>
      <c r="AC259" s="523" t="e">
        <f ca="1">stat(calculs!AC259)</f>
        <v>#NAME?</v>
      </c>
      <c r="AD259" s="523" t="e">
        <f ca="1">stat(calculs!AD259)</f>
        <v>#NAME?</v>
      </c>
      <c r="AE259" s="523" t="e">
        <f ca="1">stat(calculs!AE259)</f>
        <v>#NAME?</v>
      </c>
      <c r="AF259" s="523" t="e">
        <f ca="1">stat(calculs!AF259)</f>
        <v>#NAME?</v>
      </c>
      <c r="AG259" s="523" t="e">
        <f ca="1">stat(calculs!AG259)</f>
        <v>#NAME?</v>
      </c>
      <c r="AH259" s="523" t="e">
        <f ca="1">stat(calculs!AH259)</f>
        <v>#NAME?</v>
      </c>
      <c r="AI259" s="523" t="e">
        <f ca="1">stat(calculs!AI259)</f>
        <v>#NAME?</v>
      </c>
      <c r="AJ259" s="523" t="e">
        <f ca="1">stat(calculs!AJ259)</f>
        <v>#NAME?</v>
      </c>
      <c r="AK259" s="523" t="e">
        <f ca="1">stat(calculs!AK259)</f>
        <v>#NAME?</v>
      </c>
      <c r="AL259" s="523" t="e">
        <f ca="1">stat(calculs!AL259)</f>
        <v>#NAME?</v>
      </c>
      <c r="AM259" s="523" t="e">
        <f ca="1">stat(calculs!AM259)</f>
        <v>#NAME?</v>
      </c>
      <c r="AN259" s="523" t="e">
        <f ca="1">stat(calculs!AN259)</f>
        <v>#NAME?</v>
      </c>
      <c r="AO259" s="523" t="e">
        <f ca="1">stat(calculs!AO259)</f>
        <v>#NAME?</v>
      </c>
      <c r="AP259" s="523" t="e">
        <f ca="1">stat(calculs!AP259)</f>
        <v>#NAME?</v>
      </c>
      <c r="AQ259" s="523" t="e">
        <f ca="1">stat(calculs!AQ259)</f>
        <v>#NAME?</v>
      </c>
      <c r="AV259" s="525" t="str">
        <f>stat(calculs!AV259)</f>
        <v/>
      </c>
      <c r="AW259" s="525" t="str">
        <f>stat(calculs!AW259)</f>
        <v/>
      </c>
      <c r="AX259" s="525" t="str">
        <f>stat(calculs!AX259)</f>
        <v/>
      </c>
      <c r="AY259" s="525" t="e">
        <f ca="1">stat(calculs!AY259)</f>
        <v>#NAME?</v>
      </c>
      <c r="AZ259" s="525" t="e">
        <f ca="1">stat(calculs!AZ259)</f>
        <v>#NAME?</v>
      </c>
      <c r="BA259" s="525" t="e">
        <f ca="1">stat(calculs!BA259)</f>
        <v>#NAME?</v>
      </c>
      <c r="BB259" s="525" t="e">
        <f ca="1">stat(calculs!BB259)</f>
        <v>#NAME?</v>
      </c>
      <c r="BC259" s="525" t="e">
        <f ca="1">stat(calculs!BC259)</f>
        <v>#NAME?</v>
      </c>
      <c r="BD259" s="525" t="e">
        <f ca="1">stat(calculs!BD259)</f>
        <v>#NAME?</v>
      </c>
      <c r="BE259" s="525" t="e">
        <f ca="1">stat(calculs!BE259)</f>
        <v>#NAME?</v>
      </c>
      <c r="BF259" s="525" t="e">
        <f ca="1">stat(calculs!BF259)</f>
        <v>#NAME?</v>
      </c>
      <c r="BG259" s="729" t="e">
        <f ca="1">stat(calculs!BG259)</f>
        <v>#NAME?</v>
      </c>
      <c r="BH259" s="729" t="e">
        <f ca="1">stat(calculs!BH259)</f>
        <v>#NAME?</v>
      </c>
      <c r="BI259" s="729" t="e">
        <f ca="1">stat(calculs!BI259)</f>
        <v>#NAME?</v>
      </c>
      <c r="BJ259" s="729" t="e">
        <f ca="1">stat(calculs!BJ259)</f>
        <v>#NAME?</v>
      </c>
      <c r="BK259" s="729" t="e">
        <f ca="1">stat(calculs!BK259)</f>
        <v>#NAME?</v>
      </c>
      <c r="BL259" s="525" t="e">
        <f ca="1">stat(calculs!BL259)</f>
        <v>#NAME?</v>
      </c>
      <c r="BM259" s="525" t="e">
        <f ca="1">stat(calculs!BM259)</f>
        <v>#NAME?</v>
      </c>
      <c r="BN259" s="525" t="e">
        <f ca="1">stat(calculs!BN259)</f>
        <v>#NAME?</v>
      </c>
      <c r="BO259" s="525" t="e">
        <f ca="1">stat(calculs!BO259)</f>
        <v>#NAME?</v>
      </c>
      <c r="BP259" s="525" t="e">
        <f ca="1">stat(calculs!BP259)</f>
        <v>#NAME?</v>
      </c>
      <c r="BQ259" s="525" t="e">
        <f ca="1">stat(calculs!BQ259)</f>
        <v>#NAME?</v>
      </c>
      <c r="BR259" s="525" t="e">
        <f ca="1">stat(calculs!BR259)</f>
        <v>#NAME?</v>
      </c>
    </row>
    <row r="260" spans="1:70" x14ac:dyDescent="0.2">
      <c r="A260" s="222">
        <f>données_step[[#This Row],[Datum]]</f>
        <v>44811</v>
      </c>
      <c r="B260" s="223"/>
      <c r="C260" s="224">
        <f t="shared" si="3"/>
        <v>4</v>
      </c>
      <c r="D260" s="523" t="e">
        <f ca="1">stat(charge_entree[[#This Row],[ch_E_DBO5]])</f>
        <v>#NAME?</v>
      </c>
      <c r="E260" s="523" t="e">
        <f ca="1">stat(charge_entree[[#This Row],[ch_E_DCO]])</f>
        <v>#NAME?</v>
      </c>
      <c r="F260" s="523" t="e">
        <f ca="1">stat(charge_entree[[#This Row],[ch_E_COT]])</f>
        <v>#NAME?</v>
      </c>
      <c r="G260" s="523" t="e">
        <f ca="1">stat(charge_entree[[#This Row],[ch_E_NH4]])</f>
        <v>#NAME?</v>
      </c>
      <c r="H260" s="523" t="e">
        <f ca="1">stat(charge_entree[[#This Row],[ch_E_NTOT]])</f>
        <v>#NAME?</v>
      </c>
      <c r="I260" s="523" t="e">
        <f ca="1">stat(charge_entree[[#This Row],[ch_E_PTOT]])</f>
        <v>#NAME?</v>
      </c>
      <c r="J260" s="523" t="e">
        <f ca="1">stat(charge_entree[[#This Row],[ch_S_DBO]])</f>
        <v>#NAME?</v>
      </c>
      <c r="K260" s="523" t="e">
        <f ca="1">stat(charge_entree[[#This Row],[ch_S-DCO]])</f>
        <v>#NAME?</v>
      </c>
      <c r="L260" s="523" t="e">
        <f ca="1">stat(charge_entree[[#This Row],[ch_S_DOC]])</f>
        <v>#NAME?</v>
      </c>
      <c r="M260" s="523" t="e">
        <f ca="1">stat(charge_entree[[#This Row],[ch_S_NH4]])</f>
        <v>#NAME?</v>
      </c>
      <c r="N260" s="523" t="e">
        <f ca="1">stat(charge_entree[[#This Row],[ch_S_NO2]])</f>
        <v>#NAME?</v>
      </c>
      <c r="O260" s="523" t="e">
        <f ca="1">stat(charge_entree[[#This Row],[ch_S_NO3]])</f>
        <v>#NAME?</v>
      </c>
      <c r="P260" s="523" t="e">
        <f ca="1">stat(charge_entree[[#This Row],[ch_S_PTOT]])</f>
        <v>#NAME?</v>
      </c>
      <c r="Q260" s="523" t="e">
        <f ca="1">stat(charge_entree[[#This Row],[ch_S_SNDT]])</f>
        <v>#NAME?</v>
      </c>
      <c r="R260" s="523">
        <f>calculs!R260</f>
        <v>0</v>
      </c>
      <c r="S260" s="523" t="e">
        <f ca="1">stat(calculs!S260)</f>
        <v>#NAME?</v>
      </c>
      <c r="T260" s="523" t="e">
        <f ca="1">stat(calculs!T260)</f>
        <v>#NAME?</v>
      </c>
      <c r="U260" s="523" t="e">
        <f ca="1">stat(calculs!U260)</f>
        <v>#NAME?</v>
      </c>
      <c r="V260" s="523" t="e">
        <f ca="1">stat(calculs!V260)</f>
        <v>#NAME?</v>
      </c>
      <c r="W260" s="523" t="e">
        <f ca="1">stat(calculs!W260)</f>
        <v>#NAME?</v>
      </c>
      <c r="X260" s="523" t="e">
        <f ca="1">stat(calculs!X260)</f>
        <v>#NAME?</v>
      </c>
      <c r="Y260" s="523" t="e">
        <f ca="1">stat(calculs!Y260)</f>
        <v>#NAME?</v>
      </c>
      <c r="Z260" s="523" t="e">
        <f ca="1">stat(calculs!Z260)</f>
        <v>#NAME?</v>
      </c>
      <c r="AA260" s="523" t="e">
        <f ca="1">stat(calculs!AA260)</f>
        <v>#NAME?</v>
      </c>
      <c r="AB260" s="523" t="e">
        <f ca="1">stat(calculs!AB260)</f>
        <v>#NAME?</v>
      </c>
      <c r="AC260" s="523" t="e">
        <f ca="1">stat(calculs!AC260)</f>
        <v>#NAME?</v>
      </c>
      <c r="AD260" s="523" t="e">
        <f ca="1">stat(calculs!AD260)</f>
        <v>#NAME?</v>
      </c>
      <c r="AE260" s="523" t="e">
        <f ca="1">stat(calculs!AE260)</f>
        <v>#NAME?</v>
      </c>
      <c r="AF260" s="523" t="e">
        <f ca="1">stat(calculs!AF260)</f>
        <v>#NAME?</v>
      </c>
      <c r="AG260" s="523" t="e">
        <f ca="1">stat(calculs!AG260)</f>
        <v>#NAME?</v>
      </c>
      <c r="AH260" s="523" t="e">
        <f ca="1">stat(calculs!AH260)</f>
        <v>#NAME?</v>
      </c>
      <c r="AI260" s="523" t="e">
        <f ca="1">stat(calculs!AI260)</f>
        <v>#NAME?</v>
      </c>
      <c r="AJ260" s="523" t="e">
        <f ca="1">stat(calculs!AJ260)</f>
        <v>#NAME?</v>
      </c>
      <c r="AK260" s="523" t="e">
        <f ca="1">stat(calculs!AK260)</f>
        <v>#NAME?</v>
      </c>
      <c r="AL260" s="523" t="e">
        <f ca="1">stat(calculs!AL260)</f>
        <v>#NAME?</v>
      </c>
      <c r="AM260" s="523" t="e">
        <f ca="1">stat(calculs!AM260)</f>
        <v>#NAME?</v>
      </c>
      <c r="AN260" s="523" t="e">
        <f ca="1">stat(calculs!AN260)</f>
        <v>#NAME?</v>
      </c>
      <c r="AO260" s="523" t="e">
        <f ca="1">stat(calculs!AO260)</f>
        <v>#NAME?</v>
      </c>
      <c r="AP260" s="523" t="e">
        <f ca="1">stat(calculs!AP260)</f>
        <v>#NAME?</v>
      </c>
      <c r="AQ260" s="523" t="e">
        <f ca="1">stat(calculs!AQ260)</f>
        <v>#NAME?</v>
      </c>
      <c r="AV260" s="525" t="str">
        <f>stat(calculs!AV260)</f>
        <v/>
      </c>
      <c r="AW260" s="525" t="str">
        <f>stat(calculs!AW260)</f>
        <v/>
      </c>
      <c r="AX260" s="525" t="str">
        <f>stat(calculs!AX260)</f>
        <v/>
      </c>
      <c r="AY260" s="525" t="e">
        <f ca="1">stat(calculs!AY260)</f>
        <v>#NAME?</v>
      </c>
      <c r="AZ260" s="525" t="e">
        <f ca="1">stat(calculs!AZ260)</f>
        <v>#NAME?</v>
      </c>
      <c r="BA260" s="525" t="e">
        <f ca="1">stat(calculs!BA260)</f>
        <v>#NAME?</v>
      </c>
      <c r="BB260" s="525" t="e">
        <f ca="1">stat(calculs!BB260)</f>
        <v>#NAME?</v>
      </c>
      <c r="BC260" s="525" t="e">
        <f ca="1">stat(calculs!BC260)</f>
        <v>#NAME?</v>
      </c>
      <c r="BD260" s="525" t="e">
        <f ca="1">stat(calculs!BD260)</f>
        <v>#NAME?</v>
      </c>
      <c r="BE260" s="525" t="e">
        <f ca="1">stat(calculs!BE260)</f>
        <v>#NAME?</v>
      </c>
      <c r="BF260" s="525" t="e">
        <f ca="1">stat(calculs!BF260)</f>
        <v>#NAME?</v>
      </c>
      <c r="BG260" s="729" t="e">
        <f ca="1">stat(calculs!BG260)</f>
        <v>#NAME?</v>
      </c>
      <c r="BH260" s="729" t="e">
        <f ca="1">stat(calculs!BH260)</f>
        <v>#NAME?</v>
      </c>
      <c r="BI260" s="729" t="e">
        <f ca="1">stat(calculs!BI260)</f>
        <v>#NAME?</v>
      </c>
      <c r="BJ260" s="729" t="e">
        <f ca="1">stat(calculs!BJ260)</f>
        <v>#NAME?</v>
      </c>
      <c r="BK260" s="729" t="e">
        <f ca="1">stat(calculs!BK260)</f>
        <v>#NAME?</v>
      </c>
      <c r="BL260" s="525" t="e">
        <f ca="1">stat(calculs!BL260)</f>
        <v>#NAME?</v>
      </c>
      <c r="BM260" s="525" t="e">
        <f ca="1">stat(calculs!BM260)</f>
        <v>#NAME?</v>
      </c>
      <c r="BN260" s="525" t="e">
        <f ca="1">stat(calculs!BN260)</f>
        <v>#NAME?</v>
      </c>
      <c r="BO260" s="525" t="e">
        <f ca="1">stat(calculs!BO260)</f>
        <v>#NAME?</v>
      </c>
      <c r="BP260" s="525" t="e">
        <f ca="1">stat(calculs!BP260)</f>
        <v>#NAME?</v>
      </c>
      <c r="BQ260" s="525" t="e">
        <f ca="1">stat(calculs!BQ260)</f>
        <v>#NAME?</v>
      </c>
      <c r="BR260" s="525" t="e">
        <f ca="1">stat(calculs!BR260)</f>
        <v>#NAME?</v>
      </c>
    </row>
    <row r="261" spans="1:70" x14ac:dyDescent="0.2">
      <c r="A261" s="222">
        <f>données_step[[#This Row],[Datum]]</f>
        <v>44812</v>
      </c>
      <c r="B261" s="223"/>
      <c r="C261" s="224">
        <f t="shared" si="3"/>
        <v>5</v>
      </c>
      <c r="D261" s="523" t="e">
        <f ca="1">stat(charge_entree[[#This Row],[ch_E_DBO5]])</f>
        <v>#NAME?</v>
      </c>
      <c r="E261" s="523" t="e">
        <f ca="1">stat(charge_entree[[#This Row],[ch_E_DCO]])</f>
        <v>#NAME?</v>
      </c>
      <c r="F261" s="523" t="e">
        <f ca="1">stat(charge_entree[[#This Row],[ch_E_COT]])</f>
        <v>#NAME?</v>
      </c>
      <c r="G261" s="523" t="e">
        <f ca="1">stat(charge_entree[[#This Row],[ch_E_NH4]])</f>
        <v>#NAME?</v>
      </c>
      <c r="H261" s="523" t="e">
        <f ca="1">stat(charge_entree[[#This Row],[ch_E_NTOT]])</f>
        <v>#NAME?</v>
      </c>
      <c r="I261" s="523" t="e">
        <f ca="1">stat(charge_entree[[#This Row],[ch_E_PTOT]])</f>
        <v>#NAME?</v>
      </c>
      <c r="J261" s="523" t="e">
        <f ca="1">stat(charge_entree[[#This Row],[ch_S_DBO]])</f>
        <v>#NAME?</v>
      </c>
      <c r="K261" s="523" t="e">
        <f ca="1">stat(charge_entree[[#This Row],[ch_S-DCO]])</f>
        <v>#NAME?</v>
      </c>
      <c r="L261" s="523" t="e">
        <f ca="1">stat(charge_entree[[#This Row],[ch_S_DOC]])</f>
        <v>#NAME?</v>
      </c>
      <c r="M261" s="523" t="e">
        <f ca="1">stat(charge_entree[[#This Row],[ch_S_NH4]])</f>
        <v>#NAME?</v>
      </c>
      <c r="N261" s="523" t="e">
        <f ca="1">stat(charge_entree[[#This Row],[ch_S_NO2]])</f>
        <v>#NAME?</v>
      </c>
      <c r="O261" s="523" t="e">
        <f ca="1">stat(charge_entree[[#This Row],[ch_S_NO3]])</f>
        <v>#NAME?</v>
      </c>
      <c r="P261" s="523" t="e">
        <f ca="1">stat(charge_entree[[#This Row],[ch_S_PTOT]])</f>
        <v>#NAME?</v>
      </c>
      <c r="Q261" s="523" t="e">
        <f ca="1">stat(charge_entree[[#This Row],[ch_S_SNDT]])</f>
        <v>#NAME?</v>
      </c>
      <c r="R261" s="523">
        <f>calculs!R261</f>
        <v>0</v>
      </c>
      <c r="S261" s="523" t="e">
        <f ca="1">stat(calculs!S261)</f>
        <v>#NAME?</v>
      </c>
      <c r="T261" s="523" t="e">
        <f ca="1">stat(calculs!T261)</f>
        <v>#NAME?</v>
      </c>
      <c r="U261" s="523" t="e">
        <f ca="1">stat(calculs!U261)</f>
        <v>#NAME?</v>
      </c>
      <c r="V261" s="523" t="e">
        <f ca="1">stat(calculs!V261)</f>
        <v>#NAME?</v>
      </c>
      <c r="W261" s="523" t="e">
        <f ca="1">stat(calculs!W261)</f>
        <v>#NAME?</v>
      </c>
      <c r="X261" s="523" t="e">
        <f ca="1">stat(calculs!X261)</f>
        <v>#NAME?</v>
      </c>
      <c r="Y261" s="523" t="e">
        <f ca="1">stat(calculs!Y261)</f>
        <v>#NAME?</v>
      </c>
      <c r="Z261" s="523" t="e">
        <f ca="1">stat(calculs!Z261)</f>
        <v>#NAME?</v>
      </c>
      <c r="AA261" s="523" t="e">
        <f ca="1">stat(calculs!AA261)</f>
        <v>#NAME?</v>
      </c>
      <c r="AB261" s="523" t="e">
        <f ca="1">stat(calculs!AB261)</f>
        <v>#NAME?</v>
      </c>
      <c r="AC261" s="523" t="e">
        <f ca="1">stat(calculs!AC261)</f>
        <v>#NAME?</v>
      </c>
      <c r="AD261" s="523" t="e">
        <f ca="1">stat(calculs!AD261)</f>
        <v>#NAME?</v>
      </c>
      <c r="AE261" s="523" t="e">
        <f ca="1">stat(calculs!AE261)</f>
        <v>#NAME?</v>
      </c>
      <c r="AF261" s="523" t="e">
        <f ca="1">stat(calculs!AF261)</f>
        <v>#NAME?</v>
      </c>
      <c r="AG261" s="523" t="e">
        <f ca="1">stat(calculs!AG261)</f>
        <v>#NAME?</v>
      </c>
      <c r="AH261" s="523" t="e">
        <f ca="1">stat(calculs!AH261)</f>
        <v>#NAME?</v>
      </c>
      <c r="AI261" s="523" t="e">
        <f ca="1">stat(calculs!AI261)</f>
        <v>#NAME?</v>
      </c>
      <c r="AJ261" s="523" t="e">
        <f ca="1">stat(calculs!AJ261)</f>
        <v>#NAME?</v>
      </c>
      <c r="AK261" s="523" t="e">
        <f ca="1">stat(calculs!AK261)</f>
        <v>#NAME?</v>
      </c>
      <c r="AL261" s="523" t="e">
        <f ca="1">stat(calculs!AL261)</f>
        <v>#NAME?</v>
      </c>
      <c r="AM261" s="523" t="e">
        <f ca="1">stat(calculs!AM261)</f>
        <v>#NAME?</v>
      </c>
      <c r="AN261" s="523" t="e">
        <f ca="1">stat(calculs!AN261)</f>
        <v>#NAME?</v>
      </c>
      <c r="AO261" s="523" t="e">
        <f ca="1">stat(calculs!AO261)</f>
        <v>#NAME?</v>
      </c>
      <c r="AP261" s="523" t="e">
        <f ca="1">stat(calculs!AP261)</f>
        <v>#NAME?</v>
      </c>
      <c r="AQ261" s="523" t="e">
        <f ca="1">stat(calculs!AQ261)</f>
        <v>#NAME?</v>
      </c>
      <c r="AV261" s="525" t="str">
        <f>stat(calculs!AV261)</f>
        <v/>
      </c>
      <c r="AW261" s="525" t="str">
        <f>stat(calculs!AW261)</f>
        <v/>
      </c>
      <c r="AX261" s="525" t="str">
        <f>stat(calculs!AX261)</f>
        <v/>
      </c>
      <c r="AY261" s="525" t="e">
        <f ca="1">stat(calculs!AY261)</f>
        <v>#NAME?</v>
      </c>
      <c r="AZ261" s="525" t="e">
        <f ca="1">stat(calculs!AZ261)</f>
        <v>#NAME?</v>
      </c>
      <c r="BA261" s="525" t="e">
        <f ca="1">stat(calculs!BA261)</f>
        <v>#NAME?</v>
      </c>
      <c r="BB261" s="525" t="e">
        <f ca="1">stat(calculs!BB261)</f>
        <v>#NAME?</v>
      </c>
      <c r="BC261" s="525" t="e">
        <f ca="1">stat(calculs!BC261)</f>
        <v>#NAME?</v>
      </c>
      <c r="BD261" s="525" t="e">
        <f ca="1">stat(calculs!BD261)</f>
        <v>#NAME?</v>
      </c>
      <c r="BE261" s="525" t="e">
        <f ca="1">stat(calculs!BE261)</f>
        <v>#NAME?</v>
      </c>
      <c r="BF261" s="525" t="e">
        <f ca="1">stat(calculs!BF261)</f>
        <v>#NAME?</v>
      </c>
      <c r="BG261" s="729" t="e">
        <f ca="1">stat(calculs!BG261)</f>
        <v>#NAME?</v>
      </c>
      <c r="BH261" s="729" t="e">
        <f ca="1">stat(calculs!BH261)</f>
        <v>#NAME?</v>
      </c>
      <c r="BI261" s="729" t="e">
        <f ca="1">stat(calculs!BI261)</f>
        <v>#NAME?</v>
      </c>
      <c r="BJ261" s="729" t="e">
        <f ca="1">stat(calculs!BJ261)</f>
        <v>#NAME?</v>
      </c>
      <c r="BK261" s="729" t="e">
        <f ca="1">stat(calculs!BK261)</f>
        <v>#NAME?</v>
      </c>
      <c r="BL261" s="525" t="e">
        <f ca="1">stat(calculs!BL261)</f>
        <v>#NAME?</v>
      </c>
      <c r="BM261" s="525" t="e">
        <f ca="1">stat(calculs!BM261)</f>
        <v>#NAME?</v>
      </c>
      <c r="BN261" s="525" t="e">
        <f ca="1">stat(calculs!BN261)</f>
        <v>#NAME?</v>
      </c>
      <c r="BO261" s="525" t="e">
        <f ca="1">stat(calculs!BO261)</f>
        <v>#NAME?</v>
      </c>
      <c r="BP261" s="525" t="e">
        <f ca="1">stat(calculs!BP261)</f>
        <v>#NAME?</v>
      </c>
      <c r="BQ261" s="525" t="e">
        <f ca="1">stat(calculs!BQ261)</f>
        <v>#NAME?</v>
      </c>
      <c r="BR261" s="525" t="e">
        <f ca="1">stat(calculs!BR261)</f>
        <v>#NAME?</v>
      </c>
    </row>
    <row r="262" spans="1:70" x14ac:dyDescent="0.2">
      <c r="A262" s="222">
        <f>données_step[[#This Row],[Datum]]</f>
        <v>44813</v>
      </c>
      <c r="B262" s="223"/>
      <c r="C262" s="224">
        <f t="shared" si="3"/>
        <v>6</v>
      </c>
      <c r="D262" s="523" t="e">
        <f ca="1">stat(charge_entree[[#This Row],[ch_E_DBO5]])</f>
        <v>#NAME?</v>
      </c>
      <c r="E262" s="523" t="e">
        <f ca="1">stat(charge_entree[[#This Row],[ch_E_DCO]])</f>
        <v>#NAME?</v>
      </c>
      <c r="F262" s="523" t="e">
        <f ca="1">stat(charge_entree[[#This Row],[ch_E_COT]])</f>
        <v>#NAME?</v>
      </c>
      <c r="G262" s="523" t="e">
        <f ca="1">stat(charge_entree[[#This Row],[ch_E_NH4]])</f>
        <v>#NAME?</v>
      </c>
      <c r="H262" s="523" t="e">
        <f ca="1">stat(charge_entree[[#This Row],[ch_E_NTOT]])</f>
        <v>#NAME?</v>
      </c>
      <c r="I262" s="523" t="e">
        <f ca="1">stat(charge_entree[[#This Row],[ch_E_PTOT]])</f>
        <v>#NAME?</v>
      </c>
      <c r="J262" s="523" t="e">
        <f ca="1">stat(charge_entree[[#This Row],[ch_S_DBO]])</f>
        <v>#NAME?</v>
      </c>
      <c r="K262" s="523" t="e">
        <f ca="1">stat(charge_entree[[#This Row],[ch_S-DCO]])</f>
        <v>#NAME?</v>
      </c>
      <c r="L262" s="523" t="e">
        <f ca="1">stat(charge_entree[[#This Row],[ch_S_DOC]])</f>
        <v>#NAME?</v>
      </c>
      <c r="M262" s="523" t="e">
        <f ca="1">stat(charge_entree[[#This Row],[ch_S_NH4]])</f>
        <v>#NAME?</v>
      </c>
      <c r="N262" s="523" t="e">
        <f ca="1">stat(charge_entree[[#This Row],[ch_S_NO2]])</f>
        <v>#NAME?</v>
      </c>
      <c r="O262" s="523" t="e">
        <f ca="1">stat(charge_entree[[#This Row],[ch_S_NO3]])</f>
        <v>#NAME?</v>
      </c>
      <c r="P262" s="523" t="e">
        <f ca="1">stat(charge_entree[[#This Row],[ch_S_PTOT]])</f>
        <v>#NAME?</v>
      </c>
      <c r="Q262" s="523" t="e">
        <f ca="1">stat(charge_entree[[#This Row],[ch_S_SNDT]])</f>
        <v>#NAME?</v>
      </c>
      <c r="R262" s="523">
        <f>calculs!R262</f>
        <v>0</v>
      </c>
      <c r="S262" s="523" t="e">
        <f ca="1">stat(calculs!S262)</f>
        <v>#NAME?</v>
      </c>
      <c r="T262" s="523" t="e">
        <f ca="1">stat(calculs!T262)</f>
        <v>#NAME?</v>
      </c>
      <c r="U262" s="523" t="e">
        <f ca="1">stat(calculs!U262)</f>
        <v>#NAME?</v>
      </c>
      <c r="V262" s="523" t="e">
        <f ca="1">stat(calculs!V262)</f>
        <v>#NAME?</v>
      </c>
      <c r="W262" s="523" t="e">
        <f ca="1">stat(calculs!W262)</f>
        <v>#NAME?</v>
      </c>
      <c r="X262" s="523" t="e">
        <f ca="1">stat(calculs!X262)</f>
        <v>#NAME?</v>
      </c>
      <c r="Y262" s="523" t="e">
        <f ca="1">stat(calculs!Y262)</f>
        <v>#NAME?</v>
      </c>
      <c r="Z262" s="523" t="e">
        <f ca="1">stat(calculs!Z262)</f>
        <v>#NAME?</v>
      </c>
      <c r="AA262" s="523" t="e">
        <f ca="1">stat(calculs!AA262)</f>
        <v>#NAME?</v>
      </c>
      <c r="AB262" s="523" t="e">
        <f ca="1">stat(calculs!AB262)</f>
        <v>#NAME?</v>
      </c>
      <c r="AC262" s="523" t="e">
        <f ca="1">stat(calculs!AC262)</f>
        <v>#NAME?</v>
      </c>
      <c r="AD262" s="523" t="e">
        <f ca="1">stat(calculs!AD262)</f>
        <v>#NAME?</v>
      </c>
      <c r="AE262" s="523" t="e">
        <f ca="1">stat(calculs!AE262)</f>
        <v>#NAME?</v>
      </c>
      <c r="AF262" s="523" t="e">
        <f ca="1">stat(calculs!AF262)</f>
        <v>#NAME?</v>
      </c>
      <c r="AG262" s="523" t="e">
        <f ca="1">stat(calculs!AG262)</f>
        <v>#NAME?</v>
      </c>
      <c r="AH262" s="523" t="e">
        <f ca="1">stat(calculs!AH262)</f>
        <v>#NAME?</v>
      </c>
      <c r="AI262" s="523" t="e">
        <f ca="1">stat(calculs!AI262)</f>
        <v>#NAME?</v>
      </c>
      <c r="AJ262" s="523" t="e">
        <f ca="1">stat(calculs!AJ262)</f>
        <v>#NAME?</v>
      </c>
      <c r="AK262" s="523" t="e">
        <f ca="1">stat(calculs!AK262)</f>
        <v>#NAME?</v>
      </c>
      <c r="AL262" s="523" t="e">
        <f ca="1">stat(calculs!AL262)</f>
        <v>#NAME?</v>
      </c>
      <c r="AM262" s="523" t="e">
        <f ca="1">stat(calculs!AM262)</f>
        <v>#NAME?</v>
      </c>
      <c r="AN262" s="523" t="e">
        <f ca="1">stat(calculs!AN262)</f>
        <v>#NAME?</v>
      </c>
      <c r="AO262" s="523" t="e">
        <f ca="1">stat(calculs!AO262)</f>
        <v>#NAME?</v>
      </c>
      <c r="AP262" s="523" t="e">
        <f ca="1">stat(calculs!AP262)</f>
        <v>#NAME?</v>
      </c>
      <c r="AQ262" s="523" t="e">
        <f ca="1">stat(calculs!AQ262)</f>
        <v>#NAME?</v>
      </c>
      <c r="AV262" s="525" t="str">
        <f>stat(calculs!AV262)</f>
        <v/>
      </c>
      <c r="AW262" s="525" t="str">
        <f>stat(calculs!AW262)</f>
        <v/>
      </c>
      <c r="AX262" s="525" t="str">
        <f>stat(calculs!AX262)</f>
        <v/>
      </c>
      <c r="AY262" s="525" t="e">
        <f ca="1">stat(calculs!AY262)</f>
        <v>#NAME?</v>
      </c>
      <c r="AZ262" s="525" t="e">
        <f ca="1">stat(calculs!AZ262)</f>
        <v>#NAME?</v>
      </c>
      <c r="BA262" s="525" t="e">
        <f ca="1">stat(calculs!BA262)</f>
        <v>#NAME?</v>
      </c>
      <c r="BB262" s="525" t="e">
        <f ca="1">stat(calculs!BB262)</f>
        <v>#NAME?</v>
      </c>
      <c r="BC262" s="525" t="e">
        <f ca="1">stat(calculs!BC262)</f>
        <v>#NAME?</v>
      </c>
      <c r="BD262" s="525" t="e">
        <f ca="1">stat(calculs!BD262)</f>
        <v>#NAME?</v>
      </c>
      <c r="BE262" s="525" t="e">
        <f ca="1">stat(calculs!BE262)</f>
        <v>#NAME?</v>
      </c>
      <c r="BF262" s="525" t="e">
        <f ca="1">stat(calculs!BF262)</f>
        <v>#NAME?</v>
      </c>
      <c r="BG262" s="729" t="e">
        <f ca="1">stat(calculs!BG262)</f>
        <v>#NAME?</v>
      </c>
      <c r="BH262" s="729" t="e">
        <f ca="1">stat(calculs!BH262)</f>
        <v>#NAME?</v>
      </c>
      <c r="BI262" s="729" t="e">
        <f ca="1">stat(calculs!BI262)</f>
        <v>#NAME?</v>
      </c>
      <c r="BJ262" s="729" t="e">
        <f ca="1">stat(calculs!BJ262)</f>
        <v>#NAME?</v>
      </c>
      <c r="BK262" s="729" t="e">
        <f ca="1">stat(calculs!BK262)</f>
        <v>#NAME?</v>
      </c>
      <c r="BL262" s="525" t="e">
        <f ca="1">stat(calculs!BL262)</f>
        <v>#NAME?</v>
      </c>
      <c r="BM262" s="525" t="e">
        <f ca="1">stat(calculs!BM262)</f>
        <v>#NAME?</v>
      </c>
      <c r="BN262" s="525" t="e">
        <f ca="1">stat(calculs!BN262)</f>
        <v>#NAME?</v>
      </c>
      <c r="BO262" s="525" t="e">
        <f ca="1">stat(calculs!BO262)</f>
        <v>#NAME?</v>
      </c>
      <c r="BP262" s="525" t="e">
        <f ca="1">stat(calculs!BP262)</f>
        <v>#NAME?</v>
      </c>
      <c r="BQ262" s="525" t="e">
        <f ca="1">stat(calculs!BQ262)</f>
        <v>#NAME?</v>
      </c>
      <c r="BR262" s="525" t="e">
        <f ca="1">stat(calculs!BR262)</f>
        <v>#NAME?</v>
      </c>
    </row>
    <row r="263" spans="1:70" x14ac:dyDescent="0.2">
      <c r="A263" s="222">
        <f>données_step[[#This Row],[Datum]]</f>
        <v>44814</v>
      </c>
      <c r="B263" s="223"/>
      <c r="C263" s="224">
        <f t="shared" si="3"/>
        <v>7</v>
      </c>
      <c r="D263" s="523" t="e">
        <f ca="1">stat(charge_entree[[#This Row],[ch_E_DBO5]])</f>
        <v>#NAME?</v>
      </c>
      <c r="E263" s="523" t="e">
        <f ca="1">stat(charge_entree[[#This Row],[ch_E_DCO]])</f>
        <v>#NAME?</v>
      </c>
      <c r="F263" s="523" t="e">
        <f ca="1">stat(charge_entree[[#This Row],[ch_E_COT]])</f>
        <v>#NAME?</v>
      </c>
      <c r="G263" s="523" t="e">
        <f ca="1">stat(charge_entree[[#This Row],[ch_E_NH4]])</f>
        <v>#NAME?</v>
      </c>
      <c r="H263" s="523" t="e">
        <f ca="1">stat(charge_entree[[#This Row],[ch_E_NTOT]])</f>
        <v>#NAME?</v>
      </c>
      <c r="I263" s="523" t="e">
        <f ca="1">stat(charge_entree[[#This Row],[ch_E_PTOT]])</f>
        <v>#NAME?</v>
      </c>
      <c r="J263" s="523" t="e">
        <f ca="1">stat(charge_entree[[#This Row],[ch_S_DBO]])</f>
        <v>#NAME?</v>
      </c>
      <c r="K263" s="523" t="e">
        <f ca="1">stat(charge_entree[[#This Row],[ch_S-DCO]])</f>
        <v>#NAME?</v>
      </c>
      <c r="L263" s="523" t="e">
        <f ca="1">stat(charge_entree[[#This Row],[ch_S_DOC]])</f>
        <v>#NAME?</v>
      </c>
      <c r="M263" s="523" t="e">
        <f ca="1">stat(charge_entree[[#This Row],[ch_S_NH4]])</f>
        <v>#NAME?</v>
      </c>
      <c r="N263" s="523" t="e">
        <f ca="1">stat(charge_entree[[#This Row],[ch_S_NO2]])</f>
        <v>#NAME?</v>
      </c>
      <c r="O263" s="523" t="e">
        <f ca="1">stat(charge_entree[[#This Row],[ch_S_NO3]])</f>
        <v>#NAME?</v>
      </c>
      <c r="P263" s="523" t="e">
        <f ca="1">stat(charge_entree[[#This Row],[ch_S_PTOT]])</f>
        <v>#NAME?</v>
      </c>
      <c r="Q263" s="523" t="e">
        <f ca="1">stat(charge_entree[[#This Row],[ch_S_SNDT]])</f>
        <v>#NAME?</v>
      </c>
      <c r="R263" s="523">
        <f>calculs!R263</f>
        <v>0</v>
      </c>
      <c r="S263" s="523" t="e">
        <f ca="1">stat(calculs!S263)</f>
        <v>#NAME?</v>
      </c>
      <c r="T263" s="523" t="e">
        <f ca="1">stat(calculs!T263)</f>
        <v>#NAME?</v>
      </c>
      <c r="U263" s="523" t="e">
        <f ca="1">stat(calculs!U263)</f>
        <v>#NAME?</v>
      </c>
      <c r="V263" s="523" t="e">
        <f ca="1">stat(calculs!V263)</f>
        <v>#NAME?</v>
      </c>
      <c r="W263" s="523" t="e">
        <f ca="1">stat(calculs!W263)</f>
        <v>#NAME?</v>
      </c>
      <c r="X263" s="523" t="e">
        <f ca="1">stat(calculs!X263)</f>
        <v>#NAME?</v>
      </c>
      <c r="Y263" s="523" t="e">
        <f ca="1">stat(calculs!Y263)</f>
        <v>#NAME?</v>
      </c>
      <c r="Z263" s="523" t="e">
        <f ca="1">stat(calculs!Z263)</f>
        <v>#NAME?</v>
      </c>
      <c r="AA263" s="523" t="e">
        <f ca="1">stat(calculs!AA263)</f>
        <v>#NAME?</v>
      </c>
      <c r="AB263" s="523" t="e">
        <f ca="1">stat(calculs!AB263)</f>
        <v>#NAME?</v>
      </c>
      <c r="AC263" s="523" t="e">
        <f ca="1">stat(calculs!AC263)</f>
        <v>#NAME?</v>
      </c>
      <c r="AD263" s="523" t="e">
        <f ca="1">stat(calculs!AD263)</f>
        <v>#NAME?</v>
      </c>
      <c r="AE263" s="523" t="e">
        <f ca="1">stat(calculs!AE263)</f>
        <v>#NAME?</v>
      </c>
      <c r="AF263" s="523" t="e">
        <f ca="1">stat(calculs!AF263)</f>
        <v>#NAME?</v>
      </c>
      <c r="AG263" s="523" t="e">
        <f ca="1">stat(calculs!AG263)</f>
        <v>#NAME?</v>
      </c>
      <c r="AH263" s="523" t="e">
        <f ca="1">stat(calculs!AH263)</f>
        <v>#NAME?</v>
      </c>
      <c r="AI263" s="523" t="e">
        <f ca="1">stat(calculs!AI263)</f>
        <v>#NAME?</v>
      </c>
      <c r="AJ263" s="523" t="e">
        <f ca="1">stat(calculs!AJ263)</f>
        <v>#NAME?</v>
      </c>
      <c r="AK263" s="523" t="e">
        <f ca="1">stat(calculs!AK263)</f>
        <v>#NAME?</v>
      </c>
      <c r="AL263" s="523" t="e">
        <f ca="1">stat(calculs!AL263)</f>
        <v>#NAME?</v>
      </c>
      <c r="AM263" s="523" t="e">
        <f ca="1">stat(calculs!AM263)</f>
        <v>#NAME?</v>
      </c>
      <c r="AN263" s="523" t="e">
        <f ca="1">stat(calculs!AN263)</f>
        <v>#NAME?</v>
      </c>
      <c r="AO263" s="523" t="e">
        <f ca="1">stat(calculs!AO263)</f>
        <v>#NAME?</v>
      </c>
      <c r="AP263" s="523" t="e">
        <f ca="1">stat(calculs!AP263)</f>
        <v>#NAME?</v>
      </c>
      <c r="AQ263" s="523" t="e">
        <f ca="1">stat(calculs!AQ263)</f>
        <v>#NAME?</v>
      </c>
      <c r="AV263" s="525" t="str">
        <f>stat(calculs!AV263)</f>
        <v/>
      </c>
      <c r="AW263" s="525" t="str">
        <f>stat(calculs!AW263)</f>
        <v/>
      </c>
      <c r="AX263" s="525" t="str">
        <f>stat(calculs!AX263)</f>
        <v/>
      </c>
      <c r="AY263" s="525" t="e">
        <f ca="1">stat(calculs!AY263)</f>
        <v>#NAME?</v>
      </c>
      <c r="AZ263" s="525" t="e">
        <f ca="1">stat(calculs!AZ263)</f>
        <v>#NAME?</v>
      </c>
      <c r="BA263" s="525" t="e">
        <f ca="1">stat(calculs!BA263)</f>
        <v>#NAME?</v>
      </c>
      <c r="BB263" s="525" t="e">
        <f ca="1">stat(calculs!BB263)</f>
        <v>#NAME?</v>
      </c>
      <c r="BC263" s="525" t="e">
        <f ca="1">stat(calculs!BC263)</f>
        <v>#NAME?</v>
      </c>
      <c r="BD263" s="525" t="e">
        <f ca="1">stat(calculs!BD263)</f>
        <v>#NAME?</v>
      </c>
      <c r="BE263" s="525" t="e">
        <f ca="1">stat(calculs!BE263)</f>
        <v>#NAME?</v>
      </c>
      <c r="BF263" s="525" t="e">
        <f ca="1">stat(calculs!BF263)</f>
        <v>#NAME?</v>
      </c>
      <c r="BG263" s="729" t="e">
        <f ca="1">stat(calculs!BG263)</f>
        <v>#NAME?</v>
      </c>
      <c r="BH263" s="729" t="e">
        <f ca="1">stat(calculs!BH263)</f>
        <v>#NAME?</v>
      </c>
      <c r="BI263" s="729" t="e">
        <f ca="1">stat(calculs!BI263)</f>
        <v>#NAME?</v>
      </c>
      <c r="BJ263" s="729" t="e">
        <f ca="1">stat(calculs!BJ263)</f>
        <v>#NAME?</v>
      </c>
      <c r="BK263" s="729" t="e">
        <f ca="1">stat(calculs!BK263)</f>
        <v>#NAME?</v>
      </c>
      <c r="BL263" s="525" t="e">
        <f ca="1">stat(calculs!BL263)</f>
        <v>#NAME?</v>
      </c>
      <c r="BM263" s="525" t="e">
        <f ca="1">stat(calculs!BM263)</f>
        <v>#NAME?</v>
      </c>
      <c r="BN263" s="525" t="e">
        <f ca="1">stat(calculs!BN263)</f>
        <v>#NAME?</v>
      </c>
      <c r="BO263" s="525" t="e">
        <f ca="1">stat(calculs!BO263)</f>
        <v>#NAME?</v>
      </c>
      <c r="BP263" s="525" t="e">
        <f ca="1">stat(calculs!BP263)</f>
        <v>#NAME?</v>
      </c>
      <c r="BQ263" s="525" t="e">
        <f ca="1">stat(calculs!BQ263)</f>
        <v>#NAME?</v>
      </c>
      <c r="BR263" s="525" t="e">
        <f ca="1">stat(calculs!BR263)</f>
        <v>#NAME?</v>
      </c>
    </row>
    <row r="264" spans="1:70" x14ac:dyDescent="0.2">
      <c r="A264" s="222">
        <f>données_step[[#This Row],[Datum]]</f>
        <v>44815</v>
      </c>
      <c r="B264" s="223"/>
      <c r="C264" s="224">
        <f t="shared" si="3"/>
        <v>1</v>
      </c>
      <c r="D264" s="523" t="e">
        <f ca="1">stat(charge_entree[[#This Row],[ch_E_DBO5]])</f>
        <v>#NAME?</v>
      </c>
      <c r="E264" s="523" t="e">
        <f ca="1">stat(charge_entree[[#This Row],[ch_E_DCO]])</f>
        <v>#NAME?</v>
      </c>
      <c r="F264" s="523" t="e">
        <f ca="1">stat(charge_entree[[#This Row],[ch_E_COT]])</f>
        <v>#NAME?</v>
      </c>
      <c r="G264" s="523" t="e">
        <f ca="1">stat(charge_entree[[#This Row],[ch_E_NH4]])</f>
        <v>#NAME?</v>
      </c>
      <c r="H264" s="523" t="e">
        <f ca="1">stat(charge_entree[[#This Row],[ch_E_NTOT]])</f>
        <v>#NAME?</v>
      </c>
      <c r="I264" s="523" t="e">
        <f ca="1">stat(charge_entree[[#This Row],[ch_E_PTOT]])</f>
        <v>#NAME?</v>
      </c>
      <c r="J264" s="523" t="e">
        <f ca="1">stat(charge_entree[[#This Row],[ch_S_DBO]])</f>
        <v>#NAME?</v>
      </c>
      <c r="K264" s="523" t="e">
        <f ca="1">stat(charge_entree[[#This Row],[ch_S-DCO]])</f>
        <v>#NAME?</v>
      </c>
      <c r="L264" s="523" t="e">
        <f ca="1">stat(charge_entree[[#This Row],[ch_S_DOC]])</f>
        <v>#NAME?</v>
      </c>
      <c r="M264" s="523" t="e">
        <f ca="1">stat(charge_entree[[#This Row],[ch_S_NH4]])</f>
        <v>#NAME?</v>
      </c>
      <c r="N264" s="523" t="e">
        <f ca="1">stat(charge_entree[[#This Row],[ch_S_NO2]])</f>
        <v>#NAME?</v>
      </c>
      <c r="O264" s="523" t="e">
        <f ca="1">stat(charge_entree[[#This Row],[ch_S_NO3]])</f>
        <v>#NAME?</v>
      </c>
      <c r="P264" s="523" t="e">
        <f ca="1">stat(charge_entree[[#This Row],[ch_S_PTOT]])</f>
        <v>#NAME?</v>
      </c>
      <c r="Q264" s="523" t="e">
        <f ca="1">stat(charge_entree[[#This Row],[ch_S_SNDT]])</f>
        <v>#NAME?</v>
      </c>
      <c r="R264" s="523">
        <f>calculs!R264</f>
        <v>0</v>
      </c>
      <c r="S264" s="523" t="e">
        <f ca="1">stat(calculs!S264)</f>
        <v>#NAME?</v>
      </c>
      <c r="T264" s="523" t="e">
        <f ca="1">stat(calculs!T264)</f>
        <v>#NAME?</v>
      </c>
      <c r="U264" s="523" t="e">
        <f ca="1">stat(calculs!U264)</f>
        <v>#NAME?</v>
      </c>
      <c r="V264" s="523" t="e">
        <f ca="1">stat(calculs!V264)</f>
        <v>#NAME?</v>
      </c>
      <c r="W264" s="523" t="e">
        <f ca="1">stat(calculs!W264)</f>
        <v>#NAME?</v>
      </c>
      <c r="X264" s="523" t="e">
        <f ca="1">stat(calculs!X264)</f>
        <v>#NAME?</v>
      </c>
      <c r="Y264" s="523" t="e">
        <f ca="1">stat(calculs!Y264)</f>
        <v>#NAME?</v>
      </c>
      <c r="Z264" s="523" t="e">
        <f ca="1">stat(calculs!Z264)</f>
        <v>#NAME?</v>
      </c>
      <c r="AA264" s="523" t="e">
        <f ca="1">stat(calculs!AA264)</f>
        <v>#NAME?</v>
      </c>
      <c r="AB264" s="523" t="e">
        <f ca="1">stat(calculs!AB264)</f>
        <v>#NAME?</v>
      </c>
      <c r="AC264" s="523" t="e">
        <f ca="1">stat(calculs!AC264)</f>
        <v>#NAME?</v>
      </c>
      <c r="AD264" s="523" t="e">
        <f ca="1">stat(calculs!AD264)</f>
        <v>#NAME?</v>
      </c>
      <c r="AE264" s="523" t="e">
        <f ca="1">stat(calculs!AE264)</f>
        <v>#NAME?</v>
      </c>
      <c r="AF264" s="523" t="e">
        <f ca="1">stat(calculs!AF264)</f>
        <v>#NAME?</v>
      </c>
      <c r="AG264" s="523" t="e">
        <f ca="1">stat(calculs!AG264)</f>
        <v>#NAME?</v>
      </c>
      <c r="AH264" s="523" t="e">
        <f ca="1">stat(calculs!AH264)</f>
        <v>#NAME?</v>
      </c>
      <c r="AI264" s="523" t="e">
        <f ca="1">stat(calculs!AI264)</f>
        <v>#NAME?</v>
      </c>
      <c r="AJ264" s="523" t="e">
        <f ca="1">stat(calculs!AJ264)</f>
        <v>#NAME?</v>
      </c>
      <c r="AK264" s="523" t="e">
        <f ca="1">stat(calculs!AK264)</f>
        <v>#NAME?</v>
      </c>
      <c r="AL264" s="523" t="e">
        <f ca="1">stat(calculs!AL264)</f>
        <v>#NAME?</v>
      </c>
      <c r="AM264" s="523" t="e">
        <f ca="1">stat(calculs!AM264)</f>
        <v>#NAME?</v>
      </c>
      <c r="AN264" s="523" t="e">
        <f ca="1">stat(calculs!AN264)</f>
        <v>#NAME?</v>
      </c>
      <c r="AO264" s="523" t="e">
        <f ca="1">stat(calculs!AO264)</f>
        <v>#NAME?</v>
      </c>
      <c r="AP264" s="523" t="e">
        <f ca="1">stat(calculs!AP264)</f>
        <v>#NAME?</v>
      </c>
      <c r="AQ264" s="523" t="e">
        <f ca="1">stat(calculs!AQ264)</f>
        <v>#NAME?</v>
      </c>
      <c r="AV264" s="525" t="str">
        <f>stat(calculs!AV264)</f>
        <v/>
      </c>
      <c r="AW264" s="525" t="str">
        <f>stat(calculs!AW264)</f>
        <v/>
      </c>
      <c r="AX264" s="525" t="str">
        <f>stat(calculs!AX264)</f>
        <v/>
      </c>
      <c r="AY264" s="525" t="e">
        <f ca="1">stat(calculs!AY264)</f>
        <v>#NAME?</v>
      </c>
      <c r="AZ264" s="525" t="e">
        <f ca="1">stat(calculs!AZ264)</f>
        <v>#NAME?</v>
      </c>
      <c r="BA264" s="525" t="e">
        <f ca="1">stat(calculs!BA264)</f>
        <v>#NAME?</v>
      </c>
      <c r="BB264" s="525" t="e">
        <f ca="1">stat(calculs!BB264)</f>
        <v>#NAME?</v>
      </c>
      <c r="BC264" s="525" t="e">
        <f ca="1">stat(calculs!BC264)</f>
        <v>#NAME?</v>
      </c>
      <c r="BD264" s="525" t="e">
        <f ca="1">stat(calculs!BD264)</f>
        <v>#NAME?</v>
      </c>
      <c r="BE264" s="525" t="e">
        <f ca="1">stat(calculs!BE264)</f>
        <v>#NAME?</v>
      </c>
      <c r="BF264" s="525" t="e">
        <f ca="1">stat(calculs!BF264)</f>
        <v>#NAME?</v>
      </c>
      <c r="BG264" s="729" t="e">
        <f ca="1">stat(calculs!BG264)</f>
        <v>#NAME?</v>
      </c>
      <c r="BH264" s="729" t="e">
        <f ca="1">stat(calculs!BH264)</f>
        <v>#NAME?</v>
      </c>
      <c r="BI264" s="729" t="e">
        <f ca="1">stat(calculs!BI264)</f>
        <v>#NAME?</v>
      </c>
      <c r="BJ264" s="729" t="e">
        <f ca="1">stat(calculs!BJ264)</f>
        <v>#NAME?</v>
      </c>
      <c r="BK264" s="729" t="e">
        <f ca="1">stat(calculs!BK264)</f>
        <v>#NAME?</v>
      </c>
      <c r="BL264" s="525" t="e">
        <f ca="1">stat(calculs!BL264)</f>
        <v>#NAME?</v>
      </c>
      <c r="BM264" s="525" t="e">
        <f ca="1">stat(calculs!BM264)</f>
        <v>#NAME?</v>
      </c>
      <c r="BN264" s="525" t="e">
        <f ca="1">stat(calculs!BN264)</f>
        <v>#NAME?</v>
      </c>
      <c r="BO264" s="525" t="e">
        <f ca="1">stat(calculs!BO264)</f>
        <v>#NAME?</v>
      </c>
      <c r="BP264" s="525" t="e">
        <f ca="1">stat(calculs!BP264)</f>
        <v>#NAME?</v>
      </c>
      <c r="BQ264" s="525" t="e">
        <f ca="1">stat(calculs!BQ264)</f>
        <v>#NAME?</v>
      </c>
      <c r="BR264" s="525" t="e">
        <f ca="1">stat(calculs!BR264)</f>
        <v>#NAME?</v>
      </c>
    </row>
    <row r="265" spans="1:70" x14ac:dyDescent="0.2">
      <c r="A265" s="222">
        <f>données_step[[#This Row],[Datum]]</f>
        <v>44816</v>
      </c>
      <c r="B265" s="223"/>
      <c r="C265" s="224">
        <f t="shared" si="3"/>
        <v>2</v>
      </c>
      <c r="D265" s="523" t="e">
        <f ca="1">stat(charge_entree[[#This Row],[ch_E_DBO5]])</f>
        <v>#NAME?</v>
      </c>
      <c r="E265" s="523" t="e">
        <f ca="1">stat(charge_entree[[#This Row],[ch_E_DCO]])</f>
        <v>#NAME?</v>
      </c>
      <c r="F265" s="523" t="e">
        <f ca="1">stat(charge_entree[[#This Row],[ch_E_COT]])</f>
        <v>#NAME?</v>
      </c>
      <c r="G265" s="523" t="e">
        <f ca="1">stat(charge_entree[[#This Row],[ch_E_NH4]])</f>
        <v>#NAME?</v>
      </c>
      <c r="H265" s="523" t="e">
        <f ca="1">stat(charge_entree[[#This Row],[ch_E_NTOT]])</f>
        <v>#NAME?</v>
      </c>
      <c r="I265" s="523" t="e">
        <f ca="1">stat(charge_entree[[#This Row],[ch_E_PTOT]])</f>
        <v>#NAME?</v>
      </c>
      <c r="J265" s="523" t="e">
        <f ca="1">stat(charge_entree[[#This Row],[ch_S_DBO]])</f>
        <v>#NAME?</v>
      </c>
      <c r="K265" s="523" t="e">
        <f ca="1">stat(charge_entree[[#This Row],[ch_S-DCO]])</f>
        <v>#NAME?</v>
      </c>
      <c r="L265" s="523" t="e">
        <f ca="1">stat(charge_entree[[#This Row],[ch_S_DOC]])</f>
        <v>#NAME?</v>
      </c>
      <c r="M265" s="523" t="e">
        <f ca="1">stat(charge_entree[[#This Row],[ch_S_NH4]])</f>
        <v>#NAME?</v>
      </c>
      <c r="N265" s="523" t="e">
        <f ca="1">stat(charge_entree[[#This Row],[ch_S_NO2]])</f>
        <v>#NAME?</v>
      </c>
      <c r="O265" s="523" t="e">
        <f ca="1">stat(charge_entree[[#This Row],[ch_S_NO3]])</f>
        <v>#NAME?</v>
      </c>
      <c r="P265" s="523" t="e">
        <f ca="1">stat(charge_entree[[#This Row],[ch_S_PTOT]])</f>
        <v>#NAME?</v>
      </c>
      <c r="Q265" s="523" t="e">
        <f ca="1">stat(charge_entree[[#This Row],[ch_S_SNDT]])</f>
        <v>#NAME?</v>
      </c>
      <c r="R265" s="523">
        <f>calculs!R265</f>
        <v>0</v>
      </c>
      <c r="S265" s="523" t="e">
        <f ca="1">stat(calculs!S265)</f>
        <v>#NAME?</v>
      </c>
      <c r="T265" s="523" t="e">
        <f ca="1">stat(calculs!T265)</f>
        <v>#NAME?</v>
      </c>
      <c r="U265" s="523" t="e">
        <f ca="1">stat(calculs!U265)</f>
        <v>#NAME?</v>
      </c>
      <c r="V265" s="523" t="e">
        <f ca="1">stat(calculs!V265)</f>
        <v>#NAME?</v>
      </c>
      <c r="W265" s="523" t="e">
        <f ca="1">stat(calculs!W265)</f>
        <v>#NAME?</v>
      </c>
      <c r="X265" s="523" t="e">
        <f ca="1">stat(calculs!X265)</f>
        <v>#NAME?</v>
      </c>
      <c r="Y265" s="523" t="e">
        <f ca="1">stat(calculs!Y265)</f>
        <v>#NAME?</v>
      </c>
      <c r="Z265" s="523" t="e">
        <f ca="1">stat(calculs!Z265)</f>
        <v>#NAME?</v>
      </c>
      <c r="AA265" s="523" t="e">
        <f ca="1">stat(calculs!AA265)</f>
        <v>#NAME?</v>
      </c>
      <c r="AB265" s="523" t="e">
        <f ca="1">stat(calculs!AB265)</f>
        <v>#NAME?</v>
      </c>
      <c r="AC265" s="523" t="e">
        <f ca="1">stat(calculs!AC265)</f>
        <v>#NAME?</v>
      </c>
      <c r="AD265" s="523" t="e">
        <f ca="1">stat(calculs!AD265)</f>
        <v>#NAME?</v>
      </c>
      <c r="AE265" s="523" t="e">
        <f ca="1">stat(calculs!AE265)</f>
        <v>#NAME?</v>
      </c>
      <c r="AF265" s="523" t="e">
        <f ca="1">stat(calculs!AF265)</f>
        <v>#NAME?</v>
      </c>
      <c r="AG265" s="523" t="e">
        <f ca="1">stat(calculs!AG265)</f>
        <v>#NAME?</v>
      </c>
      <c r="AH265" s="523" t="e">
        <f ca="1">stat(calculs!AH265)</f>
        <v>#NAME?</v>
      </c>
      <c r="AI265" s="523" t="e">
        <f ca="1">stat(calculs!AI265)</f>
        <v>#NAME?</v>
      </c>
      <c r="AJ265" s="523" t="e">
        <f ca="1">stat(calculs!AJ265)</f>
        <v>#NAME?</v>
      </c>
      <c r="AK265" s="523" t="e">
        <f ca="1">stat(calculs!AK265)</f>
        <v>#NAME?</v>
      </c>
      <c r="AL265" s="523" t="e">
        <f ca="1">stat(calculs!AL265)</f>
        <v>#NAME?</v>
      </c>
      <c r="AM265" s="523" t="e">
        <f ca="1">stat(calculs!AM265)</f>
        <v>#NAME?</v>
      </c>
      <c r="AN265" s="523" t="e">
        <f ca="1">stat(calculs!AN265)</f>
        <v>#NAME?</v>
      </c>
      <c r="AO265" s="523" t="e">
        <f ca="1">stat(calculs!AO265)</f>
        <v>#NAME?</v>
      </c>
      <c r="AP265" s="523" t="e">
        <f ca="1">stat(calculs!AP265)</f>
        <v>#NAME?</v>
      </c>
      <c r="AQ265" s="523" t="e">
        <f ca="1">stat(calculs!AQ265)</f>
        <v>#NAME?</v>
      </c>
      <c r="AV265" s="525" t="str">
        <f>stat(calculs!AV265)</f>
        <v/>
      </c>
      <c r="AW265" s="525" t="str">
        <f>stat(calculs!AW265)</f>
        <v/>
      </c>
      <c r="AX265" s="525" t="str">
        <f>stat(calculs!AX265)</f>
        <v/>
      </c>
      <c r="AY265" s="525" t="e">
        <f ca="1">stat(calculs!AY265)</f>
        <v>#NAME?</v>
      </c>
      <c r="AZ265" s="525" t="e">
        <f ca="1">stat(calculs!AZ265)</f>
        <v>#NAME?</v>
      </c>
      <c r="BA265" s="525" t="e">
        <f ca="1">stat(calculs!BA265)</f>
        <v>#NAME?</v>
      </c>
      <c r="BB265" s="525" t="e">
        <f ca="1">stat(calculs!BB265)</f>
        <v>#NAME?</v>
      </c>
      <c r="BC265" s="525" t="e">
        <f ca="1">stat(calculs!BC265)</f>
        <v>#NAME?</v>
      </c>
      <c r="BD265" s="525" t="e">
        <f ca="1">stat(calculs!BD265)</f>
        <v>#NAME?</v>
      </c>
      <c r="BE265" s="525" t="e">
        <f ca="1">stat(calculs!BE265)</f>
        <v>#NAME?</v>
      </c>
      <c r="BF265" s="525" t="e">
        <f ca="1">stat(calculs!BF265)</f>
        <v>#NAME?</v>
      </c>
      <c r="BG265" s="729" t="e">
        <f ca="1">stat(calculs!BG265)</f>
        <v>#NAME?</v>
      </c>
      <c r="BH265" s="729" t="e">
        <f ca="1">stat(calculs!BH265)</f>
        <v>#NAME?</v>
      </c>
      <c r="BI265" s="729" t="e">
        <f ca="1">stat(calculs!BI265)</f>
        <v>#NAME?</v>
      </c>
      <c r="BJ265" s="729" t="e">
        <f ca="1">stat(calculs!BJ265)</f>
        <v>#NAME?</v>
      </c>
      <c r="BK265" s="729" t="e">
        <f ca="1">stat(calculs!BK265)</f>
        <v>#NAME?</v>
      </c>
      <c r="BL265" s="525" t="e">
        <f ca="1">stat(calculs!BL265)</f>
        <v>#NAME?</v>
      </c>
      <c r="BM265" s="525" t="e">
        <f ca="1">stat(calculs!BM265)</f>
        <v>#NAME?</v>
      </c>
      <c r="BN265" s="525" t="e">
        <f ca="1">stat(calculs!BN265)</f>
        <v>#NAME?</v>
      </c>
      <c r="BO265" s="525" t="e">
        <f ca="1">stat(calculs!BO265)</f>
        <v>#NAME?</v>
      </c>
      <c r="BP265" s="525" t="e">
        <f ca="1">stat(calculs!BP265)</f>
        <v>#NAME?</v>
      </c>
      <c r="BQ265" s="525" t="e">
        <f ca="1">stat(calculs!BQ265)</f>
        <v>#NAME?</v>
      </c>
      <c r="BR265" s="525" t="e">
        <f ca="1">stat(calculs!BR265)</f>
        <v>#NAME?</v>
      </c>
    </row>
    <row r="266" spans="1:70" x14ac:dyDescent="0.2">
      <c r="A266" s="222">
        <f>données_step[[#This Row],[Datum]]</f>
        <v>44817</v>
      </c>
      <c r="B266" s="223"/>
      <c r="C266" s="224">
        <f t="shared" si="3"/>
        <v>3</v>
      </c>
      <c r="D266" s="523" t="e">
        <f ca="1">stat(charge_entree[[#This Row],[ch_E_DBO5]])</f>
        <v>#NAME?</v>
      </c>
      <c r="E266" s="523" t="e">
        <f ca="1">stat(charge_entree[[#This Row],[ch_E_DCO]])</f>
        <v>#NAME?</v>
      </c>
      <c r="F266" s="523" t="e">
        <f ca="1">stat(charge_entree[[#This Row],[ch_E_COT]])</f>
        <v>#NAME?</v>
      </c>
      <c r="G266" s="523" t="e">
        <f ca="1">stat(charge_entree[[#This Row],[ch_E_NH4]])</f>
        <v>#NAME?</v>
      </c>
      <c r="H266" s="523" t="e">
        <f ca="1">stat(charge_entree[[#This Row],[ch_E_NTOT]])</f>
        <v>#NAME?</v>
      </c>
      <c r="I266" s="523" t="e">
        <f ca="1">stat(charge_entree[[#This Row],[ch_E_PTOT]])</f>
        <v>#NAME?</v>
      </c>
      <c r="J266" s="523" t="e">
        <f ca="1">stat(charge_entree[[#This Row],[ch_S_DBO]])</f>
        <v>#NAME?</v>
      </c>
      <c r="K266" s="523" t="e">
        <f ca="1">stat(charge_entree[[#This Row],[ch_S-DCO]])</f>
        <v>#NAME?</v>
      </c>
      <c r="L266" s="523" t="e">
        <f ca="1">stat(charge_entree[[#This Row],[ch_S_DOC]])</f>
        <v>#NAME?</v>
      </c>
      <c r="M266" s="523" t="e">
        <f ca="1">stat(charge_entree[[#This Row],[ch_S_NH4]])</f>
        <v>#NAME?</v>
      </c>
      <c r="N266" s="523" t="e">
        <f ca="1">stat(charge_entree[[#This Row],[ch_S_NO2]])</f>
        <v>#NAME?</v>
      </c>
      <c r="O266" s="523" t="e">
        <f ca="1">stat(charge_entree[[#This Row],[ch_S_NO3]])</f>
        <v>#NAME?</v>
      </c>
      <c r="P266" s="523" t="e">
        <f ca="1">stat(charge_entree[[#This Row],[ch_S_PTOT]])</f>
        <v>#NAME?</v>
      </c>
      <c r="Q266" s="523" t="e">
        <f ca="1">stat(charge_entree[[#This Row],[ch_S_SNDT]])</f>
        <v>#NAME?</v>
      </c>
      <c r="R266" s="523">
        <f>calculs!R266</f>
        <v>0</v>
      </c>
      <c r="S266" s="523" t="e">
        <f ca="1">stat(calculs!S266)</f>
        <v>#NAME?</v>
      </c>
      <c r="T266" s="523" t="e">
        <f ca="1">stat(calculs!T266)</f>
        <v>#NAME?</v>
      </c>
      <c r="U266" s="523" t="e">
        <f ca="1">stat(calculs!U266)</f>
        <v>#NAME?</v>
      </c>
      <c r="V266" s="523" t="e">
        <f ca="1">stat(calculs!V266)</f>
        <v>#NAME?</v>
      </c>
      <c r="W266" s="523" t="e">
        <f ca="1">stat(calculs!W266)</f>
        <v>#NAME?</v>
      </c>
      <c r="X266" s="523" t="e">
        <f ca="1">stat(calculs!X266)</f>
        <v>#NAME?</v>
      </c>
      <c r="Y266" s="523" t="e">
        <f ca="1">stat(calculs!Y266)</f>
        <v>#NAME?</v>
      </c>
      <c r="Z266" s="523" t="e">
        <f ca="1">stat(calculs!Z266)</f>
        <v>#NAME?</v>
      </c>
      <c r="AA266" s="523" t="e">
        <f ca="1">stat(calculs!AA266)</f>
        <v>#NAME?</v>
      </c>
      <c r="AB266" s="523" t="e">
        <f ca="1">stat(calculs!AB266)</f>
        <v>#NAME?</v>
      </c>
      <c r="AC266" s="523" t="e">
        <f ca="1">stat(calculs!AC266)</f>
        <v>#NAME?</v>
      </c>
      <c r="AD266" s="523" t="e">
        <f ca="1">stat(calculs!AD266)</f>
        <v>#NAME?</v>
      </c>
      <c r="AE266" s="523" t="e">
        <f ca="1">stat(calculs!AE266)</f>
        <v>#NAME?</v>
      </c>
      <c r="AF266" s="523" t="e">
        <f ca="1">stat(calculs!AF266)</f>
        <v>#NAME?</v>
      </c>
      <c r="AG266" s="523" t="e">
        <f ca="1">stat(calculs!AG266)</f>
        <v>#NAME?</v>
      </c>
      <c r="AH266" s="523" t="e">
        <f ca="1">stat(calculs!AH266)</f>
        <v>#NAME?</v>
      </c>
      <c r="AI266" s="523" t="e">
        <f ca="1">stat(calculs!AI266)</f>
        <v>#NAME?</v>
      </c>
      <c r="AJ266" s="523" t="e">
        <f ca="1">stat(calculs!AJ266)</f>
        <v>#NAME?</v>
      </c>
      <c r="AK266" s="523" t="e">
        <f ca="1">stat(calculs!AK266)</f>
        <v>#NAME?</v>
      </c>
      <c r="AL266" s="523" t="e">
        <f ca="1">stat(calculs!AL266)</f>
        <v>#NAME?</v>
      </c>
      <c r="AM266" s="523" t="e">
        <f ca="1">stat(calculs!AM266)</f>
        <v>#NAME?</v>
      </c>
      <c r="AN266" s="523" t="e">
        <f ca="1">stat(calculs!AN266)</f>
        <v>#NAME?</v>
      </c>
      <c r="AO266" s="523" t="e">
        <f ca="1">stat(calculs!AO266)</f>
        <v>#NAME?</v>
      </c>
      <c r="AP266" s="523" t="e">
        <f ca="1">stat(calculs!AP266)</f>
        <v>#NAME?</v>
      </c>
      <c r="AQ266" s="523" t="e">
        <f ca="1">stat(calculs!AQ266)</f>
        <v>#NAME?</v>
      </c>
      <c r="AV266" s="525" t="str">
        <f>stat(calculs!AV266)</f>
        <v/>
      </c>
      <c r="AW266" s="525" t="str">
        <f>stat(calculs!AW266)</f>
        <v/>
      </c>
      <c r="AX266" s="525" t="str">
        <f>stat(calculs!AX266)</f>
        <v/>
      </c>
      <c r="AY266" s="525" t="e">
        <f ca="1">stat(calculs!AY266)</f>
        <v>#NAME?</v>
      </c>
      <c r="AZ266" s="525" t="e">
        <f ca="1">stat(calculs!AZ266)</f>
        <v>#NAME?</v>
      </c>
      <c r="BA266" s="525" t="e">
        <f ca="1">stat(calculs!BA266)</f>
        <v>#NAME?</v>
      </c>
      <c r="BB266" s="525" t="e">
        <f ca="1">stat(calculs!BB266)</f>
        <v>#NAME?</v>
      </c>
      <c r="BC266" s="525" t="e">
        <f ca="1">stat(calculs!BC266)</f>
        <v>#NAME?</v>
      </c>
      <c r="BD266" s="525" t="e">
        <f ca="1">stat(calculs!BD266)</f>
        <v>#NAME?</v>
      </c>
      <c r="BE266" s="525" t="e">
        <f ca="1">stat(calculs!BE266)</f>
        <v>#NAME?</v>
      </c>
      <c r="BF266" s="525" t="e">
        <f ca="1">stat(calculs!BF266)</f>
        <v>#NAME?</v>
      </c>
      <c r="BG266" s="729" t="e">
        <f ca="1">stat(calculs!BG266)</f>
        <v>#NAME?</v>
      </c>
      <c r="BH266" s="729" t="e">
        <f ca="1">stat(calculs!BH266)</f>
        <v>#NAME?</v>
      </c>
      <c r="BI266" s="729" t="e">
        <f ca="1">stat(calculs!BI266)</f>
        <v>#NAME?</v>
      </c>
      <c r="BJ266" s="729" t="e">
        <f ca="1">stat(calculs!BJ266)</f>
        <v>#NAME?</v>
      </c>
      <c r="BK266" s="729" t="e">
        <f ca="1">stat(calculs!BK266)</f>
        <v>#NAME?</v>
      </c>
      <c r="BL266" s="525" t="e">
        <f ca="1">stat(calculs!BL266)</f>
        <v>#NAME?</v>
      </c>
      <c r="BM266" s="525" t="e">
        <f ca="1">stat(calculs!BM266)</f>
        <v>#NAME?</v>
      </c>
      <c r="BN266" s="525" t="e">
        <f ca="1">stat(calculs!BN266)</f>
        <v>#NAME?</v>
      </c>
      <c r="BO266" s="525" t="e">
        <f ca="1">stat(calculs!BO266)</f>
        <v>#NAME?</v>
      </c>
      <c r="BP266" s="525" t="e">
        <f ca="1">stat(calculs!BP266)</f>
        <v>#NAME?</v>
      </c>
      <c r="BQ266" s="525" t="e">
        <f ca="1">stat(calculs!BQ266)</f>
        <v>#NAME?</v>
      </c>
      <c r="BR266" s="525" t="e">
        <f ca="1">stat(calculs!BR266)</f>
        <v>#NAME?</v>
      </c>
    </row>
    <row r="267" spans="1:70" x14ac:dyDescent="0.2">
      <c r="A267" s="222">
        <f>données_step[[#This Row],[Datum]]</f>
        <v>44818</v>
      </c>
      <c r="B267" s="223"/>
      <c r="C267" s="224">
        <f t="shared" si="3"/>
        <v>4</v>
      </c>
      <c r="D267" s="523" t="e">
        <f ca="1">stat(charge_entree[[#This Row],[ch_E_DBO5]])</f>
        <v>#NAME?</v>
      </c>
      <c r="E267" s="523" t="e">
        <f ca="1">stat(charge_entree[[#This Row],[ch_E_DCO]])</f>
        <v>#NAME?</v>
      </c>
      <c r="F267" s="523" t="e">
        <f ca="1">stat(charge_entree[[#This Row],[ch_E_COT]])</f>
        <v>#NAME?</v>
      </c>
      <c r="G267" s="523" t="e">
        <f ca="1">stat(charge_entree[[#This Row],[ch_E_NH4]])</f>
        <v>#NAME?</v>
      </c>
      <c r="H267" s="523" t="e">
        <f ca="1">stat(charge_entree[[#This Row],[ch_E_NTOT]])</f>
        <v>#NAME?</v>
      </c>
      <c r="I267" s="523" t="e">
        <f ca="1">stat(charge_entree[[#This Row],[ch_E_PTOT]])</f>
        <v>#NAME?</v>
      </c>
      <c r="J267" s="523" t="e">
        <f ca="1">stat(charge_entree[[#This Row],[ch_S_DBO]])</f>
        <v>#NAME?</v>
      </c>
      <c r="K267" s="523" t="e">
        <f ca="1">stat(charge_entree[[#This Row],[ch_S-DCO]])</f>
        <v>#NAME?</v>
      </c>
      <c r="L267" s="523" t="e">
        <f ca="1">stat(charge_entree[[#This Row],[ch_S_DOC]])</f>
        <v>#NAME?</v>
      </c>
      <c r="M267" s="523" t="e">
        <f ca="1">stat(charge_entree[[#This Row],[ch_S_NH4]])</f>
        <v>#NAME?</v>
      </c>
      <c r="N267" s="523" t="e">
        <f ca="1">stat(charge_entree[[#This Row],[ch_S_NO2]])</f>
        <v>#NAME?</v>
      </c>
      <c r="O267" s="523" t="e">
        <f ca="1">stat(charge_entree[[#This Row],[ch_S_NO3]])</f>
        <v>#NAME?</v>
      </c>
      <c r="P267" s="523" t="e">
        <f ca="1">stat(charge_entree[[#This Row],[ch_S_PTOT]])</f>
        <v>#NAME?</v>
      </c>
      <c r="Q267" s="523" t="e">
        <f ca="1">stat(charge_entree[[#This Row],[ch_S_SNDT]])</f>
        <v>#NAME?</v>
      </c>
      <c r="R267" s="523">
        <f>calculs!R267</f>
        <v>0</v>
      </c>
      <c r="S267" s="523" t="e">
        <f ca="1">stat(calculs!S267)</f>
        <v>#NAME?</v>
      </c>
      <c r="T267" s="523" t="e">
        <f ca="1">stat(calculs!T267)</f>
        <v>#NAME?</v>
      </c>
      <c r="U267" s="523" t="e">
        <f ca="1">stat(calculs!U267)</f>
        <v>#NAME?</v>
      </c>
      <c r="V267" s="523" t="e">
        <f ca="1">stat(calculs!V267)</f>
        <v>#NAME?</v>
      </c>
      <c r="W267" s="523" t="e">
        <f ca="1">stat(calculs!W267)</f>
        <v>#NAME?</v>
      </c>
      <c r="X267" s="523" t="e">
        <f ca="1">stat(calculs!X267)</f>
        <v>#NAME?</v>
      </c>
      <c r="Y267" s="523" t="e">
        <f ca="1">stat(calculs!Y267)</f>
        <v>#NAME?</v>
      </c>
      <c r="Z267" s="523" t="e">
        <f ca="1">stat(calculs!Z267)</f>
        <v>#NAME?</v>
      </c>
      <c r="AA267" s="523" t="e">
        <f ca="1">stat(calculs!AA267)</f>
        <v>#NAME?</v>
      </c>
      <c r="AB267" s="523" t="e">
        <f ca="1">stat(calculs!AB267)</f>
        <v>#NAME?</v>
      </c>
      <c r="AC267" s="523" t="e">
        <f ca="1">stat(calculs!AC267)</f>
        <v>#NAME?</v>
      </c>
      <c r="AD267" s="523" t="e">
        <f ca="1">stat(calculs!AD267)</f>
        <v>#NAME?</v>
      </c>
      <c r="AE267" s="523" t="e">
        <f ca="1">stat(calculs!AE267)</f>
        <v>#NAME?</v>
      </c>
      <c r="AF267" s="523" t="e">
        <f ca="1">stat(calculs!AF267)</f>
        <v>#NAME?</v>
      </c>
      <c r="AG267" s="523" t="e">
        <f ca="1">stat(calculs!AG267)</f>
        <v>#NAME?</v>
      </c>
      <c r="AH267" s="523" t="e">
        <f ca="1">stat(calculs!AH267)</f>
        <v>#NAME?</v>
      </c>
      <c r="AI267" s="523" t="e">
        <f ca="1">stat(calculs!AI267)</f>
        <v>#NAME?</v>
      </c>
      <c r="AJ267" s="523" t="e">
        <f ca="1">stat(calculs!AJ267)</f>
        <v>#NAME?</v>
      </c>
      <c r="AK267" s="523" t="e">
        <f ca="1">stat(calculs!AK267)</f>
        <v>#NAME?</v>
      </c>
      <c r="AL267" s="523" t="e">
        <f ca="1">stat(calculs!AL267)</f>
        <v>#NAME?</v>
      </c>
      <c r="AM267" s="523" t="e">
        <f ca="1">stat(calculs!AM267)</f>
        <v>#NAME?</v>
      </c>
      <c r="AN267" s="523" t="e">
        <f ca="1">stat(calculs!AN267)</f>
        <v>#NAME?</v>
      </c>
      <c r="AO267" s="523" t="e">
        <f ca="1">stat(calculs!AO267)</f>
        <v>#NAME?</v>
      </c>
      <c r="AP267" s="523" t="e">
        <f ca="1">stat(calculs!AP267)</f>
        <v>#NAME?</v>
      </c>
      <c r="AQ267" s="523" t="e">
        <f ca="1">stat(calculs!AQ267)</f>
        <v>#NAME?</v>
      </c>
      <c r="AV267" s="525" t="str">
        <f>stat(calculs!AV267)</f>
        <v/>
      </c>
      <c r="AW267" s="525" t="str">
        <f>stat(calculs!AW267)</f>
        <v/>
      </c>
      <c r="AX267" s="525" t="str">
        <f>stat(calculs!AX267)</f>
        <v/>
      </c>
      <c r="AY267" s="525" t="e">
        <f ca="1">stat(calculs!AY267)</f>
        <v>#NAME?</v>
      </c>
      <c r="AZ267" s="525" t="e">
        <f ca="1">stat(calculs!AZ267)</f>
        <v>#NAME?</v>
      </c>
      <c r="BA267" s="525" t="e">
        <f ca="1">stat(calculs!BA267)</f>
        <v>#NAME?</v>
      </c>
      <c r="BB267" s="525" t="e">
        <f ca="1">stat(calculs!BB267)</f>
        <v>#NAME?</v>
      </c>
      <c r="BC267" s="525" t="e">
        <f ca="1">stat(calculs!BC267)</f>
        <v>#NAME?</v>
      </c>
      <c r="BD267" s="525" t="e">
        <f ca="1">stat(calculs!BD267)</f>
        <v>#NAME?</v>
      </c>
      <c r="BE267" s="525" t="e">
        <f ca="1">stat(calculs!BE267)</f>
        <v>#NAME?</v>
      </c>
      <c r="BF267" s="525" t="e">
        <f ca="1">stat(calculs!BF267)</f>
        <v>#NAME?</v>
      </c>
      <c r="BG267" s="729" t="e">
        <f ca="1">stat(calculs!BG267)</f>
        <v>#NAME?</v>
      </c>
      <c r="BH267" s="729" t="e">
        <f ca="1">stat(calculs!BH267)</f>
        <v>#NAME?</v>
      </c>
      <c r="BI267" s="729" t="e">
        <f ca="1">stat(calculs!BI267)</f>
        <v>#NAME?</v>
      </c>
      <c r="BJ267" s="729" t="e">
        <f ca="1">stat(calculs!BJ267)</f>
        <v>#NAME?</v>
      </c>
      <c r="BK267" s="729" t="e">
        <f ca="1">stat(calculs!BK267)</f>
        <v>#NAME?</v>
      </c>
      <c r="BL267" s="525" t="e">
        <f ca="1">stat(calculs!BL267)</f>
        <v>#NAME?</v>
      </c>
      <c r="BM267" s="525" t="e">
        <f ca="1">stat(calculs!BM267)</f>
        <v>#NAME?</v>
      </c>
      <c r="BN267" s="525" t="e">
        <f ca="1">stat(calculs!BN267)</f>
        <v>#NAME?</v>
      </c>
      <c r="BO267" s="525" t="e">
        <f ca="1">stat(calculs!BO267)</f>
        <v>#NAME?</v>
      </c>
      <c r="BP267" s="525" t="e">
        <f ca="1">stat(calculs!BP267)</f>
        <v>#NAME?</v>
      </c>
      <c r="BQ267" s="525" t="e">
        <f ca="1">stat(calculs!BQ267)</f>
        <v>#NAME?</v>
      </c>
      <c r="BR267" s="525" t="e">
        <f ca="1">stat(calculs!BR267)</f>
        <v>#NAME?</v>
      </c>
    </row>
    <row r="268" spans="1:70" x14ac:dyDescent="0.2">
      <c r="A268" s="222">
        <f>données_step[[#This Row],[Datum]]</f>
        <v>44819</v>
      </c>
      <c r="B268" s="223"/>
      <c r="C268" s="224">
        <f t="shared" ref="C268:C331" si="4">WEEKDAY(A268)</f>
        <v>5</v>
      </c>
      <c r="D268" s="523" t="e">
        <f ca="1">stat(charge_entree[[#This Row],[ch_E_DBO5]])</f>
        <v>#NAME?</v>
      </c>
      <c r="E268" s="523" t="e">
        <f ca="1">stat(charge_entree[[#This Row],[ch_E_DCO]])</f>
        <v>#NAME?</v>
      </c>
      <c r="F268" s="523" t="e">
        <f ca="1">stat(charge_entree[[#This Row],[ch_E_COT]])</f>
        <v>#NAME?</v>
      </c>
      <c r="G268" s="523" t="e">
        <f ca="1">stat(charge_entree[[#This Row],[ch_E_NH4]])</f>
        <v>#NAME?</v>
      </c>
      <c r="H268" s="523" t="e">
        <f ca="1">stat(charge_entree[[#This Row],[ch_E_NTOT]])</f>
        <v>#NAME?</v>
      </c>
      <c r="I268" s="523" t="e">
        <f ca="1">stat(charge_entree[[#This Row],[ch_E_PTOT]])</f>
        <v>#NAME?</v>
      </c>
      <c r="J268" s="523" t="e">
        <f ca="1">stat(charge_entree[[#This Row],[ch_S_DBO]])</f>
        <v>#NAME?</v>
      </c>
      <c r="K268" s="523" t="e">
        <f ca="1">stat(charge_entree[[#This Row],[ch_S-DCO]])</f>
        <v>#NAME?</v>
      </c>
      <c r="L268" s="523" t="e">
        <f ca="1">stat(charge_entree[[#This Row],[ch_S_DOC]])</f>
        <v>#NAME?</v>
      </c>
      <c r="M268" s="523" t="e">
        <f ca="1">stat(charge_entree[[#This Row],[ch_S_NH4]])</f>
        <v>#NAME?</v>
      </c>
      <c r="N268" s="523" t="e">
        <f ca="1">stat(charge_entree[[#This Row],[ch_S_NO2]])</f>
        <v>#NAME?</v>
      </c>
      <c r="O268" s="523" t="e">
        <f ca="1">stat(charge_entree[[#This Row],[ch_S_NO3]])</f>
        <v>#NAME?</v>
      </c>
      <c r="P268" s="523" t="e">
        <f ca="1">stat(charge_entree[[#This Row],[ch_S_PTOT]])</f>
        <v>#NAME?</v>
      </c>
      <c r="Q268" s="523" t="e">
        <f ca="1">stat(charge_entree[[#This Row],[ch_S_SNDT]])</f>
        <v>#NAME?</v>
      </c>
      <c r="R268" s="523">
        <f>calculs!R268</f>
        <v>0</v>
      </c>
      <c r="S268" s="523" t="e">
        <f ca="1">stat(calculs!S268)</f>
        <v>#NAME?</v>
      </c>
      <c r="T268" s="523" t="e">
        <f ca="1">stat(calculs!T268)</f>
        <v>#NAME?</v>
      </c>
      <c r="U268" s="523" t="e">
        <f ca="1">stat(calculs!U268)</f>
        <v>#NAME?</v>
      </c>
      <c r="V268" s="523" t="e">
        <f ca="1">stat(calculs!V268)</f>
        <v>#NAME?</v>
      </c>
      <c r="W268" s="523" t="e">
        <f ca="1">stat(calculs!W268)</f>
        <v>#NAME?</v>
      </c>
      <c r="X268" s="523" t="e">
        <f ca="1">stat(calculs!X268)</f>
        <v>#NAME?</v>
      </c>
      <c r="Y268" s="523" t="e">
        <f ca="1">stat(calculs!Y268)</f>
        <v>#NAME?</v>
      </c>
      <c r="Z268" s="523" t="e">
        <f ca="1">stat(calculs!Z268)</f>
        <v>#NAME?</v>
      </c>
      <c r="AA268" s="523" t="e">
        <f ca="1">stat(calculs!AA268)</f>
        <v>#NAME?</v>
      </c>
      <c r="AB268" s="523" t="e">
        <f ca="1">stat(calculs!AB268)</f>
        <v>#NAME?</v>
      </c>
      <c r="AC268" s="523" t="e">
        <f ca="1">stat(calculs!AC268)</f>
        <v>#NAME?</v>
      </c>
      <c r="AD268" s="523" t="e">
        <f ca="1">stat(calculs!AD268)</f>
        <v>#NAME?</v>
      </c>
      <c r="AE268" s="523" t="e">
        <f ca="1">stat(calculs!AE268)</f>
        <v>#NAME?</v>
      </c>
      <c r="AF268" s="523" t="e">
        <f ca="1">stat(calculs!AF268)</f>
        <v>#NAME?</v>
      </c>
      <c r="AG268" s="523" t="e">
        <f ca="1">stat(calculs!AG268)</f>
        <v>#NAME?</v>
      </c>
      <c r="AH268" s="523" t="e">
        <f ca="1">stat(calculs!AH268)</f>
        <v>#NAME?</v>
      </c>
      <c r="AI268" s="523" t="e">
        <f ca="1">stat(calculs!AI268)</f>
        <v>#NAME?</v>
      </c>
      <c r="AJ268" s="523" t="e">
        <f ca="1">stat(calculs!AJ268)</f>
        <v>#NAME?</v>
      </c>
      <c r="AK268" s="523" t="e">
        <f ca="1">stat(calculs!AK268)</f>
        <v>#NAME?</v>
      </c>
      <c r="AL268" s="523" t="e">
        <f ca="1">stat(calculs!AL268)</f>
        <v>#NAME?</v>
      </c>
      <c r="AM268" s="523" t="e">
        <f ca="1">stat(calculs!AM268)</f>
        <v>#NAME?</v>
      </c>
      <c r="AN268" s="523" t="e">
        <f ca="1">stat(calculs!AN268)</f>
        <v>#NAME?</v>
      </c>
      <c r="AO268" s="523" t="e">
        <f ca="1">stat(calculs!AO268)</f>
        <v>#NAME?</v>
      </c>
      <c r="AP268" s="523" t="e">
        <f ca="1">stat(calculs!AP268)</f>
        <v>#NAME?</v>
      </c>
      <c r="AQ268" s="523" t="e">
        <f ca="1">stat(calculs!AQ268)</f>
        <v>#NAME?</v>
      </c>
      <c r="AV268" s="525" t="str">
        <f>stat(calculs!AV268)</f>
        <v/>
      </c>
      <c r="AW268" s="525" t="str">
        <f>stat(calculs!AW268)</f>
        <v/>
      </c>
      <c r="AX268" s="525" t="str">
        <f>stat(calculs!AX268)</f>
        <v/>
      </c>
      <c r="AY268" s="525" t="e">
        <f ca="1">stat(calculs!AY268)</f>
        <v>#NAME?</v>
      </c>
      <c r="AZ268" s="525" t="e">
        <f ca="1">stat(calculs!AZ268)</f>
        <v>#NAME?</v>
      </c>
      <c r="BA268" s="525" t="e">
        <f ca="1">stat(calculs!BA268)</f>
        <v>#NAME?</v>
      </c>
      <c r="BB268" s="525" t="e">
        <f ca="1">stat(calculs!BB268)</f>
        <v>#NAME?</v>
      </c>
      <c r="BC268" s="525" t="e">
        <f ca="1">stat(calculs!BC268)</f>
        <v>#NAME?</v>
      </c>
      <c r="BD268" s="525" t="e">
        <f ca="1">stat(calculs!BD268)</f>
        <v>#NAME?</v>
      </c>
      <c r="BE268" s="525" t="e">
        <f ca="1">stat(calculs!BE268)</f>
        <v>#NAME?</v>
      </c>
      <c r="BF268" s="525" t="e">
        <f ca="1">stat(calculs!BF268)</f>
        <v>#NAME?</v>
      </c>
      <c r="BG268" s="729" t="e">
        <f ca="1">stat(calculs!BG268)</f>
        <v>#NAME?</v>
      </c>
      <c r="BH268" s="729" t="e">
        <f ca="1">stat(calculs!BH268)</f>
        <v>#NAME?</v>
      </c>
      <c r="BI268" s="729" t="e">
        <f ca="1">stat(calculs!BI268)</f>
        <v>#NAME?</v>
      </c>
      <c r="BJ268" s="729" t="e">
        <f ca="1">stat(calculs!BJ268)</f>
        <v>#NAME?</v>
      </c>
      <c r="BK268" s="729" t="e">
        <f ca="1">stat(calculs!BK268)</f>
        <v>#NAME?</v>
      </c>
      <c r="BL268" s="525" t="e">
        <f ca="1">stat(calculs!BL268)</f>
        <v>#NAME?</v>
      </c>
      <c r="BM268" s="525" t="e">
        <f ca="1">stat(calculs!BM268)</f>
        <v>#NAME?</v>
      </c>
      <c r="BN268" s="525" t="e">
        <f ca="1">stat(calculs!BN268)</f>
        <v>#NAME?</v>
      </c>
      <c r="BO268" s="525" t="e">
        <f ca="1">stat(calculs!BO268)</f>
        <v>#NAME?</v>
      </c>
      <c r="BP268" s="525" t="e">
        <f ca="1">stat(calculs!BP268)</f>
        <v>#NAME?</v>
      </c>
      <c r="BQ268" s="525" t="e">
        <f ca="1">stat(calculs!BQ268)</f>
        <v>#NAME?</v>
      </c>
      <c r="BR268" s="525" t="e">
        <f ca="1">stat(calculs!BR268)</f>
        <v>#NAME?</v>
      </c>
    </row>
    <row r="269" spans="1:70" x14ac:dyDescent="0.2">
      <c r="A269" s="222">
        <f>données_step[[#This Row],[Datum]]</f>
        <v>44820</v>
      </c>
      <c r="B269" s="223"/>
      <c r="C269" s="224">
        <f t="shared" si="4"/>
        <v>6</v>
      </c>
      <c r="D269" s="523" t="e">
        <f ca="1">stat(charge_entree[[#This Row],[ch_E_DBO5]])</f>
        <v>#NAME?</v>
      </c>
      <c r="E269" s="523" t="e">
        <f ca="1">stat(charge_entree[[#This Row],[ch_E_DCO]])</f>
        <v>#NAME?</v>
      </c>
      <c r="F269" s="523" t="e">
        <f ca="1">stat(charge_entree[[#This Row],[ch_E_COT]])</f>
        <v>#NAME?</v>
      </c>
      <c r="G269" s="523" t="e">
        <f ca="1">stat(charge_entree[[#This Row],[ch_E_NH4]])</f>
        <v>#NAME?</v>
      </c>
      <c r="H269" s="523" t="e">
        <f ca="1">stat(charge_entree[[#This Row],[ch_E_NTOT]])</f>
        <v>#NAME?</v>
      </c>
      <c r="I269" s="523" t="e">
        <f ca="1">stat(charge_entree[[#This Row],[ch_E_PTOT]])</f>
        <v>#NAME?</v>
      </c>
      <c r="J269" s="523" t="e">
        <f ca="1">stat(charge_entree[[#This Row],[ch_S_DBO]])</f>
        <v>#NAME?</v>
      </c>
      <c r="K269" s="523" t="e">
        <f ca="1">stat(charge_entree[[#This Row],[ch_S-DCO]])</f>
        <v>#NAME?</v>
      </c>
      <c r="L269" s="523" t="e">
        <f ca="1">stat(charge_entree[[#This Row],[ch_S_DOC]])</f>
        <v>#NAME?</v>
      </c>
      <c r="M269" s="523" t="e">
        <f ca="1">stat(charge_entree[[#This Row],[ch_S_NH4]])</f>
        <v>#NAME?</v>
      </c>
      <c r="N269" s="523" t="e">
        <f ca="1">stat(charge_entree[[#This Row],[ch_S_NO2]])</f>
        <v>#NAME?</v>
      </c>
      <c r="O269" s="523" t="e">
        <f ca="1">stat(charge_entree[[#This Row],[ch_S_NO3]])</f>
        <v>#NAME?</v>
      </c>
      <c r="P269" s="523" t="e">
        <f ca="1">stat(charge_entree[[#This Row],[ch_S_PTOT]])</f>
        <v>#NAME?</v>
      </c>
      <c r="Q269" s="523" t="e">
        <f ca="1">stat(charge_entree[[#This Row],[ch_S_SNDT]])</f>
        <v>#NAME?</v>
      </c>
      <c r="R269" s="523">
        <f>calculs!R269</f>
        <v>0</v>
      </c>
      <c r="S269" s="523" t="e">
        <f ca="1">stat(calculs!S269)</f>
        <v>#NAME?</v>
      </c>
      <c r="T269" s="523" t="e">
        <f ca="1">stat(calculs!T269)</f>
        <v>#NAME?</v>
      </c>
      <c r="U269" s="523" t="e">
        <f ca="1">stat(calculs!U269)</f>
        <v>#NAME?</v>
      </c>
      <c r="V269" s="523" t="e">
        <f ca="1">stat(calculs!V269)</f>
        <v>#NAME?</v>
      </c>
      <c r="W269" s="523" t="e">
        <f ca="1">stat(calculs!W269)</f>
        <v>#NAME?</v>
      </c>
      <c r="X269" s="523" t="e">
        <f ca="1">stat(calculs!X269)</f>
        <v>#NAME?</v>
      </c>
      <c r="Y269" s="523" t="e">
        <f ca="1">stat(calculs!Y269)</f>
        <v>#NAME?</v>
      </c>
      <c r="Z269" s="523" t="e">
        <f ca="1">stat(calculs!Z269)</f>
        <v>#NAME?</v>
      </c>
      <c r="AA269" s="523" t="e">
        <f ca="1">stat(calculs!AA269)</f>
        <v>#NAME?</v>
      </c>
      <c r="AB269" s="523" t="e">
        <f ca="1">stat(calculs!AB269)</f>
        <v>#NAME?</v>
      </c>
      <c r="AC269" s="523" t="e">
        <f ca="1">stat(calculs!AC269)</f>
        <v>#NAME?</v>
      </c>
      <c r="AD269" s="523" t="e">
        <f ca="1">stat(calculs!AD269)</f>
        <v>#NAME?</v>
      </c>
      <c r="AE269" s="523" t="e">
        <f ca="1">stat(calculs!AE269)</f>
        <v>#NAME?</v>
      </c>
      <c r="AF269" s="523" t="e">
        <f ca="1">stat(calculs!AF269)</f>
        <v>#NAME?</v>
      </c>
      <c r="AG269" s="523" t="e">
        <f ca="1">stat(calculs!AG269)</f>
        <v>#NAME?</v>
      </c>
      <c r="AH269" s="523" t="e">
        <f ca="1">stat(calculs!AH269)</f>
        <v>#NAME?</v>
      </c>
      <c r="AI269" s="523" t="e">
        <f ca="1">stat(calculs!AI269)</f>
        <v>#NAME?</v>
      </c>
      <c r="AJ269" s="523" t="e">
        <f ca="1">stat(calculs!AJ269)</f>
        <v>#NAME?</v>
      </c>
      <c r="AK269" s="523" t="e">
        <f ca="1">stat(calculs!AK269)</f>
        <v>#NAME?</v>
      </c>
      <c r="AL269" s="523" t="e">
        <f ca="1">stat(calculs!AL269)</f>
        <v>#NAME?</v>
      </c>
      <c r="AM269" s="523" t="e">
        <f ca="1">stat(calculs!AM269)</f>
        <v>#NAME?</v>
      </c>
      <c r="AN269" s="523" t="e">
        <f ca="1">stat(calculs!AN269)</f>
        <v>#NAME?</v>
      </c>
      <c r="AO269" s="523" t="e">
        <f ca="1">stat(calculs!AO269)</f>
        <v>#NAME?</v>
      </c>
      <c r="AP269" s="523" t="e">
        <f ca="1">stat(calculs!AP269)</f>
        <v>#NAME?</v>
      </c>
      <c r="AQ269" s="523" t="e">
        <f ca="1">stat(calculs!AQ269)</f>
        <v>#NAME?</v>
      </c>
      <c r="AV269" s="525" t="str">
        <f>stat(calculs!AV269)</f>
        <v/>
      </c>
      <c r="AW269" s="525" t="str">
        <f>stat(calculs!AW269)</f>
        <v/>
      </c>
      <c r="AX269" s="525" t="str">
        <f>stat(calculs!AX269)</f>
        <v/>
      </c>
      <c r="AY269" s="525" t="e">
        <f ca="1">stat(calculs!AY269)</f>
        <v>#NAME?</v>
      </c>
      <c r="AZ269" s="525" t="e">
        <f ca="1">stat(calculs!AZ269)</f>
        <v>#NAME?</v>
      </c>
      <c r="BA269" s="525" t="e">
        <f ca="1">stat(calculs!BA269)</f>
        <v>#NAME?</v>
      </c>
      <c r="BB269" s="525" t="e">
        <f ca="1">stat(calculs!BB269)</f>
        <v>#NAME?</v>
      </c>
      <c r="BC269" s="525" t="e">
        <f ca="1">stat(calculs!BC269)</f>
        <v>#NAME?</v>
      </c>
      <c r="BD269" s="525" t="e">
        <f ca="1">stat(calculs!BD269)</f>
        <v>#NAME?</v>
      </c>
      <c r="BE269" s="525" t="e">
        <f ca="1">stat(calculs!BE269)</f>
        <v>#NAME?</v>
      </c>
      <c r="BF269" s="525" t="e">
        <f ca="1">stat(calculs!BF269)</f>
        <v>#NAME?</v>
      </c>
      <c r="BG269" s="729" t="e">
        <f ca="1">stat(calculs!BG269)</f>
        <v>#NAME?</v>
      </c>
      <c r="BH269" s="729" t="e">
        <f ca="1">stat(calculs!BH269)</f>
        <v>#NAME?</v>
      </c>
      <c r="BI269" s="729" t="e">
        <f ca="1">stat(calculs!BI269)</f>
        <v>#NAME?</v>
      </c>
      <c r="BJ269" s="729" t="e">
        <f ca="1">stat(calculs!BJ269)</f>
        <v>#NAME?</v>
      </c>
      <c r="BK269" s="729" t="e">
        <f ca="1">stat(calculs!BK269)</f>
        <v>#NAME?</v>
      </c>
      <c r="BL269" s="525" t="e">
        <f ca="1">stat(calculs!BL269)</f>
        <v>#NAME?</v>
      </c>
      <c r="BM269" s="525" t="e">
        <f ca="1">stat(calculs!BM269)</f>
        <v>#NAME?</v>
      </c>
      <c r="BN269" s="525" t="e">
        <f ca="1">stat(calculs!BN269)</f>
        <v>#NAME?</v>
      </c>
      <c r="BO269" s="525" t="e">
        <f ca="1">stat(calculs!BO269)</f>
        <v>#NAME?</v>
      </c>
      <c r="BP269" s="525" t="e">
        <f ca="1">stat(calculs!BP269)</f>
        <v>#NAME?</v>
      </c>
      <c r="BQ269" s="525" t="e">
        <f ca="1">stat(calculs!BQ269)</f>
        <v>#NAME?</v>
      </c>
      <c r="BR269" s="525" t="e">
        <f ca="1">stat(calculs!BR269)</f>
        <v>#NAME?</v>
      </c>
    </row>
    <row r="270" spans="1:70" x14ac:dyDescent="0.2">
      <c r="A270" s="222">
        <f>données_step[[#This Row],[Datum]]</f>
        <v>44821</v>
      </c>
      <c r="B270" s="223"/>
      <c r="C270" s="224">
        <f t="shared" si="4"/>
        <v>7</v>
      </c>
      <c r="D270" s="523" t="e">
        <f ca="1">stat(charge_entree[[#This Row],[ch_E_DBO5]])</f>
        <v>#NAME?</v>
      </c>
      <c r="E270" s="523" t="e">
        <f ca="1">stat(charge_entree[[#This Row],[ch_E_DCO]])</f>
        <v>#NAME?</v>
      </c>
      <c r="F270" s="523" t="e">
        <f ca="1">stat(charge_entree[[#This Row],[ch_E_COT]])</f>
        <v>#NAME?</v>
      </c>
      <c r="G270" s="523" t="e">
        <f ca="1">stat(charge_entree[[#This Row],[ch_E_NH4]])</f>
        <v>#NAME?</v>
      </c>
      <c r="H270" s="523" t="e">
        <f ca="1">stat(charge_entree[[#This Row],[ch_E_NTOT]])</f>
        <v>#NAME?</v>
      </c>
      <c r="I270" s="523" t="e">
        <f ca="1">stat(charge_entree[[#This Row],[ch_E_PTOT]])</f>
        <v>#NAME?</v>
      </c>
      <c r="J270" s="523" t="e">
        <f ca="1">stat(charge_entree[[#This Row],[ch_S_DBO]])</f>
        <v>#NAME?</v>
      </c>
      <c r="K270" s="523" t="e">
        <f ca="1">stat(charge_entree[[#This Row],[ch_S-DCO]])</f>
        <v>#NAME?</v>
      </c>
      <c r="L270" s="523" t="e">
        <f ca="1">stat(charge_entree[[#This Row],[ch_S_DOC]])</f>
        <v>#NAME?</v>
      </c>
      <c r="M270" s="523" t="e">
        <f ca="1">stat(charge_entree[[#This Row],[ch_S_NH4]])</f>
        <v>#NAME?</v>
      </c>
      <c r="N270" s="523" t="e">
        <f ca="1">stat(charge_entree[[#This Row],[ch_S_NO2]])</f>
        <v>#NAME?</v>
      </c>
      <c r="O270" s="523" t="e">
        <f ca="1">stat(charge_entree[[#This Row],[ch_S_NO3]])</f>
        <v>#NAME?</v>
      </c>
      <c r="P270" s="523" t="e">
        <f ca="1">stat(charge_entree[[#This Row],[ch_S_PTOT]])</f>
        <v>#NAME?</v>
      </c>
      <c r="Q270" s="523" t="e">
        <f ca="1">stat(charge_entree[[#This Row],[ch_S_SNDT]])</f>
        <v>#NAME?</v>
      </c>
      <c r="R270" s="523">
        <f>calculs!R270</f>
        <v>0</v>
      </c>
      <c r="S270" s="523" t="e">
        <f ca="1">stat(calculs!S270)</f>
        <v>#NAME?</v>
      </c>
      <c r="T270" s="523" t="e">
        <f ca="1">stat(calculs!T270)</f>
        <v>#NAME?</v>
      </c>
      <c r="U270" s="523" t="e">
        <f ca="1">stat(calculs!U270)</f>
        <v>#NAME?</v>
      </c>
      <c r="V270" s="523" t="e">
        <f ca="1">stat(calculs!V270)</f>
        <v>#NAME?</v>
      </c>
      <c r="W270" s="523" t="e">
        <f ca="1">stat(calculs!W270)</f>
        <v>#NAME?</v>
      </c>
      <c r="X270" s="523" t="e">
        <f ca="1">stat(calculs!X270)</f>
        <v>#NAME?</v>
      </c>
      <c r="Y270" s="523" t="e">
        <f ca="1">stat(calculs!Y270)</f>
        <v>#NAME?</v>
      </c>
      <c r="Z270" s="523" t="e">
        <f ca="1">stat(calculs!Z270)</f>
        <v>#NAME?</v>
      </c>
      <c r="AA270" s="523" t="e">
        <f ca="1">stat(calculs!AA270)</f>
        <v>#NAME?</v>
      </c>
      <c r="AB270" s="523" t="e">
        <f ca="1">stat(calculs!AB270)</f>
        <v>#NAME?</v>
      </c>
      <c r="AC270" s="523" t="e">
        <f ca="1">stat(calculs!AC270)</f>
        <v>#NAME?</v>
      </c>
      <c r="AD270" s="523" t="e">
        <f ca="1">stat(calculs!AD270)</f>
        <v>#NAME?</v>
      </c>
      <c r="AE270" s="523" t="e">
        <f ca="1">stat(calculs!AE270)</f>
        <v>#NAME?</v>
      </c>
      <c r="AF270" s="523" t="e">
        <f ca="1">stat(calculs!AF270)</f>
        <v>#NAME?</v>
      </c>
      <c r="AG270" s="523" t="e">
        <f ca="1">stat(calculs!AG270)</f>
        <v>#NAME?</v>
      </c>
      <c r="AH270" s="523" t="e">
        <f ca="1">stat(calculs!AH270)</f>
        <v>#NAME?</v>
      </c>
      <c r="AI270" s="523" t="e">
        <f ca="1">stat(calculs!AI270)</f>
        <v>#NAME?</v>
      </c>
      <c r="AJ270" s="523" t="e">
        <f ca="1">stat(calculs!AJ270)</f>
        <v>#NAME?</v>
      </c>
      <c r="AK270" s="523" t="e">
        <f ca="1">stat(calculs!AK270)</f>
        <v>#NAME?</v>
      </c>
      <c r="AL270" s="523" t="e">
        <f ca="1">stat(calculs!AL270)</f>
        <v>#NAME?</v>
      </c>
      <c r="AM270" s="523" t="e">
        <f ca="1">stat(calculs!AM270)</f>
        <v>#NAME?</v>
      </c>
      <c r="AN270" s="523" t="e">
        <f ca="1">stat(calculs!AN270)</f>
        <v>#NAME?</v>
      </c>
      <c r="AO270" s="523" t="e">
        <f ca="1">stat(calculs!AO270)</f>
        <v>#NAME?</v>
      </c>
      <c r="AP270" s="523" t="e">
        <f ca="1">stat(calculs!AP270)</f>
        <v>#NAME?</v>
      </c>
      <c r="AQ270" s="523" t="e">
        <f ca="1">stat(calculs!AQ270)</f>
        <v>#NAME?</v>
      </c>
      <c r="AV270" s="525" t="str">
        <f>stat(calculs!AV270)</f>
        <v/>
      </c>
      <c r="AW270" s="525" t="str">
        <f>stat(calculs!AW270)</f>
        <v/>
      </c>
      <c r="AX270" s="525" t="str">
        <f>stat(calculs!AX270)</f>
        <v/>
      </c>
      <c r="AY270" s="525" t="e">
        <f ca="1">stat(calculs!AY270)</f>
        <v>#NAME?</v>
      </c>
      <c r="AZ270" s="525" t="e">
        <f ca="1">stat(calculs!AZ270)</f>
        <v>#NAME?</v>
      </c>
      <c r="BA270" s="525" t="e">
        <f ca="1">stat(calculs!BA270)</f>
        <v>#NAME?</v>
      </c>
      <c r="BB270" s="525" t="e">
        <f ca="1">stat(calculs!BB270)</f>
        <v>#NAME?</v>
      </c>
      <c r="BC270" s="525" t="e">
        <f ca="1">stat(calculs!BC270)</f>
        <v>#NAME?</v>
      </c>
      <c r="BD270" s="525" t="e">
        <f ca="1">stat(calculs!BD270)</f>
        <v>#NAME?</v>
      </c>
      <c r="BE270" s="525" t="e">
        <f ca="1">stat(calculs!BE270)</f>
        <v>#NAME?</v>
      </c>
      <c r="BF270" s="525" t="e">
        <f ca="1">stat(calculs!BF270)</f>
        <v>#NAME?</v>
      </c>
      <c r="BG270" s="729" t="e">
        <f ca="1">stat(calculs!BG270)</f>
        <v>#NAME?</v>
      </c>
      <c r="BH270" s="729" t="e">
        <f ca="1">stat(calculs!BH270)</f>
        <v>#NAME?</v>
      </c>
      <c r="BI270" s="729" t="e">
        <f ca="1">stat(calculs!BI270)</f>
        <v>#NAME?</v>
      </c>
      <c r="BJ270" s="729" t="e">
        <f ca="1">stat(calculs!BJ270)</f>
        <v>#NAME?</v>
      </c>
      <c r="BK270" s="729" t="e">
        <f ca="1">stat(calculs!BK270)</f>
        <v>#NAME?</v>
      </c>
      <c r="BL270" s="525" t="e">
        <f ca="1">stat(calculs!BL270)</f>
        <v>#NAME?</v>
      </c>
      <c r="BM270" s="525" t="e">
        <f ca="1">stat(calculs!BM270)</f>
        <v>#NAME?</v>
      </c>
      <c r="BN270" s="525" t="e">
        <f ca="1">stat(calculs!BN270)</f>
        <v>#NAME?</v>
      </c>
      <c r="BO270" s="525" t="e">
        <f ca="1">stat(calculs!BO270)</f>
        <v>#NAME?</v>
      </c>
      <c r="BP270" s="525" t="e">
        <f ca="1">stat(calculs!BP270)</f>
        <v>#NAME?</v>
      </c>
      <c r="BQ270" s="525" t="e">
        <f ca="1">stat(calculs!BQ270)</f>
        <v>#NAME?</v>
      </c>
      <c r="BR270" s="525" t="e">
        <f ca="1">stat(calculs!BR270)</f>
        <v>#NAME?</v>
      </c>
    </row>
    <row r="271" spans="1:70" x14ac:dyDescent="0.2">
      <c r="A271" s="222">
        <f>données_step[[#This Row],[Datum]]</f>
        <v>44822</v>
      </c>
      <c r="B271" s="223"/>
      <c r="C271" s="224">
        <f t="shared" si="4"/>
        <v>1</v>
      </c>
      <c r="D271" s="523" t="e">
        <f ca="1">stat(charge_entree[[#This Row],[ch_E_DBO5]])</f>
        <v>#NAME?</v>
      </c>
      <c r="E271" s="523" t="e">
        <f ca="1">stat(charge_entree[[#This Row],[ch_E_DCO]])</f>
        <v>#NAME?</v>
      </c>
      <c r="F271" s="523" t="e">
        <f ca="1">stat(charge_entree[[#This Row],[ch_E_COT]])</f>
        <v>#NAME?</v>
      </c>
      <c r="G271" s="523" t="e">
        <f ca="1">stat(charge_entree[[#This Row],[ch_E_NH4]])</f>
        <v>#NAME?</v>
      </c>
      <c r="H271" s="523" t="e">
        <f ca="1">stat(charge_entree[[#This Row],[ch_E_NTOT]])</f>
        <v>#NAME?</v>
      </c>
      <c r="I271" s="523" t="e">
        <f ca="1">stat(charge_entree[[#This Row],[ch_E_PTOT]])</f>
        <v>#NAME?</v>
      </c>
      <c r="J271" s="523" t="e">
        <f ca="1">stat(charge_entree[[#This Row],[ch_S_DBO]])</f>
        <v>#NAME?</v>
      </c>
      <c r="K271" s="523" t="e">
        <f ca="1">stat(charge_entree[[#This Row],[ch_S-DCO]])</f>
        <v>#NAME?</v>
      </c>
      <c r="L271" s="523" t="e">
        <f ca="1">stat(charge_entree[[#This Row],[ch_S_DOC]])</f>
        <v>#NAME?</v>
      </c>
      <c r="M271" s="523" t="e">
        <f ca="1">stat(charge_entree[[#This Row],[ch_S_NH4]])</f>
        <v>#NAME?</v>
      </c>
      <c r="N271" s="523" t="e">
        <f ca="1">stat(charge_entree[[#This Row],[ch_S_NO2]])</f>
        <v>#NAME?</v>
      </c>
      <c r="O271" s="523" t="e">
        <f ca="1">stat(charge_entree[[#This Row],[ch_S_NO3]])</f>
        <v>#NAME?</v>
      </c>
      <c r="P271" s="523" t="e">
        <f ca="1">stat(charge_entree[[#This Row],[ch_S_PTOT]])</f>
        <v>#NAME?</v>
      </c>
      <c r="Q271" s="523" t="e">
        <f ca="1">stat(charge_entree[[#This Row],[ch_S_SNDT]])</f>
        <v>#NAME?</v>
      </c>
      <c r="R271" s="523">
        <f>calculs!R271</f>
        <v>0</v>
      </c>
      <c r="S271" s="523" t="e">
        <f ca="1">stat(calculs!S271)</f>
        <v>#NAME?</v>
      </c>
      <c r="T271" s="523" t="e">
        <f ca="1">stat(calculs!T271)</f>
        <v>#NAME?</v>
      </c>
      <c r="U271" s="523" t="e">
        <f ca="1">stat(calculs!U271)</f>
        <v>#NAME?</v>
      </c>
      <c r="V271" s="523" t="e">
        <f ca="1">stat(calculs!V271)</f>
        <v>#NAME?</v>
      </c>
      <c r="W271" s="523" t="e">
        <f ca="1">stat(calculs!W271)</f>
        <v>#NAME?</v>
      </c>
      <c r="X271" s="523" t="e">
        <f ca="1">stat(calculs!X271)</f>
        <v>#NAME?</v>
      </c>
      <c r="Y271" s="523" t="e">
        <f ca="1">stat(calculs!Y271)</f>
        <v>#NAME?</v>
      </c>
      <c r="Z271" s="523" t="e">
        <f ca="1">stat(calculs!Z271)</f>
        <v>#NAME?</v>
      </c>
      <c r="AA271" s="523" t="e">
        <f ca="1">stat(calculs!AA271)</f>
        <v>#NAME?</v>
      </c>
      <c r="AB271" s="523" t="e">
        <f ca="1">stat(calculs!AB271)</f>
        <v>#NAME?</v>
      </c>
      <c r="AC271" s="523" t="e">
        <f ca="1">stat(calculs!AC271)</f>
        <v>#NAME?</v>
      </c>
      <c r="AD271" s="523" t="e">
        <f ca="1">stat(calculs!AD271)</f>
        <v>#NAME?</v>
      </c>
      <c r="AE271" s="523" t="e">
        <f ca="1">stat(calculs!AE271)</f>
        <v>#NAME?</v>
      </c>
      <c r="AF271" s="523" t="e">
        <f ca="1">stat(calculs!AF271)</f>
        <v>#NAME?</v>
      </c>
      <c r="AG271" s="523" t="e">
        <f ca="1">stat(calculs!AG271)</f>
        <v>#NAME?</v>
      </c>
      <c r="AH271" s="523" t="e">
        <f ca="1">stat(calculs!AH271)</f>
        <v>#NAME?</v>
      </c>
      <c r="AI271" s="523" t="e">
        <f ca="1">stat(calculs!AI271)</f>
        <v>#NAME?</v>
      </c>
      <c r="AJ271" s="523" t="e">
        <f ca="1">stat(calculs!AJ271)</f>
        <v>#NAME?</v>
      </c>
      <c r="AK271" s="523" t="e">
        <f ca="1">stat(calculs!AK271)</f>
        <v>#NAME?</v>
      </c>
      <c r="AL271" s="523" t="e">
        <f ca="1">stat(calculs!AL271)</f>
        <v>#NAME?</v>
      </c>
      <c r="AM271" s="523" t="e">
        <f ca="1">stat(calculs!AM271)</f>
        <v>#NAME?</v>
      </c>
      <c r="AN271" s="523" t="e">
        <f ca="1">stat(calculs!AN271)</f>
        <v>#NAME?</v>
      </c>
      <c r="AO271" s="523" t="e">
        <f ca="1">stat(calculs!AO271)</f>
        <v>#NAME?</v>
      </c>
      <c r="AP271" s="523" t="e">
        <f ca="1">stat(calculs!AP271)</f>
        <v>#NAME?</v>
      </c>
      <c r="AQ271" s="523" t="e">
        <f ca="1">stat(calculs!AQ271)</f>
        <v>#NAME?</v>
      </c>
      <c r="AV271" s="525" t="str">
        <f>stat(calculs!AV271)</f>
        <v/>
      </c>
      <c r="AW271" s="525" t="str">
        <f>stat(calculs!AW271)</f>
        <v/>
      </c>
      <c r="AX271" s="525" t="str">
        <f>stat(calculs!AX271)</f>
        <v/>
      </c>
      <c r="AY271" s="525" t="e">
        <f ca="1">stat(calculs!AY271)</f>
        <v>#NAME?</v>
      </c>
      <c r="AZ271" s="525" t="e">
        <f ca="1">stat(calculs!AZ271)</f>
        <v>#NAME?</v>
      </c>
      <c r="BA271" s="525" t="e">
        <f ca="1">stat(calculs!BA271)</f>
        <v>#NAME?</v>
      </c>
      <c r="BB271" s="525" t="e">
        <f ca="1">stat(calculs!BB271)</f>
        <v>#NAME?</v>
      </c>
      <c r="BC271" s="525" t="e">
        <f ca="1">stat(calculs!BC271)</f>
        <v>#NAME?</v>
      </c>
      <c r="BD271" s="525" t="e">
        <f ca="1">stat(calculs!BD271)</f>
        <v>#NAME?</v>
      </c>
      <c r="BE271" s="525" t="e">
        <f ca="1">stat(calculs!BE271)</f>
        <v>#NAME?</v>
      </c>
      <c r="BF271" s="525" t="e">
        <f ca="1">stat(calculs!BF271)</f>
        <v>#NAME?</v>
      </c>
      <c r="BG271" s="729" t="e">
        <f ca="1">stat(calculs!BG271)</f>
        <v>#NAME?</v>
      </c>
      <c r="BH271" s="729" t="e">
        <f ca="1">stat(calculs!BH271)</f>
        <v>#NAME?</v>
      </c>
      <c r="BI271" s="729" t="e">
        <f ca="1">stat(calculs!BI271)</f>
        <v>#NAME?</v>
      </c>
      <c r="BJ271" s="729" t="e">
        <f ca="1">stat(calculs!BJ271)</f>
        <v>#NAME?</v>
      </c>
      <c r="BK271" s="729" t="e">
        <f ca="1">stat(calculs!BK271)</f>
        <v>#NAME?</v>
      </c>
      <c r="BL271" s="525" t="e">
        <f ca="1">stat(calculs!BL271)</f>
        <v>#NAME?</v>
      </c>
      <c r="BM271" s="525" t="e">
        <f ca="1">stat(calculs!BM271)</f>
        <v>#NAME?</v>
      </c>
      <c r="BN271" s="525" t="e">
        <f ca="1">stat(calculs!BN271)</f>
        <v>#NAME?</v>
      </c>
      <c r="BO271" s="525" t="e">
        <f ca="1">stat(calculs!BO271)</f>
        <v>#NAME?</v>
      </c>
      <c r="BP271" s="525" t="e">
        <f ca="1">stat(calculs!BP271)</f>
        <v>#NAME?</v>
      </c>
      <c r="BQ271" s="525" t="e">
        <f ca="1">stat(calculs!BQ271)</f>
        <v>#NAME?</v>
      </c>
      <c r="BR271" s="525" t="e">
        <f ca="1">stat(calculs!BR271)</f>
        <v>#NAME?</v>
      </c>
    </row>
    <row r="272" spans="1:70" x14ac:dyDescent="0.2">
      <c r="A272" s="222">
        <f>données_step[[#This Row],[Datum]]</f>
        <v>44823</v>
      </c>
      <c r="B272" s="223"/>
      <c r="C272" s="224">
        <f t="shared" si="4"/>
        <v>2</v>
      </c>
      <c r="D272" s="523" t="e">
        <f ca="1">stat(charge_entree[[#This Row],[ch_E_DBO5]])</f>
        <v>#NAME?</v>
      </c>
      <c r="E272" s="523" t="e">
        <f ca="1">stat(charge_entree[[#This Row],[ch_E_DCO]])</f>
        <v>#NAME?</v>
      </c>
      <c r="F272" s="523" t="e">
        <f ca="1">stat(charge_entree[[#This Row],[ch_E_COT]])</f>
        <v>#NAME?</v>
      </c>
      <c r="G272" s="523" t="e">
        <f ca="1">stat(charge_entree[[#This Row],[ch_E_NH4]])</f>
        <v>#NAME?</v>
      </c>
      <c r="H272" s="523" t="e">
        <f ca="1">stat(charge_entree[[#This Row],[ch_E_NTOT]])</f>
        <v>#NAME?</v>
      </c>
      <c r="I272" s="523" t="e">
        <f ca="1">stat(charge_entree[[#This Row],[ch_E_PTOT]])</f>
        <v>#NAME?</v>
      </c>
      <c r="J272" s="523" t="e">
        <f ca="1">stat(charge_entree[[#This Row],[ch_S_DBO]])</f>
        <v>#NAME?</v>
      </c>
      <c r="K272" s="523" t="e">
        <f ca="1">stat(charge_entree[[#This Row],[ch_S-DCO]])</f>
        <v>#NAME?</v>
      </c>
      <c r="L272" s="523" t="e">
        <f ca="1">stat(charge_entree[[#This Row],[ch_S_DOC]])</f>
        <v>#NAME?</v>
      </c>
      <c r="M272" s="523" t="e">
        <f ca="1">stat(charge_entree[[#This Row],[ch_S_NH4]])</f>
        <v>#NAME?</v>
      </c>
      <c r="N272" s="523" t="e">
        <f ca="1">stat(charge_entree[[#This Row],[ch_S_NO2]])</f>
        <v>#NAME?</v>
      </c>
      <c r="O272" s="523" t="e">
        <f ca="1">stat(charge_entree[[#This Row],[ch_S_NO3]])</f>
        <v>#NAME?</v>
      </c>
      <c r="P272" s="523" t="e">
        <f ca="1">stat(charge_entree[[#This Row],[ch_S_PTOT]])</f>
        <v>#NAME?</v>
      </c>
      <c r="Q272" s="523" t="e">
        <f ca="1">stat(charge_entree[[#This Row],[ch_S_SNDT]])</f>
        <v>#NAME?</v>
      </c>
      <c r="R272" s="523">
        <f>calculs!R272</f>
        <v>0</v>
      </c>
      <c r="S272" s="523" t="e">
        <f ca="1">stat(calculs!S272)</f>
        <v>#NAME?</v>
      </c>
      <c r="T272" s="523" t="e">
        <f ca="1">stat(calculs!T272)</f>
        <v>#NAME?</v>
      </c>
      <c r="U272" s="523" t="e">
        <f ca="1">stat(calculs!U272)</f>
        <v>#NAME?</v>
      </c>
      <c r="V272" s="523" t="e">
        <f ca="1">stat(calculs!V272)</f>
        <v>#NAME?</v>
      </c>
      <c r="W272" s="523" t="e">
        <f ca="1">stat(calculs!W272)</f>
        <v>#NAME?</v>
      </c>
      <c r="X272" s="523" t="e">
        <f ca="1">stat(calculs!X272)</f>
        <v>#NAME?</v>
      </c>
      <c r="Y272" s="523" t="e">
        <f ca="1">stat(calculs!Y272)</f>
        <v>#NAME?</v>
      </c>
      <c r="Z272" s="523" t="e">
        <f ca="1">stat(calculs!Z272)</f>
        <v>#NAME?</v>
      </c>
      <c r="AA272" s="523" t="e">
        <f ca="1">stat(calculs!AA272)</f>
        <v>#NAME?</v>
      </c>
      <c r="AB272" s="523" t="e">
        <f ca="1">stat(calculs!AB272)</f>
        <v>#NAME?</v>
      </c>
      <c r="AC272" s="523" t="e">
        <f ca="1">stat(calculs!AC272)</f>
        <v>#NAME?</v>
      </c>
      <c r="AD272" s="523" t="e">
        <f ca="1">stat(calculs!AD272)</f>
        <v>#NAME?</v>
      </c>
      <c r="AE272" s="523" t="e">
        <f ca="1">stat(calculs!AE272)</f>
        <v>#NAME?</v>
      </c>
      <c r="AF272" s="523" t="e">
        <f ca="1">stat(calculs!AF272)</f>
        <v>#NAME?</v>
      </c>
      <c r="AG272" s="523" t="e">
        <f ca="1">stat(calculs!AG272)</f>
        <v>#NAME?</v>
      </c>
      <c r="AH272" s="523" t="e">
        <f ca="1">stat(calculs!AH272)</f>
        <v>#NAME?</v>
      </c>
      <c r="AI272" s="523" t="e">
        <f ca="1">stat(calculs!AI272)</f>
        <v>#NAME?</v>
      </c>
      <c r="AJ272" s="523" t="e">
        <f ca="1">stat(calculs!AJ272)</f>
        <v>#NAME?</v>
      </c>
      <c r="AK272" s="523" t="e">
        <f ca="1">stat(calculs!AK272)</f>
        <v>#NAME?</v>
      </c>
      <c r="AL272" s="523" t="e">
        <f ca="1">stat(calculs!AL272)</f>
        <v>#NAME?</v>
      </c>
      <c r="AM272" s="523" t="e">
        <f ca="1">stat(calculs!AM272)</f>
        <v>#NAME?</v>
      </c>
      <c r="AN272" s="523" t="e">
        <f ca="1">stat(calculs!AN272)</f>
        <v>#NAME?</v>
      </c>
      <c r="AO272" s="523" t="e">
        <f ca="1">stat(calculs!AO272)</f>
        <v>#NAME?</v>
      </c>
      <c r="AP272" s="523" t="e">
        <f ca="1">stat(calculs!AP272)</f>
        <v>#NAME?</v>
      </c>
      <c r="AQ272" s="523" t="e">
        <f ca="1">stat(calculs!AQ272)</f>
        <v>#NAME?</v>
      </c>
      <c r="AV272" s="525" t="str">
        <f>stat(calculs!AV272)</f>
        <v/>
      </c>
      <c r="AW272" s="525" t="str">
        <f>stat(calculs!AW272)</f>
        <v/>
      </c>
      <c r="AX272" s="525" t="str">
        <f>stat(calculs!AX272)</f>
        <v/>
      </c>
      <c r="AY272" s="525" t="e">
        <f ca="1">stat(calculs!AY272)</f>
        <v>#NAME?</v>
      </c>
      <c r="AZ272" s="525" t="e">
        <f ca="1">stat(calculs!AZ272)</f>
        <v>#NAME?</v>
      </c>
      <c r="BA272" s="525" t="e">
        <f ca="1">stat(calculs!BA272)</f>
        <v>#NAME?</v>
      </c>
      <c r="BB272" s="525" t="e">
        <f ca="1">stat(calculs!BB272)</f>
        <v>#NAME?</v>
      </c>
      <c r="BC272" s="525" t="e">
        <f ca="1">stat(calculs!BC272)</f>
        <v>#NAME?</v>
      </c>
      <c r="BD272" s="525" t="e">
        <f ca="1">stat(calculs!BD272)</f>
        <v>#NAME?</v>
      </c>
      <c r="BE272" s="525" t="e">
        <f ca="1">stat(calculs!BE272)</f>
        <v>#NAME?</v>
      </c>
      <c r="BF272" s="525" t="e">
        <f ca="1">stat(calculs!BF272)</f>
        <v>#NAME?</v>
      </c>
      <c r="BG272" s="729" t="e">
        <f ca="1">stat(calculs!BG272)</f>
        <v>#NAME?</v>
      </c>
      <c r="BH272" s="729" t="e">
        <f ca="1">stat(calculs!BH272)</f>
        <v>#NAME?</v>
      </c>
      <c r="BI272" s="729" t="e">
        <f ca="1">stat(calculs!BI272)</f>
        <v>#NAME?</v>
      </c>
      <c r="BJ272" s="729" t="e">
        <f ca="1">stat(calculs!BJ272)</f>
        <v>#NAME?</v>
      </c>
      <c r="BK272" s="729" t="e">
        <f ca="1">stat(calculs!BK272)</f>
        <v>#NAME?</v>
      </c>
      <c r="BL272" s="525" t="e">
        <f ca="1">stat(calculs!BL272)</f>
        <v>#NAME?</v>
      </c>
      <c r="BM272" s="525" t="e">
        <f ca="1">stat(calculs!BM272)</f>
        <v>#NAME?</v>
      </c>
      <c r="BN272" s="525" t="e">
        <f ca="1">stat(calculs!BN272)</f>
        <v>#NAME?</v>
      </c>
      <c r="BO272" s="525" t="e">
        <f ca="1">stat(calculs!BO272)</f>
        <v>#NAME?</v>
      </c>
      <c r="BP272" s="525" t="e">
        <f ca="1">stat(calculs!BP272)</f>
        <v>#NAME?</v>
      </c>
      <c r="BQ272" s="525" t="e">
        <f ca="1">stat(calculs!BQ272)</f>
        <v>#NAME?</v>
      </c>
      <c r="BR272" s="525" t="e">
        <f ca="1">stat(calculs!BR272)</f>
        <v>#NAME?</v>
      </c>
    </row>
    <row r="273" spans="1:70" x14ac:dyDescent="0.2">
      <c r="A273" s="222">
        <f>données_step[[#This Row],[Datum]]</f>
        <v>44824</v>
      </c>
      <c r="B273" s="223"/>
      <c r="C273" s="224">
        <f t="shared" si="4"/>
        <v>3</v>
      </c>
      <c r="D273" s="523" t="e">
        <f ca="1">stat(charge_entree[[#This Row],[ch_E_DBO5]])</f>
        <v>#NAME?</v>
      </c>
      <c r="E273" s="523" t="e">
        <f ca="1">stat(charge_entree[[#This Row],[ch_E_DCO]])</f>
        <v>#NAME?</v>
      </c>
      <c r="F273" s="523" t="e">
        <f ca="1">stat(charge_entree[[#This Row],[ch_E_COT]])</f>
        <v>#NAME?</v>
      </c>
      <c r="G273" s="523" t="e">
        <f ca="1">stat(charge_entree[[#This Row],[ch_E_NH4]])</f>
        <v>#NAME?</v>
      </c>
      <c r="H273" s="523" t="e">
        <f ca="1">stat(charge_entree[[#This Row],[ch_E_NTOT]])</f>
        <v>#NAME?</v>
      </c>
      <c r="I273" s="523" t="e">
        <f ca="1">stat(charge_entree[[#This Row],[ch_E_PTOT]])</f>
        <v>#NAME?</v>
      </c>
      <c r="J273" s="523" t="e">
        <f ca="1">stat(charge_entree[[#This Row],[ch_S_DBO]])</f>
        <v>#NAME?</v>
      </c>
      <c r="K273" s="523" t="e">
        <f ca="1">stat(charge_entree[[#This Row],[ch_S-DCO]])</f>
        <v>#NAME?</v>
      </c>
      <c r="L273" s="523" t="e">
        <f ca="1">stat(charge_entree[[#This Row],[ch_S_DOC]])</f>
        <v>#NAME?</v>
      </c>
      <c r="M273" s="523" t="e">
        <f ca="1">stat(charge_entree[[#This Row],[ch_S_NH4]])</f>
        <v>#NAME?</v>
      </c>
      <c r="N273" s="523" t="e">
        <f ca="1">stat(charge_entree[[#This Row],[ch_S_NO2]])</f>
        <v>#NAME?</v>
      </c>
      <c r="O273" s="523" t="e">
        <f ca="1">stat(charge_entree[[#This Row],[ch_S_NO3]])</f>
        <v>#NAME?</v>
      </c>
      <c r="P273" s="523" t="e">
        <f ca="1">stat(charge_entree[[#This Row],[ch_S_PTOT]])</f>
        <v>#NAME?</v>
      </c>
      <c r="Q273" s="523" t="e">
        <f ca="1">stat(charge_entree[[#This Row],[ch_S_SNDT]])</f>
        <v>#NAME?</v>
      </c>
      <c r="R273" s="523">
        <f>calculs!R273</f>
        <v>0</v>
      </c>
      <c r="S273" s="523" t="e">
        <f ca="1">stat(calculs!S273)</f>
        <v>#NAME?</v>
      </c>
      <c r="T273" s="523" t="e">
        <f ca="1">stat(calculs!T273)</f>
        <v>#NAME?</v>
      </c>
      <c r="U273" s="523" t="e">
        <f ca="1">stat(calculs!U273)</f>
        <v>#NAME?</v>
      </c>
      <c r="V273" s="523" t="e">
        <f ca="1">stat(calculs!V273)</f>
        <v>#NAME?</v>
      </c>
      <c r="W273" s="523" t="e">
        <f ca="1">stat(calculs!W273)</f>
        <v>#NAME?</v>
      </c>
      <c r="X273" s="523" t="e">
        <f ca="1">stat(calculs!X273)</f>
        <v>#NAME?</v>
      </c>
      <c r="Y273" s="523" t="e">
        <f ca="1">stat(calculs!Y273)</f>
        <v>#NAME?</v>
      </c>
      <c r="Z273" s="523" t="e">
        <f ca="1">stat(calculs!Z273)</f>
        <v>#NAME?</v>
      </c>
      <c r="AA273" s="523" t="e">
        <f ca="1">stat(calculs!AA273)</f>
        <v>#NAME?</v>
      </c>
      <c r="AB273" s="523" t="e">
        <f ca="1">stat(calculs!AB273)</f>
        <v>#NAME?</v>
      </c>
      <c r="AC273" s="523" t="e">
        <f ca="1">stat(calculs!AC273)</f>
        <v>#NAME?</v>
      </c>
      <c r="AD273" s="523" t="e">
        <f ca="1">stat(calculs!AD273)</f>
        <v>#NAME?</v>
      </c>
      <c r="AE273" s="523" t="e">
        <f ca="1">stat(calculs!AE273)</f>
        <v>#NAME?</v>
      </c>
      <c r="AF273" s="523" t="e">
        <f ca="1">stat(calculs!AF273)</f>
        <v>#NAME?</v>
      </c>
      <c r="AG273" s="523" t="e">
        <f ca="1">stat(calculs!AG273)</f>
        <v>#NAME?</v>
      </c>
      <c r="AH273" s="523" t="e">
        <f ca="1">stat(calculs!AH273)</f>
        <v>#NAME?</v>
      </c>
      <c r="AI273" s="523" t="e">
        <f ca="1">stat(calculs!AI273)</f>
        <v>#NAME?</v>
      </c>
      <c r="AJ273" s="523" t="e">
        <f ca="1">stat(calculs!AJ273)</f>
        <v>#NAME?</v>
      </c>
      <c r="AK273" s="523" t="e">
        <f ca="1">stat(calculs!AK273)</f>
        <v>#NAME?</v>
      </c>
      <c r="AL273" s="523" t="e">
        <f ca="1">stat(calculs!AL273)</f>
        <v>#NAME?</v>
      </c>
      <c r="AM273" s="523" t="e">
        <f ca="1">stat(calculs!AM273)</f>
        <v>#NAME?</v>
      </c>
      <c r="AN273" s="523" t="e">
        <f ca="1">stat(calculs!AN273)</f>
        <v>#NAME?</v>
      </c>
      <c r="AO273" s="523" t="e">
        <f ca="1">stat(calculs!AO273)</f>
        <v>#NAME?</v>
      </c>
      <c r="AP273" s="523" t="e">
        <f ca="1">stat(calculs!AP273)</f>
        <v>#NAME?</v>
      </c>
      <c r="AQ273" s="523" t="e">
        <f ca="1">stat(calculs!AQ273)</f>
        <v>#NAME?</v>
      </c>
      <c r="AV273" s="525" t="str">
        <f>stat(calculs!AV273)</f>
        <v/>
      </c>
      <c r="AW273" s="525" t="str">
        <f>stat(calculs!AW273)</f>
        <v/>
      </c>
      <c r="AX273" s="525" t="str">
        <f>stat(calculs!AX273)</f>
        <v/>
      </c>
      <c r="AY273" s="525" t="e">
        <f ca="1">stat(calculs!AY273)</f>
        <v>#NAME?</v>
      </c>
      <c r="AZ273" s="525" t="e">
        <f ca="1">stat(calculs!AZ273)</f>
        <v>#NAME?</v>
      </c>
      <c r="BA273" s="525" t="e">
        <f ca="1">stat(calculs!BA273)</f>
        <v>#NAME?</v>
      </c>
      <c r="BB273" s="525" t="e">
        <f ca="1">stat(calculs!BB273)</f>
        <v>#NAME?</v>
      </c>
      <c r="BC273" s="525" t="e">
        <f ca="1">stat(calculs!BC273)</f>
        <v>#NAME?</v>
      </c>
      <c r="BD273" s="525" t="e">
        <f ca="1">stat(calculs!BD273)</f>
        <v>#NAME?</v>
      </c>
      <c r="BE273" s="525" t="e">
        <f ca="1">stat(calculs!BE273)</f>
        <v>#NAME?</v>
      </c>
      <c r="BF273" s="525" t="e">
        <f ca="1">stat(calculs!BF273)</f>
        <v>#NAME?</v>
      </c>
      <c r="BG273" s="729" t="e">
        <f ca="1">stat(calculs!BG273)</f>
        <v>#NAME?</v>
      </c>
      <c r="BH273" s="729" t="e">
        <f ca="1">stat(calculs!BH273)</f>
        <v>#NAME?</v>
      </c>
      <c r="BI273" s="729" t="e">
        <f ca="1">stat(calculs!BI273)</f>
        <v>#NAME?</v>
      </c>
      <c r="BJ273" s="729" t="e">
        <f ca="1">stat(calculs!BJ273)</f>
        <v>#NAME?</v>
      </c>
      <c r="BK273" s="729" t="e">
        <f ca="1">stat(calculs!BK273)</f>
        <v>#NAME?</v>
      </c>
      <c r="BL273" s="525" t="e">
        <f ca="1">stat(calculs!BL273)</f>
        <v>#NAME?</v>
      </c>
      <c r="BM273" s="525" t="e">
        <f ca="1">stat(calculs!BM273)</f>
        <v>#NAME?</v>
      </c>
      <c r="BN273" s="525" t="e">
        <f ca="1">stat(calculs!BN273)</f>
        <v>#NAME?</v>
      </c>
      <c r="BO273" s="525" t="e">
        <f ca="1">stat(calculs!BO273)</f>
        <v>#NAME?</v>
      </c>
      <c r="BP273" s="525" t="e">
        <f ca="1">stat(calculs!BP273)</f>
        <v>#NAME?</v>
      </c>
      <c r="BQ273" s="525" t="e">
        <f ca="1">stat(calculs!BQ273)</f>
        <v>#NAME?</v>
      </c>
      <c r="BR273" s="525" t="e">
        <f ca="1">stat(calculs!BR273)</f>
        <v>#NAME?</v>
      </c>
    </row>
    <row r="274" spans="1:70" x14ac:dyDescent="0.2">
      <c r="A274" s="222">
        <f>données_step[[#This Row],[Datum]]</f>
        <v>44825</v>
      </c>
      <c r="B274" s="223"/>
      <c r="C274" s="224">
        <f t="shared" si="4"/>
        <v>4</v>
      </c>
      <c r="D274" s="523" t="e">
        <f ca="1">stat(charge_entree[[#This Row],[ch_E_DBO5]])</f>
        <v>#NAME?</v>
      </c>
      <c r="E274" s="523" t="e">
        <f ca="1">stat(charge_entree[[#This Row],[ch_E_DCO]])</f>
        <v>#NAME?</v>
      </c>
      <c r="F274" s="523" t="e">
        <f ca="1">stat(charge_entree[[#This Row],[ch_E_COT]])</f>
        <v>#NAME?</v>
      </c>
      <c r="G274" s="523" t="e">
        <f ca="1">stat(charge_entree[[#This Row],[ch_E_NH4]])</f>
        <v>#NAME?</v>
      </c>
      <c r="H274" s="523" t="e">
        <f ca="1">stat(charge_entree[[#This Row],[ch_E_NTOT]])</f>
        <v>#NAME?</v>
      </c>
      <c r="I274" s="523" t="e">
        <f ca="1">stat(charge_entree[[#This Row],[ch_E_PTOT]])</f>
        <v>#NAME?</v>
      </c>
      <c r="J274" s="523" t="e">
        <f ca="1">stat(charge_entree[[#This Row],[ch_S_DBO]])</f>
        <v>#NAME?</v>
      </c>
      <c r="K274" s="523" t="e">
        <f ca="1">stat(charge_entree[[#This Row],[ch_S-DCO]])</f>
        <v>#NAME?</v>
      </c>
      <c r="L274" s="523" t="e">
        <f ca="1">stat(charge_entree[[#This Row],[ch_S_DOC]])</f>
        <v>#NAME?</v>
      </c>
      <c r="M274" s="523" t="e">
        <f ca="1">stat(charge_entree[[#This Row],[ch_S_NH4]])</f>
        <v>#NAME?</v>
      </c>
      <c r="N274" s="523" t="e">
        <f ca="1">stat(charge_entree[[#This Row],[ch_S_NO2]])</f>
        <v>#NAME?</v>
      </c>
      <c r="O274" s="523" t="e">
        <f ca="1">stat(charge_entree[[#This Row],[ch_S_NO3]])</f>
        <v>#NAME?</v>
      </c>
      <c r="P274" s="523" t="e">
        <f ca="1">stat(charge_entree[[#This Row],[ch_S_PTOT]])</f>
        <v>#NAME?</v>
      </c>
      <c r="Q274" s="523" t="e">
        <f ca="1">stat(charge_entree[[#This Row],[ch_S_SNDT]])</f>
        <v>#NAME?</v>
      </c>
      <c r="R274" s="523">
        <f>calculs!R274</f>
        <v>0</v>
      </c>
      <c r="S274" s="523" t="e">
        <f ca="1">stat(calculs!S274)</f>
        <v>#NAME?</v>
      </c>
      <c r="T274" s="523" t="e">
        <f ca="1">stat(calculs!T274)</f>
        <v>#NAME?</v>
      </c>
      <c r="U274" s="523" t="e">
        <f ca="1">stat(calculs!U274)</f>
        <v>#NAME?</v>
      </c>
      <c r="V274" s="523" t="e">
        <f ca="1">stat(calculs!V274)</f>
        <v>#NAME?</v>
      </c>
      <c r="W274" s="523" t="e">
        <f ca="1">stat(calculs!W274)</f>
        <v>#NAME?</v>
      </c>
      <c r="X274" s="523" t="e">
        <f ca="1">stat(calculs!X274)</f>
        <v>#NAME?</v>
      </c>
      <c r="Y274" s="523" t="e">
        <f ca="1">stat(calculs!Y274)</f>
        <v>#NAME?</v>
      </c>
      <c r="Z274" s="523" t="e">
        <f ca="1">stat(calculs!Z274)</f>
        <v>#NAME?</v>
      </c>
      <c r="AA274" s="523" t="e">
        <f ca="1">stat(calculs!AA274)</f>
        <v>#NAME?</v>
      </c>
      <c r="AB274" s="523" t="e">
        <f ca="1">stat(calculs!AB274)</f>
        <v>#NAME?</v>
      </c>
      <c r="AC274" s="523" t="e">
        <f ca="1">stat(calculs!AC274)</f>
        <v>#NAME?</v>
      </c>
      <c r="AD274" s="523" t="e">
        <f ca="1">stat(calculs!AD274)</f>
        <v>#NAME?</v>
      </c>
      <c r="AE274" s="523" t="e">
        <f ca="1">stat(calculs!AE274)</f>
        <v>#NAME?</v>
      </c>
      <c r="AF274" s="523" t="e">
        <f ca="1">stat(calculs!AF274)</f>
        <v>#NAME?</v>
      </c>
      <c r="AG274" s="523" t="e">
        <f ca="1">stat(calculs!AG274)</f>
        <v>#NAME?</v>
      </c>
      <c r="AH274" s="523" t="e">
        <f ca="1">stat(calculs!AH274)</f>
        <v>#NAME?</v>
      </c>
      <c r="AI274" s="523" t="e">
        <f ca="1">stat(calculs!AI274)</f>
        <v>#NAME?</v>
      </c>
      <c r="AJ274" s="523" t="e">
        <f ca="1">stat(calculs!AJ274)</f>
        <v>#NAME?</v>
      </c>
      <c r="AK274" s="523" t="e">
        <f ca="1">stat(calculs!AK274)</f>
        <v>#NAME?</v>
      </c>
      <c r="AL274" s="523" t="e">
        <f ca="1">stat(calculs!AL274)</f>
        <v>#NAME?</v>
      </c>
      <c r="AM274" s="523" t="e">
        <f ca="1">stat(calculs!AM274)</f>
        <v>#NAME?</v>
      </c>
      <c r="AN274" s="523" t="e">
        <f ca="1">stat(calculs!AN274)</f>
        <v>#NAME?</v>
      </c>
      <c r="AO274" s="523" t="e">
        <f ca="1">stat(calculs!AO274)</f>
        <v>#NAME?</v>
      </c>
      <c r="AP274" s="523" t="e">
        <f ca="1">stat(calculs!AP274)</f>
        <v>#NAME?</v>
      </c>
      <c r="AQ274" s="523" t="e">
        <f ca="1">stat(calculs!AQ274)</f>
        <v>#NAME?</v>
      </c>
      <c r="AV274" s="525" t="str">
        <f>stat(calculs!AV274)</f>
        <v/>
      </c>
      <c r="AW274" s="525" t="str">
        <f>stat(calculs!AW274)</f>
        <v/>
      </c>
      <c r="AX274" s="525" t="str">
        <f>stat(calculs!AX274)</f>
        <v/>
      </c>
      <c r="AY274" s="525" t="e">
        <f ca="1">stat(calculs!AY274)</f>
        <v>#NAME?</v>
      </c>
      <c r="AZ274" s="525" t="e">
        <f ca="1">stat(calculs!AZ274)</f>
        <v>#NAME?</v>
      </c>
      <c r="BA274" s="525" t="e">
        <f ca="1">stat(calculs!BA274)</f>
        <v>#NAME?</v>
      </c>
      <c r="BB274" s="525" t="e">
        <f ca="1">stat(calculs!BB274)</f>
        <v>#NAME?</v>
      </c>
      <c r="BC274" s="525" t="e">
        <f ca="1">stat(calculs!BC274)</f>
        <v>#NAME?</v>
      </c>
      <c r="BD274" s="525" t="e">
        <f ca="1">stat(calculs!BD274)</f>
        <v>#NAME?</v>
      </c>
      <c r="BE274" s="525" t="e">
        <f ca="1">stat(calculs!BE274)</f>
        <v>#NAME?</v>
      </c>
      <c r="BF274" s="525" t="e">
        <f ca="1">stat(calculs!BF274)</f>
        <v>#NAME?</v>
      </c>
      <c r="BG274" s="729" t="e">
        <f ca="1">stat(calculs!BG274)</f>
        <v>#NAME?</v>
      </c>
      <c r="BH274" s="729" t="e">
        <f ca="1">stat(calculs!BH274)</f>
        <v>#NAME?</v>
      </c>
      <c r="BI274" s="729" t="e">
        <f ca="1">stat(calculs!BI274)</f>
        <v>#NAME?</v>
      </c>
      <c r="BJ274" s="729" t="e">
        <f ca="1">stat(calculs!BJ274)</f>
        <v>#NAME?</v>
      </c>
      <c r="BK274" s="729" t="e">
        <f ca="1">stat(calculs!BK274)</f>
        <v>#NAME?</v>
      </c>
      <c r="BL274" s="525" t="e">
        <f ca="1">stat(calculs!BL274)</f>
        <v>#NAME?</v>
      </c>
      <c r="BM274" s="525" t="e">
        <f ca="1">stat(calculs!BM274)</f>
        <v>#NAME?</v>
      </c>
      <c r="BN274" s="525" t="e">
        <f ca="1">stat(calculs!BN274)</f>
        <v>#NAME?</v>
      </c>
      <c r="BO274" s="525" t="e">
        <f ca="1">stat(calculs!BO274)</f>
        <v>#NAME?</v>
      </c>
      <c r="BP274" s="525" t="e">
        <f ca="1">stat(calculs!BP274)</f>
        <v>#NAME?</v>
      </c>
      <c r="BQ274" s="525" t="e">
        <f ca="1">stat(calculs!BQ274)</f>
        <v>#NAME?</v>
      </c>
      <c r="BR274" s="525" t="e">
        <f ca="1">stat(calculs!BR274)</f>
        <v>#NAME?</v>
      </c>
    </row>
    <row r="275" spans="1:70" x14ac:dyDescent="0.2">
      <c r="A275" s="222">
        <f>données_step[[#This Row],[Datum]]</f>
        <v>44826</v>
      </c>
      <c r="B275" s="223"/>
      <c r="C275" s="224">
        <f t="shared" si="4"/>
        <v>5</v>
      </c>
      <c r="D275" s="523" t="e">
        <f ca="1">stat(charge_entree[[#This Row],[ch_E_DBO5]])</f>
        <v>#NAME?</v>
      </c>
      <c r="E275" s="523" t="e">
        <f ca="1">stat(charge_entree[[#This Row],[ch_E_DCO]])</f>
        <v>#NAME?</v>
      </c>
      <c r="F275" s="523" t="e">
        <f ca="1">stat(charge_entree[[#This Row],[ch_E_COT]])</f>
        <v>#NAME?</v>
      </c>
      <c r="G275" s="523" t="e">
        <f ca="1">stat(charge_entree[[#This Row],[ch_E_NH4]])</f>
        <v>#NAME?</v>
      </c>
      <c r="H275" s="523" t="e">
        <f ca="1">stat(charge_entree[[#This Row],[ch_E_NTOT]])</f>
        <v>#NAME?</v>
      </c>
      <c r="I275" s="523" t="e">
        <f ca="1">stat(charge_entree[[#This Row],[ch_E_PTOT]])</f>
        <v>#NAME?</v>
      </c>
      <c r="J275" s="523" t="e">
        <f ca="1">stat(charge_entree[[#This Row],[ch_S_DBO]])</f>
        <v>#NAME?</v>
      </c>
      <c r="K275" s="523" t="e">
        <f ca="1">stat(charge_entree[[#This Row],[ch_S-DCO]])</f>
        <v>#NAME?</v>
      </c>
      <c r="L275" s="523" t="e">
        <f ca="1">stat(charge_entree[[#This Row],[ch_S_DOC]])</f>
        <v>#NAME?</v>
      </c>
      <c r="M275" s="523" t="e">
        <f ca="1">stat(charge_entree[[#This Row],[ch_S_NH4]])</f>
        <v>#NAME?</v>
      </c>
      <c r="N275" s="523" t="e">
        <f ca="1">stat(charge_entree[[#This Row],[ch_S_NO2]])</f>
        <v>#NAME?</v>
      </c>
      <c r="O275" s="523" t="e">
        <f ca="1">stat(charge_entree[[#This Row],[ch_S_NO3]])</f>
        <v>#NAME?</v>
      </c>
      <c r="P275" s="523" t="e">
        <f ca="1">stat(charge_entree[[#This Row],[ch_S_PTOT]])</f>
        <v>#NAME?</v>
      </c>
      <c r="Q275" s="523" t="e">
        <f ca="1">stat(charge_entree[[#This Row],[ch_S_SNDT]])</f>
        <v>#NAME?</v>
      </c>
      <c r="R275" s="523">
        <f>calculs!R275</f>
        <v>0</v>
      </c>
      <c r="S275" s="523" t="e">
        <f ca="1">stat(calculs!S275)</f>
        <v>#NAME?</v>
      </c>
      <c r="T275" s="523" t="e">
        <f ca="1">stat(calculs!T275)</f>
        <v>#NAME?</v>
      </c>
      <c r="U275" s="523" t="e">
        <f ca="1">stat(calculs!U275)</f>
        <v>#NAME?</v>
      </c>
      <c r="V275" s="523" t="e">
        <f ca="1">stat(calculs!V275)</f>
        <v>#NAME?</v>
      </c>
      <c r="W275" s="523" t="e">
        <f ca="1">stat(calculs!W275)</f>
        <v>#NAME?</v>
      </c>
      <c r="X275" s="523" t="e">
        <f ca="1">stat(calculs!X275)</f>
        <v>#NAME?</v>
      </c>
      <c r="Y275" s="523" t="e">
        <f ca="1">stat(calculs!Y275)</f>
        <v>#NAME?</v>
      </c>
      <c r="Z275" s="523" t="e">
        <f ca="1">stat(calculs!Z275)</f>
        <v>#NAME?</v>
      </c>
      <c r="AA275" s="523" t="e">
        <f ca="1">stat(calculs!AA275)</f>
        <v>#NAME?</v>
      </c>
      <c r="AB275" s="523" t="e">
        <f ca="1">stat(calculs!AB275)</f>
        <v>#NAME?</v>
      </c>
      <c r="AC275" s="523" t="e">
        <f ca="1">stat(calculs!AC275)</f>
        <v>#NAME?</v>
      </c>
      <c r="AD275" s="523" t="e">
        <f ca="1">stat(calculs!AD275)</f>
        <v>#NAME?</v>
      </c>
      <c r="AE275" s="523" t="e">
        <f ca="1">stat(calculs!AE275)</f>
        <v>#NAME?</v>
      </c>
      <c r="AF275" s="523" t="e">
        <f ca="1">stat(calculs!AF275)</f>
        <v>#NAME?</v>
      </c>
      <c r="AG275" s="523" t="e">
        <f ca="1">stat(calculs!AG275)</f>
        <v>#NAME?</v>
      </c>
      <c r="AH275" s="523" t="e">
        <f ca="1">stat(calculs!AH275)</f>
        <v>#NAME?</v>
      </c>
      <c r="AI275" s="523" t="e">
        <f ca="1">stat(calculs!AI275)</f>
        <v>#NAME?</v>
      </c>
      <c r="AJ275" s="523" t="e">
        <f ca="1">stat(calculs!AJ275)</f>
        <v>#NAME?</v>
      </c>
      <c r="AK275" s="523" t="e">
        <f ca="1">stat(calculs!AK275)</f>
        <v>#NAME?</v>
      </c>
      <c r="AL275" s="523" t="e">
        <f ca="1">stat(calculs!AL275)</f>
        <v>#NAME?</v>
      </c>
      <c r="AM275" s="523" t="e">
        <f ca="1">stat(calculs!AM275)</f>
        <v>#NAME?</v>
      </c>
      <c r="AN275" s="523" t="e">
        <f ca="1">stat(calculs!AN275)</f>
        <v>#NAME?</v>
      </c>
      <c r="AO275" s="523" t="e">
        <f ca="1">stat(calculs!AO275)</f>
        <v>#NAME?</v>
      </c>
      <c r="AP275" s="523" t="e">
        <f ca="1">stat(calculs!AP275)</f>
        <v>#NAME?</v>
      </c>
      <c r="AQ275" s="523" t="e">
        <f ca="1">stat(calculs!AQ275)</f>
        <v>#NAME?</v>
      </c>
      <c r="AV275" s="525" t="str">
        <f>stat(calculs!AV275)</f>
        <v/>
      </c>
      <c r="AW275" s="525" t="str">
        <f>stat(calculs!AW275)</f>
        <v/>
      </c>
      <c r="AX275" s="525" t="str">
        <f>stat(calculs!AX275)</f>
        <v/>
      </c>
      <c r="AY275" s="525" t="e">
        <f ca="1">stat(calculs!AY275)</f>
        <v>#NAME?</v>
      </c>
      <c r="AZ275" s="525" t="e">
        <f ca="1">stat(calculs!AZ275)</f>
        <v>#NAME?</v>
      </c>
      <c r="BA275" s="525" t="e">
        <f ca="1">stat(calculs!BA275)</f>
        <v>#NAME?</v>
      </c>
      <c r="BB275" s="525" t="e">
        <f ca="1">stat(calculs!BB275)</f>
        <v>#NAME?</v>
      </c>
      <c r="BC275" s="525" t="e">
        <f ca="1">stat(calculs!BC275)</f>
        <v>#NAME?</v>
      </c>
      <c r="BD275" s="525" t="e">
        <f ca="1">stat(calculs!BD275)</f>
        <v>#NAME?</v>
      </c>
      <c r="BE275" s="525" t="e">
        <f ca="1">stat(calculs!BE275)</f>
        <v>#NAME?</v>
      </c>
      <c r="BF275" s="525" t="e">
        <f ca="1">stat(calculs!BF275)</f>
        <v>#NAME?</v>
      </c>
      <c r="BG275" s="729" t="e">
        <f ca="1">stat(calculs!BG275)</f>
        <v>#NAME?</v>
      </c>
      <c r="BH275" s="729" t="e">
        <f ca="1">stat(calculs!BH275)</f>
        <v>#NAME?</v>
      </c>
      <c r="BI275" s="729" t="e">
        <f ca="1">stat(calculs!BI275)</f>
        <v>#NAME?</v>
      </c>
      <c r="BJ275" s="729" t="e">
        <f ca="1">stat(calculs!BJ275)</f>
        <v>#NAME?</v>
      </c>
      <c r="BK275" s="729" t="e">
        <f ca="1">stat(calculs!BK275)</f>
        <v>#NAME?</v>
      </c>
      <c r="BL275" s="525" t="e">
        <f ca="1">stat(calculs!BL275)</f>
        <v>#NAME?</v>
      </c>
      <c r="BM275" s="525" t="e">
        <f ca="1">stat(calculs!BM275)</f>
        <v>#NAME?</v>
      </c>
      <c r="BN275" s="525" t="e">
        <f ca="1">stat(calculs!BN275)</f>
        <v>#NAME?</v>
      </c>
      <c r="BO275" s="525" t="e">
        <f ca="1">stat(calculs!BO275)</f>
        <v>#NAME?</v>
      </c>
      <c r="BP275" s="525" t="e">
        <f ca="1">stat(calculs!BP275)</f>
        <v>#NAME?</v>
      </c>
      <c r="BQ275" s="525" t="e">
        <f ca="1">stat(calculs!BQ275)</f>
        <v>#NAME?</v>
      </c>
      <c r="BR275" s="525" t="e">
        <f ca="1">stat(calculs!BR275)</f>
        <v>#NAME?</v>
      </c>
    </row>
    <row r="276" spans="1:70" x14ac:dyDescent="0.2">
      <c r="A276" s="222">
        <f>données_step[[#This Row],[Datum]]</f>
        <v>44827</v>
      </c>
      <c r="B276" s="223"/>
      <c r="C276" s="224">
        <f t="shared" si="4"/>
        <v>6</v>
      </c>
      <c r="D276" s="523" t="e">
        <f ca="1">stat(charge_entree[[#This Row],[ch_E_DBO5]])</f>
        <v>#NAME?</v>
      </c>
      <c r="E276" s="523" t="e">
        <f ca="1">stat(charge_entree[[#This Row],[ch_E_DCO]])</f>
        <v>#NAME?</v>
      </c>
      <c r="F276" s="523" t="e">
        <f ca="1">stat(charge_entree[[#This Row],[ch_E_COT]])</f>
        <v>#NAME?</v>
      </c>
      <c r="G276" s="523" t="e">
        <f ca="1">stat(charge_entree[[#This Row],[ch_E_NH4]])</f>
        <v>#NAME?</v>
      </c>
      <c r="H276" s="523" t="e">
        <f ca="1">stat(charge_entree[[#This Row],[ch_E_NTOT]])</f>
        <v>#NAME?</v>
      </c>
      <c r="I276" s="523" t="e">
        <f ca="1">stat(charge_entree[[#This Row],[ch_E_PTOT]])</f>
        <v>#NAME?</v>
      </c>
      <c r="J276" s="523" t="e">
        <f ca="1">stat(charge_entree[[#This Row],[ch_S_DBO]])</f>
        <v>#NAME?</v>
      </c>
      <c r="K276" s="523" t="e">
        <f ca="1">stat(charge_entree[[#This Row],[ch_S-DCO]])</f>
        <v>#NAME?</v>
      </c>
      <c r="L276" s="523" t="e">
        <f ca="1">stat(charge_entree[[#This Row],[ch_S_DOC]])</f>
        <v>#NAME?</v>
      </c>
      <c r="M276" s="523" t="e">
        <f ca="1">stat(charge_entree[[#This Row],[ch_S_NH4]])</f>
        <v>#NAME?</v>
      </c>
      <c r="N276" s="523" t="e">
        <f ca="1">stat(charge_entree[[#This Row],[ch_S_NO2]])</f>
        <v>#NAME?</v>
      </c>
      <c r="O276" s="523" t="e">
        <f ca="1">stat(charge_entree[[#This Row],[ch_S_NO3]])</f>
        <v>#NAME?</v>
      </c>
      <c r="P276" s="523" t="e">
        <f ca="1">stat(charge_entree[[#This Row],[ch_S_PTOT]])</f>
        <v>#NAME?</v>
      </c>
      <c r="Q276" s="523" t="e">
        <f ca="1">stat(charge_entree[[#This Row],[ch_S_SNDT]])</f>
        <v>#NAME?</v>
      </c>
      <c r="R276" s="523">
        <f>calculs!R276</f>
        <v>0</v>
      </c>
      <c r="S276" s="523" t="e">
        <f ca="1">stat(calculs!S276)</f>
        <v>#NAME?</v>
      </c>
      <c r="T276" s="523" t="e">
        <f ca="1">stat(calculs!T276)</f>
        <v>#NAME?</v>
      </c>
      <c r="U276" s="523" t="e">
        <f ca="1">stat(calculs!U276)</f>
        <v>#NAME?</v>
      </c>
      <c r="V276" s="523" t="e">
        <f ca="1">stat(calculs!V276)</f>
        <v>#NAME?</v>
      </c>
      <c r="W276" s="523" t="e">
        <f ca="1">stat(calculs!W276)</f>
        <v>#NAME?</v>
      </c>
      <c r="X276" s="523" t="e">
        <f ca="1">stat(calculs!X276)</f>
        <v>#NAME?</v>
      </c>
      <c r="Y276" s="523" t="e">
        <f ca="1">stat(calculs!Y276)</f>
        <v>#NAME?</v>
      </c>
      <c r="Z276" s="523" t="e">
        <f ca="1">stat(calculs!Z276)</f>
        <v>#NAME?</v>
      </c>
      <c r="AA276" s="523" t="e">
        <f ca="1">stat(calculs!AA276)</f>
        <v>#NAME?</v>
      </c>
      <c r="AB276" s="523" t="e">
        <f ca="1">stat(calculs!AB276)</f>
        <v>#NAME?</v>
      </c>
      <c r="AC276" s="523" t="e">
        <f ca="1">stat(calculs!AC276)</f>
        <v>#NAME?</v>
      </c>
      <c r="AD276" s="523" t="e">
        <f ca="1">stat(calculs!AD276)</f>
        <v>#NAME?</v>
      </c>
      <c r="AE276" s="523" t="e">
        <f ca="1">stat(calculs!AE276)</f>
        <v>#NAME?</v>
      </c>
      <c r="AF276" s="523" t="e">
        <f ca="1">stat(calculs!AF276)</f>
        <v>#NAME?</v>
      </c>
      <c r="AG276" s="523" t="e">
        <f ca="1">stat(calculs!AG276)</f>
        <v>#NAME?</v>
      </c>
      <c r="AH276" s="523" t="e">
        <f ca="1">stat(calculs!AH276)</f>
        <v>#NAME?</v>
      </c>
      <c r="AI276" s="523" t="e">
        <f ca="1">stat(calculs!AI276)</f>
        <v>#NAME?</v>
      </c>
      <c r="AJ276" s="523" t="e">
        <f ca="1">stat(calculs!AJ276)</f>
        <v>#NAME?</v>
      </c>
      <c r="AK276" s="523" t="e">
        <f ca="1">stat(calculs!AK276)</f>
        <v>#NAME?</v>
      </c>
      <c r="AL276" s="523" t="e">
        <f ca="1">stat(calculs!AL276)</f>
        <v>#NAME?</v>
      </c>
      <c r="AM276" s="523" t="e">
        <f ca="1">stat(calculs!AM276)</f>
        <v>#NAME?</v>
      </c>
      <c r="AN276" s="523" t="e">
        <f ca="1">stat(calculs!AN276)</f>
        <v>#NAME?</v>
      </c>
      <c r="AO276" s="523" t="e">
        <f ca="1">stat(calculs!AO276)</f>
        <v>#NAME?</v>
      </c>
      <c r="AP276" s="523" t="e">
        <f ca="1">stat(calculs!AP276)</f>
        <v>#NAME?</v>
      </c>
      <c r="AQ276" s="523" t="e">
        <f ca="1">stat(calculs!AQ276)</f>
        <v>#NAME?</v>
      </c>
      <c r="AV276" s="525" t="str">
        <f>stat(calculs!AV276)</f>
        <v/>
      </c>
      <c r="AW276" s="525" t="str">
        <f>stat(calculs!AW276)</f>
        <v/>
      </c>
      <c r="AX276" s="525" t="str">
        <f>stat(calculs!AX276)</f>
        <v/>
      </c>
      <c r="AY276" s="525" t="e">
        <f ca="1">stat(calculs!AY276)</f>
        <v>#NAME?</v>
      </c>
      <c r="AZ276" s="525" t="e">
        <f ca="1">stat(calculs!AZ276)</f>
        <v>#NAME?</v>
      </c>
      <c r="BA276" s="525" t="e">
        <f ca="1">stat(calculs!BA276)</f>
        <v>#NAME?</v>
      </c>
      <c r="BB276" s="525" t="e">
        <f ca="1">stat(calculs!BB276)</f>
        <v>#NAME?</v>
      </c>
      <c r="BC276" s="525" t="e">
        <f ca="1">stat(calculs!BC276)</f>
        <v>#NAME?</v>
      </c>
      <c r="BD276" s="525" t="e">
        <f ca="1">stat(calculs!BD276)</f>
        <v>#NAME?</v>
      </c>
      <c r="BE276" s="525" t="e">
        <f ca="1">stat(calculs!BE276)</f>
        <v>#NAME?</v>
      </c>
      <c r="BF276" s="525" t="e">
        <f ca="1">stat(calculs!BF276)</f>
        <v>#NAME?</v>
      </c>
      <c r="BG276" s="729" t="e">
        <f ca="1">stat(calculs!BG276)</f>
        <v>#NAME?</v>
      </c>
      <c r="BH276" s="729" t="e">
        <f ca="1">stat(calculs!BH276)</f>
        <v>#NAME?</v>
      </c>
      <c r="BI276" s="729" t="e">
        <f ca="1">stat(calculs!BI276)</f>
        <v>#NAME?</v>
      </c>
      <c r="BJ276" s="729" t="e">
        <f ca="1">stat(calculs!BJ276)</f>
        <v>#NAME?</v>
      </c>
      <c r="BK276" s="729" t="e">
        <f ca="1">stat(calculs!BK276)</f>
        <v>#NAME?</v>
      </c>
      <c r="BL276" s="525" t="e">
        <f ca="1">stat(calculs!BL276)</f>
        <v>#NAME?</v>
      </c>
      <c r="BM276" s="525" t="e">
        <f ca="1">stat(calculs!BM276)</f>
        <v>#NAME?</v>
      </c>
      <c r="BN276" s="525" t="e">
        <f ca="1">stat(calculs!BN276)</f>
        <v>#NAME?</v>
      </c>
      <c r="BO276" s="525" t="e">
        <f ca="1">stat(calculs!BO276)</f>
        <v>#NAME?</v>
      </c>
      <c r="BP276" s="525" t="e">
        <f ca="1">stat(calculs!BP276)</f>
        <v>#NAME?</v>
      </c>
      <c r="BQ276" s="525" t="e">
        <f ca="1">stat(calculs!BQ276)</f>
        <v>#NAME?</v>
      </c>
      <c r="BR276" s="525" t="e">
        <f ca="1">stat(calculs!BR276)</f>
        <v>#NAME?</v>
      </c>
    </row>
    <row r="277" spans="1:70" x14ac:dyDescent="0.2">
      <c r="A277" s="222">
        <f>données_step[[#This Row],[Datum]]</f>
        <v>44828</v>
      </c>
      <c r="B277" s="223"/>
      <c r="C277" s="224">
        <f t="shared" si="4"/>
        <v>7</v>
      </c>
      <c r="D277" s="523" t="e">
        <f ca="1">stat(charge_entree[[#This Row],[ch_E_DBO5]])</f>
        <v>#NAME?</v>
      </c>
      <c r="E277" s="523" t="e">
        <f ca="1">stat(charge_entree[[#This Row],[ch_E_DCO]])</f>
        <v>#NAME?</v>
      </c>
      <c r="F277" s="523" t="e">
        <f ca="1">stat(charge_entree[[#This Row],[ch_E_COT]])</f>
        <v>#NAME?</v>
      </c>
      <c r="G277" s="523" t="e">
        <f ca="1">stat(charge_entree[[#This Row],[ch_E_NH4]])</f>
        <v>#NAME?</v>
      </c>
      <c r="H277" s="523" t="e">
        <f ca="1">stat(charge_entree[[#This Row],[ch_E_NTOT]])</f>
        <v>#NAME?</v>
      </c>
      <c r="I277" s="523" t="e">
        <f ca="1">stat(charge_entree[[#This Row],[ch_E_PTOT]])</f>
        <v>#NAME?</v>
      </c>
      <c r="J277" s="523" t="e">
        <f ca="1">stat(charge_entree[[#This Row],[ch_S_DBO]])</f>
        <v>#NAME?</v>
      </c>
      <c r="K277" s="523" t="e">
        <f ca="1">stat(charge_entree[[#This Row],[ch_S-DCO]])</f>
        <v>#NAME?</v>
      </c>
      <c r="L277" s="523" t="e">
        <f ca="1">stat(charge_entree[[#This Row],[ch_S_DOC]])</f>
        <v>#NAME?</v>
      </c>
      <c r="M277" s="523" t="e">
        <f ca="1">stat(charge_entree[[#This Row],[ch_S_NH4]])</f>
        <v>#NAME?</v>
      </c>
      <c r="N277" s="523" t="e">
        <f ca="1">stat(charge_entree[[#This Row],[ch_S_NO2]])</f>
        <v>#NAME?</v>
      </c>
      <c r="O277" s="523" t="e">
        <f ca="1">stat(charge_entree[[#This Row],[ch_S_NO3]])</f>
        <v>#NAME?</v>
      </c>
      <c r="P277" s="523" t="e">
        <f ca="1">stat(charge_entree[[#This Row],[ch_S_PTOT]])</f>
        <v>#NAME?</v>
      </c>
      <c r="Q277" s="523" t="e">
        <f ca="1">stat(charge_entree[[#This Row],[ch_S_SNDT]])</f>
        <v>#NAME?</v>
      </c>
      <c r="R277" s="523">
        <f>calculs!R277</f>
        <v>0</v>
      </c>
      <c r="S277" s="523" t="e">
        <f ca="1">stat(calculs!S277)</f>
        <v>#NAME?</v>
      </c>
      <c r="T277" s="523" t="e">
        <f ca="1">stat(calculs!T277)</f>
        <v>#NAME?</v>
      </c>
      <c r="U277" s="523" t="e">
        <f ca="1">stat(calculs!U277)</f>
        <v>#NAME?</v>
      </c>
      <c r="V277" s="523" t="e">
        <f ca="1">stat(calculs!V277)</f>
        <v>#NAME?</v>
      </c>
      <c r="W277" s="523" t="e">
        <f ca="1">stat(calculs!W277)</f>
        <v>#NAME?</v>
      </c>
      <c r="X277" s="523" t="e">
        <f ca="1">stat(calculs!X277)</f>
        <v>#NAME?</v>
      </c>
      <c r="Y277" s="523" t="e">
        <f ca="1">stat(calculs!Y277)</f>
        <v>#NAME?</v>
      </c>
      <c r="Z277" s="523" t="e">
        <f ca="1">stat(calculs!Z277)</f>
        <v>#NAME?</v>
      </c>
      <c r="AA277" s="523" t="e">
        <f ca="1">stat(calculs!AA277)</f>
        <v>#NAME?</v>
      </c>
      <c r="AB277" s="523" t="e">
        <f ca="1">stat(calculs!AB277)</f>
        <v>#NAME?</v>
      </c>
      <c r="AC277" s="523" t="e">
        <f ca="1">stat(calculs!AC277)</f>
        <v>#NAME?</v>
      </c>
      <c r="AD277" s="523" t="e">
        <f ca="1">stat(calculs!AD277)</f>
        <v>#NAME?</v>
      </c>
      <c r="AE277" s="523" t="e">
        <f ca="1">stat(calculs!AE277)</f>
        <v>#NAME?</v>
      </c>
      <c r="AF277" s="523" t="e">
        <f ca="1">stat(calculs!AF277)</f>
        <v>#NAME?</v>
      </c>
      <c r="AG277" s="523" t="e">
        <f ca="1">stat(calculs!AG277)</f>
        <v>#NAME?</v>
      </c>
      <c r="AH277" s="523" t="e">
        <f ca="1">stat(calculs!AH277)</f>
        <v>#NAME?</v>
      </c>
      <c r="AI277" s="523" t="e">
        <f ca="1">stat(calculs!AI277)</f>
        <v>#NAME?</v>
      </c>
      <c r="AJ277" s="523" t="e">
        <f ca="1">stat(calculs!AJ277)</f>
        <v>#NAME?</v>
      </c>
      <c r="AK277" s="523" t="e">
        <f ca="1">stat(calculs!AK277)</f>
        <v>#NAME?</v>
      </c>
      <c r="AL277" s="523" t="e">
        <f ca="1">stat(calculs!AL277)</f>
        <v>#NAME?</v>
      </c>
      <c r="AM277" s="523" t="e">
        <f ca="1">stat(calculs!AM277)</f>
        <v>#NAME?</v>
      </c>
      <c r="AN277" s="523" t="e">
        <f ca="1">stat(calculs!AN277)</f>
        <v>#NAME?</v>
      </c>
      <c r="AO277" s="523" t="e">
        <f ca="1">stat(calculs!AO277)</f>
        <v>#NAME?</v>
      </c>
      <c r="AP277" s="523" t="e">
        <f ca="1">stat(calculs!AP277)</f>
        <v>#NAME?</v>
      </c>
      <c r="AQ277" s="523" t="e">
        <f ca="1">stat(calculs!AQ277)</f>
        <v>#NAME?</v>
      </c>
      <c r="AV277" s="525" t="str">
        <f>stat(calculs!AV277)</f>
        <v/>
      </c>
      <c r="AW277" s="525" t="str">
        <f>stat(calculs!AW277)</f>
        <v/>
      </c>
      <c r="AX277" s="525" t="str">
        <f>stat(calculs!AX277)</f>
        <v/>
      </c>
      <c r="AY277" s="525" t="e">
        <f ca="1">stat(calculs!AY277)</f>
        <v>#NAME?</v>
      </c>
      <c r="AZ277" s="525" t="e">
        <f ca="1">stat(calculs!AZ277)</f>
        <v>#NAME?</v>
      </c>
      <c r="BA277" s="525" t="e">
        <f ca="1">stat(calculs!BA277)</f>
        <v>#NAME?</v>
      </c>
      <c r="BB277" s="525" t="e">
        <f ca="1">stat(calculs!BB277)</f>
        <v>#NAME?</v>
      </c>
      <c r="BC277" s="525" t="e">
        <f ca="1">stat(calculs!BC277)</f>
        <v>#NAME?</v>
      </c>
      <c r="BD277" s="525" t="e">
        <f ca="1">stat(calculs!BD277)</f>
        <v>#NAME?</v>
      </c>
      <c r="BE277" s="525" t="e">
        <f ca="1">stat(calculs!BE277)</f>
        <v>#NAME?</v>
      </c>
      <c r="BF277" s="525" t="e">
        <f ca="1">stat(calculs!BF277)</f>
        <v>#NAME?</v>
      </c>
      <c r="BG277" s="729" t="e">
        <f ca="1">stat(calculs!BG277)</f>
        <v>#NAME?</v>
      </c>
      <c r="BH277" s="729" t="e">
        <f ca="1">stat(calculs!BH277)</f>
        <v>#NAME?</v>
      </c>
      <c r="BI277" s="729" t="e">
        <f ca="1">stat(calculs!BI277)</f>
        <v>#NAME?</v>
      </c>
      <c r="BJ277" s="729" t="e">
        <f ca="1">stat(calculs!BJ277)</f>
        <v>#NAME?</v>
      </c>
      <c r="BK277" s="729" t="e">
        <f ca="1">stat(calculs!BK277)</f>
        <v>#NAME?</v>
      </c>
      <c r="BL277" s="525" t="e">
        <f ca="1">stat(calculs!BL277)</f>
        <v>#NAME?</v>
      </c>
      <c r="BM277" s="525" t="e">
        <f ca="1">stat(calculs!BM277)</f>
        <v>#NAME?</v>
      </c>
      <c r="BN277" s="525" t="e">
        <f ca="1">stat(calculs!BN277)</f>
        <v>#NAME?</v>
      </c>
      <c r="BO277" s="525" t="e">
        <f ca="1">stat(calculs!BO277)</f>
        <v>#NAME?</v>
      </c>
      <c r="BP277" s="525" t="e">
        <f ca="1">stat(calculs!BP277)</f>
        <v>#NAME?</v>
      </c>
      <c r="BQ277" s="525" t="e">
        <f ca="1">stat(calculs!BQ277)</f>
        <v>#NAME?</v>
      </c>
      <c r="BR277" s="525" t="e">
        <f ca="1">stat(calculs!BR277)</f>
        <v>#NAME?</v>
      </c>
    </row>
    <row r="278" spans="1:70" x14ac:dyDescent="0.2">
      <c r="A278" s="222">
        <f>données_step[[#This Row],[Datum]]</f>
        <v>44829</v>
      </c>
      <c r="B278" s="223"/>
      <c r="C278" s="224">
        <f t="shared" si="4"/>
        <v>1</v>
      </c>
      <c r="D278" s="523" t="e">
        <f ca="1">stat(charge_entree[[#This Row],[ch_E_DBO5]])</f>
        <v>#NAME?</v>
      </c>
      <c r="E278" s="523" t="e">
        <f ca="1">stat(charge_entree[[#This Row],[ch_E_DCO]])</f>
        <v>#NAME?</v>
      </c>
      <c r="F278" s="523" t="e">
        <f ca="1">stat(charge_entree[[#This Row],[ch_E_COT]])</f>
        <v>#NAME?</v>
      </c>
      <c r="G278" s="523" t="e">
        <f ca="1">stat(charge_entree[[#This Row],[ch_E_NH4]])</f>
        <v>#NAME?</v>
      </c>
      <c r="H278" s="523" t="e">
        <f ca="1">stat(charge_entree[[#This Row],[ch_E_NTOT]])</f>
        <v>#NAME?</v>
      </c>
      <c r="I278" s="523" t="e">
        <f ca="1">stat(charge_entree[[#This Row],[ch_E_PTOT]])</f>
        <v>#NAME?</v>
      </c>
      <c r="J278" s="523" t="e">
        <f ca="1">stat(charge_entree[[#This Row],[ch_S_DBO]])</f>
        <v>#NAME?</v>
      </c>
      <c r="K278" s="523" t="e">
        <f ca="1">stat(charge_entree[[#This Row],[ch_S-DCO]])</f>
        <v>#NAME?</v>
      </c>
      <c r="L278" s="523" t="e">
        <f ca="1">stat(charge_entree[[#This Row],[ch_S_DOC]])</f>
        <v>#NAME?</v>
      </c>
      <c r="M278" s="523" t="e">
        <f ca="1">stat(charge_entree[[#This Row],[ch_S_NH4]])</f>
        <v>#NAME?</v>
      </c>
      <c r="N278" s="523" t="e">
        <f ca="1">stat(charge_entree[[#This Row],[ch_S_NO2]])</f>
        <v>#NAME?</v>
      </c>
      <c r="O278" s="523" t="e">
        <f ca="1">stat(charge_entree[[#This Row],[ch_S_NO3]])</f>
        <v>#NAME?</v>
      </c>
      <c r="P278" s="523" t="e">
        <f ca="1">stat(charge_entree[[#This Row],[ch_S_PTOT]])</f>
        <v>#NAME?</v>
      </c>
      <c r="Q278" s="523" t="e">
        <f ca="1">stat(charge_entree[[#This Row],[ch_S_SNDT]])</f>
        <v>#NAME?</v>
      </c>
      <c r="R278" s="523">
        <f>calculs!R278</f>
        <v>0</v>
      </c>
      <c r="S278" s="523" t="e">
        <f ca="1">stat(calculs!S278)</f>
        <v>#NAME?</v>
      </c>
      <c r="T278" s="523" t="e">
        <f ca="1">stat(calculs!T278)</f>
        <v>#NAME?</v>
      </c>
      <c r="U278" s="523" t="e">
        <f ca="1">stat(calculs!U278)</f>
        <v>#NAME?</v>
      </c>
      <c r="V278" s="523" t="e">
        <f ca="1">stat(calculs!V278)</f>
        <v>#NAME?</v>
      </c>
      <c r="W278" s="523" t="e">
        <f ca="1">stat(calculs!W278)</f>
        <v>#NAME?</v>
      </c>
      <c r="X278" s="523" t="e">
        <f ca="1">stat(calculs!X278)</f>
        <v>#NAME?</v>
      </c>
      <c r="Y278" s="523" t="e">
        <f ca="1">stat(calculs!Y278)</f>
        <v>#NAME?</v>
      </c>
      <c r="Z278" s="523" t="e">
        <f ca="1">stat(calculs!Z278)</f>
        <v>#NAME?</v>
      </c>
      <c r="AA278" s="523" t="e">
        <f ca="1">stat(calculs!AA278)</f>
        <v>#NAME?</v>
      </c>
      <c r="AB278" s="523" t="e">
        <f ca="1">stat(calculs!AB278)</f>
        <v>#NAME?</v>
      </c>
      <c r="AC278" s="523" t="e">
        <f ca="1">stat(calculs!AC278)</f>
        <v>#NAME?</v>
      </c>
      <c r="AD278" s="523" t="e">
        <f ca="1">stat(calculs!AD278)</f>
        <v>#NAME?</v>
      </c>
      <c r="AE278" s="523" t="e">
        <f ca="1">stat(calculs!AE278)</f>
        <v>#NAME?</v>
      </c>
      <c r="AF278" s="523" t="e">
        <f ca="1">stat(calculs!AF278)</f>
        <v>#NAME?</v>
      </c>
      <c r="AG278" s="523" t="e">
        <f ca="1">stat(calculs!AG278)</f>
        <v>#NAME?</v>
      </c>
      <c r="AH278" s="523" t="e">
        <f ca="1">stat(calculs!AH278)</f>
        <v>#NAME?</v>
      </c>
      <c r="AI278" s="523" t="e">
        <f ca="1">stat(calculs!AI278)</f>
        <v>#NAME?</v>
      </c>
      <c r="AJ278" s="523" t="e">
        <f ca="1">stat(calculs!AJ278)</f>
        <v>#NAME?</v>
      </c>
      <c r="AK278" s="523" t="e">
        <f ca="1">stat(calculs!AK278)</f>
        <v>#NAME?</v>
      </c>
      <c r="AL278" s="523" t="e">
        <f ca="1">stat(calculs!AL278)</f>
        <v>#NAME?</v>
      </c>
      <c r="AM278" s="523" t="e">
        <f ca="1">stat(calculs!AM278)</f>
        <v>#NAME?</v>
      </c>
      <c r="AN278" s="523" t="e">
        <f ca="1">stat(calculs!AN278)</f>
        <v>#NAME?</v>
      </c>
      <c r="AO278" s="523" t="e">
        <f ca="1">stat(calculs!AO278)</f>
        <v>#NAME?</v>
      </c>
      <c r="AP278" s="523" t="e">
        <f ca="1">stat(calculs!AP278)</f>
        <v>#NAME?</v>
      </c>
      <c r="AQ278" s="523" t="e">
        <f ca="1">stat(calculs!AQ278)</f>
        <v>#NAME?</v>
      </c>
      <c r="AV278" s="525" t="str">
        <f>stat(calculs!AV278)</f>
        <v/>
      </c>
      <c r="AW278" s="525" t="str">
        <f>stat(calculs!AW278)</f>
        <v/>
      </c>
      <c r="AX278" s="525" t="str">
        <f>stat(calculs!AX278)</f>
        <v/>
      </c>
      <c r="AY278" s="525" t="e">
        <f ca="1">stat(calculs!AY278)</f>
        <v>#NAME?</v>
      </c>
      <c r="AZ278" s="525" t="e">
        <f ca="1">stat(calculs!AZ278)</f>
        <v>#NAME?</v>
      </c>
      <c r="BA278" s="525" t="e">
        <f ca="1">stat(calculs!BA278)</f>
        <v>#NAME?</v>
      </c>
      <c r="BB278" s="525" t="e">
        <f ca="1">stat(calculs!BB278)</f>
        <v>#NAME?</v>
      </c>
      <c r="BC278" s="525" t="e">
        <f ca="1">stat(calculs!BC278)</f>
        <v>#NAME?</v>
      </c>
      <c r="BD278" s="525" t="e">
        <f ca="1">stat(calculs!BD278)</f>
        <v>#NAME?</v>
      </c>
      <c r="BE278" s="525" t="e">
        <f ca="1">stat(calculs!BE278)</f>
        <v>#NAME?</v>
      </c>
      <c r="BF278" s="525" t="e">
        <f ca="1">stat(calculs!BF278)</f>
        <v>#NAME?</v>
      </c>
      <c r="BG278" s="729" t="e">
        <f ca="1">stat(calculs!BG278)</f>
        <v>#NAME?</v>
      </c>
      <c r="BH278" s="729" t="e">
        <f ca="1">stat(calculs!BH278)</f>
        <v>#NAME?</v>
      </c>
      <c r="BI278" s="729" t="e">
        <f ca="1">stat(calculs!BI278)</f>
        <v>#NAME?</v>
      </c>
      <c r="BJ278" s="729" t="e">
        <f ca="1">stat(calculs!BJ278)</f>
        <v>#NAME?</v>
      </c>
      <c r="BK278" s="729" t="e">
        <f ca="1">stat(calculs!BK278)</f>
        <v>#NAME?</v>
      </c>
      <c r="BL278" s="525" t="e">
        <f ca="1">stat(calculs!BL278)</f>
        <v>#NAME?</v>
      </c>
      <c r="BM278" s="525" t="e">
        <f ca="1">stat(calculs!BM278)</f>
        <v>#NAME?</v>
      </c>
      <c r="BN278" s="525" t="e">
        <f ca="1">stat(calculs!BN278)</f>
        <v>#NAME?</v>
      </c>
      <c r="BO278" s="525" t="e">
        <f ca="1">stat(calculs!BO278)</f>
        <v>#NAME?</v>
      </c>
      <c r="BP278" s="525" t="e">
        <f ca="1">stat(calculs!BP278)</f>
        <v>#NAME?</v>
      </c>
      <c r="BQ278" s="525" t="e">
        <f ca="1">stat(calculs!BQ278)</f>
        <v>#NAME?</v>
      </c>
      <c r="BR278" s="525" t="e">
        <f ca="1">stat(calculs!BR278)</f>
        <v>#NAME?</v>
      </c>
    </row>
    <row r="279" spans="1:70" x14ac:dyDescent="0.2">
      <c r="A279" s="222">
        <f>données_step[[#This Row],[Datum]]</f>
        <v>44830</v>
      </c>
      <c r="B279" s="223"/>
      <c r="C279" s="224">
        <f t="shared" si="4"/>
        <v>2</v>
      </c>
      <c r="D279" s="523" t="e">
        <f ca="1">stat(charge_entree[[#This Row],[ch_E_DBO5]])</f>
        <v>#NAME?</v>
      </c>
      <c r="E279" s="523" t="e">
        <f ca="1">stat(charge_entree[[#This Row],[ch_E_DCO]])</f>
        <v>#NAME?</v>
      </c>
      <c r="F279" s="523" t="e">
        <f ca="1">stat(charge_entree[[#This Row],[ch_E_COT]])</f>
        <v>#NAME?</v>
      </c>
      <c r="G279" s="523" t="e">
        <f ca="1">stat(charge_entree[[#This Row],[ch_E_NH4]])</f>
        <v>#NAME?</v>
      </c>
      <c r="H279" s="523" t="e">
        <f ca="1">stat(charge_entree[[#This Row],[ch_E_NTOT]])</f>
        <v>#NAME?</v>
      </c>
      <c r="I279" s="523" t="e">
        <f ca="1">stat(charge_entree[[#This Row],[ch_E_PTOT]])</f>
        <v>#NAME?</v>
      </c>
      <c r="J279" s="523" t="e">
        <f ca="1">stat(charge_entree[[#This Row],[ch_S_DBO]])</f>
        <v>#NAME?</v>
      </c>
      <c r="K279" s="523" t="e">
        <f ca="1">stat(charge_entree[[#This Row],[ch_S-DCO]])</f>
        <v>#NAME?</v>
      </c>
      <c r="L279" s="523" t="e">
        <f ca="1">stat(charge_entree[[#This Row],[ch_S_DOC]])</f>
        <v>#NAME?</v>
      </c>
      <c r="M279" s="523" t="e">
        <f ca="1">stat(charge_entree[[#This Row],[ch_S_NH4]])</f>
        <v>#NAME?</v>
      </c>
      <c r="N279" s="523" t="e">
        <f ca="1">stat(charge_entree[[#This Row],[ch_S_NO2]])</f>
        <v>#NAME?</v>
      </c>
      <c r="O279" s="523" t="e">
        <f ca="1">stat(charge_entree[[#This Row],[ch_S_NO3]])</f>
        <v>#NAME?</v>
      </c>
      <c r="P279" s="523" t="e">
        <f ca="1">stat(charge_entree[[#This Row],[ch_S_PTOT]])</f>
        <v>#NAME?</v>
      </c>
      <c r="Q279" s="523" t="e">
        <f ca="1">stat(charge_entree[[#This Row],[ch_S_SNDT]])</f>
        <v>#NAME?</v>
      </c>
      <c r="R279" s="523">
        <f>calculs!R279</f>
        <v>0</v>
      </c>
      <c r="S279" s="523" t="e">
        <f ca="1">stat(calculs!S279)</f>
        <v>#NAME?</v>
      </c>
      <c r="T279" s="523" t="e">
        <f ca="1">stat(calculs!T279)</f>
        <v>#NAME?</v>
      </c>
      <c r="U279" s="523" t="e">
        <f ca="1">stat(calculs!U279)</f>
        <v>#NAME?</v>
      </c>
      <c r="V279" s="523" t="e">
        <f ca="1">stat(calculs!V279)</f>
        <v>#NAME?</v>
      </c>
      <c r="W279" s="523" t="e">
        <f ca="1">stat(calculs!W279)</f>
        <v>#NAME?</v>
      </c>
      <c r="X279" s="523" t="e">
        <f ca="1">stat(calculs!X279)</f>
        <v>#NAME?</v>
      </c>
      <c r="Y279" s="523" t="e">
        <f ca="1">stat(calculs!Y279)</f>
        <v>#NAME?</v>
      </c>
      <c r="Z279" s="523" t="e">
        <f ca="1">stat(calculs!Z279)</f>
        <v>#NAME?</v>
      </c>
      <c r="AA279" s="523" t="e">
        <f ca="1">stat(calculs!AA279)</f>
        <v>#NAME?</v>
      </c>
      <c r="AB279" s="523" t="e">
        <f ca="1">stat(calculs!AB279)</f>
        <v>#NAME?</v>
      </c>
      <c r="AC279" s="523" t="e">
        <f ca="1">stat(calculs!AC279)</f>
        <v>#NAME?</v>
      </c>
      <c r="AD279" s="523" t="e">
        <f ca="1">stat(calculs!AD279)</f>
        <v>#NAME?</v>
      </c>
      <c r="AE279" s="523" t="e">
        <f ca="1">stat(calculs!AE279)</f>
        <v>#NAME?</v>
      </c>
      <c r="AF279" s="523" t="e">
        <f ca="1">stat(calculs!AF279)</f>
        <v>#NAME?</v>
      </c>
      <c r="AG279" s="523" t="e">
        <f ca="1">stat(calculs!AG279)</f>
        <v>#NAME?</v>
      </c>
      <c r="AH279" s="523" t="e">
        <f ca="1">stat(calculs!AH279)</f>
        <v>#NAME?</v>
      </c>
      <c r="AI279" s="523" t="e">
        <f ca="1">stat(calculs!AI279)</f>
        <v>#NAME?</v>
      </c>
      <c r="AJ279" s="523" t="e">
        <f ca="1">stat(calculs!AJ279)</f>
        <v>#NAME?</v>
      </c>
      <c r="AK279" s="523" t="e">
        <f ca="1">stat(calculs!AK279)</f>
        <v>#NAME?</v>
      </c>
      <c r="AL279" s="523" t="e">
        <f ca="1">stat(calculs!AL279)</f>
        <v>#NAME?</v>
      </c>
      <c r="AM279" s="523" t="e">
        <f ca="1">stat(calculs!AM279)</f>
        <v>#NAME?</v>
      </c>
      <c r="AN279" s="523" t="e">
        <f ca="1">stat(calculs!AN279)</f>
        <v>#NAME?</v>
      </c>
      <c r="AO279" s="523" t="e">
        <f ca="1">stat(calculs!AO279)</f>
        <v>#NAME?</v>
      </c>
      <c r="AP279" s="523" t="e">
        <f ca="1">stat(calculs!AP279)</f>
        <v>#NAME?</v>
      </c>
      <c r="AQ279" s="523" t="e">
        <f ca="1">stat(calculs!AQ279)</f>
        <v>#NAME?</v>
      </c>
      <c r="AV279" s="525" t="str">
        <f>stat(calculs!AV279)</f>
        <v/>
      </c>
      <c r="AW279" s="525" t="str">
        <f>stat(calculs!AW279)</f>
        <v/>
      </c>
      <c r="AX279" s="525" t="str">
        <f>stat(calculs!AX279)</f>
        <v/>
      </c>
      <c r="AY279" s="525" t="e">
        <f ca="1">stat(calculs!AY279)</f>
        <v>#NAME?</v>
      </c>
      <c r="AZ279" s="525" t="e">
        <f ca="1">stat(calculs!AZ279)</f>
        <v>#NAME?</v>
      </c>
      <c r="BA279" s="525" t="e">
        <f ca="1">stat(calculs!BA279)</f>
        <v>#NAME?</v>
      </c>
      <c r="BB279" s="525" t="e">
        <f ca="1">stat(calculs!BB279)</f>
        <v>#NAME?</v>
      </c>
      <c r="BC279" s="525" t="e">
        <f ca="1">stat(calculs!BC279)</f>
        <v>#NAME?</v>
      </c>
      <c r="BD279" s="525" t="e">
        <f ca="1">stat(calculs!BD279)</f>
        <v>#NAME?</v>
      </c>
      <c r="BE279" s="525" t="e">
        <f ca="1">stat(calculs!BE279)</f>
        <v>#NAME?</v>
      </c>
      <c r="BF279" s="525" t="e">
        <f ca="1">stat(calculs!BF279)</f>
        <v>#NAME?</v>
      </c>
      <c r="BG279" s="729" t="e">
        <f ca="1">stat(calculs!BG279)</f>
        <v>#NAME?</v>
      </c>
      <c r="BH279" s="729" t="e">
        <f ca="1">stat(calculs!BH279)</f>
        <v>#NAME?</v>
      </c>
      <c r="BI279" s="729" t="e">
        <f ca="1">stat(calculs!BI279)</f>
        <v>#NAME?</v>
      </c>
      <c r="BJ279" s="729" t="e">
        <f ca="1">stat(calculs!BJ279)</f>
        <v>#NAME?</v>
      </c>
      <c r="BK279" s="729" t="e">
        <f ca="1">stat(calculs!BK279)</f>
        <v>#NAME?</v>
      </c>
      <c r="BL279" s="525" t="e">
        <f ca="1">stat(calculs!BL279)</f>
        <v>#NAME?</v>
      </c>
      <c r="BM279" s="525" t="e">
        <f ca="1">stat(calculs!BM279)</f>
        <v>#NAME?</v>
      </c>
      <c r="BN279" s="525" t="e">
        <f ca="1">stat(calculs!BN279)</f>
        <v>#NAME?</v>
      </c>
      <c r="BO279" s="525" t="e">
        <f ca="1">stat(calculs!BO279)</f>
        <v>#NAME?</v>
      </c>
      <c r="BP279" s="525" t="e">
        <f ca="1">stat(calculs!BP279)</f>
        <v>#NAME?</v>
      </c>
      <c r="BQ279" s="525" t="e">
        <f ca="1">stat(calculs!BQ279)</f>
        <v>#NAME?</v>
      </c>
      <c r="BR279" s="525" t="e">
        <f ca="1">stat(calculs!BR279)</f>
        <v>#NAME?</v>
      </c>
    </row>
    <row r="280" spans="1:70" x14ac:dyDescent="0.2">
      <c r="A280" s="222">
        <f>données_step[[#This Row],[Datum]]</f>
        <v>44831</v>
      </c>
      <c r="B280" s="223"/>
      <c r="C280" s="224">
        <f t="shared" si="4"/>
        <v>3</v>
      </c>
      <c r="D280" s="523" t="e">
        <f ca="1">stat(charge_entree[[#This Row],[ch_E_DBO5]])</f>
        <v>#NAME?</v>
      </c>
      <c r="E280" s="523" t="e">
        <f ca="1">stat(charge_entree[[#This Row],[ch_E_DCO]])</f>
        <v>#NAME?</v>
      </c>
      <c r="F280" s="523" t="e">
        <f ca="1">stat(charge_entree[[#This Row],[ch_E_COT]])</f>
        <v>#NAME?</v>
      </c>
      <c r="G280" s="523" t="e">
        <f ca="1">stat(charge_entree[[#This Row],[ch_E_NH4]])</f>
        <v>#NAME?</v>
      </c>
      <c r="H280" s="523" t="e">
        <f ca="1">stat(charge_entree[[#This Row],[ch_E_NTOT]])</f>
        <v>#NAME?</v>
      </c>
      <c r="I280" s="523" t="e">
        <f ca="1">stat(charge_entree[[#This Row],[ch_E_PTOT]])</f>
        <v>#NAME?</v>
      </c>
      <c r="J280" s="523" t="e">
        <f ca="1">stat(charge_entree[[#This Row],[ch_S_DBO]])</f>
        <v>#NAME?</v>
      </c>
      <c r="K280" s="523" t="e">
        <f ca="1">stat(charge_entree[[#This Row],[ch_S-DCO]])</f>
        <v>#NAME?</v>
      </c>
      <c r="L280" s="523" t="e">
        <f ca="1">stat(charge_entree[[#This Row],[ch_S_DOC]])</f>
        <v>#NAME?</v>
      </c>
      <c r="M280" s="523" t="e">
        <f ca="1">stat(charge_entree[[#This Row],[ch_S_NH4]])</f>
        <v>#NAME?</v>
      </c>
      <c r="N280" s="523" t="e">
        <f ca="1">stat(charge_entree[[#This Row],[ch_S_NO2]])</f>
        <v>#NAME?</v>
      </c>
      <c r="O280" s="523" t="e">
        <f ca="1">stat(charge_entree[[#This Row],[ch_S_NO3]])</f>
        <v>#NAME?</v>
      </c>
      <c r="P280" s="523" t="e">
        <f ca="1">stat(charge_entree[[#This Row],[ch_S_PTOT]])</f>
        <v>#NAME?</v>
      </c>
      <c r="Q280" s="523" t="e">
        <f ca="1">stat(charge_entree[[#This Row],[ch_S_SNDT]])</f>
        <v>#NAME?</v>
      </c>
      <c r="R280" s="523">
        <f>calculs!R280</f>
        <v>0</v>
      </c>
      <c r="S280" s="523" t="e">
        <f ca="1">stat(calculs!S280)</f>
        <v>#NAME?</v>
      </c>
      <c r="T280" s="523" t="e">
        <f ca="1">stat(calculs!T280)</f>
        <v>#NAME?</v>
      </c>
      <c r="U280" s="523" t="e">
        <f ca="1">stat(calculs!U280)</f>
        <v>#NAME?</v>
      </c>
      <c r="V280" s="523" t="e">
        <f ca="1">stat(calculs!V280)</f>
        <v>#NAME?</v>
      </c>
      <c r="W280" s="523" t="e">
        <f ca="1">stat(calculs!W280)</f>
        <v>#NAME?</v>
      </c>
      <c r="X280" s="523" t="e">
        <f ca="1">stat(calculs!X280)</f>
        <v>#NAME?</v>
      </c>
      <c r="Y280" s="523" t="e">
        <f ca="1">stat(calculs!Y280)</f>
        <v>#NAME?</v>
      </c>
      <c r="Z280" s="523" t="e">
        <f ca="1">stat(calculs!Z280)</f>
        <v>#NAME?</v>
      </c>
      <c r="AA280" s="523" t="e">
        <f ca="1">stat(calculs!AA280)</f>
        <v>#NAME?</v>
      </c>
      <c r="AB280" s="523" t="e">
        <f ca="1">stat(calculs!AB280)</f>
        <v>#NAME?</v>
      </c>
      <c r="AC280" s="523" t="e">
        <f ca="1">stat(calculs!AC280)</f>
        <v>#NAME?</v>
      </c>
      <c r="AD280" s="523" t="e">
        <f ca="1">stat(calculs!AD280)</f>
        <v>#NAME?</v>
      </c>
      <c r="AE280" s="523" t="e">
        <f ca="1">stat(calculs!AE280)</f>
        <v>#NAME?</v>
      </c>
      <c r="AF280" s="523" t="e">
        <f ca="1">stat(calculs!AF280)</f>
        <v>#NAME?</v>
      </c>
      <c r="AG280" s="523" t="e">
        <f ca="1">stat(calculs!AG280)</f>
        <v>#NAME?</v>
      </c>
      <c r="AH280" s="523" t="e">
        <f ca="1">stat(calculs!AH280)</f>
        <v>#NAME?</v>
      </c>
      <c r="AI280" s="523" t="e">
        <f ca="1">stat(calculs!AI280)</f>
        <v>#NAME?</v>
      </c>
      <c r="AJ280" s="523" t="e">
        <f ca="1">stat(calculs!AJ280)</f>
        <v>#NAME?</v>
      </c>
      <c r="AK280" s="523" t="e">
        <f ca="1">stat(calculs!AK280)</f>
        <v>#NAME?</v>
      </c>
      <c r="AL280" s="523" t="e">
        <f ca="1">stat(calculs!AL280)</f>
        <v>#NAME?</v>
      </c>
      <c r="AM280" s="523" t="e">
        <f ca="1">stat(calculs!AM280)</f>
        <v>#NAME?</v>
      </c>
      <c r="AN280" s="523" t="e">
        <f ca="1">stat(calculs!AN280)</f>
        <v>#NAME?</v>
      </c>
      <c r="AO280" s="523" t="e">
        <f ca="1">stat(calculs!AO280)</f>
        <v>#NAME?</v>
      </c>
      <c r="AP280" s="523" t="e">
        <f ca="1">stat(calculs!AP280)</f>
        <v>#NAME?</v>
      </c>
      <c r="AQ280" s="523" t="e">
        <f ca="1">stat(calculs!AQ280)</f>
        <v>#NAME?</v>
      </c>
      <c r="AV280" s="525" t="str">
        <f>stat(calculs!AV280)</f>
        <v/>
      </c>
      <c r="AW280" s="525" t="str">
        <f>stat(calculs!AW280)</f>
        <v/>
      </c>
      <c r="AX280" s="525" t="str">
        <f>stat(calculs!AX280)</f>
        <v/>
      </c>
      <c r="AY280" s="525" t="e">
        <f ca="1">stat(calculs!AY280)</f>
        <v>#NAME?</v>
      </c>
      <c r="AZ280" s="525" t="e">
        <f ca="1">stat(calculs!AZ280)</f>
        <v>#NAME?</v>
      </c>
      <c r="BA280" s="525" t="e">
        <f ca="1">stat(calculs!BA280)</f>
        <v>#NAME?</v>
      </c>
      <c r="BB280" s="525" t="e">
        <f ca="1">stat(calculs!BB280)</f>
        <v>#NAME?</v>
      </c>
      <c r="BC280" s="525" t="e">
        <f ca="1">stat(calculs!BC280)</f>
        <v>#NAME?</v>
      </c>
      <c r="BD280" s="525" t="e">
        <f ca="1">stat(calculs!BD280)</f>
        <v>#NAME?</v>
      </c>
      <c r="BE280" s="525" t="e">
        <f ca="1">stat(calculs!BE280)</f>
        <v>#NAME?</v>
      </c>
      <c r="BF280" s="525" t="e">
        <f ca="1">stat(calculs!BF280)</f>
        <v>#NAME?</v>
      </c>
      <c r="BG280" s="729" t="e">
        <f ca="1">stat(calculs!BG280)</f>
        <v>#NAME?</v>
      </c>
      <c r="BH280" s="729" t="e">
        <f ca="1">stat(calculs!BH280)</f>
        <v>#NAME?</v>
      </c>
      <c r="BI280" s="729" t="e">
        <f ca="1">stat(calculs!BI280)</f>
        <v>#NAME?</v>
      </c>
      <c r="BJ280" s="729" t="e">
        <f ca="1">stat(calculs!BJ280)</f>
        <v>#NAME?</v>
      </c>
      <c r="BK280" s="729" t="e">
        <f ca="1">stat(calculs!BK280)</f>
        <v>#NAME?</v>
      </c>
      <c r="BL280" s="525" t="e">
        <f ca="1">stat(calculs!BL280)</f>
        <v>#NAME?</v>
      </c>
      <c r="BM280" s="525" t="e">
        <f ca="1">stat(calculs!BM280)</f>
        <v>#NAME?</v>
      </c>
      <c r="BN280" s="525" t="e">
        <f ca="1">stat(calculs!BN280)</f>
        <v>#NAME?</v>
      </c>
      <c r="BO280" s="525" t="e">
        <f ca="1">stat(calculs!BO280)</f>
        <v>#NAME?</v>
      </c>
      <c r="BP280" s="525" t="e">
        <f ca="1">stat(calculs!BP280)</f>
        <v>#NAME?</v>
      </c>
      <c r="BQ280" s="525" t="e">
        <f ca="1">stat(calculs!BQ280)</f>
        <v>#NAME?</v>
      </c>
      <c r="BR280" s="525" t="e">
        <f ca="1">stat(calculs!BR280)</f>
        <v>#NAME?</v>
      </c>
    </row>
    <row r="281" spans="1:70" x14ac:dyDescent="0.2">
      <c r="A281" s="222">
        <f>données_step[[#This Row],[Datum]]</f>
        <v>44832</v>
      </c>
      <c r="B281" s="223"/>
      <c r="C281" s="224">
        <f t="shared" si="4"/>
        <v>4</v>
      </c>
      <c r="D281" s="523" t="e">
        <f ca="1">stat(charge_entree[[#This Row],[ch_E_DBO5]])</f>
        <v>#NAME?</v>
      </c>
      <c r="E281" s="523" t="e">
        <f ca="1">stat(charge_entree[[#This Row],[ch_E_DCO]])</f>
        <v>#NAME?</v>
      </c>
      <c r="F281" s="523" t="e">
        <f ca="1">stat(charge_entree[[#This Row],[ch_E_COT]])</f>
        <v>#NAME?</v>
      </c>
      <c r="G281" s="523" t="e">
        <f ca="1">stat(charge_entree[[#This Row],[ch_E_NH4]])</f>
        <v>#NAME?</v>
      </c>
      <c r="H281" s="523" t="e">
        <f ca="1">stat(charge_entree[[#This Row],[ch_E_NTOT]])</f>
        <v>#NAME?</v>
      </c>
      <c r="I281" s="523" t="e">
        <f ca="1">stat(charge_entree[[#This Row],[ch_E_PTOT]])</f>
        <v>#NAME?</v>
      </c>
      <c r="J281" s="523" t="e">
        <f ca="1">stat(charge_entree[[#This Row],[ch_S_DBO]])</f>
        <v>#NAME?</v>
      </c>
      <c r="K281" s="523" t="e">
        <f ca="1">stat(charge_entree[[#This Row],[ch_S-DCO]])</f>
        <v>#NAME?</v>
      </c>
      <c r="L281" s="523" t="e">
        <f ca="1">stat(charge_entree[[#This Row],[ch_S_DOC]])</f>
        <v>#NAME?</v>
      </c>
      <c r="M281" s="523" t="e">
        <f ca="1">stat(charge_entree[[#This Row],[ch_S_NH4]])</f>
        <v>#NAME?</v>
      </c>
      <c r="N281" s="523" t="e">
        <f ca="1">stat(charge_entree[[#This Row],[ch_S_NO2]])</f>
        <v>#NAME?</v>
      </c>
      <c r="O281" s="523" t="e">
        <f ca="1">stat(charge_entree[[#This Row],[ch_S_NO3]])</f>
        <v>#NAME?</v>
      </c>
      <c r="P281" s="523" t="e">
        <f ca="1">stat(charge_entree[[#This Row],[ch_S_PTOT]])</f>
        <v>#NAME?</v>
      </c>
      <c r="Q281" s="523" t="e">
        <f ca="1">stat(charge_entree[[#This Row],[ch_S_SNDT]])</f>
        <v>#NAME?</v>
      </c>
      <c r="R281" s="523">
        <f>calculs!R281</f>
        <v>0</v>
      </c>
      <c r="S281" s="523" t="e">
        <f ca="1">stat(calculs!S281)</f>
        <v>#NAME?</v>
      </c>
      <c r="T281" s="523" t="e">
        <f ca="1">stat(calculs!T281)</f>
        <v>#NAME?</v>
      </c>
      <c r="U281" s="523" t="e">
        <f ca="1">stat(calculs!U281)</f>
        <v>#NAME?</v>
      </c>
      <c r="V281" s="523" t="e">
        <f ca="1">stat(calculs!V281)</f>
        <v>#NAME?</v>
      </c>
      <c r="W281" s="523" t="e">
        <f ca="1">stat(calculs!W281)</f>
        <v>#NAME?</v>
      </c>
      <c r="X281" s="523" t="e">
        <f ca="1">stat(calculs!X281)</f>
        <v>#NAME?</v>
      </c>
      <c r="Y281" s="523" t="e">
        <f ca="1">stat(calculs!Y281)</f>
        <v>#NAME?</v>
      </c>
      <c r="Z281" s="523" t="e">
        <f ca="1">stat(calculs!Z281)</f>
        <v>#NAME?</v>
      </c>
      <c r="AA281" s="523" t="e">
        <f ca="1">stat(calculs!AA281)</f>
        <v>#NAME?</v>
      </c>
      <c r="AB281" s="523" t="e">
        <f ca="1">stat(calculs!AB281)</f>
        <v>#NAME?</v>
      </c>
      <c r="AC281" s="523" t="e">
        <f ca="1">stat(calculs!AC281)</f>
        <v>#NAME?</v>
      </c>
      <c r="AD281" s="523" t="e">
        <f ca="1">stat(calculs!AD281)</f>
        <v>#NAME?</v>
      </c>
      <c r="AE281" s="523" t="e">
        <f ca="1">stat(calculs!AE281)</f>
        <v>#NAME?</v>
      </c>
      <c r="AF281" s="523" t="e">
        <f ca="1">stat(calculs!AF281)</f>
        <v>#NAME?</v>
      </c>
      <c r="AG281" s="523" t="e">
        <f ca="1">stat(calculs!AG281)</f>
        <v>#NAME?</v>
      </c>
      <c r="AH281" s="523" t="e">
        <f ca="1">stat(calculs!AH281)</f>
        <v>#NAME?</v>
      </c>
      <c r="AI281" s="523" t="e">
        <f ca="1">stat(calculs!AI281)</f>
        <v>#NAME?</v>
      </c>
      <c r="AJ281" s="523" t="e">
        <f ca="1">stat(calculs!AJ281)</f>
        <v>#NAME?</v>
      </c>
      <c r="AK281" s="523" t="e">
        <f ca="1">stat(calculs!AK281)</f>
        <v>#NAME?</v>
      </c>
      <c r="AL281" s="523" t="e">
        <f ca="1">stat(calculs!AL281)</f>
        <v>#NAME?</v>
      </c>
      <c r="AM281" s="523" t="e">
        <f ca="1">stat(calculs!AM281)</f>
        <v>#NAME?</v>
      </c>
      <c r="AN281" s="523" t="e">
        <f ca="1">stat(calculs!AN281)</f>
        <v>#NAME?</v>
      </c>
      <c r="AO281" s="523" t="e">
        <f ca="1">stat(calculs!AO281)</f>
        <v>#NAME?</v>
      </c>
      <c r="AP281" s="523" t="e">
        <f ca="1">stat(calculs!AP281)</f>
        <v>#NAME?</v>
      </c>
      <c r="AQ281" s="523" t="e">
        <f ca="1">stat(calculs!AQ281)</f>
        <v>#NAME?</v>
      </c>
      <c r="AV281" s="525" t="str">
        <f>stat(calculs!AV281)</f>
        <v/>
      </c>
      <c r="AW281" s="525" t="str">
        <f>stat(calculs!AW281)</f>
        <v/>
      </c>
      <c r="AX281" s="525" t="str">
        <f>stat(calculs!AX281)</f>
        <v/>
      </c>
      <c r="AY281" s="525" t="e">
        <f ca="1">stat(calculs!AY281)</f>
        <v>#NAME?</v>
      </c>
      <c r="AZ281" s="525" t="e">
        <f ca="1">stat(calculs!AZ281)</f>
        <v>#NAME?</v>
      </c>
      <c r="BA281" s="525" t="e">
        <f ca="1">stat(calculs!BA281)</f>
        <v>#NAME?</v>
      </c>
      <c r="BB281" s="525" t="e">
        <f ca="1">stat(calculs!BB281)</f>
        <v>#NAME?</v>
      </c>
      <c r="BC281" s="525" t="e">
        <f ca="1">stat(calculs!BC281)</f>
        <v>#NAME?</v>
      </c>
      <c r="BD281" s="525" t="e">
        <f ca="1">stat(calculs!BD281)</f>
        <v>#NAME?</v>
      </c>
      <c r="BE281" s="525" t="e">
        <f ca="1">stat(calculs!BE281)</f>
        <v>#NAME?</v>
      </c>
      <c r="BF281" s="525" t="e">
        <f ca="1">stat(calculs!BF281)</f>
        <v>#NAME?</v>
      </c>
      <c r="BG281" s="729" t="e">
        <f ca="1">stat(calculs!BG281)</f>
        <v>#NAME?</v>
      </c>
      <c r="BH281" s="729" t="e">
        <f ca="1">stat(calculs!BH281)</f>
        <v>#NAME?</v>
      </c>
      <c r="BI281" s="729" t="e">
        <f ca="1">stat(calculs!BI281)</f>
        <v>#NAME?</v>
      </c>
      <c r="BJ281" s="729" t="e">
        <f ca="1">stat(calculs!BJ281)</f>
        <v>#NAME?</v>
      </c>
      <c r="BK281" s="729" t="e">
        <f ca="1">stat(calculs!BK281)</f>
        <v>#NAME?</v>
      </c>
      <c r="BL281" s="525" t="e">
        <f ca="1">stat(calculs!BL281)</f>
        <v>#NAME?</v>
      </c>
      <c r="BM281" s="525" t="e">
        <f ca="1">stat(calculs!BM281)</f>
        <v>#NAME?</v>
      </c>
      <c r="BN281" s="525" t="e">
        <f ca="1">stat(calculs!BN281)</f>
        <v>#NAME?</v>
      </c>
      <c r="BO281" s="525" t="e">
        <f ca="1">stat(calculs!BO281)</f>
        <v>#NAME?</v>
      </c>
      <c r="BP281" s="525" t="e">
        <f ca="1">stat(calculs!BP281)</f>
        <v>#NAME?</v>
      </c>
      <c r="BQ281" s="525" t="e">
        <f ca="1">stat(calculs!BQ281)</f>
        <v>#NAME?</v>
      </c>
      <c r="BR281" s="525" t="e">
        <f ca="1">stat(calculs!BR281)</f>
        <v>#NAME?</v>
      </c>
    </row>
    <row r="282" spans="1:70" x14ac:dyDescent="0.2">
      <c r="A282" s="222">
        <f>données_step[[#This Row],[Datum]]</f>
        <v>44833</v>
      </c>
      <c r="B282" s="223"/>
      <c r="C282" s="224">
        <f t="shared" si="4"/>
        <v>5</v>
      </c>
      <c r="D282" s="523" t="e">
        <f ca="1">stat(charge_entree[[#This Row],[ch_E_DBO5]])</f>
        <v>#NAME?</v>
      </c>
      <c r="E282" s="523" t="e">
        <f ca="1">stat(charge_entree[[#This Row],[ch_E_DCO]])</f>
        <v>#NAME?</v>
      </c>
      <c r="F282" s="523" t="e">
        <f ca="1">stat(charge_entree[[#This Row],[ch_E_COT]])</f>
        <v>#NAME?</v>
      </c>
      <c r="G282" s="523" t="e">
        <f ca="1">stat(charge_entree[[#This Row],[ch_E_NH4]])</f>
        <v>#NAME?</v>
      </c>
      <c r="H282" s="523" t="e">
        <f ca="1">stat(charge_entree[[#This Row],[ch_E_NTOT]])</f>
        <v>#NAME?</v>
      </c>
      <c r="I282" s="523" t="e">
        <f ca="1">stat(charge_entree[[#This Row],[ch_E_PTOT]])</f>
        <v>#NAME?</v>
      </c>
      <c r="J282" s="523" t="e">
        <f ca="1">stat(charge_entree[[#This Row],[ch_S_DBO]])</f>
        <v>#NAME?</v>
      </c>
      <c r="K282" s="523" t="e">
        <f ca="1">stat(charge_entree[[#This Row],[ch_S-DCO]])</f>
        <v>#NAME?</v>
      </c>
      <c r="L282" s="523" t="e">
        <f ca="1">stat(charge_entree[[#This Row],[ch_S_DOC]])</f>
        <v>#NAME?</v>
      </c>
      <c r="M282" s="523" t="e">
        <f ca="1">stat(charge_entree[[#This Row],[ch_S_NH4]])</f>
        <v>#NAME?</v>
      </c>
      <c r="N282" s="523" t="e">
        <f ca="1">stat(charge_entree[[#This Row],[ch_S_NO2]])</f>
        <v>#NAME?</v>
      </c>
      <c r="O282" s="523" t="e">
        <f ca="1">stat(charge_entree[[#This Row],[ch_S_NO3]])</f>
        <v>#NAME?</v>
      </c>
      <c r="P282" s="523" t="e">
        <f ca="1">stat(charge_entree[[#This Row],[ch_S_PTOT]])</f>
        <v>#NAME?</v>
      </c>
      <c r="Q282" s="523" t="e">
        <f ca="1">stat(charge_entree[[#This Row],[ch_S_SNDT]])</f>
        <v>#NAME?</v>
      </c>
      <c r="R282" s="523">
        <f>calculs!R282</f>
        <v>0</v>
      </c>
      <c r="S282" s="523" t="e">
        <f ca="1">stat(calculs!S282)</f>
        <v>#NAME?</v>
      </c>
      <c r="T282" s="523" t="e">
        <f ca="1">stat(calculs!T282)</f>
        <v>#NAME?</v>
      </c>
      <c r="U282" s="523" t="e">
        <f ca="1">stat(calculs!U282)</f>
        <v>#NAME?</v>
      </c>
      <c r="V282" s="523" t="e">
        <f ca="1">stat(calculs!V282)</f>
        <v>#NAME?</v>
      </c>
      <c r="W282" s="523" t="e">
        <f ca="1">stat(calculs!W282)</f>
        <v>#NAME?</v>
      </c>
      <c r="X282" s="523" t="e">
        <f ca="1">stat(calculs!X282)</f>
        <v>#NAME?</v>
      </c>
      <c r="Y282" s="523" t="e">
        <f ca="1">stat(calculs!Y282)</f>
        <v>#NAME?</v>
      </c>
      <c r="Z282" s="523" t="e">
        <f ca="1">stat(calculs!Z282)</f>
        <v>#NAME?</v>
      </c>
      <c r="AA282" s="523" t="e">
        <f ca="1">stat(calculs!AA282)</f>
        <v>#NAME?</v>
      </c>
      <c r="AB282" s="523" t="e">
        <f ca="1">stat(calculs!AB282)</f>
        <v>#NAME?</v>
      </c>
      <c r="AC282" s="523" t="e">
        <f ca="1">stat(calculs!AC282)</f>
        <v>#NAME?</v>
      </c>
      <c r="AD282" s="523" t="e">
        <f ca="1">stat(calculs!AD282)</f>
        <v>#NAME?</v>
      </c>
      <c r="AE282" s="523" t="e">
        <f ca="1">stat(calculs!AE282)</f>
        <v>#NAME?</v>
      </c>
      <c r="AF282" s="523" t="e">
        <f ca="1">stat(calculs!AF282)</f>
        <v>#NAME?</v>
      </c>
      <c r="AG282" s="523" t="e">
        <f ca="1">stat(calculs!AG282)</f>
        <v>#NAME?</v>
      </c>
      <c r="AH282" s="523" t="e">
        <f ca="1">stat(calculs!AH282)</f>
        <v>#NAME?</v>
      </c>
      <c r="AI282" s="523" t="e">
        <f ca="1">stat(calculs!AI282)</f>
        <v>#NAME?</v>
      </c>
      <c r="AJ282" s="523" t="e">
        <f ca="1">stat(calculs!AJ282)</f>
        <v>#NAME?</v>
      </c>
      <c r="AK282" s="523" t="e">
        <f ca="1">stat(calculs!AK282)</f>
        <v>#NAME?</v>
      </c>
      <c r="AL282" s="523" t="e">
        <f ca="1">stat(calculs!AL282)</f>
        <v>#NAME?</v>
      </c>
      <c r="AM282" s="523" t="e">
        <f ca="1">stat(calculs!AM282)</f>
        <v>#NAME?</v>
      </c>
      <c r="AN282" s="523" t="e">
        <f ca="1">stat(calculs!AN282)</f>
        <v>#NAME?</v>
      </c>
      <c r="AO282" s="523" t="e">
        <f ca="1">stat(calculs!AO282)</f>
        <v>#NAME?</v>
      </c>
      <c r="AP282" s="523" t="e">
        <f ca="1">stat(calculs!AP282)</f>
        <v>#NAME?</v>
      </c>
      <c r="AQ282" s="523" t="e">
        <f ca="1">stat(calculs!AQ282)</f>
        <v>#NAME?</v>
      </c>
      <c r="AV282" s="525" t="str">
        <f>stat(calculs!AV282)</f>
        <v/>
      </c>
      <c r="AW282" s="525" t="str">
        <f>stat(calculs!AW282)</f>
        <v/>
      </c>
      <c r="AX282" s="525" t="str">
        <f>stat(calculs!AX282)</f>
        <v/>
      </c>
      <c r="AY282" s="525" t="e">
        <f ca="1">stat(calculs!AY282)</f>
        <v>#NAME?</v>
      </c>
      <c r="AZ282" s="525" t="e">
        <f ca="1">stat(calculs!AZ282)</f>
        <v>#NAME?</v>
      </c>
      <c r="BA282" s="525" t="e">
        <f ca="1">stat(calculs!BA282)</f>
        <v>#NAME?</v>
      </c>
      <c r="BB282" s="525" t="e">
        <f ca="1">stat(calculs!BB282)</f>
        <v>#NAME?</v>
      </c>
      <c r="BC282" s="525" t="e">
        <f ca="1">stat(calculs!BC282)</f>
        <v>#NAME?</v>
      </c>
      <c r="BD282" s="525" t="e">
        <f ca="1">stat(calculs!BD282)</f>
        <v>#NAME?</v>
      </c>
      <c r="BE282" s="525" t="e">
        <f ca="1">stat(calculs!BE282)</f>
        <v>#NAME?</v>
      </c>
      <c r="BF282" s="525" t="e">
        <f ca="1">stat(calculs!BF282)</f>
        <v>#NAME?</v>
      </c>
      <c r="BG282" s="729" t="e">
        <f ca="1">stat(calculs!BG282)</f>
        <v>#NAME?</v>
      </c>
      <c r="BH282" s="729" t="e">
        <f ca="1">stat(calculs!BH282)</f>
        <v>#NAME?</v>
      </c>
      <c r="BI282" s="729" t="e">
        <f ca="1">stat(calculs!BI282)</f>
        <v>#NAME?</v>
      </c>
      <c r="BJ282" s="729" t="e">
        <f ca="1">stat(calculs!BJ282)</f>
        <v>#NAME?</v>
      </c>
      <c r="BK282" s="729" t="e">
        <f ca="1">stat(calculs!BK282)</f>
        <v>#NAME?</v>
      </c>
      <c r="BL282" s="525" t="e">
        <f ca="1">stat(calculs!BL282)</f>
        <v>#NAME?</v>
      </c>
      <c r="BM282" s="525" t="e">
        <f ca="1">stat(calculs!BM282)</f>
        <v>#NAME?</v>
      </c>
      <c r="BN282" s="525" t="e">
        <f ca="1">stat(calculs!BN282)</f>
        <v>#NAME?</v>
      </c>
      <c r="BO282" s="525" t="e">
        <f ca="1">stat(calculs!BO282)</f>
        <v>#NAME?</v>
      </c>
      <c r="BP282" s="525" t="e">
        <f ca="1">stat(calculs!BP282)</f>
        <v>#NAME?</v>
      </c>
      <c r="BQ282" s="525" t="e">
        <f ca="1">stat(calculs!BQ282)</f>
        <v>#NAME?</v>
      </c>
      <c r="BR282" s="525" t="e">
        <f ca="1">stat(calculs!BR282)</f>
        <v>#NAME?</v>
      </c>
    </row>
    <row r="283" spans="1:70" x14ac:dyDescent="0.2">
      <c r="A283" s="222">
        <f>données_step[[#This Row],[Datum]]</f>
        <v>44834</v>
      </c>
      <c r="B283" s="223"/>
      <c r="C283" s="224">
        <f t="shared" si="4"/>
        <v>6</v>
      </c>
      <c r="D283" s="523" t="e">
        <f ca="1">stat(charge_entree[[#This Row],[ch_E_DBO5]])</f>
        <v>#NAME?</v>
      </c>
      <c r="E283" s="523" t="e">
        <f ca="1">stat(charge_entree[[#This Row],[ch_E_DCO]])</f>
        <v>#NAME?</v>
      </c>
      <c r="F283" s="523" t="e">
        <f ca="1">stat(charge_entree[[#This Row],[ch_E_COT]])</f>
        <v>#NAME?</v>
      </c>
      <c r="G283" s="523" t="e">
        <f ca="1">stat(charge_entree[[#This Row],[ch_E_NH4]])</f>
        <v>#NAME?</v>
      </c>
      <c r="H283" s="523" t="e">
        <f ca="1">stat(charge_entree[[#This Row],[ch_E_NTOT]])</f>
        <v>#NAME?</v>
      </c>
      <c r="I283" s="523" t="e">
        <f ca="1">stat(charge_entree[[#This Row],[ch_E_PTOT]])</f>
        <v>#NAME?</v>
      </c>
      <c r="J283" s="523" t="e">
        <f ca="1">stat(charge_entree[[#This Row],[ch_S_DBO]])</f>
        <v>#NAME?</v>
      </c>
      <c r="K283" s="523" t="e">
        <f ca="1">stat(charge_entree[[#This Row],[ch_S-DCO]])</f>
        <v>#NAME?</v>
      </c>
      <c r="L283" s="523" t="e">
        <f ca="1">stat(charge_entree[[#This Row],[ch_S_DOC]])</f>
        <v>#NAME?</v>
      </c>
      <c r="M283" s="523" t="e">
        <f ca="1">stat(charge_entree[[#This Row],[ch_S_NH4]])</f>
        <v>#NAME?</v>
      </c>
      <c r="N283" s="523" t="e">
        <f ca="1">stat(charge_entree[[#This Row],[ch_S_NO2]])</f>
        <v>#NAME?</v>
      </c>
      <c r="O283" s="523" t="e">
        <f ca="1">stat(charge_entree[[#This Row],[ch_S_NO3]])</f>
        <v>#NAME?</v>
      </c>
      <c r="P283" s="523" t="e">
        <f ca="1">stat(charge_entree[[#This Row],[ch_S_PTOT]])</f>
        <v>#NAME?</v>
      </c>
      <c r="Q283" s="523" t="e">
        <f ca="1">stat(charge_entree[[#This Row],[ch_S_SNDT]])</f>
        <v>#NAME?</v>
      </c>
      <c r="R283" s="523">
        <f>calculs!R283</f>
        <v>0</v>
      </c>
      <c r="S283" s="523" t="e">
        <f ca="1">stat(calculs!S283)</f>
        <v>#NAME?</v>
      </c>
      <c r="T283" s="523" t="e">
        <f ca="1">stat(calculs!T283)</f>
        <v>#NAME?</v>
      </c>
      <c r="U283" s="523" t="e">
        <f ca="1">stat(calculs!U283)</f>
        <v>#NAME?</v>
      </c>
      <c r="V283" s="523" t="e">
        <f ca="1">stat(calculs!V283)</f>
        <v>#NAME?</v>
      </c>
      <c r="W283" s="523" t="e">
        <f ca="1">stat(calculs!W283)</f>
        <v>#NAME?</v>
      </c>
      <c r="X283" s="523" t="e">
        <f ca="1">stat(calculs!X283)</f>
        <v>#NAME?</v>
      </c>
      <c r="Y283" s="523" t="e">
        <f ca="1">stat(calculs!Y283)</f>
        <v>#NAME?</v>
      </c>
      <c r="Z283" s="523" t="e">
        <f ca="1">stat(calculs!Z283)</f>
        <v>#NAME?</v>
      </c>
      <c r="AA283" s="523" t="e">
        <f ca="1">stat(calculs!AA283)</f>
        <v>#NAME?</v>
      </c>
      <c r="AB283" s="523" t="e">
        <f ca="1">stat(calculs!AB283)</f>
        <v>#NAME?</v>
      </c>
      <c r="AC283" s="523" t="e">
        <f ca="1">stat(calculs!AC283)</f>
        <v>#NAME?</v>
      </c>
      <c r="AD283" s="523" t="e">
        <f ca="1">stat(calculs!AD283)</f>
        <v>#NAME?</v>
      </c>
      <c r="AE283" s="523" t="e">
        <f ca="1">stat(calculs!AE283)</f>
        <v>#NAME?</v>
      </c>
      <c r="AF283" s="523" t="e">
        <f ca="1">stat(calculs!AF283)</f>
        <v>#NAME?</v>
      </c>
      <c r="AG283" s="523" t="e">
        <f ca="1">stat(calculs!AG283)</f>
        <v>#NAME?</v>
      </c>
      <c r="AH283" s="523" t="e">
        <f ca="1">stat(calculs!AH283)</f>
        <v>#NAME?</v>
      </c>
      <c r="AI283" s="523" t="e">
        <f ca="1">stat(calculs!AI283)</f>
        <v>#NAME?</v>
      </c>
      <c r="AJ283" s="523" t="e">
        <f ca="1">stat(calculs!AJ283)</f>
        <v>#NAME?</v>
      </c>
      <c r="AK283" s="523" t="e">
        <f ca="1">stat(calculs!AK283)</f>
        <v>#NAME?</v>
      </c>
      <c r="AL283" s="523" t="e">
        <f ca="1">stat(calculs!AL283)</f>
        <v>#NAME?</v>
      </c>
      <c r="AM283" s="523" t="e">
        <f ca="1">stat(calculs!AM283)</f>
        <v>#NAME?</v>
      </c>
      <c r="AN283" s="523" t="e">
        <f ca="1">stat(calculs!AN283)</f>
        <v>#NAME?</v>
      </c>
      <c r="AO283" s="523" t="e">
        <f ca="1">stat(calculs!AO283)</f>
        <v>#NAME?</v>
      </c>
      <c r="AP283" s="523" t="e">
        <f ca="1">stat(calculs!AP283)</f>
        <v>#NAME?</v>
      </c>
      <c r="AQ283" s="523" t="e">
        <f ca="1">stat(calculs!AQ283)</f>
        <v>#NAME?</v>
      </c>
      <c r="AV283" s="525" t="str">
        <f>stat(calculs!AV283)</f>
        <v/>
      </c>
      <c r="AW283" s="525" t="str">
        <f>stat(calculs!AW283)</f>
        <v/>
      </c>
      <c r="AX283" s="525" t="str">
        <f>stat(calculs!AX283)</f>
        <v/>
      </c>
      <c r="AY283" s="525" t="e">
        <f ca="1">stat(calculs!AY283)</f>
        <v>#NAME?</v>
      </c>
      <c r="AZ283" s="525" t="e">
        <f ca="1">stat(calculs!AZ283)</f>
        <v>#NAME?</v>
      </c>
      <c r="BA283" s="525" t="e">
        <f ca="1">stat(calculs!BA283)</f>
        <v>#NAME?</v>
      </c>
      <c r="BB283" s="525" t="e">
        <f ca="1">stat(calculs!BB283)</f>
        <v>#NAME?</v>
      </c>
      <c r="BC283" s="525" t="e">
        <f ca="1">stat(calculs!BC283)</f>
        <v>#NAME?</v>
      </c>
      <c r="BD283" s="525" t="e">
        <f ca="1">stat(calculs!BD283)</f>
        <v>#NAME?</v>
      </c>
      <c r="BE283" s="525" t="e">
        <f ca="1">stat(calculs!BE283)</f>
        <v>#NAME?</v>
      </c>
      <c r="BF283" s="525" t="e">
        <f ca="1">stat(calculs!BF283)</f>
        <v>#NAME?</v>
      </c>
      <c r="BG283" s="729" t="e">
        <f ca="1">stat(calculs!BG283)</f>
        <v>#NAME?</v>
      </c>
      <c r="BH283" s="729" t="e">
        <f ca="1">stat(calculs!BH283)</f>
        <v>#NAME?</v>
      </c>
      <c r="BI283" s="729" t="e">
        <f ca="1">stat(calculs!BI283)</f>
        <v>#NAME?</v>
      </c>
      <c r="BJ283" s="729" t="e">
        <f ca="1">stat(calculs!BJ283)</f>
        <v>#NAME?</v>
      </c>
      <c r="BK283" s="729" t="e">
        <f ca="1">stat(calculs!BK283)</f>
        <v>#NAME?</v>
      </c>
      <c r="BL283" s="525" t="e">
        <f ca="1">stat(calculs!BL283)</f>
        <v>#NAME?</v>
      </c>
      <c r="BM283" s="525" t="e">
        <f ca="1">stat(calculs!BM283)</f>
        <v>#NAME?</v>
      </c>
      <c r="BN283" s="525" t="e">
        <f ca="1">stat(calculs!BN283)</f>
        <v>#NAME?</v>
      </c>
      <c r="BO283" s="525" t="e">
        <f ca="1">stat(calculs!BO283)</f>
        <v>#NAME?</v>
      </c>
      <c r="BP283" s="525" t="e">
        <f ca="1">stat(calculs!BP283)</f>
        <v>#NAME?</v>
      </c>
      <c r="BQ283" s="525" t="e">
        <f ca="1">stat(calculs!BQ283)</f>
        <v>#NAME?</v>
      </c>
      <c r="BR283" s="525" t="e">
        <f ca="1">stat(calculs!BR283)</f>
        <v>#NAME?</v>
      </c>
    </row>
    <row r="284" spans="1:70" x14ac:dyDescent="0.2">
      <c r="A284" s="222">
        <f>données_step[[#This Row],[Datum]]</f>
        <v>44835</v>
      </c>
      <c r="B284" s="223"/>
      <c r="C284" s="224">
        <f t="shared" si="4"/>
        <v>7</v>
      </c>
      <c r="D284" s="523" t="e">
        <f ca="1">stat(charge_entree[[#This Row],[ch_E_DBO5]])</f>
        <v>#NAME?</v>
      </c>
      <c r="E284" s="523" t="e">
        <f ca="1">stat(charge_entree[[#This Row],[ch_E_DCO]])</f>
        <v>#NAME?</v>
      </c>
      <c r="F284" s="523" t="e">
        <f ca="1">stat(charge_entree[[#This Row],[ch_E_COT]])</f>
        <v>#NAME?</v>
      </c>
      <c r="G284" s="523" t="e">
        <f ca="1">stat(charge_entree[[#This Row],[ch_E_NH4]])</f>
        <v>#NAME?</v>
      </c>
      <c r="H284" s="523" t="e">
        <f ca="1">stat(charge_entree[[#This Row],[ch_E_NTOT]])</f>
        <v>#NAME?</v>
      </c>
      <c r="I284" s="523" t="e">
        <f ca="1">stat(charge_entree[[#This Row],[ch_E_PTOT]])</f>
        <v>#NAME?</v>
      </c>
      <c r="J284" s="523" t="e">
        <f ca="1">stat(charge_entree[[#This Row],[ch_S_DBO]])</f>
        <v>#NAME?</v>
      </c>
      <c r="K284" s="523" t="e">
        <f ca="1">stat(charge_entree[[#This Row],[ch_S-DCO]])</f>
        <v>#NAME?</v>
      </c>
      <c r="L284" s="523" t="e">
        <f ca="1">stat(charge_entree[[#This Row],[ch_S_DOC]])</f>
        <v>#NAME?</v>
      </c>
      <c r="M284" s="523" t="e">
        <f ca="1">stat(charge_entree[[#This Row],[ch_S_NH4]])</f>
        <v>#NAME?</v>
      </c>
      <c r="N284" s="523" t="e">
        <f ca="1">stat(charge_entree[[#This Row],[ch_S_NO2]])</f>
        <v>#NAME?</v>
      </c>
      <c r="O284" s="523" t="e">
        <f ca="1">stat(charge_entree[[#This Row],[ch_S_NO3]])</f>
        <v>#NAME?</v>
      </c>
      <c r="P284" s="523" t="e">
        <f ca="1">stat(charge_entree[[#This Row],[ch_S_PTOT]])</f>
        <v>#NAME?</v>
      </c>
      <c r="Q284" s="523" t="e">
        <f ca="1">stat(charge_entree[[#This Row],[ch_S_SNDT]])</f>
        <v>#NAME?</v>
      </c>
      <c r="R284" s="523">
        <f>calculs!R284</f>
        <v>0</v>
      </c>
      <c r="S284" s="523" t="e">
        <f ca="1">stat(calculs!S284)</f>
        <v>#NAME?</v>
      </c>
      <c r="T284" s="523" t="e">
        <f ca="1">stat(calculs!T284)</f>
        <v>#NAME?</v>
      </c>
      <c r="U284" s="523" t="e">
        <f ca="1">stat(calculs!U284)</f>
        <v>#NAME?</v>
      </c>
      <c r="V284" s="523" t="e">
        <f ca="1">stat(calculs!V284)</f>
        <v>#NAME?</v>
      </c>
      <c r="W284" s="523" t="e">
        <f ca="1">stat(calculs!W284)</f>
        <v>#NAME?</v>
      </c>
      <c r="X284" s="523" t="e">
        <f ca="1">stat(calculs!X284)</f>
        <v>#NAME?</v>
      </c>
      <c r="Y284" s="523" t="e">
        <f ca="1">stat(calculs!Y284)</f>
        <v>#NAME?</v>
      </c>
      <c r="Z284" s="523" t="e">
        <f ca="1">stat(calculs!Z284)</f>
        <v>#NAME?</v>
      </c>
      <c r="AA284" s="523" t="e">
        <f ca="1">stat(calculs!AA284)</f>
        <v>#NAME?</v>
      </c>
      <c r="AB284" s="523" t="e">
        <f ca="1">stat(calculs!AB284)</f>
        <v>#NAME?</v>
      </c>
      <c r="AC284" s="523" t="e">
        <f ca="1">stat(calculs!AC284)</f>
        <v>#NAME?</v>
      </c>
      <c r="AD284" s="523" t="e">
        <f ca="1">stat(calculs!AD284)</f>
        <v>#NAME?</v>
      </c>
      <c r="AE284" s="523" t="e">
        <f ca="1">stat(calculs!AE284)</f>
        <v>#NAME?</v>
      </c>
      <c r="AF284" s="523" t="e">
        <f ca="1">stat(calculs!AF284)</f>
        <v>#NAME?</v>
      </c>
      <c r="AG284" s="523" t="e">
        <f ca="1">stat(calculs!AG284)</f>
        <v>#NAME?</v>
      </c>
      <c r="AH284" s="523" t="e">
        <f ca="1">stat(calculs!AH284)</f>
        <v>#NAME?</v>
      </c>
      <c r="AI284" s="523" t="e">
        <f ca="1">stat(calculs!AI284)</f>
        <v>#NAME?</v>
      </c>
      <c r="AJ284" s="523" t="e">
        <f ca="1">stat(calculs!AJ284)</f>
        <v>#NAME?</v>
      </c>
      <c r="AK284" s="523" t="e">
        <f ca="1">stat(calculs!AK284)</f>
        <v>#NAME?</v>
      </c>
      <c r="AL284" s="523" t="e">
        <f ca="1">stat(calculs!AL284)</f>
        <v>#NAME?</v>
      </c>
      <c r="AM284" s="523" t="e">
        <f ca="1">stat(calculs!AM284)</f>
        <v>#NAME?</v>
      </c>
      <c r="AN284" s="523" t="e">
        <f ca="1">stat(calculs!AN284)</f>
        <v>#NAME?</v>
      </c>
      <c r="AO284" s="523" t="e">
        <f ca="1">stat(calculs!AO284)</f>
        <v>#NAME?</v>
      </c>
      <c r="AP284" s="523" t="e">
        <f ca="1">stat(calculs!AP284)</f>
        <v>#NAME?</v>
      </c>
      <c r="AQ284" s="523" t="e">
        <f ca="1">stat(calculs!AQ284)</f>
        <v>#NAME?</v>
      </c>
      <c r="AV284" s="525" t="str">
        <f>stat(calculs!AV284)</f>
        <v/>
      </c>
      <c r="AW284" s="525" t="str">
        <f>stat(calculs!AW284)</f>
        <v/>
      </c>
      <c r="AX284" s="525" t="str">
        <f>stat(calculs!AX284)</f>
        <v/>
      </c>
      <c r="AY284" s="525" t="e">
        <f ca="1">stat(calculs!AY284)</f>
        <v>#NAME?</v>
      </c>
      <c r="AZ284" s="525" t="e">
        <f ca="1">stat(calculs!AZ284)</f>
        <v>#NAME?</v>
      </c>
      <c r="BA284" s="525" t="e">
        <f ca="1">stat(calculs!BA284)</f>
        <v>#NAME?</v>
      </c>
      <c r="BB284" s="525" t="e">
        <f ca="1">stat(calculs!BB284)</f>
        <v>#NAME?</v>
      </c>
      <c r="BC284" s="525" t="e">
        <f ca="1">stat(calculs!BC284)</f>
        <v>#NAME?</v>
      </c>
      <c r="BD284" s="525" t="e">
        <f ca="1">stat(calculs!BD284)</f>
        <v>#NAME?</v>
      </c>
      <c r="BE284" s="525" t="e">
        <f ca="1">stat(calculs!BE284)</f>
        <v>#NAME?</v>
      </c>
      <c r="BF284" s="525" t="e">
        <f ca="1">stat(calculs!BF284)</f>
        <v>#NAME?</v>
      </c>
      <c r="BG284" s="729" t="e">
        <f ca="1">stat(calculs!BG284)</f>
        <v>#NAME?</v>
      </c>
      <c r="BH284" s="729" t="e">
        <f ca="1">stat(calculs!BH284)</f>
        <v>#NAME?</v>
      </c>
      <c r="BI284" s="729" t="e">
        <f ca="1">stat(calculs!BI284)</f>
        <v>#NAME?</v>
      </c>
      <c r="BJ284" s="729" t="e">
        <f ca="1">stat(calculs!BJ284)</f>
        <v>#NAME?</v>
      </c>
      <c r="BK284" s="729" t="e">
        <f ca="1">stat(calculs!BK284)</f>
        <v>#NAME?</v>
      </c>
      <c r="BL284" s="525" t="e">
        <f ca="1">stat(calculs!BL284)</f>
        <v>#NAME?</v>
      </c>
      <c r="BM284" s="525" t="e">
        <f ca="1">stat(calculs!BM284)</f>
        <v>#NAME?</v>
      </c>
      <c r="BN284" s="525" t="e">
        <f ca="1">stat(calculs!BN284)</f>
        <v>#NAME?</v>
      </c>
      <c r="BO284" s="525" t="e">
        <f ca="1">stat(calculs!BO284)</f>
        <v>#NAME?</v>
      </c>
      <c r="BP284" s="525" t="e">
        <f ca="1">stat(calculs!BP284)</f>
        <v>#NAME?</v>
      </c>
      <c r="BQ284" s="525" t="e">
        <f ca="1">stat(calculs!BQ284)</f>
        <v>#NAME?</v>
      </c>
      <c r="BR284" s="525" t="e">
        <f ca="1">stat(calculs!BR284)</f>
        <v>#NAME?</v>
      </c>
    </row>
    <row r="285" spans="1:70" x14ac:dyDescent="0.2">
      <c r="A285" s="222">
        <f>données_step[[#This Row],[Datum]]</f>
        <v>44836</v>
      </c>
      <c r="B285" s="223"/>
      <c r="C285" s="224">
        <f t="shared" si="4"/>
        <v>1</v>
      </c>
      <c r="D285" s="523" t="e">
        <f ca="1">stat(charge_entree[[#This Row],[ch_E_DBO5]])</f>
        <v>#NAME?</v>
      </c>
      <c r="E285" s="523" t="e">
        <f ca="1">stat(charge_entree[[#This Row],[ch_E_DCO]])</f>
        <v>#NAME?</v>
      </c>
      <c r="F285" s="523" t="e">
        <f ca="1">stat(charge_entree[[#This Row],[ch_E_COT]])</f>
        <v>#NAME?</v>
      </c>
      <c r="G285" s="523" t="e">
        <f ca="1">stat(charge_entree[[#This Row],[ch_E_NH4]])</f>
        <v>#NAME?</v>
      </c>
      <c r="H285" s="523" t="e">
        <f ca="1">stat(charge_entree[[#This Row],[ch_E_NTOT]])</f>
        <v>#NAME?</v>
      </c>
      <c r="I285" s="523" t="e">
        <f ca="1">stat(charge_entree[[#This Row],[ch_E_PTOT]])</f>
        <v>#NAME?</v>
      </c>
      <c r="J285" s="523" t="e">
        <f ca="1">stat(charge_entree[[#This Row],[ch_S_DBO]])</f>
        <v>#NAME?</v>
      </c>
      <c r="K285" s="523" t="e">
        <f ca="1">stat(charge_entree[[#This Row],[ch_S-DCO]])</f>
        <v>#NAME?</v>
      </c>
      <c r="L285" s="523" t="e">
        <f ca="1">stat(charge_entree[[#This Row],[ch_S_DOC]])</f>
        <v>#NAME?</v>
      </c>
      <c r="M285" s="523" t="e">
        <f ca="1">stat(charge_entree[[#This Row],[ch_S_NH4]])</f>
        <v>#NAME?</v>
      </c>
      <c r="N285" s="523" t="e">
        <f ca="1">stat(charge_entree[[#This Row],[ch_S_NO2]])</f>
        <v>#NAME?</v>
      </c>
      <c r="O285" s="523" t="e">
        <f ca="1">stat(charge_entree[[#This Row],[ch_S_NO3]])</f>
        <v>#NAME?</v>
      </c>
      <c r="P285" s="523" t="e">
        <f ca="1">stat(charge_entree[[#This Row],[ch_S_PTOT]])</f>
        <v>#NAME?</v>
      </c>
      <c r="Q285" s="523" t="e">
        <f ca="1">stat(charge_entree[[#This Row],[ch_S_SNDT]])</f>
        <v>#NAME?</v>
      </c>
      <c r="R285" s="523">
        <f>calculs!R285</f>
        <v>0</v>
      </c>
      <c r="S285" s="523" t="e">
        <f ca="1">stat(calculs!S285)</f>
        <v>#NAME?</v>
      </c>
      <c r="T285" s="523" t="e">
        <f ca="1">stat(calculs!T285)</f>
        <v>#NAME?</v>
      </c>
      <c r="U285" s="523" t="e">
        <f ca="1">stat(calculs!U285)</f>
        <v>#NAME?</v>
      </c>
      <c r="V285" s="523" t="e">
        <f ca="1">stat(calculs!V285)</f>
        <v>#NAME?</v>
      </c>
      <c r="W285" s="523" t="e">
        <f ca="1">stat(calculs!W285)</f>
        <v>#NAME?</v>
      </c>
      <c r="X285" s="523" t="e">
        <f ca="1">stat(calculs!X285)</f>
        <v>#NAME?</v>
      </c>
      <c r="Y285" s="523" t="e">
        <f ca="1">stat(calculs!Y285)</f>
        <v>#NAME?</v>
      </c>
      <c r="Z285" s="523" t="e">
        <f ca="1">stat(calculs!Z285)</f>
        <v>#NAME?</v>
      </c>
      <c r="AA285" s="523" t="e">
        <f ca="1">stat(calculs!AA285)</f>
        <v>#NAME?</v>
      </c>
      <c r="AB285" s="523" t="e">
        <f ca="1">stat(calculs!AB285)</f>
        <v>#NAME?</v>
      </c>
      <c r="AC285" s="523" t="e">
        <f ca="1">stat(calculs!AC285)</f>
        <v>#NAME?</v>
      </c>
      <c r="AD285" s="523" t="e">
        <f ca="1">stat(calculs!AD285)</f>
        <v>#NAME?</v>
      </c>
      <c r="AE285" s="523" t="e">
        <f ca="1">stat(calculs!AE285)</f>
        <v>#NAME?</v>
      </c>
      <c r="AF285" s="523" t="e">
        <f ca="1">stat(calculs!AF285)</f>
        <v>#NAME?</v>
      </c>
      <c r="AG285" s="523" t="e">
        <f ca="1">stat(calculs!AG285)</f>
        <v>#NAME?</v>
      </c>
      <c r="AH285" s="523" t="e">
        <f ca="1">stat(calculs!AH285)</f>
        <v>#NAME?</v>
      </c>
      <c r="AI285" s="523" t="e">
        <f ca="1">stat(calculs!AI285)</f>
        <v>#NAME?</v>
      </c>
      <c r="AJ285" s="523" t="e">
        <f ca="1">stat(calculs!AJ285)</f>
        <v>#NAME?</v>
      </c>
      <c r="AK285" s="523" t="e">
        <f ca="1">stat(calculs!AK285)</f>
        <v>#NAME?</v>
      </c>
      <c r="AL285" s="523" t="e">
        <f ca="1">stat(calculs!AL285)</f>
        <v>#NAME?</v>
      </c>
      <c r="AM285" s="523" t="e">
        <f ca="1">stat(calculs!AM285)</f>
        <v>#NAME?</v>
      </c>
      <c r="AN285" s="523" t="e">
        <f ca="1">stat(calculs!AN285)</f>
        <v>#NAME?</v>
      </c>
      <c r="AO285" s="523" t="e">
        <f ca="1">stat(calculs!AO285)</f>
        <v>#NAME?</v>
      </c>
      <c r="AP285" s="523" t="e">
        <f ca="1">stat(calculs!AP285)</f>
        <v>#NAME?</v>
      </c>
      <c r="AQ285" s="523" t="e">
        <f ca="1">stat(calculs!AQ285)</f>
        <v>#NAME?</v>
      </c>
      <c r="AV285" s="525" t="str">
        <f>stat(calculs!AV285)</f>
        <v/>
      </c>
      <c r="AW285" s="525" t="str">
        <f>stat(calculs!AW285)</f>
        <v/>
      </c>
      <c r="AX285" s="525" t="str">
        <f>stat(calculs!AX285)</f>
        <v/>
      </c>
      <c r="AY285" s="525" t="e">
        <f ca="1">stat(calculs!AY285)</f>
        <v>#NAME?</v>
      </c>
      <c r="AZ285" s="525" t="e">
        <f ca="1">stat(calculs!AZ285)</f>
        <v>#NAME?</v>
      </c>
      <c r="BA285" s="525" t="e">
        <f ca="1">stat(calculs!BA285)</f>
        <v>#NAME?</v>
      </c>
      <c r="BB285" s="525" t="e">
        <f ca="1">stat(calculs!BB285)</f>
        <v>#NAME?</v>
      </c>
      <c r="BC285" s="525" t="e">
        <f ca="1">stat(calculs!BC285)</f>
        <v>#NAME?</v>
      </c>
      <c r="BD285" s="525" t="e">
        <f ca="1">stat(calculs!BD285)</f>
        <v>#NAME?</v>
      </c>
      <c r="BE285" s="525" t="e">
        <f ca="1">stat(calculs!BE285)</f>
        <v>#NAME?</v>
      </c>
      <c r="BF285" s="525" t="e">
        <f ca="1">stat(calculs!BF285)</f>
        <v>#NAME?</v>
      </c>
      <c r="BG285" s="729" t="e">
        <f ca="1">stat(calculs!BG285)</f>
        <v>#NAME?</v>
      </c>
      <c r="BH285" s="729" t="e">
        <f ca="1">stat(calculs!BH285)</f>
        <v>#NAME?</v>
      </c>
      <c r="BI285" s="729" t="e">
        <f ca="1">stat(calculs!BI285)</f>
        <v>#NAME?</v>
      </c>
      <c r="BJ285" s="729" t="e">
        <f ca="1">stat(calculs!BJ285)</f>
        <v>#NAME?</v>
      </c>
      <c r="BK285" s="729" t="e">
        <f ca="1">stat(calculs!BK285)</f>
        <v>#NAME?</v>
      </c>
      <c r="BL285" s="525" t="e">
        <f ca="1">stat(calculs!BL285)</f>
        <v>#NAME?</v>
      </c>
      <c r="BM285" s="525" t="e">
        <f ca="1">stat(calculs!BM285)</f>
        <v>#NAME?</v>
      </c>
      <c r="BN285" s="525" t="e">
        <f ca="1">stat(calculs!BN285)</f>
        <v>#NAME?</v>
      </c>
      <c r="BO285" s="525" t="e">
        <f ca="1">stat(calculs!BO285)</f>
        <v>#NAME?</v>
      </c>
      <c r="BP285" s="525" t="e">
        <f ca="1">stat(calculs!BP285)</f>
        <v>#NAME?</v>
      </c>
      <c r="BQ285" s="525" t="e">
        <f ca="1">stat(calculs!BQ285)</f>
        <v>#NAME?</v>
      </c>
      <c r="BR285" s="525" t="e">
        <f ca="1">stat(calculs!BR285)</f>
        <v>#NAME?</v>
      </c>
    </row>
    <row r="286" spans="1:70" x14ac:dyDescent="0.2">
      <c r="A286" s="222">
        <f>données_step[[#This Row],[Datum]]</f>
        <v>44837</v>
      </c>
      <c r="B286" s="223"/>
      <c r="C286" s="224">
        <f t="shared" si="4"/>
        <v>2</v>
      </c>
      <c r="D286" s="523" t="e">
        <f ca="1">stat(charge_entree[[#This Row],[ch_E_DBO5]])</f>
        <v>#NAME?</v>
      </c>
      <c r="E286" s="523" t="e">
        <f ca="1">stat(charge_entree[[#This Row],[ch_E_DCO]])</f>
        <v>#NAME?</v>
      </c>
      <c r="F286" s="523" t="e">
        <f ca="1">stat(charge_entree[[#This Row],[ch_E_COT]])</f>
        <v>#NAME?</v>
      </c>
      <c r="G286" s="523" t="e">
        <f ca="1">stat(charge_entree[[#This Row],[ch_E_NH4]])</f>
        <v>#NAME?</v>
      </c>
      <c r="H286" s="523" t="e">
        <f ca="1">stat(charge_entree[[#This Row],[ch_E_NTOT]])</f>
        <v>#NAME?</v>
      </c>
      <c r="I286" s="523" t="e">
        <f ca="1">stat(charge_entree[[#This Row],[ch_E_PTOT]])</f>
        <v>#NAME?</v>
      </c>
      <c r="J286" s="523" t="e">
        <f ca="1">stat(charge_entree[[#This Row],[ch_S_DBO]])</f>
        <v>#NAME?</v>
      </c>
      <c r="K286" s="523" t="e">
        <f ca="1">stat(charge_entree[[#This Row],[ch_S-DCO]])</f>
        <v>#NAME?</v>
      </c>
      <c r="L286" s="523" t="e">
        <f ca="1">stat(charge_entree[[#This Row],[ch_S_DOC]])</f>
        <v>#NAME?</v>
      </c>
      <c r="M286" s="523" t="e">
        <f ca="1">stat(charge_entree[[#This Row],[ch_S_NH4]])</f>
        <v>#NAME?</v>
      </c>
      <c r="N286" s="523" t="e">
        <f ca="1">stat(charge_entree[[#This Row],[ch_S_NO2]])</f>
        <v>#NAME?</v>
      </c>
      <c r="O286" s="523" t="e">
        <f ca="1">stat(charge_entree[[#This Row],[ch_S_NO3]])</f>
        <v>#NAME?</v>
      </c>
      <c r="P286" s="523" t="e">
        <f ca="1">stat(charge_entree[[#This Row],[ch_S_PTOT]])</f>
        <v>#NAME?</v>
      </c>
      <c r="Q286" s="523" t="e">
        <f ca="1">stat(charge_entree[[#This Row],[ch_S_SNDT]])</f>
        <v>#NAME?</v>
      </c>
      <c r="R286" s="523">
        <f>calculs!R286</f>
        <v>0</v>
      </c>
      <c r="S286" s="523" t="e">
        <f ca="1">stat(calculs!S286)</f>
        <v>#NAME?</v>
      </c>
      <c r="T286" s="523" t="e">
        <f ca="1">stat(calculs!T286)</f>
        <v>#NAME?</v>
      </c>
      <c r="U286" s="523" t="e">
        <f ca="1">stat(calculs!U286)</f>
        <v>#NAME?</v>
      </c>
      <c r="V286" s="523" t="e">
        <f ca="1">stat(calculs!V286)</f>
        <v>#NAME?</v>
      </c>
      <c r="W286" s="523" t="e">
        <f ca="1">stat(calculs!W286)</f>
        <v>#NAME?</v>
      </c>
      <c r="X286" s="523" t="e">
        <f ca="1">stat(calculs!X286)</f>
        <v>#NAME?</v>
      </c>
      <c r="Y286" s="523" t="e">
        <f ca="1">stat(calculs!Y286)</f>
        <v>#NAME?</v>
      </c>
      <c r="Z286" s="523" t="e">
        <f ca="1">stat(calculs!Z286)</f>
        <v>#NAME?</v>
      </c>
      <c r="AA286" s="523" t="e">
        <f ca="1">stat(calculs!AA286)</f>
        <v>#NAME?</v>
      </c>
      <c r="AB286" s="523" t="e">
        <f ca="1">stat(calculs!AB286)</f>
        <v>#NAME?</v>
      </c>
      <c r="AC286" s="523" t="e">
        <f ca="1">stat(calculs!AC286)</f>
        <v>#NAME?</v>
      </c>
      <c r="AD286" s="523" t="e">
        <f ca="1">stat(calculs!AD286)</f>
        <v>#NAME?</v>
      </c>
      <c r="AE286" s="523" t="e">
        <f ca="1">stat(calculs!AE286)</f>
        <v>#NAME?</v>
      </c>
      <c r="AF286" s="523" t="e">
        <f ca="1">stat(calculs!AF286)</f>
        <v>#NAME?</v>
      </c>
      <c r="AG286" s="523" t="e">
        <f ca="1">stat(calculs!AG286)</f>
        <v>#NAME?</v>
      </c>
      <c r="AH286" s="523" t="e">
        <f ca="1">stat(calculs!AH286)</f>
        <v>#NAME?</v>
      </c>
      <c r="AI286" s="523" t="e">
        <f ca="1">stat(calculs!AI286)</f>
        <v>#NAME?</v>
      </c>
      <c r="AJ286" s="523" t="e">
        <f ca="1">stat(calculs!AJ286)</f>
        <v>#NAME?</v>
      </c>
      <c r="AK286" s="523" t="e">
        <f ca="1">stat(calculs!AK286)</f>
        <v>#NAME?</v>
      </c>
      <c r="AL286" s="523" t="e">
        <f ca="1">stat(calculs!AL286)</f>
        <v>#NAME?</v>
      </c>
      <c r="AM286" s="523" t="e">
        <f ca="1">stat(calculs!AM286)</f>
        <v>#NAME?</v>
      </c>
      <c r="AN286" s="523" t="e">
        <f ca="1">stat(calculs!AN286)</f>
        <v>#NAME?</v>
      </c>
      <c r="AO286" s="523" t="e">
        <f ca="1">stat(calculs!AO286)</f>
        <v>#NAME?</v>
      </c>
      <c r="AP286" s="523" t="e">
        <f ca="1">stat(calculs!AP286)</f>
        <v>#NAME?</v>
      </c>
      <c r="AQ286" s="523" t="e">
        <f ca="1">stat(calculs!AQ286)</f>
        <v>#NAME?</v>
      </c>
      <c r="AV286" s="525" t="str">
        <f>stat(calculs!AV286)</f>
        <v/>
      </c>
      <c r="AW286" s="525" t="str">
        <f>stat(calculs!AW286)</f>
        <v/>
      </c>
      <c r="AX286" s="525" t="str">
        <f>stat(calculs!AX286)</f>
        <v/>
      </c>
      <c r="AY286" s="525" t="e">
        <f ca="1">stat(calculs!AY286)</f>
        <v>#NAME?</v>
      </c>
      <c r="AZ286" s="525" t="e">
        <f ca="1">stat(calculs!AZ286)</f>
        <v>#NAME?</v>
      </c>
      <c r="BA286" s="525" t="e">
        <f ca="1">stat(calculs!BA286)</f>
        <v>#NAME?</v>
      </c>
      <c r="BB286" s="525" t="e">
        <f ca="1">stat(calculs!BB286)</f>
        <v>#NAME?</v>
      </c>
      <c r="BC286" s="525" t="e">
        <f ca="1">stat(calculs!BC286)</f>
        <v>#NAME?</v>
      </c>
      <c r="BD286" s="525" t="e">
        <f ca="1">stat(calculs!BD286)</f>
        <v>#NAME?</v>
      </c>
      <c r="BE286" s="525" t="e">
        <f ca="1">stat(calculs!BE286)</f>
        <v>#NAME?</v>
      </c>
      <c r="BF286" s="525" t="e">
        <f ca="1">stat(calculs!BF286)</f>
        <v>#NAME?</v>
      </c>
      <c r="BG286" s="729" t="e">
        <f ca="1">stat(calculs!BG286)</f>
        <v>#NAME?</v>
      </c>
      <c r="BH286" s="729" t="e">
        <f ca="1">stat(calculs!BH286)</f>
        <v>#NAME?</v>
      </c>
      <c r="BI286" s="729" t="e">
        <f ca="1">stat(calculs!BI286)</f>
        <v>#NAME?</v>
      </c>
      <c r="BJ286" s="729" t="e">
        <f ca="1">stat(calculs!BJ286)</f>
        <v>#NAME?</v>
      </c>
      <c r="BK286" s="729" t="e">
        <f ca="1">stat(calculs!BK286)</f>
        <v>#NAME?</v>
      </c>
      <c r="BL286" s="525" t="e">
        <f ca="1">stat(calculs!BL286)</f>
        <v>#NAME?</v>
      </c>
      <c r="BM286" s="525" t="e">
        <f ca="1">stat(calculs!BM286)</f>
        <v>#NAME?</v>
      </c>
      <c r="BN286" s="525" t="e">
        <f ca="1">stat(calculs!BN286)</f>
        <v>#NAME?</v>
      </c>
      <c r="BO286" s="525" t="e">
        <f ca="1">stat(calculs!BO286)</f>
        <v>#NAME?</v>
      </c>
      <c r="BP286" s="525" t="e">
        <f ca="1">stat(calculs!BP286)</f>
        <v>#NAME?</v>
      </c>
      <c r="BQ286" s="525" t="e">
        <f ca="1">stat(calculs!BQ286)</f>
        <v>#NAME?</v>
      </c>
      <c r="BR286" s="525" t="e">
        <f ca="1">stat(calculs!BR286)</f>
        <v>#NAME?</v>
      </c>
    </row>
    <row r="287" spans="1:70" x14ac:dyDescent="0.2">
      <c r="A287" s="222">
        <f>données_step[[#This Row],[Datum]]</f>
        <v>44838</v>
      </c>
      <c r="B287" s="223"/>
      <c r="C287" s="224">
        <f t="shared" si="4"/>
        <v>3</v>
      </c>
      <c r="D287" s="523" t="e">
        <f ca="1">stat(charge_entree[[#This Row],[ch_E_DBO5]])</f>
        <v>#NAME?</v>
      </c>
      <c r="E287" s="523" t="e">
        <f ca="1">stat(charge_entree[[#This Row],[ch_E_DCO]])</f>
        <v>#NAME?</v>
      </c>
      <c r="F287" s="523" t="e">
        <f ca="1">stat(charge_entree[[#This Row],[ch_E_COT]])</f>
        <v>#NAME?</v>
      </c>
      <c r="G287" s="523" t="e">
        <f ca="1">stat(charge_entree[[#This Row],[ch_E_NH4]])</f>
        <v>#NAME?</v>
      </c>
      <c r="H287" s="523" t="e">
        <f ca="1">stat(charge_entree[[#This Row],[ch_E_NTOT]])</f>
        <v>#NAME?</v>
      </c>
      <c r="I287" s="523" t="e">
        <f ca="1">stat(charge_entree[[#This Row],[ch_E_PTOT]])</f>
        <v>#NAME?</v>
      </c>
      <c r="J287" s="523" t="e">
        <f ca="1">stat(charge_entree[[#This Row],[ch_S_DBO]])</f>
        <v>#NAME?</v>
      </c>
      <c r="K287" s="523" t="e">
        <f ca="1">stat(charge_entree[[#This Row],[ch_S-DCO]])</f>
        <v>#NAME?</v>
      </c>
      <c r="L287" s="523" t="e">
        <f ca="1">stat(charge_entree[[#This Row],[ch_S_DOC]])</f>
        <v>#NAME?</v>
      </c>
      <c r="M287" s="523" t="e">
        <f ca="1">stat(charge_entree[[#This Row],[ch_S_NH4]])</f>
        <v>#NAME?</v>
      </c>
      <c r="N287" s="523" t="e">
        <f ca="1">stat(charge_entree[[#This Row],[ch_S_NO2]])</f>
        <v>#NAME?</v>
      </c>
      <c r="O287" s="523" t="e">
        <f ca="1">stat(charge_entree[[#This Row],[ch_S_NO3]])</f>
        <v>#NAME?</v>
      </c>
      <c r="P287" s="523" t="e">
        <f ca="1">stat(charge_entree[[#This Row],[ch_S_PTOT]])</f>
        <v>#NAME?</v>
      </c>
      <c r="Q287" s="523" t="e">
        <f ca="1">stat(charge_entree[[#This Row],[ch_S_SNDT]])</f>
        <v>#NAME?</v>
      </c>
      <c r="R287" s="523">
        <f>calculs!R287</f>
        <v>0</v>
      </c>
      <c r="S287" s="523" t="e">
        <f ca="1">stat(calculs!S287)</f>
        <v>#NAME?</v>
      </c>
      <c r="T287" s="523" t="e">
        <f ca="1">stat(calculs!T287)</f>
        <v>#NAME?</v>
      </c>
      <c r="U287" s="523" t="e">
        <f ca="1">stat(calculs!U287)</f>
        <v>#NAME?</v>
      </c>
      <c r="V287" s="523" t="e">
        <f ca="1">stat(calculs!V287)</f>
        <v>#NAME?</v>
      </c>
      <c r="W287" s="523" t="e">
        <f ca="1">stat(calculs!W287)</f>
        <v>#NAME?</v>
      </c>
      <c r="X287" s="523" t="e">
        <f ca="1">stat(calculs!X287)</f>
        <v>#NAME?</v>
      </c>
      <c r="Y287" s="523" t="e">
        <f ca="1">stat(calculs!Y287)</f>
        <v>#NAME?</v>
      </c>
      <c r="Z287" s="523" t="e">
        <f ca="1">stat(calculs!Z287)</f>
        <v>#NAME?</v>
      </c>
      <c r="AA287" s="523" t="e">
        <f ca="1">stat(calculs!AA287)</f>
        <v>#NAME?</v>
      </c>
      <c r="AB287" s="523" t="e">
        <f ca="1">stat(calculs!AB287)</f>
        <v>#NAME?</v>
      </c>
      <c r="AC287" s="523" t="e">
        <f ca="1">stat(calculs!AC287)</f>
        <v>#NAME?</v>
      </c>
      <c r="AD287" s="523" t="e">
        <f ca="1">stat(calculs!AD287)</f>
        <v>#NAME?</v>
      </c>
      <c r="AE287" s="523" t="e">
        <f ca="1">stat(calculs!AE287)</f>
        <v>#NAME?</v>
      </c>
      <c r="AF287" s="523" t="e">
        <f ca="1">stat(calculs!AF287)</f>
        <v>#NAME?</v>
      </c>
      <c r="AG287" s="523" t="e">
        <f ca="1">stat(calculs!AG287)</f>
        <v>#NAME?</v>
      </c>
      <c r="AH287" s="523" t="e">
        <f ca="1">stat(calculs!AH287)</f>
        <v>#NAME?</v>
      </c>
      <c r="AI287" s="523" t="e">
        <f ca="1">stat(calculs!AI287)</f>
        <v>#NAME?</v>
      </c>
      <c r="AJ287" s="523" t="e">
        <f ca="1">stat(calculs!AJ287)</f>
        <v>#NAME?</v>
      </c>
      <c r="AK287" s="523" t="e">
        <f ca="1">stat(calculs!AK287)</f>
        <v>#NAME?</v>
      </c>
      <c r="AL287" s="523" t="e">
        <f ca="1">stat(calculs!AL287)</f>
        <v>#NAME?</v>
      </c>
      <c r="AM287" s="523" t="e">
        <f ca="1">stat(calculs!AM287)</f>
        <v>#NAME?</v>
      </c>
      <c r="AN287" s="523" t="e">
        <f ca="1">stat(calculs!AN287)</f>
        <v>#NAME?</v>
      </c>
      <c r="AO287" s="523" t="e">
        <f ca="1">stat(calculs!AO287)</f>
        <v>#NAME?</v>
      </c>
      <c r="AP287" s="523" t="e">
        <f ca="1">stat(calculs!AP287)</f>
        <v>#NAME?</v>
      </c>
      <c r="AQ287" s="523" t="e">
        <f ca="1">stat(calculs!AQ287)</f>
        <v>#NAME?</v>
      </c>
      <c r="AV287" s="525" t="str">
        <f>stat(calculs!AV287)</f>
        <v/>
      </c>
      <c r="AW287" s="525" t="str">
        <f>stat(calculs!AW287)</f>
        <v/>
      </c>
      <c r="AX287" s="525" t="str">
        <f>stat(calculs!AX287)</f>
        <v/>
      </c>
      <c r="AY287" s="525" t="e">
        <f ca="1">stat(calculs!AY287)</f>
        <v>#NAME?</v>
      </c>
      <c r="AZ287" s="525" t="e">
        <f ca="1">stat(calculs!AZ287)</f>
        <v>#NAME?</v>
      </c>
      <c r="BA287" s="525" t="e">
        <f ca="1">stat(calculs!BA287)</f>
        <v>#NAME?</v>
      </c>
      <c r="BB287" s="525" t="e">
        <f ca="1">stat(calculs!BB287)</f>
        <v>#NAME?</v>
      </c>
      <c r="BC287" s="525" t="e">
        <f ca="1">stat(calculs!BC287)</f>
        <v>#NAME?</v>
      </c>
      <c r="BD287" s="525" t="e">
        <f ca="1">stat(calculs!BD287)</f>
        <v>#NAME?</v>
      </c>
      <c r="BE287" s="525" t="e">
        <f ca="1">stat(calculs!BE287)</f>
        <v>#NAME?</v>
      </c>
      <c r="BF287" s="525" t="e">
        <f ca="1">stat(calculs!BF287)</f>
        <v>#NAME?</v>
      </c>
      <c r="BG287" s="729" t="e">
        <f ca="1">stat(calculs!BG287)</f>
        <v>#NAME?</v>
      </c>
      <c r="BH287" s="729" t="e">
        <f ca="1">stat(calculs!BH287)</f>
        <v>#NAME?</v>
      </c>
      <c r="BI287" s="729" t="e">
        <f ca="1">stat(calculs!BI287)</f>
        <v>#NAME?</v>
      </c>
      <c r="BJ287" s="729" t="e">
        <f ca="1">stat(calculs!BJ287)</f>
        <v>#NAME?</v>
      </c>
      <c r="BK287" s="729" t="e">
        <f ca="1">stat(calculs!BK287)</f>
        <v>#NAME?</v>
      </c>
      <c r="BL287" s="525" t="e">
        <f ca="1">stat(calculs!BL287)</f>
        <v>#NAME?</v>
      </c>
      <c r="BM287" s="525" t="e">
        <f ca="1">stat(calculs!BM287)</f>
        <v>#NAME?</v>
      </c>
      <c r="BN287" s="525" t="e">
        <f ca="1">stat(calculs!BN287)</f>
        <v>#NAME?</v>
      </c>
      <c r="BO287" s="525" t="e">
        <f ca="1">stat(calculs!BO287)</f>
        <v>#NAME?</v>
      </c>
      <c r="BP287" s="525" t="e">
        <f ca="1">stat(calculs!BP287)</f>
        <v>#NAME?</v>
      </c>
      <c r="BQ287" s="525" t="e">
        <f ca="1">stat(calculs!BQ287)</f>
        <v>#NAME?</v>
      </c>
      <c r="BR287" s="525" t="e">
        <f ca="1">stat(calculs!BR287)</f>
        <v>#NAME?</v>
      </c>
    </row>
    <row r="288" spans="1:70" x14ac:dyDescent="0.2">
      <c r="A288" s="222">
        <f>données_step[[#This Row],[Datum]]</f>
        <v>44839</v>
      </c>
      <c r="B288" s="223"/>
      <c r="C288" s="224">
        <f t="shared" si="4"/>
        <v>4</v>
      </c>
      <c r="D288" s="523" t="e">
        <f ca="1">stat(charge_entree[[#This Row],[ch_E_DBO5]])</f>
        <v>#NAME?</v>
      </c>
      <c r="E288" s="523" t="e">
        <f ca="1">stat(charge_entree[[#This Row],[ch_E_DCO]])</f>
        <v>#NAME?</v>
      </c>
      <c r="F288" s="523" t="e">
        <f ca="1">stat(charge_entree[[#This Row],[ch_E_COT]])</f>
        <v>#NAME?</v>
      </c>
      <c r="G288" s="523" t="e">
        <f ca="1">stat(charge_entree[[#This Row],[ch_E_NH4]])</f>
        <v>#NAME?</v>
      </c>
      <c r="H288" s="523" t="e">
        <f ca="1">stat(charge_entree[[#This Row],[ch_E_NTOT]])</f>
        <v>#NAME?</v>
      </c>
      <c r="I288" s="523" t="e">
        <f ca="1">stat(charge_entree[[#This Row],[ch_E_PTOT]])</f>
        <v>#NAME?</v>
      </c>
      <c r="J288" s="523" t="e">
        <f ca="1">stat(charge_entree[[#This Row],[ch_S_DBO]])</f>
        <v>#NAME?</v>
      </c>
      <c r="K288" s="523" t="e">
        <f ca="1">stat(charge_entree[[#This Row],[ch_S-DCO]])</f>
        <v>#NAME?</v>
      </c>
      <c r="L288" s="523" t="e">
        <f ca="1">stat(charge_entree[[#This Row],[ch_S_DOC]])</f>
        <v>#NAME?</v>
      </c>
      <c r="M288" s="523" t="e">
        <f ca="1">stat(charge_entree[[#This Row],[ch_S_NH4]])</f>
        <v>#NAME?</v>
      </c>
      <c r="N288" s="523" t="e">
        <f ca="1">stat(charge_entree[[#This Row],[ch_S_NO2]])</f>
        <v>#NAME?</v>
      </c>
      <c r="O288" s="523" t="e">
        <f ca="1">stat(charge_entree[[#This Row],[ch_S_NO3]])</f>
        <v>#NAME?</v>
      </c>
      <c r="P288" s="523" t="e">
        <f ca="1">stat(charge_entree[[#This Row],[ch_S_PTOT]])</f>
        <v>#NAME?</v>
      </c>
      <c r="Q288" s="523" t="e">
        <f ca="1">stat(charge_entree[[#This Row],[ch_S_SNDT]])</f>
        <v>#NAME?</v>
      </c>
      <c r="R288" s="523">
        <f>calculs!R288</f>
        <v>0</v>
      </c>
      <c r="S288" s="523" t="e">
        <f ca="1">stat(calculs!S288)</f>
        <v>#NAME?</v>
      </c>
      <c r="T288" s="523" t="e">
        <f ca="1">stat(calculs!T288)</f>
        <v>#NAME?</v>
      </c>
      <c r="U288" s="523" t="e">
        <f ca="1">stat(calculs!U288)</f>
        <v>#NAME?</v>
      </c>
      <c r="V288" s="523" t="e">
        <f ca="1">stat(calculs!V288)</f>
        <v>#NAME?</v>
      </c>
      <c r="W288" s="523" t="e">
        <f ca="1">stat(calculs!W288)</f>
        <v>#NAME?</v>
      </c>
      <c r="X288" s="523" t="e">
        <f ca="1">stat(calculs!X288)</f>
        <v>#NAME?</v>
      </c>
      <c r="Y288" s="523" t="e">
        <f ca="1">stat(calculs!Y288)</f>
        <v>#NAME?</v>
      </c>
      <c r="Z288" s="523" t="e">
        <f ca="1">stat(calculs!Z288)</f>
        <v>#NAME?</v>
      </c>
      <c r="AA288" s="523" t="e">
        <f ca="1">stat(calculs!AA288)</f>
        <v>#NAME?</v>
      </c>
      <c r="AB288" s="523" t="e">
        <f ca="1">stat(calculs!AB288)</f>
        <v>#NAME?</v>
      </c>
      <c r="AC288" s="523" t="e">
        <f ca="1">stat(calculs!AC288)</f>
        <v>#NAME?</v>
      </c>
      <c r="AD288" s="523" t="e">
        <f ca="1">stat(calculs!AD288)</f>
        <v>#NAME?</v>
      </c>
      <c r="AE288" s="523" t="e">
        <f ca="1">stat(calculs!AE288)</f>
        <v>#NAME?</v>
      </c>
      <c r="AF288" s="523" t="e">
        <f ca="1">stat(calculs!AF288)</f>
        <v>#NAME?</v>
      </c>
      <c r="AG288" s="523" t="e">
        <f ca="1">stat(calculs!AG288)</f>
        <v>#NAME?</v>
      </c>
      <c r="AH288" s="523" t="e">
        <f ca="1">stat(calculs!AH288)</f>
        <v>#NAME?</v>
      </c>
      <c r="AI288" s="523" t="e">
        <f ca="1">stat(calculs!AI288)</f>
        <v>#NAME?</v>
      </c>
      <c r="AJ288" s="523" t="e">
        <f ca="1">stat(calculs!AJ288)</f>
        <v>#NAME?</v>
      </c>
      <c r="AK288" s="523" t="e">
        <f ca="1">stat(calculs!AK288)</f>
        <v>#NAME?</v>
      </c>
      <c r="AL288" s="523" t="e">
        <f ca="1">stat(calculs!AL288)</f>
        <v>#NAME?</v>
      </c>
      <c r="AM288" s="523" t="e">
        <f ca="1">stat(calculs!AM288)</f>
        <v>#NAME?</v>
      </c>
      <c r="AN288" s="523" t="e">
        <f ca="1">stat(calculs!AN288)</f>
        <v>#NAME?</v>
      </c>
      <c r="AO288" s="523" t="e">
        <f ca="1">stat(calculs!AO288)</f>
        <v>#NAME?</v>
      </c>
      <c r="AP288" s="523" t="e">
        <f ca="1">stat(calculs!AP288)</f>
        <v>#NAME?</v>
      </c>
      <c r="AQ288" s="523" t="e">
        <f ca="1">stat(calculs!AQ288)</f>
        <v>#NAME?</v>
      </c>
      <c r="AV288" s="525" t="str">
        <f>stat(calculs!AV288)</f>
        <v/>
      </c>
      <c r="AW288" s="525" t="str">
        <f>stat(calculs!AW288)</f>
        <v/>
      </c>
      <c r="AX288" s="525" t="str">
        <f>stat(calculs!AX288)</f>
        <v/>
      </c>
      <c r="AY288" s="525" t="e">
        <f ca="1">stat(calculs!AY288)</f>
        <v>#NAME?</v>
      </c>
      <c r="AZ288" s="525" t="e">
        <f ca="1">stat(calculs!AZ288)</f>
        <v>#NAME?</v>
      </c>
      <c r="BA288" s="525" t="e">
        <f ca="1">stat(calculs!BA288)</f>
        <v>#NAME?</v>
      </c>
      <c r="BB288" s="525" t="e">
        <f ca="1">stat(calculs!BB288)</f>
        <v>#NAME?</v>
      </c>
      <c r="BC288" s="525" t="e">
        <f ca="1">stat(calculs!BC288)</f>
        <v>#NAME?</v>
      </c>
      <c r="BD288" s="525" t="e">
        <f ca="1">stat(calculs!BD288)</f>
        <v>#NAME?</v>
      </c>
      <c r="BE288" s="525" t="e">
        <f ca="1">stat(calculs!BE288)</f>
        <v>#NAME?</v>
      </c>
      <c r="BF288" s="525" t="e">
        <f ca="1">stat(calculs!BF288)</f>
        <v>#NAME?</v>
      </c>
      <c r="BG288" s="729" t="e">
        <f ca="1">stat(calculs!BG288)</f>
        <v>#NAME?</v>
      </c>
      <c r="BH288" s="729" t="e">
        <f ca="1">stat(calculs!BH288)</f>
        <v>#NAME?</v>
      </c>
      <c r="BI288" s="729" t="e">
        <f ca="1">stat(calculs!BI288)</f>
        <v>#NAME?</v>
      </c>
      <c r="BJ288" s="729" t="e">
        <f ca="1">stat(calculs!BJ288)</f>
        <v>#NAME?</v>
      </c>
      <c r="BK288" s="729" t="e">
        <f ca="1">stat(calculs!BK288)</f>
        <v>#NAME?</v>
      </c>
      <c r="BL288" s="525" t="e">
        <f ca="1">stat(calculs!BL288)</f>
        <v>#NAME?</v>
      </c>
      <c r="BM288" s="525" t="e">
        <f ca="1">stat(calculs!BM288)</f>
        <v>#NAME?</v>
      </c>
      <c r="BN288" s="525" t="e">
        <f ca="1">stat(calculs!BN288)</f>
        <v>#NAME?</v>
      </c>
      <c r="BO288" s="525" t="e">
        <f ca="1">stat(calculs!BO288)</f>
        <v>#NAME?</v>
      </c>
      <c r="BP288" s="525" t="e">
        <f ca="1">stat(calculs!BP288)</f>
        <v>#NAME?</v>
      </c>
      <c r="BQ288" s="525" t="e">
        <f ca="1">stat(calculs!BQ288)</f>
        <v>#NAME?</v>
      </c>
      <c r="BR288" s="525" t="e">
        <f ca="1">stat(calculs!BR288)</f>
        <v>#NAME?</v>
      </c>
    </row>
    <row r="289" spans="1:70" x14ac:dyDescent="0.2">
      <c r="A289" s="222">
        <f>données_step[[#This Row],[Datum]]</f>
        <v>44840</v>
      </c>
      <c r="B289" s="223"/>
      <c r="C289" s="224">
        <f t="shared" si="4"/>
        <v>5</v>
      </c>
      <c r="D289" s="523" t="e">
        <f ca="1">stat(charge_entree[[#This Row],[ch_E_DBO5]])</f>
        <v>#NAME?</v>
      </c>
      <c r="E289" s="523" t="e">
        <f ca="1">stat(charge_entree[[#This Row],[ch_E_DCO]])</f>
        <v>#NAME?</v>
      </c>
      <c r="F289" s="523" t="e">
        <f ca="1">stat(charge_entree[[#This Row],[ch_E_COT]])</f>
        <v>#NAME?</v>
      </c>
      <c r="G289" s="523" t="e">
        <f ca="1">stat(charge_entree[[#This Row],[ch_E_NH4]])</f>
        <v>#NAME?</v>
      </c>
      <c r="H289" s="523" t="e">
        <f ca="1">stat(charge_entree[[#This Row],[ch_E_NTOT]])</f>
        <v>#NAME?</v>
      </c>
      <c r="I289" s="523" t="e">
        <f ca="1">stat(charge_entree[[#This Row],[ch_E_PTOT]])</f>
        <v>#NAME?</v>
      </c>
      <c r="J289" s="523" t="e">
        <f ca="1">stat(charge_entree[[#This Row],[ch_S_DBO]])</f>
        <v>#NAME?</v>
      </c>
      <c r="K289" s="523" t="e">
        <f ca="1">stat(charge_entree[[#This Row],[ch_S-DCO]])</f>
        <v>#NAME?</v>
      </c>
      <c r="L289" s="523" t="e">
        <f ca="1">stat(charge_entree[[#This Row],[ch_S_DOC]])</f>
        <v>#NAME?</v>
      </c>
      <c r="M289" s="523" t="e">
        <f ca="1">stat(charge_entree[[#This Row],[ch_S_NH4]])</f>
        <v>#NAME?</v>
      </c>
      <c r="N289" s="523" t="e">
        <f ca="1">stat(charge_entree[[#This Row],[ch_S_NO2]])</f>
        <v>#NAME?</v>
      </c>
      <c r="O289" s="523" t="e">
        <f ca="1">stat(charge_entree[[#This Row],[ch_S_NO3]])</f>
        <v>#NAME?</v>
      </c>
      <c r="P289" s="523" t="e">
        <f ca="1">stat(charge_entree[[#This Row],[ch_S_PTOT]])</f>
        <v>#NAME?</v>
      </c>
      <c r="Q289" s="523" t="e">
        <f ca="1">stat(charge_entree[[#This Row],[ch_S_SNDT]])</f>
        <v>#NAME?</v>
      </c>
      <c r="R289" s="523">
        <f>calculs!R289</f>
        <v>0</v>
      </c>
      <c r="S289" s="523" t="e">
        <f ca="1">stat(calculs!S289)</f>
        <v>#NAME?</v>
      </c>
      <c r="T289" s="523" t="e">
        <f ca="1">stat(calculs!T289)</f>
        <v>#NAME?</v>
      </c>
      <c r="U289" s="523" t="e">
        <f ca="1">stat(calculs!U289)</f>
        <v>#NAME?</v>
      </c>
      <c r="V289" s="523" t="e">
        <f ca="1">stat(calculs!V289)</f>
        <v>#NAME?</v>
      </c>
      <c r="W289" s="523" t="e">
        <f ca="1">stat(calculs!W289)</f>
        <v>#NAME?</v>
      </c>
      <c r="X289" s="523" t="e">
        <f ca="1">stat(calculs!X289)</f>
        <v>#NAME?</v>
      </c>
      <c r="Y289" s="523" t="e">
        <f ca="1">stat(calculs!Y289)</f>
        <v>#NAME?</v>
      </c>
      <c r="Z289" s="523" t="e">
        <f ca="1">stat(calculs!Z289)</f>
        <v>#NAME?</v>
      </c>
      <c r="AA289" s="523" t="e">
        <f ca="1">stat(calculs!AA289)</f>
        <v>#NAME?</v>
      </c>
      <c r="AB289" s="523" t="e">
        <f ca="1">stat(calculs!AB289)</f>
        <v>#NAME?</v>
      </c>
      <c r="AC289" s="523" t="e">
        <f ca="1">stat(calculs!AC289)</f>
        <v>#NAME?</v>
      </c>
      <c r="AD289" s="523" t="e">
        <f ca="1">stat(calculs!AD289)</f>
        <v>#NAME?</v>
      </c>
      <c r="AE289" s="523" t="e">
        <f ca="1">stat(calculs!AE289)</f>
        <v>#NAME?</v>
      </c>
      <c r="AF289" s="523" t="e">
        <f ca="1">stat(calculs!AF289)</f>
        <v>#NAME?</v>
      </c>
      <c r="AG289" s="523" t="e">
        <f ca="1">stat(calculs!AG289)</f>
        <v>#NAME?</v>
      </c>
      <c r="AH289" s="523" t="e">
        <f ca="1">stat(calculs!AH289)</f>
        <v>#NAME?</v>
      </c>
      <c r="AI289" s="523" t="e">
        <f ca="1">stat(calculs!AI289)</f>
        <v>#NAME?</v>
      </c>
      <c r="AJ289" s="523" t="e">
        <f ca="1">stat(calculs!AJ289)</f>
        <v>#NAME?</v>
      </c>
      <c r="AK289" s="523" t="e">
        <f ca="1">stat(calculs!AK289)</f>
        <v>#NAME?</v>
      </c>
      <c r="AL289" s="523" t="e">
        <f ca="1">stat(calculs!AL289)</f>
        <v>#NAME?</v>
      </c>
      <c r="AM289" s="523" t="e">
        <f ca="1">stat(calculs!AM289)</f>
        <v>#NAME?</v>
      </c>
      <c r="AN289" s="523" t="e">
        <f ca="1">stat(calculs!AN289)</f>
        <v>#NAME?</v>
      </c>
      <c r="AO289" s="523" t="e">
        <f ca="1">stat(calculs!AO289)</f>
        <v>#NAME?</v>
      </c>
      <c r="AP289" s="523" t="e">
        <f ca="1">stat(calculs!AP289)</f>
        <v>#NAME?</v>
      </c>
      <c r="AQ289" s="523" t="e">
        <f ca="1">stat(calculs!AQ289)</f>
        <v>#NAME?</v>
      </c>
      <c r="AV289" s="525" t="str">
        <f>stat(calculs!AV289)</f>
        <v/>
      </c>
      <c r="AW289" s="525" t="str">
        <f>stat(calculs!AW289)</f>
        <v/>
      </c>
      <c r="AX289" s="525" t="str">
        <f>stat(calculs!AX289)</f>
        <v/>
      </c>
      <c r="AY289" s="525" t="e">
        <f ca="1">stat(calculs!AY289)</f>
        <v>#NAME?</v>
      </c>
      <c r="AZ289" s="525" t="e">
        <f ca="1">stat(calculs!AZ289)</f>
        <v>#NAME?</v>
      </c>
      <c r="BA289" s="525" t="e">
        <f ca="1">stat(calculs!BA289)</f>
        <v>#NAME?</v>
      </c>
      <c r="BB289" s="525" t="e">
        <f ca="1">stat(calculs!BB289)</f>
        <v>#NAME?</v>
      </c>
      <c r="BC289" s="525" t="e">
        <f ca="1">stat(calculs!BC289)</f>
        <v>#NAME?</v>
      </c>
      <c r="BD289" s="525" t="e">
        <f ca="1">stat(calculs!BD289)</f>
        <v>#NAME?</v>
      </c>
      <c r="BE289" s="525" t="e">
        <f ca="1">stat(calculs!BE289)</f>
        <v>#NAME?</v>
      </c>
      <c r="BF289" s="525" t="e">
        <f ca="1">stat(calculs!BF289)</f>
        <v>#NAME?</v>
      </c>
      <c r="BG289" s="729" t="e">
        <f ca="1">stat(calculs!BG289)</f>
        <v>#NAME?</v>
      </c>
      <c r="BH289" s="729" t="e">
        <f ca="1">stat(calculs!BH289)</f>
        <v>#NAME?</v>
      </c>
      <c r="BI289" s="729" t="e">
        <f ca="1">stat(calculs!BI289)</f>
        <v>#NAME?</v>
      </c>
      <c r="BJ289" s="729" t="e">
        <f ca="1">stat(calculs!BJ289)</f>
        <v>#NAME?</v>
      </c>
      <c r="BK289" s="729" t="e">
        <f ca="1">stat(calculs!BK289)</f>
        <v>#NAME?</v>
      </c>
      <c r="BL289" s="525" t="e">
        <f ca="1">stat(calculs!BL289)</f>
        <v>#NAME?</v>
      </c>
      <c r="BM289" s="525" t="e">
        <f ca="1">stat(calculs!BM289)</f>
        <v>#NAME?</v>
      </c>
      <c r="BN289" s="525" t="e">
        <f ca="1">stat(calculs!BN289)</f>
        <v>#NAME?</v>
      </c>
      <c r="BO289" s="525" t="e">
        <f ca="1">stat(calculs!BO289)</f>
        <v>#NAME?</v>
      </c>
      <c r="BP289" s="525" t="e">
        <f ca="1">stat(calculs!BP289)</f>
        <v>#NAME?</v>
      </c>
      <c r="BQ289" s="525" t="e">
        <f ca="1">stat(calculs!BQ289)</f>
        <v>#NAME?</v>
      </c>
      <c r="BR289" s="525" t="e">
        <f ca="1">stat(calculs!BR289)</f>
        <v>#NAME?</v>
      </c>
    </row>
    <row r="290" spans="1:70" x14ac:dyDescent="0.2">
      <c r="A290" s="222">
        <f>données_step[[#This Row],[Datum]]</f>
        <v>44841</v>
      </c>
      <c r="B290" s="223"/>
      <c r="C290" s="224">
        <f t="shared" si="4"/>
        <v>6</v>
      </c>
      <c r="D290" s="523" t="e">
        <f ca="1">stat(charge_entree[[#This Row],[ch_E_DBO5]])</f>
        <v>#NAME?</v>
      </c>
      <c r="E290" s="523" t="e">
        <f ca="1">stat(charge_entree[[#This Row],[ch_E_DCO]])</f>
        <v>#NAME?</v>
      </c>
      <c r="F290" s="523" t="e">
        <f ca="1">stat(charge_entree[[#This Row],[ch_E_COT]])</f>
        <v>#NAME?</v>
      </c>
      <c r="G290" s="523" t="e">
        <f ca="1">stat(charge_entree[[#This Row],[ch_E_NH4]])</f>
        <v>#NAME?</v>
      </c>
      <c r="H290" s="523" t="e">
        <f ca="1">stat(charge_entree[[#This Row],[ch_E_NTOT]])</f>
        <v>#NAME?</v>
      </c>
      <c r="I290" s="523" t="e">
        <f ca="1">stat(charge_entree[[#This Row],[ch_E_PTOT]])</f>
        <v>#NAME?</v>
      </c>
      <c r="J290" s="523" t="e">
        <f ca="1">stat(charge_entree[[#This Row],[ch_S_DBO]])</f>
        <v>#NAME?</v>
      </c>
      <c r="K290" s="523" t="e">
        <f ca="1">stat(charge_entree[[#This Row],[ch_S-DCO]])</f>
        <v>#NAME?</v>
      </c>
      <c r="L290" s="523" t="e">
        <f ca="1">stat(charge_entree[[#This Row],[ch_S_DOC]])</f>
        <v>#NAME?</v>
      </c>
      <c r="M290" s="523" t="e">
        <f ca="1">stat(charge_entree[[#This Row],[ch_S_NH4]])</f>
        <v>#NAME?</v>
      </c>
      <c r="N290" s="523" t="e">
        <f ca="1">stat(charge_entree[[#This Row],[ch_S_NO2]])</f>
        <v>#NAME?</v>
      </c>
      <c r="O290" s="523" t="e">
        <f ca="1">stat(charge_entree[[#This Row],[ch_S_NO3]])</f>
        <v>#NAME?</v>
      </c>
      <c r="P290" s="523" t="e">
        <f ca="1">stat(charge_entree[[#This Row],[ch_S_PTOT]])</f>
        <v>#NAME?</v>
      </c>
      <c r="Q290" s="523" t="e">
        <f ca="1">stat(charge_entree[[#This Row],[ch_S_SNDT]])</f>
        <v>#NAME?</v>
      </c>
      <c r="R290" s="523">
        <f>calculs!R290</f>
        <v>0</v>
      </c>
      <c r="S290" s="523" t="e">
        <f ca="1">stat(calculs!S290)</f>
        <v>#NAME?</v>
      </c>
      <c r="T290" s="523" t="e">
        <f ca="1">stat(calculs!T290)</f>
        <v>#NAME?</v>
      </c>
      <c r="U290" s="523" t="e">
        <f ca="1">stat(calculs!U290)</f>
        <v>#NAME?</v>
      </c>
      <c r="V290" s="523" t="e">
        <f ca="1">stat(calculs!V290)</f>
        <v>#NAME?</v>
      </c>
      <c r="W290" s="523" t="e">
        <f ca="1">stat(calculs!W290)</f>
        <v>#NAME?</v>
      </c>
      <c r="X290" s="523" t="e">
        <f ca="1">stat(calculs!X290)</f>
        <v>#NAME?</v>
      </c>
      <c r="Y290" s="523" t="e">
        <f ca="1">stat(calculs!Y290)</f>
        <v>#NAME?</v>
      </c>
      <c r="Z290" s="523" t="e">
        <f ca="1">stat(calculs!Z290)</f>
        <v>#NAME?</v>
      </c>
      <c r="AA290" s="523" t="e">
        <f ca="1">stat(calculs!AA290)</f>
        <v>#NAME?</v>
      </c>
      <c r="AB290" s="523" t="e">
        <f ca="1">stat(calculs!AB290)</f>
        <v>#NAME?</v>
      </c>
      <c r="AC290" s="523" t="e">
        <f ca="1">stat(calculs!AC290)</f>
        <v>#NAME?</v>
      </c>
      <c r="AD290" s="523" t="e">
        <f ca="1">stat(calculs!AD290)</f>
        <v>#NAME?</v>
      </c>
      <c r="AE290" s="523" t="e">
        <f ca="1">stat(calculs!AE290)</f>
        <v>#NAME?</v>
      </c>
      <c r="AF290" s="523" t="e">
        <f ca="1">stat(calculs!AF290)</f>
        <v>#NAME?</v>
      </c>
      <c r="AG290" s="523" t="e">
        <f ca="1">stat(calculs!AG290)</f>
        <v>#NAME?</v>
      </c>
      <c r="AH290" s="523" t="e">
        <f ca="1">stat(calculs!AH290)</f>
        <v>#NAME?</v>
      </c>
      <c r="AI290" s="523" t="e">
        <f ca="1">stat(calculs!AI290)</f>
        <v>#NAME?</v>
      </c>
      <c r="AJ290" s="523" t="e">
        <f ca="1">stat(calculs!AJ290)</f>
        <v>#NAME?</v>
      </c>
      <c r="AK290" s="523" t="e">
        <f ca="1">stat(calculs!AK290)</f>
        <v>#NAME?</v>
      </c>
      <c r="AL290" s="523" t="e">
        <f ca="1">stat(calculs!AL290)</f>
        <v>#NAME?</v>
      </c>
      <c r="AM290" s="523" t="e">
        <f ca="1">stat(calculs!AM290)</f>
        <v>#NAME?</v>
      </c>
      <c r="AN290" s="523" t="e">
        <f ca="1">stat(calculs!AN290)</f>
        <v>#NAME?</v>
      </c>
      <c r="AO290" s="523" t="e">
        <f ca="1">stat(calculs!AO290)</f>
        <v>#NAME?</v>
      </c>
      <c r="AP290" s="523" t="e">
        <f ca="1">stat(calculs!AP290)</f>
        <v>#NAME?</v>
      </c>
      <c r="AQ290" s="523" t="e">
        <f ca="1">stat(calculs!AQ290)</f>
        <v>#NAME?</v>
      </c>
      <c r="AV290" s="525" t="str">
        <f>stat(calculs!AV290)</f>
        <v/>
      </c>
      <c r="AW290" s="525" t="str">
        <f>stat(calculs!AW290)</f>
        <v/>
      </c>
      <c r="AX290" s="525" t="str">
        <f>stat(calculs!AX290)</f>
        <v/>
      </c>
      <c r="AY290" s="525" t="e">
        <f ca="1">stat(calculs!AY290)</f>
        <v>#NAME?</v>
      </c>
      <c r="AZ290" s="525" t="e">
        <f ca="1">stat(calculs!AZ290)</f>
        <v>#NAME?</v>
      </c>
      <c r="BA290" s="525" t="e">
        <f ca="1">stat(calculs!BA290)</f>
        <v>#NAME?</v>
      </c>
      <c r="BB290" s="525" t="e">
        <f ca="1">stat(calculs!BB290)</f>
        <v>#NAME?</v>
      </c>
      <c r="BC290" s="525" t="e">
        <f ca="1">stat(calculs!BC290)</f>
        <v>#NAME?</v>
      </c>
      <c r="BD290" s="525" t="e">
        <f ca="1">stat(calculs!BD290)</f>
        <v>#NAME?</v>
      </c>
      <c r="BE290" s="525" t="e">
        <f ca="1">stat(calculs!BE290)</f>
        <v>#NAME?</v>
      </c>
      <c r="BF290" s="525" t="e">
        <f ca="1">stat(calculs!BF290)</f>
        <v>#NAME?</v>
      </c>
      <c r="BG290" s="729" t="e">
        <f ca="1">stat(calculs!BG290)</f>
        <v>#NAME?</v>
      </c>
      <c r="BH290" s="729" t="e">
        <f ca="1">stat(calculs!BH290)</f>
        <v>#NAME?</v>
      </c>
      <c r="BI290" s="729" t="e">
        <f ca="1">stat(calculs!BI290)</f>
        <v>#NAME?</v>
      </c>
      <c r="BJ290" s="729" t="e">
        <f ca="1">stat(calculs!BJ290)</f>
        <v>#NAME?</v>
      </c>
      <c r="BK290" s="729" t="e">
        <f ca="1">stat(calculs!BK290)</f>
        <v>#NAME?</v>
      </c>
      <c r="BL290" s="525" t="e">
        <f ca="1">stat(calculs!BL290)</f>
        <v>#NAME?</v>
      </c>
      <c r="BM290" s="525" t="e">
        <f ca="1">stat(calculs!BM290)</f>
        <v>#NAME?</v>
      </c>
      <c r="BN290" s="525" t="e">
        <f ca="1">stat(calculs!BN290)</f>
        <v>#NAME?</v>
      </c>
      <c r="BO290" s="525" t="e">
        <f ca="1">stat(calculs!BO290)</f>
        <v>#NAME?</v>
      </c>
      <c r="BP290" s="525" t="e">
        <f ca="1">stat(calculs!BP290)</f>
        <v>#NAME?</v>
      </c>
      <c r="BQ290" s="525" t="e">
        <f ca="1">stat(calculs!BQ290)</f>
        <v>#NAME?</v>
      </c>
      <c r="BR290" s="525" t="e">
        <f ca="1">stat(calculs!BR290)</f>
        <v>#NAME?</v>
      </c>
    </row>
    <row r="291" spans="1:70" x14ac:dyDescent="0.2">
      <c r="A291" s="222">
        <f>données_step[[#This Row],[Datum]]</f>
        <v>44842</v>
      </c>
      <c r="B291" s="223"/>
      <c r="C291" s="224">
        <f t="shared" si="4"/>
        <v>7</v>
      </c>
      <c r="D291" s="523" t="e">
        <f ca="1">stat(charge_entree[[#This Row],[ch_E_DBO5]])</f>
        <v>#NAME?</v>
      </c>
      <c r="E291" s="523" t="e">
        <f ca="1">stat(charge_entree[[#This Row],[ch_E_DCO]])</f>
        <v>#NAME?</v>
      </c>
      <c r="F291" s="523" t="e">
        <f ca="1">stat(charge_entree[[#This Row],[ch_E_COT]])</f>
        <v>#NAME?</v>
      </c>
      <c r="G291" s="523" t="e">
        <f ca="1">stat(charge_entree[[#This Row],[ch_E_NH4]])</f>
        <v>#NAME?</v>
      </c>
      <c r="H291" s="523" t="e">
        <f ca="1">stat(charge_entree[[#This Row],[ch_E_NTOT]])</f>
        <v>#NAME?</v>
      </c>
      <c r="I291" s="523" t="e">
        <f ca="1">stat(charge_entree[[#This Row],[ch_E_PTOT]])</f>
        <v>#NAME?</v>
      </c>
      <c r="J291" s="523" t="e">
        <f ca="1">stat(charge_entree[[#This Row],[ch_S_DBO]])</f>
        <v>#NAME?</v>
      </c>
      <c r="K291" s="523" t="e">
        <f ca="1">stat(charge_entree[[#This Row],[ch_S-DCO]])</f>
        <v>#NAME?</v>
      </c>
      <c r="L291" s="523" t="e">
        <f ca="1">stat(charge_entree[[#This Row],[ch_S_DOC]])</f>
        <v>#NAME?</v>
      </c>
      <c r="M291" s="523" t="e">
        <f ca="1">stat(charge_entree[[#This Row],[ch_S_NH4]])</f>
        <v>#NAME?</v>
      </c>
      <c r="N291" s="523" t="e">
        <f ca="1">stat(charge_entree[[#This Row],[ch_S_NO2]])</f>
        <v>#NAME?</v>
      </c>
      <c r="O291" s="523" t="e">
        <f ca="1">stat(charge_entree[[#This Row],[ch_S_NO3]])</f>
        <v>#NAME?</v>
      </c>
      <c r="P291" s="523" t="e">
        <f ca="1">stat(charge_entree[[#This Row],[ch_S_PTOT]])</f>
        <v>#NAME?</v>
      </c>
      <c r="Q291" s="523" t="e">
        <f ca="1">stat(charge_entree[[#This Row],[ch_S_SNDT]])</f>
        <v>#NAME?</v>
      </c>
      <c r="R291" s="523">
        <f>calculs!R291</f>
        <v>0</v>
      </c>
      <c r="S291" s="523" t="e">
        <f ca="1">stat(calculs!S291)</f>
        <v>#NAME?</v>
      </c>
      <c r="T291" s="523" t="e">
        <f ca="1">stat(calculs!T291)</f>
        <v>#NAME?</v>
      </c>
      <c r="U291" s="523" t="e">
        <f ca="1">stat(calculs!U291)</f>
        <v>#NAME?</v>
      </c>
      <c r="V291" s="523" t="e">
        <f ca="1">stat(calculs!V291)</f>
        <v>#NAME?</v>
      </c>
      <c r="W291" s="523" t="e">
        <f ca="1">stat(calculs!W291)</f>
        <v>#NAME?</v>
      </c>
      <c r="X291" s="523" t="e">
        <f ca="1">stat(calculs!X291)</f>
        <v>#NAME?</v>
      </c>
      <c r="Y291" s="523" t="e">
        <f ca="1">stat(calculs!Y291)</f>
        <v>#NAME?</v>
      </c>
      <c r="Z291" s="523" t="e">
        <f ca="1">stat(calculs!Z291)</f>
        <v>#NAME?</v>
      </c>
      <c r="AA291" s="523" t="e">
        <f ca="1">stat(calculs!AA291)</f>
        <v>#NAME?</v>
      </c>
      <c r="AB291" s="523" t="e">
        <f ca="1">stat(calculs!AB291)</f>
        <v>#NAME?</v>
      </c>
      <c r="AC291" s="523" t="e">
        <f ca="1">stat(calculs!AC291)</f>
        <v>#NAME?</v>
      </c>
      <c r="AD291" s="523" t="e">
        <f ca="1">stat(calculs!AD291)</f>
        <v>#NAME?</v>
      </c>
      <c r="AE291" s="523" t="e">
        <f ca="1">stat(calculs!AE291)</f>
        <v>#NAME?</v>
      </c>
      <c r="AF291" s="523" t="e">
        <f ca="1">stat(calculs!AF291)</f>
        <v>#NAME?</v>
      </c>
      <c r="AG291" s="523" t="e">
        <f ca="1">stat(calculs!AG291)</f>
        <v>#NAME?</v>
      </c>
      <c r="AH291" s="523" t="e">
        <f ca="1">stat(calculs!AH291)</f>
        <v>#NAME?</v>
      </c>
      <c r="AI291" s="523" t="e">
        <f ca="1">stat(calculs!AI291)</f>
        <v>#NAME?</v>
      </c>
      <c r="AJ291" s="523" t="e">
        <f ca="1">stat(calculs!AJ291)</f>
        <v>#NAME?</v>
      </c>
      <c r="AK291" s="523" t="e">
        <f ca="1">stat(calculs!AK291)</f>
        <v>#NAME?</v>
      </c>
      <c r="AL291" s="523" t="e">
        <f ca="1">stat(calculs!AL291)</f>
        <v>#NAME?</v>
      </c>
      <c r="AM291" s="523" t="e">
        <f ca="1">stat(calculs!AM291)</f>
        <v>#NAME?</v>
      </c>
      <c r="AN291" s="523" t="e">
        <f ca="1">stat(calculs!AN291)</f>
        <v>#NAME?</v>
      </c>
      <c r="AO291" s="523" t="e">
        <f ca="1">stat(calculs!AO291)</f>
        <v>#NAME?</v>
      </c>
      <c r="AP291" s="523" t="e">
        <f ca="1">stat(calculs!AP291)</f>
        <v>#NAME?</v>
      </c>
      <c r="AQ291" s="523" t="e">
        <f ca="1">stat(calculs!AQ291)</f>
        <v>#NAME?</v>
      </c>
      <c r="AV291" s="525" t="str">
        <f>stat(calculs!AV291)</f>
        <v/>
      </c>
      <c r="AW291" s="525" t="str">
        <f>stat(calculs!AW291)</f>
        <v/>
      </c>
      <c r="AX291" s="525" t="str">
        <f>stat(calculs!AX291)</f>
        <v/>
      </c>
      <c r="AY291" s="525" t="e">
        <f ca="1">stat(calculs!AY291)</f>
        <v>#NAME?</v>
      </c>
      <c r="AZ291" s="525" t="e">
        <f ca="1">stat(calculs!AZ291)</f>
        <v>#NAME?</v>
      </c>
      <c r="BA291" s="525" t="e">
        <f ca="1">stat(calculs!BA291)</f>
        <v>#NAME?</v>
      </c>
      <c r="BB291" s="525" t="e">
        <f ca="1">stat(calculs!BB291)</f>
        <v>#NAME?</v>
      </c>
      <c r="BC291" s="525" t="e">
        <f ca="1">stat(calculs!BC291)</f>
        <v>#NAME?</v>
      </c>
      <c r="BD291" s="525" t="e">
        <f ca="1">stat(calculs!BD291)</f>
        <v>#NAME?</v>
      </c>
      <c r="BE291" s="525" t="e">
        <f ca="1">stat(calculs!BE291)</f>
        <v>#NAME?</v>
      </c>
      <c r="BF291" s="525" t="e">
        <f ca="1">stat(calculs!BF291)</f>
        <v>#NAME?</v>
      </c>
      <c r="BG291" s="729" t="e">
        <f ca="1">stat(calculs!BG291)</f>
        <v>#NAME?</v>
      </c>
      <c r="BH291" s="729" t="e">
        <f ca="1">stat(calculs!BH291)</f>
        <v>#NAME?</v>
      </c>
      <c r="BI291" s="729" t="e">
        <f ca="1">stat(calculs!BI291)</f>
        <v>#NAME?</v>
      </c>
      <c r="BJ291" s="729" t="e">
        <f ca="1">stat(calculs!BJ291)</f>
        <v>#NAME?</v>
      </c>
      <c r="BK291" s="729" t="e">
        <f ca="1">stat(calculs!BK291)</f>
        <v>#NAME?</v>
      </c>
      <c r="BL291" s="525" t="e">
        <f ca="1">stat(calculs!BL291)</f>
        <v>#NAME?</v>
      </c>
      <c r="BM291" s="525" t="e">
        <f ca="1">stat(calculs!BM291)</f>
        <v>#NAME?</v>
      </c>
      <c r="BN291" s="525" t="e">
        <f ca="1">stat(calculs!BN291)</f>
        <v>#NAME?</v>
      </c>
      <c r="BO291" s="525" t="e">
        <f ca="1">stat(calculs!BO291)</f>
        <v>#NAME?</v>
      </c>
      <c r="BP291" s="525" t="e">
        <f ca="1">stat(calculs!BP291)</f>
        <v>#NAME?</v>
      </c>
      <c r="BQ291" s="525" t="e">
        <f ca="1">stat(calculs!BQ291)</f>
        <v>#NAME?</v>
      </c>
      <c r="BR291" s="525" t="e">
        <f ca="1">stat(calculs!BR291)</f>
        <v>#NAME?</v>
      </c>
    </row>
    <row r="292" spans="1:70" x14ac:dyDescent="0.2">
      <c r="A292" s="222">
        <f>données_step[[#This Row],[Datum]]</f>
        <v>44843</v>
      </c>
      <c r="B292" s="223"/>
      <c r="C292" s="224">
        <f t="shared" si="4"/>
        <v>1</v>
      </c>
      <c r="D292" s="523" t="e">
        <f ca="1">stat(charge_entree[[#This Row],[ch_E_DBO5]])</f>
        <v>#NAME?</v>
      </c>
      <c r="E292" s="523" t="e">
        <f ca="1">stat(charge_entree[[#This Row],[ch_E_DCO]])</f>
        <v>#NAME?</v>
      </c>
      <c r="F292" s="523" t="e">
        <f ca="1">stat(charge_entree[[#This Row],[ch_E_COT]])</f>
        <v>#NAME?</v>
      </c>
      <c r="G292" s="523" t="e">
        <f ca="1">stat(charge_entree[[#This Row],[ch_E_NH4]])</f>
        <v>#NAME?</v>
      </c>
      <c r="H292" s="523" t="e">
        <f ca="1">stat(charge_entree[[#This Row],[ch_E_NTOT]])</f>
        <v>#NAME?</v>
      </c>
      <c r="I292" s="523" t="e">
        <f ca="1">stat(charge_entree[[#This Row],[ch_E_PTOT]])</f>
        <v>#NAME?</v>
      </c>
      <c r="J292" s="523" t="e">
        <f ca="1">stat(charge_entree[[#This Row],[ch_S_DBO]])</f>
        <v>#NAME?</v>
      </c>
      <c r="K292" s="523" t="e">
        <f ca="1">stat(charge_entree[[#This Row],[ch_S-DCO]])</f>
        <v>#NAME?</v>
      </c>
      <c r="L292" s="523" t="e">
        <f ca="1">stat(charge_entree[[#This Row],[ch_S_DOC]])</f>
        <v>#NAME?</v>
      </c>
      <c r="M292" s="523" t="e">
        <f ca="1">stat(charge_entree[[#This Row],[ch_S_NH4]])</f>
        <v>#NAME?</v>
      </c>
      <c r="N292" s="523" t="e">
        <f ca="1">stat(charge_entree[[#This Row],[ch_S_NO2]])</f>
        <v>#NAME?</v>
      </c>
      <c r="O292" s="523" t="e">
        <f ca="1">stat(charge_entree[[#This Row],[ch_S_NO3]])</f>
        <v>#NAME?</v>
      </c>
      <c r="P292" s="523" t="e">
        <f ca="1">stat(charge_entree[[#This Row],[ch_S_PTOT]])</f>
        <v>#NAME?</v>
      </c>
      <c r="Q292" s="523" t="e">
        <f ca="1">stat(charge_entree[[#This Row],[ch_S_SNDT]])</f>
        <v>#NAME?</v>
      </c>
      <c r="R292" s="523">
        <f>calculs!R292</f>
        <v>0</v>
      </c>
      <c r="S292" s="523" t="e">
        <f ca="1">stat(calculs!S292)</f>
        <v>#NAME?</v>
      </c>
      <c r="T292" s="523" t="e">
        <f ca="1">stat(calculs!T292)</f>
        <v>#NAME?</v>
      </c>
      <c r="U292" s="523" t="e">
        <f ca="1">stat(calculs!U292)</f>
        <v>#NAME?</v>
      </c>
      <c r="V292" s="523" t="e">
        <f ca="1">stat(calculs!V292)</f>
        <v>#NAME?</v>
      </c>
      <c r="W292" s="523" t="e">
        <f ca="1">stat(calculs!W292)</f>
        <v>#NAME?</v>
      </c>
      <c r="X292" s="523" t="e">
        <f ca="1">stat(calculs!X292)</f>
        <v>#NAME?</v>
      </c>
      <c r="Y292" s="523" t="e">
        <f ca="1">stat(calculs!Y292)</f>
        <v>#NAME?</v>
      </c>
      <c r="Z292" s="523" t="e">
        <f ca="1">stat(calculs!Z292)</f>
        <v>#NAME?</v>
      </c>
      <c r="AA292" s="523" t="e">
        <f ca="1">stat(calculs!AA292)</f>
        <v>#NAME?</v>
      </c>
      <c r="AB292" s="523" t="e">
        <f ca="1">stat(calculs!AB292)</f>
        <v>#NAME?</v>
      </c>
      <c r="AC292" s="523" t="e">
        <f ca="1">stat(calculs!AC292)</f>
        <v>#NAME?</v>
      </c>
      <c r="AD292" s="523" t="e">
        <f ca="1">stat(calculs!AD292)</f>
        <v>#NAME?</v>
      </c>
      <c r="AE292" s="523" t="e">
        <f ca="1">stat(calculs!AE292)</f>
        <v>#NAME?</v>
      </c>
      <c r="AF292" s="523" t="e">
        <f ca="1">stat(calculs!AF292)</f>
        <v>#NAME?</v>
      </c>
      <c r="AG292" s="523" t="e">
        <f ca="1">stat(calculs!AG292)</f>
        <v>#NAME?</v>
      </c>
      <c r="AH292" s="523" t="e">
        <f ca="1">stat(calculs!AH292)</f>
        <v>#NAME?</v>
      </c>
      <c r="AI292" s="523" t="e">
        <f ca="1">stat(calculs!AI292)</f>
        <v>#NAME?</v>
      </c>
      <c r="AJ292" s="523" t="e">
        <f ca="1">stat(calculs!AJ292)</f>
        <v>#NAME?</v>
      </c>
      <c r="AK292" s="523" t="e">
        <f ca="1">stat(calculs!AK292)</f>
        <v>#NAME?</v>
      </c>
      <c r="AL292" s="523" t="e">
        <f ca="1">stat(calculs!AL292)</f>
        <v>#NAME?</v>
      </c>
      <c r="AM292" s="523" t="e">
        <f ca="1">stat(calculs!AM292)</f>
        <v>#NAME?</v>
      </c>
      <c r="AN292" s="523" t="e">
        <f ca="1">stat(calculs!AN292)</f>
        <v>#NAME?</v>
      </c>
      <c r="AO292" s="523" t="e">
        <f ca="1">stat(calculs!AO292)</f>
        <v>#NAME?</v>
      </c>
      <c r="AP292" s="523" t="e">
        <f ca="1">stat(calculs!AP292)</f>
        <v>#NAME?</v>
      </c>
      <c r="AQ292" s="523" t="e">
        <f ca="1">stat(calculs!AQ292)</f>
        <v>#NAME?</v>
      </c>
      <c r="AV292" s="525" t="str">
        <f>stat(calculs!AV292)</f>
        <v/>
      </c>
      <c r="AW292" s="525" t="str">
        <f>stat(calculs!AW292)</f>
        <v/>
      </c>
      <c r="AX292" s="525" t="str">
        <f>stat(calculs!AX292)</f>
        <v/>
      </c>
      <c r="AY292" s="525" t="e">
        <f ca="1">stat(calculs!AY292)</f>
        <v>#NAME?</v>
      </c>
      <c r="AZ292" s="525" t="e">
        <f ca="1">stat(calculs!AZ292)</f>
        <v>#NAME?</v>
      </c>
      <c r="BA292" s="525" t="e">
        <f ca="1">stat(calculs!BA292)</f>
        <v>#NAME?</v>
      </c>
      <c r="BB292" s="525" t="e">
        <f ca="1">stat(calculs!BB292)</f>
        <v>#NAME?</v>
      </c>
      <c r="BC292" s="525" t="e">
        <f ca="1">stat(calculs!BC292)</f>
        <v>#NAME?</v>
      </c>
      <c r="BD292" s="525" t="e">
        <f ca="1">stat(calculs!BD292)</f>
        <v>#NAME?</v>
      </c>
      <c r="BE292" s="525" t="e">
        <f ca="1">stat(calculs!BE292)</f>
        <v>#NAME?</v>
      </c>
      <c r="BF292" s="525" t="e">
        <f ca="1">stat(calculs!BF292)</f>
        <v>#NAME?</v>
      </c>
      <c r="BG292" s="729" t="e">
        <f ca="1">stat(calculs!BG292)</f>
        <v>#NAME?</v>
      </c>
      <c r="BH292" s="729" t="e">
        <f ca="1">stat(calculs!BH292)</f>
        <v>#NAME?</v>
      </c>
      <c r="BI292" s="729" t="e">
        <f ca="1">stat(calculs!BI292)</f>
        <v>#NAME?</v>
      </c>
      <c r="BJ292" s="729" t="e">
        <f ca="1">stat(calculs!BJ292)</f>
        <v>#NAME?</v>
      </c>
      <c r="BK292" s="729" t="e">
        <f ca="1">stat(calculs!BK292)</f>
        <v>#NAME?</v>
      </c>
      <c r="BL292" s="525" t="e">
        <f ca="1">stat(calculs!BL292)</f>
        <v>#NAME?</v>
      </c>
      <c r="BM292" s="525" t="e">
        <f ca="1">stat(calculs!BM292)</f>
        <v>#NAME?</v>
      </c>
      <c r="BN292" s="525" t="e">
        <f ca="1">stat(calculs!BN292)</f>
        <v>#NAME?</v>
      </c>
      <c r="BO292" s="525" t="e">
        <f ca="1">stat(calculs!BO292)</f>
        <v>#NAME?</v>
      </c>
      <c r="BP292" s="525" t="e">
        <f ca="1">stat(calculs!BP292)</f>
        <v>#NAME?</v>
      </c>
      <c r="BQ292" s="525" t="e">
        <f ca="1">stat(calculs!BQ292)</f>
        <v>#NAME?</v>
      </c>
      <c r="BR292" s="525" t="e">
        <f ca="1">stat(calculs!BR292)</f>
        <v>#NAME?</v>
      </c>
    </row>
    <row r="293" spans="1:70" x14ac:dyDescent="0.2">
      <c r="A293" s="222">
        <f>données_step[[#This Row],[Datum]]</f>
        <v>44844</v>
      </c>
      <c r="B293" s="223"/>
      <c r="C293" s="224">
        <f t="shared" si="4"/>
        <v>2</v>
      </c>
      <c r="D293" s="523" t="e">
        <f ca="1">stat(charge_entree[[#This Row],[ch_E_DBO5]])</f>
        <v>#NAME?</v>
      </c>
      <c r="E293" s="523" t="e">
        <f ca="1">stat(charge_entree[[#This Row],[ch_E_DCO]])</f>
        <v>#NAME?</v>
      </c>
      <c r="F293" s="523" t="e">
        <f ca="1">stat(charge_entree[[#This Row],[ch_E_COT]])</f>
        <v>#NAME?</v>
      </c>
      <c r="G293" s="523" t="e">
        <f ca="1">stat(charge_entree[[#This Row],[ch_E_NH4]])</f>
        <v>#NAME?</v>
      </c>
      <c r="H293" s="523" t="e">
        <f ca="1">stat(charge_entree[[#This Row],[ch_E_NTOT]])</f>
        <v>#NAME?</v>
      </c>
      <c r="I293" s="523" t="e">
        <f ca="1">stat(charge_entree[[#This Row],[ch_E_PTOT]])</f>
        <v>#NAME?</v>
      </c>
      <c r="J293" s="523" t="e">
        <f ca="1">stat(charge_entree[[#This Row],[ch_S_DBO]])</f>
        <v>#NAME?</v>
      </c>
      <c r="K293" s="523" t="e">
        <f ca="1">stat(charge_entree[[#This Row],[ch_S-DCO]])</f>
        <v>#NAME?</v>
      </c>
      <c r="L293" s="523" t="e">
        <f ca="1">stat(charge_entree[[#This Row],[ch_S_DOC]])</f>
        <v>#NAME?</v>
      </c>
      <c r="M293" s="523" t="e">
        <f ca="1">stat(charge_entree[[#This Row],[ch_S_NH4]])</f>
        <v>#NAME?</v>
      </c>
      <c r="N293" s="523" t="e">
        <f ca="1">stat(charge_entree[[#This Row],[ch_S_NO2]])</f>
        <v>#NAME?</v>
      </c>
      <c r="O293" s="523" t="e">
        <f ca="1">stat(charge_entree[[#This Row],[ch_S_NO3]])</f>
        <v>#NAME?</v>
      </c>
      <c r="P293" s="523" t="e">
        <f ca="1">stat(charge_entree[[#This Row],[ch_S_PTOT]])</f>
        <v>#NAME?</v>
      </c>
      <c r="Q293" s="523" t="e">
        <f ca="1">stat(charge_entree[[#This Row],[ch_S_SNDT]])</f>
        <v>#NAME?</v>
      </c>
      <c r="R293" s="523">
        <f>calculs!R293</f>
        <v>0</v>
      </c>
      <c r="S293" s="523" t="e">
        <f ca="1">stat(calculs!S293)</f>
        <v>#NAME?</v>
      </c>
      <c r="T293" s="523" t="e">
        <f ca="1">stat(calculs!T293)</f>
        <v>#NAME?</v>
      </c>
      <c r="U293" s="523" t="e">
        <f ca="1">stat(calculs!U293)</f>
        <v>#NAME?</v>
      </c>
      <c r="V293" s="523" t="e">
        <f ca="1">stat(calculs!V293)</f>
        <v>#NAME?</v>
      </c>
      <c r="W293" s="523" t="e">
        <f ca="1">stat(calculs!W293)</f>
        <v>#NAME?</v>
      </c>
      <c r="X293" s="523" t="e">
        <f ca="1">stat(calculs!X293)</f>
        <v>#NAME?</v>
      </c>
      <c r="Y293" s="523" t="e">
        <f ca="1">stat(calculs!Y293)</f>
        <v>#NAME?</v>
      </c>
      <c r="Z293" s="523" t="e">
        <f ca="1">stat(calculs!Z293)</f>
        <v>#NAME?</v>
      </c>
      <c r="AA293" s="523" t="e">
        <f ca="1">stat(calculs!AA293)</f>
        <v>#NAME?</v>
      </c>
      <c r="AB293" s="523" t="e">
        <f ca="1">stat(calculs!AB293)</f>
        <v>#NAME?</v>
      </c>
      <c r="AC293" s="523" t="e">
        <f ca="1">stat(calculs!AC293)</f>
        <v>#NAME?</v>
      </c>
      <c r="AD293" s="523" t="e">
        <f ca="1">stat(calculs!AD293)</f>
        <v>#NAME?</v>
      </c>
      <c r="AE293" s="523" t="e">
        <f ca="1">stat(calculs!AE293)</f>
        <v>#NAME?</v>
      </c>
      <c r="AF293" s="523" t="e">
        <f ca="1">stat(calculs!AF293)</f>
        <v>#NAME?</v>
      </c>
      <c r="AG293" s="523" t="e">
        <f ca="1">stat(calculs!AG293)</f>
        <v>#NAME?</v>
      </c>
      <c r="AH293" s="523" t="e">
        <f ca="1">stat(calculs!AH293)</f>
        <v>#NAME?</v>
      </c>
      <c r="AI293" s="523" t="e">
        <f ca="1">stat(calculs!AI293)</f>
        <v>#NAME?</v>
      </c>
      <c r="AJ293" s="523" t="e">
        <f ca="1">stat(calculs!AJ293)</f>
        <v>#NAME?</v>
      </c>
      <c r="AK293" s="523" t="e">
        <f ca="1">stat(calculs!AK293)</f>
        <v>#NAME?</v>
      </c>
      <c r="AL293" s="523" t="e">
        <f ca="1">stat(calculs!AL293)</f>
        <v>#NAME?</v>
      </c>
      <c r="AM293" s="523" t="e">
        <f ca="1">stat(calculs!AM293)</f>
        <v>#NAME?</v>
      </c>
      <c r="AN293" s="523" t="e">
        <f ca="1">stat(calculs!AN293)</f>
        <v>#NAME?</v>
      </c>
      <c r="AO293" s="523" t="e">
        <f ca="1">stat(calculs!AO293)</f>
        <v>#NAME?</v>
      </c>
      <c r="AP293" s="523" t="e">
        <f ca="1">stat(calculs!AP293)</f>
        <v>#NAME?</v>
      </c>
      <c r="AQ293" s="523" t="e">
        <f ca="1">stat(calculs!AQ293)</f>
        <v>#NAME?</v>
      </c>
      <c r="AV293" s="525" t="str">
        <f>stat(calculs!AV293)</f>
        <v/>
      </c>
      <c r="AW293" s="525" t="str">
        <f>stat(calculs!AW293)</f>
        <v/>
      </c>
      <c r="AX293" s="525" t="str">
        <f>stat(calculs!AX293)</f>
        <v/>
      </c>
      <c r="AY293" s="525" t="e">
        <f ca="1">stat(calculs!AY293)</f>
        <v>#NAME?</v>
      </c>
      <c r="AZ293" s="525" t="e">
        <f ca="1">stat(calculs!AZ293)</f>
        <v>#NAME?</v>
      </c>
      <c r="BA293" s="525" t="e">
        <f ca="1">stat(calculs!BA293)</f>
        <v>#NAME?</v>
      </c>
      <c r="BB293" s="525" t="e">
        <f ca="1">stat(calculs!BB293)</f>
        <v>#NAME?</v>
      </c>
      <c r="BC293" s="525" t="e">
        <f ca="1">stat(calculs!BC293)</f>
        <v>#NAME?</v>
      </c>
      <c r="BD293" s="525" t="e">
        <f ca="1">stat(calculs!BD293)</f>
        <v>#NAME?</v>
      </c>
      <c r="BE293" s="525" t="e">
        <f ca="1">stat(calculs!BE293)</f>
        <v>#NAME?</v>
      </c>
      <c r="BF293" s="525" t="e">
        <f ca="1">stat(calculs!BF293)</f>
        <v>#NAME?</v>
      </c>
      <c r="BG293" s="729" t="e">
        <f ca="1">stat(calculs!BG293)</f>
        <v>#NAME?</v>
      </c>
      <c r="BH293" s="729" t="e">
        <f ca="1">stat(calculs!BH293)</f>
        <v>#NAME?</v>
      </c>
      <c r="BI293" s="729" t="e">
        <f ca="1">stat(calculs!BI293)</f>
        <v>#NAME?</v>
      </c>
      <c r="BJ293" s="729" t="e">
        <f ca="1">stat(calculs!BJ293)</f>
        <v>#NAME?</v>
      </c>
      <c r="BK293" s="729" t="e">
        <f ca="1">stat(calculs!BK293)</f>
        <v>#NAME?</v>
      </c>
      <c r="BL293" s="525" t="e">
        <f ca="1">stat(calculs!BL293)</f>
        <v>#NAME?</v>
      </c>
      <c r="BM293" s="525" t="e">
        <f ca="1">stat(calculs!BM293)</f>
        <v>#NAME?</v>
      </c>
      <c r="BN293" s="525" t="e">
        <f ca="1">stat(calculs!BN293)</f>
        <v>#NAME?</v>
      </c>
      <c r="BO293" s="525" t="e">
        <f ca="1">stat(calculs!BO293)</f>
        <v>#NAME?</v>
      </c>
      <c r="BP293" s="525" t="e">
        <f ca="1">stat(calculs!BP293)</f>
        <v>#NAME?</v>
      </c>
      <c r="BQ293" s="525" t="e">
        <f ca="1">stat(calculs!BQ293)</f>
        <v>#NAME?</v>
      </c>
      <c r="BR293" s="525" t="e">
        <f ca="1">stat(calculs!BR293)</f>
        <v>#NAME?</v>
      </c>
    </row>
    <row r="294" spans="1:70" x14ac:dyDescent="0.2">
      <c r="A294" s="222">
        <f>données_step[[#This Row],[Datum]]</f>
        <v>44845</v>
      </c>
      <c r="B294" s="223"/>
      <c r="C294" s="224">
        <f t="shared" si="4"/>
        <v>3</v>
      </c>
      <c r="D294" s="523" t="e">
        <f ca="1">stat(charge_entree[[#This Row],[ch_E_DBO5]])</f>
        <v>#NAME?</v>
      </c>
      <c r="E294" s="523" t="e">
        <f ca="1">stat(charge_entree[[#This Row],[ch_E_DCO]])</f>
        <v>#NAME?</v>
      </c>
      <c r="F294" s="523" t="e">
        <f ca="1">stat(charge_entree[[#This Row],[ch_E_COT]])</f>
        <v>#NAME?</v>
      </c>
      <c r="G294" s="523" t="e">
        <f ca="1">stat(charge_entree[[#This Row],[ch_E_NH4]])</f>
        <v>#NAME?</v>
      </c>
      <c r="H294" s="523" t="e">
        <f ca="1">stat(charge_entree[[#This Row],[ch_E_NTOT]])</f>
        <v>#NAME?</v>
      </c>
      <c r="I294" s="523" t="e">
        <f ca="1">stat(charge_entree[[#This Row],[ch_E_PTOT]])</f>
        <v>#NAME?</v>
      </c>
      <c r="J294" s="523" t="e">
        <f ca="1">stat(charge_entree[[#This Row],[ch_S_DBO]])</f>
        <v>#NAME?</v>
      </c>
      <c r="K294" s="523" t="e">
        <f ca="1">stat(charge_entree[[#This Row],[ch_S-DCO]])</f>
        <v>#NAME?</v>
      </c>
      <c r="L294" s="523" t="e">
        <f ca="1">stat(charge_entree[[#This Row],[ch_S_DOC]])</f>
        <v>#NAME?</v>
      </c>
      <c r="M294" s="523" t="e">
        <f ca="1">stat(charge_entree[[#This Row],[ch_S_NH4]])</f>
        <v>#NAME?</v>
      </c>
      <c r="N294" s="523" t="e">
        <f ca="1">stat(charge_entree[[#This Row],[ch_S_NO2]])</f>
        <v>#NAME?</v>
      </c>
      <c r="O294" s="523" t="e">
        <f ca="1">stat(charge_entree[[#This Row],[ch_S_NO3]])</f>
        <v>#NAME?</v>
      </c>
      <c r="P294" s="523" t="e">
        <f ca="1">stat(charge_entree[[#This Row],[ch_S_PTOT]])</f>
        <v>#NAME?</v>
      </c>
      <c r="Q294" s="523" t="e">
        <f ca="1">stat(charge_entree[[#This Row],[ch_S_SNDT]])</f>
        <v>#NAME?</v>
      </c>
      <c r="R294" s="523">
        <f>calculs!R294</f>
        <v>0</v>
      </c>
      <c r="S294" s="523" t="e">
        <f ca="1">stat(calculs!S294)</f>
        <v>#NAME?</v>
      </c>
      <c r="T294" s="523" t="e">
        <f ca="1">stat(calculs!T294)</f>
        <v>#NAME?</v>
      </c>
      <c r="U294" s="523" t="e">
        <f ca="1">stat(calculs!U294)</f>
        <v>#NAME?</v>
      </c>
      <c r="V294" s="523" t="e">
        <f ca="1">stat(calculs!V294)</f>
        <v>#NAME?</v>
      </c>
      <c r="W294" s="523" t="e">
        <f ca="1">stat(calculs!W294)</f>
        <v>#NAME?</v>
      </c>
      <c r="X294" s="523" t="e">
        <f ca="1">stat(calculs!X294)</f>
        <v>#NAME?</v>
      </c>
      <c r="Y294" s="523" t="e">
        <f ca="1">stat(calculs!Y294)</f>
        <v>#NAME?</v>
      </c>
      <c r="Z294" s="523" t="e">
        <f ca="1">stat(calculs!Z294)</f>
        <v>#NAME?</v>
      </c>
      <c r="AA294" s="523" t="e">
        <f ca="1">stat(calculs!AA294)</f>
        <v>#NAME?</v>
      </c>
      <c r="AB294" s="523" t="e">
        <f ca="1">stat(calculs!AB294)</f>
        <v>#NAME?</v>
      </c>
      <c r="AC294" s="523" t="e">
        <f ca="1">stat(calculs!AC294)</f>
        <v>#NAME?</v>
      </c>
      <c r="AD294" s="523" t="e">
        <f ca="1">stat(calculs!AD294)</f>
        <v>#NAME?</v>
      </c>
      <c r="AE294" s="523" t="e">
        <f ca="1">stat(calculs!AE294)</f>
        <v>#NAME?</v>
      </c>
      <c r="AF294" s="523" t="e">
        <f ca="1">stat(calculs!AF294)</f>
        <v>#NAME?</v>
      </c>
      <c r="AG294" s="523" t="e">
        <f ca="1">stat(calculs!AG294)</f>
        <v>#NAME?</v>
      </c>
      <c r="AH294" s="523" t="e">
        <f ca="1">stat(calculs!AH294)</f>
        <v>#NAME?</v>
      </c>
      <c r="AI294" s="523" t="e">
        <f ca="1">stat(calculs!AI294)</f>
        <v>#NAME?</v>
      </c>
      <c r="AJ294" s="523" t="e">
        <f ca="1">stat(calculs!AJ294)</f>
        <v>#NAME?</v>
      </c>
      <c r="AK294" s="523" t="e">
        <f ca="1">stat(calculs!AK294)</f>
        <v>#NAME?</v>
      </c>
      <c r="AL294" s="523" t="e">
        <f ca="1">stat(calculs!AL294)</f>
        <v>#NAME?</v>
      </c>
      <c r="AM294" s="523" t="e">
        <f ca="1">stat(calculs!AM294)</f>
        <v>#NAME?</v>
      </c>
      <c r="AN294" s="523" t="e">
        <f ca="1">stat(calculs!AN294)</f>
        <v>#NAME?</v>
      </c>
      <c r="AO294" s="523" t="e">
        <f ca="1">stat(calculs!AO294)</f>
        <v>#NAME?</v>
      </c>
      <c r="AP294" s="523" t="e">
        <f ca="1">stat(calculs!AP294)</f>
        <v>#NAME?</v>
      </c>
      <c r="AQ294" s="523" t="e">
        <f ca="1">stat(calculs!AQ294)</f>
        <v>#NAME?</v>
      </c>
      <c r="AV294" s="525" t="str">
        <f>stat(calculs!AV294)</f>
        <v/>
      </c>
      <c r="AW294" s="525" t="str">
        <f>stat(calculs!AW294)</f>
        <v/>
      </c>
      <c r="AX294" s="525" t="str">
        <f>stat(calculs!AX294)</f>
        <v/>
      </c>
      <c r="AY294" s="525" t="e">
        <f ca="1">stat(calculs!AY294)</f>
        <v>#NAME?</v>
      </c>
      <c r="AZ294" s="525" t="e">
        <f ca="1">stat(calculs!AZ294)</f>
        <v>#NAME?</v>
      </c>
      <c r="BA294" s="525" t="e">
        <f ca="1">stat(calculs!BA294)</f>
        <v>#NAME?</v>
      </c>
      <c r="BB294" s="525" t="e">
        <f ca="1">stat(calculs!BB294)</f>
        <v>#NAME?</v>
      </c>
      <c r="BC294" s="525" t="e">
        <f ca="1">stat(calculs!BC294)</f>
        <v>#NAME?</v>
      </c>
      <c r="BD294" s="525" t="e">
        <f ca="1">stat(calculs!BD294)</f>
        <v>#NAME?</v>
      </c>
      <c r="BE294" s="525" t="e">
        <f ca="1">stat(calculs!BE294)</f>
        <v>#NAME?</v>
      </c>
      <c r="BF294" s="525" t="e">
        <f ca="1">stat(calculs!BF294)</f>
        <v>#NAME?</v>
      </c>
      <c r="BG294" s="729" t="e">
        <f ca="1">stat(calculs!BG294)</f>
        <v>#NAME?</v>
      </c>
      <c r="BH294" s="729" t="e">
        <f ca="1">stat(calculs!BH294)</f>
        <v>#NAME?</v>
      </c>
      <c r="BI294" s="729" t="e">
        <f ca="1">stat(calculs!BI294)</f>
        <v>#NAME?</v>
      </c>
      <c r="BJ294" s="729" t="e">
        <f ca="1">stat(calculs!BJ294)</f>
        <v>#NAME?</v>
      </c>
      <c r="BK294" s="729" t="e">
        <f ca="1">stat(calculs!BK294)</f>
        <v>#NAME?</v>
      </c>
      <c r="BL294" s="525" t="e">
        <f ca="1">stat(calculs!BL294)</f>
        <v>#NAME?</v>
      </c>
      <c r="BM294" s="525" t="e">
        <f ca="1">stat(calculs!BM294)</f>
        <v>#NAME?</v>
      </c>
      <c r="BN294" s="525" t="e">
        <f ca="1">stat(calculs!BN294)</f>
        <v>#NAME?</v>
      </c>
      <c r="BO294" s="525" t="e">
        <f ca="1">stat(calculs!BO294)</f>
        <v>#NAME?</v>
      </c>
      <c r="BP294" s="525" t="e">
        <f ca="1">stat(calculs!BP294)</f>
        <v>#NAME?</v>
      </c>
      <c r="BQ294" s="525" t="e">
        <f ca="1">stat(calculs!BQ294)</f>
        <v>#NAME?</v>
      </c>
      <c r="BR294" s="525" t="e">
        <f ca="1">stat(calculs!BR294)</f>
        <v>#NAME?</v>
      </c>
    </row>
    <row r="295" spans="1:70" x14ac:dyDescent="0.2">
      <c r="A295" s="222">
        <f>données_step[[#This Row],[Datum]]</f>
        <v>44846</v>
      </c>
      <c r="B295" s="223"/>
      <c r="C295" s="224">
        <f t="shared" si="4"/>
        <v>4</v>
      </c>
      <c r="D295" s="523" t="e">
        <f ca="1">stat(charge_entree[[#This Row],[ch_E_DBO5]])</f>
        <v>#NAME?</v>
      </c>
      <c r="E295" s="523" t="e">
        <f ca="1">stat(charge_entree[[#This Row],[ch_E_DCO]])</f>
        <v>#NAME?</v>
      </c>
      <c r="F295" s="523" t="e">
        <f ca="1">stat(charge_entree[[#This Row],[ch_E_COT]])</f>
        <v>#NAME?</v>
      </c>
      <c r="G295" s="523" t="e">
        <f ca="1">stat(charge_entree[[#This Row],[ch_E_NH4]])</f>
        <v>#NAME?</v>
      </c>
      <c r="H295" s="523" t="e">
        <f ca="1">stat(charge_entree[[#This Row],[ch_E_NTOT]])</f>
        <v>#NAME?</v>
      </c>
      <c r="I295" s="523" t="e">
        <f ca="1">stat(charge_entree[[#This Row],[ch_E_PTOT]])</f>
        <v>#NAME?</v>
      </c>
      <c r="J295" s="523" t="e">
        <f ca="1">stat(charge_entree[[#This Row],[ch_S_DBO]])</f>
        <v>#NAME?</v>
      </c>
      <c r="K295" s="523" t="e">
        <f ca="1">stat(charge_entree[[#This Row],[ch_S-DCO]])</f>
        <v>#NAME?</v>
      </c>
      <c r="L295" s="523" t="e">
        <f ca="1">stat(charge_entree[[#This Row],[ch_S_DOC]])</f>
        <v>#NAME?</v>
      </c>
      <c r="M295" s="523" t="e">
        <f ca="1">stat(charge_entree[[#This Row],[ch_S_NH4]])</f>
        <v>#NAME?</v>
      </c>
      <c r="N295" s="523" t="e">
        <f ca="1">stat(charge_entree[[#This Row],[ch_S_NO2]])</f>
        <v>#NAME?</v>
      </c>
      <c r="O295" s="523" t="e">
        <f ca="1">stat(charge_entree[[#This Row],[ch_S_NO3]])</f>
        <v>#NAME?</v>
      </c>
      <c r="P295" s="523" t="e">
        <f ca="1">stat(charge_entree[[#This Row],[ch_S_PTOT]])</f>
        <v>#NAME?</v>
      </c>
      <c r="Q295" s="523" t="e">
        <f ca="1">stat(charge_entree[[#This Row],[ch_S_SNDT]])</f>
        <v>#NAME?</v>
      </c>
      <c r="R295" s="523">
        <f>calculs!R295</f>
        <v>0</v>
      </c>
      <c r="S295" s="523" t="e">
        <f ca="1">stat(calculs!S295)</f>
        <v>#NAME?</v>
      </c>
      <c r="T295" s="523" t="e">
        <f ca="1">stat(calculs!T295)</f>
        <v>#NAME?</v>
      </c>
      <c r="U295" s="523" t="e">
        <f ca="1">stat(calculs!U295)</f>
        <v>#NAME?</v>
      </c>
      <c r="V295" s="523" t="e">
        <f ca="1">stat(calculs!V295)</f>
        <v>#NAME?</v>
      </c>
      <c r="W295" s="523" t="e">
        <f ca="1">stat(calculs!W295)</f>
        <v>#NAME?</v>
      </c>
      <c r="X295" s="523" t="e">
        <f ca="1">stat(calculs!X295)</f>
        <v>#NAME?</v>
      </c>
      <c r="Y295" s="523" t="e">
        <f ca="1">stat(calculs!Y295)</f>
        <v>#NAME?</v>
      </c>
      <c r="Z295" s="523" t="e">
        <f ca="1">stat(calculs!Z295)</f>
        <v>#NAME?</v>
      </c>
      <c r="AA295" s="523" t="e">
        <f ca="1">stat(calculs!AA295)</f>
        <v>#NAME?</v>
      </c>
      <c r="AB295" s="523" t="e">
        <f ca="1">stat(calculs!AB295)</f>
        <v>#NAME?</v>
      </c>
      <c r="AC295" s="523" t="e">
        <f ca="1">stat(calculs!AC295)</f>
        <v>#NAME?</v>
      </c>
      <c r="AD295" s="523" t="e">
        <f ca="1">stat(calculs!AD295)</f>
        <v>#NAME?</v>
      </c>
      <c r="AE295" s="523" t="e">
        <f ca="1">stat(calculs!AE295)</f>
        <v>#NAME?</v>
      </c>
      <c r="AF295" s="523" t="e">
        <f ca="1">stat(calculs!AF295)</f>
        <v>#NAME?</v>
      </c>
      <c r="AG295" s="523" t="e">
        <f ca="1">stat(calculs!AG295)</f>
        <v>#NAME?</v>
      </c>
      <c r="AH295" s="523" t="e">
        <f ca="1">stat(calculs!AH295)</f>
        <v>#NAME?</v>
      </c>
      <c r="AI295" s="523" t="e">
        <f ca="1">stat(calculs!AI295)</f>
        <v>#NAME?</v>
      </c>
      <c r="AJ295" s="523" t="e">
        <f ca="1">stat(calculs!AJ295)</f>
        <v>#NAME?</v>
      </c>
      <c r="AK295" s="523" t="e">
        <f ca="1">stat(calculs!AK295)</f>
        <v>#NAME?</v>
      </c>
      <c r="AL295" s="523" t="e">
        <f ca="1">stat(calculs!AL295)</f>
        <v>#NAME?</v>
      </c>
      <c r="AM295" s="523" t="e">
        <f ca="1">stat(calculs!AM295)</f>
        <v>#NAME?</v>
      </c>
      <c r="AN295" s="523" t="e">
        <f ca="1">stat(calculs!AN295)</f>
        <v>#NAME?</v>
      </c>
      <c r="AO295" s="523" t="e">
        <f ca="1">stat(calculs!AO295)</f>
        <v>#NAME?</v>
      </c>
      <c r="AP295" s="523" t="e">
        <f ca="1">stat(calculs!AP295)</f>
        <v>#NAME?</v>
      </c>
      <c r="AQ295" s="523" t="e">
        <f ca="1">stat(calculs!AQ295)</f>
        <v>#NAME?</v>
      </c>
      <c r="AV295" s="525" t="str">
        <f>stat(calculs!AV295)</f>
        <v/>
      </c>
      <c r="AW295" s="525" t="str">
        <f>stat(calculs!AW295)</f>
        <v/>
      </c>
      <c r="AX295" s="525" t="str">
        <f>stat(calculs!AX295)</f>
        <v/>
      </c>
      <c r="AY295" s="525" t="e">
        <f ca="1">stat(calculs!AY295)</f>
        <v>#NAME?</v>
      </c>
      <c r="AZ295" s="525" t="e">
        <f ca="1">stat(calculs!AZ295)</f>
        <v>#NAME?</v>
      </c>
      <c r="BA295" s="525" t="e">
        <f ca="1">stat(calculs!BA295)</f>
        <v>#NAME?</v>
      </c>
      <c r="BB295" s="525" t="e">
        <f ca="1">stat(calculs!BB295)</f>
        <v>#NAME?</v>
      </c>
      <c r="BC295" s="525" t="e">
        <f ca="1">stat(calculs!BC295)</f>
        <v>#NAME?</v>
      </c>
      <c r="BD295" s="525" t="e">
        <f ca="1">stat(calculs!BD295)</f>
        <v>#NAME?</v>
      </c>
      <c r="BE295" s="525" t="e">
        <f ca="1">stat(calculs!BE295)</f>
        <v>#NAME?</v>
      </c>
      <c r="BF295" s="525" t="e">
        <f ca="1">stat(calculs!BF295)</f>
        <v>#NAME?</v>
      </c>
      <c r="BG295" s="729" t="e">
        <f ca="1">stat(calculs!BG295)</f>
        <v>#NAME?</v>
      </c>
      <c r="BH295" s="729" t="e">
        <f ca="1">stat(calculs!BH295)</f>
        <v>#NAME?</v>
      </c>
      <c r="BI295" s="729" t="e">
        <f ca="1">stat(calculs!BI295)</f>
        <v>#NAME?</v>
      </c>
      <c r="BJ295" s="729" t="e">
        <f ca="1">stat(calculs!BJ295)</f>
        <v>#NAME?</v>
      </c>
      <c r="BK295" s="729" t="e">
        <f ca="1">stat(calculs!BK295)</f>
        <v>#NAME?</v>
      </c>
      <c r="BL295" s="525" t="e">
        <f ca="1">stat(calculs!BL295)</f>
        <v>#NAME?</v>
      </c>
      <c r="BM295" s="525" t="e">
        <f ca="1">stat(calculs!BM295)</f>
        <v>#NAME?</v>
      </c>
      <c r="BN295" s="525" t="e">
        <f ca="1">stat(calculs!BN295)</f>
        <v>#NAME?</v>
      </c>
      <c r="BO295" s="525" t="e">
        <f ca="1">stat(calculs!BO295)</f>
        <v>#NAME?</v>
      </c>
      <c r="BP295" s="525" t="e">
        <f ca="1">stat(calculs!BP295)</f>
        <v>#NAME?</v>
      </c>
      <c r="BQ295" s="525" t="e">
        <f ca="1">stat(calculs!BQ295)</f>
        <v>#NAME?</v>
      </c>
      <c r="BR295" s="525" t="e">
        <f ca="1">stat(calculs!BR295)</f>
        <v>#NAME?</v>
      </c>
    </row>
    <row r="296" spans="1:70" x14ac:dyDescent="0.2">
      <c r="A296" s="222">
        <f>données_step[[#This Row],[Datum]]</f>
        <v>44847</v>
      </c>
      <c r="B296" s="223"/>
      <c r="C296" s="224">
        <f t="shared" si="4"/>
        <v>5</v>
      </c>
      <c r="D296" s="523" t="e">
        <f ca="1">stat(charge_entree[[#This Row],[ch_E_DBO5]])</f>
        <v>#NAME?</v>
      </c>
      <c r="E296" s="523" t="e">
        <f ca="1">stat(charge_entree[[#This Row],[ch_E_DCO]])</f>
        <v>#NAME?</v>
      </c>
      <c r="F296" s="523" t="e">
        <f ca="1">stat(charge_entree[[#This Row],[ch_E_COT]])</f>
        <v>#NAME?</v>
      </c>
      <c r="G296" s="523" t="e">
        <f ca="1">stat(charge_entree[[#This Row],[ch_E_NH4]])</f>
        <v>#NAME?</v>
      </c>
      <c r="H296" s="523" t="e">
        <f ca="1">stat(charge_entree[[#This Row],[ch_E_NTOT]])</f>
        <v>#NAME?</v>
      </c>
      <c r="I296" s="523" t="e">
        <f ca="1">stat(charge_entree[[#This Row],[ch_E_PTOT]])</f>
        <v>#NAME?</v>
      </c>
      <c r="J296" s="523" t="e">
        <f ca="1">stat(charge_entree[[#This Row],[ch_S_DBO]])</f>
        <v>#NAME?</v>
      </c>
      <c r="K296" s="523" t="e">
        <f ca="1">stat(charge_entree[[#This Row],[ch_S-DCO]])</f>
        <v>#NAME?</v>
      </c>
      <c r="L296" s="523" t="e">
        <f ca="1">stat(charge_entree[[#This Row],[ch_S_DOC]])</f>
        <v>#NAME?</v>
      </c>
      <c r="M296" s="523" t="e">
        <f ca="1">stat(charge_entree[[#This Row],[ch_S_NH4]])</f>
        <v>#NAME?</v>
      </c>
      <c r="N296" s="523" t="e">
        <f ca="1">stat(charge_entree[[#This Row],[ch_S_NO2]])</f>
        <v>#NAME?</v>
      </c>
      <c r="O296" s="523" t="e">
        <f ca="1">stat(charge_entree[[#This Row],[ch_S_NO3]])</f>
        <v>#NAME?</v>
      </c>
      <c r="P296" s="523" t="e">
        <f ca="1">stat(charge_entree[[#This Row],[ch_S_PTOT]])</f>
        <v>#NAME?</v>
      </c>
      <c r="Q296" s="523" t="e">
        <f ca="1">stat(charge_entree[[#This Row],[ch_S_SNDT]])</f>
        <v>#NAME?</v>
      </c>
      <c r="R296" s="523">
        <f>calculs!R296</f>
        <v>0</v>
      </c>
      <c r="S296" s="523" t="e">
        <f ca="1">stat(calculs!S296)</f>
        <v>#NAME?</v>
      </c>
      <c r="T296" s="523" t="e">
        <f ca="1">stat(calculs!T296)</f>
        <v>#NAME?</v>
      </c>
      <c r="U296" s="523" t="e">
        <f ca="1">stat(calculs!U296)</f>
        <v>#NAME?</v>
      </c>
      <c r="V296" s="523" t="e">
        <f ca="1">stat(calculs!V296)</f>
        <v>#NAME?</v>
      </c>
      <c r="W296" s="523" t="e">
        <f ca="1">stat(calculs!W296)</f>
        <v>#NAME?</v>
      </c>
      <c r="X296" s="523" t="e">
        <f ca="1">stat(calculs!X296)</f>
        <v>#NAME?</v>
      </c>
      <c r="Y296" s="523" t="e">
        <f ca="1">stat(calculs!Y296)</f>
        <v>#NAME?</v>
      </c>
      <c r="Z296" s="523" t="e">
        <f ca="1">stat(calculs!Z296)</f>
        <v>#NAME?</v>
      </c>
      <c r="AA296" s="523" t="e">
        <f ca="1">stat(calculs!AA296)</f>
        <v>#NAME?</v>
      </c>
      <c r="AB296" s="523" t="e">
        <f ca="1">stat(calculs!AB296)</f>
        <v>#NAME?</v>
      </c>
      <c r="AC296" s="523" t="e">
        <f ca="1">stat(calculs!AC296)</f>
        <v>#NAME?</v>
      </c>
      <c r="AD296" s="523" t="e">
        <f ca="1">stat(calculs!AD296)</f>
        <v>#NAME?</v>
      </c>
      <c r="AE296" s="523" t="e">
        <f ca="1">stat(calculs!AE296)</f>
        <v>#NAME?</v>
      </c>
      <c r="AF296" s="523" t="e">
        <f ca="1">stat(calculs!AF296)</f>
        <v>#NAME?</v>
      </c>
      <c r="AG296" s="523" t="e">
        <f ca="1">stat(calculs!AG296)</f>
        <v>#NAME?</v>
      </c>
      <c r="AH296" s="523" t="e">
        <f ca="1">stat(calculs!AH296)</f>
        <v>#NAME?</v>
      </c>
      <c r="AI296" s="523" t="e">
        <f ca="1">stat(calculs!AI296)</f>
        <v>#NAME?</v>
      </c>
      <c r="AJ296" s="523" t="e">
        <f ca="1">stat(calculs!AJ296)</f>
        <v>#NAME?</v>
      </c>
      <c r="AK296" s="523" t="e">
        <f ca="1">stat(calculs!AK296)</f>
        <v>#NAME?</v>
      </c>
      <c r="AL296" s="523" t="e">
        <f ca="1">stat(calculs!AL296)</f>
        <v>#NAME?</v>
      </c>
      <c r="AM296" s="523" t="e">
        <f ca="1">stat(calculs!AM296)</f>
        <v>#NAME?</v>
      </c>
      <c r="AN296" s="523" t="e">
        <f ca="1">stat(calculs!AN296)</f>
        <v>#NAME?</v>
      </c>
      <c r="AO296" s="523" t="e">
        <f ca="1">stat(calculs!AO296)</f>
        <v>#NAME?</v>
      </c>
      <c r="AP296" s="523" t="e">
        <f ca="1">stat(calculs!AP296)</f>
        <v>#NAME?</v>
      </c>
      <c r="AQ296" s="523" t="e">
        <f ca="1">stat(calculs!AQ296)</f>
        <v>#NAME?</v>
      </c>
      <c r="AV296" s="525" t="str">
        <f>stat(calculs!AV296)</f>
        <v/>
      </c>
      <c r="AW296" s="525" t="str">
        <f>stat(calculs!AW296)</f>
        <v/>
      </c>
      <c r="AX296" s="525" t="str">
        <f>stat(calculs!AX296)</f>
        <v/>
      </c>
      <c r="AY296" s="525" t="e">
        <f ca="1">stat(calculs!AY296)</f>
        <v>#NAME?</v>
      </c>
      <c r="AZ296" s="525" t="e">
        <f ca="1">stat(calculs!AZ296)</f>
        <v>#NAME?</v>
      </c>
      <c r="BA296" s="525" t="e">
        <f ca="1">stat(calculs!BA296)</f>
        <v>#NAME?</v>
      </c>
      <c r="BB296" s="525" t="e">
        <f ca="1">stat(calculs!BB296)</f>
        <v>#NAME?</v>
      </c>
      <c r="BC296" s="525" t="e">
        <f ca="1">stat(calculs!BC296)</f>
        <v>#NAME?</v>
      </c>
      <c r="BD296" s="525" t="e">
        <f ca="1">stat(calculs!BD296)</f>
        <v>#NAME?</v>
      </c>
      <c r="BE296" s="525" t="e">
        <f ca="1">stat(calculs!BE296)</f>
        <v>#NAME?</v>
      </c>
      <c r="BF296" s="525" t="e">
        <f ca="1">stat(calculs!BF296)</f>
        <v>#NAME?</v>
      </c>
      <c r="BG296" s="729" t="e">
        <f ca="1">stat(calculs!BG296)</f>
        <v>#NAME?</v>
      </c>
      <c r="BH296" s="729" t="e">
        <f ca="1">stat(calculs!BH296)</f>
        <v>#NAME?</v>
      </c>
      <c r="BI296" s="729" t="e">
        <f ca="1">stat(calculs!BI296)</f>
        <v>#NAME?</v>
      </c>
      <c r="BJ296" s="729" t="e">
        <f ca="1">stat(calculs!BJ296)</f>
        <v>#NAME?</v>
      </c>
      <c r="BK296" s="729" t="e">
        <f ca="1">stat(calculs!BK296)</f>
        <v>#NAME?</v>
      </c>
      <c r="BL296" s="525" t="e">
        <f ca="1">stat(calculs!BL296)</f>
        <v>#NAME?</v>
      </c>
      <c r="BM296" s="525" t="e">
        <f ca="1">stat(calculs!BM296)</f>
        <v>#NAME?</v>
      </c>
      <c r="BN296" s="525" t="e">
        <f ca="1">stat(calculs!BN296)</f>
        <v>#NAME?</v>
      </c>
      <c r="BO296" s="525" t="e">
        <f ca="1">stat(calculs!BO296)</f>
        <v>#NAME?</v>
      </c>
      <c r="BP296" s="525" t="e">
        <f ca="1">stat(calculs!BP296)</f>
        <v>#NAME?</v>
      </c>
      <c r="BQ296" s="525" t="e">
        <f ca="1">stat(calculs!BQ296)</f>
        <v>#NAME?</v>
      </c>
      <c r="BR296" s="525" t="e">
        <f ca="1">stat(calculs!BR296)</f>
        <v>#NAME?</v>
      </c>
    </row>
    <row r="297" spans="1:70" x14ac:dyDescent="0.2">
      <c r="A297" s="222">
        <f>données_step[[#This Row],[Datum]]</f>
        <v>44848</v>
      </c>
      <c r="B297" s="223"/>
      <c r="C297" s="224">
        <f t="shared" si="4"/>
        <v>6</v>
      </c>
      <c r="D297" s="523" t="e">
        <f ca="1">stat(charge_entree[[#This Row],[ch_E_DBO5]])</f>
        <v>#NAME?</v>
      </c>
      <c r="E297" s="523" t="e">
        <f ca="1">stat(charge_entree[[#This Row],[ch_E_DCO]])</f>
        <v>#NAME?</v>
      </c>
      <c r="F297" s="523" t="e">
        <f ca="1">stat(charge_entree[[#This Row],[ch_E_COT]])</f>
        <v>#NAME?</v>
      </c>
      <c r="G297" s="523" t="e">
        <f ca="1">stat(charge_entree[[#This Row],[ch_E_NH4]])</f>
        <v>#NAME?</v>
      </c>
      <c r="H297" s="523" t="e">
        <f ca="1">stat(charge_entree[[#This Row],[ch_E_NTOT]])</f>
        <v>#NAME?</v>
      </c>
      <c r="I297" s="523" t="e">
        <f ca="1">stat(charge_entree[[#This Row],[ch_E_PTOT]])</f>
        <v>#NAME?</v>
      </c>
      <c r="J297" s="523" t="e">
        <f ca="1">stat(charge_entree[[#This Row],[ch_S_DBO]])</f>
        <v>#NAME?</v>
      </c>
      <c r="K297" s="523" t="e">
        <f ca="1">stat(charge_entree[[#This Row],[ch_S-DCO]])</f>
        <v>#NAME?</v>
      </c>
      <c r="L297" s="523" t="e">
        <f ca="1">stat(charge_entree[[#This Row],[ch_S_DOC]])</f>
        <v>#NAME?</v>
      </c>
      <c r="M297" s="523" t="e">
        <f ca="1">stat(charge_entree[[#This Row],[ch_S_NH4]])</f>
        <v>#NAME?</v>
      </c>
      <c r="N297" s="523" t="e">
        <f ca="1">stat(charge_entree[[#This Row],[ch_S_NO2]])</f>
        <v>#NAME?</v>
      </c>
      <c r="O297" s="523" t="e">
        <f ca="1">stat(charge_entree[[#This Row],[ch_S_NO3]])</f>
        <v>#NAME?</v>
      </c>
      <c r="P297" s="523" t="e">
        <f ca="1">stat(charge_entree[[#This Row],[ch_S_PTOT]])</f>
        <v>#NAME?</v>
      </c>
      <c r="Q297" s="523" t="e">
        <f ca="1">stat(charge_entree[[#This Row],[ch_S_SNDT]])</f>
        <v>#NAME?</v>
      </c>
      <c r="R297" s="523">
        <f>calculs!R297</f>
        <v>0</v>
      </c>
      <c r="S297" s="523" t="e">
        <f ca="1">stat(calculs!S297)</f>
        <v>#NAME?</v>
      </c>
      <c r="T297" s="523" t="e">
        <f ca="1">stat(calculs!T297)</f>
        <v>#NAME?</v>
      </c>
      <c r="U297" s="523" t="e">
        <f ca="1">stat(calculs!U297)</f>
        <v>#NAME?</v>
      </c>
      <c r="V297" s="523" t="e">
        <f ca="1">stat(calculs!V297)</f>
        <v>#NAME?</v>
      </c>
      <c r="W297" s="523" t="e">
        <f ca="1">stat(calculs!W297)</f>
        <v>#NAME?</v>
      </c>
      <c r="X297" s="523" t="e">
        <f ca="1">stat(calculs!X297)</f>
        <v>#NAME?</v>
      </c>
      <c r="Y297" s="523" t="e">
        <f ca="1">stat(calculs!Y297)</f>
        <v>#NAME?</v>
      </c>
      <c r="Z297" s="523" t="e">
        <f ca="1">stat(calculs!Z297)</f>
        <v>#NAME?</v>
      </c>
      <c r="AA297" s="523" t="e">
        <f ca="1">stat(calculs!AA297)</f>
        <v>#NAME?</v>
      </c>
      <c r="AB297" s="523" t="e">
        <f ca="1">stat(calculs!AB297)</f>
        <v>#NAME?</v>
      </c>
      <c r="AC297" s="523" t="e">
        <f ca="1">stat(calculs!AC297)</f>
        <v>#NAME?</v>
      </c>
      <c r="AD297" s="523" t="e">
        <f ca="1">stat(calculs!AD297)</f>
        <v>#NAME?</v>
      </c>
      <c r="AE297" s="523" t="e">
        <f ca="1">stat(calculs!AE297)</f>
        <v>#NAME?</v>
      </c>
      <c r="AF297" s="523" t="e">
        <f ca="1">stat(calculs!AF297)</f>
        <v>#NAME?</v>
      </c>
      <c r="AG297" s="523" t="e">
        <f ca="1">stat(calculs!AG297)</f>
        <v>#NAME?</v>
      </c>
      <c r="AH297" s="523" t="e">
        <f ca="1">stat(calculs!AH297)</f>
        <v>#NAME?</v>
      </c>
      <c r="AI297" s="523" t="e">
        <f ca="1">stat(calculs!AI297)</f>
        <v>#NAME?</v>
      </c>
      <c r="AJ297" s="523" t="e">
        <f ca="1">stat(calculs!AJ297)</f>
        <v>#NAME?</v>
      </c>
      <c r="AK297" s="523" t="e">
        <f ca="1">stat(calculs!AK297)</f>
        <v>#NAME?</v>
      </c>
      <c r="AL297" s="523" t="e">
        <f ca="1">stat(calculs!AL297)</f>
        <v>#NAME?</v>
      </c>
      <c r="AM297" s="523" t="e">
        <f ca="1">stat(calculs!AM297)</f>
        <v>#NAME?</v>
      </c>
      <c r="AN297" s="523" t="e">
        <f ca="1">stat(calculs!AN297)</f>
        <v>#NAME?</v>
      </c>
      <c r="AO297" s="523" t="e">
        <f ca="1">stat(calculs!AO297)</f>
        <v>#NAME?</v>
      </c>
      <c r="AP297" s="523" t="e">
        <f ca="1">stat(calculs!AP297)</f>
        <v>#NAME?</v>
      </c>
      <c r="AQ297" s="523" t="e">
        <f ca="1">stat(calculs!AQ297)</f>
        <v>#NAME?</v>
      </c>
      <c r="AV297" s="525" t="str">
        <f>stat(calculs!AV297)</f>
        <v/>
      </c>
      <c r="AW297" s="525" t="str">
        <f>stat(calculs!AW297)</f>
        <v/>
      </c>
      <c r="AX297" s="525" t="str">
        <f>stat(calculs!AX297)</f>
        <v/>
      </c>
      <c r="AY297" s="525" t="e">
        <f ca="1">stat(calculs!AY297)</f>
        <v>#NAME?</v>
      </c>
      <c r="AZ297" s="525" t="e">
        <f ca="1">stat(calculs!AZ297)</f>
        <v>#NAME?</v>
      </c>
      <c r="BA297" s="525" t="e">
        <f ca="1">stat(calculs!BA297)</f>
        <v>#NAME?</v>
      </c>
      <c r="BB297" s="525" t="e">
        <f ca="1">stat(calculs!BB297)</f>
        <v>#NAME?</v>
      </c>
      <c r="BC297" s="525" t="e">
        <f ca="1">stat(calculs!BC297)</f>
        <v>#NAME?</v>
      </c>
      <c r="BD297" s="525" t="e">
        <f ca="1">stat(calculs!BD297)</f>
        <v>#NAME?</v>
      </c>
      <c r="BE297" s="525" t="e">
        <f ca="1">stat(calculs!BE297)</f>
        <v>#NAME?</v>
      </c>
      <c r="BF297" s="525" t="e">
        <f ca="1">stat(calculs!BF297)</f>
        <v>#NAME?</v>
      </c>
      <c r="BG297" s="729" t="e">
        <f ca="1">stat(calculs!BG297)</f>
        <v>#NAME?</v>
      </c>
      <c r="BH297" s="729" t="e">
        <f ca="1">stat(calculs!BH297)</f>
        <v>#NAME?</v>
      </c>
      <c r="BI297" s="729" t="e">
        <f ca="1">stat(calculs!BI297)</f>
        <v>#NAME?</v>
      </c>
      <c r="BJ297" s="729" t="e">
        <f ca="1">stat(calculs!BJ297)</f>
        <v>#NAME?</v>
      </c>
      <c r="BK297" s="729" t="e">
        <f ca="1">stat(calculs!BK297)</f>
        <v>#NAME?</v>
      </c>
      <c r="BL297" s="525" t="e">
        <f ca="1">stat(calculs!BL297)</f>
        <v>#NAME?</v>
      </c>
      <c r="BM297" s="525" t="e">
        <f ca="1">stat(calculs!BM297)</f>
        <v>#NAME?</v>
      </c>
      <c r="BN297" s="525" t="e">
        <f ca="1">stat(calculs!BN297)</f>
        <v>#NAME?</v>
      </c>
      <c r="BO297" s="525" t="e">
        <f ca="1">stat(calculs!BO297)</f>
        <v>#NAME?</v>
      </c>
      <c r="BP297" s="525" t="e">
        <f ca="1">stat(calculs!BP297)</f>
        <v>#NAME?</v>
      </c>
      <c r="BQ297" s="525" t="e">
        <f ca="1">stat(calculs!BQ297)</f>
        <v>#NAME?</v>
      </c>
      <c r="BR297" s="525" t="e">
        <f ca="1">stat(calculs!BR297)</f>
        <v>#NAME?</v>
      </c>
    </row>
    <row r="298" spans="1:70" x14ac:dyDescent="0.2">
      <c r="A298" s="222">
        <f>données_step[[#This Row],[Datum]]</f>
        <v>44849</v>
      </c>
      <c r="B298" s="223"/>
      <c r="C298" s="224">
        <f t="shared" si="4"/>
        <v>7</v>
      </c>
      <c r="D298" s="523" t="e">
        <f ca="1">stat(charge_entree[[#This Row],[ch_E_DBO5]])</f>
        <v>#NAME?</v>
      </c>
      <c r="E298" s="523" t="e">
        <f ca="1">stat(charge_entree[[#This Row],[ch_E_DCO]])</f>
        <v>#NAME?</v>
      </c>
      <c r="F298" s="523" t="e">
        <f ca="1">stat(charge_entree[[#This Row],[ch_E_COT]])</f>
        <v>#NAME?</v>
      </c>
      <c r="G298" s="523" t="e">
        <f ca="1">stat(charge_entree[[#This Row],[ch_E_NH4]])</f>
        <v>#NAME?</v>
      </c>
      <c r="H298" s="523" t="e">
        <f ca="1">stat(charge_entree[[#This Row],[ch_E_NTOT]])</f>
        <v>#NAME?</v>
      </c>
      <c r="I298" s="523" t="e">
        <f ca="1">stat(charge_entree[[#This Row],[ch_E_PTOT]])</f>
        <v>#NAME?</v>
      </c>
      <c r="J298" s="523" t="e">
        <f ca="1">stat(charge_entree[[#This Row],[ch_S_DBO]])</f>
        <v>#NAME?</v>
      </c>
      <c r="K298" s="523" t="e">
        <f ca="1">stat(charge_entree[[#This Row],[ch_S-DCO]])</f>
        <v>#NAME?</v>
      </c>
      <c r="L298" s="523" t="e">
        <f ca="1">stat(charge_entree[[#This Row],[ch_S_DOC]])</f>
        <v>#NAME?</v>
      </c>
      <c r="M298" s="523" t="e">
        <f ca="1">stat(charge_entree[[#This Row],[ch_S_NH4]])</f>
        <v>#NAME?</v>
      </c>
      <c r="N298" s="523" t="e">
        <f ca="1">stat(charge_entree[[#This Row],[ch_S_NO2]])</f>
        <v>#NAME?</v>
      </c>
      <c r="O298" s="523" t="e">
        <f ca="1">stat(charge_entree[[#This Row],[ch_S_NO3]])</f>
        <v>#NAME?</v>
      </c>
      <c r="P298" s="523" t="e">
        <f ca="1">stat(charge_entree[[#This Row],[ch_S_PTOT]])</f>
        <v>#NAME?</v>
      </c>
      <c r="Q298" s="523" t="e">
        <f ca="1">stat(charge_entree[[#This Row],[ch_S_SNDT]])</f>
        <v>#NAME?</v>
      </c>
      <c r="R298" s="523">
        <f>calculs!R298</f>
        <v>0</v>
      </c>
      <c r="S298" s="523" t="e">
        <f ca="1">stat(calculs!S298)</f>
        <v>#NAME?</v>
      </c>
      <c r="T298" s="523" t="e">
        <f ca="1">stat(calculs!T298)</f>
        <v>#NAME?</v>
      </c>
      <c r="U298" s="523" t="e">
        <f ca="1">stat(calculs!U298)</f>
        <v>#NAME?</v>
      </c>
      <c r="V298" s="523" t="e">
        <f ca="1">stat(calculs!V298)</f>
        <v>#NAME?</v>
      </c>
      <c r="W298" s="523" t="e">
        <f ca="1">stat(calculs!W298)</f>
        <v>#NAME?</v>
      </c>
      <c r="X298" s="523" t="e">
        <f ca="1">stat(calculs!X298)</f>
        <v>#NAME?</v>
      </c>
      <c r="Y298" s="523" t="e">
        <f ca="1">stat(calculs!Y298)</f>
        <v>#NAME?</v>
      </c>
      <c r="Z298" s="523" t="e">
        <f ca="1">stat(calculs!Z298)</f>
        <v>#NAME?</v>
      </c>
      <c r="AA298" s="523" t="e">
        <f ca="1">stat(calculs!AA298)</f>
        <v>#NAME?</v>
      </c>
      <c r="AB298" s="523" t="e">
        <f ca="1">stat(calculs!AB298)</f>
        <v>#NAME?</v>
      </c>
      <c r="AC298" s="523" t="e">
        <f ca="1">stat(calculs!AC298)</f>
        <v>#NAME?</v>
      </c>
      <c r="AD298" s="523" t="e">
        <f ca="1">stat(calculs!AD298)</f>
        <v>#NAME?</v>
      </c>
      <c r="AE298" s="523" t="e">
        <f ca="1">stat(calculs!AE298)</f>
        <v>#NAME?</v>
      </c>
      <c r="AF298" s="523" t="e">
        <f ca="1">stat(calculs!AF298)</f>
        <v>#NAME?</v>
      </c>
      <c r="AG298" s="523" t="e">
        <f ca="1">stat(calculs!AG298)</f>
        <v>#NAME?</v>
      </c>
      <c r="AH298" s="523" t="e">
        <f ca="1">stat(calculs!AH298)</f>
        <v>#NAME?</v>
      </c>
      <c r="AI298" s="523" t="e">
        <f ca="1">stat(calculs!AI298)</f>
        <v>#NAME?</v>
      </c>
      <c r="AJ298" s="523" t="e">
        <f ca="1">stat(calculs!AJ298)</f>
        <v>#NAME?</v>
      </c>
      <c r="AK298" s="523" t="e">
        <f ca="1">stat(calculs!AK298)</f>
        <v>#NAME?</v>
      </c>
      <c r="AL298" s="523" t="e">
        <f ca="1">stat(calculs!AL298)</f>
        <v>#NAME?</v>
      </c>
      <c r="AM298" s="523" t="e">
        <f ca="1">stat(calculs!AM298)</f>
        <v>#NAME?</v>
      </c>
      <c r="AN298" s="523" t="e">
        <f ca="1">stat(calculs!AN298)</f>
        <v>#NAME?</v>
      </c>
      <c r="AO298" s="523" t="e">
        <f ca="1">stat(calculs!AO298)</f>
        <v>#NAME?</v>
      </c>
      <c r="AP298" s="523" t="e">
        <f ca="1">stat(calculs!AP298)</f>
        <v>#NAME?</v>
      </c>
      <c r="AQ298" s="523" t="e">
        <f ca="1">stat(calculs!AQ298)</f>
        <v>#NAME?</v>
      </c>
      <c r="AV298" s="525" t="str">
        <f>stat(calculs!AV298)</f>
        <v/>
      </c>
      <c r="AW298" s="525" t="str">
        <f>stat(calculs!AW298)</f>
        <v/>
      </c>
      <c r="AX298" s="525" t="str">
        <f>stat(calculs!AX298)</f>
        <v/>
      </c>
      <c r="AY298" s="525" t="e">
        <f ca="1">stat(calculs!AY298)</f>
        <v>#NAME?</v>
      </c>
      <c r="AZ298" s="525" t="e">
        <f ca="1">stat(calculs!AZ298)</f>
        <v>#NAME?</v>
      </c>
      <c r="BA298" s="525" t="e">
        <f ca="1">stat(calculs!BA298)</f>
        <v>#NAME?</v>
      </c>
      <c r="BB298" s="525" t="e">
        <f ca="1">stat(calculs!BB298)</f>
        <v>#NAME?</v>
      </c>
      <c r="BC298" s="525" t="e">
        <f ca="1">stat(calculs!BC298)</f>
        <v>#NAME?</v>
      </c>
      <c r="BD298" s="525" t="e">
        <f ca="1">stat(calculs!BD298)</f>
        <v>#NAME?</v>
      </c>
      <c r="BE298" s="525" t="e">
        <f ca="1">stat(calculs!BE298)</f>
        <v>#NAME?</v>
      </c>
      <c r="BF298" s="525" t="e">
        <f ca="1">stat(calculs!BF298)</f>
        <v>#NAME?</v>
      </c>
      <c r="BG298" s="729" t="e">
        <f ca="1">stat(calculs!BG298)</f>
        <v>#NAME?</v>
      </c>
      <c r="BH298" s="729" t="e">
        <f ca="1">stat(calculs!BH298)</f>
        <v>#NAME?</v>
      </c>
      <c r="BI298" s="729" t="e">
        <f ca="1">stat(calculs!BI298)</f>
        <v>#NAME?</v>
      </c>
      <c r="BJ298" s="729" t="e">
        <f ca="1">stat(calculs!BJ298)</f>
        <v>#NAME?</v>
      </c>
      <c r="BK298" s="729" t="e">
        <f ca="1">stat(calculs!BK298)</f>
        <v>#NAME?</v>
      </c>
      <c r="BL298" s="525" t="e">
        <f ca="1">stat(calculs!BL298)</f>
        <v>#NAME?</v>
      </c>
      <c r="BM298" s="525" t="e">
        <f ca="1">stat(calculs!BM298)</f>
        <v>#NAME?</v>
      </c>
      <c r="BN298" s="525" t="e">
        <f ca="1">stat(calculs!BN298)</f>
        <v>#NAME?</v>
      </c>
      <c r="BO298" s="525" t="e">
        <f ca="1">stat(calculs!BO298)</f>
        <v>#NAME?</v>
      </c>
      <c r="BP298" s="525" t="e">
        <f ca="1">stat(calculs!BP298)</f>
        <v>#NAME?</v>
      </c>
      <c r="BQ298" s="525" t="e">
        <f ca="1">stat(calculs!BQ298)</f>
        <v>#NAME?</v>
      </c>
      <c r="BR298" s="525" t="e">
        <f ca="1">stat(calculs!BR298)</f>
        <v>#NAME?</v>
      </c>
    </row>
    <row r="299" spans="1:70" x14ac:dyDescent="0.2">
      <c r="A299" s="222">
        <f>données_step[[#This Row],[Datum]]</f>
        <v>44850</v>
      </c>
      <c r="B299" s="223"/>
      <c r="C299" s="224">
        <f t="shared" si="4"/>
        <v>1</v>
      </c>
      <c r="D299" s="523" t="e">
        <f ca="1">stat(charge_entree[[#This Row],[ch_E_DBO5]])</f>
        <v>#NAME?</v>
      </c>
      <c r="E299" s="523" t="e">
        <f ca="1">stat(charge_entree[[#This Row],[ch_E_DCO]])</f>
        <v>#NAME?</v>
      </c>
      <c r="F299" s="523" t="e">
        <f ca="1">stat(charge_entree[[#This Row],[ch_E_COT]])</f>
        <v>#NAME?</v>
      </c>
      <c r="G299" s="523" t="e">
        <f ca="1">stat(charge_entree[[#This Row],[ch_E_NH4]])</f>
        <v>#NAME?</v>
      </c>
      <c r="H299" s="523" t="e">
        <f ca="1">stat(charge_entree[[#This Row],[ch_E_NTOT]])</f>
        <v>#NAME?</v>
      </c>
      <c r="I299" s="523" t="e">
        <f ca="1">stat(charge_entree[[#This Row],[ch_E_PTOT]])</f>
        <v>#NAME?</v>
      </c>
      <c r="J299" s="523" t="e">
        <f ca="1">stat(charge_entree[[#This Row],[ch_S_DBO]])</f>
        <v>#NAME?</v>
      </c>
      <c r="K299" s="523" t="e">
        <f ca="1">stat(charge_entree[[#This Row],[ch_S-DCO]])</f>
        <v>#NAME?</v>
      </c>
      <c r="L299" s="523" t="e">
        <f ca="1">stat(charge_entree[[#This Row],[ch_S_DOC]])</f>
        <v>#NAME?</v>
      </c>
      <c r="M299" s="523" t="e">
        <f ca="1">stat(charge_entree[[#This Row],[ch_S_NH4]])</f>
        <v>#NAME?</v>
      </c>
      <c r="N299" s="523" t="e">
        <f ca="1">stat(charge_entree[[#This Row],[ch_S_NO2]])</f>
        <v>#NAME?</v>
      </c>
      <c r="O299" s="523" t="e">
        <f ca="1">stat(charge_entree[[#This Row],[ch_S_NO3]])</f>
        <v>#NAME?</v>
      </c>
      <c r="P299" s="523" t="e">
        <f ca="1">stat(charge_entree[[#This Row],[ch_S_PTOT]])</f>
        <v>#NAME?</v>
      </c>
      <c r="Q299" s="523" t="e">
        <f ca="1">stat(charge_entree[[#This Row],[ch_S_SNDT]])</f>
        <v>#NAME?</v>
      </c>
      <c r="R299" s="523">
        <f>calculs!R299</f>
        <v>0</v>
      </c>
      <c r="S299" s="523" t="e">
        <f ca="1">stat(calculs!S299)</f>
        <v>#NAME?</v>
      </c>
      <c r="T299" s="523" t="e">
        <f ca="1">stat(calculs!T299)</f>
        <v>#NAME?</v>
      </c>
      <c r="U299" s="523" t="e">
        <f ca="1">stat(calculs!U299)</f>
        <v>#NAME?</v>
      </c>
      <c r="V299" s="523" t="e">
        <f ca="1">stat(calculs!V299)</f>
        <v>#NAME?</v>
      </c>
      <c r="W299" s="523" t="e">
        <f ca="1">stat(calculs!W299)</f>
        <v>#NAME?</v>
      </c>
      <c r="X299" s="523" t="e">
        <f ca="1">stat(calculs!X299)</f>
        <v>#NAME?</v>
      </c>
      <c r="Y299" s="523" t="e">
        <f ca="1">stat(calculs!Y299)</f>
        <v>#NAME?</v>
      </c>
      <c r="Z299" s="523" t="e">
        <f ca="1">stat(calculs!Z299)</f>
        <v>#NAME?</v>
      </c>
      <c r="AA299" s="523" t="e">
        <f ca="1">stat(calculs!AA299)</f>
        <v>#NAME?</v>
      </c>
      <c r="AB299" s="523" t="e">
        <f ca="1">stat(calculs!AB299)</f>
        <v>#NAME?</v>
      </c>
      <c r="AC299" s="523" t="e">
        <f ca="1">stat(calculs!AC299)</f>
        <v>#NAME?</v>
      </c>
      <c r="AD299" s="523" t="e">
        <f ca="1">stat(calculs!AD299)</f>
        <v>#NAME?</v>
      </c>
      <c r="AE299" s="523" t="e">
        <f ca="1">stat(calculs!AE299)</f>
        <v>#NAME?</v>
      </c>
      <c r="AF299" s="523" t="e">
        <f ca="1">stat(calculs!AF299)</f>
        <v>#NAME?</v>
      </c>
      <c r="AG299" s="523" t="e">
        <f ca="1">stat(calculs!AG299)</f>
        <v>#NAME?</v>
      </c>
      <c r="AH299" s="523" t="e">
        <f ca="1">stat(calculs!AH299)</f>
        <v>#NAME?</v>
      </c>
      <c r="AI299" s="523" t="e">
        <f ca="1">stat(calculs!AI299)</f>
        <v>#NAME?</v>
      </c>
      <c r="AJ299" s="523" t="e">
        <f ca="1">stat(calculs!AJ299)</f>
        <v>#NAME?</v>
      </c>
      <c r="AK299" s="523" t="e">
        <f ca="1">stat(calculs!AK299)</f>
        <v>#NAME?</v>
      </c>
      <c r="AL299" s="523" t="e">
        <f ca="1">stat(calculs!AL299)</f>
        <v>#NAME?</v>
      </c>
      <c r="AM299" s="523" t="e">
        <f ca="1">stat(calculs!AM299)</f>
        <v>#NAME?</v>
      </c>
      <c r="AN299" s="523" t="e">
        <f ca="1">stat(calculs!AN299)</f>
        <v>#NAME?</v>
      </c>
      <c r="AO299" s="523" t="e">
        <f ca="1">stat(calculs!AO299)</f>
        <v>#NAME?</v>
      </c>
      <c r="AP299" s="523" t="e">
        <f ca="1">stat(calculs!AP299)</f>
        <v>#NAME?</v>
      </c>
      <c r="AQ299" s="523" t="e">
        <f ca="1">stat(calculs!AQ299)</f>
        <v>#NAME?</v>
      </c>
      <c r="AV299" s="525" t="str">
        <f>stat(calculs!AV299)</f>
        <v/>
      </c>
      <c r="AW299" s="525" t="str">
        <f>stat(calculs!AW299)</f>
        <v/>
      </c>
      <c r="AX299" s="525" t="str">
        <f>stat(calculs!AX299)</f>
        <v/>
      </c>
      <c r="AY299" s="525" t="e">
        <f ca="1">stat(calculs!AY299)</f>
        <v>#NAME?</v>
      </c>
      <c r="AZ299" s="525" t="e">
        <f ca="1">stat(calculs!AZ299)</f>
        <v>#NAME?</v>
      </c>
      <c r="BA299" s="525" t="e">
        <f ca="1">stat(calculs!BA299)</f>
        <v>#NAME?</v>
      </c>
      <c r="BB299" s="525" t="e">
        <f ca="1">stat(calculs!BB299)</f>
        <v>#NAME?</v>
      </c>
      <c r="BC299" s="525" t="e">
        <f ca="1">stat(calculs!BC299)</f>
        <v>#NAME?</v>
      </c>
      <c r="BD299" s="525" t="e">
        <f ca="1">stat(calculs!BD299)</f>
        <v>#NAME?</v>
      </c>
      <c r="BE299" s="525" t="e">
        <f ca="1">stat(calculs!BE299)</f>
        <v>#NAME?</v>
      </c>
      <c r="BF299" s="525" t="e">
        <f ca="1">stat(calculs!BF299)</f>
        <v>#NAME?</v>
      </c>
      <c r="BG299" s="729" t="e">
        <f ca="1">stat(calculs!BG299)</f>
        <v>#NAME?</v>
      </c>
      <c r="BH299" s="729" t="e">
        <f ca="1">stat(calculs!BH299)</f>
        <v>#NAME?</v>
      </c>
      <c r="BI299" s="729" t="e">
        <f ca="1">stat(calculs!BI299)</f>
        <v>#NAME?</v>
      </c>
      <c r="BJ299" s="729" t="e">
        <f ca="1">stat(calculs!BJ299)</f>
        <v>#NAME?</v>
      </c>
      <c r="BK299" s="729" t="e">
        <f ca="1">stat(calculs!BK299)</f>
        <v>#NAME?</v>
      </c>
      <c r="BL299" s="525" t="e">
        <f ca="1">stat(calculs!BL299)</f>
        <v>#NAME?</v>
      </c>
      <c r="BM299" s="525" t="e">
        <f ca="1">stat(calculs!BM299)</f>
        <v>#NAME?</v>
      </c>
      <c r="BN299" s="525" t="e">
        <f ca="1">stat(calculs!BN299)</f>
        <v>#NAME?</v>
      </c>
      <c r="BO299" s="525" t="e">
        <f ca="1">stat(calculs!BO299)</f>
        <v>#NAME?</v>
      </c>
      <c r="BP299" s="525" t="e">
        <f ca="1">stat(calculs!BP299)</f>
        <v>#NAME?</v>
      </c>
      <c r="BQ299" s="525" t="e">
        <f ca="1">stat(calculs!BQ299)</f>
        <v>#NAME?</v>
      </c>
      <c r="BR299" s="525" t="e">
        <f ca="1">stat(calculs!BR299)</f>
        <v>#NAME?</v>
      </c>
    </row>
    <row r="300" spans="1:70" x14ac:dyDescent="0.2">
      <c r="A300" s="222">
        <f>données_step[[#This Row],[Datum]]</f>
        <v>44851</v>
      </c>
      <c r="B300" s="223"/>
      <c r="C300" s="224">
        <f t="shared" si="4"/>
        <v>2</v>
      </c>
      <c r="D300" s="523" t="e">
        <f ca="1">stat(charge_entree[[#This Row],[ch_E_DBO5]])</f>
        <v>#NAME?</v>
      </c>
      <c r="E300" s="523" t="e">
        <f ca="1">stat(charge_entree[[#This Row],[ch_E_DCO]])</f>
        <v>#NAME?</v>
      </c>
      <c r="F300" s="523" t="e">
        <f ca="1">stat(charge_entree[[#This Row],[ch_E_COT]])</f>
        <v>#NAME?</v>
      </c>
      <c r="G300" s="523" t="e">
        <f ca="1">stat(charge_entree[[#This Row],[ch_E_NH4]])</f>
        <v>#NAME?</v>
      </c>
      <c r="H300" s="523" t="e">
        <f ca="1">stat(charge_entree[[#This Row],[ch_E_NTOT]])</f>
        <v>#NAME?</v>
      </c>
      <c r="I300" s="523" t="e">
        <f ca="1">stat(charge_entree[[#This Row],[ch_E_PTOT]])</f>
        <v>#NAME?</v>
      </c>
      <c r="J300" s="523" t="e">
        <f ca="1">stat(charge_entree[[#This Row],[ch_S_DBO]])</f>
        <v>#NAME?</v>
      </c>
      <c r="K300" s="523" t="e">
        <f ca="1">stat(charge_entree[[#This Row],[ch_S-DCO]])</f>
        <v>#NAME?</v>
      </c>
      <c r="L300" s="523" t="e">
        <f ca="1">stat(charge_entree[[#This Row],[ch_S_DOC]])</f>
        <v>#NAME?</v>
      </c>
      <c r="M300" s="523" t="e">
        <f ca="1">stat(charge_entree[[#This Row],[ch_S_NH4]])</f>
        <v>#NAME?</v>
      </c>
      <c r="N300" s="523" t="e">
        <f ca="1">stat(charge_entree[[#This Row],[ch_S_NO2]])</f>
        <v>#NAME?</v>
      </c>
      <c r="O300" s="523" t="e">
        <f ca="1">stat(charge_entree[[#This Row],[ch_S_NO3]])</f>
        <v>#NAME?</v>
      </c>
      <c r="P300" s="523" t="e">
        <f ca="1">stat(charge_entree[[#This Row],[ch_S_PTOT]])</f>
        <v>#NAME?</v>
      </c>
      <c r="Q300" s="523" t="e">
        <f ca="1">stat(charge_entree[[#This Row],[ch_S_SNDT]])</f>
        <v>#NAME?</v>
      </c>
      <c r="R300" s="523">
        <f>calculs!R300</f>
        <v>0</v>
      </c>
      <c r="S300" s="523" t="e">
        <f ca="1">stat(calculs!S300)</f>
        <v>#NAME?</v>
      </c>
      <c r="T300" s="523" t="e">
        <f ca="1">stat(calculs!T300)</f>
        <v>#NAME?</v>
      </c>
      <c r="U300" s="523" t="e">
        <f ca="1">stat(calculs!U300)</f>
        <v>#NAME?</v>
      </c>
      <c r="V300" s="523" t="e">
        <f ca="1">stat(calculs!V300)</f>
        <v>#NAME?</v>
      </c>
      <c r="W300" s="523" t="e">
        <f ca="1">stat(calculs!W300)</f>
        <v>#NAME?</v>
      </c>
      <c r="X300" s="523" t="e">
        <f ca="1">stat(calculs!X300)</f>
        <v>#NAME?</v>
      </c>
      <c r="Y300" s="523" t="e">
        <f ca="1">stat(calculs!Y300)</f>
        <v>#NAME?</v>
      </c>
      <c r="Z300" s="523" t="e">
        <f ca="1">stat(calculs!Z300)</f>
        <v>#NAME?</v>
      </c>
      <c r="AA300" s="523" t="e">
        <f ca="1">stat(calculs!AA300)</f>
        <v>#NAME?</v>
      </c>
      <c r="AB300" s="523" t="e">
        <f ca="1">stat(calculs!AB300)</f>
        <v>#NAME?</v>
      </c>
      <c r="AC300" s="523" t="e">
        <f ca="1">stat(calculs!AC300)</f>
        <v>#NAME?</v>
      </c>
      <c r="AD300" s="523" t="e">
        <f ca="1">stat(calculs!AD300)</f>
        <v>#NAME?</v>
      </c>
      <c r="AE300" s="523" t="e">
        <f ca="1">stat(calculs!AE300)</f>
        <v>#NAME?</v>
      </c>
      <c r="AF300" s="523" t="e">
        <f ca="1">stat(calculs!AF300)</f>
        <v>#NAME?</v>
      </c>
      <c r="AG300" s="523" t="e">
        <f ca="1">stat(calculs!AG300)</f>
        <v>#NAME?</v>
      </c>
      <c r="AH300" s="523" t="e">
        <f ca="1">stat(calculs!AH300)</f>
        <v>#NAME?</v>
      </c>
      <c r="AI300" s="523" t="e">
        <f ca="1">stat(calculs!AI300)</f>
        <v>#NAME?</v>
      </c>
      <c r="AJ300" s="523" t="e">
        <f ca="1">stat(calculs!AJ300)</f>
        <v>#NAME?</v>
      </c>
      <c r="AK300" s="523" t="e">
        <f ca="1">stat(calculs!AK300)</f>
        <v>#NAME?</v>
      </c>
      <c r="AL300" s="523" t="e">
        <f ca="1">stat(calculs!AL300)</f>
        <v>#NAME?</v>
      </c>
      <c r="AM300" s="523" t="e">
        <f ca="1">stat(calculs!AM300)</f>
        <v>#NAME?</v>
      </c>
      <c r="AN300" s="523" t="e">
        <f ca="1">stat(calculs!AN300)</f>
        <v>#NAME?</v>
      </c>
      <c r="AO300" s="523" t="e">
        <f ca="1">stat(calculs!AO300)</f>
        <v>#NAME?</v>
      </c>
      <c r="AP300" s="523" t="e">
        <f ca="1">stat(calculs!AP300)</f>
        <v>#NAME?</v>
      </c>
      <c r="AQ300" s="523" t="e">
        <f ca="1">stat(calculs!AQ300)</f>
        <v>#NAME?</v>
      </c>
      <c r="AV300" s="525" t="str">
        <f>stat(calculs!AV300)</f>
        <v/>
      </c>
      <c r="AW300" s="525" t="str">
        <f>stat(calculs!AW300)</f>
        <v/>
      </c>
      <c r="AX300" s="525" t="str">
        <f>stat(calculs!AX300)</f>
        <v/>
      </c>
      <c r="AY300" s="525" t="e">
        <f ca="1">stat(calculs!AY300)</f>
        <v>#NAME?</v>
      </c>
      <c r="AZ300" s="525" t="e">
        <f ca="1">stat(calculs!AZ300)</f>
        <v>#NAME?</v>
      </c>
      <c r="BA300" s="525" t="e">
        <f ca="1">stat(calculs!BA300)</f>
        <v>#NAME?</v>
      </c>
      <c r="BB300" s="525" t="e">
        <f ca="1">stat(calculs!BB300)</f>
        <v>#NAME?</v>
      </c>
      <c r="BC300" s="525" t="e">
        <f ca="1">stat(calculs!BC300)</f>
        <v>#NAME?</v>
      </c>
      <c r="BD300" s="525" t="e">
        <f ca="1">stat(calculs!BD300)</f>
        <v>#NAME?</v>
      </c>
      <c r="BE300" s="525" t="e">
        <f ca="1">stat(calculs!BE300)</f>
        <v>#NAME?</v>
      </c>
      <c r="BF300" s="525" t="e">
        <f ca="1">stat(calculs!BF300)</f>
        <v>#NAME?</v>
      </c>
      <c r="BG300" s="729" t="e">
        <f ca="1">stat(calculs!BG300)</f>
        <v>#NAME?</v>
      </c>
      <c r="BH300" s="729" t="e">
        <f ca="1">stat(calculs!BH300)</f>
        <v>#NAME?</v>
      </c>
      <c r="BI300" s="729" t="e">
        <f ca="1">stat(calculs!BI300)</f>
        <v>#NAME?</v>
      </c>
      <c r="BJ300" s="729" t="e">
        <f ca="1">stat(calculs!BJ300)</f>
        <v>#NAME?</v>
      </c>
      <c r="BK300" s="729" t="e">
        <f ca="1">stat(calculs!BK300)</f>
        <v>#NAME?</v>
      </c>
      <c r="BL300" s="525" t="e">
        <f ca="1">stat(calculs!BL300)</f>
        <v>#NAME?</v>
      </c>
      <c r="BM300" s="525" t="e">
        <f ca="1">stat(calculs!BM300)</f>
        <v>#NAME?</v>
      </c>
      <c r="BN300" s="525" t="e">
        <f ca="1">stat(calculs!BN300)</f>
        <v>#NAME?</v>
      </c>
      <c r="BO300" s="525" t="e">
        <f ca="1">stat(calculs!BO300)</f>
        <v>#NAME?</v>
      </c>
      <c r="BP300" s="525" t="e">
        <f ca="1">stat(calculs!BP300)</f>
        <v>#NAME?</v>
      </c>
      <c r="BQ300" s="525" t="e">
        <f ca="1">stat(calculs!BQ300)</f>
        <v>#NAME?</v>
      </c>
      <c r="BR300" s="525" t="e">
        <f ca="1">stat(calculs!BR300)</f>
        <v>#NAME?</v>
      </c>
    </row>
    <row r="301" spans="1:70" x14ac:dyDescent="0.2">
      <c r="A301" s="222">
        <f>données_step[[#This Row],[Datum]]</f>
        <v>44852</v>
      </c>
      <c r="B301" s="223"/>
      <c r="C301" s="224">
        <f t="shared" si="4"/>
        <v>3</v>
      </c>
      <c r="D301" s="523" t="e">
        <f ca="1">stat(charge_entree[[#This Row],[ch_E_DBO5]])</f>
        <v>#NAME?</v>
      </c>
      <c r="E301" s="523" t="e">
        <f ca="1">stat(charge_entree[[#This Row],[ch_E_DCO]])</f>
        <v>#NAME?</v>
      </c>
      <c r="F301" s="523" t="e">
        <f ca="1">stat(charge_entree[[#This Row],[ch_E_COT]])</f>
        <v>#NAME?</v>
      </c>
      <c r="G301" s="523" t="e">
        <f ca="1">stat(charge_entree[[#This Row],[ch_E_NH4]])</f>
        <v>#NAME?</v>
      </c>
      <c r="H301" s="523" t="e">
        <f ca="1">stat(charge_entree[[#This Row],[ch_E_NTOT]])</f>
        <v>#NAME?</v>
      </c>
      <c r="I301" s="523" t="e">
        <f ca="1">stat(charge_entree[[#This Row],[ch_E_PTOT]])</f>
        <v>#NAME?</v>
      </c>
      <c r="J301" s="523" t="e">
        <f ca="1">stat(charge_entree[[#This Row],[ch_S_DBO]])</f>
        <v>#NAME?</v>
      </c>
      <c r="K301" s="523" t="e">
        <f ca="1">stat(charge_entree[[#This Row],[ch_S-DCO]])</f>
        <v>#NAME?</v>
      </c>
      <c r="L301" s="523" t="e">
        <f ca="1">stat(charge_entree[[#This Row],[ch_S_DOC]])</f>
        <v>#NAME?</v>
      </c>
      <c r="M301" s="523" t="e">
        <f ca="1">stat(charge_entree[[#This Row],[ch_S_NH4]])</f>
        <v>#NAME?</v>
      </c>
      <c r="N301" s="523" t="e">
        <f ca="1">stat(charge_entree[[#This Row],[ch_S_NO2]])</f>
        <v>#NAME?</v>
      </c>
      <c r="O301" s="523" t="e">
        <f ca="1">stat(charge_entree[[#This Row],[ch_S_NO3]])</f>
        <v>#NAME?</v>
      </c>
      <c r="P301" s="523" t="e">
        <f ca="1">stat(charge_entree[[#This Row],[ch_S_PTOT]])</f>
        <v>#NAME?</v>
      </c>
      <c r="Q301" s="523" t="e">
        <f ca="1">stat(charge_entree[[#This Row],[ch_S_SNDT]])</f>
        <v>#NAME?</v>
      </c>
      <c r="R301" s="523">
        <f>calculs!R301</f>
        <v>0</v>
      </c>
      <c r="S301" s="523" t="e">
        <f ca="1">stat(calculs!S301)</f>
        <v>#NAME?</v>
      </c>
      <c r="T301" s="523" t="e">
        <f ca="1">stat(calculs!T301)</f>
        <v>#NAME?</v>
      </c>
      <c r="U301" s="523" t="e">
        <f ca="1">stat(calculs!U301)</f>
        <v>#NAME?</v>
      </c>
      <c r="V301" s="523" t="e">
        <f ca="1">stat(calculs!V301)</f>
        <v>#NAME?</v>
      </c>
      <c r="W301" s="523" t="e">
        <f ca="1">stat(calculs!W301)</f>
        <v>#NAME?</v>
      </c>
      <c r="X301" s="523" t="e">
        <f ca="1">stat(calculs!X301)</f>
        <v>#NAME?</v>
      </c>
      <c r="Y301" s="523" t="e">
        <f ca="1">stat(calculs!Y301)</f>
        <v>#NAME?</v>
      </c>
      <c r="Z301" s="523" t="e">
        <f ca="1">stat(calculs!Z301)</f>
        <v>#NAME?</v>
      </c>
      <c r="AA301" s="523" t="e">
        <f ca="1">stat(calculs!AA301)</f>
        <v>#NAME?</v>
      </c>
      <c r="AB301" s="523" t="e">
        <f ca="1">stat(calculs!AB301)</f>
        <v>#NAME?</v>
      </c>
      <c r="AC301" s="523" t="e">
        <f ca="1">stat(calculs!AC301)</f>
        <v>#NAME?</v>
      </c>
      <c r="AD301" s="523" t="e">
        <f ca="1">stat(calculs!AD301)</f>
        <v>#NAME?</v>
      </c>
      <c r="AE301" s="523" t="e">
        <f ca="1">stat(calculs!AE301)</f>
        <v>#NAME?</v>
      </c>
      <c r="AF301" s="523" t="e">
        <f ca="1">stat(calculs!AF301)</f>
        <v>#NAME?</v>
      </c>
      <c r="AG301" s="523" t="e">
        <f ca="1">stat(calculs!AG301)</f>
        <v>#NAME?</v>
      </c>
      <c r="AH301" s="523" t="e">
        <f ca="1">stat(calculs!AH301)</f>
        <v>#NAME?</v>
      </c>
      <c r="AI301" s="523" t="e">
        <f ca="1">stat(calculs!AI301)</f>
        <v>#NAME?</v>
      </c>
      <c r="AJ301" s="523" t="e">
        <f ca="1">stat(calculs!AJ301)</f>
        <v>#NAME?</v>
      </c>
      <c r="AK301" s="523" t="e">
        <f ca="1">stat(calculs!AK301)</f>
        <v>#NAME?</v>
      </c>
      <c r="AL301" s="523" t="e">
        <f ca="1">stat(calculs!AL301)</f>
        <v>#NAME?</v>
      </c>
      <c r="AM301" s="523" t="e">
        <f ca="1">stat(calculs!AM301)</f>
        <v>#NAME?</v>
      </c>
      <c r="AN301" s="523" t="e">
        <f ca="1">stat(calculs!AN301)</f>
        <v>#NAME?</v>
      </c>
      <c r="AO301" s="523" t="e">
        <f ca="1">stat(calculs!AO301)</f>
        <v>#NAME?</v>
      </c>
      <c r="AP301" s="523" t="e">
        <f ca="1">stat(calculs!AP301)</f>
        <v>#NAME?</v>
      </c>
      <c r="AQ301" s="523" t="e">
        <f ca="1">stat(calculs!AQ301)</f>
        <v>#NAME?</v>
      </c>
      <c r="AV301" s="525" t="str">
        <f>stat(calculs!AV301)</f>
        <v/>
      </c>
      <c r="AW301" s="525" t="str">
        <f>stat(calculs!AW301)</f>
        <v/>
      </c>
      <c r="AX301" s="525" t="str">
        <f>stat(calculs!AX301)</f>
        <v/>
      </c>
      <c r="AY301" s="525" t="e">
        <f ca="1">stat(calculs!AY301)</f>
        <v>#NAME?</v>
      </c>
      <c r="AZ301" s="525" t="e">
        <f ca="1">stat(calculs!AZ301)</f>
        <v>#NAME?</v>
      </c>
      <c r="BA301" s="525" t="e">
        <f ca="1">stat(calculs!BA301)</f>
        <v>#NAME?</v>
      </c>
      <c r="BB301" s="525" t="e">
        <f ca="1">stat(calculs!BB301)</f>
        <v>#NAME?</v>
      </c>
      <c r="BC301" s="525" t="e">
        <f ca="1">stat(calculs!BC301)</f>
        <v>#NAME?</v>
      </c>
      <c r="BD301" s="525" t="e">
        <f ca="1">stat(calculs!BD301)</f>
        <v>#NAME?</v>
      </c>
      <c r="BE301" s="525" t="e">
        <f ca="1">stat(calculs!BE301)</f>
        <v>#NAME?</v>
      </c>
      <c r="BF301" s="525" t="e">
        <f ca="1">stat(calculs!BF301)</f>
        <v>#NAME?</v>
      </c>
      <c r="BG301" s="729" t="e">
        <f ca="1">stat(calculs!BG301)</f>
        <v>#NAME?</v>
      </c>
      <c r="BH301" s="729" t="e">
        <f ca="1">stat(calculs!BH301)</f>
        <v>#NAME?</v>
      </c>
      <c r="BI301" s="729" t="e">
        <f ca="1">stat(calculs!BI301)</f>
        <v>#NAME?</v>
      </c>
      <c r="BJ301" s="729" t="e">
        <f ca="1">stat(calculs!BJ301)</f>
        <v>#NAME?</v>
      </c>
      <c r="BK301" s="729" t="e">
        <f ca="1">stat(calculs!BK301)</f>
        <v>#NAME?</v>
      </c>
      <c r="BL301" s="525" t="e">
        <f ca="1">stat(calculs!BL301)</f>
        <v>#NAME?</v>
      </c>
      <c r="BM301" s="525" t="e">
        <f ca="1">stat(calculs!BM301)</f>
        <v>#NAME?</v>
      </c>
      <c r="BN301" s="525" t="e">
        <f ca="1">stat(calculs!BN301)</f>
        <v>#NAME?</v>
      </c>
      <c r="BO301" s="525" t="e">
        <f ca="1">stat(calculs!BO301)</f>
        <v>#NAME?</v>
      </c>
      <c r="BP301" s="525" t="e">
        <f ca="1">stat(calculs!BP301)</f>
        <v>#NAME?</v>
      </c>
      <c r="BQ301" s="525" t="e">
        <f ca="1">stat(calculs!BQ301)</f>
        <v>#NAME?</v>
      </c>
      <c r="BR301" s="525" t="e">
        <f ca="1">stat(calculs!BR301)</f>
        <v>#NAME?</v>
      </c>
    </row>
    <row r="302" spans="1:70" x14ac:dyDescent="0.2">
      <c r="A302" s="222">
        <f>données_step[[#This Row],[Datum]]</f>
        <v>44853</v>
      </c>
      <c r="B302" s="223"/>
      <c r="C302" s="224">
        <f t="shared" si="4"/>
        <v>4</v>
      </c>
      <c r="D302" s="523" t="e">
        <f ca="1">stat(charge_entree[[#This Row],[ch_E_DBO5]])</f>
        <v>#NAME?</v>
      </c>
      <c r="E302" s="523" t="e">
        <f ca="1">stat(charge_entree[[#This Row],[ch_E_DCO]])</f>
        <v>#NAME?</v>
      </c>
      <c r="F302" s="523" t="e">
        <f ca="1">stat(charge_entree[[#This Row],[ch_E_COT]])</f>
        <v>#NAME?</v>
      </c>
      <c r="G302" s="523" t="e">
        <f ca="1">stat(charge_entree[[#This Row],[ch_E_NH4]])</f>
        <v>#NAME?</v>
      </c>
      <c r="H302" s="523" t="e">
        <f ca="1">stat(charge_entree[[#This Row],[ch_E_NTOT]])</f>
        <v>#NAME?</v>
      </c>
      <c r="I302" s="523" t="e">
        <f ca="1">stat(charge_entree[[#This Row],[ch_E_PTOT]])</f>
        <v>#NAME?</v>
      </c>
      <c r="J302" s="523" t="e">
        <f ca="1">stat(charge_entree[[#This Row],[ch_S_DBO]])</f>
        <v>#NAME?</v>
      </c>
      <c r="K302" s="523" t="e">
        <f ca="1">stat(charge_entree[[#This Row],[ch_S-DCO]])</f>
        <v>#NAME?</v>
      </c>
      <c r="L302" s="523" t="e">
        <f ca="1">stat(charge_entree[[#This Row],[ch_S_DOC]])</f>
        <v>#NAME?</v>
      </c>
      <c r="M302" s="523" t="e">
        <f ca="1">stat(charge_entree[[#This Row],[ch_S_NH4]])</f>
        <v>#NAME?</v>
      </c>
      <c r="N302" s="523" t="e">
        <f ca="1">stat(charge_entree[[#This Row],[ch_S_NO2]])</f>
        <v>#NAME?</v>
      </c>
      <c r="O302" s="523" t="e">
        <f ca="1">stat(charge_entree[[#This Row],[ch_S_NO3]])</f>
        <v>#NAME?</v>
      </c>
      <c r="P302" s="523" t="e">
        <f ca="1">stat(charge_entree[[#This Row],[ch_S_PTOT]])</f>
        <v>#NAME?</v>
      </c>
      <c r="Q302" s="523" t="e">
        <f ca="1">stat(charge_entree[[#This Row],[ch_S_SNDT]])</f>
        <v>#NAME?</v>
      </c>
      <c r="R302" s="523">
        <f>calculs!R302</f>
        <v>0</v>
      </c>
      <c r="S302" s="523" t="e">
        <f ca="1">stat(calculs!S302)</f>
        <v>#NAME?</v>
      </c>
      <c r="T302" s="523" t="e">
        <f ca="1">stat(calculs!T302)</f>
        <v>#NAME?</v>
      </c>
      <c r="U302" s="523" t="e">
        <f ca="1">stat(calculs!U302)</f>
        <v>#NAME?</v>
      </c>
      <c r="V302" s="523" t="e">
        <f ca="1">stat(calculs!V302)</f>
        <v>#NAME?</v>
      </c>
      <c r="W302" s="523" t="e">
        <f ca="1">stat(calculs!W302)</f>
        <v>#NAME?</v>
      </c>
      <c r="X302" s="523" t="e">
        <f ca="1">stat(calculs!X302)</f>
        <v>#NAME?</v>
      </c>
      <c r="Y302" s="523" t="e">
        <f ca="1">stat(calculs!Y302)</f>
        <v>#NAME?</v>
      </c>
      <c r="Z302" s="523" t="e">
        <f ca="1">stat(calculs!Z302)</f>
        <v>#NAME?</v>
      </c>
      <c r="AA302" s="523" t="e">
        <f ca="1">stat(calculs!AA302)</f>
        <v>#NAME?</v>
      </c>
      <c r="AB302" s="523" t="e">
        <f ca="1">stat(calculs!AB302)</f>
        <v>#NAME?</v>
      </c>
      <c r="AC302" s="523" t="e">
        <f ca="1">stat(calculs!AC302)</f>
        <v>#NAME?</v>
      </c>
      <c r="AD302" s="523" t="e">
        <f ca="1">stat(calculs!AD302)</f>
        <v>#NAME?</v>
      </c>
      <c r="AE302" s="523" t="e">
        <f ca="1">stat(calculs!AE302)</f>
        <v>#NAME?</v>
      </c>
      <c r="AF302" s="523" t="e">
        <f ca="1">stat(calculs!AF302)</f>
        <v>#NAME?</v>
      </c>
      <c r="AG302" s="523" t="e">
        <f ca="1">stat(calculs!AG302)</f>
        <v>#NAME?</v>
      </c>
      <c r="AH302" s="523" t="e">
        <f ca="1">stat(calculs!AH302)</f>
        <v>#NAME?</v>
      </c>
      <c r="AI302" s="523" t="e">
        <f ca="1">stat(calculs!AI302)</f>
        <v>#NAME?</v>
      </c>
      <c r="AJ302" s="523" t="e">
        <f ca="1">stat(calculs!AJ302)</f>
        <v>#NAME?</v>
      </c>
      <c r="AK302" s="523" t="e">
        <f ca="1">stat(calculs!AK302)</f>
        <v>#NAME?</v>
      </c>
      <c r="AL302" s="523" t="e">
        <f ca="1">stat(calculs!AL302)</f>
        <v>#NAME?</v>
      </c>
      <c r="AM302" s="523" t="e">
        <f ca="1">stat(calculs!AM302)</f>
        <v>#NAME?</v>
      </c>
      <c r="AN302" s="523" t="e">
        <f ca="1">stat(calculs!AN302)</f>
        <v>#NAME?</v>
      </c>
      <c r="AO302" s="523" t="e">
        <f ca="1">stat(calculs!AO302)</f>
        <v>#NAME?</v>
      </c>
      <c r="AP302" s="523" t="e">
        <f ca="1">stat(calculs!AP302)</f>
        <v>#NAME?</v>
      </c>
      <c r="AQ302" s="523" t="e">
        <f ca="1">stat(calculs!AQ302)</f>
        <v>#NAME?</v>
      </c>
      <c r="AV302" s="525" t="str">
        <f>stat(calculs!AV302)</f>
        <v/>
      </c>
      <c r="AW302" s="525" t="str">
        <f>stat(calculs!AW302)</f>
        <v/>
      </c>
      <c r="AX302" s="525" t="str">
        <f>stat(calculs!AX302)</f>
        <v/>
      </c>
      <c r="AY302" s="525" t="e">
        <f ca="1">stat(calculs!AY302)</f>
        <v>#NAME?</v>
      </c>
      <c r="AZ302" s="525" t="e">
        <f ca="1">stat(calculs!AZ302)</f>
        <v>#NAME?</v>
      </c>
      <c r="BA302" s="525" t="e">
        <f ca="1">stat(calculs!BA302)</f>
        <v>#NAME?</v>
      </c>
      <c r="BB302" s="525" t="e">
        <f ca="1">stat(calculs!BB302)</f>
        <v>#NAME?</v>
      </c>
      <c r="BC302" s="525" t="e">
        <f ca="1">stat(calculs!BC302)</f>
        <v>#NAME?</v>
      </c>
      <c r="BD302" s="525" t="e">
        <f ca="1">stat(calculs!BD302)</f>
        <v>#NAME?</v>
      </c>
      <c r="BE302" s="525" t="e">
        <f ca="1">stat(calculs!BE302)</f>
        <v>#NAME?</v>
      </c>
      <c r="BF302" s="525" t="e">
        <f ca="1">stat(calculs!BF302)</f>
        <v>#NAME?</v>
      </c>
      <c r="BG302" s="729" t="e">
        <f ca="1">stat(calculs!BG302)</f>
        <v>#NAME?</v>
      </c>
      <c r="BH302" s="729" t="e">
        <f ca="1">stat(calculs!BH302)</f>
        <v>#NAME?</v>
      </c>
      <c r="BI302" s="729" t="e">
        <f ca="1">stat(calculs!BI302)</f>
        <v>#NAME?</v>
      </c>
      <c r="BJ302" s="729" t="e">
        <f ca="1">stat(calculs!BJ302)</f>
        <v>#NAME?</v>
      </c>
      <c r="BK302" s="729" t="e">
        <f ca="1">stat(calculs!BK302)</f>
        <v>#NAME?</v>
      </c>
      <c r="BL302" s="525" t="e">
        <f ca="1">stat(calculs!BL302)</f>
        <v>#NAME?</v>
      </c>
      <c r="BM302" s="525" t="e">
        <f ca="1">stat(calculs!BM302)</f>
        <v>#NAME?</v>
      </c>
      <c r="BN302" s="525" t="e">
        <f ca="1">stat(calculs!BN302)</f>
        <v>#NAME?</v>
      </c>
      <c r="BO302" s="525" t="e">
        <f ca="1">stat(calculs!BO302)</f>
        <v>#NAME?</v>
      </c>
      <c r="BP302" s="525" t="e">
        <f ca="1">stat(calculs!BP302)</f>
        <v>#NAME?</v>
      </c>
      <c r="BQ302" s="525" t="e">
        <f ca="1">stat(calculs!BQ302)</f>
        <v>#NAME?</v>
      </c>
      <c r="BR302" s="525" t="e">
        <f ca="1">stat(calculs!BR302)</f>
        <v>#NAME?</v>
      </c>
    </row>
    <row r="303" spans="1:70" x14ac:dyDescent="0.2">
      <c r="A303" s="222">
        <f>données_step[[#This Row],[Datum]]</f>
        <v>44854</v>
      </c>
      <c r="B303" s="223"/>
      <c r="C303" s="224">
        <f t="shared" si="4"/>
        <v>5</v>
      </c>
      <c r="D303" s="523" t="e">
        <f ca="1">stat(charge_entree[[#This Row],[ch_E_DBO5]])</f>
        <v>#NAME?</v>
      </c>
      <c r="E303" s="523" t="e">
        <f ca="1">stat(charge_entree[[#This Row],[ch_E_DCO]])</f>
        <v>#NAME?</v>
      </c>
      <c r="F303" s="523" t="e">
        <f ca="1">stat(charge_entree[[#This Row],[ch_E_COT]])</f>
        <v>#NAME?</v>
      </c>
      <c r="G303" s="523" t="e">
        <f ca="1">stat(charge_entree[[#This Row],[ch_E_NH4]])</f>
        <v>#NAME?</v>
      </c>
      <c r="H303" s="523" t="e">
        <f ca="1">stat(charge_entree[[#This Row],[ch_E_NTOT]])</f>
        <v>#NAME?</v>
      </c>
      <c r="I303" s="523" t="e">
        <f ca="1">stat(charge_entree[[#This Row],[ch_E_PTOT]])</f>
        <v>#NAME?</v>
      </c>
      <c r="J303" s="523" t="e">
        <f ca="1">stat(charge_entree[[#This Row],[ch_S_DBO]])</f>
        <v>#NAME?</v>
      </c>
      <c r="K303" s="523" t="e">
        <f ca="1">stat(charge_entree[[#This Row],[ch_S-DCO]])</f>
        <v>#NAME?</v>
      </c>
      <c r="L303" s="523" t="e">
        <f ca="1">stat(charge_entree[[#This Row],[ch_S_DOC]])</f>
        <v>#NAME?</v>
      </c>
      <c r="M303" s="523" t="e">
        <f ca="1">stat(charge_entree[[#This Row],[ch_S_NH4]])</f>
        <v>#NAME?</v>
      </c>
      <c r="N303" s="523" t="e">
        <f ca="1">stat(charge_entree[[#This Row],[ch_S_NO2]])</f>
        <v>#NAME?</v>
      </c>
      <c r="O303" s="523" t="e">
        <f ca="1">stat(charge_entree[[#This Row],[ch_S_NO3]])</f>
        <v>#NAME?</v>
      </c>
      <c r="P303" s="523" t="e">
        <f ca="1">stat(charge_entree[[#This Row],[ch_S_PTOT]])</f>
        <v>#NAME?</v>
      </c>
      <c r="Q303" s="523" t="e">
        <f ca="1">stat(charge_entree[[#This Row],[ch_S_SNDT]])</f>
        <v>#NAME?</v>
      </c>
      <c r="R303" s="523">
        <f>calculs!R303</f>
        <v>0</v>
      </c>
      <c r="S303" s="523" t="e">
        <f ca="1">stat(calculs!S303)</f>
        <v>#NAME?</v>
      </c>
      <c r="T303" s="523" t="e">
        <f ca="1">stat(calculs!T303)</f>
        <v>#NAME?</v>
      </c>
      <c r="U303" s="523" t="e">
        <f ca="1">stat(calculs!U303)</f>
        <v>#NAME?</v>
      </c>
      <c r="V303" s="523" t="e">
        <f ca="1">stat(calculs!V303)</f>
        <v>#NAME?</v>
      </c>
      <c r="W303" s="523" t="e">
        <f ca="1">stat(calculs!W303)</f>
        <v>#NAME?</v>
      </c>
      <c r="X303" s="523" t="e">
        <f ca="1">stat(calculs!X303)</f>
        <v>#NAME?</v>
      </c>
      <c r="Y303" s="523" t="e">
        <f ca="1">stat(calculs!Y303)</f>
        <v>#NAME?</v>
      </c>
      <c r="Z303" s="523" t="e">
        <f ca="1">stat(calculs!Z303)</f>
        <v>#NAME?</v>
      </c>
      <c r="AA303" s="523" t="e">
        <f ca="1">stat(calculs!AA303)</f>
        <v>#NAME?</v>
      </c>
      <c r="AB303" s="523" t="e">
        <f ca="1">stat(calculs!AB303)</f>
        <v>#NAME?</v>
      </c>
      <c r="AC303" s="523" t="e">
        <f ca="1">stat(calculs!AC303)</f>
        <v>#NAME?</v>
      </c>
      <c r="AD303" s="523" t="e">
        <f ca="1">stat(calculs!AD303)</f>
        <v>#NAME?</v>
      </c>
      <c r="AE303" s="523" t="e">
        <f ca="1">stat(calculs!AE303)</f>
        <v>#NAME?</v>
      </c>
      <c r="AF303" s="523" t="e">
        <f ca="1">stat(calculs!AF303)</f>
        <v>#NAME?</v>
      </c>
      <c r="AG303" s="523" t="e">
        <f ca="1">stat(calculs!AG303)</f>
        <v>#NAME?</v>
      </c>
      <c r="AH303" s="523" t="e">
        <f ca="1">stat(calculs!AH303)</f>
        <v>#NAME?</v>
      </c>
      <c r="AI303" s="523" t="e">
        <f ca="1">stat(calculs!AI303)</f>
        <v>#NAME?</v>
      </c>
      <c r="AJ303" s="523" t="e">
        <f ca="1">stat(calculs!AJ303)</f>
        <v>#NAME?</v>
      </c>
      <c r="AK303" s="523" t="e">
        <f ca="1">stat(calculs!AK303)</f>
        <v>#NAME?</v>
      </c>
      <c r="AL303" s="523" t="e">
        <f ca="1">stat(calculs!AL303)</f>
        <v>#NAME?</v>
      </c>
      <c r="AM303" s="523" t="e">
        <f ca="1">stat(calculs!AM303)</f>
        <v>#NAME?</v>
      </c>
      <c r="AN303" s="523" t="e">
        <f ca="1">stat(calculs!AN303)</f>
        <v>#NAME?</v>
      </c>
      <c r="AO303" s="523" t="e">
        <f ca="1">stat(calculs!AO303)</f>
        <v>#NAME?</v>
      </c>
      <c r="AP303" s="523" t="e">
        <f ca="1">stat(calculs!AP303)</f>
        <v>#NAME?</v>
      </c>
      <c r="AQ303" s="523" t="e">
        <f ca="1">stat(calculs!AQ303)</f>
        <v>#NAME?</v>
      </c>
      <c r="AV303" s="525" t="str">
        <f>stat(calculs!AV303)</f>
        <v/>
      </c>
      <c r="AW303" s="525" t="str">
        <f>stat(calculs!AW303)</f>
        <v/>
      </c>
      <c r="AX303" s="525" t="str">
        <f>stat(calculs!AX303)</f>
        <v/>
      </c>
      <c r="AY303" s="525" t="e">
        <f ca="1">stat(calculs!AY303)</f>
        <v>#NAME?</v>
      </c>
      <c r="AZ303" s="525" t="e">
        <f ca="1">stat(calculs!AZ303)</f>
        <v>#NAME?</v>
      </c>
      <c r="BA303" s="525" t="e">
        <f ca="1">stat(calculs!BA303)</f>
        <v>#NAME?</v>
      </c>
      <c r="BB303" s="525" t="e">
        <f ca="1">stat(calculs!BB303)</f>
        <v>#NAME?</v>
      </c>
      <c r="BC303" s="525" t="e">
        <f ca="1">stat(calculs!BC303)</f>
        <v>#NAME?</v>
      </c>
      <c r="BD303" s="525" t="e">
        <f ca="1">stat(calculs!BD303)</f>
        <v>#NAME?</v>
      </c>
      <c r="BE303" s="525" t="e">
        <f ca="1">stat(calculs!BE303)</f>
        <v>#NAME?</v>
      </c>
      <c r="BF303" s="525" t="e">
        <f ca="1">stat(calculs!BF303)</f>
        <v>#NAME?</v>
      </c>
      <c r="BG303" s="729" t="e">
        <f ca="1">stat(calculs!BG303)</f>
        <v>#NAME?</v>
      </c>
      <c r="BH303" s="729" t="e">
        <f ca="1">stat(calculs!BH303)</f>
        <v>#NAME?</v>
      </c>
      <c r="BI303" s="729" t="e">
        <f ca="1">stat(calculs!BI303)</f>
        <v>#NAME?</v>
      </c>
      <c r="BJ303" s="729" t="e">
        <f ca="1">stat(calculs!BJ303)</f>
        <v>#NAME?</v>
      </c>
      <c r="BK303" s="729" t="e">
        <f ca="1">stat(calculs!BK303)</f>
        <v>#NAME?</v>
      </c>
      <c r="BL303" s="525" t="e">
        <f ca="1">stat(calculs!BL303)</f>
        <v>#NAME?</v>
      </c>
      <c r="BM303" s="525" t="e">
        <f ca="1">stat(calculs!BM303)</f>
        <v>#NAME?</v>
      </c>
      <c r="BN303" s="525" t="e">
        <f ca="1">stat(calculs!BN303)</f>
        <v>#NAME?</v>
      </c>
      <c r="BO303" s="525" t="e">
        <f ca="1">stat(calculs!BO303)</f>
        <v>#NAME?</v>
      </c>
      <c r="BP303" s="525" t="e">
        <f ca="1">stat(calculs!BP303)</f>
        <v>#NAME?</v>
      </c>
      <c r="BQ303" s="525" t="e">
        <f ca="1">stat(calculs!BQ303)</f>
        <v>#NAME?</v>
      </c>
      <c r="BR303" s="525" t="e">
        <f ca="1">stat(calculs!BR303)</f>
        <v>#NAME?</v>
      </c>
    </row>
    <row r="304" spans="1:70" x14ac:dyDescent="0.2">
      <c r="A304" s="222">
        <f>données_step[[#This Row],[Datum]]</f>
        <v>44855</v>
      </c>
      <c r="B304" s="223"/>
      <c r="C304" s="224">
        <f t="shared" si="4"/>
        <v>6</v>
      </c>
      <c r="D304" s="523" t="e">
        <f ca="1">stat(charge_entree[[#This Row],[ch_E_DBO5]])</f>
        <v>#NAME?</v>
      </c>
      <c r="E304" s="523" t="e">
        <f ca="1">stat(charge_entree[[#This Row],[ch_E_DCO]])</f>
        <v>#NAME?</v>
      </c>
      <c r="F304" s="523" t="e">
        <f ca="1">stat(charge_entree[[#This Row],[ch_E_COT]])</f>
        <v>#NAME?</v>
      </c>
      <c r="G304" s="523" t="e">
        <f ca="1">stat(charge_entree[[#This Row],[ch_E_NH4]])</f>
        <v>#NAME?</v>
      </c>
      <c r="H304" s="523" t="e">
        <f ca="1">stat(charge_entree[[#This Row],[ch_E_NTOT]])</f>
        <v>#NAME?</v>
      </c>
      <c r="I304" s="523" t="e">
        <f ca="1">stat(charge_entree[[#This Row],[ch_E_PTOT]])</f>
        <v>#NAME?</v>
      </c>
      <c r="J304" s="523" t="e">
        <f ca="1">stat(charge_entree[[#This Row],[ch_S_DBO]])</f>
        <v>#NAME?</v>
      </c>
      <c r="K304" s="523" t="e">
        <f ca="1">stat(charge_entree[[#This Row],[ch_S-DCO]])</f>
        <v>#NAME?</v>
      </c>
      <c r="L304" s="523" t="e">
        <f ca="1">stat(charge_entree[[#This Row],[ch_S_DOC]])</f>
        <v>#NAME?</v>
      </c>
      <c r="M304" s="523" t="e">
        <f ca="1">stat(charge_entree[[#This Row],[ch_S_NH4]])</f>
        <v>#NAME?</v>
      </c>
      <c r="N304" s="523" t="e">
        <f ca="1">stat(charge_entree[[#This Row],[ch_S_NO2]])</f>
        <v>#NAME?</v>
      </c>
      <c r="O304" s="523" t="e">
        <f ca="1">stat(charge_entree[[#This Row],[ch_S_NO3]])</f>
        <v>#NAME?</v>
      </c>
      <c r="P304" s="523" t="e">
        <f ca="1">stat(charge_entree[[#This Row],[ch_S_PTOT]])</f>
        <v>#NAME?</v>
      </c>
      <c r="Q304" s="523" t="e">
        <f ca="1">stat(charge_entree[[#This Row],[ch_S_SNDT]])</f>
        <v>#NAME?</v>
      </c>
      <c r="R304" s="523">
        <f>calculs!R304</f>
        <v>0</v>
      </c>
      <c r="S304" s="523" t="e">
        <f ca="1">stat(calculs!S304)</f>
        <v>#NAME?</v>
      </c>
      <c r="T304" s="523" t="e">
        <f ca="1">stat(calculs!T304)</f>
        <v>#NAME?</v>
      </c>
      <c r="U304" s="523" t="e">
        <f ca="1">stat(calculs!U304)</f>
        <v>#NAME?</v>
      </c>
      <c r="V304" s="523" t="e">
        <f ca="1">stat(calculs!V304)</f>
        <v>#NAME?</v>
      </c>
      <c r="W304" s="523" t="e">
        <f ca="1">stat(calculs!W304)</f>
        <v>#NAME?</v>
      </c>
      <c r="X304" s="523" t="e">
        <f ca="1">stat(calculs!X304)</f>
        <v>#NAME?</v>
      </c>
      <c r="Y304" s="523" t="e">
        <f ca="1">stat(calculs!Y304)</f>
        <v>#NAME?</v>
      </c>
      <c r="Z304" s="523" t="e">
        <f ca="1">stat(calculs!Z304)</f>
        <v>#NAME?</v>
      </c>
      <c r="AA304" s="523" t="e">
        <f ca="1">stat(calculs!AA304)</f>
        <v>#NAME?</v>
      </c>
      <c r="AB304" s="523" t="e">
        <f ca="1">stat(calculs!AB304)</f>
        <v>#NAME?</v>
      </c>
      <c r="AC304" s="523" t="e">
        <f ca="1">stat(calculs!AC304)</f>
        <v>#NAME?</v>
      </c>
      <c r="AD304" s="523" t="e">
        <f ca="1">stat(calculs!AD304)</f>
        <v>#NAME?</v>
      </c>
      <c r="AE304" s="523" t="e">
        <f ca="1">stat(calculs!AE304)</f>
        <v>#NAME?</v>
      </c>
      <c r="AF304" s="523" t="e">
        <f ca="1">stat(calculs!AF304)</f>
        <v>#NAME?</v>
      </c>
      <c r="AG304" s="523" t="e">
        <f ca="1">stat(calculs!AG304)</f>
        <v>#NAME?</v>
      </c>
      <c r="AH304" s="523" t="e">
        <f ca="1">stat(calculs!AH304)</f>
        <v>#NAME?</v>
      </c>
      <c r="AI304" s="523" t="e">
        <f ca="1">stat(calculs!AI304)</f>
        <v>#NAME?</v>
      </c>
      <c r="AJ304" s="523" t="e">
        <f ca="1">stat(calculs!AJ304)</f>
        <v>#NAME?</v>
      </c>
      <c r="AK304" s="523" t="e">
        <f ca="1">stat(calculs!AK304)</f>
        <v>#NAME?</v>
      </c>
      <c r="AL304" s="523" t="e">
        <f ca="1">stat(calculs!AL304)</f>
        <v>#NAME?</v>
      </c>
      <c r="AM304" s="523" t="e">
        <f ca="1">stat(calculs!AM304)</f>
        <v>#NAME?</v>
      </c>
      <c r="AN304" s="523" t="e">
        <f ca="1">stat(calculs!AN304)</f>
        <v>#NAME?</v>
      </c>
      <c r="AO304" s="523" t="e">
        <f ca="1">stat(calculs!AO304)</f>
        <v>#NAME?</v>
      </c>
      <c r="AP304" s="523" t="e">
        <f ca="1">stat(calculs!AP304)</f>
        <v>#NAME?</v>
      </c>
      <c r="AQ304" s="523" t="e">
        <f ca="1">stat(calculs!AQ304)</f>
        <v>#NAME?</v>
      </c>
      <c r="AV304" s="525" t="str">
        <f>stat(calculs!AV304)</f>
        <v/>
      </c>
      <c r="AW304" s="525" t="str">
        <f>stat(calculs!AW304)</f>
        <v/>
      </c>
      <c r="AX304" s="525" t="str">
        <f>stat(calculs!AX304)</f>
        <v/>
      </c>
      <c r="AY304" s="525" t="e">
        <f ca="1">stat(calculs!AY304)</f>
        <v>#NAME?</v>
      </c>
      <c r="AZ304" s="525" t="e">
        <f ca="1">stat(calculs!AZ304)</f>
        <v>#NAME?</v>
      </c>
      <c r="BA304" s="525" t="e">
        <f ca="1">stat(calculs!BA304)</f>
        <v>#NAME?</v>
      </c>
      <c r="BB304" s="525" t="e">
        <f ca="1">stat(calculs!BB304)</f>
        <v>#NAME?</v>
      </c>
      <c r="BC304" s="525" t="e">
        <f ca="1">stat(calculs!BC304)</f>
        <v>#NAME?</v>
      </c>
      <c r="BD304" s="525" t="e">
        <f ca="1">stat(calculs!BD304)</f>
        <v>#NAME?</v>
      </c>
      <c r="BE304" s="525" t="e">
        <f ca="1">stat(calculs!BE304)</f>
        <v>#NAME?</v>
      </c>
      <c r="BF304" s="525" t="e">
        <f ca="1">stat(calculs!BF304)</f>
        <v>#NAME?</v>
      </c>
      <c r="BG304" s="729" t="e">
        <f ca="1">stat(calculs!BG304)</f>
        <v>#NAME?</v>
      </c>
      <c r="BH304" s="729" t="e">
        <f ca="1">stat(calculs!BH304)</f>
        <v>#NAME?</v>
      </c>
      <c r="BI304" s="729" t="e">
        <f ca="1">stat(calculs!BI304)</f>
        <v>#NAME?</v>
      </c>
      <c r="BJ304" s="729" t="e">
        <f ca="1">stat(calculs!BJ304)</f>
        <v>#NAME?</v>
      </c>
      <c r="BK304" s="729" t="e">
        <f ca="1">stat(calculs!BK304)</f>
        <v>#NAME?</v>
      </c>
      <c r="BL304" s="525" t="e">
        <f ca="1">stat(calculs!BL304)</f>
        <v>#NAME?</v>
      </c>
      <c r="BM304" s="525" t="e">
        <f ca="1">stat(calculs!BM304)</f>
        <v>#NAME?</v>
      </c>
      <c r="BN304" s="525" t="e">
        <f ca="1">stat(calculs!BN304)</f>
        <v>#NAME?</v>
      </c>
      <c r="BO304" s="525" t="e">
        <f ca="1">stat(calculs!BO304)</f>
        <v>#NAME?</v>
      </c>
      <c r="BP304" s="525" t="e">
        <f ca="1">stat(calculs!BP304)</f>
        <v>#NAME?</v>
      </c>
      <c r="BQ304" s="525" t="e">
        <f ca="1">stat(calculs!BQ304)</f>
        <v>#NAME?</v>
      </c>
      <c r="BR304" s="525" t="e">
        <f ca="1">stat(calculs!BR304)</f>
        <v>#NAME?</v>
      </c>
    </row>
    <row r="305" spans="1:70" x14ac:dyDescent="0.2">
      <c r="A305" s="222">
        <f>données_step[[#This Row],[Datum]]</f>
        <v>44856</v>
      </c>
      <c r="B305" s="223"/>
      <c r="C305" s="224">
        <f t="shared" si="4"/>
        <v>7</v>
      </c>
      <c r="D305" s="523" t="e">
        <f ca="1">stat(charge_entree[[#This Row],[ch_E_DBO5]])</f>
        <v>#NAME?</v>
      </c>
      <c r="E305" s="523" t="e">
        <f ca="1">stat(charge_entree[[#This Row],[ch_E_DCO]])</f>
        <v>#NAME?</v>
      </c>
      <c r="F305" s="523" t="e">
        <f ca="1">stat(charge_entree[[#This Row],[ch_E_COT]])</f>
        <v>#NAME?</v>
      </c>
      <c r="G305" s="523" t="e">
        <f ca="1">stat(charge_entree[[#This Row],[ch_E_NH4]])</f>
        <v>#NAME?</v>
      </c>
      <c r="H305" s="523" t="e">
        <f ca="1">stat(charge_entree[[#This Row],[ch_E_NTOT]])</f>
        <v>#NAME?</v>
      </c>
      <c r="I305" s="523" t="e">
        <f ca="1">stat(charge_entree[[#This Row],[ch_E_PTOT]])</f>
        <v>#NAME?</v>
      </c>
      <c r="J305" s="523" t="e">
        <f ca="1">stat(charge_entree[[#This Row],[ch_S_DBO]])</f>
        <v>#NAME?</v>
      </c>
      <c r="K305" s="523" t="e">
        <f ca="1">stat(charge_entree[[#This Row],[ch_S-DCO]])</f>
        <v>#NAME?</v>
      </c>
      <c r="L305" s="523" t="e">
        <f ca="1">stat(charge_entree[[#This Row],[ch_S_DOC]])</f>
        <v>#NAME?</v>
      </c>
      <c r="M305" s="523" t="e">
        <f ca="1">stat(charge_entree[[#This Row],[ch_S_NH4]])</f>
        <v>#NAME?</v>
      </c>
      <c r="N305" s="523" t="e">
        <f ca="1">stat(charge_entree[[#This Row],[ch_S_NO2]])</f>
        <v>#NAME?</v>
      </c>
      <c r="O305" s="523" t="e">
        <f ca="1">stat(charge_entree[[#This Row],[ch_S_NO3]])</f>
        <v>#NAME?</v>
      </c>
      <c r="P305" s="523" t="e">
        <f ca="1">stat(charge_entree[[#This Row],[ch_S_PTOT]])</f>
        <v>#NAME?</v>
      </c>
      <c r="Q305" s="523" t="e">
        <f ca="1">stat(charge_entree[[#This Row],[ch_S_SNDT]])</f>
        <v>#NAME?</v>
      </c>
      <c r="R305" s="523">
        <f>calculs!R305</f>
        <v>0</v>
      </c>
      <c r="S305" s="523" t="e">
        <f ca="1">stat(calculs!S305)</f>
        <v>#NAME?</v>
      </c>
      <c r="T305" s="523" t="e">
        <f ca="1">stat(calculs!T305)</f>
        <v>#NAME?</v>
      </c>
      <c r="U305" s="523" t="e">
        <f ca="1">stat(calculs!U305)</f>
        <v>#NAME?</v>
      </c>
      <c r="V305" s="523" t="e">
        <f ca="1">stat(calculs!V305)</f>
        <v>#NAME?</v>
      </c>
      <c r="W305" s="523" t="e">
        <f ca="1">stat(calculs!W305)</f>
        <v>#NAME?</v>
      </c>
      <c r="X305" s="523" t="e">
        <f ca="1">stat(calculs!X305)</f>
        <v>#NAME?</v>
      </c>
      <c r="Y305" s="523" t="e">
        <f ca="1">stat(calculs!Y305)</f>
        <v>#NAME?</v>
      </c>
      <c r="Z305" s="523" t="e">
        <f ca="1">stat(calculs!Z305)</f>
        <v>#NAME?</v>
      </c>
      <c r="AA305" s="523" t="e">
        <f ca="1">stat(calculs!AA305)</f>
        <v>#NAME?</v>
      </c>
      <c r="AB305" s="523" t="e">
        <f ca="1">stat(calculs!AB305)</f>
        <v>#NAME?</v>
      </c>
      <c r="AC305" s="523" t="e">
        <f ca="1">stat(calculs!AC305)</f>
        <v>#NAME?</v>
      </c>
      <c r="AD305" s="523" t="e">
        <f ca="1">stat(calculs!AD305)</f>
        <v>#NAME?</v>
      </c>
      <c r="AE305" s="523" t="e">
        <f ca="1">stat(calculs!AE305)</f>
        <v>#NAME?</v>
      </c>
      <c r="AF305" s="523" t="e">
        <f ca="1">stat(calculs!AF305)</f>
        <v>#NAME?</v>
      </c>
      <c r="AG305" s="523" t="e">
        <f ca="1">stat(calculs!AG305)</f>
        <v>#NAME?</v>
      </c>
      <c r="AH305" s="523" t="e">
        <f ca="1">stat(calculs!AH305)</f>
        <v>#NAME?</v>
      </c>
      <c r="AI305" s="523" t="e">
        <f ca="1">stat(calculs!AI305)</f>
        <v>#NAME?</v>
      </c>
      <c r="AJ305" s="523" t="e">
        <f ca="1">stat(calculs!AJ305)</f>
        <v>#NAME?</v>
      </c>
      <c r="AK305" s="523" t="e">
        <f ca="1">stat(calculs!AK305)</f>
        <v>#NAME?</v>
      </c>
      <c r="AL305" s="523" t="e">
        <f ca="1">stat(calculs!AL305)</f>
        <v>#NAME?</v>
      </c>
      <c r="AM305" s="523" t="e">
        <f ca="1">stat(calculs!AM305)</f>
        <v>#NAME?</v>
      </c>
      <c r="AN305" s="523" t="e">
        <f ca="1">stat(calculs!AN305)</f>
        <v>#NAME?</v>
      </c>
      <c r="AO305" s="523" t="e">
        <f ca="1">stat(calculs!AO305)</f>
        <v>#NAME?</v>
      </c>
      <c r="AP305" s="523" t="e">
        <f ca="1">stat(calculs!AP305)</f>
        <v>#NAME?</v>
      </c>
      <c r="AQ305" s="523" t="e">
        <f ca="1">stat(calculs!AQ305)</f>
        <v>#NAME?</v>
      </c>
      <c r="AV305" s="525" t="str">
        <f>stat(calculs!AV305)</f>
        <v/>
      </c>
      <c r="AW305" s="525" t="str">
        <f>stat(calculs!AW305)</f>
        <v/>
      </c>
      <c r="AX305" s="525" t="str">
        <f>stat(calculs!AX305)</f>
        <v/>
      </c>
      <c r="AY305" s="525" t="e">
        <f ca="1">stat(calculs!AY305)</f>
        <v>#NAME?</v>
      </c>
      <c r="AZ305" s="525" t="e">
        <f ca="1">stat(calculs!AZ305)</f>
        <v>#NAME?</v>
      </c>
      <c r="BA305" s="525" t="e">
        <f ca="1">stat(calculs!BA305)</f>
        <v>#NAME?</v>
      </c>
      <c r="BB305" s="525" t="e">
        <f ca="1">stat(calculs!BB305)</f>
        <v>#NAME?</v>
      </c>
      <c r="BC305" s="525" t="e">
        <f ca="1">stat(calculs!BC305)</f>
        <v>#NAME?</v>
      </c>
      <c r="BD305" s="525" t="e">
        <f ca="1">stat(calculs!BD305)</f>
        <v>#NAME?</v>
      </c>
      <c r="BE305" s="525" t="e">
        <f ca="1">stat(calculs!BE305)</f>
        <v>#NAME?</v>
      </c>
      <c r="BF305" s="525" t="e">
        <f ca="1">stat(calculs!BF305)</f>
        <v>#NAME?</v>
      </c>
      <c r="BG305" s="729" t="e">
        <f ca="1">stat(calculs!BG305)</f>
        <v>#NAME?</v>
      </c>
      <c r="BH305" s="729" t="e">
        <f ca="1">stat(calculs!BH305)</f>
        <v>#NAME?</v>
      </c>
      <c r="BI305" s="729" t="e">
        <f ca="1">stat(calculs!BI305)</f>
        <v>#NAME?</v>
      </c>
      <c r="BJ305" s="729" t="e">
        <f ca="1">stat(calculs!BJ305)</f>
        <v>#NAME?</v>
      </c>
      <c r="BK305" s="729" t="e">
        <f ca="1">stat(calculs!BK305)</f>
        <v>#NAME?</v>
      </c>
      <c r="BL305" s="525" t="e">
        <f ca="1">stat(calculs!BL305)</f>
        <v>#NAME?</v>
      </c>
      <c r="BM305" s="525" t="e">
        <f ca="1">stat(calculs!BM305)</f>
        <v>#NAME?</v>
      </c>
      <c r="BN305" s="525" t="e">
        <f ca="1">stat(calculs!BN305)</f>
        <v>#NAME?</v>
      </c>
      <c r="BO305" s="525" t="e">
        <f ca="1">stat(calculs!BO305)</f>
        <v>#NAME?</v>
      </c>
      <c r="BP305" s="525" t="e">
        <f ca="1">stat(calculs!BP305)</f>
        <v>#NAME?</v>
      </c>
      <c r="BQ305" s="525" t="e">
        <f ca="1">stat(calculs!BQ305)</f>
        <v>#NAME?</v>
      </c>
      <c r="BR305" s="525" t="e">
        <f ca="1">stat(calculs!BR305)</f>
        <v>#NAME?</v>
      </c>
    </row>
    <row r="306" spans="1:70" x14ac:dyDescent="0.2">
      <c r="A306" s="222">
        <f>données_step[[#This Row],[Datum]]</f>
        <v>44857</v>
      </c>
      <c r="B306" s="223"/>
      <c r="C306" s="224">
        <f t="shared" si="4"/>
        <v>1</v>
      </c>
      <c r="D306" s="523" t="e">
        <f ca="1">stat(charge_entree[[#This Row],[ch_E_DBO5]])</f>
        <v>#NAME?</v>
      </c>
      <c r="E306" s="523" t="e">
        <f ca="1">stat(charge_entree[[#This Row],[ch_E_DCO]])</f>
        <v>#NAME?</v>
      </c>
      <c r="F306" s="523" t="e">
        <f ca="1">stat(charge_entree[[#This Row],[ch_E_COT]])</f>
        <v>#NAME?</v>
      </c>
      <c r="G306" s="523" t="e">
        <f ca="1">stat(charge_entree[[#This Row],[ch_E_NH4]])</f>
        <v>#NAME?</v>
      </c>
      <c r="H306" s="523" t="e">
        <f ca="1">stat(charge_entree[[#This Row],[ch_E_NTOT]])</f>
        <v>#NAME?</v>
      </c>
      <c r="I306" s="523" t="e">
        <f ca="1">stat(charge_entree[[#This Row],[ch_E_PTOT]])</f>
        <v>#NAME?</v>
      </c>
      <c r="J306" s="523" t="e">
        <f ca="1">stat(charge_entree[[#This Row],[ch_S_DBO]])</f>
        <v>#NAME?</v>
      </c>
      <c r="K306" s="523" t="e">
        <f ca="1">stat(charge_entree[[#This Row],[ch_S-DCO]])</f>
        <v>#NAME?</v>
      </c>
      <c r="L306" s="523" t="e">
        <f ca="1">stat(charge_entree[[#This Row],[ch_S_DOC]])</f>
        <v>#NAME?</v>
      </c>
      <c r="M306" s="523" t="e">
        <f ca="1">stat(charge_entree[[#This Row],[ch_S_NH4]])</f>
        <v>#NAME?</v>
      </c>
      <c r="N306" s="523" t="e">
        <f ca="1">stat(charge_entree[[#This Row],[ch_S_NO2]])</f>
        <v>#NAME?</v>
      </c>
      <c r="O306" s="523" t="e">
        <f ca="1">stat(charge_entree[[#This Row],[ch_S_NO3]])</f>
        <v>#NAME?</v>
      </c>
      <c r="P306" s="523" t="e">
        <f ca="1">stat(charge_entree[[#This Row],[ch_S_PTOT]])</f>
        <v>#NAME?</v>
      </c>
      <c r="Q306" s="523" t="e">
        <f ca="1">stat(charge_entree[[#This Row],[ch_S_SNDT]])</f>
        <v>#NAME?</v>
      </c>
      <c r="R306" s="523">
        <f>calculs!R306</f>
        <v>0</v>
      </c>
      <c r="S306" s="523" t="e">
        <f ca="1">stat(calculs!S306)</f>
        <v>#NAME?</v>
      </c>
      <c r="T306" s="523" t="e">
        <f ca="1">stat(calculs!T306)</f>
        <v>#NAME?</v>
      </c>
      <c r="U306" s="523" t="e">
        <f ca="1">stat(calculs!U306)</f>
        <v>#NAME?</v>
      </c>
      <c r="V306" s="523" t="e">
        <f ca="1">stat(calculs!V306)</f>
        <v>#NAME?</v>
      </c>
      <c r="W306" s="523" t="e">
        <f ca="1">stat(calculs!W306)</f>
        <v>#NAME?</v>
      </c>
      <c r="X306" s="523" t="e">
        <f ca="1">stat(calculs!X306)</f>
        <v>#NAME?</v>
      </c>
      <c r="Y306" s="523" t="e">
        <f ca="1">stat(calculs!Y306)</f>
        <v>#NAME?</v>
      </c>
      <c r="Z306" s="523" t="e">
        <f ca="1">stat(calculs!Z306)</f>
        <v>#NAME?</v>
      </c>
      <c r="AA306" s="523" t="e">
        <f ca="1">stat(calculs!AA306)</f>
        <v>#NAME?</v>
      </c>
      <c r="AB306" s="523" t="e">
        <f ca="1">stat(calculs!AB306)</f>
        <v>#NAME?</v>
      </c>
      <c r="AC306" s="523" t="e">
        <f ca="1">stat(calculs!AC306)</f>
        <v>#NAME?</v>
      </c>
      <c r="AD306" s="523" t="e">
        <f ca="1">stat(calculs!AD306)</f>
        <v>#NAME?</v>
      </c>
      <c r="AE306" s="523" t="e">
        <f ca="1">stat(calculs!AE306)</f>
        <v>#NAME?</v>
      </c>
      <c r="AF306" s="523" t="e">
        <f ca="1">stat(calculs!AF306)</f>
        <v>#NAME?</v>
      </c>
      <c r="AG306" s="523" t="e">
        <f ca="1">stat(calculs!AG306)</f>
        <v>#NAME?</v>
      </c>
      <c r="AH306" s="523" t="e">
        <f ca="1">stat(calculs!AH306)</f>
        <v>#NAME?</v>
      </c>
      <c r="AI306" s="523" t="e">
        <f ca="1">stat(calculs!AI306)</f>
        <v>#NAME?</v>
      </c>
      <c r="AJ306" s="523" t="e">
        <f ca="1">stat(calculs!AJ306)</f>
        <v>#NAME?</v>
      </c>
      <c r="AK306" s="523" t="e">
        <f ca="1">stat(calculs!AK306)</f>
        <v>#NAME?</v>
      </c>
      <c r="AL306" s="523" t="e">
        <f ca="1">stat(calculs!AL306)</f>
        <v>#NAME?</v>
      </c>
      <c r="AM306" s="523" t="e">
        <f ca="1">stat(calculs!AM306)</f>
        <v>#NAME?</v>
      </c>
      <c r="AN306" s="523" t="e">
        <f ca="1">stat(calculs!AN306)</f>
        <v>#NAME?</v>
      </c>
      <c r="AO306" s="523" t="e">
        <f ca="1">stat(calculs!AO306)</f>
        <v>#NAME?</v>
      </c>
      <c r="AP306" s="523" t="e">
        <f ca="1">stat(calculs!AP306)</f>
        <v>#NAME?</v>
      </c>
      <c r="AQ306" s="523" t="e">
        <f ca="1">stat(calculs!AQ306)</f>
        <v>#NAME?</v>
      </c>
      <c r="AV306" s="525" t="str">
        <f>stat(calculs!AV306)</f>
        <v/>
      </c>
      <c r="AW306" s="525" t="str">
        <f>stat(calculs!AW306)</f>
        <v/>
      </c>
      <c r="AX306" s="525" t="str">
        <f>stat(calculs!AX306)</f>
        <v/>
      </c>
      <c r="AY306" s="525" t="e">
        <f ca="1">stat(calculs!AY306)</f>
        <v>#NAME?</v>
      </c>
      <c r="AZ306" s="525" t="e">
        <f ca="1">stat(calculs!AZ306)</f>
        <v>#NAME?</v>
      </c>
      <c r="BA306" s="525" t="e">
        <f ca="1">stat(calculs!BA306)</f>
        <v>#NAME?</v>
      </c>
      <c r="BB306" s="525" t="e">
        <f ca="1">stat(calculs!BB306)</f>
        <v>#NAME?</v>
      </c>
      <c r="BC306" s="525" t="e">
        <f ca="1">stat(calculs!BC306)</f>
        <v>#NAME?</v>
      </c>
      <c r="BD306" s="525" t="e">
        <f ca="1">stat(calculs!BD306)</f>
        <v>#NAME?</v>
      </c>
      <c r="BE306" s="525" t="e">
        <f ca="1">stat(calculs!BE306)</f>
        <v>#NAME?</v>
      </c>
      <c r="BF306" s="525" t="e">
        <f ca="1">stat(calculs!BF306)</f>
        <v>#NAME?</v>
      </c>
      <c r="BG306" s="729" t="e">
        <f ca="1">stat(calculs!BG306)</f>
        <v>#NAME?</v>
      </c>
      <c r="BH306" s="729" t="e">
        <f ca="1">stat(calculs!BH306)</f>
        <v>#NAME?</v>
      </c>
      <c r="BI306" s="729" t="e">
        <f ca="1">stat(calculs!BI306)</f>
        <v>#NAME?</v>
      </c>
      <c r="BJ306" s="729" t="e">
        <f ca="1">stat(calculs!BJ306)</f>
        <v>#NAME?</v>
      </c>
      <c r="BK306" s="729" t="e">
        <f ca="1">stat(calculs!BK306)</f>
        <v>#NAME?</v>
      </c>
      <c r="BL306" s="525" t="e">
        <f ca="1">stat(calculs!BL306)</f>
        <v>#NAME?</v>
      </c>
      <c r="BM306" s="525" t="e">
        <f ca="1">stat(calculs!BM306)</f>
        <v>#NAME?</v>
      </c>
      <c r="BN306" s="525" t="e">
        <f ca="1">stat(calculs!BN306)</f>
        <v>#NAME?</v>
      </c>
      <c r="BO306" s="525" t="e">
        <f ca="1">stat(calculs!BO306)</f>
        <v>#NAME?</v>
      </c>
      <c r="BP306" s="525" t="e">
        <f ca="1">stat(calculs!BP306)</f>
        <v>#NAME?</v>
      </c>
      <c r="BQ306" s="525" t="e">
        <f ca="1">stat(calculs!BQ306)</f>
        <v>#NAME?</v>
      </c>
      <c r="BR306" s="525" t="e">
        <f ca="1">stat(calculs!BR306)</f>
        <v>#NAME?</v>
      </c>
    </row>
    <row r="307" spans="1:70" x14ac:dyDescent="0.2">
      <c r="A307" s="222">
        <f>données_step[[#This Row],[Datum]]</f>
        <v>44858</v>
      </c>
      <c r="B307" s="223"/>
      <c r="C307" s="224">
        <f t="shared" si="4"/>
        <v>2</v>
      </c>
      <c r="D307" s="523" t="e">
        <f ca="1">stat(charge_entree[[#This Row],[ch_E_DBO5]])</f>
        <v>#NAME?</v>
      </c>
      <c r="E307" s="523" t="e">
        <f ca="1">stat(charge_entree[[#This Row],[ch_E_DCO]])</f>
        <v>#NAME?</v>
      </c>
      <c r="F307" s="523" t="e">
        <f ca="1">stat(charge_entree[[#This Row],[ch_E_COT]])</f>
        <v>#NAME?</v>
      </c>
      <c r="G307" s="523" t="e">
        <f ca="1">stat(charge_entree[[#This Row],[ch_E_NH4]])</f>
        <v>#NAME?</v>
      </c>
      <c r="H307" s="523" t="e">
        <f ca="1">stat(charge_entree[[#This Row],[ch_E_NTOT]])</f>
        <v>#NAME?</v>
      </c>
      <c r="I307" s="523" t="e">
        <f ca="1">stat(charge_entree[[#This Row],[ch_E_PTOT]])</f>
        <v>#NAME?</v>
      </c>
      <c r="J307" s="523" t="e">
        <f ca="1">stat(charge_entree[[#This Row],[ch_S_DBO]])</f>
        <v>#NAME?</v>
      </c>
      <c r="K307" s="523" t="e">
        <f ca="1">stat(charge_entree[[#This Row],[ch_S-DCO]])</f>
        <v>#NAME?</v>
      </c>
      <c r="L307" s="523" t="e">
        <f ca="1">stat(charge_entree[[#This Row],[ch_S_DOC]])</f>
        <v>#NAME?</v>
      </c>
      <c r="M307" s="523" t="e">
        <f ca="1">stat(charge_entree[[#This Row],[ch_S_NH4]])</f>
        <v>#NAME?</v>
      </c>
      <c r="N307" s="523" t="e">
        <f ca="1">stat(charge_entree[[#This Row],[ch_S_NO2]])</f>
        <v>#NAME?</v>
      </c>
      <c r="O307" s="523" t="e">
        <f ca="1">stat(charge_entree[[#This Row],[ch_S_NO3]])</f>
        <v>#NAME?</v>
      </c>
      <c r="P307" s="523" t="e">
        <f ca="1">stat(charge_entree[[#This Row],[ch_S_PTOT]])</f>
        <v>#NAME?</v>
      </c>
      <c r="Q307" s="523" t="e">
        <f ca="1">stat(charge_entree[[#This Row],[ch_S_SNDT]])</f>
        <v>#NAME?</v>
      </c>
      <c r="R307" s="523">
        <f>calculs!R307</f>
        <v>0</v>
      </c>
      <c r="S307" s="523" t="e">
        <f ca="1">stat(calculs!S307)</f>
        <v>#NAME?</v>
      </c>
      <c r="T307" s="523" t="e">
        <f ca="1">stat(calculs!T307)</f>
        <v>#NAME?</v>
      </c>
      <c r="U307" s="523" t="e">
        <f ca="1">stat(calculs!U307)</f>
        <v>#NAME?</v>
      </c>
      <c r="V307" s="523" t="e">
        <f ca="1">stat(calculs!V307)</f>
        <v>#NAME?</v>
      </c>
      <c r="W307" s="523" t="e">
        <f ca="1">stat(calculs!W307)</f>
        <v>#NAME?</v>
      </c>
      <c r="X307" s="523" t="e">
        <f ca="1">stat(calculs!X307)</f>
        <v>#NAME?</v>
      </c>
      <c r="Y307" s="523" t="e">
        <f ca="1">stat(calculs!Y307)</f>
        <v>#NAME?</v>
      </c>
      <c r="Z307" s="523" t="e">
        <f ca="1">stat(calculs!Z307)</f>
        <v>#NAME?</v>
      </c>
      <c r="AA307" s="523" t="e">
        <f ca="1">stat(calculs!AA307)</f>
        <v>#NAME?</v>
      </c>
      <c r="AB307" s="523" t="e">
        <f ca="1">stat(calculs!AB307)</f>
        <v>#NAME?</v>
      </c>
      <c r="AC307" s="523" t="e">
        <f ca="1">stat(calculs!AC307)</f>
        <v>#NAME?</v>
      </c>
      <c r="AD307" s="523" t="e">
        <f ca="1">stat(calculs!AD307)</f>
        <v>#NAME?</v>
      </c>
      <c r="AE307" s="523" t="e">
        <f ca="1">stat(calculs!AE307)</f>
        <v>#NAME?</v>
      </c>
      <c r="AF307" s="523" t="e">
        <f ca="1">stat(calculs!AF307)</f>
        <v>#NAME?</v>
      </c>
      <c r="AG307" s="523" t="e">
        <f ca="1">stat(calculs!AG307)</f>
        <v>#NAME?</v>
      </c>
      <c r="AH307" s="523" t="e">
        <f ca="1">stat(calculs!AH307)</f>
        <v>#NAME?</v>
      </c>
      <c r="AI307" s="523" t="e">
        <f ca="1">stat(calculs!AI307)</f>
        <v>#NAME?</v>
      </c>
      <c r="AJ307" s="523" t="e">
        <f ca="1">stat(calculs!AJ307)</f>
        <v>#NAME?</v>
      </c>
      <c r="AK307" s="523" t="e">
        <f ca="1">stat(calculs!AK307)</f>
        <v>#NAME?</v>
      </c>
      <c r="AL307" s="523" t="e">
        <f ca="1">stat(calculs!AL307)</f>
        <v>#NAME?</v>
      </c>
      <c r="AM307" s="523" t="e">
        <f ca="1">stat(calculs!AM307)</f>
        <v>#NAME?</v>
      </c>
      <c r="AN307" s="523" t="e">
        <f ca="1">stat(calculs!AN307)</f>
        <v>#NAME?</v>
      </c>
      <c r="AO307" s="523" t="e">
        <f ca="1">stat(calculs!AO307)</f>
        <v>#NAME?</v>
      </c>
      <c r="AP307" s="523" t="e">
        <f ca="1">stat(calculs!AP307)</f>
        <v>#NAME?</v>
      </c>
      <c r="AQ307" s="523" t="e">
        <f ca="1">stat(calculs!AQ307)</f>
        <v>#NAME?</v>
      </c>
      <c r="AV307" s="525" t="str">
        <f>stat(calculs!AV307)</f>
        <v/>
      </c>
      <c r="AW307" s="525" t="str">
        <f>stat(calculs!AW307)</f>
        <v/>
      </c>
      <c r="AX307" s="525" t="str">
        <f>stat(calculs!AX307)</f>
        <v/>
      </c>
      <c r="AY307" s="525" t="e">
        <f ca="1">stat(calculs!AY307)</f>
        <v>#NAME?</v>
      </c>
      <c r="AZ307" s="525" t="e">
        <f ca="1">stat(calculs!AZ307)</f>
        <v>#NAME?</v>
      </c>
      <c r="BA307" s="525" t="e">
        <f ca="1">stat(calculs!BA307)</f>
        <v>#NAME?</v>
      </c>
      <c r="BB307" s="525" t="e">
        <f ca="1">stat(calculs!BB307)</f>
        <v>#NAME?</v>
      </c>
      <c r="BC307" s="525" t="e">
        <f ca="1">stat(calculs!BC307)</f>
        <v>#NAME?</v>
      </c>
      <c r="BD307" s="525" t="e">
        <f ca="1">stat(calculs!BD307)</f>
        <v>#NAME?</v>
      </c>
      <c r="BE307" s="525" t="e">
        <f ca="1">stat(calculs!BE307)</f>
        <v>#NAME?</v>
      </c>
      <c r="BF307" s="525" t="e">
        <f ca="1">stat(calculs!BF307)</f>
        <v>#NAME?</v>
      </c>
      <c r="BG307" s="729" t="e">
        <f ca="1">stat(calculs!BG307)</f>
        <v>#NAME?</v>
      </c>
      <c r="BH307" s="729" t="e">
        <f ca="1">stat(calculs!BH307)</f>
        <v>#NAME?</v>
      </c>
      <c r="BI307" s="729" t="e">
        <f ca="1">stat(calculs!BI307)</f>
        <v>#NAME?</v>
      </c>
      <c r="BJ307" s="729" t="e">
        <f ca="1">stat(calculs!BJ307)</f>
        <v>#NAME?</v>
      </c>
      <c r="BK307" s="729" t="e">
        <f ca="1">stat(calculs!BK307)</f>
        <v>#NAME?</v>
      </c>
      <c r="BL307" s="525" t="e">
        <f ca="1">stat(calculs!BL307)</f>
        <v>#NAME?</v>
      </c>
      <c r="BM307" s="525" t="e">
        <f ca="1">stat(calculs!BM307)</f>
        <v>#NAME?</v>
      </c>
      <c r="BN307" s="525" t="e">
        <f ca="1">stat(calculs!BN307)</f>
        <v>#NAME?</v>
      </c>
      <c r="BO307" s="525" t="e">
        <f ca="1">stat(calculs!BO307)</f>
        <v>#NAME?</v>
      </c>
      <c r="BP307" s="525" t="e">
        <f ca="1">stat(calculs!BP307)</f>
        <v>#NAME?</v>
      </c>
      <c r="BQ307" s="525" t="e">
        <f ca="1">stat(calculs!BQ307)</f>
        <v>#NAME?</v>
      </c>
      <c r="BR307" s="525" t="e">
        <f ca="1">stat(calculs!BR307)</f>
        <v>#NAME?</v>
      </c>
    </row>
    <row r="308" spans="1:70" x14ac:dyDescent="0.2">
      <c r="A308" s="222">
        <f>données_step[[#This Row],[Datum]]</f>
        <v>44859</v>
      </c>
      <c r="B308" s="223"/>
      <c r="C308" s="224">
        <f t="shared" si="4"/>
        <v>3</v>
      </c>
      <c r="D308" s="523" t="e">
        <f ca="1">stat(charge_entree[[#This Row],[ch_E_DBO5]])</f>
        <v>#NAME?</v>
      </c>
      <c r="E308" s="523" t="e">
        <f ca="1">stat(charge_entree[[#This Row],[ch_E_DCO]])</f>
        <v>#NAME?</v>
      </c>
      <c r="F308" s="523" t="e">
        <f ca="1">stat(charge_entree[[#This Row],[ch_E_COT]])</f>
        <v>#NAME?</v>
      </c>
      <c r="G308" s="523" t="e">
        <f ca="1">stat(charge_entree[[#This Row],[ch_E_NH4]])</f>
        <v>#NAME?</v>
      </c>
      <c r="H308" s="523" t="e">
        <f ca="1">stat(charge_entree[[#This Row],[ch_E_NTOT]])</f>
        <v>#NAME?</v>
      </c>
      <c r="I308" s="523" t="e">
        <f ca="1">stat(charge_entree[[#This Row],[ch_E_PTOT]])</f>
        <v>#NAME?</v>
      </c>
      <c r="J308" s="523" t="e">
        <f ca="1">stat(charge_entree[[#This Row],[ch_S_DBO]])</f>
        <v>#NAME?</v>
      </c>
      <c r="K308" s="523" t="e">
        <f ca="1">stat(charge_entree[[#This Row],[ch_S-DCO]])</f>
        <v>#NAME?</v>
      </c>
      <c r="L308" s="523" t="e">
        <f ca="1">stat(charge_entree[[#This Row],[ch_S_DOC]])</f>
        <v>#NAME?</v>
      </c>
      <c r="M308" s="523" t="e">
        <f ca="1">stat(charge_entree[[#This Row],[ch_S_NH4]])</f>
        <v>#NAME?</v>
      </c>
      <c r="N308" s="523" t="e">
        <f ca="1">stat(charge_entree[[#This Row],[ch_S_NO2]])</f>
        <v>#NAME?</v>
      </c>
      <c r="O308" s="523" t="e">
        <f ca="1">stat(charge_entree[[#This Row],[ch_S_NO3]])</f>
        <v>#NAME?</v>
      </c>
      <c r="P308" s="523" t="e">
        <f ca="1">stat(charge_entree[[#This Row],[ch_S_PTOT]])</f>
        <v>#NAME?</v>
      </c>
      <c r="Q308" s="523" t="e">
        <f ca="1">stat(charge_entree[[#This Row],[ch_S_SNDT]])</f>
        <v>#NAME?</v>
      </c>
      <c r="R308" s="523">
        <f>calculs!R308</f>
        <v>0</v>
      </c>
      <c r="S308" s="523" t="e">
        <f ca="1">stat(calculs!S308)</f>
        <v>#NAME?</v>
      </c>
      <c r="T308" s="523" t="e">
        <f ca="1">stat(calculs!T308)</f>
        <v>#NAME?</v>
      </c>
      <c r="U308" s="523" t="e">
        <f ca="1">stat(calculs!U308)</f>
        <v>#NAME?</v>
      </c>
      <c r="V308" s="523" t="e">
        <f ca="1">stat(calculs!V308)</f>
        <v>#NAME?</v>
      </c>
      <c r="W308" s="523" t="e">
        <f ca="1">stat(calculs!W308)</f>
        <v>#NAME?</v>
      </c>
      <c r="X308" s="523" t="e">
        <f ca="1">stat(calculs!X308)</f>
        <v>#NAME?</v>
      </c>
      <c r="Y308" s="523" t="e">
        <f ca="1">stat(calculs!Y308)</f>
        <v>#NAME?</v>
      </c>
      <c r="Z308" s="523" t="e">
        <f ca="1">stat(calculs!Z308)</f>
        <v>#NAME?</v>
      </c>
      <c r="AA308" s="523" t="e">
        <f ca="1">stat(calculs!AA308)</f>
        <v>#NAME?</v>
      </c>
      <c r="AB308" s="523" t="e">
        <f ca="1">stat(calculs!AB308)</f>
        <v>#NAME?</v>
      </c>
      <c r="AC308" s="523" t="e">
        <f ca="1">stat(calculs!AC308)</f>
        <v>#NAME?</v>
      </c>
      <c r="AD308" s="523" t="e">
        <f ca="1">stat(calculs!AD308)</f>
        <v>#NAME?</v>
      </c>
      <c r="AE308" s="523" t="e">
        <f ca="1">stat(calculs!AE308)</f>
        <v>#NAME?</v>
      </c>
      <c r="AF308" s="523" t="e">
        <f ca="1">stat(calculs!AF308)</f>
        <v>#NAME?</v>
      </c>
      <c r="AG308" s="523" t="e">
        <f ca="1">stat(calculs!AG308)</f>
        <v>#NAME?</v>
      </c>
      <c r="AH308" s="523" t="e">
        <f ca="1">stat(calculs!AH308)</f>
        <v>#NAME?</v>
      </c>
      <c r="AI308" s="523" t="e">
        <f ca="1">stat(calculs!AI308)</f>
        <v>#NAME?</v>
      </c>
      <c r="AJ308" s="523" t="e">
        <f ca="1">stat(calculs!AJ308)</f>
        <v>#NAME?</v>
      </c>
      <c r="AK308" s="523" t="e">
        <f ca="1">stat(calculs!AK308)</f>
        <v>#NAME?</v>
      </c>
      <c r="AL308" s="523" t="e">
        <f ca="1">stat(calculs!AL308)</f>
        <v>#NAME?</v>
      </c>
      <c r="AM308" s="523" t="e">
        <f ca="1">stat(calculs!AM308)</f>
        <v>#NAME?</v>
      </c>
      <c r="AN308" s="523" t="e">
        <f ca="1">stat(calculs!AN308)</f>
        <v>#NAME?</v>
      </c>
      <c r="AO308" s="523" t="e">
        <f ca="1">stat(calculs!AO308)</f>
        <v>#NAME?</v>
      </c>
      <c r="AP308" s="523" t="e">
        <f ca="1">stat(calculs!AP308)</f>
        <v>#NAME?</v>
      </c>
      <c r="AQ308" s="523" t="e">
        <f ca="1">stat(calculs!AQ308)</f>
        <v>#NAME?</v>
      </c>
      <c r="AV308" s="525" t="str">
        <f>stat(calculs!AV308)</f>
        <v/>
      </c>
      <c r="AW308" s="525" t="str">
        <f>stat(calculs!AW308)</f>
        <v/>
      </c>
      <c r="AX308" s="525" t="str">
        <f>stat(calculs!AX308)</f>
        <v/>
      </c>
      <c r="AY308" s="525" t="e">
        <f ca="1">stat(calculs!AY308)</f>
        <v>#NAME?</v>
      </c>
      <c r="AZ308" s="525" t="e">
        <f ca="1">stat(calculs!AZ308)</f>
        <v>#NAME?</v>
      </c>
      <c r="BA308" s="525" t="e">
        <f ca="1">stat(calculs!BA308)</f>
        <v>#NAME?</v>
      </c>
      <c r="BB308" s="525" t="e">
        <f ca="1">stat(calculs!BB308)</f>
        <v>#NAME?</v>
      </c>
      <c r="BC308" s="525" t="e">
        <f ca="1">stat(calculs!BC308)</f>
        <v>#NAME?</v>
      </c>
      <c r="BD308" s="525" t="e">
        <f ca="1">stat(calculs!BD308)</f>
        <v>#NAME?</v>
      </c>
      <c r="BE308" s="525" t="e">
        <f ca="1">stat(calculs!BE308)</f>
        <v>#NAME?</v>
      </c>
      <c r="BF308" s="525" t="e">
        <f ca="1">stat(calculs!BF308)</f>
        <v>#NAME?</v>
      </c>
      <c r="BG308" s="729" t="e">
        <f ca="1">stat(calculs!BG308)</f>
        <v>#NAME?</v>
      </c>
      <c r="BH308" s="729" t="e">
        <f ca="1">stat(calculs!BH308)</f>
        <v>#NAME?</v>
      </c>
      <c r="BI308" s="729" t="e">
        <f ca="1">stat(calculs!BI308)</f>
        <v>#NAME?</v>
      </c>
      <c r="BJ308" s="729" t="e">
        <f ca="1">stat(calculs!BJ308)</f>
        <v>#NAME?</v>
      </c>
      <c r="BK308" s="729" t="e">
        <f ca="1">stat(calculs!BK308)</f>
        <v>#NAME?</v>
      </c>
      <c r="BL308" s="525" t="e">
        <f ca="1">stat(calculs!BL308)</f>
        <v>#NAME?</v>
      </c>
      <c r="BM308" s="525" t="e">
        <f ca="1">stat(calculs!BM308)</f>
        <v>#NAME?</v>
      </c>
      <c r="BN308" s="525" t="e">
        <f ca="1">stat(calculs!BN308)</f>
        <v>#NAME?</v>
      </c>
      <c r="BO308" s="525" t="e">
        <f ca="1">stat(calculs!BO308)</f>
        <v>#NAME?</v>
      </c>
      <c r="BP308" s="525" t="e">
        <f ca="1">stat(calculs!BP308)</f>
        <v>#NAME?</v>
      </c>
      <c r="BQ308" s="525" t="e">
        <f ca="1">stat(calculs!BQ308)</f>
        <v>#NAME?</v>
      </c>
      <c r="BR308" s="525" t="e">
        <f ca="1">stat(calculs!BR308)</f>
        <v>#NAME?</v>
      </c>
    </row>
    <row r="309" spans="1:70" x14ac:dyDescent="0.2">
      <c r="A309" s="222">
        <f>données_step[[#This Row],[Datum]]</f>
        <v>44860</v>
      </c>
      <c r="B309" s="223"/>
      <c r="C309" s="224">
        <f t="shared" si="4"/>
        <v>4</v>
      </c>
      <c r="D309" s="523" t="e">
        <f ca="1">stat(charge_entree[[#This Row],[ch_E_DBO5]])</f>
        <v>#NAME?</v>
      </c>
      <c r="E309" s="523" t="e">
        <f ca="1">stat(charge_entree[[#This Row],[ch_E_DCO]])</f>
        <v>#NAME?</v>
      </c>
      <c r="F309" s="523" t="e">
        <f ca="1">stat(charge_entree[[#This Row],[ch_E_COT]])</f>
        <v>#NAME?</v>
      </c>
      <c r="G309" s="523" t="e">
        <f ca="1">stat(charge_entree[[#This Row],[ch_E_NH4]])</f>
        <v>#NAME?</v>
      </c>
      <c r="H309" s="523" t="e">
        <f ca="1">stat(charge_entree[[#This Row],[ch_E_NTOT]])</f>
        <v>#NAME?</v>
      </c>
      <c r="I309" s="523" t="e">
        <f ca="1">stat(charge_entree[[#This Row],[ch_E_PTOT]])</f>
        <v>#NAME?</v>
      </c>
      <c r="J309" s="523" t="e">
        <f ca="1">stat(charge_entree[[#This Row],[ch_S_DBO]])</f>
        <v>#NAME?</v>
      </c>
      <c r="K309" s="523" t="e">
        <f ca="1">stat(charge_entree[[#This Row],[ch_S-DCO]])</f>
        <v>#NAME?</v>
      </c>
      <c r="L309" s="523" t="e">
        <f ca="1">stat(charge_entree[[#This Row],[ch_S_DOC]])</f>
        <v>#NAME?</v>
      </c>
      <c r="M309" s="523" t="e">
        <f ca="1">stat(charge_entree[[#This Row],[ch_S_NH4]])</f>
        <v>#NAME?</v>
      </c>
      <c r="N309" s="523" t="e">
        <f ca="1">stat(charge_entree[[#This Row],[ch_S_NO2]])</f>
        <v>#NAME?</v>
      </c>
      <c r="O309" s="523" t="e">
        <f ca="1">stat(charge_entree[[#This Row],[ch_S_NO3]])</f>
        <v>#NAME?</v>
      </c>
      <c r="P309" s="523" t="e">
        <f ca="1">stat(charge_entree[[#This Row],[ch_S_PTOT]])</f>
        <v>#NAME?</v>
      </c>
      <c r="Q309" s="523" t="e">
        <f ca="1">stat(charge_entree[[#This Row],[ch_S_SNDT]])</f>
        <v>#NAME?</v>
      </c>
      <c r="R309" s="523">
        <f>calculs!R309</f>
        <v>0</v>
      </c>
      <c r="S309" s="523" t="e">
        <f ca="1">stat(calculs!S309)</f>
        <v>#NAME?</v>
      </c>
      <c r="T309" s="523" t="e">
        <f ca="1">stat(calculs!T309)</f>
        <v>#NAME?</v>
      </c>
      <c r="U309" s="523" t="e">
        <f ca="1">stat(calculs!U309)</f>
        <v>#NAME?</v>
      </c>
      <c r="V309" s="523" t="e">
        <f ca="1">stat(calculs!V309)</f>
        <v>#NAME?</v>
      </c>
      <c r="W309" s="523" t="e">
        <f ca="1">stat(calculs!W309)</f>
        <v>#NAME?</v>
      </c>
      <c r="X309" s="523" t="e">
        <f ca="1">stat(calculs!X309)</f>
        <v>#NAME?</v>
      </c>
      <c r="Y309" s="523" t="e">
        <f ca="1">stat(calculs!Y309)</f>
        <v>#NAME?</v>
      </c>
      <c r="Z309" s="523" t="e">
        <f ca="1">stat(calculs!Z309)</f>
        <v>#NAME?</v>
      </c>
      <c r="AA309" s="523" t="e">
        <f ca="1">stat(calculs!AA309)</f>
        <v>#NAME?</v>
      </c>
      <c r="AB309" s="523" t="e">
        <f ca="1">stat(calculs!AB309)</f>
        <v>#NAME?</v>
      </c>
      <c r="AC309" s="523" t="e">
        <f ca="1">stat(calculs!AC309)</f>
        <v>#NAME?</v>
      </c>
      <c r="AD309" s="523" t="e">
        <f ca="1">stat(calculs!AD309)</f>
        <v>#NAME?</v>
      </c>
      <c r="AE309" s="523" t="e">
        <f ca="1">stat(calculs!AE309)</f>
        <v>#NAME?</v>
      </c>
      <c r="AF309" s="523" t="e">
        <f ca="1">stat(calculs!AF309)</f>
        <v>#NAME?</v>
      </c>
      <c r="AG309" s="523" t="e">
        <f ca="1">stat(calculs!AG309)</f>
        <v>#NAME?</v>
      </c>
      <c r="AH309" s="523" t="e">
        <f ca="1">stat(calculs!AH309)</f>
        <v>#NAME?</v>
      </c>
      <c r="AI309" s="523" t="e">
        <f ca="1">stat(calculs!AI309)</f>
        <v>#NAME?</v>
      </c>
      <c r="AJ309" s="523" t="e">
        <f ca="1">stat(calculs!AJ309)</f>
        <v>#NAME?</v>
      </c>
      <c r="AK309" s="523" t="e">
        <f ca="1">stat(calculs!AK309)</f>
        <v>#NAME?</v>
      </c>
      <c r="AL309" s="523" t="e">
        <f ca="1">stat(calculs!AL309)</f>
        <v>#NAME?</v>
      </c>
      <c r="AM309" s="523" t="e">
        <f ca="1">stat(calculs!AM309)</f>
        <v>#NAME?</v>
      </c>
      <c r="AN309" s="523" t="e">
        <f ca="1">stat(calculs!AN309)</f>
        <v>#NAME?</v>
      </c>
      <c r="AO309" s="523" t="e">
        <f ca="1">stat(calculs!AO309)</f>
        <v>#NAME?</v>
      </c>
      <c r="AP309" s="523" t="e">
        <f ca="1">stat(calculs!AP309)</f>
        <v>#NAME?</v>
      </c>
      <c r="AQ309" s="523" t="e">
        <f ca="1">stat(calculs!AQ309)</f>
        <v>#NAME?</v>
      </c>
      <c r="AV309" s="525" t="str">
        <f>stat(calculs!AV309)</f>
        <v/>
      </c>
      <c r="AW309" s="525" t="str">
        <f>stat(calculs!AW309)</f>
        <v/>
      </c>
      <c r="AX309" s="525" t="str">
        <f>stat(calculs!AX309)</f>
        <v/>
      </c>
      <c r="AY309" s="525" t="e">
        <f ca="1">stat(calculs!AY309)</f>
        <v>#NAME?</v>
      </c>
      <c r="AZ309" s="525" t="e">
        <f ca="1">stat(calculs!AZ309)</f>
        <v>#NAME?</v>
      </c>
      <c r="BA309" s="525" t="e">
        <f ca="1">stat(calculs!BA309)</f>
        <v>#NAME?</v>
      </c>
      <c r="BB309" s="525" t="e">
        <f ca="1">stat(calculs!BB309)</f>
        <v>#NAME?</v>
      </c>
      <c r="BC309" s="525" t="e">
        <f ca="1">stat(calculs!BC309)</f>
        <v>#NAME?</v>
      </c>
      <c r="BD309" s="525" t="e">
        <f ca="1">stat(calculs!BD309)</f>
        <v>#NAME?</v>
      </c>
      <c r="BE309" s="525" t="e">
        <f ca="1">stat(calculs!BE309)</f>
        <v>#NAME?</v>
      </c>
      <c r="BF309" s="525" t="e">
        <f ca="1">stat(calculs!BF309)</f>
        <v>#NAME?</v>
      </c>
      <c r="BG309" s="729" t="e">
        <f ca="1">stat(calculs!BG309)</f>
        <v>#NAME?</v>
      </c>
      <c r="BH309" s="729" t="e">
        <f ca="1">stat(calculs!BH309)</f>
        <v>#NAME?</v>
      </c>
      <c r="BI309" s="729" t="e">
        <f ca="1">stat(calculs!BI309)</f>
        <v>#NAME?</v>
      </c>
      <c r="BJ309" s="729" t="e">
        <f ca="1">stat(calculs!BJ309)</f>
        <v>#NAME?</v>
      </c>
      <c r="BK309" s="729" t="e">
        <f ca="1">stat(calculs!BK309)</f>
        <v>#NAME?</v>
      </c>
      <c r="BL309" s="525" t="e">
        <f ca="1">stat(calculs!BL309)</f>
        <v>#NAME?</v>
      </c>
      <c r="BM309" s="525" t="e">
        <f ca="1">stat(calculs!BM309)</f>
        <v>#NAME?</v>
      </c>
      <c r="BN309" s="525" t="e">
        <f ca="1">stat(calculs!BN309)</f>
        <v>#NAME?</v>
      </c>
      <c r="BO309" s="525" t="e">
        <f ca="1">stat(calculs!BO309)</f>
        <v>#NAME?</v>
      </c>
      <c r="BP309" s="525" t="e">
        <f ca="1">stat(calculs!BP309)</f>
        <v>#NAME?</v>
      </c>
      <c r="BQ309" s="525" t="e">
        <f ca="1">stat(calculs!BQ309)</f>
        <v>#NAME?</v>
      </c>
      <c r="BR309" s="525" t="e">
        <f ca="1">stat(calculs!BR309)</f>
        <v>#NAME?</v>
      </c>
    </row>
    <row r="310" spans="1:70" x14ac:dyDescent="0.2">
      <c r="A310" s="222">
        <f>données_step[[#This Row],[Datum]]</f>
        <v>44861</v>
      </c>
      <c r="B310" s="223"/>
      <c r="C310" s="224">
        <f t="shared" si="4"/>
        <v>5</v>
      </c>
      <c r="D310" s="523" t="e">
        <f ca="1">stat(charge_entree[[#This Row],[ch_E_DBO5]])</f>
        <v>#NAME?</v>
      </c>
      <c r="E310" s="523" t="e">
        <f ca="1">stat(charge_entree[[#This Row],[ch_E_DCO]])</f>
        <v>#NAME?</v>
      </c>
      <c r="F310" s="523" t="e">
        <f ca="1">stat(charge_entree[[#This Row],[ch_E_COT]])</f>
        <v>#NAME?</v>
      </c>
      <c r="G310" s="523" t="e">
        <f ca="1">stat(charge_entree[[#This Row],[ch_E_NH4]])</f>
        <v>#NAME?</v>
      </c>
      <c r="H310" s="523" t="e">
        <f ca="1">stat(charge_entree[[#This Row],[ch_E_NTOT]])</f>
        <v>#NAME?</v>
      </c>
      <c r="I310" s="523" t="e">
        <f ca="1">stat(charge_entree[[#This Row],[ch_E_PTOT]])</f>
        <v>#NAME?</v>
      </c>
      <c r="J310" s="523" t="e">
        <f ca="1">stat(charge_entree[[#This Row],[ch_S_DBO]])</f>
        <v>#NAME?</v>
      </c>
      <c r="K310" s="523" t="e">
        <f ca="1">stat(charge_entree[[#This Row],[ch_S-DCO]])</f>
        <v>#NAME?</v>
      </c>
      <c r="L310" s="523" t="e">
        <f ca="1">stat(charge_entree[[#This Row],[ch_S_DOC]])</f>
        <v>#NAME?</v>
      </c>
      <c r="M310" s="523" t="e">
        <f ca="1">stat(charge_entree[[#This Row],[ch_S_NH4]])</f>
        <v>#NAME?</v>
      </c>
      <c r="N310" s="523" t="e">
        <f ca="1">stat(charge_entree[[#This Row],[ch_S_NO2]])</f>
        <v>#NAME?</v>
      </c>
      <c r="O310" s="523" t="e">
        <f ca="1">stat(charge_entree[[#This Row],[ch_S_NO3]])</f>
        <v>#NAME?</v>
      </c>
      <c r="P310" s="523" t="e">
        <f ca="1">stat(charge_entree[[#This Row],[ch_S_PTOT]])</f>
        <v>#NAME?</v>
      </c>
      <c r="Q310" s="523" t="e">
        <f ca="1">stat(charge_entree[[#This Row],[ch_S_SNDT]])</f>
        <v>#NAME?</v>
      </c>
      <c r="R310" s="523">
        <f>calculs!R310</f>
        <v>0</v>
      </c>
      <c r="S310" s="523" t="e">
        <f ca="1">stat(calculs!S310)</f>
        <v>#NAME?</v>
      </c>
      <c r="T310" s="523" t="e">
        <f ca="1">stat(calculs!T310)</f>
        <v>#NAME?</v>
      </c>
      <c r="U310" s="523" t="e">
        <f ca="1">stat(calculs!U310)</f>
        <v>#NAME?</v>
      </c>
      <c r="V310" s="523" t="e">
        <f ca="1">stat(calculs!V310)</f>
        <v>#NAME?</v>
      </c>
      <c r="W310" s="523" t="e">
        <f ca="1">stat(calculs!W310)</f>
        <v>#NAME?</v>
      </c>
      <c r="X310" s="523" t="e">
        <f ca="1">stat(calculs!X310)</f>
        <v>#NAME?</v>
      </c>
      <c r="Y310" s="523" t="e">
        <f ca="1">stat(calculs!Y310)</f>
        <v>#NAME?</v>
      </c>
      <c r="Z310" s="523" t="e">
        <f ca="1">stat(calculs!Z310)</f>
        <v>#NAME?</v>
      </c>
      <c r="AA310" s="523" t="e">
        <f ca="1">stat(calculs!AA310)</f>
        <v>#NAME?</v>
      </c>
      <c r="AB310" s="523" t="e">
        <f ca="1">stat(calculs!AB310)</f>
        <v>#NAME?</v>
      </c>
      <c r="AC310" s="523" t="e">
        <f ca="1">stat(calculs!AC310)</f>
        <v>#NAME?</v>
      </c>
      <c r="AD310" s="523" t="e">
        <f ca="1">stat(calculs!AD310)</f>
        <v>#NAME?</v>
      </c>
      <c r="AE310" s="523" t="e">
        <f ca="1">stat(calculs!AE310)</f>
        <v>#NAME?</v>
      </c>
      <c r="AF310" s="523" t="e">
        <f ca="1">stat(calculs!AF310)</f>
        <v>#NAME?</v>
      </c>
      <c r="AG310" s="523" t="e">
        <f ca="1">stat(calculs!AG310)</f>
        <v>#NAME?</v>
      </c>
      <c r="AH310" s="523" t="e">
        <f ca="1">stat(calculs!AH310)</f>
        <v>#NAME?</v>
      </c>
      <c r="AI310" s="523" t="e">
        <f ca="1">stat(calculs!AI310)</f>
        <v>#NAME?</v>
      </c>
      <c r="AJ310" s="523" t="e">
        <f ca="1">stat(calculs!AJ310)</f>
        <v>#NAME?</v>
      </c>
      <c r="AK310" s="523" t="e">
        <f ca="1">stat(calculs!AK310)</f>
        <v>#NAME?</v>
      </c>
      <c r="AL310" s="523" t="e">
        <f ca="1">stat(calculs!AL310)</f>
        <v>#NAME?</v>
      </c>
      <c r="AM310" s="523" t="e">
        <f ca="1">stat(calculs!AM310)</f>
        <v>#NAME?</v>
      </c>
      <c r="AN310" s="523" t="e">
        <f ca="1">stat(calculs!AN310)</f>
        <v>#NAME?</v>
      </c>
      <c r="AO310" s="523" t="e">
        <f ca="1">stat(calculs!AO310)</f>
        <v>#NAME?</v>
      </c>
      <c r="AP310" s="523" t="e">
        <f ca="1">stat(calculs!AP310)</f>
        <v>#NAME?</v>
      </c>
      <c r="AQ310" s="523" t="e">
        <f ca="1">stat(calculs!AQ310)</f>
        <v>#NAME?</v>
      </c>
      <c r="AV310" s="525" t="str">
        <f>stat(calculs!AV310)</f>
        <v/>
      </c>
      <c r="AW310" s="525" t="str">
        <f>stat(calculs!AW310)</f>
        <v/>
      </c>
      <c r="AX310" s="525" t="str">
        <f>stat(calculs!AX310)</f>
        <v/>
      </c>
      <c r="AY310" s="525" t="e">
        <f ca="1">stat(calculs!AY310)</f>
        <v>#NAME?</v>
      </c>
      <c r="AZ310" s="525" t="e">
        <f ca="1">stat(calculs!AZ310)</f>
        <v>#NAME?</v>
      </c>
      <c r="BA310" s="525" t="e">
        <f ca="1">stat(calculs!BA310)</f>
        <v>#NAME?</v>
      </c>
      <c r="BB310" s="525" t="e">
        <f ca="1">stat(calculs!BB310)</f>
        <v>#NAME?</v>
      </c>
      <c r="BC310" s="525" t="e">
        <f ca="1">stat(calculs!BC310)</f>
        <v>#NAME?</v>
      </c>
      <c r="BD310" s="525" t="e">
        <f ca="1">stat(calculs!BD310)</f>
        <v>#NAME?</v>
      </c>
      <c r="BE310" s="525" t="e">
        <f ca="1">stat(calculs!BE310)</f>
        <v>#NAME?</v>
      </c>
      <c r="BF310" s="525" t="e">
        <f ca="1">stat(calculs!BF310)</f>
        <v>#NAME?</v>
      </c>
      <c r="BG310" s="729" t="e">
        <f ca="1">stat(calculs!BG310)</f>
        <v>#NAME?</v>
      </c>
      <c r="BH310" s="729" t="e">
        <f ca="1">stat(calculs!BH310)</f>
        <v>#NAME?</v>
      </c>
      <c r="BI310" s="729" t="e">
        <f ca="1">stat(calculs!BI310)</f>
        <v>#NAME?</v>
      </c>
      <c r="BJ310" s="729" t="e">
        <f ca="1">stat(calculs!BJ310)</f>
        <v>#NAME?</v>
      </c>
      <c r="BK310" s="729" t="e">
        <f ca="1">stat(calculs!BK310)</f>
        <v>#NAME?</v>
      </c>
      <c r="BL310" s="525" t="e">
        <f ca="1">stat(calculs!BL310)</f>
        <v>#NAME?</v>
      </c>
      <c r="BM310" s="525" t="e">
        <f ca="1">stat(calculs!BM310)</f>
        <v>#NAME?</v>
      </c>
      <c r="BN310" s="525" t="e">
        <f ca="1">stat(calculs!BN310)</f>
        <v>#NAME?</v>
      </c>
      <c r="BO310" s="525" t="e">
        <f ca="1">stat(calculs!BO310)</f>
        <v>#NAME?</v>
      </c>
      <c r="BP310" s="525" t="e">
        <f ca="1">stat(calculs!BP310)</f>
        <v>#NAME?</v>
      </c>
      <c r="BQ310" s="525" t="e">
        <f ca="1">stat(calculs!BQ310)</f>
        <v>#NAME?</v>
      </c>
      <c r="BR310" s="525" t="e">
        <f ca="1">stat(calculs!BR310)</f>
        <v>#NAME?</v>
      </c>
    </row>
    <row r="311" spans="1:70" x14ac:dyDescent="0.2">
      <c r="A311" s="222">
        <f>données_step[[#This Row],[Datum]]</f>
        <v>44862</v>
      </c>
      <c r="B311" s="223"/>
      <c r="C311" s="224">
        <f t="shared" si="4"/>
        <v>6</v>
      </c>
      <c r="D311" s="523" t="e">
        <f ca="1">stat(charge_entree[[#This Row],[ch_E_DBO5]])</f>
        <v>#NAME?</v>
      </c>
      <c r="E311" s="523" t="e">
        <f ca="1">stat(charge_entree[[#This Row],[ch_E_DCO]])</f>
        <v>#NAME?</v>
      </c>
      <c r="F311" s="523" t="e">
        <f ca="1">stat(charge_entree[[#This Row],[ch_E_COT]])</f>
        <v>#NAME?</v>
      </c>
      <c r="G311" s="523" t="e">
        <f ca="1">stat(charge_entree[[#This Row],[ch_E_NH4]])</f>
        <v>#NAME?</v>
      </c>
      <c r="H311" s="523" t="e">
        <f ca="1">stat(charge_entree[[#This Row],[ch_E_NTOT]])</f>
        <v>#NAME?</v>
      </c>
      <c r="I311" s="523" t="e">
        <f ca="1">stat(charge_entree[[#This Row],[ch_E_PTOT]])</f>
        <v>#NAME?</v>
      </c>
      <c r="J311" s="523" t="e">
        <f ca="1">stat(charge_entree[[#This Row],[ch_S_DBO]])</f>
        <v>#NAME?</v>
      </c>
      <c r="K311" s="523" t="e">
        <f ca="1">stat(charge_entree[[#This Row],[ch_S-DCO]])</f>
        <v>#NAME?</v>
      </c>
      <c r="L311" s="523" t="e">
        <f ca="1">stat(charge_entree[[#This Row],[ch_S_DOC]])</f>
        <v>#NAME?</v>
      </c>
      <c r="M311" s="523" t="e">
        <f ca="1">stat(charge_entree[[#This Row],[ch_S_NH4]])</f>
        <v>#NAME?</v>
      </c>
      <c r="N311" s="523" t="e">
        <f ca="1">stat(charge_entree[[#This Row],[ch_S_NO2]])</f>
        <v>#NAME?</v>
      </c>
      <c r="O311" s="523" t="e">
        <f ca="1">stat(charge_entree[[#This Row],[ch_S_NO3]])</f>
        <v>#NAME?</v>
      </c>
      <c r="P311" s="523" t="e">
        <f ca="1">stat(charge_entree[[#This Row],[ch_S_PTOT]])</f>
        <v>#NAME?</v>
      </c>
      <c r="Q311" s="523" t="e">
        <f ca="1">stat(charge_entree[[#This Row],[ch_S_SNDT]])</f>
        <v>#NAME?</v>
      </c>
      <c r="R311" s="523">
        <f>calculs!R311</f>
        <v>0</v>
      </c>
      <c r="S311" s="523" t="e">
        <f ca="1">stat(calculs!S311)</f>
        <v>#NAME?</v>
      </c>
      <c r="T311" s="523" t="e">
        <f ca="1">stat(calculs!T311)</f>
        <v>#NAME?</v>
      </c>
      <c r="U311" s="523" t="e">
        <f ca="1">stat(calculs!U311)</f>
        <v>#NAME?</v>
      </c>
      <c r="V311" s="523" t="e">
        <f ca="1">stat(calculs!V311)</f>
        <v>#NAME?</v>
      </c>
      <c r="W311" s="523" t="e">
        <f ca="1">stat(calculs!W311)</f>
        <v>#NAME?</v>
      </c>
      <c r="X311" s="523" t="e">
        <f ca="1">stat(calculs!X311)</f>
        <v>#NAME?</v>
      </c>
      <c r="Y311" s="523" t="e">
        <f ca="1">stat(calculs!Y311)</f>
        <v>#NAME?</v>
      </c>
      <c r="Z311" s="523" t="e">
        <f ca="1">stat(calculs!Z311)</f>
        <v>#NAME?</v>
      </c>
      <c r="AA311" s="523" t="e">
        <f ca="1">stat(calculs!AA311)</f>
        <v>#NAME?</v>
      </c>
      <c r="AB311" s="523" t="e">
        <f ca="1">stat(calculs!AB311)</f>
        <v>#NAME?</v>
      </c>
      <c r="AC311" s="523" t="e">
        <f ca="1">stat(calculs!AC311)</f>
        <v>#NAME?</v>
      </c>
      <c r="AD311" s="523" t="e">
        <f ca="1">stat(calculs!AD311)</f>
        <v>#NAME?</v>
      </c>
      <c r="AE311" s="523" t="e">
        <f ca="1">stat(calculs!AE311)</f>
        <v>#NAME?</v>
      </c>
      <c r="AF311" s="523" t="e">
        <f ca="1">stat(calculs!AF311)</f>
        <v>#NAME?</v>
      </c>
      <c r="AG311" s="523" t="e">
        <f ca="1">stat(calculs!AG311)</f>
        <v>#NAME?</v>
      </c>
      <c r="AH311" s="523" t="e">
        <f ca="1">stat(calculs!AH311)</f>
        <v>#NAME?</v>
      </c>
      <c r="AI311" s="523" t="e">
        <f ca="1">stat(calculs!AI311)</f>
        <v>#NAME?</v>
      </c>
      <c r="AJ311" s="523" t="e">
        <f ca="1">stat(calculs!AJ311)</f>
        <v>#NAME?</v>
      </c>
      <c r="AK311" s="523" t="e">
        <f ca="1">stat(calculs!AK311)</f>
        <v>#NAME?</v>
      </c>
      <c r="AL311" s="523" t="e">
        <f ca="1">stat(calculs!AL311)</f>
        <v>#NAME?</v>
      </c>
      <c r="AM311" s="523" t="e">
        <f ca="1">stat(calculs!AM311)</f>
        <v>#NAME?</v>
      </c>
      <c r="AN311" s="523" t="e">
        <f ca="1">stat(calculs!AN311)</f>
        <v>#NAME?</v>
      </c>
      <c r="AO311" s="523" t="e">
        <f ca="1">stat(calculs!AO311)</f>
        <v>#NAME?</v>
      </c>
      <c r="AP311" s="523" t="e">
        <f ca="1">stat(calculs!AP311)</f>
        <v>#NAME?</v>
      </c>
      <c r="AQ311" s="523" t="e">
        <f ca="1">stat(calculs!AQ311)</f>
        <v>#NAME?</v>
      </c>
      <c r="AV311" s="525" t="str">
        <f>stat(calculs!AV311)</f>
        <v/>
      </c>
      <c r="AW311" s="525" t="str">
        <f>stat(calculs!AW311)</f>
        <v/>
      </c>
      <c r="AX311" s="525" t="str">
        <f>stat(calculs!AX311)</f>
        <v/>
      </c>
      <c r="AY311" s="525" t="e">
        <f ca="1">stat(calculs!AY311)</f>
        <v>#NAME?</v>
      </c>
      <c r="AZ311" s="525" t="e">
        <f ca="1">stat(calculs!AZ311)</f>
        <v>#NAME?</v>
      </c>
      <c r="BA311" s="525" t="e">
        <f ca="1">stat(calculs!BA311)</f>
        <v>#NAME?</v>
      </c>
      <c r="BB311" s="525" t="e">
        <f ca="1">stat(calculs!BB311)</f>
        <v>#NAME?</v>
      </c>
      <c r="BC311" s="525" t="e">
        <f ca="1">stat(calculs!BC311)</f>
        <v>#NAME?</v>
      </c>
      <c r="BD311" s="525" t="e">
        <f ca="1">stat(calculs!BD311)</f>
        <v>#NAME?</v>
      </c>
      <c r="BE311" s="525" t="e">
        <f ca="1">stat(calculs!BE311)</f>
        <v>#NAME?</v>
      </c>
      <c r="BF311" s="525" t="e">
        <f ca="1">stat(calculs!BF311)</f>
        <v>#NAME?</v>
      </c>
      <c r="BG311" s="729" t="e">
        <f ca="1">stat(calculs!BG311)</f>
        <v>#NAME?</v>
      </c>
      <c r="BH311" s="729" t="e">
        <f ca="1">stat(calculs!BH311)</f>
        <v>#NAME?</v>
      </c>
      <c r="BI311" s="729" t="e">
        <f ca="1">stat(calculs!BI311)</f>
        <v>#NAME?</v>
      </c>
      <c r="BJ311" s="729" t="e">
        <f ca="1">stat(calculs!BJ311)</f>
        <v>#NAME?</v>
      </c>
      <c r="BK311" s="729" t="e">
        <f ca="1">stat(calculs!BK311)</f>
        <v>#NAME?</v>
      </c>
      <c r="BL311" s="525" t="e">
        <f ca="1">stat(calculs!BL311)</f>
        <v>#NAME?</v>
      </c>
      <c r="BM311" s="525" t="e">
        <f ca="1">stat(calculs!BM311)</f>
        <v>#NAME?</v>
      </c>
      <c r="BN311" s="525" t="e">
        <f ca="1">stat(calculs!BN311)</f>
        <v>#NAME?</v>
      </c>
      <c r="BO311" s="525" t="e">
        <f ca="1">stat(calculs!BO311)</f>
        <v>#NAME?</v>
      </c>
      <c r="BP311" s="525" t="e">
        <f ca="1">stat(calculs!BP311)</f>
        <v>#NAME?</v>
      </c>
      <c r="BQ311" s="525" t="e">
        <f ca="1">stat(calculs!BQ311)</f>
        <v>#NAME?</v>
      </c>
      <c r="BR311" s="525" t="e">
        <f ca="1">stat(calculs!BR311)</f>
        <v>#NAME?</v>
      </c>
    </row>
    <row r="312" spans="1:70" x14ac:dyDescent="0.2">
      <c r="A312" s="222">
        <f>données_step[[#This Row],[Datum]]</f>
        <v>44863</v>
      </c>
      <c r="B312" s="223"/>
      <c r="C312" s="224">
        <f t="shared" si="4"/>
        <v>7</v>
      </c>
      <c r="D312" s="523" t="e">
        <f ca="1">stat(charge_entree[[#This Row],[ch_E_DBO5]])</f>
        <v>#NAME?</v>
      </c>
      <c r="E312" s="523" t="e">
        <f ca="1">stat(charge_entree[[#This Row],[ch_E_DCO]])</f>
        <v>#NAME?</v>
      </c>
      <c r="F312" s="523" t="e">
        <f ca="1">stat(charge_entree[[#This Row],[ch_E_COT]])</f>
        <v>#NAME?</v>
      </c>
      <c r="G312" s="523" t="e">
        <f ca="1">stat(charge_entree[[#This Row],[ch_E_NH4]])</f>
        <v>#NAME?</v>
      </c>
      <c r="H312" s="523" t="e">
        <f ca="1">stat(charge_entree[[#This Row],[ch_E_NTOT]])</f>
        <v>#NAME?</v>
      </c>
      <c r="I312" s="523" t="e">
        <f ca="1">stat(charge_entree[[#This Row],[ch_E_PTOT]])</f>
        <v>#NAME?</v>
      </c>
      <c r="J312" s="523" t="e">
        <f ca="1">stat(charge_entree[[#This Row],[ch_S_DBO]])</f>
        <v>#NAME?</v>
      </c>
      <c r="K312" s="523" t="e">
        <f ca="1">stat(charge_entree[[#This Row],[ch_S-DCO]])</f>
        <v>#NAME?</v>
      </c>
      <c r="L312" s="523" t="e">
        <f ca="1">stat(charge_entree[[#This Row],[ch_S_DOC]])</f>
        <v>#NAME?</v>
      </c>
      <c r="M312" s="523" t="e">
        <f ca="1">stat(charge_entree[[#This Row],[ch_S_NH4]])</f>
        <v>#NAME?</v>
      </c>
      <c r="N312" s="523" t="e">
        <f ca="1">stat(charge_entree[[#This Row],[ch_S_NO2]])</f>
        <v>#NAME?</v>
      </c>
      <c r="O312" s="523" t="e">
        <f ca="1">stat(charge_entree[[#This Row],[ch_S_NO3]])</f>
        <v>#NAME?</v>
      </c>
      <c r="P312" s="523" t="e">
        <f ca="1">stat(charge_entree[[#This Row],[ch_S_PTOT]])</f>
        <v>#NAME?</v>
      </c>
      <c r="Q312" s="523" t="e">
        <f ca="1">stat(charge_entree[[#This Row],[ch_S_SNDT]])</f>
        <v>#NAME?</v>
      </c>
      <c r="R312" s="523">
        <f>calculs!R312</f>
        <v>0</v>
      </c>
      <c r="S312" s="523" t="e">
        <f ca="1">stat(calculs!S312)</f>
        <v>#NAME?</v>
      </c>
      <c r="T312" s="523" t="e">
        <f ca="1">stat(calculs!T312)</f>
        <v>#NAME?</v>
      </c>
      <c r="U312" s="523" t="e">
        <f ca="1">stat(calculs!U312)</f>
        <v>#NAME?</v>
      </c>
      <c r="V312" s="523" t="e">
        <f ca="1">stat(calculs!V312)</f>
        <v>#NAME?</v>
      </c>
      <c r="W312" s="523" t="e">
        <f ca="1">stat(calculs!W312)</f>
        <v>#NAME?</v>
      </c>
      <c r="X312" s="523" t="e">
        <f ca="1">stat(calculs!X312)</f>
        <v>#NAME?</v>
      </c>
      <c r="Y312" s="523" t="e">
        <f ca="1">stat(calculs!Y312)</f>
        <v>#NAME?</v>
      </c>
      <c r="Z312" s="523" t="e">
        <f ca="1">stat(calculs!Z312)</f>
        <v>#NAME?</v>
      </c>
      <c r="AA312" s="523" t="e">
        <f ca="1">stat(calculs!AA312)</f>
        <v>#NAME?</v>
      </c>
      <c r="AB312" s="523" t="e">
        <f ca="1">stat(calculs!AB312)</f>
        <v>#NAME?</v>
      </c>
      <c r="AC312" s="523" t="e">
        <f ca="1">stat(calculs!AC312)</f>
        <v>#NAME?</v>
      </c>
      <c r="AD312" s="523" t="e">
        <f ca="1">stat(calculs!AD312)</f>
        <v>#NAME?</v>
      </c>
      <c r="AE312" s="523" t="e">
        <f ca="1">stat(calculs!AE312)</f>
        <v>#NAME?</v>
      </c>
      <c r="AF312" s="523" t="e">
        <f ca="1">stat(calculs!AF312)</f>
        <v>#NAME?</v>
      </c>
      <c r="AG312" s="523" t="e">
        <f ca="1">stat(calculs!AG312)</f>
        <v>#NAME?</v>
      </c>
      <c r="AH312" s="523" t="e">
        <f ca="1">stat(calculs!AH312)</f>
        <v>#NAME?</v>
      </c>
      <c r="AI312" s="523" t="e">
        <f ca="1">stat(calculs!AI312)</f>
        <v>#NAME?</v>
      </c>
      <c r="AJ312" s="523" t="e">
        <f ca="1">stat(calculs!AJ312)</f>
        <v>#NAME?</v>
      </c>
      <c r="AK312" s="523" t="e">
        <f ca="1">stat(calculs!AK312)</f>
        <v>#NAME?</v>
      </c>
      <c r="AL312" s="523" t="e">
        <f ca="1">stat(calculs!AL312)</f>
        <v>#NAME?</v>
      </c>
      <c r="AM312" s="523" t="e">
        <f ca="1">stat(calculs!AM312)</f>
        <v>#NAME?</v>
      </c>
      <c r="AN312" s="523" t="e">
        <f ca="1">stat(calculs!AN312)</f>
        <v>#NAME?</v>
      </c>
      <c r="AO312" s="523" t="e">
        <f ca="1">stat(calculs!AO312)</f>
        <v>#NAME?</v>
      </c>
      <c r="AP312" s="523" t="e">
        <f ca="1">stat(calculs!AP312)</f>
        <v>#NAME?</v>
      </c>
      <c r="AQ312" s="523" t="e">
        <f ca="1">stat(calculs!AQ312)</f>
        <v>#NAME?</v>
      </c>
      <c r="AV312" s="525" t="str">
        <f>stat(calculs!AV312)</f>
        <v/>
      </c>
      <c r="AW312" s="525" t="str">
        <f>stat(calculs!AW312)</f>
        <v/>
      </c>
      <c r="AX312" s="525" t="str">
        <f>stat(calculs!AX312)</f>
        <v/>
      </c>
      <c r="AY312" s="525" t="e">
        <f ca="1">stat(calculs!AY312)</f>
        <v>#NAME?</v>
      </c>
      <c r="AZ312" s="525" t="e">
        <f ca="1">stat(calculs!AZ312)</f>
        <v>#NAME?</v>
      </c>
      <c r="BA312" s="525" t="e">
        <f ca="1">stat(calculs!BA312)</f>
        <v>#NAME?</v>
      </c>
      <c r="BB312" s="525" t="e">
        <f ca="1">stat(calculs!BB312)</f>
        <v>#NAME?</v>
      </c>
      <c r="BC312" s="525" t="e">
        <f ca="1">stat(calculs!BC312)</f>
        <v>#NAME?</v>
      </c>
      <c r="BD312" s="525" t="e">
        <f ca="1">stat(calculs!BD312)</f>
        <v>#NAME?</v>
      </c>
      <c r="BE312" s="525" t="e">
        <f ca="1">stat(calculs!BE312)</f>
        <v>#NAME?</v>
      </c>
      <c r="BF312" s="525" t="e">
        <f ca="1">stat(calculs!BF312)</f>
        <v>#NAME?</v>
      </c>
      <c r="BG312" s="729" t="e">
        <f ca="1">stat(calculs!BG312)</f>
        <v>#NAME?</v>
      </c>
      <c r="BH312" s="729" t="e">
        <f ca="1">stat(calculs!BH312)</f>
        <v>#NAME?</v>
      </c>
      <c r="BI312" s="729" t="e">
        <f ca="1">stat(calculs!BI312)</f>
        <v>#NAME?</v>
      </c>
      <c r="BJ312" s="729" t="e">
        <f ca="1">stat(calculs!BJ312)</f>
        <v>#NAME?</v>
      </c>
      <c r="BK312" s="729" t="e">
        <f ca="1">stat(calculs!BK312)</f>
        <v>#NAME?</v>
      </c>
      <c r="BL312" s="525" t="e">
        <f ca="1">stat(calculs!BL312)</f>
        <v>#NAME?</v>
      </c>
      <c r="BM312" s="525" t="e">
        <f ca="1">stat(calculs!BM312)</f>
        <v>#NAME?</v>
      </c>
      <c r="BN312" s="525" t="e">
        <f ca="1">stat(calculs!BN312)</f>
        <v>#NAME?</v>
      </c>
      <c r="BO312" s="525" t="e">
        <f ca="1">stat(calculs!BO312)</f>
        <v>#NAME?</v>
      </c>
      <c r="BP312" s="525" t="e">
        <f ca="1">stat(calculs!BP312)</f>
        <v>#NAME?</v>
      </c>
      <c r="BQ312" s="525" t="e">
        <f ca="1">stat(calculs!BQ312)</f>
        <v>#NAME?</v>
      </c>
      <c r="BR312" s="525" t="e">
        <f ca="1">stat(calculs!BR312)</f>
        <v>#NAME?</v>
      </c>
    </row>
    <row r="313" spans="1:70" x14ac:dyDescent="0.2">
      <c r="A313" s="222">
        <f>données_step[[#This Row],[Datum]]</f>
        <v>44864</v>
      </c>
      <c r="B313" s="223"/>
      <c r="C313" s="224">
        <f t="shared" si="4"/>
        <v>1</v>
      </c>
      <c r="D313" s="523" t="e">
        <f ca="1">stat(charge_entree[[#This Row],[ch_E_DBO5]])</f>
        <v>#NAME?</v>
      </c>
      <c r="E313" s="523" t="e">
        <f ca="1">stat(charge_entree[[#This Row],[ch_E_DCO]])</f>
        <v>#NAME?</v>
      </c>
      <c r="F313" s="523" t="e">
        <f ca="1">stat(charge_entree[[#This Row],[ch_E_COT]])</f>
        <v>#NAME?</v>
      </c>
      <c r="G313" s="523" t="e">
        <f ca="1">stat(charge_entree[[#This Row],[ch_E_NH4]])</f>
        <v>#NAME?</v>
      </c>
      <c r="H313" s="523" t="e">
        <f ca="1">stat(charge_entree[[#This Row],[ch_E_NTOT]])</f>
        <v>#NAME?</v>
      </c>
      <c r="I313" s="523" t="e">
        <f ca="1">stat(charge_entree[[#This Row],[ch_E_PTOT]])</f>
        <v>#NAME?</v>
      </c>
      <c r="J313" s="523" t="e">
        <f ca="1">stat(charge_entree[[#This Row],[ch_S_DBO]])</f>
        <v>#NAME?</v>
      </c>
      <c r="K313" s="523" t="e">
        <f ca="1">stat(charge_entree[[#This Row],[ch_S-DCO]])</f>
        <v>#NAME?</v>
      </c>
      <c r="L313" s="523" t="e">
        <f ca="1">stat(charge_entree[[#This Row],[ch_S_DOC]])</f>
        <v>#NAME?</v>
      </c>
      <c r="M313" s="523" t="e">
        <f ca="1">stat(charge_entree[[#This Row],[ch_S_NH4]])</f>
        <v>#NAME?</v>
      </c>
      <c r="N313" s="523" t="e">
        <f ca="1">stat(charge_entree[[#This Row],[ch_S_NO2]])</f>
        <v>#NAME?</v>
      </c>
      <c r="O313" s="523" t="e">
        <f ca="1">stat(charge_entree[[#This Row],[ch_S_NO3]])</f>
        <v>#NAME?</v>
      </c>
      <c r="P313" s="523" t="e">
        <f ca="1">stat(charge_entree[[#This Row],[ch_S_PTOT]])</f>
        <v>#NAME?</v>
      </c>
      <c r="Q313" s="523" t="e">
        <f ca="1">stat(charge_entree[[#This Row],[ch_S_SNDT]])</f>
        <v>#NAME?</v>
      </c>
      <c r="R313" s="523">
        <f>calculs!R313</f>
        <v>0</v>
      </c>
      <c r="S313" s="523" t="e">
        <f ca="1">stat(calculs!S313)</f>
        <v>#NAME?</v>
      </c>
      <c r="T313" s="523" t="e">
        <f ca="1">stat(calculs!T313)</f>
        <v>#NAME?</v>
      </c>
      <c r="U313" s="523" t="e">
        <f ca="1">stat(calculs!U313)</f>
        <v>#NAME?</v>
      </c>
      <c r="V313" s="523" t="e">
        <f ca="1">stat(calculs!V313)</f>
        <v>#NAME?</v>
      </c>
      <c r="W313" s="523" t="e">
        <f ca="1">stat(calculs!W313)</f>
        <v>#NAME?</v>
      </c>
      <c r="X313" s="523" t="e">
        <f ca="1">stat(calculs!X313)</f>
        <v>#NAME?</v>
      </c>
      <c r="Y313" s="523" t="e">
        <f ca="1">stat(calculs!Y313)</f>
        <v>#NAME?</v>
      </c>
      <c r="Z313" s="523" t="e">
        <f ca="1">stat(calculs!Z313)</f>
        <v>#NAME?</v>
      </c>
      <c r="AA313" s="523" t="e">
        <f ca="1">stat(calculs!AA313)</f>
        <v>#NAME?</v>
      </c>
      <c r="AB313" s="523" t="e">
        <f ca="1">stat(calculs!AB313)</f>
        <v>#NAME?</v>
      </c>
      <c r="AC313" s="523" t="e">
        <f ca="1">stat(calculs!AC313)</f>
        <v>#NAME?</v>
      </c>
      <c r="AD313" s="523" t="e">
        <f ca="1">stat(calculs!AD313)</f>
        <v>#NAME?</v>
      </c>
      <c r="AE313" s="523" t="e">
        <f ca="1">stat(calculs!AE313)</f>
        <v>#NAME?</v>
      </c>
      <c r="AF313" s="523" t="e">
        <f ca="1">stat(calculs!AF313)</f>
        <v>#NAME?</v>
      </c>
      <c r="AG313" s="523" t="e">
        <f ca="1">stat(calculs!AG313)</f>
        <v>#NAME?</v>
      </c>
      <c r="AH313" s="523" t="e">
        <f ca="1">stat(calculs!AH313)</f>
        <v>#NAME?</v>
      </c>
      <c r="AI313" s="523" t="e">
        <f ca="1">stat(calculs!AI313)</f>
        <v>#NAME?</v>
      </c>
      <c r="AJ313" s="523" t="e">
        <f ca="1">stat(calculs!AJ313)</f>
        <v>#NAME?</v>
      </c>
      <c r="AK313" s="523" t="e">
        <f ca="1">stat(calculs!AK313)</f>
        <v>#NAME?</v>
      </c>
      <c r="AL313" s="523" t="e">
        <f ca="1">stat(calculs!AL313)</f>
        <v>#NAME?</v>
      </c>
      <c r="AM313" s="523" t="e">
        <f ca="1">stat(calculs!AM313)</f>
        <v>#NAME?</v>
      </c>
      <c r="AN313" s="523" t="e">
        <f ca="1">stat(calculs!AN313)</f>
        <v>#NAME?</v>
      </c>
      <c r="AO313" s="523" t="e">
        <f ca="1">stat(calculs!AO313)</f>
        <v>#NAME?</v>
      </c>
      <c r="AP313" s="523" t="e">
        <f ca="1">stat(calculs!AP313)</f>
        <v>#NAME?</v>
      </c>
      <c r="AQ313" s="523" t="e">
        <f ca="1">stat(calculs!AQ313)</f>
        <v>#NAME?</v>
      </c>
      <c r="AV313" s="525" t="str">
        <f>stat(calculs!AV313)</f>
        <v/>
      </c>
      <c r="AW313" s="525" t="str">
        <f>stat(calculs!AW313)</f>
        <v/>
      </c>
      <c r="AX313" s="525" t="str">
        <f>stat(calculs!AX313)</f>
        <v/>
      </c>
      <c r="AY313" s="525" t="e">
        <f ca="1">stat(calculs!AY313)</f>
        <v>#NAME?</v>
      </c>
      <c r="AZ313" s="525" t="e">
        <f ca="1">stat(calculs!AZ313)</f>
        <v>#NAME?</v>
      </c>
      <c r="BA313" s="525" t="e">
        <f ca="1">stat(calculs!BA313)</f>
        <v>#NAME?</v>
      </c>
      <c r="BB313" s="525" t="e">
        <f ca="1">stat(calculs!BB313)</f>
        <v>#NAME?</v>
      </c>
      <c r="BC313" s="525" t="e">
        <f ca="1">stat(calculs!BC313)</f>
        <v>#NAME?</v>
      </c>
      <c r="BD313" s="525" t="e">
        <f ca="1">stat(calculs!BD313)</f>
        <v>#NAME?</v>
      </c>
      <c r="BE313" s="525" t="e">
        <f ca="1">stat(calculs!BE313)</f>
        <v>#NAME?</v>
      </c>
      <c r="BF313" s="525" t="e">
        <f ca="1">stat(calculs!BF313)</f>
        <v>#NAME?</v>
      </c>
      <c r="BG313" s="729" t="e">
        <f ca="1">stat(calculs!BG313)</f>
        <v>#NAME?</v>
      </c>
      <c r="BH313" s="729" t="e">
        <f ca="1">stat(calculs!BH313)</f>
        <v>#NAME?</v>
      </c>
      <c r="BI313" s="729" t="e">
        <f ca="1">stat(calculs!BI313)</f>
        <v>#NAME?</v>
      </c>
      <c r="BJ313" s="729" t="e">
        <f ca="1">stat(calculs!BJ313)</f>
        <v>#NAME?</v>
      </c>
      <c r="BK313" s="729" t="e">
        <f ca="1">stat(calculs!BK313)</f>
        <v>#NAME?</v>
      </c>
      <c r="BL313" s="525" t="e">
        <f ca="1">stat(calculs!BL313)</f>
        <v>#NAME?</v>
      </c>
      <c r="BM313" s="525" t="e">
        <f ca="1">stat(calculs!BM313)</f>
        <v>#NAME?</v>
      </c>
      <c r="BN313" s="525" t="e">
        <f ca="1">stat(calculs!BN313)</f>
        <v>#NAME?</v>
      </c>
      <c r="BO313" s="525" t="e">
        <f ca="1">stat(calculs!BO313)</f>
        <v>#NAME?</v>
      </c>
      <c r="BP313" s="525" t="e">
        <f ca="1">stat(calculs!BP313)</f>
        <v>#NAME?</v>
      </c>
      <c r="BQ313" s="525" t="e">
        <f ca="1">stat(calculs!BQ313)</f>
        <v>#NAME?</v>
      </c>
      <c r="BR313" s="525" t="e">
        <f ca="1">stat(calculs!BR313)</f>
        <v>#NAME?</v>
      </c>
    </row>
    <row r="314" spans="1:70" x14ac:dyDescent="0.2">
      <c r="A314" s="222">
        <f>données_step[[#This Row],[Datum]]</f>
        <v>44865</v>
      </c>
      <c r="B314" s="223"/>
      <c r="C314" s="224">
        <f t="shared" si="4"/>
        <v>2</v>
      </c>
      <c r="D314" s="523" t="e">
        <f ca="1">stat(charge_entree[[#This Row],[ch_E_DBO5]])</f>
        <v>#NAME?</v>
      </c>
      <c r="E314" s="523" t="e">
        <f ca="1">stat(charge_entree[[#This Row],[ch_E_DCO]])</f>
        <v>#NAME?</v>
      </c>
      <c r="F314" s="523" t="e">
        <f ca="1">stat(charge_entree[[#This Row],[ch_E_COT]])</f>
        <v>#NAME?</v>
      </c>
      <c r="G314" s="523" t="e">
        <f ca="1">stat(charge_entree[[#This Row],[ch_E_NH4]])</f>
        <v>#NAME?</v>
      </c>
      <c r="H314" s="523" t="e">
        <f ca="1">stat(charge_entree[[#This Row],[ch_E_NTOT]])</f>
        <v>#NAME?</v>
      </c>
      <c r="I314" s="523" t="e">
        <f ca="1">stat(charge_entree[[#This Row],[ch_E_PTOT]])</f>
        <v>#NAME?</v>
      </c>
      <c r="J314" s="523" t="e">
        <f ca="1">stat(charge_entree[[#This Row],[ch_S_DBO]])</f>
        <v>#NAME?</v>
      </c>
      <c r="K314" s="523" t="e">
        <f ca="1">stat(charge_entree[[#This Row],[ch_S-DCO]])</f>
        <v>#NAME?</v>
      </c>
      <c r="L314" s="523" t="e">
        <f ca="1">stat(charge_entree[[#This Row],[ch_S_DOC]])</f>
        <v>#NAME?</v>
      </c>
      <c r="M314" s="523" t="e">
        <f ca="1">stat(charge_entree[[#This Row],[ch_S_NH4]])</f>
        <v>#NAME?</v>
      </c>
      <c r="N314" s="523" t="e">
        <f ca="1">stat(charge_entree[[#This Row],[ch_S_NO2]])</f>
        <v>#NAME?</v>
      </c>
      <c r="O314" s="523" t="e">
        <f ca="1">stat(charge_entree[[#This Row],[ch_S_NO3]])</f>
        <v>#NAME?</v>
      </c>
      <c r="P314" s="523" t="e">
        <f ca="1">stat(charge_entree[[#This Row],[ch_S_PTOT]])</f>
        <v>#NAME?</v>
      </c>
      <c r="Q314" s="523" t="e">
        <f ca="1">stat(charge_entree[[#This Row],[ch_S_SNDT]])</f>
        <v>#NAME?</v>
      </c>
      <c r="R314" s="523">
        <f>calculs!R314</f>
        <v>0</v>
      </c>
      <c r="S314" s="523" t="e">
        <f ca="1">stat(calculs!S314)</f>
        <v>#NAME?</v>
      </c>
      <c r="T314" s="523" t="e">
        <f ca="1">stat(calculs!T314)</f>
        <v>#NAME?</v>
      </c>
      <c r="U314" s="523" t="e">
        <f ca="1">stat(calculs!U314)</f>
        <v>#NAME?</v>
      </c>
      <c r="V314" s="523" t="e">
        <f ca="1">stat(calculs!V314)</f>
        <v>#NAME?</v>
      </c>
      <c r="W314" s="523" t="e">
        <f ca="1">stat(calculs!W314)</f>
        <v>#NAME?</v>
      </c>
      <c r="X314" s="523" t="e">
        <f ca="1">stat(calculs!X314)</f>
        <v>#NAME?</v>
      </c>
      <c r="Y314" s="523" t="e">
        <f ca="1">stat(calculs!Y314)</f>
        <v>#NAME?</v>
      </c>
      <c r="Z314" s="523" t="e">
        <f ca="1">stat(calculs!Z314)</f>
        <v>#NAME?</v>
      </c>
      <c r="AA314" s="523" t="e">
        <f ca="1">stat(calculs!AA314)</f>
        <v>#NAME?</v>
      </c>
      <c r="AB314" s="523" t="e">
        <f ca="1">stat(calculs!AB314)</f>
        <v>#NAME?</v>
      </c>
      <c r="AC314" s="523" t="e">
        <f ca="1">stat(calculs!AC314)</f>
        <v>#NAME?</v>
      </c>
      <c r="AD314" s="523" t="e">
        <f ca="1">stat(calculs!AD314)</f>
        <v>#NAME?</v>
      </c>
      <c r="AE314" s="523" t="e">
        <f ca="1">stat(calculs!AE314)</f>
        <v>#NAME?</v>
      </c>
      <c r="AF314" s="523" t="e">
        <f ca="1">stat(calculs!AF314)</f>
        <v>#NAME?</v>
      </c>
      <c r="AG314" s="523" t="e">
        <f ca="1">stat(calculs!AG314)</f>
        <v>#NAME?</v>
      </c>
      <c r="AH314" s="523" t="e">
        <f ca="1">stat(calculs!AH314)</f>
        <v>#NAME?</v>
      </c>
      <c r="AI314" s="523" t="e">
        <f ca="1">stat(calculs!AI314)</f>
        <v>#NAME?</v>
      </c>
      <c r="AJ314" s="523" t="e">
        <f ca="1">stat(calculs!AJ314)</f>
        <v>#NAME?</v>
      </c>
      <c r="AK314" s="523" t="e">
        <f ca="1">stat(calculs!AK314)</f>
        <v>#NAME?</v>
      </c>
      <c r="AL314" s="523" t="e">
        <f ca="1">stat(calculs!AL314)</f>
        <v>#NAME?</v>
      </c>
      <c r="AM314" s="523" t="e">
        <f ca="1">stat(calculs!AM314)</f>
        <v>#NAME?</v>
      </c>
      <c r="AN314" s="523" t="e">
        <f ca="1">stat(calculs!AN314)</f>
        <v>#NAME?</v>
      </c>
      <c r="AO314" s="523" t="e">
        <f ca="1">stat(calculs!AO314)</f>
        <v>#NAME?</v>
      </c>
      <c r="AP314" s="523" t="e">
        <f ca="1">stat(calculs!AP314)</f>
        <v>#NAME?</v>
      </c>
      <c r="AQ314" s="523" t="e">
        <f ca="1">stat(calculs!AQ314)</f>
        <v>#NAME?</v>
      </c>
      <c r="AV314" s="525" t="str">
        <f>stat(calculs!AV314)</f>
        <v/>
      </c>
      <c r="AW314" s="525" t="str">
        <f>stat(calculs!AW314)</f>
        <v/>
      </c>
      <c r="AX314" s="525" t="str">
        <f>stat(calculs!AX314)</f>
        <v/>
      </c>
      <c r="AY314" s="525" t="e">
        <f ca="1">stat(calculs!AY314)</f>
        <v>#NAME?</v>
      </c>
      <c r="AZ314" s="525" t="e">
        <f ca="1">stat(calculs!AZ314)</f>
        <v>#NAME?</v>
      </c>
      <c r="BA314" s="525" t="e">
        <f ca="1">stat(calculs!BA314)</f>
        <v>#NAME?</v>
      </c>
      <c r="BB314" s="525" t="e">
        <f ca="1">stat(calculs!BB314)</f>
        <v>#NAME?</v>
      </c>
      <c r="BC314" s="525" t="e">
        <f ca="1">stat(calculs!BC314)</f>
        <v>#NAME?</v>
      </c>
      <c r="BD314" s="525" t="e">
        <f ca="1">stat(calculs!BD314)</f>
        <v>#NAME?</v>
      </c>
      <c r="BE314" s="525" t="e">
        <f ca="1">stat(calculs!BE314)</f>
        <v>#NAME?</v>
      </c>
      <c r="BF314" s="525" t="e">
        <f ca="1">stat(calculs!BF314)</f>
        <v>#NAME?</v>
      </c>
      <c r="BG314" s="729" t="e">
        <f ca="1">stat(calculs!BG314)</f>
        <v>#NAME?</v>
      </c>
      <c r="BH314" s="729" t="e">
        <f ca="1">stat(calculs!BH314)</f>
        <v>#NAME?</v>
      </c>
      <c r="BI314" s="729" t="e">
        <f ca="1">stat(calculs!BI314)</f>
        <v>#NAME?</v>
      </c>
      <c r="BJ314" s="729" t="e">
        <f ca="1">stat(calculs!BJ314)</f>
        <v>#NAME?</v>
      </c>
      <c r="BK314" s="729" t="e">
        <f ca="1">stat(calculs!BK314)</f>
        <v>#NAME?</v>
      </c>
      <c r="BL314" s="525" t="e">
        <f ca="1">stat(calculs!BL314)</f>
        <v>#NAME?</v>
      </c>
      <c r="BM314" s="525" t="e">
        <f ca="1">stat(calculs!BM314)</f>
        <v>#NAME?</v>
      </c>
      <c r="BN314" s="525" t="e">
        <f ca="1">stat(calculs!BN314)</f>
        <v>#NAME?</v>
      </c>
      <c r="BO314" s="525" t="e">
        <f ca="1">stat(calculs!BO314)</f>
        <v>#NAME?</v>
      </c>
      <c r="BP314" s="525" t="e">
        <f ca="1">stat(calculs!BP314)</f>
        <v>#NAME?</v>
      </c>
      <c r="BQ314" s="525" t="e">
        <f ca="1">stat(calculs!BQ314)</f>
        <v>#NAME?</v>
      </c>
      <c r="BR314" s="525" t="e">
        <f ca="1">stat(calculs!BR314)</f>
        <v>#NAME?</v>
      </c>
    </row>
    <row r="315" spans="1:70" x14ac:dyDescent="0.2">
      <c r="A315" s="222">
        <f>données_step[[#This Row],[Datum]]</f>
        <v>44866</v>
      </c>
      <c r="B315" s="223"/>
      <c r="C315" s="224">
        <f t="shared" si="4"/>
        <v>3</v>
      </c>
      <c r="D315" s="523" t="e">
        <f ca="1">stat(charge_entree[[#This Row],[ch_E_DBO5]])</f>
        <v>#NAME?</v>
      </c>
      <c r="E315" s="523" t="e">
        <f ca="1">stat(charge_entree[[#This Row],[ch_E_DCO]])</f>
        <v>#NAME?</v>
      </c>
      <c r="F315" s="523" t="e">
        <f ca="1">stat(charge_entree[[#This Row],[ch_E_COT]])</f>
        <v>#NAME?</v>
      </c>
      <c r="G315" s="523" t="e">
        <f ca="1">stat(charge_entree[[#This Row],[ch_E_NH4]])</f>
        <v>#NAME?</v>
      </c>
      <c r="H315" s="523" t="e">
        <f ca="1">stat(charge_entree[[#This Row],[ch_E_NTOT]])</f>
        <v>#NAME?</v>
      </c>
      <c r="I315" s="523" t="e">
        <f ca="1">stat(charge_entree[[#This Row],[ch_E_PTOT]])</f>
        <v>#NAME?</v>
      </c>
      <c r="J315" s="523" t="e">
        <f ca="1">stat(charge_entree[[#This Row],[ch_S_DBO]])</f>
        <v>#NAME?</v>
      </c>
      <c r="K315" s="523" t="e">
        <f ca="1">stat(charge_entree[[#This Row],[ch_S-DCO]])</f>
        <v>#NAME?</v>
      </c>
      <c r="L315" s="523" t="e">
        <f ca="1">stat(charge_entree[[#This Row],[ch_S_DOC]])</f>
        <v>#NAME?</v>
      </c>
      <c r="M315" s="523" t="e">
        <f ca="1">stat(charge_entree[[#This Row],[ch_S_NH4]])</f>
        <v>#NAME?</v>
      </c>
      <c r="N315" s="523" t="e">
        <f ca="1">stat(charge_entree[[#This Row],[ch_S_NO2]])</f>
        <v>#NAME?</v>
      </c>
      <c r="O315" s="523" t="e">
        <f ca="1">stat(charge_entree[[#This Row],[ch_S_NO3]])</f>
        <v>#NAME?</v>
      </c>
      <c r="P315" s="523" t="e">
        <f ca="1">stat(charge_entree[[#This Row],[ch_S_PTOT]])</f>
        <v>#NAME?</v>
      </c>
      <c r="Q315" s="523" t="e">
        <f ca="1">stat(charge_entree[[#This Row],[ch_S_SNDT]])</f>
        <v>#NAME?</v>
      </c>
      <c r="R315" s="523">
        <f>calculs!R315</f>
        <v>0</v>
      </c>
      <c r="S315" s="523" t="e">
        <f ca="1">stat(calculs!S315)</f>
        <v>#NAME?</v>
      </c>
      <c r="T315" s="523" t="e">
        <f ca="1">stat(calculs!T315)</f>
        <v>#NAME?</v>
      </c>
      <c r="U315" s="523" t="e">
        <f ca="1">stat(calculs!U315)</f>
        <v>#NAME?</v>
      </c>
      <c r="V315" s="523" t="e">
        <f ca="1">stat(calculs!V315)</f>
        <v>#NAME?</v>
      </c>
      <c r="W315" s="523" t="e">
        <f ca="1">stat(calculs!W315)</f>
        <v>#NAME?</v>
      </c>
      <c r="X315" s="523" t="e">
        <f ca="1">stat(calculs!X315)</f>
        <v>#NAME?</v>
      </c>
      <c r="Y315" s="523" t="e">
        <f ca="1">stat(calculs!Y315)</f>
        <v>#NAME?</v>
      </c>
      <c r="Z315" s="523" t="e">
        <f ca="1">stat(calculs!Z315)</f>
        <v>#NAME?</v>
      </c>
      <c r="AA315" s="523" t="e">
        <f ca="1">stat(calculs!AA315)</f>
        <v>#NAME?</v>
      </c>
      <c r="AB315" s="523" t="e">
        <f ca="1">stat(calculs!AB315)</f>
        <v>#NAME?</v>
      </c>
      <c r="AC315" s="523" t="e">
        <f ca="1">stat(calculs!AC315)</f>
        <v>#NAME?</v>
      </c>
      <c r="AD315" s="523" t="e">
        <f ca="1">stat(calculs!AD315)</f>
        <v>#NAME?</v>
      </c>
      <c r="AE315" s="523" t="e">
        <f ca="1">stat(calculs!AE315)</f>
        <v>#NAME?</v>
      </c>
      <c r="AF315" s="523" t="e">
        <f ca="1">stat(calculs!AF315)</f>
        <v>#NAME?</v>
      </c>
      <c r="AG315" s="523" t="e">
        <f ca="1">stat(calculs!AG315)</f>
        <v>#NAME?</v>
      </c>
      <c r="AH315" s="523" t="e">
        <f ca="1">stat(calculs!AH315)</f>
        <v>#NAME?</v>
      </c>
      <c r="AI315" s="523" t="e">
        <f ca="1">stat(calculs!AI315)</f>
        <v>#NAME?</v>
      </c>
      <c r="AJ315" s="523" t="e">
        <f ca="1">stat(calculs!AJ315)</f>
        <v>#NAME?</v>
      </c>
      <c r="AK315" s="523" t="e">
        <f ca="1">stat(calculs!AK315)</f>
        <v>#NAME?</v>
      </c>
      <c r="AL315" s="523" t="e">
        <f ca="1">stat(calculs!AL315)</f>
        <v>#NAME?</v>
      </c>
      <c r="AM315" s="523" t="e">
        <f ca="1">stat(calculs!AM315)</f>
        <v>#NAME?</v>
      </c>
      <c r="AN315" s="523" t="e">
        <f ca="1">stat(calculs!AN315)</f>
        <v>#NAME?</v>
      </c>
      <c r="AO315" s="523" t="e">
        <f ca="1">stat(calculs!AO315)</f>
        <v>#NAME?</v>
      </c>
      <c r="AP315" s="523" t="e">
        <f ca="1">stat(calculs!AP315)</f>
        <v>#NAME?</v>
      </c>
      <c r="AQ315" s="523" t="e">
        <f ca="1">stat(calculs!AQ315)</f>
        <v>#NAME?</v>
      </c>
      <c r="AV315" s="525" t="str">
        <f>stat(calculs!AV315)</f>
        <v/>
      </c>
      <c r="AW315" s="525" t="str">
        <f>stat(calculs!AW315)</f>
        <v/>
      </c>
      <c r="AX315" s="525" t="str">
        <f>stat(calculs!AX315)</f>
        <v/>
      </c>
      <c r="AY315" s="525" t="e">
        <f ca="1">stat(calculs!AY315)</f>
        <v>#NAME?</v>
      </c>
      <c r="AZ315" s="525" t="e">
        <f ca="1">stat(calculs!AZ315)</f>
        <v>#NAME?</v>
      </c>
      <c r="BA315" s="525" t="e">
        <f ca="1">stat(calculs!BA315)</f>
        <v>#NAME?</v>
      </c>
      <c r="BB315" s="525" t="e">
        <f ca="1">stat(calculs!BB315)</f>
        <v>#NAME?</v>
      </c>
      <c r="BC315" s="525" t="e">
        <f ca="1">stat(calculs!BC315)</f>
        <v>#NAME?</v>
      </c>
      <c r="BD315" s="525" t="e">
        <f ca="1">stat(calculs!BD315)</f>
        <v>#NAME?</v>
      </c>
      <c r="BE315" s="525" t="e">
        <f ca="1">stat(calculs!BE315)</f>
        <v>#NAME?</v>
      </c>
      <c r="BF315" s="525" t="e">
        <f ca="1">stat(calculs!BF315)</f>
        <v>#NAME?</v>
      </c>
      <c r="BG315" s="729" t="e">
        <f ca="1">stat(calculs!BG315)</f>
        <v>#NAME?</v>
      </c>
      <c r="BH315" s="729" t="e">
        <f ca="1">stat(calculs!BH315)</f>
        <v>#NAME?</v>
      </c>
      <c r="BI315" s="729" t="e">
        <f ca="1">stat(calculs!BI315)</f>
        <v>#NAME?</v>
      </c>
      <c r="BJ315" s="729" t="e">
        <f ca="1">stat(calculs!BJ315)</f>
        <v>#NAME?</v>
      </c>
      <c r="BK315" s="729" t="e">
        <f ca="1">stat(calculs!BK315)</f>
        <v>#NAME?</v>
      </c>
      <c r="BL315" s="525" t="e">
        <f ca="1">stat(calculs!BL315)</f>
        <v>#NAME?</v>
      </c>
      <c r="BM315" s="525" t="e">
        <f ca="1">stat(calculs!BM315)</f>
        <v>#NAME?</v>
      </c>
      <c r="BN315" s="525" t="e">
        <f ca="1">stat(calculs!BN315)</f>
        <v>#NAME?</v>
      </c>
      <c r="BO315" s="525" t="e">
        <f ca="1">stat(calculs!BO315)</f>
        <v>#NAME?</v>
      </c>
      <c r="BP315" s="525" t="e">
        <f ca="1">stat(calculs!BP315)</f>
        <v>#NAME?</v>
      </c>
      <c r="BQ315" s="525" t="e">
        <f ca="1">stat(calculs!BQ315)</f>
        <v>#NAME?</v>
      </c>
      <c r="BR315" s="525" t="e">
        <f ca="1">stat(calculs!BR315)</f>
        <v>#NAME?</v>
      </c>
    </row>
    <row r="316" spans="1:70" x14ac:dyDescent="0.2">
      <c r="A316" s="222">
        <f>données_step[[#This Row],[Datum]]</f>
        <v>44867</v>
      </c>
      <c r="B316" s="223"/>
      <c r="C316" s="224">
        <f t="shared" si="4"/>
        <v>4</v>
      </c>
      <c r="D316" s="523" t="e">
        <f ca="1">stat(charge_entree[[#This Row],[ch_E_DBO5]])</f>
        <v>#NAME?</v>
      </c>
      <c r="E316" s="523" t="e">
        <f ca="1">stat(charge_entree[[#This Row],[ch_E_DCO]])</f>
        <v>#NAME?</v>
      </c>
      <c r="F316" s="523" t="e">
        <f ca="1">stat(charge_entree[[#This Row],[ch_E_COT]])</f>
        <v>#NAME?</v>
      </c>
      <c r="G316" s="523" t="e">
        <f ca="1">stat(charge_entree[[#This Row],[ch_E_NH4]])</f>
        <v>#NAME?</v>
      </c>
      <c r="H316" s="523" t="e">
        <f ca="1">stat(charge_entree[[#This Row],[ch_E_NTOT]])</f>
        <v>#NAME?</v>
      </c>
      <c r="I316" s="523" t="e">
        <f ca="1">stat(charge_entree[[#This Row],[ch_E_PTOT]])</f>
        <v>#NAME?</v>
      </c>
      <c r="J316" s="523" t="e">
        <f ca="1">stat(charge_entree[[#This Row],[ch_S_DBO]])</f>
        <v>#NAME?</v>
      </c>
      <c r="K316" s="523" t="e">
        <f ca="1">stat(charge_entree[[#This Row],[ch_S-DCO]])</f>
        <v>#NAME?</v>
      </c>
      <c r="L316" s="523" t="e">
        <f ca="1">stat(charge_entree[[#This Row],[ch_S_DOC]])</f>
        <v>#NAME?</v>
      </c>
      <c r="M316" s="523" t="e">
        <f ca="1">stat(charge_entree[[#This Row],[ch_S_NH4]])</f>
        <v>#NAME?</v>
      </c>
      <c r="N316" s="523" t="e">
        <f ca="1">stat(charge_entree[[#This Row],[ch_S_NO2]])</f>
        <v>#NAME?</v>
      </c>
      <c r="O316" s="523" t="e">
        <f ca="1">stat(charge_entree[[#This Row],[ch_S_NO3]])</f>
        <v>#NAME?</v>
      </c>
      <c r="P316" s="523" t="e">
        <f ca="1">stat(charge_entree[[#This Row],[ch_S_PTOT]])</f>
        <v>#NAME?</v>
      </c>
      <c r="Q316" s="523" t="e">
        <f ca="1">stat(charge_entree[[#This Row],[ch_S_SNDT]])</f>
        <v>#NAME?</v>
      </c>
      <c r="R316" s="523">
        <f>calculs!R316</f>
        <v>0</v>
      </c>
      <c r="S316" s="523" t="e">
        <f ca="1">stat(calculs!S316)</f>
        <v>#NAME?</v>
      </c>
      <c r="T316" s="523" t="e">
        <f ca="1">stat(calculs!T316)</f>
        <v>#NAME?</v>
      </c>
      <c r="U316" s="523" t="e">
        <f ca="1">stat(calculs!U316)</f>
        <v>#NAME?</v>
      </c>
      <c r="V316" s="523" t="e">
        <f ca="1">stat(calculs!V316)</f>
        <v>#NAME?</v>
      </c>
      <c r="W316" s="523" t="e">
        <f ca="1">stat(calculs!W316)</f>
        <v>#NAME?</v>
      </c>
      <c r="X316" s="523" t="e">
        <f ca="1">stat(calculs!X316)</f>
        <v>#NAME?</v>
      </c>
      <c r="Y316" s="523" t="e">
        <f ca="1">stat(calculs!Y316)</f>
        <v>#NAME?</v>
      </c>
      <c r="Z316" s="523" t="e">
        <f ca="1">stat(calculs!Z316)</f>
        <v>#NAME?</v>
      </c>
      <c r="AA316" s="523" t="e">
        <f ca="1">stat(calculs!AA316)</f>
        <v>#NAME?</v>
      </c>
      <c r="AB316" s="523" t="e">
        <f ca="1">stat(calculs!AB316)</f>
        <v>#NAME?</v>
      </c>
      <c r="AC316" s="523" t="e">
        <f ca="1">stat(calculs!AC316)</f>
        <v>#NAME?</v>
      </c>
      <c r="AD316" s="523" t="e">
        <f ca="1">stat(calculs!AD316)</f>
        <v>#NAME?</v>
      </c>
      <c r="AE316" s="523" t="e">
        <f ca="1">stat(calculs!AE316)</f>
        <v>#NAME?</v>
      </c>
      <c r="AF316" s="523" t="e">
        <f ca="1">stat(calculs!AF316)</f>
        <v>#NAME?</v>
      </c>
      <c r="AG316" s="523" t="e">
        <f ca="1">stat(calculs!AG316)</f>
        <v>#NAME?</v>
      </c>
      <c r="AH316" s="523" t="e">
        <f ca="1">stat(calculs!AH316)</f>
        <v>#NAME?</v>
      </c>
      <c r="AI316" s="523" t="e">
        <f ca="1">stat(calculs!AI316)</f>
        <v>#NAME?</v>
      </c>
      <c r="AJ316" s="523" t="e">
        <f ca="1">stat(calculs!AJ316)</f>
        <v>#NAME?</v>
      </c>
      <c r="AK316" s="523" t="e">
        <f ca="1">stat(calculs!AK316)</f>
        <v>#NAME?</v>
      </c>
      <c r="AL316" s="523" t="e">
        <f ca="1">stat(calculs!AL316)</f>
        <v>#NAME?</v>
      </c>
      <c r="AM316" s="523" t="e">
        <f ca="1">stat(calculs!AM316)</f>
        <v>#NAME?</v>
      </c>
      <c r="AN316" s="523" t="e">
        <f ca="1">stat(calculs!AN316)</f>
        <v>#NAME?</v>
      </c>
      <c r="AO316" s="523" t="e">
        <f ca="1">stat(calculs!AO316)</f>
        <v>#NAME?</v>
      </c>
      <c r="AP316" s="523" t="e">
        <f ca="1">stat(calculs!AP316)</f>
        <v>#NAME?</v>
      </c>
      <c r="AQ316" s="523" t="e">
        <f ca="1">stat(calculs!AQ316)</f>
        <v>#NAME?</v>
      </c>
      <c r="AV316" s="525" t="str">
        <f>stat(calculs!AV316)</f>
        <v/>
      </c>
      <c r="AW316" s="525" t="str">
        <f>stat(calculs!AW316)</f>
        <v/>
      </c>
      <c r="AX316" s="525" t="str">
        <f>stat(calculs!AX316)</f>
        <v/>
      </c>
      <c r="AY316" s="525" t="e">
        <f ca="1">stat(calculs!AY316)</f>
        <v>#NAME?</v>
      </c>
      <c r="AZ316" s="525" t="e">
        <f ca="1">stat(calculs!AZ316)</f>
        <v>#NAME?</v>
      </c>
      <c r="BA316" s="525" t="e">
        <f ca="1">stat(calculs!BA316)</f>
        <v>#NAME?</v>
      </c>
      <c r="BB316" s="525" t="e">
        <f ca="1">stat(calculs!BB316)</f>
        <v>#NAME?</v>
      </c>
      <c r="BC316" s="525" t="e">
        <f ca="1">stat(calculs!BC316)</f>
        <v>#NAME?</v>
      </c>
      <c r="BD316" s="525" t="e">
        <f ca="1">stat(calculs!BD316)</f>
        <v>#NAME?</v>
      </c>
      <c r="BE316" s="525" t="e">
        <f ca="1">stat(calculs!BE316)</f>
        <v>#NAME?</v>
      </c>
      <c r="BF316" s="525" t="e">
        <f ca="1">stat(calculs!BF316)</f>
        <v>#NAME?</v>
      </c>
      <c r="BG316" s="729" t="e">
        <f ca="1">stat(calculs!BG316)</f>
        <v>#NAME?</v>
      </c>
      <c r="BH316" s="729" t="e">
        <f ca="1">stat(calculs!BH316)</f>
        <v>#NAME?</v>
      </c>
      <c r="BI316" s="729" t="e">
        <f ca="1">stat(calculs!BI316)</f>
        <v>#NAME?</v>
      </c>
      <c r="BJ316" s="729" t="e">
        <f ca="1">stat(calculs!BJ316)</f>
        <v>#NAME?</v>
      </c>
      <c r="BK316" s="729" t="e">
        <f ca="1">stat(calculs!BK316)</f>
        <v>#NAME?</v>
      </c>
      <c r="BL316" s="525" t="e">
        <f ca="1">stat(calculs!BL316)</f>
        <v>#NAME?</v>
      </c>
      <c r="BM316" s="525" t="e">
        <f ca="1">stat(calculs!BM316)</f>
        <v>#NAME?</v>
      </c>
      <c r="BN316" s="525" t="e">
        <f ca="1">stat(calculs!BN316)</f>
        <v>#NAME?</v>
      </c>
      <c r="BO316" s="525" t="e">
        <f ca="1">stat(calculs!BO316)</f>
        <v>#NAME?</v>
      </c>
      <c r="BP316" s="525" t="e">
        <f ca="1">stat(calculs!BP316)</f>
        <v>#NAME?</v>
      </c>
      <c r="BQ316" s="525" t="e">
        <f ca="1">stat(calculs!BQ316)</f>
        <v>#NAME?</v>
      </c>
      <c r="BR316" s="525" t="e">
        <f ca="1">stat(calculs!BR316)</f>
        <v>#NAME?</v>
      </c>
    </row>
    <row r="317" spans="1:70" x14ac:dyDescent="0.2">
      <c r="A317" s="222">
        <f>données_step[[#This Row],[Datum]]</f>
        <v>44868</v>
      </c>
      <c r="B317" s="223"/>
      <c r="C317" s="224">
        <f t="shared" si="4"/>
        <v>5</v>
      </c>
      <c r="D317" s="523" t="e">
        <f ca="1">stat(charge_entree[[#This Row],[ch_E_DBO5]])</f>
        <v>#NAME?</v>
      </c>
      <c r="E317" s="523" t="e">
        <f ca="1">stat(charge_entree[[#This Row],[ch_E_DCO]])</f>
        <v>#NAME?</v>
      </c>
      <c r="F317" s="523" t="e">
        <f ca="1">stat(charge_entree[[#This Row],[ch_E_COT]])</f>
        <v>#NAME?</v>
      </c>
      <c r="G317" s="523" t="e">
        <f ca="1">stat(charge_entree[[#This Row],[ch_E_NH4]])</f>
        <v>#NAME?</v>
      </c>
      <c r="H317" s="523" t="e">
        <f ca="1">stat(charge_entree[[#This Row],[ch_E_NTOT]])</f>
        <v>#NAME?</v>
      </c>
      <c r="I317" s="523" t="e">
        <f ca="1">stat(charge_entree[[#This Row],[ch_E_PTOT]])</f>
        <v>#NAME?</v>
      </c>
      <c r="J317" s="523" t="e">
        <f ca="1">stat(charge_entree[[#This Row],[ch_S_DBO]])</f>
        <v>#NAME?</v>
      </c>
      <c r="K317" s="523" t="e">
        <f ca="1">stat(charge_entree[[#This Row],[ch_S-DCO]])</f>
        <v>#NAME?</v>
      </c>
      <c r="L317" s="523" t="e">
        <f ca="1">stat(charge_entree[[#This Row],[ch_S_DOC]])</f>
        <v>#NAME?</v>
      </c>
      <c r="M317" s="523" t="e">
        <f ca="1">stat(charge_entree[[#This Row],[ch_S_NH4]])</f>
        <v>#NAME?</v>
      </c>
      <c r="N317" s="523" t="e">
        <f ca="1">stat(charge_entree[[#This Row],[ch_S_NO2]])</f>
        <v>#NAME?</v>
      </c>
      <c r="O317" s="523" t="e">
        <f ca="1">stat(charge_entree[[#This Row],[ch_S_NO3]])</f>
        <v>#NAME?</v>
      </c>
      <c r="P317" s="523" t="e">
        <f ca="1">stat(charge_entree[[#This Row],[ch_S_PTOT]])</f>
        <v>#NAME?</v>
      </c>
      <c r="Q317" s="523" t="e">
        <f ca="1">stat(charge_entree[[#This Row],[ch_S_SNDT]])</f>
        <v>#NAME?</v>
      </c>
      <c r="R317" s="523">
        <f>calculs!R317</f>
        <v>0</v>
      </c>
      <c r="S317" s="523" t="e">
        <f ca="1">stat(calculs!S317)</f>
        <v>#NAME?</v>
      </c>
      <c r="T317" s="523" t="e">
        <f ca="1">stat(calculs!T317)</f>
        <v>#NAME?</v>
      </c>
      <c r="U317" s="523" t="e">
        <f ca="1">stat(calculs!U317)</f>
        <v>#NAME?</v>
      </c>
      <c r="V317" s="523" t="e">
        <f ca="1">stat(calculs!V317)</f>
        <v>#NAME?</v>
      </c>
      <c r="W317" s="523" t="e">
        <f ca="1">stat(calculs!W317)</f>
        <v>#NAME?</v>
      </c>
      <c r="X317" s="523" t="e">
        <f ca="1">stat(calculs!X317)</f>
        <v>#NAME?</v>
      </c>
      <c r="Y317" s="523" t="e">
        <f ca="1">stat(calculs!Y317)</f>
        <v>#NAME?</v>
      </c>
      <c r="Z317" s="523" t="e">
        <f ca="1">stat(calculs!Z317)</f>
        <v>#NAME?</v>
      </c>
      <c r="AA317" s="523" t="e">
        <f ca="1">stat(calculs!AA317)</f>
        <v>#NAME?</v>
      </c>
      <c r="AB317" s="523" t="e">
        <f ca="1">stat(calculs!AB317)</f>
        <v>#NAME?</v>
      </c>
      <c r="AC317" s="523" t="e">
        <f ca="1">stat(calculs!AC317)</f>
        <v>#NAME?</v>
      </c>
      <c r="AD317" s="523" t="e">
        <f ca="1">stat(calculs!AD317)</f>
        <v>#NAME?</v>
      </c>
      <c r="AE317" s="523" t="e">
        <f ca="1">stat(calculs!AE317)</f>
        <v>#NAME?</v>
      </c>
      <c r="AF317" s="523" t="e">
        <f ca="1">stat(calculs!AF317)</f>
        <v>#NAME?</v>
      </c>
      <c r="AG317" s="523" t="e">
        <f ca="1">stat(calculs!AG317)</f>
        <v>#NAME?</v>
      </c>
      <c r="AH317" s="523" t="e">
        <f ca="1">stat(calculs!AH317)</f>
        <v>#NAME?</v>
      </c>
      <c r="AI317" s="523" t="e">
        <f ca="1">stat(calculs!AI317)</f>
        <v>#NAME?</v>
      </c>
      <c r="AJ317" s="523" t="e">
        <f ca="1">stat(calculs!AJ317)</f>
        <v>#NAME?</v>
      </c>
      <c r="AK317" s="523" t="e">
        <f ca="1">stat(calculs!AK317)</f>
        <v>#NAME?</v>
      </c>
      <c r="AL317" s="523" t="e">
        <f ca="1">stat(calculs!AL317)</f>
        <v>#NAME?</v>
      </c>
      <c r="AM317" s="523" t="e">
        <f ca="1">stat(calculs!AM317)</f>
        <v>#NAME?</v>
      </c>
      <c r="AN317" s="523" t="e">
        <f ca="1">stat(calculs!AN317)</f>
        <v>#NAME?</v>
      </c>
      <c r="AO317" s="523" t="e">
        <f ca="1">stat(calculs!AO317)</f>
        <v>#NAME?</v>
      </c>
      <c r="AP317" s="523" t="e">
        <f ca="1">stat(calculs!AP317)</f>
        <v>#NAME?</v>
      </c>
      <c r="AQ317" s="523" t="e">
        <f ca="1">stat(calculs!AQ317)</f>
        <v>#NAME?</v>
      </c>
      <c r="AV317" s="525" t="str">
        <f>stat(calculs!AV317)</f>
        <v/>
      </c>
      <c r="AW317" s="525" t="str">
        <f>stat(calculs!AW317)</f>
        <v/>
      </c>
      <c r="AX317" s="525" t="str">
        <f>stat(calculs!AX317)</f>
        <v/>
      </c>
      <c r="AY317" s="525" t="e">
        <f ca="1">stat(calculs!AY317)</f>
        <v>#NAME?</v>
      </c>
      <c r="AZ317" s="525" t="e">
        <f ca="1">stat(calculs!AZ317)</f>
        <v>#NAME?</v>
      </c>
      <c r="BA317" s="525" t="e">
        <f ca="1">stat(calculs!BA317)</f>
        <v>#NAME?</v>
      </c>
      <c r="BB317" s="525" t="e">
        <f ca="1">stat(calculs!BB317)</f>
        <v>#NAME?</v>
      </c>
      <c r="BC317" s="525" t="e">
        <f ca="1">stat(calculs!BC317)</f>
        <v>#NAME?</v>
      </c>
      <c r="BD317" s="525" t="e">
        <f ca="1">stat(calculs!BD317)</f>
        <v>#NAME?</v>
      </c>
      <c r="BE317" s="525" t="e">
        <f ca="1">stat(calculs!BE317)</f>
        <v>#NAME?</v>
      </c>
      <c r="BF317" s="525" t="e">
        <f ca="1">stat(calculs!BF317)</f>
        <v>#NAME?</v>
      </c>
      <c r="BG317" s="729" t="e">
        <f ca="1">stat(calculs!BG317)</f>
        <v>#NAME?</v>
      </c>
      <c r="BH317" s="729" t="e">
        <f ca="1">stat(calculs!BH317)</f>
        <v>#NAME?</v>
      </c>
      <c r="BI317" s="729" t="e">
        <f ca="1">stat(calculs!BI317)</f>
        <v>#NAME?</v>
      </c>
      <c r="BJ317" s="729" t="e">
        <f ca="1">stat(calculs!BJ317)</f>
        <v>#NAME?</v>
      </c>
      <c r="BK317" s="729" t="e">
        <f ca="1">stat(calculs!BK317)</f>
        <v>#NAME?</v>
      </c>
      <c r="BL317" s="525" t="e">
        <f ca="1">stat(calculs!BL317)</f>
        <v>#NAME?</v>
      </c>
      <c r="BM317" s="525" t="e">
        <f ca="1">stat(calculs!BM317)</f>
        <v>#NAME?</v>
      </c>
      <c r="BN317" s="525" t="e">
        <f ca="1">stat(calculs!BN317)</f>
        <v>#NAME?</v>
      </c>
      <c r="BO317" s="525" t="e">
        <f ca="1">stat(calculs!BO317)</f>
        <v>#NAME?</v>
      </c>
      <c r="BP317" s="525" t="e">
        <f ca="1">stat(calculs!BP317)</f>
        <v>#NAME?</v>
      </c>
      <c r="BQ317" s="525" t="e">
        <f ca="1">stat(calculs!BQ317)</f>
        <v>#NAME?</v>
      </c>
      <c r="BR317" s="525" t="e">
        <f ca="1">stat(calculs!BR317)</f>
        <v>#NAME?</v>
      </c>
    </row>
    <row r="318" spans="1:70" x14ac:dyDescent="0.2">
      <c r="A318" s="222">
        <f>données_step[[#This Row],[Datum]]</f>
        <v>44869</v>
      </c>
      <c r="B318" s="223"/>
      <c r="C318" s="224">
        <f t="shared" si="4"/>
        <v>6</v>
      </c>
      <c r="D318" s="523" t="e">
        <f ca="1">stat(charge_entree[[#This Row],[ch_E_DBO5]])</f>
        <v>#NAME?</v>
      </c>
      <c r="E318" s="523" t="e">
        <f ca="1">stat(charge_entree[[#This Row],[ch_E_DCO]])</f>
        <v>#NAME?</v>
      </c>
      <c r="F318" s="523" t="e">
        <f ca="1">stat(charge_entree[[#This Row],[ch_E_COT]])</f>
        <v>#NAME?</v>
      </c>
      <c r="G318" s="523" t="e">
        <f ca="1">stat(charge_entree[[#This Row],[ch_E_NH4]])</f>
        <v>#NAME?</v>
      </c>
      <c r="H318" s="523" t="e">
        <f ca="1">stat(charge_entree[[#This Row],[ch_E_NTOT]])</f>
        <v>#NAME?</v>
      </c>
      <c r="I318" s="523" t="e">
        <f ca="1">stat(charge_entree[[#This Row],[ch_E_PTOT]])</f>
        <v>#NAME?</v>
      </c>
      <c r="J318" s="523" t="e">
        <f ca="1">stat(charge_entree[[#This Row],[ch_S_DBO]])</f>
        <v>#NAME?</v>
      </c>
      <c r="K318" s="523" t="e">
        <f ca="1">stat(charge_entree[[#This Row],[ch_S-DCO]])</f>
        <v>#NAME?</v>
      </c>
      <c r="L318" s="523" t="e">
        <f ca="1">stat(charge_entree[[#This Row],[ch_S_DOC]])</f>
        <v>#NAME?</v>
      </c>
      <c r="M318" s="523" t="e">
        <f ca="1">stat(charge_entree[[#This Row],[ch_S_NH4]])</f>
        <v>#NAME?</v>
      </c>
      <c r="N318" s="523" t="e">
        <f ca="1">stat(charge_entree[[#This Row],[ch_S_NO2]])</f>
        <v>#NAME?</v>
      </c>
      <c r="O318" s="523" t="e">
        <f ca="1">stat(charge_entree[[#This Row],[ch_S_NO3]])</f>
        <v>#NAME?</v>
      </c>
      <c r="P318" s="523" t="e">
        <f ca="1">stat(charge_entree[[#This Row],[ch_S_PTOT]])</f>
        <v>#NAME?</v>
      </c>
      <c r="Q318" s="523" t="e">
        <f ca="1">stat(charge_entree[[#This Row],[ch_S_SNDT]])</f>
        <v>#NAME?</v>
      </c>
      <c r="R318" s="523">
        <f>calculs!R318</f>
        <v>0</v>
      </c>
      <c r="S318" s="523" t="e">
        <f ca="1">stat(calculs!S318)</f>
        <v>#NAME?</v>
      </c>
      <c r="T318" s="523" t="e">
        <f ca="1">stat(calculs!T318)</f>
        <v>#NAME?</v>
      </c>
      <c r="U318" s="523" t="e">
        <f ca="1">stat(calculs!U318)</f>
        <v>#NAME?</v>
      </c>
      <c r="V318" s="523" t="e">
        <f ca="1">stat(calculs!V318)</f>
        <v>#NAME?</v>
      </c>
      <c r="W318" s="523" t="e">
        <f ca="1">stat(calculs!W318)</f>
        <v>#NAME?</v>
      </c>
      <c r="X318" s="523" t="e">
        <f ca="1">stat(calculs!X318)</f>
        <v>#NAME?</v>
      </c>
      <c r="Y318" s="523" t="e">
        <f ca="1">stat(calculs!Y318)</f>
        <v>#NAME?</v>
      </c>
      <c r="Z318" s="523" t="e">
        <f ca="1">stat(calculs!Z318)</f>
        <v>#NAME?</v>
      </c>
      <c r="AA318" s="523" t="e">
        <f ca="1">stat(calculs!AA318)</f>
        <v>#NAME?</v>
      </c>
      <c r="AB318" s="523" t="e">
        <f ca="1">stat(calculs!AB318)</f>
        <v>#NAME?</v>
      </c>
      <c r="AC318" s="523" t="e">
        <f ca="1">stat(calculs!AC318)</f>
        <v>#NAME?</v>
      </c>
      <c r="AD318" s="523" t="e">
        <f ca="1">stat(calculs!AD318)</f>
        <v>#NAME?</v>
      </c>
      <c r="AE318" s="523" t="e">
        <f ca="1">stat(calculs!AE318)</f>
        <v>#NAME?</v>
      </c>
      <c r="AF318" s="523" t="e">
        <f ca="1">stat(calculs!AF318)</f>
        <v>#NAME?</v>
      </c>
      <c r="AG318" s="523" t="e">
        <f ca="1">stat(calculs!AG318)</f>
        <v>#NAME?</v>
      </c>
      <c r="AH318" s="523" t="e">
        <f ca="1">stat(calculs!AH318)</f>
        <v>#NAME?</v>
      </c>
      <c r="AI318" s="523" t="e">
        <f ca="1">stat(calculs!AI318)</f>
        <v>#NAME?</v>
      </c>
      <c r="AJ318" s="523" t="e">
        <f ca="1">stat(calculs!AJ318)</f>
        <v>#NAME?</v>
      </c>
      <c r="AK318" s="523" t="e">
        <f ca="1">stat(calculs!AK318)</f>
        <v>#NAME?</v>
      </c>
      <c r="AL318" s="523" t="e">
        <f ca="1">stat(calculs!AL318)</f>
        <v>#NAME?</v>
      </c>
      <c r="AM318" s="523" t="e">
        <f ca="1">stat(calculs!AM318)</f>
        <v>#NAME?</v>
      </c>
      <c r="AN318" s="523" t="e">
        <f ca="1">stat(calculs!AN318)</f>
        <v>#NAME?</v>
      </c>
      <c r="AO318" s="523" t="e">
        <f ca="1">stat(calculs!AO318)</f>
        <v>#NAME?</v>
      </c>
      <c r="AP318" s="523" t="e">
        <f ca="1">stat(calculs!AP318)</f>
        <v>#NAME?</v>
      </c>
      <c r="AQ318" s="523" t="e">
        <f ca="1">stat(calculs!AQ318)</f>
        <v>#NAME?</v>
      </c>
      <c r="AV318" s="525" t="str">
        <f>stat(calculs!AV318)</f>
        <v/>
      </c>
      <c r="AW318" s="525" t="str">
        <f>stat(calculs!AW318)</f>
        <v/>
      </c>
      <c r="AX318" s="525" t="str">
        <f>stat(calculs!AX318)</f>
        <v/>
      </c>
      <c r="AY318" s="525" t="e">
        <f ca="1">stat(calculs!AY318)</f>
        <v>#NAME?</v>
      </c>
      <c r="AZ318" s="525" t="e">
        <f ca="1">stat(calculs!AZ318)</f>
        <v>#NAME?</v>
      </c>
      <c r="BA318" s="525" t="e">
        <f ca="1">stat(calculs!BA318)</f>
        <v>#NAME?</v>
      </c>
      <c r="BB318" s="525" t="e">
        <f ca="1">stat(calculs!BB318)</f>
        <v>#NAME?</v>
      </c>
      <c r="BC318" s="525" t="e">
        <f ca="1">stat(calculs!BC318)</f>
        <v>#NAME?</v>
      </c>
      <c r="BD318" s="525" t="e">
        <f ca="1">stat(calculs!BD318)</f>
        <v>#NAME?</v>
      </c>
      <c r="BE318" s="525" t="e">
        <f ca="1">stat(calculs!BE318)</f>
        <v>#NAME?</v>
      </c>
      <c r="BF318" s="525" t="e">
        <f ca="1">stat(calculs!BF318)</f>
        <v>#NAME?</v>
      </c>
      <c r="BG318" s="729" t="e">
        <f ca="1">stat(calculs!BG318)</f>
        <v>#NAME?</v>
      </c>
      <c r="BH318" s="729" t="e">
        <f ca="1">stat(calculs!BH318)</f>
        <v>#NAME?</v>
      </c>
      <c r="BI318" s="729" t="e">
        <f ca="1">stat(calculs!BI318)</f>
        <v>#NAME?</v>
      </c>
      <c r="BJ318" s="729" t="e">
        <f ca="1">stat(calculs!BJ318)</f>
        <v>#NAME?</v>
      </c>
      <c r="BK318" s="729" t="e">
        <f ca="1">stat(calculs!BK318)</f>
        <v>#NAME?</v>
      </c>
      <c r="BL318" s="525" t="e">
        <f ca="1">stat(calculs!BL318)</f>
        <v>#NAME?</v>
      </c>
      <c r="BM318" s="525" t="e">
        <f ca="1">stat(calculs!BM318)</f>
        <v>#NAME?</v>
      </c>
      <c r="BN318" s="525" t="e">
        <f ca="1">stat(calculs!BN318)</f>
        <v>#NAME?</v>
      </c>
      <c r="BO318" s="525" t="e">
        <f ca="1">stat(calculs!BO318)</f>
        <v>#NAME?</v>
      </c>
      <c r="BP318" s="525" t="e">
        <f ca="1">stat(calculs!BP318)</f>
        <v>#NAME?</v>
      </c>
      <c r="BQ318" s="525" t="e">
        <f ca="1">stat(calculs!BQ318)</f>
        <v>#NAME?</v>
      </c>
      <c r="BR318" s="525" t="e">
        <f ca="1">stat(calculs!BR318)</f>
        <v>#NAME?</v>
      </c>
    </row>
    <row r="319" spans="1:70" x14ac:dyDescent="0.2">
      <c r="A319" s="222">
        <f>données_step[[#This Row],[Datum]]</f>
        <v>44870</v>
      </c>
      <c r="B319" s="223"/>
      <c r="C319" s="224">
        <f t="shared" si="4"/>
        <v>7</v>
      </c>
      <c r="D319" s="523" t="e">
        <f ca="1">stat(charge_entree[[#This Row],[ch_E_DBO5]])</f>
        <v>#NAME?</v>
      </c>
      <c r="E319" s="523" t="e">
        <f ca="1">stat(charge_entree[[#This Row],[ch_E_DCO]])</f>
        <v>#NAME?</v>
      </c>
      <c r="F319" s="523" t="e">
        <f ca="1">stat(charge_entree[[#This Row],[ch_E_COT]])</f>
        <v>#NAME?</v>
      </c>
      <c r="G319" s="523" t="e">
        <f ca="1">stat(charge_entree[[#This Row],[ch_E_NH4]])</f>
        <v>#NAME?</v>
      </c>
      <c r="H319" s="523" t="e">
        <f ca="1">stat(charge_entree[[#This Row],[ch_E_NTOT]])</f>
        <v>#NAME?</v>
      </c>
      <c r="I319" s="523" t="e">
        <f ca="1">stat(charge_entree[[#This Row],[ch_E_PTOT]])</f>
        <v>#NAME?</v>
      </c>
      <c r="J319" s="523" t="e">
        <f ca="1">stat(charge_entree[[#This Row],[ch_S_DBO]])</f>
        <v>#NAME?</v>
      </c>
      <c r="K319" s="523" t="e">
        <f ca="1">stat(charge_entree[[#This Row],[ch_S-DCO]])</f>
        <v>#NAME?</v>
      </c>
      <c r="L319" s="523" t="e">
        <f ca="1">stat(charge_entree[[#This Row],[ch_S_DOC]])</f>
        <v>#NAME?</v>
      </c>
      <c r="M319" s="523" t="e">
        <f ca="1">stat(charge_entree[[#This Row],[ch_S_NH4]])</f>
        <v>#NAME?</v>
      </c>
      <c r="N319" s="523" t="e">
        <f ca="1">stat(charge_entree[[#This Row],[ch_S_NO2]])</f>
        <v>#NAME?</v>
      </c>
      <c r="O319" s="523" t="e">
        <f ca="1">stat(charge_entree[[#This Row],[ch_S_NO3]])</f>
        <v>#NAME?</v>
      </c>
      <c r="P319" s="523" t="e">
        <f ca="1">stat(charge_entree[[#This Row],[ch_S_PTOT]])</f>
        <v>#NAME?</v>
      </c>
      <c r="Q319" s="523" t="e">
        <f ca="1">stat(charge_entree[[#This Row],[ch_S_SNDT]])</f>
        <v>#NAME?</v>
      </c>
      <c r="R319" s="523">
        <f>calculs!R319</f>
        <v>0</v>
      </c>
      <c r="S319" s="523" t="e">
        <f ca="1">stat(calculs!S319)</f>
        <v>#NAME?</v>
      </c>
      <c r="T319" s="523" t="e">
        <f ca="1">stat(calculs!T319)</f>
        <v>#NAME?</v>
      </c>
      <c r="U319" s="523" t="e">
        <f ca="1">stat(calculs!U319)</f>
        <v>#NAME?</v>
      </c>
      <c r="V319" s="523" t="e">
        <f ca="1">stat(calculs!V319)</f>
        <v>#NAME?</v>
      </c>
      <c r="W319" s="523" t="e">
        <f ca="1">stat(calculs!W319)</f>
        <v>#NAME?</v>
      </c>
      <c r="X319" s="523" t="e">
        <f ca="1">stat(calculs!X319)</f>
        <v>#NAME?</v>
      </c>
      <c r="Y319" s="523" t="e">
        <f ca="1">stat(calculs!Y319)</f>
        <v>#NAME?</v>
      </c>
      <c r="Z319" s="523" t="e">
        <f ca="1">stat(calculs!Z319)</f>
        <v>#NAME?</v>
      </c>
      <c r="AA319" s="523" t="e">
        <f ca="1">stat(calculs!AA319)</f>
        <v>#NAME?</v>
      </c>
      <c r="AB319" s="523" t="e">
        <f ca="1">stat(calculs!AB319)</f>
        <v>#NAME?</v>
      </c>
      <c r="AC319" s="523" t="e">
        <f ca="1">stat(calculs!AC319)</f>
        <v>#NAME?</v>
      </c>
      <c r="AD319" s="523" t="e">
        <f ca="1">stat(calculs!AD319)</f>
        <v>#NAME?</v>
      </c>
      <c r="AE319" s="523" t="e">
        <f ca="1">stat(calculs!AE319)</f>
        <v>#NAME?</v>
      </c>
      <c r="AF319" s="523" t="e">
        <f ca="1">stat(calculs!AF319)</f>
        <v>#NAME?</v>
      </c>
      <c r="AG319" s="523" t="e">
        <f ca="1">stat(calculs!AG319)</f>
        <v>#NAME?</v>
      </c>
      <c r="AH319" s="523" t="e">
        <f ca="1">stat(calculs!AH319)</f>
        <v>#NAME?</v>
      </c>
      <c r="AI319" s="523" t="e">
        <f ca="1">stat(calculs!AI319)</f>
        <v>#NAME?</v>
      </c>
      <c r="AJ319" s="523" t="e">
        <f ca="1">stat(calculs!AJ319)</f>
        <v>#NAME?</v>
      </c>
      <c r="AK319" s="523" t="e">
        <f ca="1">stat(calculs!AK319)</f>
        <v>#NAME?</v>
      </c>
      <c r="AL319" s="523" t="e">
        <f ca="1">stat(calculs!AL319)</f>
        <v>#NAME?</v>
      </c>
      <c r="AM319" s="523" t="e">
        <f ca="1">stat(calculs!AM319)</f>
        <v>#NAME?</v>
      </c>
      <c r="AN319" s="523" t="e">
        <f ca="1">stat(calculs!AN319)</f>
        <v>#NAME?</v>
      </c>
      <c r="AO319" s="523" t="e">
        <f ca="1">stat(calculs!AO319)</f>
        <v>#NAME?</v>
      </c>
      <c r="AP319" s="523" t="e">
        <f ca="1">stat(calculs!AP319)</f>
        <v>#NAME?</v>
      </c>
      <c r="AQ319" s="523" t="e">
        <f ca="1">stat(calculs!AQ319)</f>
        <v>#NAME?</v>
      </c>
      <c r="AV319" s="525" t="str">
        <f>stat(calculs!AV319)</f>
        <v/>
      </c>
      <c r="AW319" s="525" t="str">
        <f>stat(calculs!AW319)</f>
        <v/>
      </c>
      <c r="AX319" s="525" t="str">
        <f>stat(calculs!AX319)</f>
        <v/>
      </c>
      <c r="AY319" s="525" t="e">
        <f ca="1">stat(calculs!AY319)</f>
        <v>#NAME?</v>
      </c>
      <c r="AZ319" s="525" t="e">
        <f ca="1">stat(calculs!AZ319)</f>
        <v>#NAME?</v>
      </c>
      <c r="BA319" s="525" t="e">
        <f ca="1">stat(calculs!BA319)</f>
        <v>#NAME?</v>
      </c>
      <c r="BB319" s="525" t="e">
        <f ca="1">stat(calculs!BB319)</f>
        <v>#NAME?</v>
      </c>
      <c r="BC319" s="525" t="e">
        <f ca="1">stat(calculs!BC319)</f>
        <v>#NAME?</v>
      </c>
      <c r="BD319" s="525" t="e">
        <f ca="1">stat(calculs!BD319)</f>
        <v>#NAME?</v>
      </c>
      <c r="BE319" s="525" t="e">
        <f ca="1">stat(calculs!BE319)</f>
        <v>#NAME?</v>
      </c>
      <c r="BF319" s="525" t="e">
        <f ca="1">stat(calculs!BF319)</f>
        <v>#NAME?</v>
      </c>
      <c r="BG319" s="729" t="e">
        <f ca="1">stat(calculs!BG319)</f>
        <v>#NAME?</v>
      </c>
      <c r="BH319" s="729" t="e">
        <f ca="1">stat(calculs!BH319)</f>
        <v>#NAME?</v>
      </c>
      <c r="BI319" s="729" t="e">
        <f ca="1">stat(calculs!BI319)</f>
        <v>#NAME?</v>
      </c>
      <c r="BJ319" s="729" t="e">
        <f ca="1">stat(calculs!BJ319)</f>
        <v>#NAME?</v>
      </c>
      <c r="BK319" s="729" t="e">
        <f ca="1">stat(calculs!BK319)</f>
        <v>#NAME?</v>
      </c>
      <c r="BL319" s="525" t="e">
        <f ca="1">stat(calculs!BL319)</f>
        <v>#NAME?</v>
      </c>
      <c r="BM319" s="525" t="e">
        <f ca="1">stat(calculs!BM319)</f>
        <v>#NAME?</v>
      </c>
      <c r="BN319" s="525" t="e">
        <f ca="1">stat(calculs!BN319)</f>
        <v>#NAME?</v>
      </c>
      <c r="BO319" s="525" t="e">
        <f ca="1">stat(calculs!BO319)</f>
        <v>#NAME?</v>
      </c>
      <c r="BP319" s="525" t="e">
        <f ca="1">stat(calculs!BP319)</f>
        <v>#NAME?</v>
      </c>
      <c r="BQ319" s="525" t="e">
        <f ca="1">stat(calculs!BQ319)</f>
        <v>#NAME?</v>
      </c>
      <c r="BR319" s="525" t="e">
        <f ca="1">stat(calculs!BR319)</f>
        <v>#NAME?</v>
      </c>
    </row>
    <row r="320" spans="1:70" x14ac:dyDescent="0.2">
      <c r="A320" s="222">
        <f>données_step[[#This Row],[Datum]]</f>
        <v>44871</v>
      </c>
      <c r="B320" s="223"/>
      <c r="C320" s="224">
        <f t="shared" si="4"/>
        <v>1</v>
      </c>
      <c r="D320" s="523" t="e">
        <f ca="1">stat(charge_entree[[#This Row],[ch_E_DBO5]])</f>
        <v>#NAME?</v>
      </c>
      <c r="E320" s="523" t="e">
        <f ca="1">stat(charge_entree[[#This Row],[ch_E_DCO]])</f>
        <v>#NAME?</v>
      </c>
      <c r="F320" s="523" t="e">
        <f ca="1">stat(charge_entree[[#This Row],[ch_E_COT]])</f>
        <v>#NAME?</v>
      </c>
      <c r="G320" s="523" t="e">
        <f ca="1">stat(charge_entree[[#This Row],[ch_E_NH4]])</f>
        <v>#NAME?</v>
      </c>
      <c r="H320" s="523" t="e">
        <f ca="1">stat(charge_entree[[#This Row],[ch_E_NTOT]])</f>
        <v>#NAME?</v>
      </c>
      <c r="I320" s="523" t="e">
        <f ca="1">stat(charge_entree[[#This Row],[ch_E_PTOT]])</f>
        <v>#NAME?</v>
      </c>
      <c r="J320" s="523" t="e">
        <f ca="1">stat(charge_entree[[#This Row],[ch_S_DBO]])</f>
        <v>#NAME?</v>
      </c>
      <c r="K320" s="523" t="e">
        <f ca="1">stat(charge_entree[[#This Row],[ch_S-DCO]])</f>
        <v>#NAME?</v>
      </c>
      <c r="L320" s="523" t="e">
        <f ca="1">stat(charge_entree[[#This Row],[ch_S_DOC]])</f>
        <v>#NAME?</v>
      </c>
      <c r="M320" s="523" t="e">
        <f ca="1">stat(charge_entree[[#This Row],[ch_S_NH4]])</f>
        <v>#NAME?</v>
      </c>
      <c r="N320" s="523" t="e">
        <f ca="1">stat(charge_entree[[#This Row],[ch_S_NO2]])</f>
        <v>#NAME?</v>
      </c>
      <c r="O320" s="523" t="e">
        <f ca="1">stat(charge_entree[[#This Row],[ch_S_NO3]])</f>
        <v>#NAME?</v>
      </c>
      <c r="P320" s="523" t="e">
        <f ca="1">stat(charge_entree[[#This Row],[ch_S_PTOT]])</f>
        <v>#NAME?</v>
      </c>
      <c r="Q320" s="523" t="e">
        <f ca="1">stat(charge_entree[[#This Row],[ch_S_SNDT]])</f>
        <v>#NAME?</v>
      </c>
      <c r="R320" s="523">
        <f>calculs!R320</f>
        <v>0</v>
      </c>
      <c r="S320" s="523" t="e">
        <f ca="1">stat(calculs!S320)</f>
        <v>#NAME?</v>
      </c>
      <c r="T320" s="523" t="e">
        <f ca="1">stat(calculs!T320)</f>
        <v>#NAME?</v>
      </c>
      <c r="U320" s="523" t="e">
        <f ca="1">stat(calculs!U320)</f>
        <v>#NAME?</v>
      </c>
      <c r="V320" s="523" t="e">
        <f ca="1">stat(calculs!V320)</f>
        <v>#NAME?</v>
      </c>
      <c r="W320" s="523" t="e">
        <f ca="1">stat(calculs!W320)</f>
        <v>#NAME?</v>
      </c>
      <c r="X320" s="523" t="e">
        <f ca="1">stat(calculs!X320)</f>
        <v>#NAME?</v>
      </c>
      <c r="Y320" s="523" t="e">
        <f ca="1">stat(calculs!Y320)</f>
        <v>#NAME?</v>
      </c>
      <c r="Z320" s="523" t="e">
        <f ca="1">stat(calculs!Z320)</f>
        <v>#NAME?</v>
      </c>
      <c r="AA320" s="523" t="e">
        <f ca="1">stat(calculs!AA320)</f>
        <v>#NAME?</v>
      </c>
      <c r="AB320" s="523" t="e">
        <f ca="1">stat(calculs!AB320)</f>
        <v>#NAME?</v>
      </c>
      <c r="AC320" s="523" t="e">
        <f ca="1">stat(calculs!AC320)</f>
        <v>#NAME?</v>
      </c>
      <c r="AD320" s="523" t="e">
        <f ca="1">stat(calculs!AD320)</f>
        <v>#NAME?</v>
      </c>
      <c r="AE320" s="523" t="e">
        <f ca="1">stat(calculs!AE320)</f>
        <v>#NAME?</v>
      </c>
      <c r="AF320" s="523" t="e">
        <f ca="1">stat(calculs!AF320)</f>
        <v>#NAME?</v>
      </c>
      <c r="AG320" s="523" t="e">
        <f ca="1">stat(calculs!AG320)</f>
        <v>#NAME?</v>
      </c>
      <c r="AH320" s="523" t="e">
        <f ca="1">stat(calculs!AH320)</f>
        <v>#NAME?</v>
      </c>
      <c r="AI320" s="523" t="e">
        <f ca="1">stat(calculs!AI320)</f>
        <v>#NAME?</v>
      </c>
      <c r="AJ320" s="523" t="e">
        <f ca="1">stat(calculs!AJ320)</f>
        <v>#NAME?</v>
      </c>
      <c r="AK320" s="523" t="e">
        <f ca="1">stat(calculs!AK320)</f>
        <v>#NAME?</v>
      </c>
      <c r="AL320" s="523" t="e">
        <f ca="1">stat(calculs!AL320)</f>
        <v>#NAME?</v>
      </c>
      <c r="AM320" s="523" t="e">
        <f ca="1">stat(calculs!AM320)</f>
        <v>#NAME?</v>
      </c>
      <c r="AN320" s="523" t="e">
        <f ca="1">stat(calculs!AN320)</f>
        <v>#NAME?</v>
      </c>
      <c r="AO320" s="523" t="e">
        <f ca="1">stat(calculs!AO320)</f>
        <v>#NAME?</v>
      </c>
      <c r="AP320" s="523" t="e">
        <f ca="1">stat(calculs!AP320)</f>
        <v>#NAME?</v>
      </c>
      <c r="AQ320" s="523" t="e">
        <f ca="1">stat(calculs!AQ320)</f>
        <v>#NAME?</v>
      </c>
      <c r="AV320" s="525" t="str">
        <f>stat(calculs!AV320)</f>
        <v/>
      </c>
      <c r="AW320" s="525" t="str">
        <f>stat(calculs!AW320)</f>
        <v/>
      </c>
      <c r="AX320" s="525" t="str">
        <f>stat(calculs!AX320)</f>
        <v/>
      </c>
      <c r="AY320" s="525" t="e">
        <f ca="1">stat(calculs!AY320)</f>
        <v>#NAME?</v>
      </c>
      <c r="AZ320" s="525" t="e">
        <f ca="1">stat(calculs!AZ320)</f>
        <v>#NAME?</v>
      </c>
      <c r="BA320" s="525" t="e">
        <f ca="1">stat(calculs!BA320)</f>
        <v>#NAME?</v>
      </c>
      <c r="BB320" s="525" t="e">
        <f ca="1">stat(calculs!BB320)</f>
        <v>#NAME?</v>
      </c>
      <c r="BC320" s="525" t="e">
        <f ca="1">stat(calculs!BC320)</f>
        <v>#NAME?</v>
      </c>
      <c r="BD320" s="525" t="e">
        <f ca="1">stat(calculs!BD320)</f>
        <v>#NAME?</v>
      </c>
      <c r="BE320" s="525" t="e">
        <f ca="1">stat(calculs!BE320)</f>
        <v>#NAME?</v>
      </c>
      <c r="BF320" s="525" t="e">
        <f ca="1">stat(calculs!BF320)</f>
        <v>#NAME?</v>
      </c>
      <c r="BG320" s="729" t="e">
        <f ca="1">stat(calculs!BG320)</f>
        <v>#NAME?</v>
      </c>
      <c r="BH320" s="729" t="e">
        <f ca="1">stat(calculs!BH320)</f>
        <v>#NAME?</v>
      </c>
      <c r="BI320" s="729" t="e">
        <f ca="1">stat(calculs!BI320)</f>
        <v>#NAME?</v>
      </c>
      <c r="BJ320" s="729" t="e">
        <f ca="1">stat(calculs!BJ320)</f>
        <v>#NAME?</v>
      </c>
      <c r="BK320" s="729" t="e">
        <f ca="1">stat(calculs!BK320)</f>
        <v>#NAME?</v>
      </c>
      <c r="BL320" s="525" t="e">
        <f ca="1">stat(calculs!BL320)</f>
        <v>#NAME?</v>
      </c>
      <c r="BM320" s="525" t="e">
        <f ca="1">stat(calculs!BM320)</f>
        <v>#NAME?</v>
      </c>
      <c r="BN320" s="525" t="e">
        <f ca="1">stat(calculs!BN320)</f>
        <v>#NAME?</v>
      </c>
      <c r="BO320" s="525" t="e">
        <f ca="1">stat(calculs!BO320)</f>
        <v>#NAME?</v>
      </c>
      <c r="BP320" s="525" t="e">
        <f ca="1">stat(calculs!BP320)</f>
        <v>#NAME?</v>
      </c>
      <c r="BQ320" s="525" t="e">
        <f ca="1">stat(calculs!BQ320)</f>
        <v>#NAME?</v>
      </c>
      <c r="BR320" s="525" t="e">
        <f ca="1">stat(calculs!BR320)</f>
        <v>#NAME?</v>
      </c>
    </row>
    <row r="321" spans="1:70" x14ac:dyDescent="0.2">
      <c r="A321" s="222">
        <f>données_step[[#This Row],[Datum]]</f>
        <v>44872</v>
      </c>
      <c r="B321" s="223"/>
      <c r="C321" s="224">
        <f t="shared" si="4"/>
        <v>2</v>
      </c>
      <c r="D321" s="523" t="e">
        <f ca="1">stat(charge_entree[[#This Row],[ch_E_DBO5]])</f>
        <v>#NAME?</v>
      </c>
      <c r="E321" s="523" t="e">
        <f ca="1">stat(charge_entree[[#This Row],[ch_E_DCO]])</f>
        <v>#NAME?</v>
      </c>
      <c r="F321" s="523" t="e">
        <f ca="1">stat(charge_entree[[#This Row],[ch_E_COT]])</f>
        <v>#NAME?</v>
      </c>
      <c r="G321" s="523" t="e">
        <f ca="1">stat(charge_entree[[#This Row],[ch_E_NH4]])</f>
        <v>#NAME?</v>
      </c>
      <c r="H321" s="523" t="e">
        <f ca="1">stat(charge_entree[[#This Row],[ch_E_NTOT]])</f>
        <v>#NAME?</v>
      </c>
      <c r="I321" s="523" t="e">
        <f ca="1">stat(charge_entree[[#This Row],[ch_E_PTOT]])</f>
        <v>#NAME?</v>
      </c>
      <c r="J321" s="523" t="e">
        <f ca="1">stat(charge_entree[[#This Row],[ch_S_DBO]])</f>
        <v>#NAME?</v>
      </c>
      <c r="K321" s="523" t="e">
        <f ca="1">stat(charge_entree[[#This Row],[ch_S-DCO]])</f>
        <v>#NAME?</v>
      </c>
      <c r="L321" s="523" t="e">
        <f ca="1">stat(charge_entree[[#This Row],[ch_S_DOC]])</f>
        <v>#NAME?</v>
      </c>
      <c r="M321" s="523" t="e">
        <f ca="1">stat(charge_entree[[#This Row],[ch_S_NH4]])</f>
        <v>#NAME?</v>
      </c>
      <c r="N321" s="523" t="e">
        <f ca="1">stat(charge_entree[[#This Row],[ch_S_NO2]])</f>
        <v>#NAME?</v>
      </c>
      <c r="O321" s="523" t="e">
        <f ca="1">stat(charge_entree[[#This Row],[ch_S_NO3]])</f>
        <v>#NAME?</v>
      </c>
      <c r="P321" s="523" t="e">
        <f ca="1">stat(charge_entree[[#This Row],[ch_S_PTOT]])</f>
        <v>#NAME?</v>
      </c>
      <c r="Q321" s="523" t="e">
        <f ca="1">stat(charge_entree[[#This Row],[ch_S_SNDT]])</f>
        <v>#NAME?</v>
      </c>
      <c r="R321" s="523">
        <f>calculs!R321</f>
        <v>0</v>
      </c>
      <c r="S321" s="523" t="e">
        <f ca="1">stat(calculs!S321)</f>
        <v>#NAME?</v>
      </c>
      <c r="T321" s="523" t="e">
        <f ca="1">stat(calculs!T321)</f>
        <v>#NAME?</v>
      </c>
      <c r="U321" s="523" t="e">
        <f ca="1">stat(calculs!U321)</f>
        <v>#NAME?</v>
      </c>
      <c r="V321" s="523" t="e">
        <f ca="1">stat(calculs!V321)</f>
        <v>#NAME?</v>
      </c>
      <c r="W321" s="523" t="e">
        <f ca="1">stat(calculs!W321)</f>
        <v>#NAME?</v>
      </c>
      <c r="X321" s="523" t="e">
        <f ca="1">stat(calculs!X321)</f>
        <v>#NAME?</v>
      </c>
      <c r="Y321" s="523" t="e">
        <f ca="1">stat(calculs!Y321)</f>
        <v>#NAME?</v>
      </c>
      <c r="Z321" s="523" t="e">
        <f ca="1">stat(calculs!Z321)</f>
        <v>#NAME?</v>
      </c>
      <c r="AA321" s="523" t="e">
        <f ca="1">stat(calculs!AA321)</f>
        <v>#NAME?</v>
      </c>
      <c r="AB321" s="523" t="e">
        <f ca="1">stat(calculs!AB321)</f>
        <v>#NAME?</v>
      </c>
      <c r="AC321" s="523" t="e">
        <f ca="1">stat(calculs!AC321)</f>
        <v>#NAME?</v>
      </c>
      <c r="AD321" s="523" t="e">
        <f ca="1">stat(calculs!AD321)</f>
        <v>#NAME?</v>
      </c>
      <c r="AE321" s="523" t="e">
        <f ca="1">stat(calculs!AE321)</f>
        <v>#NAME?</v>
      </c>
      <c r="AF321" s="523" t="e">
        <f ca="1">stat(calculs!AF321)</f>
        <v>#NAME?</v>
      </c>
      <c r="AG321" s="523" t="e">
        <f ca="1">stat(calculs!AG321)</f>
        <v>#NAME?</v>
      </c>
      <c r="AH321" s="523" t="e">
        <f ca="1">stat(calculs!AH321)</f>
        <v>#NAME?</v>
      </c>
      <c r="AI321" s="523" t="e">
        <f ca="1">stat(calculs!AI321)</f>
        <v>#NAME?</v>
      </c>
      <c r="AJ321" s="523" t="e">
        <f ca="1">stat(calculs!AJ321)</f>
        <v>#NAME?</v>
      </c>
      <c r="AK321" s="523" t="e">
        <f ca="1">stat(calculs!AK321)</f>
        <v>#NAME?</v>
      </c>
      <c r="AL321" s="523" t="e">
        <f ca="1">stat(calculs!AL321)</f>
        <v>#NAME?</v>
      </c>
      <c r="AM321" s="523" t="e">
        <f ca="1">stat(calculs!AM321)</f>
        <v>#NAME?</v>
      </c>
      <c r="AN321" s="523" t="e">
        <f ca="1">stat(calculs!AN321)</f>
        <v>#NAME?</v>
      </c>
      <c r="AO321" s="523" t="e">
        <f ca="1">stat(calculs!AO321)</f>
        <v>#NAME?</v>
      </c>
      <c r="AP321" s="523" t="e">
        <f ca="1">stat(calculs!AP321)</f>
        <v>#NAME?</v>
      </c>
      <c r="AQ321" s="523" t="e">
        <f ca="1">stat(calculs!AQ321)</f>
        <v>#NAME?</v>
      </c>
      <c r="AV321" s="525" t="str">
        <f>stat(calculs!AV321)</f>
        <v/>
      </c>
      <c r="AW321" s="525" t="str">
        <f>stat(calculs!AW321)</f>
        <v/>
      </c>
      <c r="AX321" s="525" t="str">
        <f>stat(calculs!AX321)</f>
        <v/>
      </c>
      <c r="AY321" s="525" t="e">
        <f ca="1">stat(calculs!AY321)</f>
        <v>#NAME?</v>
      </c>
      <c r="AZ321" s="525" t="e">
        <f ca="1">stat(calculs!AZ321)</f>
        <v>#NAME?</v>
      </c>
      <c r="BA321" s="525" t="e">
        <f ca="1">stat(calculs!BA321)</f>
        <v>#NAME?</v>
      </c>
      <c r="BB321" s="525" t="e">
        <f ca="1">stat(calculs!BB321)</f>
        <v>#NAME?</v>
      </c>
      <c r="BC321" s="525" t="e">
        <f ca="1">stat(calculs!BC321)</f>
        <v>#NAME?</v>
      </c>
      <c r="BD321" s="525" t="e">
        <f ca="1">stat(calculs!BD321)</f>
        <v>#NAME?</v>
      </c>
      <c r="BE321" s="525" t="e">
        <f ca="1">stat(calculs!BE321)</f>
        <v>#NAME?</v>
      </c>
      <c r="BF321" s="525" t="e">
        <f ca="1">stat(calculs!BF321)</f>
        <v>#NAME?</v>
      </c>
      <c r="BG321" s="729" t="e">
        <f ca="1">stat(calculs!BG321)</f>
        <v>#NAME?</v>
      </c>
      <c r="BH321" s="729" t="e">
        <f ca="1">stat(calculs!BH321)</f>
        <v>#NAME?</v>
      </c>
      <c r="BI321" s="729" t="e">
        <f ca="1">stat(calculs!BI321)</f>
        <v>#NAME?</v>
      </c>
      <c r="BJ321" s="729" t="e">
        <f ca="1">stat(calculs!BJ321)</f>
        <v>#NAME?</v>
      </c>
      <c r="BK321" s="729" t="e">
        <f ca="1">stat(calculs!BK321)</f>
        <v>#NAME?</v>
      </c>
      <c r="BL321" s="525" t="e">
        <f ca="1">stat(calculs!BL321)</f>
        <v>#NAME?</v>
      </c>
      <c r="BM321" s="525" t="e">
        <f ca="1">stat(calculs!BM321)</f>
        <v>#NAME?</v>
      </c>
      <c r="BN321" s="525" t="e">
        <f ca="1">stat(calculs!BN321)</f>
        <v>#NAME?</v>
      </c>
      <c r="BO321" s="525" t="e">
        <f ca="1">stat(calculs!BO321)</f>
        <v>#NAME?</v>
      </c>
      <c r="BP321" s="525" t="e">
        <f ca="1">stat(calculs!BP321)</f>
        <v>#NAME?</v>
      </c>
      <c r="BQ321" s="525" t="e">
        <f ca="1">stat(calculs!BQ321)</f>
        <v>#NAME?</v>
      </c>
      <c r="BR321" s="525" t="e">
        <f ca="1">stat(calculs!BR321)</f>
        <v>#NAME?</v>
      </c>
    </row>
    <row r="322" spans="1:70" x14ac:dyDescent="0.2">
      <c r="A322" s="222">
        <f>données_step[[#This Row],[Datum]]</f>
        <v>44873</v>
      </c>
      <c r="B322" s="223"/>
      <c r="C322" s="224">
        <f t="shared" si="4"/>
        <v>3</v>
      </c>
      <c r="D322" s="523" t="e">
        <f ca="1">stat(charge_entree[[#This Row],[ch_E_DBO5]])</f>
        <v>#NAME?</v>
      </c>
      <c r="E322" s="523" t="e">
        <f ca="1">stat(charge_entree[[#This Row],[ch_E_DCO]])</f>
        <v>#NAME?</v>
      </c>
      <c r="F322" s="523" t="e">
        <f ca="1">stat(charge_entree[[#This Row],[ch_E_COT]])</f>
        <v>#NAME?</v>
      </c>
      <c r="G322" s="523" t="e">
        <f ca="1">stat(charge_entree[[#This Row],[ch_E_NH4]])</f>
        <v>#NAME?</v>
      </c>
      <c r="H322" s="523" t="e">
        <f ca="1">stat(charge_entree[[#This Row],[ch_E_NTOT]])</f>
        <v>#NAME?</v>
      </c>
      <c r="I322" s="523" t="e">
        <f ca="1">stat(charge_entree[[#This Row],[ch_E_PTOT]])</f>
        <v>#NAME?</v>
      </c>
      <c r="J322" s="523" t="e">
        <f ca="1">stat(charge_entree[[#This Row],[ch_S_DBO]])</f>
        <v>#NAME?</v>
      </c>
      <c r="K322" s="523" t="e">
        <f ca="1">stat(charge_entree[[#This Row],[ch_S-DCO]])</f>
        <v>#NAME?</v>
      </c>
      <c r="L322" s="523" t="e">
        <f ca="1">stat(charge_entree[[#This Row],[ch_S_DOC]])</f>
        <v>#NAME?</v>
      </c>
      <c r="M322" s="523" t="e">
        <f ca="1">stat(charge_entree[[#This Row],[ch_S_NH4]])</f>
        <v>#NAME?</v>
      </c>
      <c r="N322" s="523" t="e">
        <f ca="1">stat(charge_entree[[#This Row],[ch_S_NO2]])</f>
        <v>#NAME?</v>
      </c>
      <c r="O322" s="523" t="e">
        <f ca="1">stat(charge_entree[[#This Row],[ch_S_NO3]])</f>
        <v>#NAME?</v>
      </c>
      <c r="P322" s="523" t="e">
        <f ca="1">stat(charge_entree[[#This Row],[ch_S_PTOT]])</f>
        <v>#NAME?</v>
      </c>
      <c r="Q322" s="523" t="e">
        <f ca="1">stat(charge_entree[[#This Row],[ch_S_SNDT]])</f>
        <v>#NAME?</v>
      </c>
      <c r="R322" s="523">
        <f>calculs!R322</f>
        <v>0</v>
      </c>
      <c r="S322" s="523" t="e">
        <f ca="1">stat(calculs!S322)</f>
        <v>#NAME?</v>
      </c>
      <c r="T322" s="523" t="e">
        <f ca="1">stat(calculs!T322)</f>
        <v>#NAME?</v>
      </c>
      <c r="U322" s="523" t="e">
        <f ca="1">stat(calculs!U322)</f>
        <v>#NAME?</v>
      </c>
      <c r="V322" s="523" t="e">
        <f ca="1">stat(calculs!V322)</f>
        <v>#NAME?</v>
      </c>
      <c r="W322" s="523" t="e">
        <f ca="1">stat(calculs!W322)</f>
        <v>#NAME?</v>
      </c>
      <c r="X322" s="523" t="e">
        <f ca="1">stat(calculs!X322)</f>
        <v>#NAME?</v>
      </c>
      <c r="Y322" s="523" t="e">
        <f ca="1">stat(calculs!Y322)</f>
        <v>#NAME?</v>
      </c>
      <c r="Z322" s="523" t="e">
        <f ca="1">stat(calculs!Z322)</f>
        <v>#NAME?</v>
      </c>
      <c r="AA322" s="523" t="e">
        <f ca="1">stat(calculs!AA322)</f>
        <v>#NAME?</v>
      </c>
      <c r="AB322" s="523" t="e">
        <f ca="1">stat(calculs!AB322)</f>
        <v>#NAME?</v>
      </c>
      <c r="AC322" s="523" t="e">
        <f ca="1">stat(calculs!AC322)</f>
        <v>#NAME?</v>
      </c>
      <c r="AD322" s="523" t="e">
        <f ca="1">stat(calculs!AD322)</f>
        <v>#NAME?</v>
      </c>
      <c r="AE322" s="523" t="e">
        <f ca="1">stat(calculs!AE322)</f>
        <v>#NAME?</v>
      </c>
      <c r="AF322" s="523" t="e">
        <f ca="1">stat(calculs!AF322)</f>
        <v>#NAME?</v>
      </c>
      <c r="AG322" s="523" t="e">
        <f ca="1">stat(calculs!AG322)</f>
        <v>#NAME?</v>
      </c>
      <c r="AH322" s="523" t="e">
        <f ca="1">stat(calculs!AH322)</f>
        <v>#NAME?</v>
      </c>
      <c r="AI322" s="523" t="e">
        <f ca="1">stat(calculs!AI322)</f>
        <v>#NAME?</v>
      </c>
      <c r="AJ322" s="523" t="e">
        <f ca="1">stat(calculs!AJ322)</f>
        <v>#NAME?</v>
      </c>
      <c r="AK322" s="523" t="e">
        <f ca="1">stat(calculs!AK322)</f>
        <v>#NAME?</v>
      </c>
      <c r="AL322" s="523" t="e">
        <f ca="1">stat(calculs!AL322)</f>
        <v>#NAME?</v>
      </c>
      <c r="AM322" s="523" t="e">
        <f ca="1">stat(calculs!AM322)</f>
        <v>#NAME?</v>
      </c>
      <c r="AN322" s="523" t="e">
        <f ca="1">stat(calculs!AN322)</f>
        <v>#NAME?</v>
      </c>
      <c r="AO322" s="523" t="e">
        <f ca="1">stat(calculs!AO322)</f>
        <v>#NAME?</v>
      </c>
      <c r="AP322" s="523" t="e">
        <f ca="1">stat(calculs!AP322)</f>
        <v>#NAME?</v>
      </c>
      <c r="AQ322" s="523" t="e">
        <f ca="1">stat(calculs!AQ322)</f>
        <v>#NAME?</v>
      </c>
      <c r="AV322" s="525" t="str">
        <f>stat(calculs!AV322)</f>
        <v/>
      </c>
      <c r="AW322" s="525" t="str">
        <f>stat(calculs!AW322)</f>
        <v/>
      </c>
      <c r="AX322" s="525" t="str">
        <f>stat(calculs!AX322)</f>
        <v/>
      </c>
      <c r="AY322" s="525" t="e">
        <f ca="1">stat(calculs!AY322)</f>
        <v>#NAME?</v>
      </c>
      <c r="AZ322" s="525" t="e">
        <f ca="1">stat(calculs!AZ322)</f>
        <v>#NAME?</v>
      </c>
      <c r="BA322" s="525" t="e">
        <f ca="1">stat(calculs!BA322)</f>
        <v>#NAME?</v>
      </c>
      <c r="BB322" s="525" t="e">
        <f ca="1">stat(calculs!BB322)</f>
        <v>#NAME?</v>
      </c>
      <c r="BC322" s="525" t="e">
        <f ca="1">stat(calculs!BC322)</f>
        <v>#NAME?</v>
      </c>
      <c r="BD322" s="525" t="e">
        <f ca="1">stat(calculs!BD322)</f>
        <v>#NAME?</v>
      </c>
      <c r="BE322" s="525" t="e">
        <f ca="1">stat(calculs!BE322)</f>
        <v>#NAME?</v>
      </c>
      <c r="BF322" s="525" t="e">
        <f ca="1">stat(calculs!BF322)</f>
        <v>#NAME?</v>
      </c>
      <c r="BG322" s="729" t="e">
        <f ca="1">stat(calculs!BG322)</f>
        <v>#NAME?</v>
      </c>
      <c r="BH322" s="729" t="e">
        <f ca="1">stat(calculs!BH322)</f>
        <v>#NAME?</v>
      </c>
      <c r="BI322" s="729" t="e">
        <f ca="1">stat(calculs!BI322)</f>
        <v>#NAME?</v>
      </c>
      <c r="BJ322" s="729" t="e">
        <f ca="1">stat(calculs!BJ322)</f>
        <v>#NAME?</v>
      </c>
      <c r="BK322" s="729" t="e">
        <f ca="1">stat(calculs!BK322)</f>
        <v>#NAME?</v>
      </c>
      <c r="BL322" s="525" t="e">
        <f ca="1">stat(calculs!BL322)</f>
        <v>#NAME?</v>
      </c>
      <c r="BM322" s="525" t="e">
        <f ca="1">stat(calculs!BM322)</f>
        <v>#NAME?</v>
      </c>
      <c r="BN322" s="525" t="e">
        <f ca="1">stat(calculs!BN322)</f>
        <v>#NAME?</v>
      </c>
      <c r="BO322" s="525" t="e">
        <f ca="1">stat(calculs!BO322)</f>
        <v>#NAME?</v>
      </c>
      <c r="BP322" s="525" t="e">
        <f ca="1">stat(calculs!BP322)</f>
        <v>#NAME?</v>
      </c>
      <c r="BQ322" s="525" t="e">
        <f ca="1">stat(calculs!BQ322)</f>
        <v>#NAME?</v>
      </c>
      <c r="BR322" s="525" t="e">
        <f ca="1">stat(calculs!BR322)</f>
        <v>#NAME?</v>
      </c>
    </row>
    <row r="323" spans="1:70" x14ac:dyDescent="0.2">
      <c r="A323" s="222">
        <f>données_step[[#This Row],[Datum]]</f>
        <v>44874</v>
      </c>
      <c r="B323" s="223"/>
      <c r="C323" s="224">
        <f t="shared" si="4"/>
        <v>4</v>
      </c>
      <c r="D323" s="523" t="e">
        <f ca="1">stat(charge_entree[[#This Row],[ch_E_DBO5]])</f>
        <v>#NAME?</v>
      </c>
      <c r="E323" s="523" t="e">
        <f ca="1">stat(charge_entree[[#This Row],[ch_E_DCO]])</f>
        <v>#NAME?</v>
      </c>
      <c r="F323" s="523" t="e">
        <f ca="1">stat(charge_entree[[#This Row],[ch_E_COT]])</f>
        <v>#NAME?</v>
      </c>
      <c r="G323" s="523" t="e">
        <f ca="1">stat(charge_entree[[#This Row],[ch_E_NH4]])</f>
        <v>#NAME?</v>
      </c>
      <c r="H323" s="523" t="e">
        <f ca="1">stat(charge_entree[[#This Row],[ch_E_NTOT]])</f>
        <v>#NAME?</v>
      </c>
      <c r="I323" s="523" t="e">
        <f ca="1">stat(charge_entree[[#This Row],[ch_E_PTOT]])</f>
        <v>#NAME?</v>
      </c>
      <c r="J323" s="523" t="e">
        <f ca="1">stat(charge_entree[[#This Row],[ch_S_DBO]])</f>
        <v>#NAME?</v>
      </c>
      <c r="K323" s="523" t="e">
        <f ca="1">stat(charge_entree[[#This Row],[ch_S-DCO]])</f>
        <v>#NAME?</v>
      </c>
      <c r="L323" s="523" t="e">
        <f ca="1">stat(charge_entree[[#This Row],[ch_S_DOC]])</f>
        <v>#NAME?</v>
      </c>
      <c r="M323" s="523" t="e">
        <f ca="1">stat(charge_entree[[#This Row],[ch_S_NH4]])</f>
        <v>#NAME?</v>
      </c>
      <c r="N323" s="523" t="e">
        <f ca="1">stat(charge_entree[[#This Row],[ch_S_NO2]])</f>
        <v>#NAME?</v>
      </c>
      <c r="O323" s="523" t="e">
        <f ca="1">stat(charge_entree[[#This Row],[ch_S_NO3]])</f>
        <v>#NAME?</v>
      </c>
      <c r="P323" s="523" t="e">
        <f ca="1">stat(charge_entree[[#This Row],[ch_S_PTOT]])</f>
        <v>#NAME?</v>
      </c>
      <c r="Q323" s="523" t="e">
        <f ca="1">stat(charge_entree[[#This Row],[ch_S_SNDT]])</f>
        <v>#NAME?</v>
      </c>
      <c r="R323" s="523">
        <f>calculs!R323</f>
        <v>0</v>
      </c>
      <c r="S323" s="523" t="e">
        <f ca="1">stat(calculs!S323)</f>
        <v>#NAME?</v>
      </c>
      <c r="T323" s="523" t="e">
        <f ca="1">stat(calculs!T323)</f>
        <v>#NAME?</v>
      </c>
      <c r="U323" s="523" t="e">
        <f ca="1">stat(calculs!U323)</f>
        <v>#NAME?</v>
      </c>
      <c r="V323" s="523" t="e">
        <f ca="1">stat(calculs!V323)</f>
        <v>#NAME?</v>
      </c>
      <c r="W323" s="523" t="e">
        <f ca="1">stat(calculs!W323)</f>
        <v>#NAME?</v>
      </c>
      <c r="X323" s="523" t="e">
        <f ca="1">stat(calculs!X323)</f>
        <v>#NAME?</v>
      </c>
      <c r="Y323" s="523" t="e">
        <f ca="1">stat(calculs!Y323)</f>
        <v>#NAME?</v>
      </c>
      <c r="Z323" s="523" t="e">
        <f ca="1">stat(calculs!Z323)</f>
        <v>#NAME?</v>
      </c>
      <c r="AA323" s="523" t="e">
        <f ca="1">stat(calculs!AA323)</f>
        <v>#NAME?</v>
      </c>
      <c r="AB323" s="523" t="e">
        <f ca="1">stat(calculs!AB323)</f>
        <v>#NAME?</v>
      </c>
      <c r="AC323" s="523" t="e">
        <f ca="1">stat(calculs!AC323)</f>
        <v>#NAME?</v>
      </c>
      <c r="AD323" s="523" t="e">
        <f ca="1">stat(calculs!AD323)</f>
        <v>#NAME?</v>
      </c>
      <c r="AE323" s="523" t="e">
        <f ca="1">stat(calculs!AE323)</f>
        <v>#NAME?</v>
      </c>
      <c r="AF323" s="523" t="e">
        <f ca="1">stat(calculs!AF323)</f>
        <v>#NAME?</v>
      </c>
      <c r="AG323" s="523" t="e">
        <f ca="1">stat(calculs!AG323)</f>
        <v>#NAME?</v>
      </c>
      <c r="AH323" s="523" t="e">
        <f ca="1">stat(calculs!AH323)</f>
        <v>#NAME?</v>
      </c>
      <c r="AI323" s="523" t="e">
        <f ca="1">stat(calculs!AI323)</f>
        <v>#NAME?</v>
      </c>
      <c r="AJ323" s="523" t="e">
        <f ca="1">stat(calculs!AJ323)</f>
        <v>#NAME?</v>
      </c>
      <c r="AK323" s="523" t="e">
        <f ca="1">stat(calculs!AK323)</f>
        <v>#NAME?</v>
      </c>
      <c r="AL323" s="523" t="e">
        <f ca="1">stat(calculs!AL323)</f>
        <v>#NAME?</v>
      </c>
      <c r="AM323" s="523" t="e">
        <f ca="1">stat(calculs!AM323)</f>
        <v>#NAME?</v>
      </c>
      <c r="AN323" s="523" t="e">
        <f ca="1">stat(calculs!AN323)</f>
        <v>#NAME?</v>
      </c>
      <c r="AO323" s="523" t="e">
        <f ca="1">stat(calculs!AO323)</f>
        <v>#NAME?</v>
      </c>
      <c r="AP323" s="523" t="e">
        <f ca="1">stat(calculs!AP323)</f>
        <v>#NAME?</v>
      </c>
      <c r="AQ323" s="523" t="e">
        <f ca="1">stat(calculs!AQ323)</f>
        <v>#NAME?</v>
      </c>
      <c r="AV323" s="525" t="str">
        <f>stat(calculs!AV323)</f>
        <v/>
      </c>
      <c r="AW323" s="525" t="str">
        <f>stat(calculs!AW323)</f>
        <v/>
      </c>
      <c r="AX323" s="525" t="str">
        <f>stat(calculs!AX323)</f>
        <v/>
      </c>
      <c r="AY323" s="525" t="e">
        <f ca="1">stat(calculs!AY323)</f>
        <v>#NAME?</v>
      </c>
      <c r="AZ323" s="525" t="e">
        <f ca="1">stat(calculs!AZ323)</f>
        <v>#NAME?</v>
      </c>
      <c r="BA323" s="525" t="e">
        <f ca="1">stat(calculs!BA323)</f>
        <v>#NAME?</v>
      </c>
      <c r="BB323" s="525" t="e">
        <f ca="1">stat(calculs!BB323)</f>
        <v>#NAME?</v>
      </c>
      <c r="BC323" s="525" t="e">
        <f ca="1">stat(calculs!BC323)</f>
        <v>#NAME?</v>
      </c>
      <c r="BD323" s="525" t="e">
        <f ca="1">stat(calculs!BD323)</f>
        <v>#NAME?</v>
      </c>
      <c r="BE323" s="525" t="e">
        <f ca="1">stat(calculs!BE323)</f>
        <v>#NAME?</v>
      </c>
      <c r="BF323" s="525" t="e">
        <f ca="1">stat(calculs!BF323)</f>
        <v>#NAME?</v>
      </c>
      <c r="BG323" s="729" t="e">
        <f ca="1">stat(calculs!BG323)</f>
        <v>#NAME?</v>
      </c>
      <c r="BH323" s="729" t="e">
        <f ca="1">stat(calculs!BH323)</f>
        <v>#NAME?</v>
      </c>
      <c r="BI323" s="729" t="e">
        <f ca="1">stat(calculs!BI323)</f>
        <v>#NAME?</v>
      </c>
      <c r="BJ323" s="729" t="e">
        <f ca="1">stat(calculs!BJ323)</f>
        <v>#NAME?</v>
      </c>
      <c r="BK323" s="729" t="e">
        <f ca="1">stat(calculs!BK323)</f>
        <v>#NAME?</v>
      </c>
      <c r="BL323" s="525" t="e">
        <f ca="1">stat(calculs!BL323)</f>
        <v>#NAME?</v>
      </c>
      <c r="BM323" s="525" t="e">
        <f ca="1">stat(calculs!BM323)</f>
        <v>#NAME?</v>
      </c>
      <c r="BN323" s="525" t="e">
        <f ca="1">stat(calculs!BN323)</f>
        <v>#NAME?</v>
      </c>
      <c r="BO323" s="525" t="e">
        <f ca="1">stat(calculs!BO323)</f>
        <v>#NAME?</v>
      </c>
      <c r="BP323" s="525" t="e">
        <f ca="1">stat(calculs!BP323)</f>
        <v>#NAME?</v>
      </c>
      <c r="BQ323" s="525" t="e">
        <f ca="1">stat(calculs!BQ323)</f>
        <v>#NAME?</v>
      </c>
      <c r="BR323" s="525" t="e">
        <f ca="1">stat(calculs!BR323)</f>
        <v>#NAME?</v>
      </c>
    </row>
    <row r="324" spans="1:70" x14ac:dyDescent="0.2">
      <c r="A324" s="222">
        <f>données_step[[#This Row],[Datum]]</f>
        <v>44875</v>
      </c>
      <c r="B324" s="223"/>
      <c r="C324" s="224">
        <f t="shared" si="4"/>
        <v>5</v>
      </c>
      <c r="D324" s="523" t="e">
        <f ca="1">stat(charge_entree[[#This Row],[ch_E_DBO5]])</f>
        <v>#NAME?</v>
      </c>
      <c r="E324" s="523" t="e">
        <f ca="1">stat(charge_entree[[#This Row],[ch_E_DCO]])</f>
        <v>#NAME?</v>
      </c>
      <c r="F324" s="523" t="e">
        <f ca="1">stat(charge_entree[[#This Row],[ch_E_COT]])</f>
        <v>#NAME?</v>
      </c>
      <c r="G324" s="523" t="e">
        <f ca="1">stat(charge_entree[[#This Row],[ch_E_NH4]])</f>
        <v>#NAME?</v>
      </c>
      <c r="H324" s="523" t="e">
        <f ca="1">stat(charge_entree[[#This Row],[ch_E_NTOT]])</f>
        <v>#NAME?</v>
      </c>
      <c r="I324" s="523" t="e">
        <f ca="1">stat(charge_entree[[#This Row],[ch_E_PTOT]])</f>
        <v>#NAME?</v>
      </c>
      <c r="J324" s="523" t="e">
        <f ca="1">stat(charge_entree[[#This Row],[ch_S_DBO]])</f>
        <v>#NAME?</v>
      </c>
      <c r="K324" s="523" t="e">
        <f ca="1">stat(charge_entree[[#This Row],[ch_S-DCO]])</f>
        <v>#NAME?</v>
      </c>
      <c r="L324" s="523" t="e">
        <f ca="1">stat(charge_entree[[#This Row],[ch_S_DOC]])</f>
        <v>#NAME?</v>
      </c>
      <c r="M324" s="523" t="e">
        <f ca="1">stat(charge_entree[[#This Row],[ch_S_NH4]])</f>
        <v>#NAME?</v>
      </c>
      <c r="N324" s="523" t="e">
        <f ca="1">stat(charge_entree[[#This Row],[ch_S_NO2]])</f>
        <v>#NAME?</v>
      </c>
      <c r="O324" s="523" t="e">
        <f ca="1">stat(charge_entree[[#This Row],[ch_S_NO3]])</f>
        <v>#NAME?</v>
      </c>
      <c r="P324" s="523" t="e">
        <f ca="1">stat(charge_entree[[#This Row],[ch_S_PTOT]])</f>
        <v>#NAME?</v>
      </c>
      <c r="Q324" s="523" t="e">
        <f ca="1">stat(charge_entree[[#This Row],[ch_S_SNDT]])</f>
        <v>#NAME?</v>
      </c>
      <c r="R324" s="523">
        <f>calculs!R324</f>
        <v>0</v>
      </c>
      <c r="S324" s="523" t="e">
        <f ca="1">stat(calculs!S324)</f>
        <v>#NAME?</v>
      </c>
      <c r="T324" s="523" t="e">
        <f ca="1">stat(calculs!T324)</f>
        <v>#NAME?</v>
      </c>
      <c r="U324" s="523" t="e">
        <f ca="1">stat(calculs!U324)</f>
        <v>#NAME?</v>
      </c>
      <c r="V324" s="523" t="e">
        <f ca="1">stat(calculs!V324)</f>
        <v>#NAME?</v>
      </c>
      <c r="W324" s="523" t="e">
        <f ca="1">stat(calculs!W324)</f>
        <v>#NAME?</v>
      </c>
      <c r="X324" s="523" t="e">
        <f ca="1">stat(calculs!X324)</f>
        <v>#NAME?</v>
      </c>
      <c r="Y324" s="523" t="e">
        <f ca="1">stat(calculs!Y324)</f>
        <v>#NAME?</v>
      </c>
      <c r="Z324" s="523" t="e">
        <f ca="1">stat(calculs!Z324)</f>
        <v>#NAME?</v>
      </c>
      <c r="AA324" s="523" t="e">
        <f ca="1">stat(calculs!AA324)</f>
        <v>#NAME?</v>
      </c>
      <c r="AB324" s="523" t="e">
        <f ca="1">stat(calculs!AB324)</f>
        <v>#NAME?</v>
      </c>
      <c r="AC324" s="523" t="e">
        <f ca="1">stat(calculs!AC324)</f>
        <v>#NAME?</v>
      </c>
      <c r="AD324" s="523" t="e">
        <f ca="1">stat(calculs!AD324)</f>
        <v>#NAME?</v>
      </c>
      <c r="AE324" s="523" t="e">
        <f ca="1">stat(calculs!AE324)</f>
        <v>#NAME?</v>
      </c>
      <c r="AF324" s="523" t="e">
        <f ca="1">stat(calculs!AF324)</f>
        <v>#NAME?</v>
      </c>
      <c r="AG324" s="523" t="e">
        <f ca="1">stat(calculs!AG324)</f>
        <v>#NAME?</v>
      </c>
      <c r="AH324" s="523" t="e">
        <f ca="1">stat(calculs!AH324)</f>
        <v>#NAME?</v>
      </c>
      <c r="AI324" s="523" t="e">
        <f ca="1">stat(calculs!AI324)</f>
        <v>#NAME?</v>
      </c>
      <c r="AJ324" s="523" t="e">
        <f ca="1">stat(calculs!AJ324)</f>
        <v>#NAME?</v>
      </c>
      <c r="AK324" s="523" t="e">
        <f ca="1">stat(calculs!AK324)</f>
        <v>#NAME?</v>
      </c>
      <c r="AL324" s="523" t="e">
        <f ca="1">stat(calculs!AL324)</f>
        <v>#NAME?</v>
      </c>
      <c r="AM324" s="523" t="e">
        <f ca="1">stat(calculs!AM324)</f>
        <v>#NAME?</v>
      </c>
      <c r="AN324" s="523" t="e">
        <f ca="1">stat(calculs!AN324)</f>
        <v>#NAME?</v>
      </c>
      <c r="AO324" s="523" t="e">
        <f ca="1">stat(calculs!AO324)</f>
        <v>#NAME?</v>
      </c>
      <c r="AP324" s="523" t="e">
        <f ca="1">stat(calculs!AP324)</f>
        <v>#NAME?</v>
      </c>
      <c r="AQ324" s="523" t="e">
        <f ca="1">stat(calculs!AQ324)</f>
        <v>#NAME?</v>
      </c>
      <c r="AV324" s="525" t="str">
        <f>stat(calculs!AV324)</f>
        <v/>
      </c>
      <c r="AW324" s="525" t="str">
        <f>stat(calculs!AW324)</f>
        <v/>
      </c>
      <c r="AX324" s="525" t="str">
        <f>stat(calculs!AX324)</f>
        <v/>
      </c>
      <c r="AY324" s="525" t="e">
        <f ca="1">stat(calculs!AY324)</f>
        <v>#NAME?</v>
      </c>
      <c r="AZ324" s="525" t="e">
        <f ca="1">stat(calculs!AZ324)</f>
        <v>#NAME?</v>
      </c>
      <c r="BA324" s="525" t="e">
        <f ca="1">stat(calculs!BA324)</f>
        <v>#NAME?</v>
      </c>
      <c r="BB324" s="525" t="e">
        <f ca="1">stat(calculs!BB324)</f>
        <v>#NAME?</v>
      </c>
      <c r="BC324" s="525" t="e">
        <f ca="1">stat(calculs!BC324)</f>
        <v>#NAME?</v>
      </c>
      <c r="BD324" s="525" t="e">
        <f ca="1">stat(calculs!BD324)</f>
        <v>#NAME?</v>
      </c>
      <c r="BE324" s="525" t="e">
        <f ca="1">stat(calculs!BE324)</f>
        <v>#NAME?</v>
      </c>
      <c r="BF324" s="525" t="e">
        <f ca="1">stat(calculs!BF324)</f>
        <v>#NAME?</v>
      </c>
      <c r="BG324" s="729" t="e">
        <f ca="1">stat(calculs!BG324)</f>
        <v>#NAME?</v>
      </c>
      <c r="BH324" s="729" t="e">
        <f ca="1">stat(calculs!BH324)</f>
        <v>#NAME?</v>
      </c>
      <c r="BI324" s="729" t="e">
        <f ca="1">stat(calculs!BI324)</f>
        <v>#NAME?</v>
      </c>
      <c r="BJ324" s="729" t="e">
        <f ca="1">stat(calculs!BJ324)</f>
        <v>#NAME?</v>
      </c>
      <c r="BK324" s="729" t="e">
        <f ca="1">stat(calculs!BK324)</f>
        <v>#NAME?</v>
      </c>
      <c r="BL324" s="525" t="e">
        <f ca="1">stat(calculs!BL324)</f>
        <v>#NAME?</v>
      </c>
      <c r="BM324" s="525" t="e">
        <f ca="1">stat(calculs!BM324)</f>
        <v>#NAME?</v>
      </c>
      <c r="BN324" s="525" t="e">
        <f ca="1">stat(calculs!BN324)</f>
        <v>#NAME?</v>
      </c>
      <c r="BO324" s="525" t="e">
        <f ca="1">stat(calculs!BO324)</f>
        <v>#NAME?</v>
      </c>
      <c r="BP324" s="525" t="e">
        <f ca="1">stat(calculs!BP324)</f>
        <v>#NAME?</v>
      </c>
      <c r="BQ324" s="525" t="e">
        <f ca="1">stat(calculs!BQ324)</f>
        <v>#NAME?</v>
      </c>
      <c r="BR324" s="525" t="e">
        <f ca="1">stat(calculs!BR324)</f>
        <v>#NAME?</v>
      </c>
    </row>
    <row r="325" spans="1:70" x14ac:dyDescent="0.2">
      <c r="A325" s="222">
        <f>données_step[[#This Row],[Datum]]</f>
        <v>44876</v>
      </c>
      <c r="B325" s="223"/>
      <c r="C325" s="224">
        <f t="shared" si="4"/>
        <v>6</v>
      </c>
      <c r="D325" s="523" t="e">
        <f ca="1">stat(charge_entree[[#This Row],[ch_E_DBO5]])</f>
        <v>#NAME?</v>
      </c>
      <c r="E325" s="523" t="e">
        <f ca="1">stat(charge_entree[[#This Row],[ch_E_DCO]])</f>
        <v>#NAME?</v>
      </c>
      <c r="F325" s="523" t="e">
        <f ca="1">stat(charge_entree[[#This Row],[ch_E_COT]])</f>
        <v>#NAME?</v>
      </c>
      <c r="G325" s="523" t="e">
        <f ca="1">stat(charge_entree[[#This Row],[ch_E_NH4]])</f>
        <v>#NAME?</v>
      </c>
      <c r="H325" s="523" t="e">
        <f ca="1">stat(charge_entree[[#This Row],[ch_E_NTOT]])</f>
        <v>#NAME?</v>
      </c>
      <c r="I325" s="523" t="e">
        <f ca="1">stat(charge_entree[[#This Row],[ch_E_PTOT]])</f>
        <v>#NAME?</v>
      </c>
      <c r="J325" s="523" t="e">
        <f ca="1">stat(charge_entree[[#This Row],[ch_S_DBO]])</f>
        <v>#NAME?</v>
      </c>
      <c r="K325" s="523" t="e">
        <f ca="1">stat(charge_entree[[#This Row],[ch_S-DCO]])</f>
        <v>#NAME?</v>
      </c>
      <c r="L325" s="523" t="e">
        <f ca="1">stat(charge_entree[[#This Row],[ch_S_DOC]])</f>
        <v>#NAME?</v>
      </c>
      <c r="M325" s="523" t="e">
        <f ca="1">stat(charge_entree[[#This Row],[ch_S_NH4]])</f>
        <v>#NAME?</v>
      </c>
      <c r="N325" s="523" t="e">
        <f ca="1">stat(charge_entree[[#This Row],[ch_S_NO2]])</f>
        <v>#NAME?</v>
      </c>
      <c r="O325" s="523" t="e">
        <f ca="1">stat(charge_entree[[#This Row],[ch_S_NO3]])</f>
        <v>#NAME?</v>
      </c>
      <c r="P325" s="523" t="e">
        <f ca="1">stat(charge_entree[[#This Row],[ch_S_PTOT]])</f>
        <v>#NAME?</v>
      </c>
      <c r="Q325" s="523" t="e">
        <f ca="1">stat(charge_entree[[#This Row],[ch_S_SNDT]])</f>
        <v>#NAME?</v>
      </c>
      <c r="R325" s="523">
        <f>calculs!R325</f>
        <v>0</v>
      </c>
      <c r="S325" s="523" t="e">
        <f ca="1">stat(calculs!S325)</f>
        <v>#NAME?</v>
      </c>
      <c r="T325" s="523" t="e">
        <f ca="1">stat(calculs!T325)</f>
        <v>#NAME?</v>
      </c>
      <c r="U325" s="523" t="e">
        <f ca="1">stat(calculs!U325)</f>
        <v>#NAME?</v>
      </c>
      <c r="V325" s="523" t="e">
        <f ca="1">stat(calculs!V325)</f>
        <v>#NAME?</v>
      </c>
      <c r="W325" s="523" t="e">
        <f ca="1">stat(calculs!W325)</f>
        <v>#NAME?</v>
      </c>
      <c r="X325" s="523" t="e">
        <f ca="1">stat(calculs!X325)</f>
        <v>#NAME?</v>
      </c>
      <c r="Y325" s="523" t="e">
        <f ca="1">stat(calculs!Y325)</f>
        <v>#NAME?</v>
      </c>
      <c r="Z325" s="523" t="e">
        <f ca="1">stat(calculs!Z325)</f>
        <v>#NAME?</v>
      </c>
      <c r="AA325" s="523" t="e">
        <f ca="1">stat(calculs!AA325)</f>
        <v>#NAME?</v>
      </c>
      <c r="AB325" s="523" t="e">
        <f ca="1">stat(calculs!AB325)</f>
        <v>#NAME?</v>
      </c>
      <c r="AC325" s="523" t="e">
        <f ca="1">stat(calculs!AC325)</f>
        <v>#NAME?</v>
      </c>
      <c r="AD325" s="523" t="e">
        <f ca="1">stat(calculs!AD325)</f>
        <v>#NAME?</v>
      </c>
      <c r="AE325" s="523" t="e">
        <f ca="1">stat(calculs!AE325)</f>
        <v>#NAME?</v>
      </c>
      <c r="AF325" s="523" t="e">
        <f ca="1">stat(calculs!AF325)</f>
        <v>#NAME?</v>
      </c>
      <c r="AG325" s="523" t="e">
        <f ca="1">stat(calculs!AG325)</f>
        <v>#NAME?</v>
      </c>
      <c r="AH325" s="523" t="e">
        <f ca="1">stat(calculs!AH325)</f>
        <v>#NAME?</v>
      </c>
      <c r="AI325" s="523" t="e">
        <f ca="1">stat(calculs!AI325)</f>
        <v>#NAME?</v>
      </c>
      <c r="AJ325" s="523" t="e">
        <f ca="1">stat(calculs!AJ325)</f>
        <v>#NAME?</v>
      </c>
      <c r="AK325" s="523" t="e">
        <f ca="1">stat(calculs!AK325)</f>
        <v>#NAME?</v>
      </c>
      <c r="AL325" s="523" t="e">
        <f ca="1">stat(calculs!AL325)</f>
        <v>#NAME?</v>
      </c>
      <c r="AM325" s="523" t="e">
        <f ca="1">stat(calculs!AM325)</f>
        <v>#NAME?</v>
      </c>
      <c r="AN325" s="523" t="e">
        <f ca="1">stat(calculs!AN325)</f>
        <v>#NAME?</v>
      </c>
      <c r="AO325" s="523" t="e">
        <f ca="1">stat(calculs!AO325)</f>
        <v>#NAME?</v>
      </c>
      <c r="AP325" s="523" t="e">
        <f ca="1">stat(calculs!AP325)</f>
        <v>#NAME?</v>
      </c>
      <c r="AQ325" s="523" t="e">
        <f ca="1">stat(calculs!AQ325)</f>
        <v>#NAME?</v>
      </c>
      <c r="AV325" s="525" t="str">
        <f>stat(calculs!AV325)</f>
        <v/>
      </c>
      <c r="AW325" s="525" t="str">
        <f>stat(calculs!AW325)</f>
        <v/>
      </c>
      <c r="AX325" s="525" t="str">
        <f>stat(calculs!AX325)</f>
        <v/>
      </c>
      <c r="AY325" s="525" t="e">
        <f ca="1">stat(calculs!AY325)</f>
        <v>#NAME?</v>
      </c>
      <c r="AZ325" s="525" t="e">
        <f ca="1">stat(calculs!AZ325)</f>
        <v>#NAME?</v>
      </c>
      <c r="BA325" s="525" t="e">
        <f ca="1">stat(calculs!BA325)</f>
        <v>#NAME?</v>
      </c>
      <c r="BB325" s="525" t="e">
        <f ca="1">stat(calculs!BB325)</f>
        <v>#NAME?</v>
      </c>
      <c r="BC325" s="525" t="e">
        <f ca="1">stat(calculs!BC325)</f>
        <v>#NAME?</v>
      </c>
      <c r="BD325" s="525" t="e">
        <f ca="1">stat(calculs!BD325)</f>
        <v>#NAME?</v>
      </c>
      <c r="BE325" s="525" t="e">
        <f ca="1">stat(calculs!BE325)</f>
        <v>#NAME?</v>
      </c>
      <c r="BF325" s="525" t="e">
        <f ca="1">stat(calculs!BF325)</f>
        <v>#NAME?</v>
      </c>
      <c r="BG325" s="729" t="e">
        <f ca="1">stat(calculs!BG325)</f>
        <v>#NAME?</v>
      </c>
      <c r="BH325" s="729" t="e">
        <f ca="1">stat(calculs!BH325)</f>
        <v>#NAME?</v>
      </c>
      <c r="BI325" s="729" t="e">
        <f ca="1">stat(calculs!BI325)</f>
        <v>#NAME?</v>
      </c>
      <c r="BJ325" s="729" t="e">
        <f ca="1">stat(calculs!BJ325)</f>
        <v>#NAME?</v>
      </c>
      <c r="BK325" s="729" t="e">
        <f ca="1">stat(calculs!BK325)</f>
        <v>#NAME?</v>
      </c>
      <c r="BL325" s="525" t="e">
        <f ca="1">stat(calculs!BL325)</f>
        <v>#NAME?</v>
      </c>
      <c r="BM325" s="525" t="e">
        <f ca="1">stat(calculs!BM325)</f>
        <v>#NAME?</v>
      </c>
      <c r="BN325" s="525" t="e">
        <f ca="1">stat(calculs!BN325)</f>
        <v>#NAME?</v>
      </c>
      <c r="BO325" s="525" t="e">
        <f ca="1">stat(calculs!BO325)</f>
        <v>#NAME?</v>
      </c>
      <c r="BP325" s="525" t="e">
        <f ca="1">stat(calculs!BP325)</f>
        <v>#NAME?</v>
      </c>
      <c r="BQ325" s="525" t="e">
        <f ca="1">stat(calculs!BQ325)</f>
        <v>#NAME?</v>
      </c>
      <c r="BR325" s="525" t="e">
        <f ca="1">stat(calculs!BR325)</f>
        <v>#NAME?</v>
      </c>
    </row>
    <row r="326" spans="1:70" x14ac:dyDescent="0.2">
      <c r="A326" s="222">
        <f>données_step[[#This Row],[Datum]]</f>
        <v>44877</v>
      </c>
      <c r="B326" s="223"/>
      <c r="C326" s="224">
        <f t="shared" si="4"/>
        <v>7</v>
      </c>
      <c r="D326" s="523" t="e">
        <f ca="1">stat(charge_entree[[#This Row],[ch_E_DBO5]])</f>
        <v>#NAME?</v>
      </c>
      <c r="E326" s="523" t="e">
        <f ca="1">stat(charge_entree[[#This Row],[ch_E_DCO]])</f>
        <v>#NAME?</v>
      </c>
      <c r="F326" s="523" t="e">
        <f ca="1">stat(charge_entree[[#This Row],[ch_E_COT]])</f>
        <v>#NAME?</v>
      </c>
      <c r="G326" s="523" t="e">
        <f ca="1">stat(charge_entree[[#This Row],[ch_E_NH4]])</f>
        <v>#NAME?</v>
      </c>
      <c r="H326" s="523" t="e">
        <f ca="1">stat(charge_entree[[#This Row],[ch_E_NTOT]])</f>
        <v>#NAME?</v>
      </c>
      <c r="I326" s="523" t="e">
        <f ca="1">stat(charge_entree[[#This Row],[ch_E_PTOT]])</f>
        <v>#NAME?</v>
      </c>
      <c r="J326" s="523" t="e">
        <f ca="1">stat(charge_entree[[#This Row],[ch_S_DBO]])</f>
        <v>#NAME?</v>
      </c>
      <c r="K326" s="523" t="e">
        <f ca="1">stat(charge_entree[[#This Row],[ch_S-DCO]])</f>
        <v>#NAME?</v>
      </c>
      <c r="L326" s="523" t="e">
        <f ca="1">stat(charge_entree[[#This Row],[ch_S_DOC]])</f>
        <v>#NAME?</v>
      </c>
      <c r="M326" s="523" t="e">
        <f ca="1">stat(charge_entree[[#This Row],[ch_S_NH4]])</f>
        <v>#NAME?</v>
      </c>
      <c r="N326" s="523" t="e">
        <f ca="1">stat(charge_entree[[#This Row],[ch_S_NO2]])</f>
        <v>#NAME?</v>
      </c>
      <c r="O326" s="523" t="e">
        <f ca="1">stat(charge_entree[[#This Row],[ch_S_NO3]])</f>
        <v>#NAME?</v>
      </c>
      <c r="P326" s="523" t="e">
        <f ca="1">stat(charge_entree[[#This Row],[ch_S_PTOT]])</f>
        <v>#NAME?</v>
      </c>
      <c r="Q326" s="523" t="e">
        <f ca="1">stat(charge_entree[[#This Row],[ch_S_SNDT]])</f>
        <v>#NAME?</v>
      </c>
      <c r="R326" s="523">
        <f>calculs!R326</f>
        <v>0</v>
      </c>
      <c r="S326" s="523" t="e">
        <f ca="1">stat(calculs!S326)</f>
        <v>#NAME?</v>
      </c>
      <c r="T326" s="523" t="e">
        <f ca="1">stat(calculs!T326)</f>
        <v>#NAME?</v>
      </c>
      <c r="U326" s="523" t="e">
        <f ca="1">stat(calculs!U326)</f>
        <v>#NAME?</v>
      </c>
      <c r="V326" s="523" t="e">
        <f ca="1">stat(calculs!V326)</f>
        <v>#NAME?</v>
      </c>
      <c r="W326" s="523" t="e">
        <f ca="1">stat(calculs!W326)</f>
        <v>#NAME?</v>
      </c>
      <c r="X326" s="523" t="e">
        <f ca="1">stat(calculs!X326)</f>
        <v>#NAME?</v>
      </c>
      <c r="Y326" s="523" t="e">
        <f ca="1">stat(calculs!Y326)</f>
        <v>#NAME?</v>
      </c>
      <c r="Z326" s="523" t="e">
        <f ca="1">stat(calculs!Z326)</f>
        <v>#NAME?</v>
      </c>
      <c r="AA326" s="523" t="e">
        <f ca="1">stat(calculs!AA326)</f>
        <v>#NAME?</v>
      </c>
      <c r="AB326" s="523" t="e">
        <f ca="1">stat(calculs!AB326)</f>
        <v>#NAME?</v>
      </c>
      <c r="AC326" s="523" t="e">
        <f ca="1">stat(calculs!AC326)</f>
        <v>#NAME?</v>
      </c>
      <c r="AD326" s="523" t="e">
        <f ca="1">stat(calculs!AD326)</f>
        <v>#NAME?</v>
      </c>
      <c r="AE326" s="523" t="e">
        <f ca="1">stat(calculs!AE326)</f>
        <v>#NAME?</v>
      </c>
      <c r="AF326" s="523" t="e">
        <f ca="1">stat(calculs!AF326)</f>
        <v>#NAME?</v>
      </c>
      <c r="AG326" s="523" t="e">
        <f ca="1">stat(calculs!AG326)</f>
        <v>#NAME?</v>
      </c>
      <c r="AH326" s="523" t="e">
        <f ca="1">stat(calculs!AH326)</f>
        <v>#NAME?</v>
      </c>
      <c r="AI326" s="523" t="e">
        <f ca="1">stat(calculs!AI326)</f>
        <v>#NAME?</v>
      </c>
      <c r="AJ326" s="523" t="e">
        <f ca="1">stat(calculs!AJ326)</f>
        <v>#NAME?</v>
      </c>
      <c r="AK326" s="523" t="e">
        <f ca="1">stat(calculs!AK326)</f>
        <v>#NAME?</v>
      </c>
      <c r="AL326" s="523" t="e">
        <f ca="1">stat(calculs!AL326)</f>
        <v>#NAME?</v>
      </c>
      <c r="AM326" s="523" t="e">
        <f ca="1">stat(calculs!AM326)</f>
        <v>#NAME?</v>
      </c>
      <c r="AN326" s="523" t="e">
        <f ca="1">stat(calculs!AN326)</f>
        <v>#NAME?</v>
      </c>
      <c r="AO326" s="523" t="e">
        <f ca="1">stat(calculs!AO326)</f>
        <v>#NAME?</v>
      </c>
      <c r="AP326" s="523" t="e">
        <f ca="1">stat(calculs!AP326)</f>
        <v>#NAME?</v>
      </c>
      <c r="AQ326" s="523" t="e">
        <f ca="1">stat(calculs!AQ326)</f>
        <v>#NAME?</v>
      </c>
      <c r="AV326" s="525" t="str">
        <f>stat(calculs!AV326)</f>
        <v/>
      </c>
      <c r="AW326" s="525" t="str">
        <f>stat(calculs!AW326)</f>
        <v/>
      </c>
      <c r="AX326" s="525" t="str">
        <f>stat(calculs!AX326)</f>
        <v/>
      </c>
      <c r="AY326" s="525" t="e">
        <f ca="1">stat(calculs!AY326)</f>
        <v>#NAME?</v>
      </c>
      <c r="AZ326" s="525" t="e">
        <f ca="1">stat(calculs!AZ326)</f>
        <v>#NAME?</v>
      </c>
      <c r="BA326" s="525" t="e">
        <f ca="1">stat(calculs!BA326)</f>
        <v>#NAME?</v>
      </c>
      <c r="BB326" s="525" t="e">
        <f ca="1">stat(calculs!BB326)</f>
        <v>#NAME?</v>
      </c>
      <c r="BC326" s="525" t="e">
        <f ca="1">stat(calculs!BC326)</f>
        <v>#NAME?</v>
      </c>
      <c r="BD326" s="525" t="e">
        <f ca="1">stat(calculs!BD326)</f>
        <v>#NAME?</v>
      </c>
      <c r="BE326" s="525" t="e">
        <f ca="1">stat(calculs!BE326)</f>
        <v>#NAME?</v>
      </c>
      <c r="BF326" s="525" t="e">
        <f ca="1">stat(calculs!BF326)</f>
        <v>#NAME?</v>
      </c>
      <c r="BG326" s="729" t="e">
        <f ca="1">stat(calculs!BG326)</f>
        <v>#NAME?</v>
      </c>
      <c r="BH326" s="729" t="e">
        <f ca="1">stat(calculs!BH326)</f>
        <v>#NAME?</v>
      </c>
      <c r="BI326" s="729" t="e">
        <f ca="1">stat(calculs!BI326)</f>
        <v>#NAME?</v>
      </c>
      <c r="BJ326" s="729" t="e">
        <f ca="1">stat(calculs!BJ326)</f>
        <v>#NAME?</v>
      </c>
      <c r="BK326" s="729" t="e">
        <f ca="1">stat(calculs!BK326)</f>
        <v>#NAME?</v>
      </c>
      <c r="BL326" s="525" t="e">
        <f ca="1">stat(calculs!BL326)</f>
        <v>#NAME?</v>
      </c>
      <c r="BM326" s="525" t="e">
        <f ca="1">stat(calculs!BM326)</f>
        <v>#NAME?</v>
      </c>
      <c r="BN326" s="525" t="e">
        <f ca="1">stat(calculs!BN326)</f>
        <v>#NAME?</v>
      </c>
      <c r="BO326" s="525" t="e">
        <f ca="1">stat(calculs!BO326)</f>
        <v>#NAME?</v>
      </c>
      <c r="BP326" s="525" t="e">
        <f ca="1">stat(calculs!BP326)</f>
        <v>#NAME?</v>
      </c>
      <c r="BQ326" s="525" t="e">
        <f ca="1">stat(calculs!BQ326)</f>
        <v>#NAME?</v>
      </c>
      <c r="BR326" s="525" t="e">
        <f ca="1">stat(calculs!BR326)</f>
        <v>#NAME?</v>
      </c>
    </row>
    <row r="327" spans="1:70" x14ac:dyDescent="0.2">
      <c r="A327" s="222">
        <f>données_step[[#This Row],[Datum]]</f>
        <v>44878</v>
      </c>
      <c r="B327" s="223"/>
      <c r="C327" s="224">
        <f t="shared" si="4"/>
        <v>1</v>
      </c>
      <c r="D327" s="523" t="e">
        <f ca="1">stat(charge_entree[[#This Row],[ch_E_DBO5]])</f>
        <v>#NAME?</v>
      </c>
      <c r="E327" s="523" t="e">
        <f ca="1">stat(charge_entree[[#This Row],[ch_E_DCO]])</f>
        <v>#NAME?</v>
      </c>
      <c r="F327" s="523" t="e">
        <f ca="1">stat(charge_entree[[#This Row],[ch_E_COT]])</f>
        <v>#NAME?</v>
      </c>
      <c r="G327" s="523" t="e">
        <f ca="1">stat(charge_entree[[#This Row],[ch_E_NH4]])</f>
        <v>#NAME?</v>
      </c>
      <c r="H327" s="523" t="e">
        <f ca="1">stat(charge_entree[[#This Row],[ch_E_NTOT]])</f>
        <v>#NAME?</v>
      </c>
      <c r="I327" s="523" t="e">
        <f ca="1">stat(charge_entree[[#This Row],[ch_E_PTOT]])</f>
        <v>#NAME?</v>
      </c>
      <c r="J327" s="523" t="e">
        <f ca="1">stat(charge_entree[[#This Row],[ch_S_DBO]])</f>
        <v>#NAME?</v>
      </c>
      <c r="K327" s="523" t="e">
        <f ca="1">stat(charge_entree[[#This Row],[ch_S-DCO]])</f>
        <v>#NAME?</v>
      </c>
      <c r="L327" s="523" t="e">
        <f ca="1">stat(charge_entree[[#This Row],[ch_S_DOC]])</f>
        <v>#NAME?</v>
      </c>
      <c r="M327" s="523" t="e">
        <f ca="1">stat(charge_entree[[#This Row],[ch_S_NH4]])</f>
        <v>#NAME?</v>
      </c>
      <c r="N327" s="523" t="e">
        <f ca="1">stat(charge_entree[[#This Row],[ch_S_NO2]])</f>
        <v>#NAME?</v>
      </c>
      <c r="O327" s="523" t="e">
        <f ca="1">stat(charge_entree[[#This Row],[ch_S_NO3]])</f>
        <v>#NAME?</v>
      </c>
      <c r="P327" s="523" t="e">
        <f ca="1">stat(charge_entree[[#This Row],[ch_S_PTOT]])</f>
        <v>#NAME?</v>
      </c>
      <c r="Q327" s="523" t="e">
        <f ca="1">stat(charge_entree[[#This Row],[ch_S_SNDT]])</f>
        <v>#NAME?</v>
      </c>
      <c r="R327" s="523">
        <f>calculs!R327</f>
        <v>0</v>
      </c>
      <c r="S327" s="523" t="e">
        <f ca="1">stat(calculs!S327)</f>
        <v>#NAME?</v>
      </c>
      <c r="T327" s="523" t="e">
        <f ca="1">stat(calculs!T327)</f>
        <v>#NAME?</v>
      </c>
      <c r="U327" s="523" t="e">
        <f ca="1">stat(calculs!U327)</f>
        <v>#NAME?</v>
      </c>
      <c r="V327" s="523" t="e">
        <f ca="1">stat(calculs!V327)</f>
        <v>#NAME?</v>
      </c>
      <c r="W327" s="523" t="e">
        <f ca="1">stat(calculs!W327)</f>
        <v>#NAME?</v>
      </c>
      <c r="X327" s="523" t="e">
        <f ca="1">stat(calculs!X327)</f>
        <v>#NAME?</v>
      </c>
      <c r="Y327" s="523" t="e">
        <f ca="1">stat(calculs!Y327)</f>
        <v>#NAME?</v>
      </c>
      <c r="Z327" s="523" t="e">
        <f ca="1">stat(calculs!Z327)</f>
        <v>#NAME?</v>
      </c>
      <c r="AA327" s="523" t="e">
        <f ca="1">stat(calculs!AA327)</f>
        <v>#NAME?</v>
      </c>
      <c r="AB327" s="523" t="e">
        <f ca="1">stat(calculs!AB327)</f>
        <v>#NAME?</v>
      </c>
      <c r="AC327" s="523" t="e">
        <f ca="1">stat(calculs!AC327)</f>
        <v>#NAME?</v>
      </c>
      <c r="AD327" s="523" t="e">
        <f ca="1">stat(calculs!AD327)</f>
        <v>#NAME?</v>
      </c>
      <c r="AE327" s="523" t="e">
        <f ca="1">stat(calculs!AE327)</f>
        <v>#NAME?</v>
      </c>
      <c r="AF327" s="523" t="e">
        <f ca="1">stat(calculs!AF327)</f>
        <v>#NAME?</v>
      </c>
      <c r="AG327" s="523" t="e">
        <f ca="1">stat(calculs!AG327)</f>
        <v>#NAME?</v>
      </c>
      <c r="AH327" s="523" t="e">
        <f ca="1">stat(calculs!AH327)</f>
        <v>#NAME?</v>
      </c>
      <c r="AI327" s="523" t="e">
        <f ca="1">stat(calculs!AI327)</f>
        <v>#NAME?</v>
      </c>
      <c r="AJ327" s="523" t="e">
        <f ca="1">stat(calculs!AJ327)</f>
        <v>#NAME?</v>
      </c>
      <c r="AK327" s="523" t="e">
        <f ca="1">stat(calculs!AK327)</f>
        <v>#NAME?</v>
      </c>
      <c r="AL327" s="523" t="e">
        <f ca="1">stat(calculs!AL327)</f>
        <v>#NAME?</v>
      </c>
      <c r="AM327" s="523" t="e">
        <f ca="1">stat(calculs!AM327)</f>
        <v>#NAME?</v>
      </c>
      <c r="AN327" s="523" t="e">
        <f ca="1">stat(calculs!AN327)</f>
        <v>#NAME?</v>
      </c>
      <c r="AO327" s="523" t="e">
        <f ca="1">stat(calculs!AO327)</f>
        <v>#NAME?</v>
      </c>
      <c r="AP327" s="523" t="e">
        <f ca="1">stat(calculs!AP327)</f>
        <v>#NAME?</v>
      </c>
      <c r="AQ327" s="523" t="e">
        <f ca="1">stat(calculs!AQ327)</f>
        <v>#NAME?</v>
      </c>
      <c r="AV327" s="525" t="str">
        <f>stat(calculs!AV327)</f>
        <v/>
      </c>
      <c r="AW327" s="525" t="str">
        <f>stat(calculs!AW327)</f>
        <v/>
      </c>
      <c r="AX327" s="525" t="str">
        <f>stat(calculs!AX327)</f>
        <v/>
      </c>
      <c r="AY327" s="525" t="e">
        <f ca="1">stat(calculs!AY327)</f>
        <v>#NAME?</v>
      </c>
      <c r="AZ327" s="525" t="e">
        <f ca="1">stat(calculs!AZ327)</f>
        <v>#NAME?</v>
      </c>
      <c r="BA327" s="525" t="e">
        <f ca="1">stat(calculs!BA327)</f>
        <v>#NAME?</v>
      </c>
      <c r="BB327" s="525" t="e">
        <f ca="1">stat(calculs!BB327)</f>
        <v>#NAME?</v>
      </c>
      <c r="BC327" s="525" t="e">
        <f ca="1">stat(calculs!BC327)</f>
        <v>#NAME?</v>
      </c>
      <c r="BD327" s="525" t="e">
        <f ca="1">stat(calculs!BD327)</f>
        <v>#NAME?</v>
      </c>
      <c r="BE327" s="525" t="e">
        <f ca="1">stat(calculs!BE327)</f>
        <v>#NAME?</v>
      </c>
      <c r="BF327" s="525" t="e">
        <f ca="1">stat(calculs!BF327)</f>
        <v>#NAME?</v>
      </c>
      <c r="BG327" s="729" t="e">
        <f ca="1">stat(calculs!BG327)</f>
        <v>#NAME?</v>
      </c>
      <c r="BH327" s="729" t="e">
        <f ca="1">stat(calculs!BH327)</f>
        <v>#NAME?</v>
      </c>
      <c r="BI327" s="729" t="e">
        <f ca="1">stat(calculs!BI327)</f>
        <v>#NAME?</v>
      </c>
      <c r="BJ327" s="729" t="e">
        <f ca="1">stat(calculs!BJ327)</f>
        <v>#NAME?</v>
      </c>
      <c r="BK327" s="729" t="e">
        <f ca="1">stat(calculs!BK327)</f>
        <v>#NAME?</v>
      </c>
      <c r="BL327" s="525" t="e">
        <f ca="1">stat(calculs!BL327)</f>
        <v>#NAME?</v>
      </c>
      <c r="BM327" s="525" t="e">
        <f ca="1">stat(calculs!BM327)</f>
        <v>#NAME?</v>
      </c>
      <c r="BN327" s="525" t="e">
        <f ca="1">stat(calculs!BN327)</f>
        <v>#NAME?</v>
      </c>
      <c r="BO327" s="525" t="e">
        <f ca="1">stat(calculs!BO327)</f>
        <v>#NAME?</v>
      </c>
      <c r="BP327" s="525" t="e">
        <f ca="1">stat(calculs!BP327)</f>
        <v>#NAME?</v>
      </c>
      <c r="BQ327" s="525" t="e">
        <f ca="1">stat(calculs!BQ327)</f>
        <v>#NAME?</v>
      </c>
      <c r="BR327" s="525" t="e">
        <f ca="1">stat(calculs!BR327)</f>
        <v>#NAME?</v>
      </c>
    </row>
    <row r="328" spans="1:70" x14ac:dyDescent="0.2">
      <c r="A328" s="222">
        <f>données_step[[#This Row],[Datum]]</f>
        <v>44879</v>
      </c>
      <c r="B328" s="223"/>
      <c r="C328" s="224">
        <f t="shared" si="4"/>
        <v>2</v>
      </c>
      <c r="D328" s="523" t="e">
        <f ca="1">stat(charge_entree[[#This Row],[ch_E_DBO5]])</f>
        <v>#NAME?</v>
      </c>
      <c r="E328" s="523" t="e">
        <f ca="1">stat(charge_entree[[#This Row],[ch_E_DCO]])</f>
        <v>#NAME?</v>
      </c>
      <c r="F328" s="523" t="e">
        <f ca="1">stat(charge_entree[[#This Row],[ch_E_COT]])</f>
        <v>#NAME?</v>
      </c>
      <c r="G328" s="523" t="e">
        <f ca="1">stat(charge_entree[[#This Row],[ch_E_NH4]])</f>
        <v>#NAME?</v>
      </c>
      <c r="H328" s="523" t="e">
        <f ca="1">stat(charge_entree[[#This Row],[ch_E_NTOT]])</f>
        <v>#NAME?</v>
      </c>
      <c r="I328" s="523" t="e">
        <f ca="1">stat(charge_entree[[#This Row],[ch_E_PTOT]])</f>
        <v>#NAME?</v>
      </c>
      <c r="J328" s="523" t="e">
        <f ca="1">stat(charge_entree[[#This Row],[ch_S_DBO]])</f>
        <v>#NAME?</v>
      </c>
      <c r="K328" s="523" t="e">
        <f ca="1">stat(charge_entree[[#This Row],[ch_S-DCO]])</f>
        <v>#NAME?</v>
      </c>
      <c r="L328" s="523" t="e">
        <f ca="1">stat(charge_entree[[#This Row],[ch_S_DOC]])</f>
        <v>#NAME?</v>
      </c>
      <c r="M328" s="523" t="e">
        <f ca="1">stat(charge_entree[[#This Row],[ch_S_NH4]])</f>
        <v>#NAME?</v>
      </c>
      <c r="N328" s="523" t="e">
        <f ca="1">stat(charge_entree[[#This Row],[ch_S_NO2]])</f>
        <v>#NAME?</v>
      </c>
      <c r="O328" s="523" t="e">
        <f ca="1">stat(charge_entree[[#This Row],[ch_S_NO3]])</f>
        <v>#NAME?</v>
      </c>
      <c r="P328" s="523" t="e">
        <f ca="1">stat(charge_entree[[#This Row],[ch_S_PTOT]])</f>
        <v>#NAME?</v>
      </c>
      <c r="Q328" s="523" t="e">
        <f ca="1">stat(charge_entree[[#This Row],[ch_S_SNDT]])</f>
        <v>#NAME?</v>
      </c>
      <c r="R328" s="523">
        <f>calculs!R328</f>
        <v>0</v>
      </c>
      <c r="S328" s="523" t="e">
        <f ca="1">stat(calculs!S328)</f>
        <v>#NAME?</v>
      </c>
      <c r="T328" s="523" t="e">
        <f ca="1">stat(calculs!T328)</f>
        <v>#NAME?</v>
      </c>
      <c r="U328" s="523" t="e">
        <f ca="1">stat(calculs!U328)</f>
        <v>#NAME?</v>
      </c>
      <c r="V328" s="523" t="e">
        <f ca="1">stat(calculs!V328)</f>
        <v>#NAME?</v>
      </c>
      <c r="W328" s="523" t="e">
        <f ca="1">stat(calculs!W328)</f>
        <v>#NAME?</v>
      </c>
      <c r="X328" s="523" t="e">
        <f ca="1">stat(calculs!X328)</f>
        <v>#NAME?</v>
      </c>
      <c r="Y328" s="523" t="e">
        <f ca="1">stat(calculs!Y328)</f>
        <v>#NAME?</v>
      </c>
      <c r="Z328" s="523" t="e">
        <f ca="1">stat(calculs!Z328)</f>
        <v>#NAME?</v>
      </c>
      <c r="AA328" s="523" t="e">
        <f ca="1">stat(calculs!AA328)</f>
        <v>#NAME?</v>
      </c>
      <c r="AB328" s="523" t="e">
        <f ca="1">stat(calculs!AB328)</f>
        <v>#NAME?</v>
      </c>
      <c r="AC328" s="523" t="e">
        <f ca="1">stat(calculs!AC328)</f>
        <v>#NAME?</v>
      </c>
      <c r="AD328" s="523" t="e">
        <f ca="1">stat(calculs!AD328)</f>
        <v>#NAME?</v>
      </c>
      <c r="AE328" s="523" t="e">
        <f ca="1">stat(calculs!AE328)</f>
        <v>#NAME?</v>
      </c>
      <c r="AF328" s="523" t="e">
        <f ca="1">stat(calculs!AF328)</f>
        <v>#NAME?</v>
      </c>
      <c r="AG328" s="523" t="e">
        <f ca="1">stat(calculs!AG328)</f>
        <v>#NAME?</v>
      </c>
      <c r="AH328" s="523" t="e">
        <f ca="1">stat(calculs!AH328)</f>
        <v>#NAME?</v>
      </c>
      <c r="AI328" s="523" t="e">
        <f ca="1">stat(calculs!AI328)</f>
        <v>#NAME?</v>
      </c>
      <c r="AJ328" s="523" t="e">
        <f ca="1">stat(calculs!AJ328)</f>
        <v>#NAME?</v>
      </c>
      <c r="AK328" s="523" t="e">
        <f ca="1">stat(calculs!AK328)</f>
        <v>#NAME?</v>
      </c>
      <c r="AL328" s="523" t="e">
        <f ca="1">stat(calculs!AL328)</f>
        <v>#NAME?</v>
      </c>
      <c r="AM328" s="523" t="e">
        <f ca="1">stat(calculs!AM328)</f>
        <v>#NAME?</v>
      </c>
      <c r="AN328" s="523" t="e">
        <f ca="1">stat(calculs!AN328)</f>
        <v>#NAME?</v>
      </c>
      <c r="AO328" s="523" t="e">
        <f ca="1">stat(calculs!AO328)</f>
        <v>#NAME?</v>
      </c>
      <c r="AP328" s="523" t="e">
        <f ca="1">stat(calculs!AP328)</f>
        <v>#NAME?</v>
      </c>
      <c r="AQ328" s="523" t="e">
        <f ca="1">stat(calculs!AQ328)</f>
        <v>#NAME?</v>
      </c>
      <c r="AV328" s="525" t="str">
        <f>stat(calculs!AV328)</f>
        <v/>
      </c>
      <c r="AW328" s="525" t="str">
        <f>stat(calculs!AW328)</f>
        <v/>
      </c>
      <c r="AX328" s="525" t="str">
        <f>stat(calculs!AX328)</f>
        <v/>
      </c>
      <c r="AY328" s="525" t="e">
        <f ca="1">stat(calculs!AY328)</f>
        <v>#NAME?</v>
      </c>
      <c r="AZ328" s="525" t="e">
        <f ca="1">stat(calculs!AZ328)</f>
        <v>#NAME?</v>
      </c>
      <c r="BA328" s="525" t="e">
        <f ca="1">stat(calculs!BA328)</f>
        <v>#NAME?</v>
      </c>
      <c r="BB328" s="525" t="e">
        <f ca="1">stat(calculs!BB328)</f>
        <v>#NAME?</v>
      </c>
      <c r="BC328" s="525" t="e">
        <f ca="1">stat(calculs!BC328)</f>
        <v>#NAME?</v>
      </c>
      <c r="BD328" s="525" t="e">
        <f ca="1">stat(calculs!BD328)</f>
        <v>#NAME?</v>
      </c>
      <c r="BE328" s="525" t="e">
        <f ca="1">stat(calculs!BE328)</f>
        <v>#NAME?</v>
      </c>
      <c r="BF328" s="525" t="e">
        <f ca="1">stat(calculs!BF328)</f>
        <v>#NAME?</v>
      </c>
      <c r="BG328" s="729" t="e">
        <f ca="1">stat(calculs!BG328)</f>
        <v>#NAME?</v>
      </c>
      <c r="BH328" s="729" t="e">
        <f ca="1">stat(calculs!BH328)</f>
        <v>#NAME?</v>
      </c>
      <c r="BI328" s="729" t="e">
        <f ca="1">stat(calculs!BI328)</f>
        <v>#NAME?</v>
      </c>
      <c r="BJ328" s="729" t="e">
        <f ca="1">stat(calculs!BJ328)</f>
        <v>#NAME?</v>
      </c>
      <c r="BK328" s="729" t="e">
        <f ca="1">stat(calculs!BK328)</f>
        <v>#NAME?</v>
      </c>
      <c r="BL328" s="525" t="e">
        <f ca="1">stat(calculs!BL328)</f>
        <v>#NAME?</v>
      </c>
      <c r="BM328" s="525" t="e">
        <f ca="1">stat(calculs!BM328)</f>
        <v>#NAME?</v>
      </c>
      <c r="BN328" s="525" t="e">
        <f ca="1">stat(calculs!BN328)</f>
        <v>#NAME?</v>
      </c>
      <c r="BO328" s="525" t="e">
        <f ca="1">stat(calculs!BO328)</f>
        <v>#NAME?</v>
      </c>
      <c r="BP328" s="525" t="e">
        <f ca="1">stat(calculs!BP328)</f>
        <v>#NAME?</v>
      </c>
      <c r="BQ328" s="525" t="e">
        <f ca="1">stat(calculs!BQ328)</f>
        <v>#NAME?</v>
      </c>
      <c r="BR328" s="525" t="e">
        <f ca="1">stat(calculs!BR328)</f>
        <v>#NAME?</v>
      </c>
    </row>
    <row r="329" spans="1:70" x14ac:dyDescent="0.2">
      <c r="A329" s="222">
        <f>données_step[[#This Row],[Datum]]</f>
        <v>44880</v>
      </c>
      <c r="B329" s="223"/>
      <c r="C329" s="224">
        <f t="shared" si="4"/>
        <v>3</v>
      </c>
      <c r="D329" s="523" t="e">
        <f ca="1">stat(charge_entree[[#This Row],[ch_E_DBO5]])</f>
        <v>#NAME?</v>
      </c>
      <c r="E329" s="523" t="e">
        <f ca="1">stat(charge_entree[[#This Row],[ch_E_DCO]])</f>
        <v>#NAME?</v>
      </c>
      <c r="F329" s="523" t="e">
        <f ca="1">stat(charge_entree[[#This Row],[ch_E_COT]])</f>
        <v>#NAME?</v>
      </c>
      <c r="G329" s="523" t="e">
        <f ca="1">stat(charge_entree[[#This Row],[ch_E_NH4]])</f>
        <v>#NAME?</v>
      </c>
      <c r="H329" s="523" t="e">
        <f ca="1">stat(charge_entree[[#This Row],[ch_E_NTOT]])</f>
        <v>#NAME?</v>
      </c>
      <c r="I329" s="523" t="e">
        <f ca="1">stat(charge_entree[[#This Row],[ch_E_PTOT]])</f>
        <v>#NAME?</v>
      </c>
      <c r="J329" s="523" t="e">
        <f ca="1">stat(charge_entree[[#This Row],[ch_S_DBO]])</f>
        <v>#NAME?</v>
      </c>
      <c r="K329" s="523" t="e">
        <f ca="1">stat(charge_entree[[#This Row],[ch_S-DCO]])</f>
        <v>#NAME?</v>
      </c>
      <c r="L329" s="523" t="e">
        <f ca="1">stat(charge_entree[[#This Row],[ch_S_DOC]])</f>
        <v>#NAME?</v>
      </c>
      <c r="M329" s="523" t="e">
        <f ca="1">stat(charge_entree[[#This Row],[ch_S_NH4]])</f>
        <v>#NAME?</v>
      </c>
      <c r="N329" s="523" t="e">
        <f ca="1">stat(charge_entree[[#This Row],[ch_S_NO2]])</f>
        <v>#NAME?</v>
      </c>
      <c r="O329" s="523" t="e">
        <f ca="1">stat(charge_entree[[#This Row],[ch_S_NO3]])</f>
        <v>#NAME?</v>
      </c>
      <c r="P329" s="523" t="e">
        <f ca="1">stat(charge_entree[[#This Row],[ch_S_PTOT]])</f>
        <v>#NAME?</v>
      </c>
      <c r="Q329" s="523" t="e">
        <f ca="1">stat(charge_entree[[#This Row],[ch_S_SNDT]])</f>
        <v>#NAME?</v>
      </c>
      <c r="R329" s="523">
        <f>calculs!R329</f>
        <v>0</v>
      </c>
      <c r="S329" s="523" t="e">
        <f ca="1">stat(calculs!S329)</f>
        <v>#NAME?</v>
      </c>
      <c r="T329" s="523" t="e">
        <f ca="1">stat(calculs!T329)</f>
        <v>#NAME?</v>
      </c>
      <c r="U329" s="523" t="e">
        <f ca="1">stat(calculs!U329)</f>
        <v>#NAME?</v>
      </c>
      <c r="V329" s="523" t="e">
        <f ca="1">stat(calculs!V329)</f>
        <v>#NAME?</v>
      </c>
      <c r="W329" s="523" t="e">
        <f ca="1">stat(calculs!W329)</f>
        <v>#NAME?</v>
      </c>
      <c r="X329" s="523" t="e">
        <f ca="1">stat(calculs!X329)</f>
        <v>#NAME?</v>
      </c>
      <c r="Y329" s="523" t="e">
        <f ca="1">stat(calculs!Y329)</f>
        <v>#NAME?</v>
      </c>
      <c r="Z329" s="523" t="e">
        <f ca="1">stat(calculs!Z329)</f>
        <v>#NAME?</v>
      </c>
      <c r="AA329" s="523" t="e">
        <f ca="1">stat(calculs!AA329)</f>
        <v>#NAME?</v>
      </c>
      <c r="AB329" s="523" t="e">
        <f ca="1">stat(calculs!AB329)</f>
        <v>#NAME?</v>
      </c>
      <c r="AC329" s="523" t="e">
        <f ca="1">stat(calculs!AC329)</f>
        <v>#NAME?</v>
      </c>
      <c r="AD329" s="523" t="e">
        <f ca="1">stat(calculs!AD329)</f>
        <v>#NAME?</v>
      </c>
      <c r="AE329" s="523" t="e">
        <f ca="1">stat(calculs!AE329)</f>
        <v>#NAME?</v>
      </c>
      <c r="AF329" s="523" t="e">
        <f ca="1">stat(calculs!AF329)</f>
        <v>#NAME?</v>
      </c>
      <c r="AG329" s="523" t="e">
        <f ca="1">stat(calculs!AG329)</f>
        <v>#NAME?</v>
      </c>
      <c r="AH329" s="523" t="e">
        <f ca="1">stat(calculs!AH329)</f>
        <v>#NAME?</v>
      </c>
      <c r="AI329" s="523" t="e">
        <f ca="1">stat(calculs!AI329)</f>
        <v>#NAME?</v>
      </c>
      <c r="AJ329" s="523" t="e">
        <f ca="1">stat(calculs!AJ329)</f>
        <v>#NAME?</v>
      </c>
      <c r="AK329" s="523" t="e">
        <f ca="1">stat(calculs!AK329)</f>
        <v>#NAME?</v>
      </c>
      <c r="AL329" s="523" t="e">
        <f ca="1">stat(calculs!AL329)</f>
        <v>#NAME?</v>
      </c>
      <c r="AM329" s="523" t="e">
        <f ca="1">stat(calculs!AM329)</f>
        <v>#NAME?</v>
      </c>
      <c r="AN329" s="523" t="e">
        <f ca="1">stat(calculs!AN329)</f>
        <v>#NAME?</v>
      </c>
      <c r="AO329" s="523" t="e">
        <f ca="1">stat(calculs!AO329)</f>
        <v>#NAME?</v>
      </c>
      <c r="AP329" s="523" t="e">
        <f ca="1">stat(calculs!AP329)</f>
        <v>#NAME?</v>
      </c>
      <c r="AQ329" s="523" t="e">
        <f ca="1">stat(calculs!AQ329)</f>
        <v>#NAME?</v>
      </c>
      <c r="AV329" s="525" t="str">
        <f>stat(calculs!AV329)</f>
        <v/>
      </c>
      <c r="AW329" s="525" t="str">
        <f>stat(calculs!AW329)</f>
        <v/>
      </c>
      <c r="AX329" s="525" t="str">
        <f>stat(calculs!AX329)</f>
        <v/>
      </c>
      <c r="AY329" s="525" t="e">
        <f ca="1">stat(calculs!AY329)</f>
        <v>#NAME?</v>
      </c>
      <c r="AZ329" s="525" t="e">
        <f ca="1">stat(calculs!AZ329)</f>
        <v>#NAME?</v>
      </c>
      <c r="BA329" s="525" t="e">
        <f ca="1">stat(calculs!BA329)</f>
        <v>#NAME?</v>
      </c>
      <c r="BB329" s="525" t="e">
        <f ca="1">stat(calculs!BB329)</f>
        <v>#NAME?</v>
      </c>
      <c r="BC329" s="525" t="e">
        <f ca="1">stat(calculs!BC329)</f>
        <v>#NAME?</v>
      </c>
      <c r="BD329" s="525" t="e">
        <f ca="1">stat(calculs!BD329)</f>
        <v>#NAME?</v>
      </c>
      <c r="BE329" s="525" t="e">
        <f ca="1">stat(calculs!BE329)</f>
        <v>#NAME?</v>
      </c>
      <c r="BF329" s="525" t="e">
        <f ca="1">stat(calculs!BF329)</f>
        <v>#NAME?</v>
      </c>
      <c r="BG329" s="729" t="e">
        <f ca="1">stat(calculs!BG329)</f>
        <v>#NAME?</v>
      </c>
      <c r="BH329" s="729" t="e">
        <f ca="1">stat(calculs!BH329)</f>
        <v>#NAME?</v>
      </c>
      <c r="BI329" s="729" t="e">
        <f ca="1">stat(calculs!BI329)</f>
        <v>#NAME?</v>
      </c>
      <c r="BJ329" s="729" t="e">
        <f ca="1">stat(calculs!BJ329)</f>
        <v>#NAME?</v>
      </c>
      <c r="BK329" s="729" t="e">
        <f ca="1">stat(calculs!BK329)</f>
        <v>#NAME?</v>
      </c>
      <c r="BL329" s="525" t="e">
        <f ca="1">stat(calculs!BL329)</f>
        <v>#NAME?</v>
      </c>
      <c r="BM329" s="525" t="e">
        <f ca="1">stat(calculs!BM329)</f>
        <v>#NAME?</v>
      </c>
      <c r="BN329" s="525" t="e">
        <f ca="1">stat(calculs!BN329)</f>
        <v>#NAME?</v>
      </c>
      <c r="BO329" s="525" t="e">
        <f ca="1">stat(calculs!BO329)</f>
        <v>#NAME?</v>
      </c>
      <c r="BP329" s="525" t="e">
        <f ca="1">stat(calculs!BP329)</f>
        <v>#NAME?</v>
      </c>
      <c r="BQ329" s="525" t="e">
        <f ca="1">stat(calculs!BQ329)</f>
        <v>#NAME?</v>
      </c>
      <c r="BR329" s="525" t="e">
        <f ca="1">stat(calculs!BR329)</f>
        <v>#NAME?</v>
      </c>
    </row>
    <row r="330" spans="1:70" x14ac:dyDescent="0.2">
      <c r="A330" s="222">
        <f>données_step[[#This Row],[Datum]]</f>
        <v>44881</v>
      </c>
      <c r="B330" s="223"/>
      <c r="C330" s="224">
        <f t="shared" si="4"/>
        <v>4</v>
      </c>
      <c r="D330" s="523" t="e">
        <f ca="1">stat(charge_entree[[#This Row],[ch_E_DBO5]])</f>
        <v>#NAME?</v>
      </c>
      <c r="E330" s="523" t="e">
        <f ca="1">stat(charge_entree[[#This Row],[ch_E_DCO]])</f>
        <v>#NAME?</v>
      </c>
      <c r="F330" s="523" t="e">
        <f ca="1">stat(charge_entree[[#This Row],[ch_E_COT]])</f>
        <v>#NAME?</v>
      </c>
      <c r="G330" s="523" t="e">
        <f ca="1">stat(charge_entree[[#This Row],[ch_E_NH4]])</f>
        <v>#NAME?</v>
      </c>
      <c r="H330" s="523" t="e">
        <f ca="1">stat(charge_entree[[#This Row],[ch_E_NTOT]])</f>
        <v>#NAME?</v>
      </c>
      <c r="I330" s="523" t="e">
        <f ca="1">stat(charge_entree[[#This Row],[ch_E_PTOT]])</f>
        <v>#NAME?</v>
      </c>
      <c r="J330" s="523" t="e">
        <f ca="1">stat(charge_entree[[#This Row],[ch_S_DBO]])</f>
        <v>#NAME?</v>
      </c>
      <c r="K330" s="523" t="e">
        <f ca="1">stat(charge_entree[[#This Row],[ch_S-DCO]])</f>
        <v>#NAME?</v>
      </c>
      <c r="L330" s="523" t="e">
        <f ca="1">stat(charge_entree[[#This Row],[ch_S_DOC]])</f>
        <v>#NAME?</v>
      </c>
      <c r="M330" s="523" t="e">
        <f ca="1">stat(charge_entree[[#This Row],[ch_S_NH4]])</f>
        <v>#NAME?</v>
      </c>
      <c r="N330" s="523" t="e">
        <f ca="1">stat(charge_entree[[#This Row],[ch_S_NO2]])</f>
        <v>#NAME?</v>
      </c>
      <c r="O330" s="523" t="e">
        <f ca="1">stat(charge_entree[[#This Row],[ch_S_NO3]])</f>
        <v>#NAME?</v>
      </c>
      <c r="P330" s="523" t="e">
        <f ca="1">stat(charge_entree[[#This Row],[ch_S_PTOT]])</f>
        <v>#NAME?</v>
      </c>
      <c r="Q330" s="523" t="e">
        <f ca="1">stat(charge_entree[[#This Row],[ch_S_SNDT]])</f>
        <v>#NAME?</v>
      </c>
      <c r="R330" s="523">
        <f>calculs!R330</f>
        <v>0</v>
      </c>
      <c r="S330" s="523" t="e">
        <f ca="1">stat(calculs!S330)</f>
        <v>#NAME?</v>
      </c>
      <c r="T330" s="523" t="e">
        <f ca="1">stat(calculs!T330)</f>
        <v>#NAME?</v>
      </c>
      <c r="U330" s="523" t="e">
        <f ca="1">stat(calculs!U330)</f>
        <v>#NAME?</v>
      </c>
      <c r="V330" s="523" t="e">
        <f ca="1">stat(calculs!V330)</f>
        <v>#NAME?</v>
      </c>
      <c r="W330" s="523" t="e">
        <f ca="1">stat(calculs!W330)</f>
        <v>#NAME?</v>
      </c>
      <c r="X330" s="523" t="e">
        <f ca="1">stat(calculs!X330)</f>
        <v>#NAME?</v>
      </c>
      <c r="Y330" s="523" t="e">
        <f ca="1">stat(calculs!Y330)</f>
        <v>#NAME?</v>
      </c>
      <c r="Z330" s="523" t="e">
        <f ca="1">stat(calculs!Z330)</f>
        <v>#NAME?</v>
      </c>
      <c r="AA330" s="523" t="e">
        <f ca="1">stat(calculs!AA330)</f>
        <v>#NAME?</v>
      </c>
      <c r="AB330" s="523" t="e">
        <f ca="1">stat(calculs!AB330)</f>
        <v>#NAME?</v>
      </c>
      <c r="AC330" s="523" t="e">
        <f ca="1">stat(calculs!AC330)</f>
        <v>#NAME?</v>
      </c>
      <c r="AD330" s="523" t="e">
        <f ca="1">stat(calculs!AD330)</f>
        <v>#NAME?</v>
      </c>
      <c r="AE330" s="523" t="e">
        <f ca="1">stat(calculs!AE330)</f>
        <v>#NAME?</v>
      </c>
      <c r="AF330" s="523" t="e">
        <f ca="1">stat(calculs!AF330)</f>
        <v>#NAME?</v>
      </c>
      <c r="AG330" s="523" t="e">
        <f ca="1">stat(calculs!AG330)</f>
        <v>#NAME?</v>
      </c>
      <c r="AH330" s="523" t="e">
        <f ca="1">stat(calculs!AH330)</f>
        <v>#NAME?</v>
      </c>
      <c r="AI330" s="523" t="e">
        <f ca="1">stat(calculs!AI330)</f>
        <v>#NAME?</v>
      </c>
      <c r="AJ330" s="523" t="e">
        <f ca="1">stat(calculs!AJ330)</f>
        <v>#NAME?</v>
      </c>
      <c r="AK330" s="523" t="e">
        <f ca="1">stat(calculs!AK330)</f>
        <v>#NAME?</v>
      </c>
      <c r="AL330" s="523" t="e">
        <f ca="1">stat(calculs!AL330)</f>
        <v>#NAME?</v>
      </c>
      <c r="AM330" s="523" t="e">
        <f ca="1">stat(calculs!AM330)</f>
        <v>#NAME?</v>
      </c>
      <c r="AN330" s="523" t="e">
        <f ca="1">stat(calculs!AN330)</f>
        <v>#NAME?</v>
      </c>
      <c r="AO330" s="523" t="e">
        <f ca="1">stat(calculs!AO330)</f>
        <v>#NAME?</v>
      </c>
      <c r="AP330" s="523" t="e">
        <f ca="1">stat(calculs!AP330)</f>
        <v>#NAME?</v>
      </c>
      <c r="AQ330" s="523" t="e">
        <f ca="1">stat(calculs!AQ330)</f>
        <v>#NAME?</v>
      </c>
      <c r="AV330" s="525" t="str">
        <f>stat(calculs!AV330)</f>
        <v/>
      </c>
      <c r="AW330" s="525" t="str">
        <f>stat(calculs!AW330)</f>
        <v/>
      </c>
      <c r="AX330" s="525" t="str">
        <f>stat(calculs!AX330)</f>
        <v/>
      </c>
      <c r="AY330" s="525" t="e">
        <f ca="1">stat(calculs!AY330)</f>
        <v>#NAME?</v>
      </c>
      <c r="AZ330" s="525" t="e">
        <f ca="1">stat(calculs!AZ330)</f>
        <v>#NAME?</v>
      </c>
      <c r="BA330" s="525" t="e">
        <f ca="1">stat(calculs!BA330)</f>
        <v>#NAME?</v>
      </c>
      <c r="BB330" s="525" t="e">
        <f ca="1">stat(calculs!BB330)</f>
        <v>#NAME?</v>
      </c>
      <c r="BC330" s="525" t="e">
        <f ca="1">stat(calculs!BC330)</f>
        <v>#NAME?</v>
      </c>
      <c r="BD330" s="525" t="e">
        <f ca="1">stat(calculs!BD330)</f>
        <v>#NAME?</v>
      </c>
      <c r="BE330" s="525" t="e">
        <f ca="1">stat(calculs!BE330)</f>
        <v>#NAME?</v>
      </c>
      <c r="BF330" s="525" t="e">
        <f ca="1">stat(calculs!BF330)</f>
        <v>#NAME?</v>
      </c>
      <c r="BG330" s="729" t="e">
        <f ca="1">stat(calculs!BG330)</f>
        <v>#NAME?</v>
      </c>
      <c r="BH330" s="729" t="e">
        <f ca="1">stat(calculs!BH330)</f>
        <v>#NAME?</v>
      </c>
      <c r="BI330" s="729" t="e">
        <f ca="1">stat(calculs!BI330)</f>
        <v>#NAME?</v>
      </c>
      <c r="BJ330" s="729" t="e">
        <f ca="1">stat(calculs!BJ330)</f>
        <v>#NAME?</v>
      </c>
      <c r="BK330" s="729" t="e">
        <f ca="1">stat(calculs!BK330)</f>
        <v>#NAME?</v>
      </c>
      <c r="BL330" s="525" t="e">
        <f ca="1">stat(calculs!BL330)</f>
        <v>#NAME?</v>
      </c>
      <c r="BM330" s="525" t="e">
        <f ca="1">stat(calculs!BM330)</f>
        <v>#NAME?</v>
      </c>
      <c r="BN330" s="525" t="e">
        <f ca="1">stat(calculs!BN330)</f>
        <v>#NAME?</v>
      </c>
      <c r="BO330" s="525" t="e">
        <f ca="1">stat(calculs!BO330)</f>
        <v>#NAME?</v>
      </c>
      <c r="BP330" s="525" t="e">
        <f ca="1">stat(calculs!BP330)</f>
        <v>#NAME?</v>
      </c>
      <c r="BQ330" s="525" t="e">
        <f ca="1">stat(calculs!BQ330)</f>
        <v>#NAME?</v>
      </c>
      <c r="BR330" s="525" t="e">
        <f ca="1">stat(calculs!BR330)</f>
        <v>#NAME?</v>
      </c>
    </row>
    <row r="331" spans="1:70" x14ac:dyDescent="0.2">
      <c r="A331" s="222">
        <f>données_step[[#This Row],[Datum]]</f>
        <v>44882</v>
      </c>
      <c r="B331" s="223"/>
      <c r="C331" s="224">
        <f t="shared" si="4"/>
        <v>5</v>
      </c>
      <c r="D331" s="523" t="e">
        <f ca="1">stat(charge_entree[[#This Row],[ch_E_DBO5]])</f>
        <v>#NAME?</v>
      </c>
      <c r="E331" s="523" t="e">
        <f ca="1">stat(charge_entree[[#This Row],[ch_E_DCO]])</f>
        <v>#NAME?</v>
      </c>
      <c r="F331" s="523" t="e">
        <f ca="1">stat(charge_entree[[#This Row],[ch_E_COT]])</f>
        <v>#NAME?</v>
      </c>
      <c r="G331" s="523" t="e">
        <f ca="1">stat(charge_entree[[#This Row],[ch_E_NH4]])</f>
        <v>#NAME?</v>
      </c>
      <c r="H331" s="523" t="e">
        <f ca="1">stat(charge_entree[[#This Row],[ch_E_NTOT]])</f>
        <v>#NAME?</v>
      </c>
      <c r="I331" s="523" t="e">
        <f ca="1">stat(charge_entree[[#This Row],[ch_E_PTOT]])</f>
        <v>#NAME?</v>
      </c>
      <c r="J331" s="523" t="e">
        <f ca="1">stat(charge_entree[[#This Row],[ch_S_DBO]])</f>
        <v>#NAME?</v>
      </c>
      <c r="K331" s="523" t="e">
        <f ca="1">stat(charge_entree[[#This Row],[ch_S-DCO]])</f>
        <v>#NAME?</v>
      </c>
      <c r="L331" s="523" t="e">
        <f ca="1">stat(charge_entree[[#This Row],[ch_S_DOC]])</f>
        <v>#NAME?</v>
      </c>
      <c r="M331" s="523" t="e">
        <f ca="1">stat(charge_entree[[#This Row],[ch_S_NH4]])</f>
        <v>#NAME?</v>
      </c>
      <c r="N331" s="523" t="e">
        <f ca="1">stat(charge_entree[[#This Row],[ch_S_NO2]])</f>
        <v>#NAME?</v>
      </c>
      <c r="O331" s="523" t="e">
        <f ca="1">stat(charge_entree[[#This Row],[ch_S_NO3]])</f>
        <v>#NAME?</v>
      </c>
      <c r="P331" s="523" t="e">
        <f ca="1">stat(charge_entree[[#This Row],[ch_S_PTOT]])</f>
        <v>#NAME?</v>
      </c>
      <c r="Q331" s="523" t="e">
        <f ca="1">stat(charge_entree[[#This Row],[ch_S_SNDT]])</f>
        <v>#NAME?</v>
      </c>
      <c r="R331" s="523">
        <f>calculs!R331</f>
        <v>0</v>
      </c>
      <c r="S331" s="523" t="e">
        <f ca="1">stat(calculs!S331)</f>
        <v>#NAME?</v>
      </c>
      <c r="T331" s="523" t="e">
        <f ca="1">stat(calculs!T331)</f>
        <v>#NAME?</v>
      </c>
      <c r="U331" s="523" t="e">
        <f ca="1">stat(calculs!U331)</f>
        <v>#NAME?</v>
      </c>
      <c r="V331" s="523" t="e">
        <f ca="1">stat(calculs!V331)</f>
        <v>#NAME?</v>
      </c>
      <c r="W331" s="523" t="e">
        <f ca="1">stat(calculs!W331)</f>
        <v>#NAME?</v>
      </c>
      <c r="X331" s="523" t="e">
        <f ca="1">stat(calculs!X331)</f>
        <v>#NAME?</v>
      </c>
      <c r="Y331" s="523" t="e">
        <f ca="1">stat(calculs!Y331)</f>
        <v>#NAME?</v>
      </c>
      <c r="Z331" s="523" t="e">
        <f ca="1">stat(calculs!Z331)</f>
        <v>#NAME?</v>
      </c>
      <c r="AA331" s="523" t="e">
        <f ca="1">stat(calculs!AA331)</f>
        <v>#NAME?</v>
      </c>
      <c r="AB331" s="523" t="e">
        <f ca="1">stat(calculs!AB331)</f>
        <v>#NAME?</v>
      </c>
      <c r="AC331" s="523" t="e">
        <f ca="1">stat(calculs!AC331)</f>
        <v>#NAME?</v>
      </c>
      <c r="AD331" s="523" t="e">
        <f ca="1">stat(calculs!AD331)</f>
        <v>#NAME?</v>
      </c>
      <c r="AE331" s="523" t="e">
        <f ca="1">stat(calculs!AE331)</f>
        <v>#NAME?</v>
      </c>
      <c r="AF331" s="523" t="e">
        <f ca="1">stat(calculs!AF331)</f>
        <v>#NAME?</v>
      </c>
      <c r="AG331" s="523" t="e">
        <f ca="1">stat(calculs!AG331)</f>
        <v>#NAME?</v>
      </c>
      <c r="AH331" s="523" t="e">
        <f ca="1">stat(calculs!AH331)</f>
        <v>#NAME?</v>
      </c>
      <c r="AI331" s="523" t="e">
        <f ca="1">stat(calculs!AI331)</f>
        <v>#NAME?</v>
      </c>
      <c r="AJ331" s="523" t="e">
        <f ca="1">stat(calculs!AJ331)</f>
        <v>#NAME?</v>
      </c>
      <c r="AK331" s="523" t="e">
        <f ca="1">stat(calculs!AK331)</f>
        <v>#NAME?</v>
      </c>
      <c r="AL331" s="523" t="e">
        <f ca="1">stat(calculs!AL331)</f>
        <v>#NAME?</v>
      </c>
      <c r="AM331" s="523" t="e">
        <f ca="1">stat(calculs!AM331)</f>
        <v>#NAME?</v>
      </c>
      <c r="AN331" s="523" t="e">
        <f ca="1">stat(calculs!AN331)</f>
        <v>#NAME?</v>
      </c>
      <c r="AO331" s="523" t="e">
        <f ca="1">stat(calculs!AO331)</f>
        <v>#NAME?</v>
      </c>
      <c r="AP331" s="523" t="e">
        <f ca="1">stat(calculs!AP331)</f>
        <v>#NAME?</v>
      </c>
      <c r="AQ331" s="523" t="e">
        <f ca="1">stat(calculs!AQ331)</f>
        <v>#NAME?</v>
      </c>
      <c r="AV331" s="525" t="str">
        <f>stat(calculs!AV331)</f>
        <v/>
      </c>
      <c r="AW331" s="525" t="str">
        <f>stat(calculs!AW331)</f>
        <v/>
      </c>
      <c r="AX331" s="525" t="str">
        <f>stat(calculs!AX331)</f>
        <v/>
      </c>
      <c r="AY331" s="525" t="e">
        <f ca="1">stat(calculs!AY331)</f>
        <v>#NAME?</v>
      </c>
      <c r="AZ331" s="525" t="e">
        <f ca="1">stat(calculs!AZ331)</f>
        <v>#NAME?</v>
      </c>
      <c r="BA331" s="525" t="e">
        <f ca="1">stat(calculs!BA331)</f>
        <v>#NAME?</v>
      </c>
      <c r="BB331" s="525" t="e">
        <f ca="1">stat(calculs!BB331)</f>
        <v>#NAME?</v>
      </c>
      <c r="BC331" s="525" t="e">
        <f ca="1">stat(calculs!BC331)</f>
        <v>#NAME?</v>
      </c>
      <c r="BD331" s="525" t="e">
        <f ca="1">stat(calculs!BD331)</f>
        <v>#NAME?</v>
      </c>
      <c r="BE331" s="525" t="e">
        <f ca="1">stat(calculs!BE331)</f>
        <v>#NAME?</v>
      </c>
      <c r="BF331" s="525" t="e">
        <f ca="1">stat(calculs!BF331)</f>
        <v>#NAME?</v>
      </c>
      <c r="BG331" s="729" t="e">
        <f ca="1">stat(calculs!BG331)</f>
        <v>#NAME?</v>
      </c>
      <c r="BH331" s="729" t="e">
        <f ca="1">stat(calculs!BH331)</f>
        <v>#NAME?</v>
      </c>
      <c r="BI331" s="729" t="e">
        <f ca="1">stat(calculs!BI331)</f>
        <v>#NAME?</v>
      </c>
      <c r="BJ331" s="729" t="e">
        <f ca="1">stat(calculs!BJ331)</f>
        <v>#NAME?</v>
      </c>
      <c r="BK331" s="729" t="e">
        <f ca="1">stat(calculs!BK331)</f>
        <v>#NAME?</v>
      </c>
      <c r="BL331" s="525" t="e">
        <f ca="1">stat(calculs!BL331)</f>
        <v>#NAME?</v>
      </c>
      <c r="BM331" s="525" t="e">
        <f ca="1">stat(calculs!BM331)</f>
        <v>#NAME?</v>
      </c>
      <c r="BN331" s="525" t="e">
        <f ca="1">stat(calculs!BN331)</f>
        <v>#NAME?</v>
      </c>
      <c r="BO331" s="525" t="e">
        <f ca="1">stat(calculs!BO331)</f>
        <v>#NAME?</v>
      </c>
      <c r="BP331" s="525" t="e">
        <f ca="1">stat(calculs!BP331)</f>
        <v>#NAME?</v>
      </c>
      <c r="BQ331" s="525" t="e">
        <f ca="1">stat(calculs!BQ331)</f>
        <v>#NAME?</v>
      </c>
      <c r="BR331" s="525" t="e">
        <f ca="1">stat(calculs!BR331)</f>
        <v>#NAME?</v>
      </c>
    </row>
    <row r="332" spans="1:70" x14ac:dyDescent="0.2">
      <c r="A332" s="222">
        <f>données_step[[#This Row],[Datum]]</f>
        <v>44883</v>
      </c>
      <c r="B332" s="223"/>
      <c r="C332" s="224">
        <f t="shared" ref="C332:C375" si="5">WEEKDAY(A332)</f>
        <v>6</v>
      </c>
      <c r="D332" s="523" t="e">
        <f ca="1">stat(charge_entree[[#This Row],[ch_E_DBO5]])</f>
        <v>#NAME?</v>
      </c>
      <c r="E332" s="523" t="e">
        <f ca="1">stat(charge_entree[[#This Row],[ch_E_DCO]])</f>
        <v>#NAME?</v>
      </c>
      <c r="F332" s="523" t="e">
        <f ca="1">stat(charge_entree[[#This Row],[ch_E_COT]])</f>
        <v>#NAME?</v>
      </c>
      <c r="G332" s="523" t="e">
        <f ca="1">stat(charge_entree[[#This Row],[ch_E_NH4]])</f>
        <v>#NAME?</v>
      </c>
      <c r="H332" s="523" t="e">
        <f ca="1">stat(charge_entree[[#This Row],[ch_E_NTOT]])</f>
        <v>#NAME?</v>
      </c>
      <c r="I332" s="523" t="e">
        <f ca="1">stat(charge_entree[[#This Row],[ch_E_PTOT]])</f>
        <v>#NAME?</v>
      </c>
      <c r="J332" s="523" t="e">
        <f ca="1">stat(charge_entree[[#This Row],[ch_S_DBO]])</f>
        <v>#NAME?</v>
      </c>
      <c r="K332" s="523" t="e">
        <f ca="1">stat(charge_entree[[#This Row],[ch_S-DCO]])</f>
        <v>#NAME?</v>
      </c>
      <c r="L332" s="523" t="e">
        <f ca="1">stat(charge_entree[[#This Row],[ch_S_DOC]])</f>
        <v>#NAME?</v>
      </c>
      <c r="M332" s="523" t="e">
        <f ca="1">stat(charge_entree[[#This Row],[ch_S_NH4]])</f>
        <v>#NAME?</v>
      </c>
      <c r="N332" s="523" t="e">
        <f ca="1">stat(charge_entree[[#This Row],[ch_S_NO2]])</f>
        <v>#NAME?</v>
      </c>
      <c r="O332" s="523" t="e">
        <f ca="1">stat(charge_entree[[#This Row],[ch_S_NO3]])</f>
        <v>#NAME?</v>
      </c>
      <c r="P332" s="523" t="e">
        <f ca="1">stat(charge_entree[[#This Row],[ch_S_PTOT]])</f>
        <v>#NAME?</v>
      </c>
      <c r="Q332" s="523" t="e">
        <f ca="1">stat(charge_entree[[#This Row],[ch_S_SNDT]])</f>
        <v>#NAME?</v>
      </c>
      <c r="R332" s="523">
        <f>calculs!R332</f>
        <v>0</v>
      </c>
      <c r="S332" s="523" t="e">
        <f ca="1">stat(calculs!S332)</f>
        <v>#NAME?</v>
      </c>
      <c r="T332" s="523" t="e">
        <f ca="1">stat(calculs!T332)</f>
        <v>#NAME?</v>
      </c>
      <c r="U332" s="523" t="e">
        <f ca="1">stat(calculs!U332)</f>
        <v>#NAME?</v>
      </c>
      <c r="V332" s="523" t="e">
        <f ca="1">stat(calculs!V332)</f>
        <v>#NAME?</v>
      </c>
      <c r="W332" s="523" t="e">
        <f ca="1">stat(calculs!W332)</f>
        <v>#NAME?</v>
      </c>
      <c r="X332" s="523" t="e">
        <f ca="1">stat(calculs!X332)</f>
        <v>#NAME?</v>
      </c>
      <c r="Y332" s="523" t="e">
        <f ca="1">stat(calculs!Y332)</f>
        <v>#NAME?</v>
      </c>
      <c r="Z332" s="523" t="e">
        <f ca="1">stat(calculs!Z332)</f>
        <v>#NAME?</v>
      </c>
      <c r="AA332" s="523" t="e">
        <f ca="1">stat(calculs!AA332)</f>
        <v>#NAME?</v>
      </c>
      <c r="AB332" s="523" t="e">
        <f ca="1">stat(calculs!AB332)</f>
        <v>#NAME?</v>
      </c>
      <c r="AC332" s="523" t="e">
        <f ca="1">stat(calculs!AC332)</f>
        <v>#NAME?</v>
      </c>
      <c r="AD332" s="523" t="e">
        <f ca="1">stat(calculs!AD332)</f>
        <v>#NAME?</v>
      </c>
      <c r="AE332" s="523" t="e">
        <f ca="1">stat(calculs!AE332)</f>
        <v>#NAME?</v>
      </c>
      <c r="AF332" s="523" t="e">
        <f ca="1">stat(calculs!AF332)</f>
        <v>#NAME?</v>
      </c>
      <c r="AG332" s="523" t="e">
        <f ca="1">stat(calculs!AG332)</f>
        <v>#NAME?</v>
      </c>
      <c r="AH332" s="523" t="e">
        <f ca="1">stat(calculs!AH332)</f>
        <v>#NAME?</v>
      </c>
      <c r="AI332" s="523" t="e">
        <f ca="1">stat(calculs!AI332)</f>
        <v>#NAME?</v>
      </c>
      <c r="AJ332" s="523" t="e">
        <f ca="1">stat(calculs!AJ332)</f>
        <v>#NAME?</v>
      </c>
      <c r="AK332" s="523" t="e">
        <f ca="1">stat(calculs!AK332)</f>
        <v>#NAME?</v>
      </c>
      <c r="AL332" s="523" t="e">
        <f ca="1">stat(calculs!AL332)</f>
        <v>#NAME?</v>
      </c>
      <c r="AM332" s="523" t="e">
        <f ca="1">stat(calculs!AM332)</f>
        <v>#NAME?</v>
      </c>
      <c r="AN332" s="523" t="e">
        <f ca="1">stat(calculs!AN332)</f>
        <v>#NAME?</v>
      </c>
      <c r="AO332" s="523" t="e">
        <f ca="1">stat(calculs!AO332)</f>
        <v>#NAME?</v>
      </c>
      <c r="AP332" s="523" t="e">
        <f ca="1">stat(calculs!AP332)</f>
        <v>#NAME?</v>
      </c>
      <c r="AQ332" s="523" t="e">
        <f ca="1">stat(calculs!AQ332)</f>
        <v>#NAME?</v>
      </c>
      <c r="AV332" s="525" t="str">
        <f>stat(calculs!AV332)</f>
        <v/>
      </c>
      <c r="AW332" s="525" t="str">
        <f>stat(calculs!AW332)</f>
        <v/>
      </c>
      <c r="AX332" s="525" t="str">
        <f>stat(calculs!AX332)</f>
        <v/>
      </c>
      <c r="AY332" s="525" t="e">
        <f ca="1">stat(calculs!AY332)</f>
        <v>#NAME?</v>
      </c>
      <c r="AZ332" s="525" t="e">
        <f ca="1">stat(calculs!AZ332)</f>
        <v>#NAME?</v>
      </c>
      <c r="BA332" s="525" t="e">
        <f ca="1">stat(calculs!BA332)</f>
        <v>#NAME?</v>
      </c>
      <c r="BB332" s="525" t="e">
        <f ca="1">stat(calculs!BB332)</f>
        <v>#NAME?</v>
      </c>
      <c r="BC332" s="525" t="e">
        <f ca="1">stat(calculs!BC332)</f>
        <v>#NAME?</v>
      </c>
      <c r="BD332" s="525" t="e">
        <f ca="1">stat(calculs!BD332)</f>
        <v>#NAME?</v>
      </c>
      <c r="BE332" s="525" t="e">
        <f ca="1">stat(calculs!BE332)</f>
        <v>#NAME?</v>
      </c>
      <c r="BF332" s="525" t="e">
        <f ca="1">stat(calculs!BF332)</f>
        <v>#NAME?</v>
      </c>
      <c r="BG332" s="729" t="e">
        <f ca="1">stat(calculs!BG332)</f>
        <v>#NAME?</v>
      </c>
      <c r="BH332" s="729" t="e">
        <f ca="1">stat(calculs!BH332)</f>
        <v>#NAME?</v>
      </c>
      <c r="BI332" s="729" t="e">
        <f ca="1">stat(calculs!BI332)</f>
        <v>#NAME?</v>
      </c>
      <c r="BJ332" s="729" t="e">
        <f ca="1">stat(calculs!BJ332)</f>
        <v>#NAME?</v>
      </c>
      <c r="BK332" s="729" t="e">
        <f ca="1">stat(calculs!BK332)</f>
        <v>#NAME?</v>
      </c>
      <c r="BL332" s="525" t="e">
        <f ca="1">stat(calculs!BL332)</f>
        <v>#NAME?</v>
      </c>
      <c r="BM332" s="525" t="e">
        <f ca="1">stat(calculs!BM332)</f>
        <v>#NAME?</v>
      </c>
      <c r="BN332" s="525" t="e">
        <f ca="1">stat(calculs!BN332)</f>
        <v>#NAME?</v>
      </c>
      <c r="BO332" s="525" t="e">
        <f ca="1">stat(calculs!BO332)</f>
        <v>#NAME?</v>
      </c>
      <c r="BP332" s="525" t="e">
        <f ca="1">stat(calculs!BP332)</f>
        <v>#NAME?</v>
      </c>
      <c r="BQ332" s="525" t="e">
        <f ca="1">stat(calculs!BQ332)</f>
        <v>#NAME?</v>
      </c>
      <c r="BR332" s="525" t="e">
        <f ca="1">stat(calculs!BR332)</f>
        <v>#NAME?</v>
      </c>
    </row>
    <row r="333" spans="1:70" x14ac:dyDescent="0.2">
      <c r="A333" s="222">
        <f>données_step[[#This Row],[Datum]]</f>
        <v>44884</v>
      </c>
      <c r="B333" s="223"/>
      <c r="C333" s="224">
        <f t="shared" si="5"/>
        <v>7</v>
      </c>
      <c r="D333" s="523" t="e">
        <f ca="1">stat(charge_entree[[#This Row],[ch_E_DBO5]])</f>
        <v>#NAME?</v>
      </c>
      <c r="E333" s="523" t="e">
        <f ca="1">stat(charge_entree[[#This Row],[ch_E_DCO]])</f>
        <v>#NAME?</v>
      </c>
      <c r="F333" s="523" t="e">
        <f ca="1">stat(charge_entree[[#This Row],[ch_E_COT]])</f>
        <v>#NAME?</v>
      </c>
      <c r="G333" s="523" t="e">
        <f ca="1">stat(charge_entree[[#This Row],[ch_E_NH4]])</f>
        <v>#NAME?</v>
      </c>
      <c r="H333" s="523" t="e">
        <f ca="1">stat(charge_entree[[#This Row],[ch_E_NTOT]])</f>
        <v>#NAME?</v>
      </c>
      <c r="I333" s="523" t="e">
        <f ca="1">stat(charge_entree[[#This Row],[ch_E_PTOT]])</f>
        <v>#NAME?</v>
      </c>
      <c r="J333" s="523" t="e">
        <f ca="1">stat(charge_entree[[#This Row],[ch_S_DBO]])</f>
        <v>#NAME?</v>
      </c>
      <c r="K333" s="523" t="e">
        <f ca="1">stat(charge_entree[[#This Row],[ch_S-DCO]])</f>
        <v>#NAME?</v>
      </c>
      <c r="L333" s="523" t="e">
        <f ca="1">stat(charge_entree[[#This Row],[ch_S_DOC]])</f>
        <v>#NAME?</v>
      </c>
      <c r="M333" s="523" t="e">
        <f ca="1">stat(charge_entree[[#This Row],[ch_S_NH4]])</f>
        <v>#NAME?</v>
      </c>
      <c r="N333" s="523" t="e">
        <f ca="1">stat(charge_entree[[#This Row],[ch_S_NO2]])</f>
        <v>#NAME?</v>
      </c>
      <c r="O333" s="523" t="e">
        <f ca="1">stat(charge_entree[[#This Row],[ch_S_NO3]])</f>
        <v>#NAME?</v>
      </c>
      <c r="P333" s="523" t="e">
        <f ca="1">stat(charge_entree[[#This Row],[ch_S_PTOT]])</f>
        <v>#NAME?</v>
      </c>
      <c r="Q333" s="523" t="e">
        <f ca="1">stat(charge_entree[[#This Row],[ch_S_SNDT]])</f>
        <v>#NAME?</v>
      </c>
      <c r="R333" s="523">
        <f>calculs!R333</f>
        <v>0</v>
      </c>
      <c r="S333" s="523" t="e">
        <f ca="1">stat(calculs!S333)</f>
        <v>#NAME?</v>
      </c>
      <c r="T333" s="523" t="e">
        <f ca="1">stat(calculs!T333)</f>
        <v>#NAME?</v>
      </c>
      <c r="U333" s="523" t="e">
        <f ca="1">stat(calculs!U333)</f>
        <v>#NAME?</v>
      </c>
      <c r="V333" s="523" t="e">
        <f ca="1">stat(calculs!V333)</f>
        <v>#NAME?</v>
      </c>
      <c r="W333" s="523" t="e">
        <f ca="1">stat(calculs!W333)</f>
        <v>#NAME?</v>
      </c>
      <c r="X333" s="523" t="e">
        <f ca="1">stat(calculs!X333)</f>
        <v>#NAME?</v>
      </c>
      <c r="Y333" s="523" t="e">
        <f ca="1">stat(calculs!Y333)</f>
        <v>#NAME?</v>
      </c>
      <c r="Z333" s="523" t="e">
        <f ca="1">stat(calculs!Z333)</f>
        <v>#NAME?</v>
      </c>
      <c r="AA333" s="523" t="e">
        <f ca="1">stat(calculs!AA333)</f>
        <v>#NAME?</v>
      </c>
      <c r="AB333" s="523" t="e">
        <f ca="1">stat(calculs!AB333)</f>
        <v>#NAME?</v>
      </c>
      <c r="AC333" s="523" t="e">
        <f ca="1">stat(calculs!AC333)</f>
        <v>#NAME?</v>
      </c>
      <c r="AD333" s="523" t="e">
        <f ca="1">stat(calculs!AD333)</f>
        <v>#NAME?</v>
      </c>
      <c r="AE333" s="523" t="e">
        <f ca="1">stat(calculs!AE333)</f>
        <v>#NAME?</v>
      </c>
      <c r="AF333" s="523" t="e">
        <f ca="1">stat(calculs!AF333)</f>
        <v>#NAME?</v>
      </c>
      <c r="AG333" s="523" t="e">
        <f ca="1">stat(calculs!AG333)</f>
        <v>#NAME?</v>
      </c>
      <c r="AH333" s="523" t="e">
        <f ca="1">stat(calculs!AH333)</f>
        <v>#NAME?</v>
      </c>
      <c r="AI333" s="523" t="e">
        <f ca="1">stat(calculs!AI333)</f>
        <v>#NAME?</v>
      </c>
      <c r="AJ333" s="523" t="e">
        <f ca="1">stat(calculs!AJ333)</f>
        <v>#NAME?</v>
      </c>
      <c r="AK333" s="523" t="e">
        <f ca="1">stat(calculs!AK333)</f>
        <v>#NAME?</v>
      </c>
      <c r="AL333" s="523" t="e">
        <f ca="1">stat(calculs!AL333)</f>
        <v>#NAME?</v>
      </c>
      <c r="AM333" s="523" t="e">
        <f ca="1">stat(calculs!AM333)</f>
        <v>#NAME?</v>
      </c>
      <c r="AN333" s="523" t="e">
        <f ca="1">stat(calculs!AN333)</f>
        <v>#NAME?</v>
      </c>
      <c r="AO333" s="523" t="e">
        <f ca="1">stat(calculs!AO333)</f>
        <v>#NAME?</v>
      </c>
      <c r="AP333" s="523" t="e">
        <f ca="1">stat(calculs!AP333)</f>
        <v>#NAME?</v>
      </c>
      <c r="AQ333" s="523" t="e">
        <f ca="1">stat(calculs!AQ333)</f>
        <v>#NAME?</v>
      </c>
      <c r="AV333" s="525" t="str">
        <f>stat(calculs!AV333)</f>
        <v/>
      </c>
      <c r="AW333" s="525" t="str">
        <f>stat(calculs!AW333)</f>
        <v/>
      </c>
      <c r="AX333" s="525" t="str">
        <f>stat(calculs!AX333)</f>
        <v/>
      </c>
      <c r="AY333" s="525" t="e">
        <f ca="1">stat(calculs!AY333)</f>
        <v>#NAME?</v>
      </c>
      <c r="AZ333" s="525" t="e">
        <f ca="1">stat(calculs!AZ333)</f>
        <v>#NAME?</v>
      </c>
      <c r="BA333" s="525" t="e">
        <f ca="1">stat(calculs!BA333)</f>
        <v>#NAME?</v>
      </c>
      <c r="BB333" s="525" t="e">
        <f ca="1">stat(calculs!BB333)</f>
        <v>#NAME?</v>
      </c>
      <c r="BC333" s="525" t="e">
        <f ca="1">stat(calculs!BC333)</f>
        <v>#NAME?</v>
      </c>
      <c r="BD333" s="525" t="e">
        <f ca="1">stat(calculs!BD333)</f>
        <v>#NAME?</v>
      </c>
      <c r="BE333" s="525" t="e">
        <f ca="1">stat(calculs!BE333)</f>
        <v>#NAME?</v>
      </c>
      <c r="BF333" s="525" t="e">
        <f ca="1">stat(calculs!BF333)</f>
        <v>#NAME?</v>
      </c>
      <c r="BG333" s="729" t="e">
        <f ca="1">stat(calculs!BG333)</f>
        <v>#NAME?</v>
      </c>
      <c r="BH333" s="729" t="e">
        <f ca="1">stat(calculs!BH333)</f>
        <v>#NAME?</v>
      </c>
      <c r="BI333" s="729" t="e">
        <f ca="1">stat(calculs!BI333)</f>
        <v>#NAME?</v>
      </c>
      <c r="BJ333" s="729" t="e">
        <f ca="1">stat(calculs!BJ333)</f>
        <v>#NAME?</v>
      </c>
      <c r="BK333" s="729" t="e">
        <f ca="1">stat(calculs!BK333)</f>
        <v>#NAME?</v>
      </c>
      <c r="BL333" s="525" t="e">
        <f ca="1">stat(calculs!BL333)</f>
        <v>#NAME?</v>
      </c>
      <c r="BM333" s="525" t="e">
        <f ca="1">stat(calculs!BM333)</f>
        <v>#NAME?</v>
      </c>
      <c r="BN333" s="525" t="e">
        <f ca="1">stat(calculs!BN333)</f>
        <v>#NAME?</v>
      </c>
      <c r="BO333" s="525" t="e">
        <f ca="1">stat(calculs!BO333)</f>
        <v>#NAME?</v>
      </c>
      <c r="BP333" s="525" t="e">
        <f ca="1">stat(calculs!BP333)</f>
        <v>#NAME?</v>
      </c>
      <c r="BQ333" s="525" t="e">
        <f ca="1">stat(calculs!BQ333)</f>
        <v>#NAME?</v>
      </c>
      <c r="BR333" s="525" t="e">
        <f ca="1">stat(calculs!BR333)</f>
        <v>#NAME?</v>
      </c>
    </row>
    <row r="334" spans="1:70" x14ac:dyDescent="0.2">
      <c r="A334" s="222">
        <f>données_step[[#This Row],[Datum]]</f>
        <v>44885</v>
      </c>
      <c r="B334" s="223"/>
      <c r="C334" s="224">
        <f t="shared" si="5"/>
        <v>1</v>
      </c>
      <c r="D334" s="523" t="e">
        <f ca="1">stat(charge_entree[[#This Row],[ch_E_DBO5]])</f>
        <v>#NAME?</v>
      </c>
      <c r="E334" s="523" t="e">
        <f ca="1">stat(charge_entree[[#This Row],[ch_E_DCO]])</f>
        <v>#NAME?</v>
      </c>
      <c r="F334" s="523" t="e">
        <f ca="1">stat(charge_entree[[#This Row],[ch_E_COT]])</f>
        <v>#NAME?</v>
      </c>
      <c r="G334" s="523" t="e">
        <f ca="1">stat(charge_entree[[#This Row],[ch_E_NH4]])</f>
        <v>#NAME?</v>
      </c>
      <c r="H334" s="523" t="e">
        <f ca="1">stat(charge_entree[[#This Row],[ch_E_NTOT]])</f>
        <v>#NAME?</v>
      </c>
      <c r="I334" s="523" t="e">
        <f ca="1">stat(charge_entree[[#This Row],[ch_E_PTOT]])</f>
        <v>#NAME?</v>
      </c>
      <c r="J334" s="523" t="e">
        <f ca="1">stat(charge_entree[[#This Row],[ch_S_DBO]])</f>
        <v>#NAME?</v>
      </c>
      <c r="K334" s="523" t="e">
        <f ca="1">stat(charge_entree[[#This Row],[ch_S-DCO]])</f>
        <v>#NAME?</v>
      </c>
      <c r="L334" s="523" t="e">
        <f ca="1">stat(charge_entree[[#This Row],[ch_S_DOC]])</f>
        <v>#NAME?</v>
      </c>
      <c r="M334" s="523" t="e">
        <f ca="1">stat(charge_entree[[#This Row],[ch_S_NH4]])</f>
        <v>#NAME?</v>
      </c>
      <c r="N334" s="523" t="e">
        <f ca="1">stat(charge_entree[[#This Row],[ch_S_NO2]])</f>
        <v>#NAME?</v>
      </c>
      <c r="O334" s="523" t="e">
        <f ca="1">stat(charge_entree[[#This Row],[ch_S_NO3]])</f>
        <v>#NAME?</v>
      </c>
      <c r="P334" s="523" t="e">
        <f ca="1">stat(charge_entree[[#This Row],[ch_S_PTOT]])</f>
        <v>#NAME?</v>
      </c>
      <c r="Q334" s="523" t="e">
        <f ca="1">stat(charge_entree[[#This Row],[ch_S_SNDT]])</f>
        <v>#NAME?</v>
      </c>
      <c r="R334" s="523">
        <f>calculs!R334</f>
        <v>0</v>
      </c>
      <c r="S334" s="523" t="e">
        <f ca="1">stat(calculs!S334)</f>
        <v>#NAME?</v>
      </c>
      <c r="T334" s="523" t="e">
        <f ca="1">stat(calculs!T334)</f>
        <v>#NAME?</v>
      </c>
      <c r="U334" s="523" t="e">
        <f ca="1">stat(calculs!U334)</f>
        <v>#NAME?</v>
      </c>
      <c r="V334" s="523" t="e">
        <f ca="1">stat(calculs!V334)</f>
        <v>#NAME?</v>
      </c>
      <c r="W334" s="523" t="e">
        <f ca="1">stat(calculs!W334)</f>
        <v>#NAME?</v>
      </c>
      <c r="X334" s="523" t="e">
        <f ca="1">stat(calculs!X334)</f>
        <v>#NAME?</v>
      </c>
      <c r="Y334" s="523" t="e">
        <f ca="1">stat(calculs!Y334)</f>
        <v>#NAME?</v>
      </c>
      <c r="Z334" s="523" t="e">
        <f ca="1">stat(calculs!Z334)</f>
        <v>#NAME?</v>
      </c>
      <c r="AA334" s="523" t="e">
        <f ca="1">stat(calculs!AA334)</f>
        <v>#NAME?</v>
      </c>
      <c r="AB334" s="523" t="e">
        <f ca="1">stat(calculs!AB334)</f>
        <v>#NAME?</v>
      </c>
      <c r="AC334" s="523" t="e">
        <f ca="1">stat(calculs!AC334)</f>
        <v>#NAME?</v>
      </c>
      <c r="AD334" s="523" t="e">
        <f ca="1">stat(calculs!AD334)</f>
        <v>#NAME?</v>
      </c>
      <c r="AE334" s="523" t="e">
        <f ca="1">stat(calculs!AE334)</f>
        <v>#NAME?</v>
      </c>
      <c r="AF334" s="523" t="e">
        <f ca="1">stat(calculs!AF334)</f>
        <v>#NAME?</v>
      </c>
      <c r="AG334" s="523" t="e">
        <f ca="1">stat(calculs!AG334)</f>
        <v>#NAME?</v>
      </c>
      <c r="AH334" s="523" t="e">
        <f ca="1">stat(calculs!AH334)</f>
        <v>#NAME?</v>
      </c>
      <c r="AI334" s="523" t="e">
        <f ca="1">stat(calculs!AI334)</f>
        <v>#NAME?</v>
      </c>
      <c r="AJ334" s="523" t="e">
        <f ca="1">stat(calculs!AJ334)</f>
        <v>#NAME?</v>
      </c>
      <c r="AK334" s="523" t="e">
        <f ca="1">stat(calculs!AK334)</f>
        <v>#NAME?</v>
      </c>
      <c r="AL334" s="523" t="e">
        <f ca="1">stat(calculs!AL334)</f>
        <v>#NAME?</v>
      </c>
      <c r="AM334" s="523" t="e">
        <f ca="1">stat(calculs!AM334)</f>
        <v>#NAME?</v>
      </c>
      <c r="AN334" s="523" t="e">
        <f ca="1">stat(calculs!AN334)</f>
        <v>#NAME?</v>
      </c>
      <c r="AO334" s="523" t="e">
        <f ca="1">stat(calculs!AO334)</f>
        <v>#NAME?</v>
      </c>
      <c r="AP334" s="523" t="e">
        <f ca="1">stat(calculs!AP334)</f>
        <v>#NAME?</v>
      </c>
      <c r="AQ334" s="523" t="e">
        <f ca="1">stat(calculs!AQ334)</f>
        <v>#NAME?</v>
      </c>
      <c r="AV334" s="525" t="str">
        <f>stat(calculs!AV334)</f>
        <v/>
      </c>
      <c r="AW334" s="525" t="str">
        <f>stat(calculs!AW334)</f>
        <v/>
      </c>
      <c r="AX334" s="525" t="str">
        <f>stat(calculs!AX334)</f>
        <v/>
      </c>
      <c r="AY334" s="525" t="e">
        <f ca="1">stat(calculs!AY334)</f>
        <v>#NAME?</v>
      </c>
      <c r="AZ334" s="525" t="e">
        <f ca="1">stat(calculs!AZ334)</f>
        <v>#NAME?</v>
      </c>
      <c r="BA334" s="525" t="e">
        <f ca="1">stat(calculs!BA334)</f>
        <v>#NAME?</v>
      </c>
      <c r="BB334" s="525" t="e">
        <f ca="1">stat(calculs!BB334)</f>
        <v>#NAME?</v>
      </c>
      <c r="BC334" s="525" t="e">
        <f ca="1">stat(calculs!BC334)</f>
        <v>#NAME?</v>
      </c>
      <c r="BD334" s="525" t="e">
        <f ca="1">stat(calculs!BD334)</f>
        <v>#NAME?</v>
      </c>
      <c r="BE334" s="525" t="e">
        <f ca="1">stat(calculs!BE334)</f>
        <v>#NAME?</v>
      </c>
      <c r="BF334" s="525" t="e">
        <f ca="1">stat(calculs!BF334)</f>
        <v>#NAME?</v>
      </c>
      <c r="BG334" s="729" t="e">
        <f ca="1">stat(calculs!BG334)</f>
        <v>#NAME?</v>
      </c>
      <c r="BH334" s="729" t="e">
        <f ca="1">stat(calculs!BH334)</f>
        <v>#NAME?</v>
      </c>
      <c r="BI334" s="729" t="e">
        <f ca="1">stat(calculs!BI334)</f>
        <v>#NAME?</v>
      </c>
      <c r="BJ334" s="729" t="e">
        <f ca="1">stat(calculs!BJ334)</f>
        <v>#NAME?</v>
      </c>
      <c r="BK334" s="729" t="e">
        <f ca="1">stat(calculs!BK334)</f>
        <v>#NAME?</v>
      </c>
      <c r="BL334" s="525" t="e">
        <f ca="1">stat(calculs!BL334)</f>
        <v>#NAME?</v>
      </c>
      <c r="BM334" s="525" t="e">
        <f ca="1">stat(calculs!BM334)</f>
        <v>#NAME?</v>
      </c>
      <c r="BN334" s="525" t="e">
        <f ca="1">stat(calculs!BN334)</f>
        <v>#NAME?</v>
      </c>
      <c r="BO334" s="525" t="e">
        <f ca="1">stat(calculs!BO334)</f>
        <v>#NAME?</v>
      </c>
      <c r="BP334" s="525" t="e">
        <f ca="1">stat(calculs!BP334)</f>
        <v>#NAME?</v>
      </c>
      <c r="BQ334" s="525" t="e">
        <f ca="1">stat(calculs!BQ334)</f>
        <v>#NAME?</v>
      </c>
      <c r="BR334" s="525" t="e">
        <f ca="1">stat(calculs!BR334)</f>
        <v>#NAME?</v>
      </c>
    </row>
    <row r="335" spans="1:70" x14ac:dyDescent="0.2">
      <c r="A335" s="222">
        <f>données_step[[#This Row],[Datum]]</f>
        <v>44886</v>
      </c>
      <c r="B335" s="223"/>
      <c r="C335" s="224">
        <f t="shared" si="5"/>
        <v>2</v>
      </c>
      <c r="D335" s="523" t="e">
        <f ca="1">stat(charge_entree[[#This Row],[ch_E_DBO5]])</f>
        <v>#NAME?</v>
      </c>
      <c r="E335" s="523" t="e">
        <f ca="1">stat(charge_entree[[#This Row],[ch_E_DCO]])</f>
        <v>#NAME?</v>
      </c>
      <c r="F335" s="523" t="e">
        <f ca="1">stat(charge_entree[[#This Row],[ch_E_COT]])</f>
        <v>#NAME?</v>
      </c>
      <c r="G335" s="523" t="e">
        <f ca="1">stat(charge_entree[[#This Row],[ch_E_NH4]])</f>
        <v>#NAME?</v>
      </c>
      <c r="H335" s="523" t="e">
        <f ca="1">stat(charge_entree[[#This Row],[ch_E_NTOT]])</f>
        <v>#NAME?</v>
      </c>
      <c r="I335" s="523" t="e">
        <f ca="1">stat(charge_entree[[#This Row],[ch_E_PTOT]])</f>
        <v>#NAME?</v>
      </c>
      <c r="J335" s="523" t="e">
        <f ca="1">stat(charge_entree[[#This Row],[ch_S_DBO]])</f>
        <v>#NAME?</v>
      </c>
      <c r="K335" s="523" t="e">
        <f ca="1">stat(charge_entree[[#This Row],[ch_S-DCO]])</f>
        <v>#NAME?</v>
      </c>
      <c r="L335" s="523" t="e">
        <f ca="1">stat(charge_entree[[#This Row],[ch_S_DOC]])</f>
        <v>#NAME?</v>
      </c>
      <c r="M335" s="523" t="e">
        <f ca="1">stat(charge_entree[[#This Row],[ch_S_NH4]])</f>
        <v>#NAME?</v>
      </c>
      <c r="N335" s="523" t="e">
        <f ca="1">stat(charge_entree[[#This Row],[ch_S_NO2]])</f>
        <v>#NAME?</v>
      </c>
      <c r="O335" s="523" t="e">
        <f ca="1">stat(charge_entree[[#This Row],[ch_S_NO3]])</f>
        <v>#NAME?</v>
      </c>
      <c r="P335" s="523" t="e">
        <f ca="1">stat(charge_entree[[#This Row],[ch_S_PTOT]])</f>
        <v>#NAME?</v>
      </c>
      <c r="Q335" s="523" t="e">
        <f ca="1">stat(charge_entree[[#This Row],[ch_S_SNDT]])</f>
        <v>#NAME?</v>
      </c>
      <c r="R335" s="523">
        <f>calculs!R335</f>
        <v>0</v>
      </c>
      <c r="S335" s="523" t="e">
        <f ca="1">stat(calculs!S335)</f>
        <v>#NAME?</v>
      </c>
      <c r="T335" s="523" t="e">
        <f ca="1">stat(calculs!T335)</f>
        <v>#NAME?</v>
      </c>
      <c r="U335" s="523" t="e">
        <f ca="1">stat(calculs!U335)</f>
        <v>#NAME?</v>
      </c>
      <c r="V335" s="523" t="e">
        <f ca="1">stat(calculs!V335)</f>
        <v>#NAME?</v>
      </c>
      <c r="W335" s="523" t="e">
        <f ca="1">stat(calculs!W335)</f>
        <v>#NAME?</v>
      </c>
      <c r="X335" s="523" t="e">
        <f ca="1">stat(calculs!X335)</f>
        <v>#NAME?</v>
      </c>
      <c r="Y335" s="523" t="e">
        <f ca="1">stat(calculs!Y335)</f>
        <v>#NAME?</v>
      </c>
      <c r="Z335" s="523" t="e">
        <f ca="1">stat(calculs!Z335)</f>
        <v>#NAME?</v>
      </c>
      <c r="AA335" s="523" t="e">
        <f ca="1">stat(calculs!AA335)</f>
        <v>#NAME?</v>
      </c>
      <c r="AB335" s="523" t="e">
        <f ca="1">stat(calculs!AB335)</f>
        <v>#NAME?</v>
      </c>
      <c r="AC335" s="523" t="e">
        <f ca="1">stat(calculs!AC335)</f>
        <v>#NAME?</v>
      </c>
      <c r="AD335" s="523" t="e">
        <f ca="1">stat(calculs!AD335)</f>
        <v>#NAME?</v>
      </c>
      <c r="AE335" s="523" t="e">
        <f ca="1">stat(calculs!AE335)</f>
        <v>#NAME?</v>
      </c>
      <c r="AF335" s="523" t="e">
        <f ca="1">stat(calculs!AF335)</f>
        <v>#NAME?</v>
      </c>
      <c r="AG335" s="523" t="e">
        <f ca="1">stat(calculs!AG335)</f>
        <v>#NAME?</v>
      </c>
      <c r="AH335" s="523" t="e">
        <f ca="1">stat(calculs!AH335)</f>
        <v>#NAME?</v>
      </c>
      <c r="AI335" s="523" t="e">
        <f ca="1">stat(calculs!AI335)</f>
        <v>#NAME?</v>
      </c>
      <c r="AJ335" s="523" t="e">
        <f ca="1">stat(calculs!AJ335)</f>
        <v>#NAME?</v>
      </c>
      <c r="AK335" s="523" t="e">
        <f ca="1">stat(calculs!AK335)</f>
        <v>#NAME?</v>
      </c>
      <c r="AL335" s="523" t="e">
        <f ca="1">stat(calculs!AL335)</f>
        <v>#NAME?</v>
      </c>
      <c r="AM335" s="523" t="e">
        <f ca="1">stat(calculs!AM335)</f>
        <v>#NAME?</v>
      </c>
      <c r="AN335" s="523" t="e">
        <f ca="1">stat(calculs!AN335)</f>
        <v>#NAME?</v>
      </c>
      <c r="AO335" s="523" t="e">
        <f ca="1">stat(calculs!AO335)</f>
        <v>#NAME?</v>
      </c>
      <c r="AP335" s="523" t="e">
        <f ca="1">stat(calculs!AP335)</f>
        <v>#NAME?</v>
      </c>
      <c r="AQ335" s="523" t="e">
        <f ca="1">stat(calculs!AQ335)</f>
        <v>#NAME?</v>
      </c>
      <c r="AV335" s="525" t="str">
        <f>stat(calculs!AV335)</f>
        <v/>
      </c>
      <c r="AW335" s="525" t="str">
        <f>stat(calculs!AW335)</f>
        <v/>
      </c>
      <c r="AX335" s="525" t="str">
        <f>stat(calculs!AX335)</f>
        <v/>
      </c>
      <c r="AY335" s="525" t="e">
        <f ca="1">stat(calculs!AY335)</f>
        <v>#NAME?</v>
      </c>
      <c r="AZ335" s="525" t="e">
        <f ca="1">stat(calculs!AZ335)</f>
        <v>#NAME?</v>
      </c>
      <c r="BA335" s="525" t="e">
        <f ca="1">stat(calculs!BA335)</f>
        <v>#NAME?</v>
      </c>
      <c r="BB335" s="525" t="e">
        <f ca="1">stat(calculs!BB335)</f>
        <v>#NAME?</v>
      </c>
      <c r="BC335" s="525" t="e">
        <f ca="1">stat(calculs!BC335)</f>
        <v>#NAME?</v>
      </c>
      <c r="BD335" s="525" t="e">
        <f ca="1">stat(calculs!BD335)</f>
        <v>#NAME?</v>
      </c>
      <c r="BE335" s="525" t="e">
        <f ca="1">stat(calculs!BE335)</f>
        <v>#NAME?</v>
      </c>
      <c r="BF335" s="525" t="e">
        <f ca="1">stat(calculs!BF335)</f>
        <v>#NAME?</v>
      </c>
      <c r="BG335" s="729" t="e">
        <f ca="1">stat(calculs!BG335)</f>
        <v>#NAME?</v>
      </c>
      <c r="BH335" s="729" t="e">
        <f ca="1">stat(calculs!BH335)</f>
        <v>#NAME?</v>
      </c>
      <c r="BI335" s="729" t="e">
        <f ca="1">stat(calculs!BI335)</f>
        <v>#NAME?</v>
      </c>
      <c r="BJ335" s="729" t="e">
        <f ca="1">stat(calculs!BJ335)</f>
        <v>#NAME?</v>
      </c>
      <c r="BK335" s="729" t="e">
        <f ca="1">stat(calculs!BK335)</f>
        <v>#NAME?</v>
      </c>
      <c r="BL335" s="525" t="e">
        <f ca="1">stat(calculs!BL335)</f>
        <v>#NAME?</v>
      </c>
      <c r="BM335" s="525" t="e">
        <f ca="1">stat(calculs!BM335)</f>
        <v>#NAME?</v>
      </c>
      <c r="BN335" s="525" t="e">
        <f ca="1">stat(calculs!BN335)</f>
        <v>#NAME?</v>
      </c>
      <c r="BO335" s="525" t="e">
        <f ca="1">stat(calculs!BO335)</f>
        <v>#NAME?</v>
      </c>
      <c r="BP335" s="525" t="e">
        <f ca="1">stat(calculs!BP335)</f>
        <v>#NAME?</v>
      </c>
      <c r="BQ335" s="525" t="e">
        <f ca="1">stat(calculs!BQ335)</f>
        <v>#NAME?</v>
      </c>
      <c r="BR335" s="525" t="e">
        <f ca="1">stat(calculs!BR335)</f>
        <v>#NAME?</v>
      </c>
    </row>
    <row r="336" spans="1:70" x14ac:dyDescent="0.2">
      <c r="A336" s="222">
        <f>données_step[[#This Row],[Datum]]</f>
        <v>44887</v>
      </c>
      <c r="B336" s="223"/>
      <c r="C336" s="224">
        <f t="shared" si="5"/>
        <v>3</v>
      </c>
      <c r="D336" s="523" t="e">
        <f ca="1">stat(charge_entree[[#This Row],[ch_E_DBO5]])</f>
        <v>#NAME?</v>
      </c>
      <c r="E336" s="523" t="e">
        <f ca="1">stat(charge_entree[[#This Row],[ch_E_DCO]])</f>
        <v>#NAME?</v>
      </c>
      <c r="F336" s="523" t="e">
        <f ca="1">stat(charge_entree[[#This Row],[ch_E_COT]])</f>
        <v>#NAME?</v>
      </c>
      <c r="G336" s="523" t="e">
        <f ca="1">stat(charge_entree[[#This Row],[ch_E_NH4]])</f>
        <v>#NAME?</v>
      </c>
      <c r="H336" s="523" t="e">
        <f ca="1">stat(charge_entree[[#This Row],[ch_E_NTOT]])</f>
        <v>#NAME?</v>
      </c>
      <c r="I336" s="523" t="e">
        <f ca="1">stat(charge_entree[[#This Row],[ch_E_PTOT]])</f>
        <v>#NAME?</v>
      </c>
      <c r="J336" s="523" t="e">
        <f ca="1">stat(charge_entree[[#This Row],[ch_S_DBO]])</f>
        <v>#NAME?</v>
      </c>
      <c r="K336" s="523" t="e">
        <f ca="1">stat(charge_entree[[#This Row],[ch_S-DCO]])</f>
        <v>#NAME?</v>
      </c>
      <c r="L336" s="523" t="e">
        <f ca="1">stat(charge_entree[[#This Row],[ch_S_DOC]])</f>
        <v>#NAME?</v>
      </c>
      <c r="M336" s="523" t="e">
        <f ca="1">stat(charge_entree[[#This Row],[ch_S_NH4]])</f>
        <v>#NAME?</v>
      </c>
      <c r="N336" s="523" t="e">
        <f ca="1">stat(charge_entree[[#This Row],[ch_S_NO2]])</f>
        <v>#NAME?</v>
      </c>
      <c r="O336" s="523" t="e">
        <f ca="1">stat(charge_entree[[#This Row],[ch_S_NO3]])</f>
        <v>#NAME?</v>
      </c>
      <c r="P336" s="523" t="e">
        <f ca="1">stat(charge_entree[[#This Row],[ch_S_PTOT]])</f>
        <v>#NAME?</v>
      </c>
      <c r="Q336" s="523" t="e">
        <f ca="1">stat(charge_entree[[#This Row],[ch_S_SNDT]])</f>
        <v>#NAME?</v>
      </c>
      <c r="R336" s="523">
        <f>calculs!R336</f>
        <v>0</v>
      </c>
      <c r="S336" s="523" t="e">
        <f ca="1">stat(calculs!S336)</f>
        <v>#NAME?</v>
      </c>
      <c r="T336" s="523" t="e">
        <f ca="1">stat(calculs!T336)</f>
        <v>#NAME?</v>
      </c>
      <c r="U336" s="523" t="e">
        <f ca="1">stat(calculs!U336)</f>
        <v>#NAME?</v>
      </c>
      <c r="V336" s="523" t="e">
        <f ca="1">stat(calculs!V336)</f>
        <v>#NAME?</v>
      </c>
      <c r="W336" s="523" t="e">
        <f ca="1">stat(calculs!W336)</f>
        <v>#NAME?</v>
      </c>
      <c r="X336" s="523" t="e">
        <f ca="1">stat(calculs!X336)</f>
        <v>#NAME?</v>
      </c>
      <c r="Y336" s="523" t="e">
        <f ca="1">stat(calculs!Y336)</f>
        <v>#NAME?</v>
      </c>
      <c r="Z336" s="523" t="e">
        <f ca="1">stat(calculs!Z336)</f>
        <v>#NAME?</v>
      </c>
      <c r="AA336" s="523" t="e">
        <f ca="1">stat(calculs!AA336)</f>
        <v>#NAME?</v>
      </c>
      <c r="AB336" s="523" t="e">
        <f ca="1">stat(calculs!AB336)</f>
        <v>#NAME?</v>
      </c>
      <c r="AC336" s="523" t="e">
        <f ca="1">stat(calculs!AC336)</f>
        <v>#NAME?</v>
      </c>
      <c r="AD336" s="523" t="e">
        <f ca="1">stat(calculs!AD336)</f>
        <v>#NAME?</v>
      </c>
      <c r="AE336" s="523" t="e">
        <f ca="1">stat(calculs!AE336)</f>
        <v>#NAME?</v>
      </c>
      <c r="AF336" s="523" t="e">
        <f ca="1">stat(calculs!AF336)</f>
        <v>#NAME?</v>
      </c>
      <c r="AG336" s="523" t="e">
        <f ca="1">stat(calculs!AG336)</f>
        <v>#NAME?</v>
      </c>
      <c r="AH336" s="523" t="e">
        <f ca="1">stat(calculs!AH336)</f>
        <v>#NAME?</v>
      </c>
      <c r="AI336" s="523" t="e">
        <f ca="1">stat(calculs!AI336)</f>
        <v>#NAME?</v>
      </c>
      <c r="AJ336" s="523" t="e">
        <f ca="1">stat(calculs!AJ336)</f>
        <v>#NAME?</v>
      </c>
      <c r="AK336" s="523" t="e">
        <f ca="1">stat(calculs!AK336)</f>
        <v>#NAME?</v>
      </c>
      <c r="AL336" s="523" t="e">
        <f ca="1">stat(calculs!AL336)</f>
        <v>#NAME?</v>
      </c>
      <c r="AM336" s="523" t="e">
        <f ca="1">stat(calculs!AM336)</f>
        <v>#NAME?</v>
      </c>
      <c r="AN336" s="523" t="e">
        <f ca="1">stat(calculs!AN336)</f>
        <v>#NAME?</v>
      </c>
      <c r="AO336" s="523" t="e">
        <f ca="1">stat(calculs!AO336)</f>
        <v>#NAME?</v>
      </c>
      <c r="AP336" s="523" t="e">
        <f ca="1">stat(calculs!AP336)</f>
        <v>#NAME?</v>
      </c>
      <c r="AQ336" s="523" t="e">
        <f ca="1">stat(calculs!AQ336)</f>
        <v>#NAME?</v>
      </c>
      <c r="AV336" s="525" t="str">
        <f>stat(calculs!AV336)</f>
        <v/>
      </c>
      <c r="AW336" s="525" t="str">
        <f>stat(calculs!AW336)</f>
        <v/>
      </c>
      <c r="AX336" s="525" t="str">
        <f>stat(calculs!AX336)</f>
        <v/>
      </c>
      <c r="AY336" s="525" t="e">
        <f ca="1">stat(calculs!AY336)</f>
        <v>#NAME?</v>
      </c>
      <c r="AZ336" s="525" t="e">
        <f ca="1">stat(calculs!AZ336)</f>
        <v>#NAME?</v>
      </c>
      <c r="BA336" s="525" t="e">
        <f ca="1">stat(calculs!BA336)</f>
        <v>#NAME?</v>
      </c>
      <c r="BB336" s="525" t="e">
        <f ca="1">stat(calculs!BB336)</f>
        <v>#NAME?</v>
      </c>
      <c r="BC336" s="525" t="e">
        <f ca="1">stat(calculs!BC336)</f>
        <v>#NAME?</v>
      </c>
      <c r="BD336" s="525" t="e">
        <f ca="1">stat(calculs!BD336)</f>
        <v>#NAME?</v>
      </c>
      <c r="BE336" s="525" t="e">
        <f ca="1">stat(calculs!BE336)</f>
        <v>#NAME?</v>
      </c>
      <c r="BF336" s="525" t="e">
        <f ca="1">stat(calculs!BF336)</f>
        <v>#NAME?</v>
      </c>
      <c r="BG336" s="729" t="e">
        <f ca="1">stat(calculs!BG336)</f>
        <v>#NAME?</v>
      </c>
      <c r="BH336" s="729" t="e">
        <f ca="1">stat(calculs!BH336)</f>
        <v>#NAME?</v>
      </c>
      <c r="BI336" s="729" t="e">
        <f ca="1">stat(calculs!BI336)</f>
        <v>#NAME?</v>
      </c>
      <c r="BJ336" s="729" t="e">
        <f ca="1">stat(calculs!BJ336)</f>
        <v>#NAME?</v>
      </c>
      <c r="BK336" s="729" t="e">
        <f ca="1">stat(calculs!BK336)</f>
        <v>#NAME?</v>
      </c>
      <c r="BL336" s="525" t="e">
        <f ca="1">stat(calculs!BL336)</f>
        <v>#NAME?</v>
      </c>
      <c r="BM336" s="525" t="e">
        <f ca="1">stat(calculs!BM336)</f>
        <v>#NAME?</v>
      </c>
      <c r="BN336" s="525" t="e">
        <f ca="1">stat(calculs!BN336)</f>
        <v>#NAME?</v>
      </c>
      <c r="BO336" s="525" t="e">
        <f ca="1">stat(calculs!BO336)</f>
        <v>#NAME?</v>
      </c>
      <c r="BP336" s="525" t="e">
        <f ca="1">stat(calculs!BP336)</f>
        <v>#NAME?</v>
      </c>
      <c r="BQ336" s="525" t="e">
        <f ca="1">stat(calculs!BQ336)</f>
        <v>#NAME?</v>
      </c>
      <c r="BR336" s="525" t="e">
        <f ca="1">stat(calculs!BR336)</f>
        <v>#NAME?</v>
      </c>
    </row>
    <row r="337" spans="1:70" x14ac:dyDescent="0.2">
      <c r="A337" s="222">
        <f>données_step[[#This Row],[Datum]]</f>
        <v>44888</v>
      </c>
      <c r="B337" s="223"/>
      <c r="C337" s="224">
        <f t="shared" si="5"/>
        <v>4</v>
      </c>
      <c r="D337" s="523" t="e">
        <f ca="1">stat(charge_entree[[#This Row],[ch_E_DBO5]])</f>
        <v>#NAME?</v>
      </c>
      <c r="E337" s="523" t="e">
        <f ca="1">stat(charge_entree[[#This Row],[ch_E_DCO]])</f>
        <v>#NAME?</v>
      </c>
      <c r="F337" s="523" t="e">
        <f ca="1">stat(charge_entree[[#This Row],[ch_E_COT]])</f>
        <v>#NAME?</v>
      </c>
      <c r="G337" s="523" t="e">
        <f ca="1">stat(charge_entree[[#This Row],[ch_E_NH4]])</f>
        <v>#NAME?</v>
      </c>
      <c r="H337" s="523" t="e">
        <f ca="1">stat(charge_entree[[#This Row],[ch_E_NTOT]])</f>
        <v>#NAME?</v>
      </c>
      <c r="I337" s="523" t="e">
        <f ca="1">stat(charge_entree[[#This Row],[ch_E_PTOT]])</f>
        <v>#NAME?</v>
      </c>
      <c r="J337" s="523" t="e">
        <f ca="1">stat(charge_entree[[#This Row],[ch_S_DBO]])</f>
        <v>#NAME?</v>
      </c>
      <c r="K337" s="523" t="e">
        <f ca="1">stat(charge_entree[[#This Row],[ch_S-DCO]])</f>
        <v>#NAME?</v>
      </c>
      <c r="L337" s="523" t="e">
        <f ca="1">stat(charge_entree[[#This Row],[ch_S_DOC]])</f>
        <v>#NAME?</v>
      </c>
      <c r="M337" s="523" t="e">
        <f ca="1">stat(charge_entree[[#This Row],[ch_S_NH4]])</f>
        <v>#NAME?</v>
      </c>
      <c r="N337" s="523" t="e">
        <f ca="1">stat(charge_entree[[#This Row],[ch_S_NO2]])</f>
        <v>#NAME?</v>
      </c>
      <c r="O337" s="523" t="e">
        <f ca="1">stat(charge_entree[[#This Row],[ch_S_NO3]])</f>
        <v>#NAME?</v>
      </c>
      <c r="P337" s="523" t="e">
        <f ca="1">stat(charge_entree[[#This Row],[ch_S_PTOT]])</f>
        <v>#NAME?</v>
      </c>
      <c r="Q337" s="523" t="e">
        <f ca="1">stat(charge_entree[[#This Row],[ch_S_SNDT]])</f>
        <v>#NAME?</v>
      </c>
      <c r="R337" s="523">
        <f>calculs!R337</f>
        <v>0</v>
      </c>
      <c r="S337" s="523" t="e">
        <f ca="1">stat(calculs!S337)</f>
        <v>#NAME?</v>
      </c>
      <c r="T337" s="523" t="e">
        <f ca="1">stat(calculs!T337)</f>
        <v>#NAME?</v>
      </c>
      <c r="U337" s="523" t="e">
        <f ca="1">stat(calculs!U337)</f>
        <v>#NAME?</v>
      </c>
      <c r="V337" s="523" t="e">
        <f ca="1">stat(calculs!V337)</f>
        <v>#NAME?</v>
      </c>
      <c r="W337" s="523" t="e">
        <f ca="1">stat(calculs!W337)</f>
        <v>#NAME?</v>
      </c>
      <c r="X337" s="523" t="e">
        <f ca="1">stat(calculs!X337)</f>
        <v>#NAME?</v>
      </c>
      <c r="Y337" s="523" t="e">
        <f ca="1">stat(calculs!Y337)</f>
        <v>#NAME?</v>
      </c>
      <c r="Z337" s="523" t="e">
        <f ca="1">stat(calculs!Z337)</f>
        <v>#NAME?</v>
      </c>
      <c r="AA337" s="523" t="e">
        <f ca="1">stat(calculs!AA337)</f>
        <v>#NAME?</v>
      </c>
      <c r="AB337" s="523" t="e">
        <f ca="1">stat(calculs!AB337)</f>
        <v>#NAME?</v>
      </c>
      <c r="AC337" s="523" t="e">
        <f ca="1">stat(calculs!AC337)</f>
        <v>#NAME?</v>
      </c>
      <c r="AD337" s="523" t="e">
        <f ca="1">stat(calculs!AD337)</f>
        <v>#NAME?</v>
      </c>
      <c r="AE337" s="523" t="e">
        <f ca="1">stat(calculs!AE337)</f>
        <v>#NAME?</v>
      </c>
      <c r="AF337" s="523" t="e">
        <f ca="1">stat(calculs!AF337)</f>
        <v>#NAME?</v>
      </c>
      <c r="AG337" s="523" t="e">
        <f ca="1">stat(calculs!AG337)</f>
        <v>#NAME?</v>
      </c>
      <c r="AH337" s="523" t="e">
        <f ca="1">stat(calculs!AH337)</f>
        <v>#NAME?</v>
      </c>
      <c r="AI337" s="523" t="e">
        <f ca="1">stat(calculs!AI337)</f>
        <v>#NAME?</v>
      </c>
      <c r="AJ337" s="523" t="e">
        <f ca="1">stat(calculs!AJ337)</f>
        <v>#NAME?</v>
      </c>
      <c r="AK337" s="523" t="e">
        <f ca="1">stat(calculs!AK337)</f>
        <v>#NAME?</v>
      </c>
      <c r="AL337" s="523" t="e">
        <f ca="1">stat(calculs!AL337)</f>
        <v>#NAME?</v>
      </c>
      <c r="AM337" s="523" t="e">
        <f ca="1">stat(calculs!AM337)</f>
        <v>#NAME?</v>
      </c>
      <c r="AN337" s="523" t="e">
        <f ca="1">stat(calculs!AN337)</f>
        <v>#NAME?</v>
      </c>
      <c r="AO337" s="523" t="e">
        <f ca="1">stat(calculs!AO337)</f>
        <v>#NAME?</v>
      </c>
      <c r="AP337" s="523" t="e">
        <f ca="1">stat(calculs!AP337)</f>
        <v>#NAME?</v>
      </c>
      <c r="AQ337" s="523" t="e">
        <f ca="1">stat(calculs!AQ337)</f>
        <v>#NAME?</v>
      </c>
      <c r="AV337" s="525" t="str">
        <f>stat(calculs!AV337)</f>
        <v/>
      </c>
      <c r="AW337" s="525" t="str">
        <f>stat(calculs!AW337)</f>
        <v/>
      </c>
      <c r="AX337" s="525" t="str">
        <f>stat(calculs!AX337)</f>
        <v/>
      </c>
      <c r="AY337" s="525" t="e">
        <f ca="1">stat(calculs!AY337)</f>
        <v>#NAME?</v>
      </c>
      <c r="AZ337" s="525" t="e">
        <f ca="1">stat(calculs!AZ337)</f>
        <v>#NAME?</v>
      </c>
      <c r="BA337" s="525" t="e">
        <f ca="1">stat(calculs!BA337)</f>
        <v>#NAME?</v>
      </c>
      <c r="BB337" s="525" t="e">
        <f ca="1">stat(calculs!BB337)</f>
        <v>#NAME?</v>
      </c>
      <c r="BC337" s="525" t="e">
        <f ca="1">stat(calculs!BC337)</f>
        <v>#NAME?</v>
      </c>
      <c r="BD337" s="525" t="e">
        <f ca="1">stat(calculs!BD337)</f>
        <v>#NAME?</v>
      </c>
      <c r="BE337" s="525" t="e">
        <f ca="1">stat(calculs!BE337)</f>
        <v>#NAME?</v>
      </c>
      <c r="BF337" s="525" t="e">
        <f ca="1">stat(calculs!BF337)</f>
        <v>#NAME?</v>
      </c>
      <c r="BG337" s="729" t="e">
        <f ca="1">stat(calculs!BG337)</f>
        <v>#NAME?</v>
      </c>
      <c r="BH337" s="729" t="e">
        <f ca="1">stat(calculs!BH337)</f>
        <v>#NAME?</v>
      </c>
      <c r="BI337" s="729" t="e">
        <f ca="1">stat(calculs!BI337)</f>
        <v>#NAME?</v>
      </c>
      <c r="BJ337" s="729" t="e">
        <f ca="1">stat(calculs!BJ337)</f>
        <v>#NAME?</v>
      </c>
      <c r="BK337" s="729" t="e">
        <f ca="1">stat(calculs!BK337)</f>
        <v>#NAME?</v>
      </c>
      <c r="BL337" s="525" t="e">
        <f ca="1">stat(calculs!BL337)</f>
        <v>#NAME?</v>
      </c>
      <c r="BM337" s="525" t="e">
        <f ca="1">stat(calculs!BM337)</f>
        <v>#NAME?</v>
      </c>
      <c r="BN337" s="525" t="e">
        <f ca="1">stat(calculs!BN337)</f>
        <v>#NAME?</v>
      </c>
      <c r="BO337" s="525" t="e">
        <f ca="1">stat(calculs!BO337)</f>
        <v>#NAME?</v>
      </c>
      <c r="BP337" s="525" t="e">
        <f ca="1">stat(calculs!BP337)</f>
        <v>#NAME?</v>
      </c>
      <c r="BQ337" s="525" t="e">
        <f ca="1">stat(calculs!BQ337)</f>
        <v>#NAME?</v>
      </c>
      <c r="BR337" s="525" t="e">
        <f ca="1">stat(calculs!BR337)</f>
        <v>#NAME?</v>
      </c>
    </row>
    <row r="338" spans="1:70" x14ac:dyDescent="0.2">
      <c r="A338" s="222">
        <f>données_step[[#This Row],[Datum]]</f>
        <v>44889</v>
      </c>
      <c r="B338" s="223"/>
      <c r="C338" s="224">
        <f t="shared" si="5"/>
        <v>5</v>
      </c>
      <c r="D338" s="523" t="e">
        <f ca="1">stat(charge_entree[[#This Row],[ch_E_DBO5]])</f>
        <v>#NAME?</v>
      </c>
      <c r="E338" s="523" t="e">
        <f ca="1">stat(charge_entree[[#This Row],[ch_E_DCO]])</f>
        <v>#NAME?</v>
      </c>
      <c r="F338" s="523" t="e">
        <f ca="1">stat(charge_entree[[#This Row],[ch_E_COT]])</f>
        <v>#NAME?</v>
      </c>
      <c r="G338" s="523" t="e">
        <f ca="1">stat(charge_entree[[#This Row],[ch_E_NH4]])</f>
        <v>#NAME?</v>
      </c>
      <c r="H338" s="523" t="e">
        <f ca="1">stat(charge_entree[[#This Row],[ch_E_NTOT]])</f>
        <v>#NAME?</v>
      </c>
      <c r="I338" s="523" t="e">
        <f ca="1">stat(charge_entree[[#This Row],[ch_E_PTOT]])</f>
        <v>#NAME?</v>
      </c>
      <c r="J338" s="523" t="e">
        <f ca="1">stat(charge_entree[[#This Row],[ch_S_DBO]])</f>
        <v>#NAME?</v>
      </c>
      <c r="K338" s="523" t="e">
        <f ca="1">stat(charge_entree[[#This Row],[ch_S-DCO]])</f>
        <v>#NAME?</v>
      </c>
      <c r="L338" s="523" t="e">
        <f ca="1">stat(charge_entree[[#This Row],[ch_S_DOC]])</f>
        <v>#NAME?</v>
      </c>
      <c r="M338" s="523" t="e">
        <f ca="1">stat(charge_entree[[#This Row],[ch_S_NH4]])</f>
        <v>#NAME?</v>
      </c>
      <c r="N338" s="523" t="e">
        <f ca="1">stat(charge_entree[[#This Row],[ch_S_NO2]])</f>
        <v>#NAME?</v>
      </c>
      <c r="O338" s="523" t="e">
        <f ca="1">stat(charge_entree[[#This Row],[ch_S_NO3]])</f>
        <v>#NAME?</v>
      </c>
      <c r="P338" s="523" t="e">
        <f ca="1">stat(charge_entree[[#This Row],[ch_S_PTOT]])</f>
        <v>#NAME?</v>
      </c>
      <c r="Q338" s="523" t="e">
        <f ca="1">stat(charge_entree[[#This Row],[ch_S_SNDT]])</f>
        <v>#NAME?</v>
      </c>
      <c r="R338" s="523">
        <f>calculs!R338</f>
        <v>0</v>
      </c>
      <c r="S338" s="523" t="e">
        <f ca="1">stat(calculs!S338)</f>
        <v>#NAME?</v>
      </c>
      <c r="T338" s="523" t="e">
        <f ca="1">stat(calculs!T338)</f>
        <v>#NAME?</v>
      </c>
      <c r="U338" s="523" t="e">
        <f ca="1">stat(calculs!U338)</f>
        <v>#NAME?</v>
      </c>
      <c r="V338" s="523" t="e">
        <f ca="1">stat(calculs!V338)</f>
        <v>#NAME?</v>
      </c>
      <c r="W338" s="523" t="e">
        <f ca="1">stat(calculs!W338)</f>
        <v>#NAME?</v>
      </c>
      <c r="X338" s="523" t="e">
        <f ca="1">stat(calculs!X338)</f>
        <v>#NAME?</v>
      </c>
      <c r="Y338" s="523" t="e">
        <f ca="1">stat(calculs!Y338)</f>
        <v>#NAME?</v>
      </c>
      <c r="Z338" s="523" t="e">
        <f ca="1">stat(calculs!Z338)</f>
        <v>#NAME?</v>
      </c>
      <c r="AA338" s="523" t="e">
        <f ca="1">stat(calculs!AA338)</f>
        <v>#NAME?</v>
      </c>
      <c r="AB338" s="523" t="e">
        <f ca="1">stat(calculs!AB338)</f>
        <v>#NAME?</v>
      </c>
      <c r="AC338" s="523" t="e">
        <f ca="1">stat(calculs!AC338)</f>
        <v>#NAME?</v>
      </c>
      <c r="AD338" s="523" t="e">
        <f ca="1">stat(calculs!AD338)</f>
        <v>#NAME?</v>
      </c>
      <c r="AE338" s="523" t="e">
        <f ca="1">stat(calculs!AE338)</f>
        <v>#NAME?</v>
      </c>
      <c r="AF338" s="523" t="e">
        <f ca="1">stat(calculs!AF338)</f>
        <v>#NAME?</v>
      </c>
      <c r="AG338" s="523" t="e">
        <f ca="1">stat(calculs!AG338)</f>
        <v>#NAME?</v>
      </c>
      <c r="AH338" s="523" t="e">
        <f ca="1">stat(calculs!AH338)</f>
        <v>#NAME?</v>
      </c>
      <c r="AI338" s="523" t="e">
        <f ca="1">stat(calculs!AI338)</f>
        <v>#NAME?</v>
      </c>
      <c r="AJ338" s="523" t="e">
        <f ca="1">stat(calculs!AJ338)</f>
        <v>#NAME?</v>
      </c>
      <c r="AK338" s="523" t="e">
        <f ca="1">stat(calculs!AK338)</f>
        <v>#NAME?</v>
      </c>
      <c r="AL338" s="523" t="e">
        <f ca="1">stat(calculs!AL338)</f>
        <v>#NAME?</v>
      </c>
      <c r="AM338" s="523" t="e">
        <f ca="1">stat(calculs!AM338)</f>
        <v>#NAME?</v>
      </c>
      <c r="AN338" s="523" t="e">
        <f ca="1">stat(calculs!AN338)</f>
        <v>#NAME?</v>
      </c>
      <c r="AO338" s="523" t="e">
        <f ca="1">stat(calculs!AO338)</f>
        <v>#NAME?</v>
      </c>
      <c r="AP338" s="523" t="e">
        <f ca="1">stat(calculs!AP338)</f>
        <v>#NAME?</v>
      </c>
      <c r="AQ338" s="523" t="e">
        <f ca="1">stat(calculs!AQ338)</f>
        <v>#NAME?</v>
      </c>
      <c r="AV338" s="525" t="str">
        <f>stat(calculs!AV338)</f>
        <v/>
      </c>
      <c r="AW338" s="525" t="str">
        <f>stat(calculs!AW338)</f>
        <v/>
      </c>
      <c r="AX338" s="525" t="str">
        <f>stat(calculs!AX338)</f>
        <v/>
      </c>
      <c r="AY338" s="525" t="e">
        <f ca="1">stat(calculs!AY338)</f>
        <v>#NAME?</v>
      </c>
      <c r="AZ338" s="525" t="e">
        <f ca="1">stat(calculs!AZ338)</f>
        <v>#NAME?</v>
      </c>
      <c r="BA338" s="525" t="e">
        <f ca="1">stat(calculs!BA338)</f>
        <v>#NAME?</v>
      </c>
      <c r="BB338" s="525" t="e">
        <f ca="1">stat(calculs!BB338)</f>
        <v>#NAME?</v>
      </c>
      <c r="BC338" s="525" t="e">
        <f ca="1">stat(calculs!BC338)</f>
        <v>#NAME?</v>
      </c>
      <c r="BD338" s="525" t="e">
        <f ca="1">stat(calculs!BD338)</f>
        <v>#NAME?</v>
      </c>
      <c r="BE338" s="525" t="e">
        <f ca="1">stat(calculs!BE338)</f>
        <v>#NAME?</v>
      </c>
      <c r="BF338" s="525" t="e">
        <f ca="1">stat(calculs!BF338)</f>
        <v>#NAME?</v>
      </c>
      <c r="BG338" s="729" t="e">
        <f ca="1">stat(calculs!BG338)</f>
        <v>#NAME?</v>
      </c>
      <c r="BH338" s="729" t="e">
        <f ca="1">stat(calculs!BH338)</f>
        <v>#NAME?</v>
      </c>
      <c r="BI338" s="729" t="e">
        <f ca="1">stat(calculs!BI338)</f>
        <v>#NAME?</v>
      </c>
      <c r="BJ338" s="729" t="e">
        <f ca="1">stat(calculs!BJ338)</f>
        <v>#NAME?</v>
      </c>
      <c r="BK338" s="729" t="e">
        <f ca="1">stat(calculs!BK338)</f>
        <v>#NAME?</v>
      </c>
      <c r="BL338" s="525" t="e">
        <f ca="1">stat(calculs!BL338)</f>
        <v>#NAME?</v>
      </c>
      <c r="BM338" s="525" t="e">
        <f ca="1">stat(calculs!BM338)</f>
        <v>#NAME?</v>
      </c>
      <c r="BN338" s="525" t="e">
        <f ca="1">stat(calculs!BN338)</f>
        <v>#NAME?</v>
      </c>
      <c r="BO338" s="525" t="e">
        <f ca="1">stat(calculs!BO338)</f>
        <v>#NAME?</v>
      </c>
      <c r="BP338" s="525" t="e">
        <f ca="1">stat(calculs!BP338)</f>
        <v>#NAME?</v>
      </c>
      <c r="BQ338" s="525" t="e">
        <f ca="1">stat(calculs!BQ338)</f>
        <v>#NAME?</v>
      </c>
      <c r="BR338" s="525" t="e">
        <f ca="1">stat(calculs!BR338)</f>
        <v>#NAME?</v>
      </c>
    </row>
    <row r="339" spans="1:70" x14ac:dyDescent="0.2">
      <c r="A339" s="222">
        <f>données_step[[#This Row],[Datum]]</f>
        <v>44890</v>
      </c>
      <c r="B339" s="223"/>
      <c r="C339" s="224">
        <f t="shared" si="5"/>
        <v>6</v>
      </c>
      <c r="D339" s="523" t="e">
        <f ca="1">stat(charge_entree[[#This Row],[ch_E_DBO5]])</f>
        <v>#NAME?</v>
      </c>
      <c r="E339" s="523" t="e">
        <f ca="1">stat(charge_entree[[#This Row],[ch_E_DCO]])</f>
        <v>#NAME?</v>
      </c>
      <c r="F339" s="523" t="e">
        <f ca="1">stat(charge_entree[[#This Row],[ch_E_COT]])</f>
        <v>#NAME?</v>
      </c>
      <c r="G339" s="523" t="e">
        <f ca="1">stat(charge_entree[[#This Row],[ch_E_NH4]])</f>
        <v>#NAME?</v>
      </c>
      <c r="H339" s="523" t="e">
        <f ca="1">stat(charge_entree[[#This Row],[ch_E_NTOT]])</f>
        <v>#NAME?</v>
      </c>
      <c r="I339" s="523" t="e">
        <f ca="1">stat(charge_entree[[#This Row],[ch_E_PTOT]])</f>
        <v>#NAME?</v>
      </c>
      <c r="J339" s="523" t="e">
        <f ca="1">stat(charge_entree[[#This Row],[ch_S_DBO]])</f>
        <v>#NAME?</v>
      </c>
      <c r="K339" s="523" t="e">
        <f ca="1">stat(charge_entree[[#This Row],[ch_S-DCO]])</f>
        <v>#NAME?</v>
      </c>
      <c r="L339" s="523" t="e">
        <f ca="1">stat(charge_entree[[#This Row],[ch_S_DOC]])</f>
        <v>#NAME?</v>
      </c>
      <c r="M339" s="523" t="e">
        <f ca="1">stat(charge_entree[[#This Row],[ch_S_NH4]])</f>
        <v>#NAME?</v>
      </c>
      <c r="N339" s="523" t="e">
        <f ca="1">stat(charge_entree[[#This Row],[ch_S_NO2]])</f>
        <v>#NAME?</v>
      </c>
      <c r="O339" s="523" t="e">
        <f ca="1">stat(charge_entree[[#This Row],[ch_S_NO3]])</f>
        <v>#NAME?</v>
      </c>
      <c r="P339" s="523" t="e">
        <f ca="1">stat(charge_entree[[#This Row],[ch_S_PTOT]])</f>
        <v>#NAME?</v>
      </c>
      <c r="Q339" s="523" t="e">
        <f ca="1">stat(charge_entree[[#This Row],[ch_S_SNDT]])</f>
        <v>#NAME?</v>
      </c>
      <c r="R339" s="523">
        <f>calculs!R339</f>
        <v>0</v>
      </c>
      <c r="S339" s="523" t="e">
        <f ca="1">stat(calculs!S339)</f>
        <v>#NAME?</v>
      </c>
      <c r="T339" s="523" t="e">
        <f ca="1">stat(calculs!T339)</f>
        <v>#NAME?</v>
      </c>
      <c r="U339" s="523" t="e">
        <f ca="1">stat(calculs!U339)</f>
        <v>#NAME?</v>
      </c>
      <c r="V339" s="523" t="e">
        <f ca="1">stat(calculs!V339)</f>
        <v>#NAME?</v>
      </c>
      <c r="W339" s="523" t="e">
        <f ca="1">stat(calculs!W339)</f>
        <v>#NAME?</v>
      </c>
      <c r="X339" s="523" t="e">
        <f ca="1">stat(calculs!X339)</f>
        <v>#NAME?</v>
      </c>
      <c r="Y339" s="523" t="e">
        <f ca="1">stat(calculs!Y339)</f>
        <v>#NAME?</v>
      </c>
      <c r="Z339" s="523" t="e">
        <f ca="1">stat(calculs!Z339)</f>
        <v>#NAME?</v>
      </c>
      <c r="AA339" s="523" t="e">
        <f ca="1">stat(calculs!AA339)</f>
        <v>#NAME?</v>
      </c>
      <c r="AB339" s="523" t="e">
        <f ca="1">stat(calculs!AB339)</f>
        <v>#NAME?</v>
      </c>
      <c r="AC339" s="523" t="e">
        <f ca="1">stat(calculs!AC339)</f>
        <v>#NAME?</v>
      </c>
      <c r="AD339" s="523" t="e">
        <f ca="1">stat(calculs!AD339)</f>
        <v>#NAME?</v>
      </c>
      <c r="AE339" s="523" t="e">
        <f ca="1">stat(calculs!AE339)</f>
        <v>#NAME?</v>
      </c>
      <c r="AF339" s="523" t="e">
        <f ca="1">stat(calculs!AF339)</f>
        <v>#NAME?</v>
      </c>
      <c r="AG339" s="523" t="e">
        <f ca="1">stat(calculs!AG339)</f>
        <v>#NAME?</v>
      </c>
      <c r="AH339" s="523" t="e">
        <f ca="1">stat(calculs!AH339)</f>
        <v>#NAME?</v>
      </c>
      <c r="AI339" s="523" t="e">
        <f ca="1">stat(calculs!AI339)</f>
        <v>#NAME?</v>
      </c>
      <c r="AJ339" s="523" t="e">
        <f ca="1">stat(calculs!AJ339)</f>
        <v>#NAME?</v>
      </c>
      <c r="AK339" s="523" t="e">
        <f ca="1">stat(calculs!AK339)</f>
        <v>#NAME?</v>
      </c>
      <c r="AL339" s="523" t="e">
        <f ca="1">stat(calculs!AL339)</f>
        <v>#NAME?</v>
      </c>
      <c r="AM339" s="523" t="e">
        <f ca="1">stat(calculs!AM339)</f>
        <v>#NAME?</v>
      </c>
      <c r="AN339" s="523" t="e">
        <f ca="1">stat(calculs!AN339)</f>
        <v>#NAME?</v>
      </c>
      <c r="AO339" s="523" t="e">
        <f ca="1">stat(calculs!AO339)</f>
        <v>#NAME?</v>
      </c>
      <c r="AP339" s="523" t="e">
        <f ca="1">stat(calculs!AP339)</f>
        <v>#NAME?</v>
      </c>
      <c r="AQ339" s="523" t="e">
        <f ca="1">stat(calculs!AQ339)</f>
        <v>#NAME?</v>
      </c>
      <c r="AV339" s="525" t="str">
        <f>stat(calculs!AV339)</f>
        <v/>
      </c>
      <c r="AW339" s="525" t="str">
        <f>stat(calculs!AW339)</f>
        <v/>
      </c>
      <c r="AX339" s="525" t="str">
        <f>stat(calculs!AX339)</f>
        <v/>
      </c>
      <c r="AY339" s="525" t="e">
        <f ca="1">stat(calculs!AY339)</f>
        <v>#NAME?</v>
      </c>
      <c r="AZ339" s="525" t="e">
        <f ca="1">stat(calculs!AZ339)</f>
        <v>#NAME?</v>
      </c>
      <c r="BA339" s="525" t="e">
        <f ca="1">stat(calculs!BA339)</f>
        <v>#NAME?</v>
      </c>
      <c r="BB339" s="525" t="e">
        <f ca="1">stat(calculs!BB339)</f>
        <v>#NAME?</v>
      </c>
      <c r="BC339" s="525" t="e">
        <f ca="1">stat(calculs!BC339)</f>
        <v>#NAME?</v>
      </c>
      <c r="BD339" s="525" t="e">
        <f ca="1">stat(calculs!BD339)</f>
        <v>#NAME?</v>
      </c>
      <c r="BE339" s="525" t="e">
        <f ca="1">stat(calculs!BE339)</f>
        <v>#NAME?</v>
      </c>
      <c r="BF339" s="525" t="e">
        <f ca="1">stat(calculs!BF339)</f>
        <v>#NAME?</v>
      </c>
      <c r="BG339" s="729" t="e">
        <f ca="1">stat(calculs!BG339)</f>
        <v>#NAME?</v>
      </c>
      <c r="BH339" s="729" t="e">
        <f ca="1">stat(calculs!BH339)</f>
        <v>#NAME?</v>
      </c>
      <c r="BI339" s="729" t="e">
        <f ca="1">stat(calculs!BI339)</f>
        <v>#NAME?</v>
      </c>
      <c r="BJ339" s="729" t="e">
        <f ca="1">stat(calculs!BJ339)</f>
        <v>#NAME?</v>
      </c>
      <c r="BK339" s="729" t="e">
        <f ca="1">stat(calculs!BK339)</f>
        <v>#NAME?</v>
      </c>
      <c r="BL339" s="525" t="e">
        <f ca="1">stat(calculs!BL339)</f>
        <v>#NAME?</v>
      </c>
      <c r="BM339" s="525" t="e">
        <f ca="1">stat(calculs!BM339)</f>
        <v>#NAME?</v>
      </c>
      <c r="BN339" s="525" t="e">
        <f ca="1">stat(calculs!BN339)</f>
        <v>#NAME?</v>
      </c>
      <c r="BO339" s="525" t="e">
        <f ca="1">stat(calculs!BO339)</f>
        <v>#NAME?</v>
      </c>
      <c r="BP339" s="525" t="e">
        <f ca="1">stat(calculs!BP339)</f>
        <v>#NAME?</v>
      </c>
      <c r="BQ339" s="525" t="e">
        <f ca="1">stat(calculs!BQ339)</f>
        <v>#NAME?</v>
      </c>
      <c r="BR339" s="525" t="e">
        <f ca="1">stat(calculs!BR339)</f>
        <v>#NAME?</v>
      </c>
    </row>
    <row r="340" spans="1:70" x14ac:dyDescent="0.2">
      <c r="A340" s="222">
        <f>données_step[[#This Row],[Datum]]</f>
        <v>44891</v>
      </c>
      <c r="B340" s="223"/>
      <c r="C340" s="224">
        <f t="shared" si="5"/>
        <v>7</v>
      </c>
      <c r="D340" s="523" t="e">
        <f ca="1">stat(charge_entree[[#This Row],[ch_E_DBO5]])</f>
        <v>#NAME?</v>
      </c>
      <c r="E340" s="523" t="e">
        <f ca="1">stat(charge_entree[[#This Row],[ch_E_DCO]])</f>
        <v>#NAME?</v>
      </c>
      <c r="F340" s="523" t="e">
        <f ca="1">stat(charge_entree[[#This Row],[ch_E_COT]])</f>
        <v>#NAME?</v>
      </c>
      <c r="G340" s="523" t="e">
        <f ca="1">stat(charge_entree[[#This Row],[ch_E_NH4]])</f>
        <v>#NAME?</v>
      </c>
      <c r="H340" s="523" t="e">
        <f ca="1">stat(charge_entree[[#This Row],[ch_E_NTOT]])</f>
        <v>#NAME?</v>
      </c>
      <c r="I340" s="523" t="e">
        <f ca="1">stat(charge_entree[[#This Row],[ch_E_PTOT]])</f>
        <v>#NAME?</v>
      </c>
      <c r="J340" s="523" t="e">
        <f ca="1">stat(charge_entree[[#This Row],[ch_S_DBO]])</f>
        <v>#NAME?</v>
      </c>
      <c r="K340" s="523" t="e">
        <f ca="1">stat(charge_entree[[#This Row],[ch_S-DCO]])</f>
        <v>#NAME?</v>
      </c>
      <c r="L340" s="523" t="e">
        <f ca="1">stat(charge_entree[[#This Row],[ch_S_DOC]])</f>
        <v>#NAME?</v>
      </c>
      <c r="M340" s="523" t="e">
        <f ca="1">stat(charge_entree[[#This Row],[ch_S_NH4]])</f>
        <v>#NAME?</v>
      </c>
      <c r="N340" s="523" t="e">
        <f ca="1">stat(charge_entree[[#This Row],[ch_S_NO2]])</f>
        <v>#NAME?</v>
      </c>
      <c r="O340" s="523" t="e">
        <f ca="1">stat(charge_entree[[#This Row],[ch_S_NO3]])</f>
        <v>#NAME?</v>
      </c>
      <c r="P340" s="523" t="e">
        <f ca="1">stat(charge_entree[[#This Row],[ch_S_PTOT]])</f>
        <v>#NAME?</v>
      </c>
      <c r="Q340" s="523" t="e">
        <f ca="1">stat(charge_entree[[#This Row],[ch_S_SNDT]])</f>
        <v>#NAME?</v>
      </c>
      <c r="R340" s="523">
        <f>calculs!R340</f>
        <v>0</v>
      </c>
      <c r="S340" s="523" t="e">
        <f ca="1">stat(calculs!S340)</f>
        <v>#NAME?</v>
      </c>
      <c r="T340" s="523" t="e">
        <f ca="1">stat(calculs!T340)</f>
        <v>#NAME?</v>
      </c>
      <c r="U340" s="523" t="e">
        <f ca="1">stat(calculs!U340)</f>
        <v>#NAME?</v>
      </c>
      <c r="V340" s="523" t="e">
        <f ca="1">stat(calculs!V340)</f>
        <v>#NAME?</v>
      </c>
      <c r="W340" s="523" t="e">
        <f ca="1">stat(calculs!W340)</f>
        <v>#NAME?</v>
      </c>
      <c r="X340" s="523" t="e">
        <f ca="1">stat(calculs!X340)</f>
        <v>#NAME?</v>
      </c>
      <c r="Y340" s="523" t="e">
        <f ca="1">stat(calculs!Y340)</f>
        <v>#NAME?</v>
      </c>
      <c r="Z340" s="523" t="e">
        <f ca="1">stat(calculs!Z340)</f>
        <v>#NAME?</v>
      </c>
      <c r="AA340" s="523" t="e">
        <f ca="1">stat(calculs!AA340)</f>
        <v>#NAME?</v>
      </c>
      <c r="AB340" s="523" t="e">
        <f ca="1">stat(calculs!AB340)</f>
        <v>#NAME?</v>
      </c>
      <c r="AC340" s="523" t="e">
        <f ca="1">stat(calculs!AC340)</f>
        <v>#NAME?</v>
      </c>
      <c r="AD340" s="523" t="e">
        <f ca="1">stat(calculs!AD340)</f>
        <v>#NAME?</v>
      </c>
      <c r="AE340" s="523" t="e">
        <f ca="1">stat(calculs!AE340)</f>
        <v>#NAME?</v>
      </c>
      <c r="AF340" s="523" t="e">
        <f ca="1">stat(calculs!AF340)</f>
        <v>#NAME?</v>
      </c>
      <c r="AG340" s="523" t="e">
        <f ca="1">stat(calculs!AG340)</f>
        <v>#NAME?</v>
      </c>
      <c r="AH340" s="523" t="e">
        <f ca="1">stat(calculs!AH340)</f>
        <v>#NAME?</v>
      </c>
      <c r="AI340" s="523" t="e">
        <f ca="1">stat(calculs!AI340)</f>
        <v>#NAME?</v>
      </c>
      <c r="AJ340" s="523" t="e">
        <f ca="1">stat(calculs!AJ340)</f>
        <v>#NAME?</v>
      </c>
      <c r="AK340" s="523" t="e">
        <f ca="1">stat(calculs!AK340)</f>
        <v>#NAME?</v>
      </c>
      <c r="AL340" s="523" t="e">
        <f ca="1">stat(calculs!AL340)</f>
        <v>#NAME?</v>
      </c>
      <c r="AM340" s="523" t="e">
        <f ca="1">stat(calculs!AM340)</f>
        <v>#NAME?</v>
      </c>
      <c r="AN340" s="523" t="e">
        <f ca="1">stat(calculs!AN340)</f>
        <v>#NAME?</v>
      </c>
      <c r="AO340" s="523" t="e">
        <f ca="1">stat(calculs!AO340)</f>
        <v>#NAME?</v>
      </c>
      <c r="AP340" s="523" t="e">
        <f ca="1">stat(calculs!AP340)</f>
        <v>#NAME?</v>
      </c>
      <c r="AQ340" s="523" t="e">
        <f ca="1">stat(calculs!AQ340)</f>
        <v>#NAME?</v>
      </c>
      <c r="AV340" s="525" t="str">
        <f>stat(calculs!AV340)</f>
        <v/>
      </c>
      <c r="AW340" s="525" t="str">
        <f>stat(calculs!AW340)</f>
        <v/>
      </c>
      <c r="AX340" s="525" t="str">
        <f>stat(calculs!AX340)</f>
        <v/>
      </c>
      <c r="AY340" s="525" t="e">
        <f ca="1">stat(calculs!AY340)</f>
        <v>#NAME?</v>
      </c>
      <c r="AZ340" s="525" t="e">
        <f ca="1">stat(calculs!AZ340)</f>
        <v>#NAME?</v>
      </c>
      <c r="BA340" s="525" t="e">
        <f ca="1">stat(calculs!BA340)</f>
        <v>#NAME?</v>
      </c>
      <c r="BB340" s="525" t="e">
        <f ca="1">stat(calculs!BB340)</f>
        <v>#NAME?</v>
      </c>
      <c r="BC340" s="525" t="e">
        <f ca="1">stat(calculs!BC340)</f>
        <v>#NAME?</v>
      </c>
      <c r="BD340" s="525" t="e">
        <f ca="1">stat(calculs!BD340)</f>
        <v>#NAME?</v>
      </c>
      <c r="BE340" s="525" t="e">
        <f ca="1">stat(calculs!BE340)</f>
        <v>#NAME?</v>
      </c>
      <c r="BF340" s="525" t="e">
        <f ca="1">stat(calculs!BF340)</f>
        <v>#NAME?</v>
      </c>
      <c r="BG340" s="729" t="e">
        <f ca="1">stat(calculs!BG340)</f>
        <v>#NAME?</v>
      </c>
      <c r="BH340" s="729" t="e">
        <f ca="1">stat(calculs!BH340)</f>
        <v>#NAME?</v>
      </c>
      <c r="BI340" s="729" t="e">
        <f ca="1">stat(calculs!BI340)</f>
        <v>#NAME?</v>
      </c>
      <c r="BJ340" s="729" t="e">
        <f ca="1">stat(calculs!BJ340)</f>
        <v>#NAME?</v>
      </c>
      <c r="BK340" s="729" t="e">
        <f ca="1">stat(calculs!BK340)</f>
        <v>#NAME?</v>
      </c>
      <c r="BL340" s="525" t="e">
        <f ca="1">stat(calculs!BL340)</f>
        <v>#NAME?</v>
      </c>
      <c r="BM340" s="525" t="e">
        <f ca="1">stat(calculs!BM340)</f>
        <v>#NAME?</v>
      </c>
      <c r="BN340" s="525" t="e">
        <f ca="1">stat(calculs!BN340)</f>
        <v>#NAME?</v>
      </c>
      <c r="BO340" s="525" t="e">
        <f ca="1">stat(calculs!BO340)</f>
        <v>#NAME?</v>
      </c>
      <c r="BP340" s="525" t="e">
        <f ca="1">stat(calculs!BP340)</f>
        <v>#NAME?</v>
      </c>
      <c r="BQ340" s="525" t="e">
        <f ca="1">stat(calculs!BQ340)</f>
        <v>#NAME?</v>
      </c>
      <c r="BR340" s="525" t="e">
        <f ca="1">stat(calculs!BR340)</f>
        <v>#NAME?</v>
      </c>
    </row>
    <row r="341" spans="1:70" x14ac:dyDescent="0.2">
      <c r="A341" s="222">
        <f>données_step[[#This Row],[Datum]]</f>
        <v>44892</v>
      </c>
      <c r="B341" s="223"/>
      <c r="C341" s="224">
        <f t="shared" si="5"/>
        <v>1</v>
      </c>
      <c r="D341" s="523" t="e">
        <f ca="1">stat(charge_entree[[#This Row],[ch_E_DBO5]])</f>
        <v>#NAME?</v>
      </c>
      <c r="E341" s="523" t="e">
        <f ca="1">stat(charge_entree[[#This Row],[ch_E_DCO]])</f>
        <v>#NAME?</v>
      </c>
      <c r="F341" s="523" t="e">
        <f ca="1">stat(charge_entree[[#This Row],[ch_E_COT]])</f>
        <v>#NAME?</v>
      </c>
      <c r="G341" s="523" t="e">
        <f ca="1">stat(charge_entree[[#This Row],[ch_E_NH4]])</f>
        <v>#NAME?</v>
      </c>
      <c r="H341" s="523" t="e">
        <f ca="1">stat(charge_entree[[#This Row],[ch_E_NTOT]])</f>
        <v>#NAME?</v>
      </c>
      <c r="I341" s="523" t="e">
        <f ca="1">stat(charge_entree[[#This Row],[ch_E_PTOT]])</f>
        <v>#NAME?</v>
      </c>
      <c r="J341" s="523" t="e">
        <f ca="1">stat(charge_entree[[#This Row],[ch_S_DBO]])</f>
        <v>#NAME?</v>
      </c>
      <c r="K341" s="523" t="e">
        <f ca="1">stat(charge_entree[[#This Row],[ch_S-DCO]])</f>
        <v>#NAME?</v>
      </c>
      <c r="L341" s="523" t="e">
        <f ca="1">stat(charge_entree[[#This Row],[ch_S_DOC]])</f>
        <v>#NAME?</v>
      </c>
      <c r="M341" s="523" t="e">
        <f ca="1">stat(charge_entree[[#This Row],[ch_S_NH4]])</f>
        <v>#NAME?</v>
      </c>
      <c r="N341" s="523" t="e">
        <f ca="1">stat(charge_entree[[#This Row],[ch_S_NO2]])</f>
        <v>#NAME?</v>
      </c>
      <c r="O341" s="523" t="e">
        <f ca="1">stat(charge_entree[[#This Row],[ch_S_NO3]])</f>
        <v>#NAME?</v>
      </c>
      <c r="P341" s="523" t="e">
        <f ca="1">stat(charge_entree[[#This Row],[ch_S_PTOT]])</f>
        <v>#NAME?</v>
      </c>
      <c r="Q341" s="523" t="e">
        <f ca="1">stat(charge_entree[[#This Row],[ch_S_SNDT]])</f>
        <v>#NAME?</v>
      </c>
      <c r="R341" s="523">
        <f>calculs!R341</f>
        <v>0</v>
      </c>
      <c r="S341" s="523" t="e">
        <f ca="1">stat(calculs!S341)</f>
        <v>#NAME?</v>
      </c>
      <c r="T341" s="523" t="e">
        <f ca="1">stat(calculs!T341)</f>
        <v>#NAME?</v>
      </c>
      <c r="U341" s="523" t="e">
        <f ca="1">stat(calculs!U341)</f>
        <v>#NAME?</v>
      </c>
      <c r="V341" s="523" t="e">
        <f ca="1">stat(calculs!V341)</f>
        <v>#NAME?</v>
      </c>
      <c r="W341" s="523" t="e">
        <f ca="1">stat(calculs!W341)</f>
        <v>#NAME?</v>
      </c>
      <c r="X341" s="523" t="e">
        <f ca="1">stat(calculs!X341)</f>
        <v>#NAME?</v>
      </c>
      <c r="Y341" s="523" t="e">
        <f ca="1">stat(calculs!Y341)</f>
        <v>#NAME?</v>
      </c>
      <c r="Z341" s="523" t="e">
        <f ca="1">stat(calculs!Z341)</f>
        <v>#NAME?</v>
      </c>
      <c r="AA341" s="523" t="e">
        <f ca="1">stat(calculs!AA341)</f>
        <v>#NAME?</v>
      </c>
      <c r="AB341" s="523" t="e">
        <f ca="1">stat(calculs!AB341)</f>
        <v>#NAME?</v>
      </c>
      <c r="AC341" s="523" t="e">
        <f ca="1">stat(calculs!AC341)</f>
        <v>#NAME?</v>
      </c>
      <c r="AD341" s="523" t="e">
        <f ca="1">stat(calculs!AD341)</f>
        <v>#NAME?</v>
      </c>
      <c r="AE341" s="523" t="e">
        <f ca="1">stat(calculs!AE341)</f>
        <v>#NAME?</v>
      </c>
      <c r="AF341" s="523" t="e">
        <f ca="1">stat(calculs!AF341)</f>
        <v>#NAME?</v>
      </c>
      <c r="AG341" s="523" t="e">
        <f ca="1">stat(calculs!AG341)</f>
        <v>#NAME?</v>
      </c>
      <c r="AH341" s="523" t="e">
        <f ca="1">stat(calculs!AH341)</f>
        <v>#NAME?</v>
      </c>
      <c r="AI341" s="523" t="e">
        <f ca="1">stat(calculs!AI341)</f>
        <v>#NAME?</v>
      </c>
      <c r="AJ341" s="523" t="e">
        <f ca="1">stat(calculs!AJ341)</f>
        <v>#NAME?</v>
      </c>
      <c r="AK341" s="523" t="e">
        <f ca="1">stat(calculs!AK341)</f>
        <v>#NAME?</v>
      </c>
      <c r="AL341" s="523" t="e">
        <f ca="1">stat(calculs!AL341)</f>
        <v>#NAME?</v>
      </c>
      <c r="AM341" s="523" t="e">
        <f ca="1">stat(calculs!AM341)</f>
        <v>#NAME?</v>
      </c>
      <c r="AN341" s="523" t="e">
        <f ca="1">stat(calculs!AN341)</f>
        <v>#NAME?</v>
      </c>
      <c r="AO341" s="523" t="e">
        <f ca="1">stat(calculs!AO341)</f>
        <v>#NAME?</v>
      </c>
      <c r="AP341" s="523" t="e">
        <f ca="1">stat(calculs!AP341)</f>
        <v>#NAME?</v>
      </c>
      <c r="AQ341" s="523" t="e">
        <f ca="1">stat(calculs!AQ341)</f>
        <v>#NAME?</v>
      </c>
      <c r="AV341" s="525" t="str">
        <f>stat(calculs!AV341)</f>
        <v/>
      </c>
      <c r="AW341" s="525" t="str">
        <f>stat(calculs!AW341)</f>
        <v/>
      </c>
      <c r="AX341" s="525" t="str">
        <f>stat(calculs!AX341)</f>
        <v/>
      </c>
      <c r="AY341" s="525" t="e">
        <f ca="1">stat(calculs!AY341)</f>
        <v>#NAME?</v>
      </c>
      <c r="AZ341" s="525" t="e">
        <f ca="1">stat(calculs!AZ341)</f>
        <v>#NAME?</v>
      </c>
      <c r="BA341" s="525" t="e">
        <f ca="1">stat(calculs!BA341)</f>
        <v>#NAME?</v>
      </c>
      <c r="BB341" s="525" t="e">
        <f ca="1">stat(calculs!BB341)</f>
        <v>#NAME?</v>
      </c>
      <c r="BC341" s="525" t="e">
        <f ca="1">stat(calculs!BC341)</f>
        <v>#NAME?</v>
      </c>
      <c r="BD341" s="525" t="e">
        <f ca="1">stat(calculs!BD341)</f>
        <v>#NAME?</v>
      </c>
      <c r="BE341" s="525" t="e">
        <f ca="1">stat(calculs!BE341)</f>
        <v>#NAME?</v>
      </c>
      <c r="BF341" s="525" t="e">
        <f ca="1">stat(calculs!BF341)</f>
        <v>#NAME?</v>
      </c>
      <c r="BG341" s="729" t="e">
        <f ca="1">stat(calculs!BG341)</f>
        <v>#NAME?</v>
      </c>
      <c r="BH341" s="729" t="e">
        <f ca="1">stat(calculs!BH341)</f>
        <v>#NAME?</v>
      </c>
      <c r="BI341" s="729" t="e">
        <f ca="1">stat(calculs!BI341)</f>
        <v>#NAME?</v>
      </c>
      <c r="BJ341" s="729" t="e">
        <f ca="1">stat(calculs!BJ341)</f>
        <v>#NAME?</v>
      </c>
      <c r="BK341" s="729" t="e">
        <f ca="1">stat(calculs!BK341)</f>
        <v>#NAME?</v>
      </c>
      <c r="BL341" s="525" t="e">
        <f ca="1">stat(calculs!BL341)</f>
        <v>#NAME?</v>
      </c>
      <c r="BM341" s="525" t="e">
        <f ca="1">stat(calculs!BM341)</f>
        <v>#NAME?</v>
      </c>
      <c r="BN341" s="525" t="e">
        <f ca="1">stat(calculs!BN341)</f>
        <v>#NAME?</v>
      </c>
      <c r="BO341" s="525" t="e">
        <f ca="1">stat(calculs!BO341)</f>
        <v>#NAME?</v>
      </c>
      <c r="BP341" s="525" t="e">
        <f ca="1">stat(calculs!BP341)</f>
        <v>#NAME?</v>
      </c>
      <c r="BQ341" s="525" t="e">
        <f ca="1">stat(calculs!BQ341)</f>
        <v>#NAME?</v>
      </c>
      <c r="BR341" s="525" t="e">
        <f ca="1">stat(calculs!BR341)</f>
        <v>#NAME?</v>
      </c>
    </row>
    <row r="342" spans="1:70" x14ac:dyDescent="0.2">
      <c r="A342" s="222">
        <f>données_step[[#This Row],[Datum]]</f>
        <v>44893</v>
      </c>
      <c r="B342" s="223"/>
      <c r="C342" s="224">
        <f t="shared" si="5"/>
        <v>2</v>
      </c>
      <c r="D342" s="523" t="e">
        <f ca="1">stat(charge_entree[[#This Row],[ch_E_DBO5]])</f>
        <v>#NAME?</v>
      </c>
      <c r="E342" s="523" t="e">
        <f ca="1">stat(charge_entree[[#This Row],[ch_E_DCO]])</f>
        <v>#NAME?</v>
      </c>
      <c r="F342" s="523" t="e">
        <f ca="1">stat(charge_entree[[#This Row],[ch_E_COT]])</f>
        <v>#NAME?</v>
      </c>
      <c r="G342" s="523" t="e">
        <f ca="1">stat(charge_entree[[#This Row],[ch_E_NH4]])</f>
        <v>#NAME?</v>
      </c>
      <c r="H342" s="523" t="e">
        <f ca="1">stat(charge_entree[[#This Row],[ch_E_NTOT]])</f>
        <v>#NAME?</v>
      </c>
      <c r="I342" s="523" t="e">
        <f ca="1">stat(charge_entree[[#This Row],[ch_E_PTOT]])</f>
        <v>#NAME?</v>
      </c>
      <c r="J342" s="523" t="e">
        <f ca="1">stat(charge_entree[[#This Row],[ch_S_DBO]])</f>
        <v>#NAME?</v>
      </c>
      <c r="K342" s="523" t="e">
        <f ca="1">stat(charge_entree[[#This Row],[ch_S-DCO]])</f>
        <v>#NAME?</v>
      </c>
      <c r="L342" s="523" t="e">
        <f ca="1">stat(charge_entree[[#This Row],[ch_S_DOC]])</f>
        <v>#NAME?</v>
      </c>
      <c r="M342" s="523" t="e">
        <f ca="1">stat(charge_entree[[#This Row],[ch_S_NH4]])</f>
        <v>#NAME?</v>
      </c>
      <c r="N342" s="523" t="e">
        <f ca="1">stat(charge_entree[[#This Row],[ch_S_NO2]])</f>
        <v>#NAME?</v>
      </c>
      <c r="O342" s="523" t="e">
        <f ca="1">stat(charge_entree[[#This Row],[ch_S_NO3]])</f>
        <v>#NAME?</v>
      </c>
      <c r="P342" s="523" t="e">
        <f ca="1">stat(charge_entree[[#This Row],[ch_S_PTOT]])</f>
        <v>#NAME?</v>
      </c>
      <c r="Q342" s="523" t="e">
        <f ca="1">stat(charge_entree[[#This Row],[ch_S_SNDT]])</f>
        <v>#NAME?</v>
      </c>
      <c r="R342" s="523">
        <f>calculs!R342</f>
        <v>0</v>
      </c>
      <c r="S342" s="523" t="e">
        <f ca="1">stat(calculs!S342)</f>
        <v>#NAME?</v>
      </c>
      <c r="T342" s="523" t="e">
        <f ca="1">stat(calculs!T342)</f>
        <v>#NAME?</v>
      </c>
      <c r="U342" s="523" t="e">
        <f ca="1">stat(calculs!U342)</f>
        <v>#NAME?</v>
      </c>
      <c r="V342" s="523" t="e">
        <f ca="1">stat(calculs!V342)</f>
        <v>#NAME?</v>
      </c>
      <c r="W342" s="523" t="e">
        <f ca="1">stat(calculs!W342)</f>
        <v>#NAME?</v>
      </c>
      <c r="X342" s="523" t="e">
        <f ca="1">stat(calculs!X342)</f>
        <v>#NAME?</v>
      </c>
      <c r="Y342" s="523" t="e">
        <f ca="1">stat(calculs!Y342)</f>
        <v>#NAME?</v>
      </c>
      <c r="Z342" s="523" t="e">
        <f ca="1">stat(calculs!Z342)</f>
        <v>#NAME?</v>
      </c>
      <c r="AA342" s="523" t="e">
        <f ca="1">stat(calculs!AA342)</f>
        <v>#NAME?</v>
      </c>
      <c r="AB342" s="523" t="e">
        <f ca="1">stat(calculs!AB342)</f>
        <v>#NAME?</v>
      </c>
      <c r="AC342" s="523" t="e">
        <f ca="1">stat(calculs!AC342)</f>
        <v>#NAME?</v>
      </c>
      <c r="AD342" s="523" t="e">
        <f ca="1">stat(calculs!AD342)</f>
        <v>#NAME?</v>
      </c>
      <c r="AE342" s="523" t="e">
        <f ca="1">stat(calculs!AE342)</f>
        <v>#NAME?</v>
      </c>
      <c r="AF342" s="523" t="e">
        <f ca="1">stat(calculs!AF342)</f>
        <v>#NAME?</v>
      </c>
      <c r="AG342" s="523" t="e">
        <f ca="1">stat(calculs!AG342)</f>
        <v>#NAME?</v>
      </c>
      <c r="AH342" s="523" t="e">
        <f ca="1">stat(calculs!AH342)</f>
        <v>#NAME?</v>
      </c>
      <c r="AI342" s="523" t="e">
        <f ca="1">stat(calculs!AI342)</f>
        <v>#NAME?</v>
      </c>
      <c r="AJ342" s="523" t="e">
        <f ca="1">stat(calculs!AJ342)</f>
        <v>#NAME?</v>
      </c>
      <c r="AK342" s="523" t="e">
        <f ca="1">stat(calculs!AK342)</f>
        <v>#NAME?</v>
      </c>
      <c r="AL342" s="523" t="e">
        <f ca="1">stat(calculs!AL342)</f>
        <v>#NAME?</v>
      </c>
      <c r="AM342" s="523" t="e">
        <f ca="1">stat(calculs!AM342)</f>
        <v>#NAME?</v>
      </c>
      <c r="AN342" s="523" t="e">
        <f ca="1">stat(calculs!AN342)</f>
        <v>#NAME?</v>
      </c>
      <c r="AO342" s="523" t="e">
        <f ca="1">stat(calculs!AO342)</f>
        <v>#NAME?</v>
      </c>
      <c r="AP342" s="523" t="e">
        <f ca="1">stat(calculs!AP342)</f>
        <v>#NAME?</v>
      </c>
      <c r="AQ342" s="523" t="e">
        <f ca="1">stat(calculs!AQ342)</f>
        <v>#NAME?</v>
      </c>
      <c r="AV342" s="525" t="str">
        <f>stat(calculs!AV342)</f>
        <v/>
      </c>
      <c r="AW342" s="525" t="str">
        <f>stat(calculs!AW342)</f>
        <v/>
      </c>
      <c r="AX342" s="525" t="str">
        <f>stat(calculs!AX342)</f>
        <v/>
      </c>
      <c r="AY342" s="525" t="e">
        <f ca="1">stat(calculs!AY342)</f>
        <v>#NAME?</v>
      </c>
      <c r="AZ342" s="525" t="e">
        <f ca="1">stat(calculs!AZ342)</f>
        <v>#NAME?</v>
      </c>
      <c r="BA342" s="525" t="e">
        <f ca="1">stat(calculs!BA342)</f>
        <v>#NAME?</v>
      </c>
      <c r="BB342" s="525" t="e">
        <f ca="1">stat(calculs!BB342)</f>
        <v>#NAME?</v>
      </c>
      <c r="BC342" s="525" t="e">
        <f ca="1">stat(calculs!BC342)</f>
        <v>#NAME?</v>
      </c>
      <c r="BD342" s="525" t="e">
        <f ca="1">stat(calculs!BD342)</f>
        <v>#NAME?</v>
      </c>
      <c r="BE342" s="525" t="e">
        <f ca="1">stat(calculs!BE342)</f>
        <v>#NAME?</v>
      </c>
      <c r="BF342" s="525" t="e">
        <f ca="1">stat(calculs!BF342)</f>
        <v>#NAME?</v>
      </c>
      <c r="BG342" s="729" t="e">
        <f ca="1">stat(calculs!BG342)</f>
        <v>#NAME?</v>
      </c>
      <c r="BH342" s="729" t="e">
        <f ca="1">stat(calculs!BH342)</f>
        <v>#NAME?</v>
      </c>
      <c r="BI342" s="729" t="e">
        <f ca="1">stat(calculs!BI342)</f>
        <v>#NAME?</v>
      </c>
      <c r="BJ342" s="729" t="e">
        <f ca="1">stat(calculs!BJ342)</f>
        <v>#NAME?</v>
      </c>
      <c r="BK342" s="729" t="e">
        <f ca="1">stat(calculs!BK342)</f>
        <v>#NAME?</v>
      </c>
      <c r="BL342" s="525" t="e">
        <f ca="1">stat(calculs!BL342)</f>
        <v>#NAME?</v>
      </c>
      <c r="BM342" s="525" t="e">
        <f ca="1">stat(calculs!BM342)</f>
        <v>#NAME?</v>
      </c>
      <c r="BN342" s="525" t="e">
        <f ca="1">stat(calculs!BN342)</f>
        <v>#NAME?</v>
      </c>
      <c r="BO342" s="525" t="e">
        <f ca="1">stat(calculs!BO342)</f>
        <v>#NAME?</v>
      </c>
      <c r="BP342" s="525" t="e">
        <f ca="1">stat(calculs!BP342)</f>
        <v>#NAME?</v>
      </c>
      <c r="BQ342" s="525" t="e">
        <f ca="1">stat(calculs!BQ342)</f>
        <v>#NAME?</v>
      </c>
      <c r="BR342" s="525" t="e">
        <f ca="1">stat(calculs!BR342)</f>
        <v>#NAME?</v>
      </c>
    </row>
    <row r="343" spans="1:70" x14ac:dyDescent="0.2">
      <c r="A343" s="222">
        <f>données_step[[#This Row],[Datum]]</f>
        <v>44894</v>
      </c>
      <c r="B343" s="223"/>
      <c r="C343" s="224">
        <f t="shared" si="5"/>
        <v>3</v>
      </c>
      <c r="D343" s="523" t="e">
        <f ca="1">stat(charge_entree[[#This Row],[ch_E_DBO5]])</f>
        <v>#NAME?</v>
      </c>
      <c r="E343" s="523" t="e">
        <f ca="1">stat(charge_entree[[#This Row],[ch_E_DCO]])</f>
        <v>#NAME?</v>
      </c>
      <c r="F343" s="523" t="e">
        <f ca="1">stat(charge_entree[[#This Row],[ch_E_COT]])</f>
        <v>#NAME?</v>
      </c>
      <c r="G343" s="523" t="e">
        <f ca="1">stat(charge_entree[[#This Row],[ch_E_NH4]])</f>
        <v>#NAME?</v>
      </c>
      <c r="H343" s="523" t="e">
        <f ca="1">stat(charge_entree[[#This Row],[ch_E_NTOT]])</f>
        <v>#NAME?</v>
      </c>
      <c r="I343" s="523" t="e">
        <f ca="1">stat(charge_entree[[#This Row],[ch_E_PTOT]])</f>
        <v>#NAME?</v>
      </c>
      <c r="J343" s="523" t="e">
        <f ca="1">stat(charge_entree[[#This Row],[ch_S_DBO]])</f>
        <v>#NAME?</v>
      </c>
      <c r="K343" s="523" t="e">
        <f ca="1">stat(charge_entree[[#This Row],[ch_S-DCO]])</f>
        <v>#NAME?</v>
      </c>
      <c r="L343" s="523" t="e">
        <f ca="1">stat(charge_entree[[#This Row],[ch_S_DOC]])</f>
        <v>#NAME?</v>
      </c>
      <c r="M343" s="523" t="e">
        <f ca="1">stat(charge_entree[[#This Row],[ch_S_NH4]])</f>
        <v>#NAME?</v>
      </c>
      <c r="N343" s="523" t="e">
        <f ca="1">stat(charge_entree[[#This Row],[ch_S_NO2]])</f>
        <v>#NAME?</v>
      </c>
      <c r="O343" s="523" t="e">
        <f ca="1">stat(charge_entree[[#This Row],[ch_S_NO3]])</f>
        <v>#NAME?</v>
      </c>
      <c r="P343" s="523" t="e">
        <f ca="1">stat(charge_entree[[#This Row],[ch_S_PTOT]])</f>
        <v>#NAME?</v>
      </c>
      <c r="Q343" s="523" t="e">
        <f ca="1">stat(charge_entree[[#This Row],[ch_S_SNDT]])</f>
        <v>#NAME?</v>
      </c>
      <c r="R343" s="523">
        <f>calculs!R343</f>
        <v>0</v>
      </c>
      <c r="S343" s="523" t="e">
        <f ca="1">stat(calculs!S343)</f>
        <v>#NAME?</v>
      </c>
      <c r="T343" s="523" t="e">
        <f ca="1">stat(calculs!T343)</f>
        <v>#NAME?</v>
      </c>
      <c r="U343" s="523" t="e">
        <f ca="1">stat(calculs!U343)</f>
        <v>#NAME?</v>
      </c>
      <c r="V343" s="523" t="e">
        <f ca="1">stat(calculs!V343)</f>
        <v>#NAME?</v>
      </c>
      <c r="W343" s="523" t="e">
        <f ca="1">stat(calculs!W343)</f>
        <v>#NAME?</v>
      </c>
      <c r="X343" s="523" t="e">
        <f ca="1">stat(calculs!X343)</f>
        <v>#NAME?</v>
      </c>
      <c r="Y343" s="523" t="e">
        <f ca="1">stat(calculs!Y343)</f>
        <v>#NAME?</v>
      </c>
      <c r="Z343" s="523" t="e">
        <f ca="1">stat(calculs!Z343)</f>
        <v>#NAME?</v>
      </c>
      <c r="AA343" s="523" t="e">
        <f ca="1">stat(calculs!AA343)</f>
        <v>#NAME?</v>
      </c>
      <c r="AB343" s="523" t="e">
        <f ca="1">stat(calculs!AB343)</f>
        <v>#NAME?</v>
      </c>
      <c r="AC343" s="523" t="e">
        <f ca="1">stat(calculs!AC343)</f>
        <v>#NAME?</v>
      </c>
      <c r="AD343" s="523" t="e">
        <f ca="1">stat(calculs!AD343)</f>
        <v>#NAME?</v>
      </c>
      <c r="AE343" s="523" t="e">
        <f ca="1">stat(calculs!AE343)</f>
        <v>#NAME?</v>
      </c>
      <c r="AF343" s="523" t="e">
        <f ca="1">stat(calculs!AF343)</f>
        <v>#NAME?</v>
      </c>
      <c r="AG343" s="523" t="e">
        <f ca="1">stat(calculs!AG343)</f>
        <v>#NAME?</v>
      </c>
      <c r="AH343" s="523" t="e">
        <f ca="1">stat(calculs!AH343)</f>
        <v>#NAME?</v>
      </c>
      <c r="AI343" s="523" t="e">
        <f ca="1">stat(calculs!AI343)</f>
        <v>#NAME?</v>
      </c>
      <c r="AJ343" s="523" t="e">
        <f ca="1">stat(calculs!AJ343)</f>
        <v>#NAME?</v>
      </c>
      <c r="AK343" s="523" t="e">
        <f ca="1">stat(calculs!AK343)</f>
        <v>#NAME?</v>
      </c>
      <c r="AL343" s="523" t="e">
        <f ca="1">stat(calculs!AL343)</f>
        <v>#NAME?</v>
      </c>
      <c r="AM343" s="523" t="e">
        <f ca="1">stat(calculs!AM343)</f>
        <v>#NAME?</v>
      </c>
      <c r="AN343" s="523" t="e">
        <f ca="1">stat(calculs!AN343)</f>
        <v>#NAME?</v>
      </c>
      <c r="AO343" s="523" t="e">
        <f ca="1">stat(calculs!AO343)</f>
        <v>#NAME?</v>
      </c>
      <c r="AP343" s="523" t="e">
        <f ca="1">stat(calculs!AP343)</f>
        <v>#NAME?</v>
      </c>
      <c r="AQ343" s="523" t="e">
        <f ca="1">stat(calculs!AQ343)</f>
        <v>#NAME?</v>
      </c>
      <c r="AV343" s="525" t="str">
        <f>stat(calculs!AV343)</f>
        <v/>
      </c>
      <c r="AW343" s="525" t="str">
        <f>stat(calculs!AW343)</f>
        <v/>
      </c>
      <c r="AX343" s="525" t="str">
        <f>stat(calculs!AX343)</f>
        <v/>
      </c>
      <c r="AY343" s="525" t="e">
        <f ca="1">stat(calculs!AY343)</f>
        <v>#NAME?</v>
      </c>
      <c r="AZ343" s="525" t="e">
        <f ca="1">stat(calculs!AZ343)</f>
        <v>#NAME?</v>
      </c>
      <c r="BA343" s="525" t="e">
        <f ca="1">stat(calculs!BA343)</f>
        <v>#NAME?</v>
      </c>
      <c r="BB343" s="525" t="e">
        <f ca="1">stat(calculs!BB343)</f>
        <v>#NAME?</v>
      </c>
      <c r="BC343" s="525" t="e">
        <f ca="1">stat(calculs!BC343)</f>
        <v>#NAME?</v>
      </c>
      <c r="BD343" s="525" t="e">
        <f ca="1">stat(calculs!BD343)</f>
        <v>#NAME?</v>
      </c>
      <c r="BE343" s="525" t="e">
        <f ca="1">stat(calculs!BE343)</f>
        <v>#NAME?</v>
      </c>
      <c r="BF343" s="525" t="e">
        <f ca="1">stat(calculs!BF343)</f>
        <v>#NAME?</v>
      </c>
      <c r="BG343" s="729" t="e">
        <f ca="1">stat(calculs!BG343)</f>
        <v>#NAME?</v>
      </c>
      <c r="BH343" s="729" t="e">
        <f ca="1">stat(calculs!BH343)</f>
        <v>#NAME?</v>
      </c>
      <c r="BI343" s="729" t="e">
        <f ca="1">stat(calculs!BI343)</f>
        <v>#NAME?</v>
      </c>
      <c r="BJ343" s="729" t="e">
        <f ca="1">stat(calculs!BJ343)</f>
        <v>#NAME?</v>
      </c>
      <c r="BK343" s="729" t="e">
        <f ca="1">stat(calculs!BK343)</f>
        <v>#NAME?</v>
      </c>
      <c r="BL343" s="525" t="e">
        <f ca="1">stat(calculs!BL343)</f>
        <v>#NAME?</v>
      </c>
      <c r="BM343" s="525" t="e">
        <f ca="1">stat(calculs!BM343)</f>
        <v>#NAME?</v>
      </c>
      <c r="BN343" s="525" t="e">
        <f ca="1">stat(calculs!BN343)</f>
        <v>#NAME?</v>
      </c>
      <c r="BO343" s="525" t="e">
        <f ca="1">stat(calculs!BO343)</f>
        <v>#NAME?</v>
      </c>
      <c r="BP343" s="525" t="e">
        <f ca="1">stat(calculs!BP343)</f>
        <v>#NAME?</v>
      </c>
      <c r="BQ343" s="525" t="e">
        <f ca="1">stat(calculs!BQ343)</f>
        <v>#NAME?</v>
      </c>
      <c r="BR343" s="525" t="e">
        <f ca="1">stat(calculs!BR343)</f>
        <v>#NAME?</v>
      </c>
    </row>
    <row r="344" spans="1:70" x14ac:dyDescent="0.2">
      <c r="A344" s="222">
        <f>données_step[[#This Row],[Datum]]</f>
        <v>44895</v>
      </c>
      <c r="B344" s="223"/>
      <c r="C344" s="224">
        <f t="shared" si="5"/>
        <v>4</v>
      </c>
      <c r="D344" s="523" t="e">
        <f ca="1">stat(charge_entree[[#This Row],[ch_E_DBO5]])</f>
        <v>#NAME?</v>
      </c>
      <c r="E344" s="523" t="e">
        <f ca="1">stat(charge_entree[[#This Row],[ch_E_DCO]])</f>
        <v>#NAME?</v>
      </c>
      <c r="F344" s="523" t="e">
        <f ca="1">stat(charge_entree[[#This Row],[ch_E_COT]])</f>
        <v>#NAME?</v>
      </c>
      <c r="G344" s="523" t="e">
        <f ca="1">stat(charge_entree[[#This Row],[ch_E_NH4]])</f>
        <v>#NAME?</v>
      </c>
      <c r="H344" s="523" t="e">
        <f ca="1">stat(charge_entree[[#This Row],[ch_E_NTOT]])</f>
        <v>#NAME?</v>
      </c>
      <c r="I344" s="523" t="e">
        <f ca="1">stat(charge_entree[[#This Row],[ch_E_PTOT]])</f>
        <v>#NAME?</v>
      </c>
      <c r="J344" s="523" t="e">
        <f ca="1">stat(charge_entree[[#This Row],[ch_S_DBO]])</f>
        <v>#NAME?</v>
      </c>
      <c r="K344" s="523" t="e">
        <f ca="1">stat(charge_entree[[#This Row],[ch_S-DCO]])</f>
        <v>#NAME?</v>
      </c>
      <c r="L344" s="523" t="e">
        <f ca="1">stat(charge_entree[[#This Row],[ch_S_DOC]])</f>
        <v>#NAME?</v>
      </c>
      <c r="M344" s="523" t="e">
        <f ca="1">stat(charge_entree[[#This Row],[ch_S_NH4]])</f>
        <v>#NAME?</v>
      </c>
      <c r="N344" s="523" t="e">
        <f ca="1">stat(charge_entree[[#This Row],[ch_S_NO2]])</f>
        <v>#NAME?</v>
      </c>
      <c r="O344" s="523" t="e">
        <f ca="1">stat(charge_entree[[#This Row],[ch_S_NO3]])</f>
        <v>#NAME?</v>
      </c>
      <c r="P344" s="523" t="e">
        <f ca="1">stat(charge_entree[[#This Row],[ch_S_PTOT]])</f>
        <v>#NAME?</v>
      </c>
      <c r="Q344" s="523" t="e">
        <f ca="1">stat(charge_entree[[#This Row],[ch_S_SNDT]])</f>
        <v>#NAME?</v>
      </c>
      <c r="R344" s="523">
        <f>calculs!R344</f>
        <v>0</v>
      </c>
      <c r="S344" s="523" t="e">
        <f ca="1">stat(calculs!S344)</f>
        <v>#NAME?</v>
      </c>
      <c r="T344" s="523" t="e">
        <f ca="1">stat(calculs!T344)</f>
        <v>#NAME?</v>
      </c>
      <c r="U344" s="523" t="e">
        <f ca="1">stat(calculs!U344)</f>
        <v>#NAME?</v>
      </c>
      <c r="V344" s="523" t="e">
        <f ca="1">stat(calculs!V344)</f>
        <v>#NAME?</v>
      </c>
      <c r="W344" s="523" t="e">
        <f ca="1">stat(calculs!W344)</f>
        <v>#NAME?</v>
      </c>
      <c r="X344" s="523" t="e">
        <f ca="1">stat(calculs!X344)</f>
        <v>#NAME?</v>
      </c>
      <c r="Y344" s="523" t="e">
        <f ca="1">stat(calculs!Y344)</f>
        <v>#NAME?</v>
      </c>
      <c r="Z344" s="523" t="e">
        <f ca="1">stat(calculs!Z344)</f>
        <v>#NAME?</v>
      </c>
      <c r="AA344" s="523" t="e">
        <f ca="1">stat(calculs!AA344)</f>
        <v>#NAME?</v>
      </c>
      <c r="AB344" s="523" t="e">
        <f ca="1">stat(calculs!AB344)</f>
        <v>#NAME?</v>
      </c>
      <c r="AC344" s="523" t="e">
        <f ca="1">stat(calculs!AC344)</f>
        <v>#NAME?</v>
      </c>
      <c r="AD344" s="523" t="e">
        <f ca="1">stat(calculs!AD344)</f>
        <v>#NAME?</v>
      </c>
      <c r="AE344" s="523" t="e">
        <f ca="1">stat(calculs!AE344)</f>
        <v>#NAME?</v>
      </c>
      <c r="AF344" s="523" t="e">
        <f ca="1">stat(calculs!AF344)</f>
        <v>#NAME?</v>
      </c>
      <c r="AG344" s="523" t="e">
        <f ca="1">stat(calculs!AG344)</f>
        <v>#NAME?</v>
      </c>
      <c r="AH344" s="523" t="e">
        <f ca="1">stat(calculs!AH344)</f>
        <v>#NAME?</v>
      </c>
      <c r="AI344" s="523" t="e">
        <f ca="1">stat(calculs!AI344)</f>
        <v>#NAME?</v>
      </c>
      <c r="AJ344" s="523" t="e">
        <f ca="1">stat(calculs!AJ344)</f>
        <v>#NAME?</v>
      </c>
      <c r="AK344" s="523" t="e">
        <f ca="1">stat(calculs!AK344)</f>
        <v>#NAME?</v>
      </c>
      <c r="AL344" s="523" t="e">
        <f ca="1">stat(calculs!AL344)</f>
        <v>#NAME?</v>
      </c>
      <c r="AM344" s="523" t="e">
        <f ca="1">stat(calculs!AM344)</f>
        <v>#NAME?</v>
      </c>
      <c r="AN344" s="523" t="e">
        <f ca="1">stat(calculs!AN344)</f>
        <v>#NAME?</v>
      </c>
      <c r="AO344" s="523" t="e">
        <f ca="1">stat(calculs!AO344)</f>
        <v>#NAME?</v>
      </c>
      <c r="AP344" s="523" t="e">
        <f ca="1">stat(calculs!AP344)</f>
        <v>#NAME?</v>
      </c>
      <c r="AQ344" s="523" t="e">
        <f ca="1">stat(calculs!AQ344)</f>
        <v>#NAME?</v>
      </c>
      <c r="AV344" s="525" t="str">
        <f>stat(calculs!AV344)</f>
        <v/>
      </c>
      <c r="AW344" s="525" t="str">
        <f>stat(calculs!AW344)</f>
        <v/>
      </c>
      <c r="AX344" s="525" t="str">
        <f>stat(calculs!AX344)</f>
        <v/>
      </c>
      <c r="AY344" s="525" t="e">
        <f ca="1">stat(calculs!AY344)</f>
        <v>#NAME?</v>
      </c>
      <c r="AZ344" s="525" t="e">
        <f ca="1">stat(calculs!AZ344)</f>
        <v>#NAME?</v>
      </c>
      <c r="BA344" s="525" t="e">
        <f ca="1">stat(calculs!BA344)</f>
        <v>#NAME?</v>
      </c>
      <c r="BB344" s="525" t="e">
        <f ca="1">stat(calculs!BB344)</f>
        <v>#NAME?</v>
      </c>
      <c r="BC344" s="525" t="e">
        <f ca="1">stat(calculs!BC344)</f>
        <v>#NAME?</v>
      </c>
      <c r="BD344" s="525" t="e">
        <f ca="1">stat(calculs!BD344)</f>
        <v>#NAME?</v>
      </c>
      <c r="BE344" s="525" t="e">
        <f ca="1">stat(calculs!BE344)</f>
        <v>#NAME?</v>
      </c>
      <c r="BF344" s="525" t="e">
        <f ca="1">stat(calculs!BF344)</f>
        <v>#NAME?</v>
      </c>
      <c r="BG344" s="729" t="e">
        <f ca="1">stat(calculs!BG344)</f>
        <v>#NAME?</v>
      </c>
      <c r="BH344" s="729" t="e">
        <f ca="1">stat(calculs!BH344)</f>
        <v>#NAME?</v>
      </c>
      <c r="BI344" s="729" t="e">
        <f ca="1">stat(calculs!BI344)</f>
        <v>#NAME?</v>
      </c>
      <c r="BJ344" s="729" t="e">
        <f ca="1">stat(calculs!BJ344)</f>
        <v>#NAME?</v>
      </c>
      <c r="BK344" s="729" t="e">
        <f ca="1">stat(calculs!BK344)</f>
        <v>#NAME?</v>
      </c>
      <c r="BL344" s="525" t="e">
        <f ca="1">stat(calculs!BL344)</f>
        <v>#NAME?</v>
      </c>
      <c r="BM344" s="525" t="e">
        <f ca="1">stat(calculs!BM344)</f>
        <v>#NAME?</v>
      </c>
      <c r="BN344" s="525" t="e">
        <f ca="1">stat(calculs!BN344)</f>
        <v>#NAME?</v>
      </c>
      <c r="BO344" s="525" t="e">
        <f ca="1">stat(calculs!BO344)</f>
        <v>#NAME?</v>
      </c>
      <c r="BP344" s="525" t="e">
        <f ca="1">stat(calculs!BP344)</f>
        <v>#NAME?</v>
      </c>
      <c r="BQ344" s="525" t="e">
        <f ca="1">stat(calculs!BQ344)</f>
        <v>#NAME?</v>
      </c>
      <c r="BR344" s="525" t="e">
        <f ca="1">stat(calculs!BR344)</f>
        <v>#NAME?</v>
      </c>
    </row>
    <row r="345" spans="1:70" x14ac:dyDescent="0.2">
      <c r="A345" s="222">
        <f>données_step[[#This Row],[Datum]]</f>
        <v>44896</v>
      </c>
      <c r="B345" s="223"/>
      <c r="C345" s="224">
        <f t="shared" si="5"/>
        <v>5</v>
      </c>
      <c r="D345" s="523" t="e">
        <f ca="1">stat(charge_entree[[#This Row],[ch_E_DBO5]])</f>
        <v>#NAME?</v>
      </c>
      <c r="E345" s="523" t="e">
        <f ca="1">stat(charge_entree[[#This Row],[ch_E_DCO]])</f>
        <v>#NAME?</v>
      </c>
      <c r="F345" s="523" t="e">
        <f ca="1">stat(charge_entree[[#This Row],[ch_E_COT]])</f>
        <v>#NAME?</v>
      </c>
      <c r="G345" s="523" t="e">
        <f ca="1">stat(charge_entree[[#This Row],[ch_E_NH4]])</f>
        <v>#NAME?</v>
      </c>
      <c r="H345" s="523" t="e">
        <f ca="1">stat(charge_entree[[#This Row],[ch_E_NTOT]])</f>
        <v>#NAME?</v>
      </c>
      <c r="I345" s="523" t="e">
        <f ca="1">stat(charge_entree[[#This Row],[ch_E_PTOT]])</f>
        <v>#NAME?</v>
      </c>
      <c r="J345" s="523" t="e">
        <f ca="1">stat(charge_entree[[#This Row],[ch_S_DBO]])</f>
        <v>#NAME?</v>
      </c>
      <c r="K345" s="523" t="e">
        <f ca="1">stat(charge_entree[[#This Row],[ch_S-DCO]])</f>
        <v>#NAME?</v>
      </c>
      <c r="L345" s="523" t="e">
        <f ca="1">stat(charge_entree[[#This Row],[ch_S_DOC]])</f>
        <v>#NAME?</v>
      </c>
      <c r="M345" s="523" t="e">
        <f ca="1">stat(charge_entree[[#This Row],[ch_S_NH4]])</f>
        <v>#NAME?</v>
      </c>
      <c r="N345" s="523" t="e">
        <f ca="1">stat(charge_entree[[#This Row],[ch_S_NO2]])</f>
        <v>#NAME?</v>
      </c>
      <c r="O345" s="523" t="e">
        <f ca="1">stat(charge_entree[[#This Row],[ch_S_NO3]])</f>
        <v>#NAME?</v>
      </c>
      <c r="P345" s="523" t="e">
        <f ca="1">stat(charge_entree[[#This Row],[ch_S_PTOT]])</f>
        <v>#NAME?</v>
      </c>
      <c r="Q345" s="523" t="e">
        <f ca="1">stat(charge_entree[[#This Row],[ch_S_SNDT]])</f>
        <v>#NAME?</v>
      </c>
      <c r="R345" s="523">
        <f>calculs!R345</f>
        <v>0</v>
      </c>
      <c r="S345" s="523" t="e">
        <f ca="1">stat(calculs!S345)</f>
        <v>#NAME?</v>
      </c>
      <c r="T345" s="523" t="e">
        <f ca="1">stat(calculs!T345)</f>
        <v>#NAME?</v>
      </c>
      <c r="U345" s="523" t="e">
        <f ca="1">stat(calculs!U345)</f>
        <v>#NAME?</v>
      </c>
      <c r="V345" s="523" t="e">
        <f ca="1">stat(calculs!V345)</f>
        <v>#NAME?</v>
      </c>
      <c r="W345" s="523" t="e">
        <f ca="1">stat(calculs!W345)</f>
        <v>#NAME?</v>
      </c>
      <c r="X345" s="523" t="e">
        <f ca="1">stat(calculs!X345)</f>
        <v>#NAME?</v>
      </c>
      <c r="Y345" s="523" t="e">
        <f ca="1">stat(calculs!Y345)</f>
        <v>#NAME?</v>
      </c>
      <c r="Z345" s="523" t="e">
        <f ca="1">stat(calculs!Z345)</f>
        <v>#NAME?</v>
      </c>
      <c r="AA345" s="523" t="e">
        <f ca="1">stat(calculs!AA345)</f>
        <v>#NAME?</v>
      </c>
      <c r="AB345" s="523" t="e">
        <f ca="1">stat(calculs!AB345)</f>
        <v>#NAME?</v>
      </c>
      <c r="AC345" s="523" t="e">
        <f ca="1">stat(calculs!AC345)</f>
        <v>#NAME?</v>
      </c>
      <c r="AD345" s="523" t="e">
        <f ca="1">stat(calculs!AD345)</f>
        <v>#NAME?</v>
      </c>
      <c r="AE345" s="523" t="e">
        <f ca="1">stat(calculs!AE345)</f>
        <v>#NAME?</v>
      </c>
      <c r="AF345" s="523" t="e">
        <f ca="1">stat(calculs!AF345)</f>
        <v>#NAME?</v>
      </c>
      <c r="AG345" s="523" t="e">
        <f ca="1">stat(calculs!AG345)</f>
        <v>#NAME?</v>
      </c>
      <c r="AH345" s="523" t="e">
        <f ca="1">stat(calculs!AH345)</f>
        <v>#NAME?</v>
      </c>
      <c r="AI345" s="523" t="e">
        <f ca="1">stat(calculs!AI345)</f>
        <v>#NAME?</v>
      </c>
      <c r="AJ345" s="523" t="e">
        <f ca="1">stat(calculs!AJ345)</f>
        <v>#NAME?</v>
      </c>
      <c r="AK345" s="523" t="e">
        <f ca="1">stat(calculs!AK345)</f>
        <v>#NAME?</v>
      </c>
      <c r="AL345" s="523" t="e">
        <f ca="1">stat(calculs!AL345)</f>
        <v>#NAME?</v>
      </c>
      <c r="AM345" s="523" t="e">
        <f ca="1">stat(calculs!AM345)</f>
        <v>#NAME?</v>
      </c>
      <c r="AN345" s="523" t="e">
        <f ca="1">stat(calculs!AN345)</f>
        <v>#NAME?</v>
      </c>
      <c r="AO345" s="523" t="e">
        <f ca="1">stat(calculs!AO345)</f>
        <v>#NAME?</v>
      </c>
      <c r="AP345" s="523" t="e">
        <f ca="1">stat(calculs!AP345)</f>
        <v>#NAME?</v>
      </c>
      <c r="AQ345" s="523" t="e">
        <f ca="1">stat(calculs!AQ345)</f>
        <v>#NAME?</v>
      </c>
      <c r="AV345" s="525" t="str">
        <f>stat(calculs!AV345)</f>
        <v/>
      </c>
      <c r="AW345" s="525" t="str">
        <f>stat(calculs!AW345)</f>
        <v/>
      </c>
      <c r="AX345" s="525" t="str">
        <f>stat(calculs!AX345)</f>
        <v/>
      </c>
      <c r="AY345" s="525" t="e">
        <f ca="1">stat(calculs!AY345)</f>
        <v>#NAME?</v>
      </c>
      <c r="AZ345" s="525" t="e">
        <f ca="1">stat(calculs!AZ345)</f>
        <v>#NAME?</v>
      </c>
      <c r="BA345" s="525" t="e">
        <f ca="1">stat(calculs!BA345)</f>
        <v>#NAME?</v>
      </c>
      <c r="BB345" s="525" t="e">
        <f ca="1">stat(calculs!BB345)</f>
        <v>#NAME?</v>
      </c>
      <c r="BC345" s="525" t="e">
        <f ca="1">stat(calculs!BC345)</f>
        <v>#NAME?</v>
      </c>
      <c r="BD345" s="525" t="e">
        <f ca="1">stat(calculs!BD345)</f>
        <v>#NAME?</v>
      </c>
      <c r="BE345" s="525" t="e">
        <f ca="1">stat(calculs!BE345)</f>
        <v>#NAME?</v>
      </c>
      <c r="BF345" s="525" t="e">
        <f ca="1">stat(calculs!BF345)</f>
        <v>#NAME?</v>
      </c>
      <c r="BG345" s="729" t="e">
        <f ca="1">stat(calculs!BG345)</f>
        <v>#NAME?</v>
      </c>
      <c r="BH345" s="729" t="e">
        <f ca="1">stat(calculs!BH345)</f>
        <v>#NAME?</v>
      </c>
      <c r="BI345" s="729" t="e">
        <f ca="1">stat(calculs!BI345)</f>
        <v>#NAME?</v>
      </c>
      <c r="BJ345" s="729" t="e">
        <f ca="1">stat(calculs!BJ345)</f>
        <v>#NAME?</v>
      </c>
      <c r="BK345" s="729" t="e">
        <f ca="1">stat(calculs!BK345)</f>
        <v>#NAME?</v>
      </c>
      <c r="BL345" s="525" t="e">
        <f ca="1">stat(calculs!BL345)</f>
        <v>#NAME?</v>
      </c>
      <c r="BM345" s="525" t="e">
        <f ca="1">stat(calculs!BM345)</f>
        <v>#NAME?</v>
      </c>
      <c r="BN345" s="525" t="e">
        <f ca="1">stat(calculs!BN345)</f>
        <v>#NAME?</v>
      </c>
      <c r="BO345" s="525" t="e">
        <f ca="1">stat(calculs!BO345)</f>
        <v>#NAME?</v>
      </c>
      <c r="BP345" s="525" t="e">
        <f ca="1">stat(calculs!BP345)</f>
        <v>#NAME?</v>
      </c>
      <c r="BQ345" s="525" t="e">
        <f ca="1">stat(calculs!BQ345)</f>
        <v>#NAME?</v>
      </c>
      <c r="BR345" s="525" t="e">
        <f ca="1">stat(calculs!BR345)</f>
        <v>#NAME?</v>
      </c>
    </row>
    <row r="346" spans="1:70" x14ac:dyDescent="0.2">
      <c r="A346" s="222">
        <f>données_step[[#This Row],[Datum]]</f>
        <v>44897</v>
      </c>
      <c r="B346" s="223"/>
      <c r="C346" s="224">
        <f t="shared" si="5"/>
        <v>6</v>
      </c>
      <c r="D346" s="523" t="e">
        <f ca="1">stat(charge_entree[[#This Row],[ch_E_DBO5]])</f>
        <v>#NAME?</v>
      </c>
      <c r="E346" s="523" t="e">
        <f ca="1">stat(charge_entree[[#This Row],[ch_E_DCO]])</f>
        <v>#NAME?</v>
      </c>
      <c r="F346" s="523" t="e">
        <f ca="1">stat(charge_entree[[#This Row],[ch_E_COT]])</f>
        <v>#NAME?</v>
      </c>
      <c r="G346" s="523" t="e">
        <f ca="1">stat(charge_entree[[#This Row],[ch_E_NH4]])</f>
        <v>#NAME?</v>
      </c>
      <c r="H346" s="523" t="e">
        <f ca="1">stat(charge_entree[[#This Row],[ch_E_NTOT]])</f>
        <v>#NAME?</v>
      </c>
      <c r="I346" s="523" t="e">
        <f ca="1">stat(charge_entree[[#This Row],[ch_E_PTOT]])</f>
        <v>#NAME?</v>
      </c>
      <c r="J346" s="523" t="e">
        <f ca="1">stat(charge_entree[[#This Row],[ch_S_DBO]])</f>
        <v>#NAME?</v>
      </c>
      <c r="K346" s="523" t="e">
        <f ca="1">stat(charge_entree[[#This Row],[ch_S-DCO]])</f>
        <v>#NAME?</v>
      </c>
      <c r="L346" s="523" t="e">
        <f ca="1">stat(charge_entree[[#This Row],[ch_S_DOC]])</f>
        <v>#NAME?</v>
      </c>
      <c r="M346" s="523" t="e">
        <f ca="1">stat(charge_entree[[#This Row],[ch_S_NH4]])</f>
        <v>#NAME?</v>
      </c>
      <c r="N346" s="523" t="e">
        <f ca="1">stat(charge_entree[[#This Row],[ch_S_NO2]])</f>
        <v>#NAME?</v>
      </c>
      <c r="O346" s="523" t="e">
        <f ca="1">stat(charge_entree[[#This Row],[ch_S_NO3]])</f>
        <v>#NAME?</v>
      </c>
      <c r="P346" s="523" t="e">
        <f ca="1">stat(charge_entree[[#This Row],[ch_S_PTOT]])</f>
        <v>#NAME?</v>
      </c>
      <c r="Q346" s="523" t="e">
        <f ca="1">stat(charge_entree[[#This Row],[ch_S_SNDT]])</f>
        <v>#NAME?</v>
      </c>
      <c r="R346" s="523">
        <f>calculs!R346</f>
        <v>0</v>
      </c>
      <c r="S346" s="523" t="e">
        <f ca="1">stat(calculs!S346)</f>
        <v>#NAME?</v>
      </c>
      <c r="T346" s="523" t="e">
        <f ca="1">stat(calculs!T346)</f>
        <v>#NAME?</v>
      </c>
      <c r="U346" s="523" t="e">
        <f ca="1">stat(calculs!U346)</f>
        <v>#NAME?</v>
      </c>
      <c r="V346" s="523" t="e">
        <f ca="1">stat(calculs!V346)</f>
        <v>#NAME?</v>
      </c>
      <c r="W346" s="523" t="e">
        <f ca="1">stat(calculs!W346)</f>
        <v>#NAME?</v>
      </c>
      <c r="X346" s="523" t="e">
        <f ca="1">stat(calculs!X346)</f>
        <v>#NAME?</v>
      </c>
      <c r="Y346" s="523" t="e">
        <f ca="1">stat(calculs!Y346)</f>
        <v>#NAME?</v>
      </c>
      <c r="Z346" s="523" t="e">
        <f ca="1">stat(calculs!Z346)</f>
        <v>#NAME?</v>
      </c>
      <c r="AA346" s="523" t="e">
        <f ca="1">stat(calculs!AA346)</f>
        <v>#NAME?</v>
      </c>
      <c r="AB346" s="523" t="e">
        <f ca="1">stat(calculs!AB346)</f>
        <v>#NAME?</v>
      </c>
      <c r="AC346" s="523" t="e">
        <f ca="1">stat(calculs!AC346)</f>
        <v>#NAME?</v>
      </c>
      <c r="AD346" s="523" t="e">
        <f ca="1">stat(calculs!AD346)</f>
        <v>#NAME?</v>
      </c>
      <c r="AE346" s="523" t="e">
        <f ca="1">stat(calculs!AE346)</f>
        <v>#NAME?</v>
      </c>
      <c r="AF346" s="523" t="e">
        <f ca="1">stat(calculs!AF346)</f>
        <v>#NAME?</v>
      </c>
      <c r="AG346" s="523" t="e">
        <f ca="1">stat(calculs!AG346)</f>
        <v>#NAME?</v>
      </c>
      <c r="AH346" s="523" t="e">
        <f ca="1">stat(calculs!AH346)</f>
        <v>#NAME?</v>
      </c>
      <c r="AI346" s="523" t="e">
        <f ca="1">stat(calculs!AI346)</f>
        <v>#NAME?</v>
      </c>
      <c r="AJ346" s="523" t="e">
        <f ca="1">stat(calculs!AJ346)</f>
        <v>#NAME?</v>
      </c>
      <c r="AK346" s="523" t="e">
        <f ca="1">stat(calculs!AK346)</f>
        <v>#NAME?</v>
      </c>
      <c r="AL346" s="523" t="e">
        <f ca="1">stat(calculs!AL346)</f>
        <v>#NAME?</v>
      </c>
      <c r="AM346" s="523" t="e">
        <f ca="1">stat(calculs!AM346)</f>
        <v>#NAME?</v>
      </c>
      <c r="AN346" s="523" t="e">
        <f ca="1">stat(calculs!AN346)</f>
        <v>#NAME?</v>
      </c>
      <c r="AO346" s="523" t="e">
        <f ca="1">stat(calculs!AO346)</f>
        <v>#NAME?</v>
      </c>
      <c r="AP346" s="523" t="e">
        <f ca="1">stat(calculs!AP346)</f>
        <v>#NAME?</v>
      </c>
      <c r="AQ346" s="523" t="e">
        <f ca="1">stat(calculs!AQ346)</f>
        <v>#NAME?</v>
      </c>
      <c r="AV346" s="525" t="str">
        <f>stat(calculs!AV346)</f>
        <v/>
      </c>
      <c r="AW346" s="525" t="str">
        <f>stat(calculs!AW346)</f>
        <v/>
      </c>
      <c r="AX346" s="525" t="str">
        <f>stat(calculs!AX346)</f>
        <v/>
      </c>
      <c r="AY346" s="525" t="e">
        <f ca="1">stat(calculs!AY346)</f>
        <v>#NAME?</v>
      </c>
      <c r="AZ346" s="525" t="e">
        <f ca="1">stat(calculs!AZ346)</f>
        <v>#NAME?</v>
      </c>
      <c r="BA346" s="525" t="e">
        <f ca="1">stat(calculs!BA346)</f>
        <v>#NAME?</v>
      </c>
      <c r="BB346" s="525" t="e">
        <f ca="1">stat(calculs!BB346)</f>
        <v>#NAME?</v>
      </c>
      <c r="BC346" s="525" t="e">
        <f ca="1">stat(calculs!BC346)</f>
        <v>#NAME?</v>
      </c>
      <c r="BD346" s="525" t="e">
        <f ca="1">stat(calculs!BD346)</f>
        <v>#NAME?</v>
      </c>
      <c r="BE346" s="525" t="e">
        <f ca="1">stat(calculs!BE346)</f>
        <v>#NAME?</v>
      </c>
      <c r="BF346" s="525" t="e">
        <f ca="1">stat(calculs!BF346)</f>
        <v>#NAME?</v>
      </c>
      <c r="BG346" s="729" t="e">
        <f ca="1">stat(calculs!BG346)</f>
        <v>#NAME?</v>
      </c>
      <c r="BH346" s="729" t="e">
        <f ca="1">stat(calculs!BH346)</f>
        <v>#NAME?</v>
      </c>
      <c r="BI346" s="729" t="e">
        <f ca="1">stat(calculs!BI346)</f>
        <v>#NAME?</v>
      </c>
      <c r="BJ346" s="729" t="e">
        <f ca="1">stat(calculs!BJ346)</f>
        <v>#NAME?</v>
      </c>
      <c r="BK346" s="729" t="e">
        <f ca="1">stat(calculs!BK346)</f>
        <v>#NAME?</v>
      </c>
      <c r="BL346" s="525" t="e">
        <f ca="1">stat(calculs!BL346)</f>
        <v>#NAME?</v>
      </c>
      <c r="BM346" s="525" t="e">
        <f ca="1">stat(calculs!BM346)</f>
        <v>#NAME?</v>
      </c>
      <c r="BN346" s="525" t="e">
        <f ca="1">stat(calculs!BN346)</f>
        <v>#NAME?</v>
      </c>
      <c r="BO346" s="525" t="e">
        <f ca="1">stat(calculs!BO346)</f>
        <v>#NAME?</v>
      </c>
      <c r="BP346" s="525" t="e">
        <f ca="1">stat(calculs!BP346)</f>
        <v>#NAME?</v>
      </c>
      <c r="BQ346" s="525" t="e">
        <f ca="1">stat(calculs!BQ346)</f>
        <v>#NAME?</v>
      </c>
      <c r="BR346" s="525" t="e">
        <f ca="1">stat(calculs!BR346)</f>
        <v>#NAME?</v>
      </c>
    </row>
    <row r="347" spans="1:70" x14ac:dyDescent="0.2">
      <c r="A347" s="222">
        <f>données_step[[#This Row],[Datum]]</f>
        <v>44898</v>
      </c>
      <c r="B347" s="223"/>
      <c r="C347" s="224">
        <f t="shared" si="5"/>
        <v>7</v>
      </c>
      <c r="D347" s="523" t="e">
        <f ca="1">stat(charge_entree[[#This Row],[ch_E_DBO5]])</f>
        <v>#NAME?</v>
      </c>
      <c r="E347" s="523" t="e">
        <f ca="1">stat(charge_entree[[#This Row],[ch_E_DCO]])</f>
        <v>#NAME?</v>
      </c>
      <c r="F347" s="523" t="e">
        <f ca="1">stat(charge_entree[[#This Row],[ch_E_COT]])</f>
        <v>#NAME?</v>
      </c>
      <c r="G347" s="523" t="e">
        <f ca="1">stat(charge_entree[[#This Row],[ch_E_NH4]])</f>
        <v>#NAME?</v>
      </c>
      <c r="H347" s="523" t="e">
        <f ca="1">stat(charge_entree[[#This Row],[ch_E_NTOT]])</f>
        <v>#NAME?</v>
      </c>
      <c r="I347" s="523" t="e">
        <f ca="1">stat(charge_entree[[#This Row],[ch_E_PTOT]])</f>
        <v>#NAME?</v>
      </c>
      <c r="J347" s="523" t="e">
        <f ca="1">stat(charge_entree[[#This Row],[ch_S_DBO]])</f>
        <v>#NAME?</v>
      </c>
      <c r="K347" s="523" t="e">
        <f ca="1">stat(charge_entree[[#This Row],[ch_S-DCO]])</f>
        <v>#NAME?</v>
      </c>
      <c r="L347" s="523" t="e">
        <f ca="1">stat(charge_entree[[#This Row],[ch_S_DOC]])</f>
        <v>#NAME?</v>
      </c>
      <c r="M347" s="523" t="e">
        <f ca="1">stat(charge_entree[[#This Row],[ch_S_NH4]])</f>
        <v>#NAME?</v>
      </c>
      <c r="N347" s="523" t="e">
        <f ca="1">stat(charge_entree[[#This Row],[ch_S_NO2]])</f>
        <v>#NAME?</v>
      </c>
      <c r="O347" s="523" t="e">
        <f ca="1">stat(charge_entree[[#This Row],[ch_S_NO3]])</f>
        <v>#NAME?</v>
      </c>
      <c r="P347" s="523" t="e">
        <f ca="1">stat(charge_entree[[#This Row],[ch_S_PTOT]])</f>
        <v>#NAME?</v>
      </c>
      <c r="Q347" s="523" t="e">
        <f ca="1">stat(charge_entree[[#This Row],[ch_S_SNDT]])</f>
        <v>#NAME?</v>
      </c>
      <c r="R347" s="523">
        <f>calculs!R347</f>
        <v>0</v>
      </c>
      <c r="S347" s="523" t="e">
        <f ca="1">stat(calculs!S347)</f>
        <v>#NAME?</v>
      </c>
      <c r="T347" s="523" t="e">
        <f ca="1">stat(calculs!T347)</f>
        <v>#NAME?</v>
      </c>
      <c r="U347" s="523" t="e">
        <f ca="1">stat(calculs!U347)</f>
        <v>#NAME?</v>
      </c>
      <c r="V347" s="523" t="e">
        <f ca="1">stat(calculs!V347)</f>
        <v>#NAME?</v>
      </c>
      <c r="W347" s="523" t="e">
        <f ca="1">stat(calculs!W347)</f>
        <v>#NAME?</v>
      </c>
      <c r="X347" s="523" t="e">
        <f ca="1">stat(calculs!X347)</f>
        <v>#NAME?</v>
      </c>
      <c r="Y347" s="523" t="e">
        <f ca="1">stat(calculs!Y347)</f>
        <v>#NAME?</v>
      </c>
      <c r="Z347" s="523" t="e">
        <f ca="1">stat(calculs!Z347)</f>
        <v>#NAME?</v>
      </c>
      <c r="AA347" s="523" t="e">
        <f ca="1">stat(calculs!AA347)</f>
        <v>#NAME?</v>
      </c>
      <c r="AB347" s="523" t="e">
        <f ca="1">stat(calculs!AB347)</f>
        <v>#NAME?</v>
      </c>
      <c r="AC347" s="523" t="e">
        <f ca="1">stat(calculs!AC347)</f>
        <v>#NAME?</v>
      </c>
      <c r="AD347" s="523" t="e">
        <f ca="1">stat(calculs!AD347)</f>
        <v>#NAME?</v>
      </c>
      <c r="AE347" s="523" t="e">
        <f ca="1">stat(calculs!AE347)</f>
        <v>#NAME?</v>
      </c>
      <c r="AF347" s="523" t="e">
        <f ca="1">stat(calculs!AF347)</f>
        <v>#NAME?</v>
      </c>
      <c r="AG347" s="523" t="e">
        <f ca="1">stat(calculs!AG347)</f>
        <v>#NAME?</v>
      </c>
      <c r="AH347" s="523" t="e">
        <f ca="1">stat(calculs!AH347)</f>
        <v>#NAME?</v>
      </c>
      <c r="AI347" s="523" t="e">
        <f ca="1">stat(calculs!AI347)</f>
        <v>#NAME?</v>
      </c>
      <c r="AJ347" s="523" t="e">
        <f ca="1">stat(calculs!AJ347)</f>
        <v>#NAME?</v>
      </c>
      <c r="AK347" s="523" t="e">
        <f ca="1">stat(calculs!AK347)</f>
        <v>#NAME?</v>
      </c>
      <c r="AL347" s="523" t="e">
        <f ca="1">stat(calculs!AL347)</f>
        <v>#NAME?</v>
      </c>
      <c r="AM347" s="523" t="e">
        <f ca="1">stat(calculs!AM347)</f>
        <v>#NAME?</v>
      </c>
      <c r="AN347" s="523" t="e">
        <f ca="1">stat(calculs!AN347)</f>
        <v>#NAME?</v>
      </c>
      <c r="AO347" s="523" t="e">
        <f ca="1">stat(calculs!AO347)</f>
        <v>#NAME?</v>
      </c>
      <c r="AP347" s="523" t="e">
        <f ca="1">stat(calculs!AP347)</f>
        <v>#NAME?</v>
      </c>
      <c r="AQ347" s="523" t="e">
        <f ca="1">stat(calculs!AQ347)</f>
        <v>#NAME?</v>
      </c>
      <c r="AV347" s="525" t="str">
        <f>stat(calculs!AV347)</f>
        <v/>
      </c>
      <c r="AW347" s="525" t="str">
        <f>stat(calculs!AW347)</f>
        <v/>
      </c>
      <c r="AX347" s="525" t="str">
        <f>stat(calculs!AX347)</f>
        <v/>
      </c>
      <c r="AY347" s="525" t="e">
        <f ca="1">stat(calculs!AY347)</f>
        <v>#NAME?</v>
      </c>
      <c r="AZ347" s="525" t="e">
        <f ca="1">stat(calculs!AZ347)</f>
        <v>#NAME?</v>
      </c>
      <c r="BA347" s="525" t="e">
        <f ca="1">stat(calculs!BA347)</f>
        <v>#NAME?</v>
      </c>
      <c r="BB347" s="525" t="e">
        <f ca="1">stat(calculs!BB347)</f>
        <v>#NAME?</v>
      </c>
      <c r="BC347" s="525" t="e">
        <f ca="1">stat(calculs!BC347)</f>
        <v>#NAME?</v>
      </c>
      <c r="BD347" s="525" t="e">
        <f ca="1">stat(calculs!BD347)</f>
        <v>#NAME?</v>
      </c>
      <c r="BE347" s="525" t="e">
        <f ca="1">stat(calculs!BE347)</f>
        <v>#NAME?</v>
      </c>
      <c r="BF347" s="525" t="e">
        <f ca="1">stat(calculs!BF347)</f>
        <v>#NAME?</v>
      </c>
      <c r="BG347" s="729" t="e">
        <f ca="1">stat(calculs!BG347)</f>
        <v>#NAME?</v>
      </c>
      <c r="BH347" s="729" t="e">
        <f ca="1">stat(calculs!BH347)</f>
        <v>#NAME?</v>
      </c>
      <c r="BI347" s="729" t="e">
        <f ca="1">stat(calculs!BI347)</f>
        <v>#NAME?</v>
      </c>
      <c r="BJ347" s="729" t="e">
        <f ca="1">stat(calculs!BJ347)</f>
        <v>#NAME?</v>
      </c>
      <c r="BK347" s="729" t="e">
        <f ca="1">stat(calculs!BK347)</f>
        <v>#NAME?</v>
      </c>
      <c r="BL347" s="525" t="e">
        <f ca="1">stat(calculs!BL347)</f>
        <v>#NAME?</v>
      </c>
      <c r="BM347" s="525" t="e">
        <f ca="1">stat(calculs!BM347)</f>
        <v>#NAME?</v>
      </c>
      <c r="BN347" s="525" t="e">
        <f ca="1">stat(calculs!BN347)</f>
        <v>#NAME?</v>
      </c>
      <c r="BO347" s="525" t="e">
        <f ca="1">stat(calculs!BO347)</f>
        <v>#NAME?</v>
      </c>
      <c r="BP347" s="525" t="e">
        <f ca="1">stat(calculs!BP347)</f>
        <v>#NAME?</v>
      </c>
      <c r="BQ347" s="525" t="e">
        <f ca="1">stat(calculs!BQ347)</f>
        <v>#NAME?</v>
      </c>
      <c r="BR347" s="525" t="e">
        <f ca="1">stat(calculs!BR347)</f>
        <v>#NAME?</v>
      </c>
    </row>
    <row r="348" spans="1:70" x14ac:dyDescent="0.2">
      <c r="A348" s="222">
        <f>données_step[[#This Row],[Datum]]</f>
        <v>44899</v>
      </c>
      <c r="B348" s="223"/>
      <c r="C348" s="224">
        <f t="shared" si="5"/>
        <v>1</v>
      </c>
      <c r="D348" s="523" t="e">
        <f ca="1">stat(charge_entree[[#This Row],[ch_E_DBO5]])</f>
        <v>#NAME?</v>
      </c>
      <c r="E348" s="523" t="e">
        <f ca="1">stat(charge_entree[[#This Row],[ch_E_DCO]])</f>
        <v>#NAME?</v>
      </c>
      <c r="F348" s="523" t="e">
        <f ca="1">stat(charge_entree[[#This Row],[ch_E_COT]])</f>
        <v>#NAME?</v>
      </c>
      <c r="G348" s="523" t="e">
        <f ca="1">stat(charge_entree[[#This Row],[ch_E_NH4]])</f>
        <v>#NAME?</v>
      </c>
      <c r="H348" s="523" t="e">
        <f ca="1">stat(charge_entree[[#This Row],[ch_E_NTOT]])</f>
        <v>#NAME?</v>
      </c>
      <c r="I348" s="523" t="e">
        <f ca="1">stat(charge_entree[[#This Row],[ch_E_PTOT]])</f>
        <v>#NAME?</v>
      </c>
      <c r="J348" s="523" t="e">
        <f ca="1">stat(charge_entree[[#This Row],[ch_S_DBO]])</f>
        <v>#NAME?</v>
      </c>
      <c r="K348" s="523" t="e">
        <f ca="1">stat(charge_entree[[#This Row],[ch_S-DCO]])</f>
        <v>#NAME?</v>
      </c>
      <c r="L348" s="523" t="e">
        <f ca="1">stat(charge_entree[[#This Row],[ch_S_DOC]])</f>
        <v>#NAME?</v>
      </c>
      <c r="M348" s="523" t="e">
        <f ca="1">stat(charge_entree[[#This Row],[ch_S_NH4]])</f>
        <v>#NAME?</v>
      </c>
      <c r="N348" s="523" t="e">
        <f ca="1">stat(charge_entree[[#This Row],[ch_S_NO2]])</f>
        <v>#NAME?</v>
      </c>
      <c r="O348" s="523" t="e">
        <f ca="1">stat(charge_entree[[#This Row],[ch_S_NO3]])</f>
        <v>#NAME?</v>
      </c>
      <c r="P348" s="523" t="e">
        <f ca="1">stat(charge_entree[[#This Row],[ch_S_PTOT]])</f>
        <v>#NAME?</v>
      </c>
      <c r="Q348" s="523" t="e">
        <f ca="1">stat(charge_entree[[#This Row],[ch_S_SNDT]])</f>
        <v>#NAME?</v>
      </c>
      <c r="R348" s="523">
        <f>calculs!R348</f>
        <v>0</v>
      </c>
      <c r="S348" s="523" t="e">
        <f ca="1">stat(calculs!S348)</f>
        <v>#NAME?</v>
      </c>
      <c r="T348" s="523" t="e">
        <f ca="1">stat(calculs!T348)</f>
        <v>#NAME?</v>
      </c>
      <c r="U348" s="523" t="e">
        <f ca="1">stat(calculs!U348)</f>
        <v>#NAME?</v>
      </c>
      <c r="V348" s="523" t="e">
        <f ca="1">stat(calculs!V348)</f>
        <v>#NAME?</v>
      </c>
      <c r="W348" s="523" t="e">
        <f ca="1">stat(calculs!W348)</f>
        <v>#NAME?</v>
      </c>
      <c r="X348" s="523" t="e">
        <f ca="1">stat(calculs!X348)</f>
        <v>#NAME?</v>
      </c>
      <c r="Y348" s="523" t="e">
        <f ca="1">stat(calculs!Y348)</f>
        <v>#NAME?</v>
      </c>
      <c r="Z348" s="523" t="e">
        <f ca="1">stat(calculs!Z348)</f>
        <v>#NAME?</v>
      </c>
      <c r="AA348" s="523" t="e">
        <f ca="1">stat(calculs!AA348)</f>
        <v>#NAME?</v>
      </c>
      <c r="AB348" s="523" t="e">
        <f ca="1">stat(calculs!AB348)</f>
        <v>#NAME?</v>
      </c>
      <c r="AC348" s="523" t="e">
        <f ca="1">stat(calculs!AC348)</f>
        <v>#NAME?</v>
      </c>
      <c r="AD348" s="523" t="e">
        <f ca="1">stat(calculs!AD348)</f>
        <v>#NAME?</v>
      </c>
      <c r="AE348" s="523" t="e">
        <f ca="1">stat(calculs!AE348)</f>
        <v>#NAME?</v>
      </c>
      <c r="AF348" s="523" t="e">
        <f ca="1">stat(calculs!AF348)</f>
        <v>#NAME?</v>
      </c>
      <c r="AG348" s="523" t="e">
        <f ca="1">stat(calculs!AG348)</f>
        <v>#NAME?</v>
      </c>
      <c r="AH348" s="523" t="e">
        <f ca="1">stat(calculs!AH348)</f>
        <v>#NAME?</v>
      </c>
      <c r="AI348" s="523" t="e">
        <f ca="1">stat(calculs!AI348)</f>
        <v>#NAME?</v>
      </c>
      <c r="AJ348" s="523" t="e">
        <f ca="1">stat(calculs!AJ348)</f>
        <v>#NAME?</v>
      </c>
      <c r="AK348" s="523" t="e">
        <f ca="1">stat(calculs!AK348)</f>
        <v>#NAME?</v>
      </c>
      <c r="AL348" s="523" t="e">
        <f ca="1">stat(calculs!AL348)</f>
        <v>#NAME?</v>
      </c>
      <c r="AM348" s="523" t="e">
        <f ca="1">stat(calculs!AM348)</f>
        <v>#NAME?</v>
      </c>
      <c r="AN348" s="523" t="e">
        <f ca="1">stat(calculs!AN348)</f>
        <v>#NAME?</v>
      </c>
      <c r="AO348" s="523" t="e">
        <f ca="1">stat(calculs!AO348)</f>
        <v>#NAME?</v>
      </c>
      <c r="AP348" s="523" t="e">
        <f ca="1">stat(calculs!AP348)</f>
        <v>#NAME?</v>
      </c>
      <c r="AQ348" s="523" t="e">
        <f ca="1">stat(calculs!AQ348)</f>
        <v>#NAME?</v>
      </c>
      <c r="AV348" s="525" t="str">
        <f>stat(calculs!AV348)</f>
        <v/>
      </c>
      <c r="AW348" s="525" t="str">
        <f>stat(calculs!AW348)</f>
        <v/>
      </c>
      <c r="AX348" s="525" t="str">
        <f>stat(calculs!AX348)</f>
        <v/>
      </c>
      <c r="AY348" s="525" t="e">
        <f ca="1">stat(calculs!AY348)</f>
        <v>#NAME?</v>
      </c>
      <c r="AZ348" s="525" t="e">
        <f ca="1">stat(calculs!AZ348)</f>
        <v>#NAME?</v>
      </c>
      <c r="BA348" s="525" t="e">
        <f ca="1">stat(calculs!BA348)</f>
        <v>#NAME?</v>
      </c>
      <c r="BB348" s="525" t="e">
        <f ca="1">stat(calculs!BB348)</f>
        <v>#NAME?</v>
      </c>
      <c r="BC348" s="525" t="e">
        <f ca="1">stat(calculs!BC348)</f>
        <v>#NAME?</v>
      </c>
      <c r="BD348" s="525" t="e">
        <f ca="1">stat(calculs!BD348)</f>
        <v>#NAME?</v>
      </c>
      <c r="BE348" s="525" t="e">
        <f ca="1">stat(calculs!BE348)</f>
        <v>#NAME?</v>
      </c>
      <c r="BF348" s="525" t="e">
        <f ca="1">stat(calculs!BF348)</f>
        <v>#NAME?</v>
      </c>
      <c r="BG348" s="729" t="e">
        <f ca="1">stat(calculs!BG348)</f>
        <v>#NAME?</v>
      </c>
      <c r="BH348" s="729" t="e">
        <f ca="1">stat(calculs!BH348)</f>
        <v>#NAME?</v>
      </c>
      <c r="BI348" s="729" t="e">
        <f ca="1">stat(calculs!BI348)</f>
        <v>#NAME?</v>
      </c>
      <c r="BJ348" s="729" t="e">
        <f ca="1">stat(calculs!BJ348)</f>
        <v>#NAME?</v>
      </c>
      <c r="BK348" s="729" t="e">
        <f ca="1">stat(calculs!BK348)</f>
        <v>#NAME?</v>
      </c>
      <c r="BL348" s="525" t="e">
        <f ca="1">stat(calculs!BL348)</f>
        <v>#NAME?</v>
      </c>
      <c r="BM348" s="525" t="e">
        <f ca="1">stat(calculs!BM348)</f>
        <v>#NAME?</v>
      </c>
      <c r="BN348" s="525" t="e">
        <f ca="1">stat(calculs!BN348)</f>
        <v>#NAME?</v>
      </c>
      <c r="BO348" s="525" t="e">
        <f ca="1">stat(calculs!BO348)</f>
        <v>#NAME?</v>
      </c>
      <c r="BP348" s="525" t="e">
        <f ca="1">stat(calculs!BP348)</f>
        <v>#NAME?</v>
      </c>
      <c r="BQ348" s="525" t="e">
        <f ca="1">stat(calculs!BQ348)</f>
        <v>#NAME?</v>
      </c>
      <c r="BR348" s="525" t="e">
        <f ca="1">stat(calculs!BR348)</f>
        <v>#NAME?</v>
      </c>
    </row>
    <row r="349" spans="1:70" x14ac:dyDescent="0.2">
      <c r="A349" s="222">
        <f>données_step[[#This Row],[Datum]]</f>
        <v>44900</v>
      </c>
      <c r="B349" s="223"/>
      <c r="C349" s="224">
        <f t="shared" si="5"/>
        <v>2</v>
      </c>
      <c r="D349" s="523" t="e">
        <f ca="1">stat(charge_entree[[#This Row],[ch_E_DBO5]])</f>
        <v>#NAME?</v>
      </c>
      <c r="E349" s="523" t="e">
        <f ca="1">stat(charge_entree[[#This Row],[ch_E_DCO]])</f>
        <v>#NAME?</v>
      </c>
      <c r="F349" s="523" t="e">
        <f ca="1">stat(charge_entree[[#This Row],[ch_E_COT]])</f>
        <v>#NAME?</v>
      </c>
      <c r="G349" s="523" t="e">
        <f ca="1">stat(charge_entree[[#This Row],[ch_E_NH4]])</f>
        <v>#NAME?</v>
      </c>
      <c r="H349" s="523" t="e">
        <f ca="1">stat(charge_entree[[#This Row],[ch_E_NTOT]])</f>
        <v>#NAME?</v>
      </c>
      <c r="I349" s="523" t="e">
        <f ca="1">stat(charge_entree[[#This Row],[ch_E_PTOT]])</f>
        <v>#NAME?</v>
      </c>
      <c r="J349" s="523" t="e">
        <f ca="1">stat(charge_entree[[#This Row],[ch_S_DBO]])</f>
        <v>#NAME?</v>
      </c>
      <c r="K349" s="523" t="e">
        <f ca="1">stat(charge_entree[[#This Row],[ch_S-DCO]])</f>
        <v>#NAME?</v>
      </c>
      <c r="L349" s="523" t="e">
        <f ca="1">stat(charge_entree[[#This Row],[ch_S_DOC]])</f>
        <v>#NAME?</v>
      </c>
      <c r="M349" s="523" t="e">
        <f ca="1">stat(charge_entree[[#This Row],[ch_S_NH4]])</f>
        <v>#NAME?</v>
      </c>
      <c r="N349" s="523" t="e">
        <f ca="1">stat(charge_entree[[#This Row],[ch_S_NO2]])</f>
        <v>#NAME?</v>
      </c>
      <c r="O349" s="523" t="e">
        <f ca="1">stat(charge_entree[[#This Row],[ch_S_NO3]])</f>
        <v>#NAME?</v>
      </c>
      <c r="P349" s="523" t="e">
        <f ca="1">stat(charge_entree[[#This Row],[ch_S_PTOT]])</f>
        <v>#NAME?</v>
      </c>
      <c r="Q349" s="523" t="e">
        <f ca="1">stat(charge_entree[[#This Row],[ch_S_SNDT]])</f>
        <v>#NAME?</v>
      </c>
      <c r="R349" s="523">
        <f>calculs!R349</f>
        <v>0</v>
      </c>
      <c r="S349" s="523" t="e">
        <f ca="1">stat(calculs!S349)</f>
        <v>#NAME?</v>
      </c>
      <c r="T349" s="523" t="e">
        <f ca="1">stat(calculs!T349)</f>
        <v>#NAME?</v>
      </c>
      <c r="U349" s="523" t="e">
        <f ca="1">stat(calculs!U349)</f>
        <v>#NAME?</v>
      </c>
      <c r="V349" s="523" t="e">
        <f ca="1">stat(calculs!V349)</f>
        <v>#NAME?</v>
      </c>
      <c r="W349" s="523" t="e">
        <f ca="1">stat(calculs!W349)</f>
        <v>#NAME?</v>
      </c>
      <c r="X349" s="523" t="e">
        <f ca="1">stat(calculs!X349)</f>
        <v>#NAME?</v>
      </c>
      <c r="Y349" s="523" t="e">
        <f ca="1">stat(calculs!Y349)</f>
        <v>#NAME?</v>
      </c>
      <c r="Z349" s="523" t="e">
        <f ca="1">stat(calculs!Z349)</f>
        <v>#NAME?</v>
      </c>
      <c r="AA349" s="523" t="e">
        <f ca="1">stat(calculs!AA349)</f>
        <v>#NAME?</v>
      </c>
      <c r="AB349" s="523" t="e">
        <f ca="1">stat(calculs!AB349)</f>
        <v>#NAME?</v>
      </c>
      <c r="AC349" s="523" t="e">
        <f ca="1">stat(calculs!AC349)</f>
        <v>#NAME?</v>
      </c>
      <c r="AD349" s="523" t="e">
        <f ca="1">stat(calculs!AD349)</f>
        <v>#NAME?</v>
      </c>
      <c r="AE349" s="523" t="e">
        <f ca="1">stat(calculs!AE349)</f>
        <v>#NAME?</v>
      </c>
      <c r="AF349" s="523" t="e">
        <f ca="1">stat(calculs!AF349)</f>
        <v>#NAME?</v>
      </c>
      <c r="AG349" s="523" t="e">
        <f ca="1">stat(calculs!AG349)</f>
        <v>#NAME?</v>
      </c>
      <c r="AH349" s="523" t="e">
        <f ca="1">stat(calculs!AH349)</f>
        <v>#NAME?</v>
      </c>
      <c r="AI349" s="523" t="e">
        <f ca="1">stat(calculs!AI349)</f>
        <v>#NAME?</v>
      </c>
      <c r="AJ349" s="523" t="e">
        <f ca="1">stat(calculs!AJ349)</f>
        <v>#NAME?</v>
      </c>
      <c r="AK349" s="523" t="e">
        <f ca="1">stat(calculs!AK349)</f>
        <v>#NAME?</v>
      </c>
      <c r="AL349" s="523" t="e">
        <f ca="1">stat(calculs!AL349)</f>
        <v>#NAME?</v>
      </c>
      <c r="AM349" s="523" t="e">
        <f ca="1">stat(calculs!AM349)</f>
        <v>#NAME?</v>
      </c>
      <c r="AN349" s="523" t="e">
        <f ca="1">stat(calculs!AN349)</f>
        <v>#NAME?</v>
      </c>
      <c r="AO349" s="523" t="e">
        <f ca="1">stat(calculs!AO349)</f>
        <v>#NAME?</v>
      </c>
      <c r="AP349" s="523" t="e">
        <f ca="1">stat(calculs!AP349)</f>
        <v>#NAME?</v>
      </c>
      <c r="AQ349" s="523" t="e">
        <f ca="1">stat(calculs!AQ349)</f>
        <v>#NAME?</v>
      </c>
      <c r="AV349" s="525" t="str">
        <f>stat(calculs!AV349)</f>
        <v/>
      </c>
      <c r="AW349" s="525" t="str">
        <f>stat(calculs!AW349)</f>
        <v/>
      </c>
      <c r="AX349" s="525" t="str">
        <f>stat(calculs!AX349)</f>
        <v/>
      </c>
      <c r="AY349" s="525" t="e">
        <f ca="1">stat(calculs!AY349)</f>
        <v>#NAME?</v>
      </c>
      <c r="AZ349" s="525" t="e">
        <f ca="1">stat(calculs!AZ349)</f>
        <v>#NAME?</v>
      </c>
      <c r="BA349" s="525" t="e">
        <f ca="1">stat(calculs!BA349)</f>
        <v>#NAME?</v>
      </c>
      <c r="BB349" s="525" t="e">
        <f ca="1">stat(calculs!BB349)</f>
        <v>#NAME?</v>
      </c>
      <c r="BC349" s="525" t="e">
        <f ca="1">stat(calculs!BC349)</f>
        <v>#NAME?</v>
      </c>
      <c r="BD349" s="525" t="e">
        <f ca="1">stat(calculs!BD349)</f>
        <v>#NAME?</v>
      </c>
      <c r="BE349" s="525" t="e">
        <f ca="1">stat(calculs!BE349)</f>
        <v>#NAME?</v>
      </c>
      <c r="BF349" s="525" t="e">
        <f ca="1">stat(calculs!BF349)</f>
        <v>#NAME?</v>
      </c>
      <c r="BG349" s="729" t="e">
        <f ca="1">stat(calculs!BG349)</f>
        <v>#NAME?</v>
      </c>
      <c r="BH349" s="729" t="e">
        <f ca="1">stat(calculs!BH349)</f>
        <v>#NAME?</v>
      </c>
      <c r="BI349" s="729" t="e">
        <f ca="1">stat(calculs!BI349)</f>
        <v>#NAME?</v>
      </c>
      <c r="BJ349" s="729" t="e">
        <f ca="1">stat(calculs!BJ349)</f>
        <v>#NAME?</v>
      </c>
      <c r="BK349" s="729" t="e">
        <f ca="1">stat(calculs!BK349)</f>
        <v>#NAME?</v>
      </c>
      <c r="BL349" s="525" t="e">
        <f ca="1">stat(calculs!BL349)</f>
        <v>#NAME?</v>
      </c>
      <c r="BM349" s="525" t="e">
        <f ca="1">stat(calculs!BM349)</f>
        <v>#NAME?</v>
      </c>
      <c r="BN349" s="525" t="e">
        <f ca="1">stat(calculs!BN349)</f>
        <v>#NAME?</v>
      </c>
      <c r="BO349" s="525" t="e">
        <f ca="1">stat(calculs!BO349)</f>
        <v>#NAME?</v>
      </c>
      <c r="BP349" s="525" t="e">
        <f ca="1">stat(calculs!BP349)</f>
        <v>#NAME?</v>
      </c>
      <c r="BQ349" s="525" t="e">
        <f ca="1">stat(calculs!BQ349)</f>
        <v>#NAME?</v>
      </c>
      <c r="BR349" s="525" t="e">
        <f ca="1">stat(calculs!BR349)</f>
        <v>#NAME?</v>
      </c>
    </row>
    <row r="350" spans="1:70" x14ac:dyDescent="0.2">
      <c r="A350" s="222">
        <f>données_step[[#This Row],[Datum]]</f>
        <v>44901</v>
      </c>
      <c r="B350" s="223"/>
      <c r="C350" s="224">
        <f t="shared" si="5"/>
        <v>3</v>
      </c>
      <c r="D350" s="523" t="e">
        <f ca="1">stat(charge_entree[[#This Row],[ch_E_DBO5]])</f>
        <v>#NAME?</v>
      </c>
      <c r="E350" s="523" t="e">
        <f ca="1">stat(charge_entree[[#This Row],[ch_E_DCO]])</f>
        <v>#NAME?</v>
      </c>
      <c r="F350" s="523" t="e">
        <f ca="1">stat(charge_entree[[#This Row],[ch_E_COT]])</f>
        <v>#NAME?</v>
      </c>
      <c r="G350" s="523" t="e">
        <f ca="1">stat(charge_entree[[#This Row],[ch_E_NH4]])</f>
        <v>#NAME?</v>
      </c>
      <c r="H350" s="523" t="e">
        <f ca="1">stat(charge_entree[[#This Row],[ch_E_NTOT]])</f>
        <v>#NAME?</v>
      </c>
      <c r="I350" s="523" t="e">
        <f ca="1">stat(charge_entree[[#This Row],[ch_E_PTOT]])</f>
        <v>#NAME?</v>
      </c>
      <c r="J350" s="523" t="e">
        <f ca="1">stat(charge_entree[[#This Row],[ch_S_DBO]])</f>
        <v>#NAME?</v>
      </c>
      <c r="K350" s="523" t="e">
        <f ca="1">stat(charge_entree[[#This Row],[ch_S-DCO]])</f>
        <v>#NAME?</v>
      </c>
      <c r="L350" s="523" t="e">
        <f ca="1">stat(charge_entree[[#This Row],[ch_S_DOC]])</f>
        <v>#NAME?</v>
      </c>
      <c r="M350" s="523" t="e">
        <f ca="1">stat(charge_entree[[#This Row],[ch_S_NH4]])</f>
        <v>#NAME?</v>
      </c>
      <c r="N350" s="523" t="e">
        <f ca="1">stat(charge_entree[[#This Row],[ch_S_NO2]])</f>
        <v>#NAME?</v>
      </c>
      <c r="O350" s="523" t="e">
        <f ca="1">stat(charge_entree[[#This Row],[ch_S_NO3]])</f>
        <v>#NAME?</v>
      </c>
      <c r="P350" s="523" t="e">
        <f ca="1">stat(charge_entree[[#This Row],[ch_S_PTOT]])</f>
        <v>#NAME?</v>
      </c>
      <c r="Q350" s="523" t="e">
        <f ca="1">stat(charge_entree[[#This Row],[ch_S_SNDT]])</f>
        <v>#NAME?</v>
      </c>
      <c r="R350" s="523">
        <f>calculs!R350</f>
        <v>0</v>
      </c>
      <c r="S350" s="523" t="e">
        <f ca="1">stat(calculs!S350)</f>
        <v>#NAME?</v>
      </c>
      <c r="T350" s="523" t="e">
        <f ca="1">stat(calculs!T350)</f>
        <v>#NAME?</v>
      </c>
      <c r="U350" s="523" t="e">
        <f ca="1">stat(calculs!U350)</f>
        <v>#NAME?</v>
      </c>
      <c r="V350" s="523" t="e">
        <f ca="1">stat(calculs!V350)</f>
        <v>#NAME?</v>
      </c>
      <c r="W350" s="523" t="e">
        <f ca="1">stat(calculs!W350)</f>
        <v>#NAME?</v>
      </c>
      <c r="X350" s="523" t="e">
        <f ca="1">stat(calculs!X350)</f>
        <v>#NAME?</v>
      </c>
      <c r="Y350" s="523" t="e">
        <f ca="1">stat(calculs!Y350)</f>
        <v>#NAME?</v>
      </c>
      <c r="Z350" s="523" t="e">
        <f ca="1">stat(calculs!Z350)</f>
        <v>#NAME?</v>
      </c>
      <c r="AA350" s="523" t="e">
        <f ca="1">stat(calculs!AA350)</f>
        <v>#NAME?</v>
      </c>
      <c r="AB350" s="523" t="e">
        <f ca="1">stat(calculs!AB350)</f>
        <v>#NAME?</v>
      </c>
      <c r="AC350" s="523" t="e">
        <f ca="1">stat(calculs!AC350)</f>
        <v>#NAME?</v>
      </c>
      <c r="AD350" s="523" t="e">
        <f ca="1">stat(calculs!AD350)</f>
        <v>#NAME?</v>
      </c>
      <c r="AE350" s="523" t="e">
        <f ca="1">stat(calculs!AE350)</f>
        <v>#NAME?</v>
      </c>
      <c r="AF350" s="523" t="e">
        <f ca="1">stat(calculs!AF350)</f>
        <v>#NAME?</v>
      </c>
      <c r="AG350" s="523" t="e">
        <f ca="1">stat(calculs!AG350)</f>
        <v>#NAME?</v>
      </c>
      <c r="AH350" s="523" t="e">
        <f ca="1">stat(calculs!AH350)</f>
        <v>#NAME?</v>
      </c>
      <c r="AI350" s="523" t="e">
        <f ca="1">stat(calculs!AI350)</f>
        <v>#NAME?</v>
      </c>
      <c r="AJ350" s="523" t="e">
        <f ca="1">stat(calculs!AJ350)</f>
        <v>#NAME?</v>
      </c>
      <c r="AK350" s="523" t="e">
        <f ca="1">stat(calculs!AK350)</f>
        <v>#NAME?</v>
      </c>
      <c r="AL350" s="523" t="e">
        <f ca="1">stat(calculs!AL350)</f>
        <v>#NAME?</v>
      </c>
      <c r="AM350" s="523" t="e">
        <f ca="1">stat(calculs!AM350)</f>
        <v>#NAME?</v>
      </c>
      <c r="AN350" s="523" t="e">
        <f ca="1">stat(calculs!AN350)</f>
        <v>#NAME?</v>
      </c>
      <c r="AO350" s="523" t="e">
        <f ca="1">stat(calculs!AO350)</f>
        <v>#NAME?</v>
      </c>
      <c r="AP350" s="523" t="e">
        <f ca="1">stat(calculs!AP350)</f>
        <v>#NAME?</v>
      </c>
      <c r="AQ350" s="523" t="e">
        <f ca="1">stat(calculs!AQ350)</f>
        <v>#NAME?</v>
      </c>
      <c r="AV350" s="525" t="str">
        <f>stat(calculs!AV350)</f>
        <v/>
      </c>
      <c r="AW350" s="525" t="str">
        <f>stat(calculs!AW350)</f>
        <v/>
      </c>
      <c r="AX350" s="525" t="str">
        <f>stat(calculs!AX350)</f>
        <v/>
      </c>
      <c r="AY350" s="525" t="e">
        <f ca="1">stat(calculs!AY350)</f>
        <v>#NAME?</v>
      </c>
      <c r="AZ350" s="525" t="e">
        <f ca="1">stat(calculs!AZ350)</f>
        <v>#NAME?</v>
      </c>
      <c r="BA350" s="525" t="e">
        <f ca="1">stat(calculs!BA350)</f>
        <v>#NAME?</v>
      </c>
      <c r="BB350" s="525" t="e">
        <f ca="1">stat(calculs!BB350)</f>
        <v>#NAME?</v>
      </c>
      <c r="BC350" s="525" t="e">
        <f ca="1">stat(calculs!BC350)</f>
        <v>#NAME?</v>
      </c>
      <c r="BD350" s="525" t="e">
        <f ca="1">stat(calculs!BD350)</f>
        <v>#NAME?</v>
      </c>
      <c r="BE350" s="525" t="e">
        <f ca="1">stat(calculs!BE350)</f>
        <v>#NAME?</v>
      </c>
      <c r="BF350" s="525" t="e">
        <f ca="1">stat(calculs!BF350)</f>
        <v>#NAME?</v>
      </c>
      <c r="BG350" s="729" t="e">
        <f ca="1">stat(calculs!BG350)</f>
        <v>#NAME?</v>
      </c>
      <c r="BH350" s="729" t="e">
        <f ca="1">stat(calculs!BH350)</f>
        <v>#NAME?</v>
      </c>
      <c r="BI350" s="729" t="e">
        <f ca="1">stat(calculs!BI350)</f>
        <v>#NAME?</v>
      </c>
      <c r="BJ350" s="729" t="e">
        <f ca="1">stat(calculs!BJ350)</f>
        <v>#NAME?</v>
      </c>
      <c r="BK350" s="729" t="e">
        <f ca="1">stat(calculs!BK350)</f>
        <v>#NAME?</v>
      </c>
      <c r="BL350" s="525" t="e">
        <f ca="1">stat(calculs!BL350)</f>
        <v>#NAME?</v>
      </c>
      <c r="BM350" s="525" t="e">
        <f ca="1">stat(calculs!BM350)</f>
        <v>#NAME?</v>
      </c>
      <c r="BN350" s="525" t="e">
        <f ca="1">stat(calculs!BN350)</f>
        <v>#NAME?</v>
      </c>
      <c r="BO350" s="525" t="e">
        <f ca="1">stat(calculs!BO350)</f>
        <v>#NAME?</v>
      </c>
      <c r="BP350" s="525" t="e">
        <f ca="1">stat(calculs!BP350)</f>
        <v>#NAME?</v>
      </c>
      <c r="BQ350" s="525" t="e">
        <f ca="1">stat(calculs!BQ350)</f>
        <v>#NAME?</v>
      </c>
      <c r="BR350" s="525" t="e">
        <f ca="1">stat(calculs!BR350)</f>
        <v>#NAME?</v>
      </c>
    </row>
    <row r="351" spans="1:70" x14ac:dyDescent="0.2">
      <c r="A351" s="222">
        <f>données_step[[#This Row],[Datum]]</f>
        <v>44902</v>
      </c>
      <c r="B351" s="223"/>
      <c r="C351" s="224">
        <f t="shared" si="5"/>
        <v>4</v>
      </c>
      <c r="D351" s="523" t="e">
        <f ca="1">stat(charge_entree[[#This Row],[ch_E_DBO5]])</f>
        <v>#NAME?</v>
      </c>
      <c r="E351" s="523" t="e">
        <f ca="1">stat(charge_entree[[#This Row],[ch_E_DCO]])</f>
        <v>#NAME?</v>
      </c>
      <c r="F351" s="523" t="e">
        <f ca="1">stat(charge_entree[[#This Row],[ch_E_COT]])</f>
        <v>#NAME?</v>
      </c>
      <c r="G351" s="523" t="e">
        <f ca="1">stat(charge_entree[[#This Row],[ch_E_NH4]])</f>
        <v>#NAME?</v>
      </c>
      <c r="H351" s="523" t="e">
        <f ca="1">stat(charge_entree[[#This Row],[ch_E_NTOT]])</f>
        <v>#NAME?</v>
      </c>
      <c r="I351" s="523" t="e">
        <f ca="1">stat(charge_entree[[#This Row],[ch_E_PTOT]])</f>
        <v>#NAME?</v>
      </c>
      <c r="J351" s="523" t="e">
        <f ca="1">stat(charge_entree[[#This Row],[ch_S_DBO]])</f>
        <v>#NAME?</v>
      </c>
      <c r="K351" s="523" t="e">
        <f ca="1">stat(charge_entree[[#This Row],[ch_S-DCO]])</f>
        <v>#NAME?</v>
      </c>
      <c r="L351" s="523" t="e">
        <f ca="1">stat(charge_entree[[#This Row],[ch_S_DOC]])</f>
        <v>#NAME?</v>
      </c>
      <c r="M351" s="523" t="e">
        <f ca="1">stat(charge_entree[[#This Row],[ch_S_NH4]])</f>
        <v>#NAME?</v>
      </c>
      <c r="N351" s="523" t="e">
        <f ca="1">stat(charge_entree[[#This Row],[ch_S_NO2]])</f>
        <v>#NAME?</v>
      </c>
      <c r="O351" s="523" t="e">
        <f ca="1">stat(charge_entree[[#This Row],[ch_S_NO3]])</f>
        <v>#NAME?</v>
      </c>
      <c r="P351" s="523" t="e">
        <f ca="1">stat(charge_entree[[#This Row],[ch_S_PTOT]])</f>
        <v>#NAME?</v>
      </c>
      <c r="Q351" s="523" t="e">
        <f ca="1">stat(charge_entree[[#This Row],[ch_S_SNDT]])</f>
        <v>#NAME?</v>
      </c>
      <c r="R351" s="523">
        <f>calculs!R351</f>
        <v>0</v>
      </c>
      <c r="S351" s="523" t="e">
        <f ca="1">stat(calculs!S351)</f>
        <v>#NAME?</v>
      </c>
      <c r="T351" s="523" t="e">
        <f ca="1">stat(calculs!T351)</f>
        <v>#NAME?</v>
      </c>
      <c r="U351" s="523" t="e">
        <f ca="1">stat(calculs!U351)</f>
        <v>#NAME?</v>
      </c>
      <c r="V351" s="523" t="e">
        <f ca="1">stat(calculs!V351)</f>
        <v>#NAME?</v>
      </c>
      <c r="W351" s="523" t="e">
        <f ca="1">stat(calculs!W351)</f>
        <v>#NAME?</v>
      </c>
      <c r="X351" s="523" t="e">
        <f ca="1">stat(calculs!X351)</f>
        <v>#NAME?</v>
      </c>
      <c r="Y351" s="523" t="e">
        <f ca="1">stat(calculs!Y351)</f>
        <v>#NAME?</v>
      </c>
      <c r="Z351" s="523" t="e">
        <f ca="1">stat(calculs!Z351)</f>
        <v>#NAME?</v>
      </c>
      <c r="AA351" s="523" t="e">
        <f ca="1">stat(calculs!AA351)</f>
        <v>#NAME?</v>
      </c>
      <c r="AB351" s="523" t="e">
        <f ca="1">stat(calculs!AB351)</f>
        <v>#NAME?</v>
      </c>
      <c r="AC351" s="523" t="e">
        <f ca="1">stat(calculs!AC351)</f>
        <v>#NAME?</v>
      </c>
      <c r="AD351" s="523" t="e">
        <f ca="1">stat(calculs!AD351)</f>
        <v>#NAME?</v>
      </c>
      <c r="AE351" s="523" t="e">
        <f ca="1">stat(calculs!AE351)</f>
        <v>#NAME?</v>
      </c>
      <c r="AF351" s="523" t="e">
        <f ca="1">stat(calculs!AF351)</f>
        <v>#NAME?</v>
      </c>
      <c r="AG351" s="523" t="e">
        <f ca="1">stat(calculs!AG351)</f>
        <v>#NAME?</v>
      </c>
      <c r="AH351" s="523" t="e">
        <f ca="1">stat(calculs!AH351)</f>
        <v>#NAME?</v>
      </c>
      <c r="AI351" s="523" t="e">
        <f ca="1">stat(calculs!AI351)</f>
        <v>#NAME?</v>
      </c>
      <c r="AJ351" s="523" t="e">
        <f ca="1">stat(calculs!AJ351)</f>
        <v>#NAME?</v>
      </c>
      <c r="AK351" s="523" t="e">
        <f ca="1">stat(calculs!AK351)</f>
        <v>#NAME?</v>
      </c>
      <c r="AL351" s="523" t="e">
        <f ca="1">stat(calculs!AL351)</f>
        <v>#NAME?</v>
      </c>
      <c r="AM351" s="523" t="e">
        <f ca="1">stat(calculs!AM351)</f>
        <v>#NAME?</v>
      </c>
      <c r="AN351" s="523" t="e">
        <f ca="1">stat(calculs!AN351)</f>
        <v>#NAME?</v>
      </c>
      <c r="AO351" s="523" t="e">
        <f ca="1">stat(calculs!AO351)</f>
        <v>#NAME?</v>
      </c>
      <c r="AP351" s="523" t="e">
        <f ca="1">stat(calculs!AP351)</f>
        <v>#NAME?</v>
      </c>
      <c r="AQ351" s="523" t="e">
        <f ca="1">stat(calculs!AQ351)</f>
        <v>#NAME?</v>
      </c>
      <c r="AV351" s="525" t="str">
        <f>stat(calculs!AV351)</f>
        <v/>
      </c>
      <c r="AW351" s="525" t="str">
        <f>stat(calculs!AW351)</f>
        <v/>
      </c>
      <c r="AX351" s="525" t="str">
        <f>stat(calculs!AX351)</f>
        <v/>
      </c>
      <c r="AY351" s="525" t="e">
        <f ca="1">stat(calculs!AY351)</f>
        <v>#NAME?</v>
      </c>
      <c r="AZ351" s="525" t="e">
        <f ca="1">stat(calculs!AZ351)</f>
        <v>#NAME?</v>
      </c>
      <c r="BA351" s="525" t="e">
        <f ca="1">stat(calculs!BA351)</f>
        <v>#NAME?</v>
      </c>
      <c r="BB351" s="525" t="e">
        <f ca="1">stat(calculs!BB351)</f>
        <v>#NAME?</v>
      </c>
      <c r="BC351" s="525" t="e">
        <f ca="1">stat(calculs!BC351)</f>
        <v>#NAME?</v>
      </c>
      <c r="BD351" s="525" t="e">
        <f ca="1">stat(calculs!BD351)</f>
        <v>#NAME?</v>
      </c>
      <c r="BE351" s="525" t="e">
        <f ca="1">stat(calculs!BE351)</f>
        <v>#NAME?</v>
      </c>
      <c r="BF351" s="525" t="e">
        <f ca="1">stat(calculs!BF351)</f>
        <v>#NAME?</v>
      </c>
      <c r="BG351" s="729" t="e">
        <f ca="1">stat(calculs!BG351)</f>
        <v>#NAME?</v>
      </c>
      <c r="BH351" s="729" t="e">
        <f ca="1">stat(calculs!BH351)</f>
        <v>#NAME?</v>
      </c>
      <c r="BI351" s="729" t="e">
        <f ca="1">stat(calculs!BI351)</f>
        <v>#NAME?</v>
      </c>
      <c r="BJ351" s="729" t="e">
        <f ca="1">stat(calculs!BJ351)</f>
        <v>#NAME?</v>
      </c>
      <c r="BK351" s="729" t="e">
        <f ca="1">stat(calculs!BK351)</f>
        <v>#NAME?</v>
      </c>
      <c r="BL351" s="525" t="e">
        <f ca="1">stat(calculs!BL351)</f>
        <v>#NAME?</v>
      </c>
      <c r="BM351" s="525" t="e">
        <f ca="1">stat(calculs!BM351)</f>
        <v>#NAME?</v>
      </c>
      <c r="BN351" s="525" t="e">
        <f ca="1">stat(calculs!BN351)</f>
        <v>#NAME?</v>
      </c>
      <c r="BO351" s="525" t="e">
        <f ca="1">stat(calculs!BO351)</f>
        <v>#NAME?</v>
      </c>
      <c r="BP351" s="525" t="e">
        <f ca="1">stat(calculs!BP351)</f>
        <v>#NAME?</v>
      </c>
      <c r="BQ351" s="525" t="e">
        <f ca="1">stat(calculs!BQ351)</f>
        <v>#NAME?</v>
      </c>
      <c r="BR351" s="525" t="e">
        <f ca="1">stat(calculs!BR351)</f>
        <v>#NAME?</v>
      </c>
    </row>
    <row r="352" spans="1:70" x14ac:dyDescent="0.2">
      <c r="A352" s="222">
        <f>données_step[[#This Row],[Datum]]</f>
        <v>44903</v>
      </c>
      <c r="B352" s="223"/>
      <c r="C352" s="224">
        <f t="shared" si="5"/>
        <v>5</v>
      </c>
      <c r="D352" s="523" t="e">
        <f ca="1">stat(charge_entree[[#This Row],[ch_E_DBO5]])</f>
        <v>#NAME?</v>
      </c>
      <c r="E352" s="523" t="e">
        <f ca="1">stat(charge_entree[[#This Row],[ch_E_DCO]])</f>
        <v>#NAME?</v>
      </c>
      <c r="F352" s="523" t="e">
        <f ca="1">stat(charge_entree[[#This Row],[ch_E_COT]])</f>
        <v>#NAME?</v>
      </c>
      <c r="G352" s="523" t="e">
        <f ca="1">stat(charge_entree[[#This Row],[ch_E_NH4]])</f>
        <v>#NAME?</v>
      </c>
      <c r="H352" s="523" t="e">
        <f ca="1">stat(charge_entree[[#This Row],[ch_E_NTOT]])</f>
        <v>#NAME?</v>
      </c>
      <c r="I352" s="523" t="e">
        <f ca="1">stat(charge_entree[[#This Row],[ch_E_PTOT]])</f>
        <v>#NAME?</v>
      </c>
      <c r="J352" s="523" t="e">
        <f ca="1">stat(charge_entree[[#This Row],[ch_S_DBO]])</f>
        <v>#NAME?</v>
      </c>
      <c r="K352" s="523" t="e">
        <f ca="1">stat(charge_entree[[#This Row],[ch_S-DCO]])</f>
        <v>#NAME?</v>
      </c>
      <c r="L352" s="523" t="e">
        <f ca="1">stat(charge_entree[[#This Row],[ch_S_DOC]])</f>
        <v>#NAME?</v>
      </c>
      <c r="M352" s="523" t="e">
        <f ca="1">stat(charge_entree[[#This Row],[ch_S_NH4]])</f>
        <v>#NAME?</v>
      </c>
      <c r="N352" s="523" t="e">
        <f ca="1">stat(charge_entree[[#This Row],[ch_S_NO2]])</f>
        <v>#NAME?</v>
      </c>
      <c r="O352" s="523" t="e">
        <f ca="1">stat(charge_entree[[#This Row],[ch_S_NO3]])</f>
        <v>#NAME?</v>
      </c>
      <c r="P352" s="523" t="e">
        <f ca="1">stat(charge_entree[[#This Row],[ch_S_PTOT]])</f>
        <v>#NAME?</v>
      </c>
      <c r="Q352" s="523" t="e">
        <f ca="1">stat(charge_entree[[#This Row],[ch_S_SNDT]])</f>
        <v>#NAME?</v>
      </c>
      <c r="R352" s="523">
        <f>calculs!R352</f>
        <v>0</v>
      </c>
      <c r="S352" s="523" t="e">
        <f ca="1">stat(calculs!S352)</f>
        <v>#NAME?</v>
      </c>
      <c r="T352" s="523" t="e">
        <f ca="1">stat(calculs!T352)</f>
        <v>#NAME?</v>
      </c>
      <c r="U352" s="523" t="e">
        <f ca="1">stat(calculs!U352)</f>
        <v>#NAME?</v>
      </c>
      <c r="V352" s="523" t="e">
        <f ca="1">stat(calculs!V352)</f>
        <v>#NAME?</v>
      </c>
      <c r="W352" s="523" t="e">
        <f ca="1">stat(calculs!W352)</f>
        <v>#NAME?</v>
      </c>
      <c r="X352" s="523" t="e">
        <f ca="1">stat(calculs!X352)</f>
        <v>#NAME?</v>
      </c>
      <c r="Y352" s="523" t="e">
        <f ca="1">stat(calculs!Y352)</f>
        <v>#NAME?</v>
      </c>
      <c r="Z352" s="523" t="e">
        <f ca="1">stat(calculs!Z352)</f>
        <v>#NAME?</v>
      </c>
      <c r="AA352" s="523" t="e">
        <f ca="1">stat(calculs!AA352)</f>
        <v>#NAME?</v>
      </c>
      <c r="AB352" s="523" t="e">
        <f ca="1">stat(calculs!AB352)</f>
        <v>#NAME?</v>
      </c>
      <c r="AC352" s="523" t="e">
        <f ca="1">stat(calculs!AC352)</f>
        <v>#NAME?</v>
      </c>
      <c r="AD352" s="523" t="e">
        <f ca="1">stat(calculs!AD352)</f>
        <v>#NAME?</v>
      </c>
      <c r="AE352" s="523" t="e">
        <f ca="1">stat(calculs!AE352)</f>
        <v>#NAME?</v>
      </c>
      <c r="AF352" s="523" t="e">
        <f ca="1">stat(calculs!AF352)</f>
        <v>#NAME?</v>
      </c>
      <c r="AG352" s="523" t="e">
        <f ca="1">stat(calculs!AG352)</f>
        <v>#NAME?</v>
      </c>
      <c r="AH352" s="523" t="e">
        <f ca="1">stat(calculs!AH352)</f>
        <v>#NAME?</v>
      </c>
      <c r="AI352" s="523" t="e">
        <f ca="1">stat(calculs!AI352)</f>
        <v>#NAME?</v>
      </c>
      <c r="AJ352" s="523" t="e">
        <f ca="1">stat(calculs!AJ352)</f>
        <v>#NAME?</v>
      </c>
      <c r="AK352" s="523" t="e">
        <f ca="1">stat(calculs!AK352)</f>
        <v>#NAME?</v>
      </c>
      <c r="AL352" s="523" t="e">
        <f ca="1">stat(calculs!AL352)</f>
        <v>#NAME?</v>
      </c>
      <c r="AM352" s="523" t="e">
        <f ca="1">stat(calculs!AM352)</f>
        <v>#NAME?</v>
      </c>
      <c r="AN352" s="523" t="e">
        <f ca="1">stat(calculs!AN352)</f>
        <v>#NAME?</v>
      </c>
      <c r="AO352" s="523" t="e">
        <f ca="1">stat(calculs!AO352)</f>
        <v>#NAME?</v>
      </c>
      <c r="AP352" s="523" t="e">
        <f ca="1">stat(calculs!AP352)</f>
        <v>#NAME?</v>
      </c>
      <c r="AQ352" s="523" t="e">
        <f ca="1">stat(calculs!AQ352)</f>
        <v>#NAME?</v>
      </c>
      <c r="AV352" s="525" t="str">
        <f>stat(calculs!AV352)</f>
        <v/>
      </c>
      <c r="AW352" s="525" t="str">
        <f>stat(calculs!AW352)</f>
        <v/>
      </c>
      <c r="AX352" s="525" t="str">
        <f>stat(calculs!AX352)</f>
        <v/>
      </c>
      <c r="AY352" s="525" t="e">
        <f ca="1">stat(calculs!AY352)</f>
        <v>#NAME?</v>
      </c>
      <c r="AZ352" s="525" t="e">
        <f ca="1">stat(calculs!AZ352)</f>
        <v>#NAME?</v>
      </c>
      <c r="BA352" s="525" t="e">
        <f ca="1">stat(calculs!BA352)</f>
        <v>#NAME?</v>
      </c>
      <c r="BB352" s="525" t="e">
        <f ca="1">stat(calculs!BB352)</f>
        <v>#NAME?</v>
      </c>
      <c r="BC352" s="525" t="e">
        <f ca="1">stat(calculs!BC352)</f>
        <v>#NAME?</v>
      </c>
      <c r="BD352" s="525" t="e">
        <f ca="1">stat(calculs!BD352)</f>
        <v>#NAME?</v>
      </c>
      <c r="BE352" s="525" t="e">
        <f ca="1">stat(calculs!BE352)</f>
        <v>#NAME?</v>
      </c>
      <c r="BF352" s="525" t="e">
        <f ca="1">stat(calculs!BF352)</f>
        <v>#NAME?</v>
      </c>
      <c r="BG352" s="729" t="e">
        <f ca="1">stat(calculs!BG352)</f>
        <v>#NAME?</v>
      </c>
      <c r="BH352" s="729" t="e">
        <f ca="1">stat(calculs!BH352)</f>
        <v>#NAME?</v>
      </c>
      <c r="BI352" s="729" t="e">
        <f ca="1">stat(calculs!BI352)</f>
        <v>#NAME?</v>
      </c>
      <c r="BJ352" s="729" t="e">
        <f ca="1">stat(calculs!BJ352)</f>
        <v>#NAME?</v>
      </c>
      <c r="BK352" s="729" t="e">
        <f ca="1">stat(calculs!BK352)</f>
        <v>#NAME?</v>
      </c>
      <c r="BL352" s="525" t="e">
        <f ca="1">stat(calculs!BL352)</f>
        <v>#NAME?</v>
      </c>
      <c r="BM352" s="525" t="e">
        <f ca="1">stat(calculs!BM352)</f>
        <v>#NAME?</v>
      </c>
      <c r="BN352" s="525" t="e">
        <f ca="1">stat(calculs!BN352)</f>
        <v>#NAME?</v>
      </c>
      <c r="BO352" s="525" t="e">
        <f ca="1">stat(calculs!BO352)</f>
        <v>#NAME?</v>
      </c>
      <c r="BP352" s="525" t="e">
        <f ca="1">stat(calculs!BP352)</f>
        <v>#NAME?</v>
      </c>
      <c r="BQ352" s="525" t="e">
        <f ca="1">stat(calculs!BQ352)</f>
        <v>#NAME?</v>
      </c>
      <c r="BR352" s="525" t="e">
        <f ca="1">stat(calculs!BR352)</f>
        <v>#NAME?</v>
      </c>
    </row>
    <row r="353" spans="1:70" x14ac:dyDescent="0.2">
      <c r="A353" s="222">
        <f>données_step[[#This Row],[Datum]]</f>
        <v>44904</v>
      </c>
      <c r="B353" s="223"/>
      <c r="C353" s="224">
        <f t="shared" si="5"/>
        <v>6</v>
      </c>
      <c r="D353" s="523" t="e">
        <f ca="1">stat(charge_entree[[#This Row],[ch_E_DBO5]])</f>
        <v>#NAME?</v>
      </c>
      <c r="E353" s="523" t="e">
        <f ca="1">stat(charge_entree[[#This Row],[ch_E_DCO]])</f>
        <v>#NAME?</v>
      </c>
      <c r="F353" s="523" t="e">
        <f ca="1">stat(charge_entree[[#This Row],[ch_E_COT]])</f>
        <v>#NAME?</v>
      </c>
      <c r="G353" s="523" t="e">
        <f ca="1">stat(charge_entree[[#This Row],[ch_E_NH4]])</f>
        <v>#NAME?</v>
      </c>
      <c r="H353" s="523" t="e">
        <f ca="1">stat(charge_entree[[#This Row],[ch_E_NTOT]])</f>
        <v>#NAME?</v>
      </c>
      <c r="I353" s="523" t="e">
        <f ca="1">stat(charge_entree[[#This Row],[ch_E_PTOT]])</f>
        <v>#NAME?</v>
      </c>
      <c r="J353" s="523" t="e">
        <f ca="1">stat(charge_entree[[#This Row],[ch_S_DBO]])</f>
        <v>#NAME?</v>
      </c>
      <c r="K353" s="523" t="e">
        <f ca="1">stat(charge_entree[[#This Row],[ch_S-DCO]])</f>
        <v>#NAME?</v>
      </c>
      <c r="L353" s="523" t="e">
        <f ca="1">stat(charge_entree[[#This Row],[ch_S_DOC]])</f>
        <v>#NAME?</v>
      </c>
      <c r="M353" s="523" t="e">
        <f ca="1">stat(charge_entree[[#This Row],[ch_S_NH4]])</f>
        <v>#NAME?</v>
      </c>
      <c r="N353" s="523" t="e">
        <f ca="1">stat(charge_entree[[#This Row],[ch_S_NO2]])</f>
        <v>#NAME?</v>
      </c>
      <c r="O353" s="523" t="e">
        <f ca="1">stat(charge_entree[[#This Row],[ch_S_NO3]])</f>
        <v>#NAME?</v>
      </c>
      <c r="P353" s="523" t="e">
        <f ca="1">stat(charge_entree[[#This Row],[ch_S_PTOT]])</f>
        <v>#NAME?</v>
      </c>
      <c r="Q353" s="523" t="e">
        <f ca="1">stat(charge_entree[[#This Row],[ch_S_SNDT]])</f>
        <v>#NAME?</v>
      </c>
      <c r="R353" s="523">
        <f>calculs!R353</f>
        <v>0</v>
      </c>
      <c r="S353" s="523" t="e">
        <f ca="1">stat(calculs!S353)</f>
        <v>#NAME?</v>
      </c>
      <c r="T353" s="523" t="e">
        <f ca="1">stat(calculs!T353)</f>
        <v>#NAME?</v>
      </c>
      <c r="U353" s="523" t="e">
        <f ca="1">stat(calculs!U353)</f>
        <v>#NAME?</v>
      </c>
      <c r="V353" s="523" t="e">
        <f ca="1">stat(calculs!V353)</f>
        <v>#NAME?</v>
      </c>
      <c r="W353" s="523" t="e">
        <f ca="1">stat(calculs!W353)</f>
        <v>#NAME?</v>
      </c>
      <c r="X353" s="523" t="e">
        <f ca="1">stat(calculs!X353)</f>
        <v>#NAME?</v>
      </c>
      <c r="Y353" s="523" t="e">
        <f ca="1">stat(calculs!Y353)</f>
        <v>#NAME?</v>
      </c>
      <c r="Z353" s="523" t="e">
        <f ca="1">stat(calculs!Z353)</f>
        <v>#NAME?</v>
      </c>
      <c r="AA353" s="523" t="e">
        <f ca="1">stat(calculs!AA353)</f>
        <v>#NAME?</v>
      </c>
      <c r="AB353" s="523" t="e">
        <f ca="1">stat(calculs!AB353)</f>
        <v>#NAME?</v>
      </c>
      <c r="AC353" s="523" t="e">
        <f ca="1">stat(calculs!AC353)</f>
        <v>#NAME?</v>
      </c>
      <c r="AD353" s="523" t="e">
        <f ca="1">stat(calculs!AD353)</f>
        <v>#NAME?</v>
      </c>
      <c r="AE353" s="523" t="e">
        <f ca="1">stat(calculs!AE353)</f>
        <v>#NAME?</v>
      </c>
      <c r="AF353" s="523" t="e">
        <f ca="1">stat(calculs!AF353)</f>
        <v>#NAME?</v>
      </c>
      <c r="AG353" s="523" t="e">
        <f ca="1">stat(calculs!AG353)</f>
        <v>#NAME?</v>
      </c>
      <c r="AH353" s="523" t="e">
        <f ca="1">stat(calculs!AH353)</f>
        <v>#NAME?</v>
      </c>
      <c r="AI353" s="523" t="e">
        <f ca="1">stat(calculs!AI353)</f>
        <v>#NAME?</v>
      </c>
      <c r="AJ353" s="523" t="e">
        <f ca="1">stat(calculs!AJ353)</f>
        <v>#NAME?</v>
      </c>
      <c r="AK353" s="523" t="e">
        <f ca="1">stat(calculs!AK353)</f>
        <v>#NAME?</v>
      </c>
      <c r="AL353" s="523" t="e">
        <f ca="1">stat(calculs!AL353)</f>
        <v>#NAME?</v>
      </c>
      <c r="AM353" s="523" t="e">
        <f ca="1">stat(calculs!AM353)</f>
        <v>#NAME?</v>
      </c>
      <c r="AN353" s="523" t="e">
        <f ca="1">stat(calculs!AN353)</f>
        <v>#NAME?</v>
      </c>
      <c r="AO353" s="523" t="e">
        <f ca="1">stat(calculs!AO353)</f>
        <v>#NAME?</v>
      </c>
      <c r="AP353" s="523" t="e">
        <f ca="1">stat(calculs!AP353)</f>
        <v>#NAME?</v>
      </c>
      <c r="AQ353" s="523" t="e">
        <f ca="1">stat(calculs!AQ353)</f>
        <v>#NAME?</v>
      </c>
      <c r="AV353" s="525" t="str">
        <f>stat(calculs!AV353)</f>
        <v/>
      </c>
      <c r="AW353" s="525" t="str">
        <f>stat(calculs!AW353)</f>
        <v/>
      </c>
      <c r="AX353" s="525" t="str">
        <f>stat(calculs!AX353)</f>
        <v/>
      </c>
      <c r="AY353" s="525" t="e">
        <f ca="1">stat(calculs!AY353)</f>
        <v>#NAME?</v>
      </c>
      <c r="AZ353" s="525" t="e">
        <f ca="1">stat(calculs!AZ353)</f>
        <v>#NAME?</v>
      </c>
      <c r="BA353" s="525" t="e">
        <f ca="1">stat(calculs!BA353)</f>
        <v>#NAME?</v>
      </c>
      <c r="BB353" s="525" t="e">
        <f ca="1">stat(calculs!BB353)</f>
        <v>#NAME?</v>
      </c>
      <c r="BC353" s="525" t="e">
        <f ca="1">stat(calculs!BC353)</f>
        <v>#NAME?</v>
      </c>
      <c r="BD353" s="525" t="e">
        <f ca="1">stat(calculs!BD353)</f>
        <v>#NAME?</v>
      </c>
      <c r="BE353" s="525" t="e">
        <f ca="1">stat(calculs!BE353)</f>
        <v>#NAME?</v>
      </c>
      <c r="BF353" s="525" t="e">
        <f ca="1">stat(calculs!BF353)</f>
        <v>#NAME?</v>
      </c>
      <c r="BG353" s="729" t="e">
        <f ca="1">stat(calculs!BG353)</f>
        <v>#NAME?</v>
      </c>
      <c r="BH353" s="729" t="e">
        <f ca="1">stat(calculs!BH353)</f>
        <v>#NAME?</v>
      </c>
      <c r="BI353" s="729" t="e">
        <f ca="1">stat(calculs!BI353)</f>
        <v>#NAME?</v>
      </c>
      <c r="BJ353" s="729" t="e">
        <f ca="1">stat(calculs!BJ353)</f>
        <v>#NAME?</v>
      </c>
      <c r="BK353" s="729" t="e">
        <f ca="1">stat(calculs!BK353)</f>
        <v>#NAME?</v>
      </c>
      <c r="BL353" s="525" t="e">
        <f ca="1">stat(calculs!BL353)</f>
        <v>#NAME?</v>
      </c>
      <c r="BM353" s="525" t="e">
        <f ca="1">stat(calculs!BM353)</f>
        <v>#NAME?</v>
      </c>
      <c r="BN353" s="525" t="e">
        <f ca="1">stat(calculs!BN353)</f>
        <v>#NAME?</v>
      </c>
      <c r="BO353" s="525" t="e">
        <f ca="1">stat(calculs!BO353)</f>
        <v>#NAME?</v>
      </c>
      <c r="BP353" s="525" t="e">
        <f ca="1">stat(calculs!BP353)</f>
        <v>#NAME?</v>
      </c>
      <c r="BQ353" s="525" t="e">
        <f ca="1">stat(calculs!BQ353)</f>
        <v>#NAME?</v>
      </c>
      <c r="BR353" s="525" t="e">
        <f ca="1">stat(calculs!BR353)</f>
        <v>#NAME?</v>
      </c>
    </row>
    <row r="354" spans="1:70" x14ac:dyDescent="0.2">
      <c r="A354" s="222">
        <f>données_step[[#This Row],[Datum]]</f>
        <v>44905</v>
      </c>
      <c r="B354" s="223"/>
      <c r="C354" s="224">
        <f t="shared" si="5"/>
        <v>7</v>
      </c>
      <c r="D354" s="523" t="e">
        <f ca="1">stat(charge_entree[[#This Row],[ch_E_DBO5]])</f>
        <v>#NAME?</v>
      </c>
      <c r="E354" s="523" t="e">
        <f ca="1">stat(charge_entree[[#This Row],[ch_E_DCO]])</f>
        <v>#NAME?</v>
      </c>
      <c r="F354" s="523" t="e">
        <f ca="1">stat(charge_entree[[#This Row],[ch_E_COT]])</f>
        <v>#NAME?</v>
      </c>
      <c r="G354" s="523" t="e">
        <f ca="1">stat(charge_entree[[#This Row],[ch_E_NH4]])</f>
        <v>#NAME?</v>
      </c>
      <c r="H354" s="523" t="e">
        <f ca="1">stat(charge_entree[[#This Row],[ch_E_NTOT]])</f>
        <v>#NAME?</v>
      </c>
      <c r="I354" s="523" t="e">
        <f ca="1">stat(charge_entree[[#This Row],[ch_E_PTOT]])</f>
        <v>#NAME?</v>
      </c>
      <c r="J354" s="523" t="e">
        <f ca="1">stat(charge_entree[[#This Row],[ch_S_DBO]])</f>
        <v>#NAME?</v>
      </c>
      <c r="K354" s="523" t="e">
        <f ca="1">stat(charge_entree[[#This Row],[ch_S-DCO]])</f>
        <v>#NAME?</v>
      </c>
      <c r="L354" s="523" t="e">
        <f ca="1">stat(charge_entree[[#This Row],[ch_S_DOC]])</f>
        <v>#NAME?</v>
      </c>
      <c r="M354" s="523" t="e">
        <f ca="1">stat(charge_entree[[#This Row],[ch_S_NH4]])</f>
        <v>#NAME?</v>
      </c>
      <c r="N354" s="523" t="e">
        <f ca="1">stat(charge_entree[[#This Row],[ch_S_NO2]])</f>
        <v>#NAME?</v>
      </c>
      <c r="O354" s="523" t="e">
        <f ca="1">stat(charge_entree[[#This Row],[ch_S_NO3]])</f>
        <v>#NAME?</v>
      </c>
      <c r="P354" s="523" t="e">
        <f ca="1">stat(charge_entree[[#This Row],[ch_S_PTOT]])</f>
        <v>#NAME?</v>
      </c>
      <c r="Q354" s="523" t="e">
        <f ca="1">stat(charge_entree[[#This Row],[ch_S_SNDT]])</f>
        <v>#NAME?</v>
      </c>
      <c r="R354" s="523">
        <f>calculs!R354</f>
        <v>0</v>
      </c>
      <c r="S354" s="523" t="e">
        <f ca="1">stat(calculs!S354)</f>
        <v>#NAME?</v>
      </c>
      <c r="T354" s="523" t="e">
        <f ca="1">stat(calculs!T354)</f>
        <v>#NAME?</v>
      </c>
      <c r="U354" s="523" t="e">
        <f ca="1">stat(calculs!U354)</f>
        <v>#NAME?</v>
      </c>
      <c r="V354" s="523" t="e">
        <f ca="1">stat(calculs!V354)</f>
        <v>#NAME?</v>
      </c>
      <c r="W354" s="523" t="e">
        <f ca="1">stat(calculs!W354)</f>
        <v>#NAME?</v>
      </c>
      <c r="X354" s="523" t="e">
        <f ca="1">stat(calculs!X354)</f>
        <v>#NAME?</v>
      </c>
      <c r="Y354" s="523" t="e">
        <f ca="1">stat(calculs!Y354)</f>
        <v>#NAME?</v>
      </c>
      <c r="Z354" s="523" t="e">
        <f ca="1">stat(calculs!Z354)</f>
        <v>#NAME?</v>
      </c>
      <c r="AA354" s="523" t="e">
        <f ca="1">stat(calculs!AA354)</f>
        <v>#NAME?</v>
      </c>
      <c r="AB354" s="523" t="e">
        <f ca="1">stat(calculs!AB354)</f>
        <v>#NAME?</v>
      </c>
      <c r="AC354" s="523" t="e">
        <f ca="1">stat(calculs!AC354)</f>
        <v>#NAME?</v>
      </c>
      <c r="AD354" s="523" t="e">
        <f ca="1">stat(calculs!AD354)</f>
        <v>#NAME?</v>
      </c>
      <c r="AE354" s="523" t="e">
        <f ca="1">stat(calculs!AE354)</f>
        <v>#NAME?</v>
      </c>
      <c r="AF354" s="523" t="e">
        <f ca="1">stat(calculs!AF354)</f>
        <v>#NAME?</v>
      </c>
      <c r="AG354" s="523" t="e">
        <f ca="1">stat(calculs!AG354)</f>
        <v>#NAME?</v>
      </c>
      <c r="AH354" s="523" t="e">
        <f ca="1">stat(calculs!AH354)</f>
        <v>#NAME?</v>
      </c>
      <c r="AI354" s="523" t="e">
        <f ca="1">stat(calculs!AI354)</f>
        <v>#NAME?</v>
      </c>
      <c r="AJ354" s="523" t="e">
        <f ca="1">stat(calculs!AJ354)</f>
        <v>#NAME?</v>
      </c>
      <c r="AK354" s="523" t="e">
        <f ca="1">stat(calculs!AK354)</f>
        <v>#NAME?</v>
      </c>
      <c r="AL354" s="523" t="e">
        <f ca="1">stat(calculs!AL354)</f>
        <v>#NAME?</v>
      </c>
      <c r="AM354" s="523" t="e">
        <f ca="1">stat(calculs!AM354)</f>
        <v>#NAME?</v>
      </c>
      <c r="AN354" s="523" t="e">
        <f ca="1">stat(calculs!AN354)</f>
        <v>#NAME?</v>
      </c>
      <c r="AO354" s="523" t="e">
        <f ca="1">stat(calculs!AO354)</f>
        <v>#NAME?</v>
      </c>
      <c r="AP354" s="523" t="e">
        <f ca="1">stat(calculs!AP354)</f>
        <v>#NAME?</v>
      </c>
      <c r="AQ354" s="523" t="e">
        <f ca="1">stat(calculs!AQ354)</f>
        <v>#NAME?</v>
      </c>
      <c r="AV354" s="525" t="str">
        <f>stat(calculs!AV354)</f>
        <v/>
      </c>
      <c r="AW354" s="525" t="str">
        <f>stat(calculs!AW354)</f>
        <v/>
      </c>
      <c r="AX354" s="525" t="str">
        <f>stat(calculs!AX354)</f>
        <v/>
      </c>
      <c r="AY354" s="525" t="e">
        <f ca="1">stat(calculs!AY354)</f>
        <v>#NAME?</v>
      </c>
      <c r="AZ354" s="525" t="e">
        <f ca="1">stat(calculs!AZ354)</f>
        <v>#NAME?</v>
      </c>
      <c r="BA354" s="525" t="e">
        <f ca="1">stat(calculs!BA354)</f>
        <v>#NAME?</v>
      </c>
      <c r="BB354" s="525" t="e">
        <f ca="1">stat(calculs!BB354)</f>
        <v>#NAME?</v>
      </c>
      <c r="BC354" s="525" t="e">
        <f ca="1">stat(calculs!BC354)</f>
        <v>#NAME?</v>
      </c>
      <c r="BD354" s="525" t="e">
        <f ca="1">stat(calculs!BD354)</f>
        <v>#NAME?</v>
      </c>
      <c r="BE354" s="525" t="e">
        <f ca="1">stat(calculs!BE354)</f>
        <v>#NAME?</v>
      </c>
      <c r="BF354" s="525" t="e">
        <f ca="1">stat(calculs!BF354)</f>
        <v>#NAME?</v>
      </c>
      <c r="BG354" s="729" t="e">
        <f ca="1">stat(calculs!BG354)</f>
        <v>#NAME?</v>
      </c>
      <c r="BH354" s="729" t="e">
        <f ca="1">stat(calculs!BH354)</f>
        <v>#NAME?</v>
      </c>
      <c r="BI354" s="729" t="e">
        <f ca="1">stat(calculs!BI354)</f>
        <v>#NAME?</v>
      </c>
      <c r="BJ354" s="729" t="e">
        <f ca="1">stat(calculs!BJ354)</f>
        <v>#NAME?</v>
      </c>
      <c r="BK354" s="729" t="e">
        <f ca="1">stat(calculs!BK354)</f>
        <v>#NAME?</v>
      </c>
      <c r="BL354" s="525" t="e">
        <f ca="1">stat(calculs!BL354)</f>
        <v>#NAME?</v>
      </c>
      <c r="BM354" s="525" t="e">
        <f ca="1">stat(calculs!BM354)</f>
        <v>#NAME?</v>
      </c>
      <c r="BN354" s="525" t="e">
        <f ca="1">stat(calculs!BN354)</f>
        <v>#NAME?</v>
      </c>
      <c r="BO354" s="525" t="e">
        <f ca="1">stat(calculs!BO354)</f>
        <v>#NAME?</v>
      </c>
      <c r="BP354" s="525" t="e">
        <f ca="1">stat(calculs!BP354)</f>
        <v>#NAME?</v>
      </c>
      <c r="BQ354" s="525" t="e">
        <f ca="1">stat(calculs!BQ354)</f>
        <v>#NAME?</v>
      </c>
      <c r="BR354" s="525" t="e">
        <f ca="1">stat(calculs!BR354)</f>
        <v>#NAME?</v>
      </c>
    </row>
    <row r="355" spans="1:70" x14ac:dyDescent="0.2">
      <c r="A355" s="222">
        <f>données_step[[#This Row],[Datum]]</f>
        <v>44906</v>
      </c>
      <c r="B355" s="223"/>
      <c r="C355" s="224">
        <f t="shared" si="5"/>
        <v>1</v>
      </c>
      <c r="D355" s="523" t="e">
        <f ca="1">stat(charge_entree[[#This Row],[ch_E_DBO5]])</f>
        <v>#NAME?</v>
      </c>
      <c r="E355" s="523" t="e">
        <f ca="1">stat(charge_entree[[#This Row],[ch_E_DCO]])</f>
        <v>#NAME?</v>
      </c>
      <c r="F355" s="523" t="e">
        <f ca="1">stat(charge_entree[[#This Row],[ch_E_COT]])</f>
        <v>#NAME?</v>
      </c>
      <c r="G355" s="523" t="e">
        <f ca="1">stat(charge_entree[[#This Row],[ch_E_NH4]])</f>
        <v>#NAME?</v>
      </c>
      <c r="H355" s="523" t="e">
        <f ca="1">stat(charge_entree[[#This Row],[ch_E_NTOT]])</f>
        <v>#NAME?</v>
      </c>
      <c r="I355" s="523" t="e">
        <f ca="1">stat(charge_entree[[#This Row],[ch_E_PTOT]])</f>
        <v>#NAME?</v>
      </c>
      <c r="J355" s="523" t="e">
        <f ca="1">stat(charge_entree[[#This Row],[ch_S_DBO]])</f>
        <v>#NAME?</v>
      </c>
      <c r="K355" s="523" t="e">
        <f ca="1">stat(charge_entree[[#This Row],[ch_S-DCO]])</f>
        <v>#NAME?</v>
      </c>
      <c r="L355" s="523" t="e">
        <f ca="1">stat(charge_entree[[#This Row],[ch_S_DOC]])</f>
        <v>#NAME?</v>
      </c>
      <c r="M355" s="523" t="e">
        <f ca="1">stat(charge_entree[[#This Row],[ch_S_NH4]])</f>
        <v>#NAME?</v>
      </c>
      <c r="N355" s="523" t="e">
        <f ca="1">stat(charge_entree[[#This Row],[ch_S_NO2]])</f>
        <v>#NAME?</v>
      </c>
      <c r="O355" s="523" t="e">
        <f ca="1">stat(charge_entree[[#This Row],[ch_S_NO3]])</f>
        <v>#NAME?</v>
      </c>
      <c r="P355" s="523" t="e">
        <f ca="1">stat(charge_entree[[#This Row],[ch_S_PTOT]])</f>
        <v>#NAME?</v>
      </c>
      <c r="Q355" s="523" t="e">
        <f ca="1">stat(charge_entree[[#This Row],[ch_S_SNDT]])</f>
        <v>#NAME?</v>
      </c>
      <c r="R355" s="523">
        <f>calculs!R355</f>
        <v>0</v>
      </c>
      <c r="S355" s="523" t="e">
        <f ca="1">stat(calculs!S355)</f>
        <v>#NAME?</v>
      </c>
      <c r="T355" s="523" t="e">
        <f ca="1">stat(calculs!T355)</f>
        <v>#NAME?</v>
      </c>
      <c r="U355" s="523" t="e">
        <f ca="1">stat(calculs!U355)</f>
        <v>#NAME?</v>
      </c>
      <c r="V355" s="523" t="e">
        <f ca="1">stat(calculs!V355)</f>
        <v>#NAME?</v>
      </c>
      <c r="W355" s="523" t="e">
        <f ca="1">stat(calculs!W355)</f>
        <v>#NAME?</v>
      </c>
      <c r="X355" s="523" t="e">
        <f ca="1">stat(calculs!X355)</f>
        <v>#NAME?</v>
      </c>
      <c r="Y355" s="523" t="e">
        <f ca="1">stat(calculs!Y355)</f>
        <v>#NAME?</v>
      </c>
      <c r="Z355" s="523" t="e">
        <f ca="1">stat(calculs!Z355)</f>
        <v>#NAME?</v>
      </c>
      <c r="AA355" s="523" t="e">
        <f ca="1">stat(calculs!AA355)</f>
        <v>#NAME?</v>
      </c>
      <c r="AB355" s="523" t="e">
        <f ca="1">stat(calculs!AB355)</f>
        <v>#NAME?</v>
      </c>
      <c r="AC355" s="523" t="e">
        <f ca="1">stat(calculs!AC355)</f>
        <v>#NAME?</v>
      </c>
      <c r="AD355" s="523" t="e">
        <f ca="1">stat(calculs!AD355)</f>
        <v>#NAME?</v>
      </c>
      <c r="AE355" s="523" t="e">
        <f ca="1">stat(calculs!AE355)</f>
        <v>#NAME?</v>
      </c>
      <c r="AF355" s="523" t="e">
        <f ca="1">stat(calculs!AF355)</f>
        <v>#NAME?</v>
      </c>
      <c r="AG355" s="523" t="e">
        <f ca="1">stat(calculs!AG355)</f>
        <v>#NAME?</v>
      </c>
      <c r="AH355" s="523" t="e">
        <f ca="1">stat(calculs!AH355)</f>
        <v>#NAME?</v>
      </c>
      <c r="AI355" s="523" t="e">
        <f ca="1">stat(calculs!AI355)</f>
        <v>#NAME?</v>
      </c>
      <c r="AJ355" s="523" t="e">
        <f ca="1">stat(calculs!AJ355)</f>
        <v>#NAME?</v>
      </c>
      <c r="AK355" s="523" t="e">
        <f ca="1">stat(calculs!AK355)</f>
        <v>#NAME?</v>
      </c>
      <c r="AL355" s="523" t="e">
        <f ca="1">stat(calculs!AL355)</f>
        <v>#NAME?</v>
      </c>
      <c r="AM355" s="523" t="e">
        <f ca="1">stat(calculs!AM355)</f>
        <v>#NAME?</v>
      </c>
      <c r="AN355" s="523" t="e">
        <f ca="1">stat(calculs!AN355)</f>
        <v>#NAME?</v>
      </c>
      <c r="AO355" s="523" t="e">
        <f ca="1">stat(calculs!AO355)</f>
        <v>#NAME?</v>
      </c>
      <c r="AP355" s="523" t="e">
        <f ca="1">stat(calculs!AP355)</f>
        <v>#NAME?</v>
      </c>
      <c r="AQ355" s="523" t="e">
        <f ca="1">stat(calculs!AQ355)</f>
        <v>#NAME?</v>
      </c>
      <c r="AV355" s="525" t="str">
        <f>stat(calculs!AV355)</f>
        <v/>
      </c>
      <c r="AW355" s="525" t="str">
        <f>stat(calculs!AW355)</f>
        <v/>
      </c>
      <c r="AX355" s="525" t="str">
        <f>stat(calculs!AX355)</f>
        <v/>
      </c>
      <c r="AY355" s="525" t="e">
        <f ca="1">stat(calculs!AY355)</f>
        <v>#NAME?</v>
      </c>
      <c r="AZ355" s="525" t="e">
        <f ca="1">stat(calculs!AZ355)</f>
        <v>#NAME?</v>
      </c>
      <c r="BA355" s="525" t="e">
        <f ca="1">stat(calculs!BA355)</f>
        <v>#NAME?</v>
      </c>
      <c r="BB355" s="525" t="e">
        <f ca="1">stat(calculs!BB355)</f>
        <v>#NAME?</v>
      </c>
      <c r="BC355" s="525" t="e">
        <f ca="1">stat(calculs!BC355)</f>
        <v>#NAME?</v>
      </c>
      <c r="BD355" s="525" t="e">
        <f ca="1">stat(calculs!BD355)</f>
        <v>#NAME?</v>
      </c>
      <c r="BE355" s="525" t="e">
        <f ca="1">stat(calculs!BE355)</f>
        <v>#NAME?</v>
      </c>
      <c r="BF355" s="525" t="e">
        <f ca="1">stat(calculs!BF355)</f>
        <v>#NAME?</v>
      </c>
      <c r="BG355" s="729" t="e">
        <f ca="1">stat(calculs!BG355)</f>
        <v>#NAME?</v>
      </c>
      <c r="BH355" s="729" t="e">
        <f ca="1">stat(calculs!BH355)</f>
        <v>#NAME?</v>
      </c>
      <c r="BI355" s="729" t="e">
        <f ca="1">stat(calculs!BI355)</f>
        <v>#NAME?</v>
      </c>
      <c r="BJ355" s="729" t="e">
        <f ca="1">stat(calculs!BJ355)</f>
        <v>#NAME?</v>
      </c>
      <c r="BK355" s="729" t="e">
        <f ca="1">stat(calculs!BK355)</f>
        <v>#NAME?</v>
      </c>
      <c r="BL355" s="525" t="e">
        <f ca="1">stat(calculs!BL355)</f>
        <v>#NAME?</v>
      </c>
      <c r="BM355" s="525" t="e">
        <f ca="1">stat(calculs!BM355)</f>
        <v>#NAME?</v>
      </c>
      <c r="BN355" s="525" t="e">
        <f ca="1">stat(calculs!BN355)</f>
        <v>#NAME?</v>
      </c>
      <c r="BO355" s="525" t="e">
        <f ca="1">stat(calculs!BO355)</f>
        <v>#NAME?</v>
      </c>
      <c r="BP355" s="525" t="e">
        <f ca="1">stat(calculs!BP355)</f>
        <v>#NAME?</v>
      </c>
      <c r="BQ355" s="525" t="e">
        <f ca="1">stat(calculs!BQ355)</f>
        <v>#NAME?</v>
      </c>
      <c r="BR355" s="525" t="e">
        <f ca="1">stat(calculs!BR355)</f>
        <v>#NAME?</v>
      </c>
    </row>
    <row r="356" spans="1:70" x14ac:dyDescent="0.2">
      <c r="A356" s="222">
        <f>données_step[[#This Row],[Datum]]</f>
        <v>44907</v>
      </c>
      <c r="B356" s="223"/>
      <c r="C356" s="224">
        <f t="shared" si="5"/>
        <v>2</v>
      </c>
      <c r="D356" s="523" t="e">
        <f ca="1">stat(charge_entree[[#This Row],[ch_E_DBO5]])</f>
        <v>#NAME?</v>
      </c>
      <c r="E356" s="523" t="e">
        <f ca="1">stat(charge_entree[[#This Row],[ch_E_DCO]])</f>
        <v>#NAME?</v>
      </c>
      <c r="F356" s="523" t="e">
        <f ca="1">stat(charge_entree[[#This Row],[ch_E_COT]])</f>
        <v>#NAME?</v>
      </c>
      <c r="G356" s="523" t="e">
        <f ca="1">stat(charge_entree[[#This Row],[ch_E_NH4]])</f>
        <v>#NAME?</v>
      </c>
      <c r="H356" s="523" t="e">
        <f ca="1">stat(charge_entree[[#This Row],[ch_E_NTOT]])</f>
        <v>#NAME?</v>
      </c>
      <c r="I356" s="523" t="e">
        <f ca="1">stat(charge_entree[[#This Row],[ch_E_PTOT]])</f>
        <v>#NAME?</v>
      </c>
      <c r="J356" s="523" t="e">
        <f ca="1">stat(charge_entree[[#This Row],[ch_S_DBO]])</f>
        <v>#NAME?</v>
      </c>
      <c r="K356" s="523" t="e">
        <f ca="1">stat(charge_entree[[#This Row],[ch_S-DCO]])</f>
        <v>#NAME?</v>
      </c>
      <c r="L356" s="523" t="e">
        <f ca="1">stat(charge_entree[[#This Row],[ch_S_DOC]])</f>
        <v>#NAME?</v>
      </c>
      <c r="M356" s="523" t="e">
        <f ca="1">stat(charge_entree[[#This Row],[ch_S_NH4]])</f>
        <v>#NAME?</v>
      </c>
      <c r="N356" s="523" t="e">
        <f ca="1">stat(charge_entree[[#This Row],[ch_S_NO2]])</f>
        <v>#NAME?</v>
      </c>
      <c r="O356" s="523" t="e">
        <f ca="1">stat(charge_entree[[#This Row],[ch_S_NO3]])</f>
        <v>#NAME?</v>
      </c>
      <c r="P356" s="523" t="e">
        <f ca="1">stat(charge_entree[[#This Row],[ch_S_PTOT]])</f>
        <v>#NAME?</v>
      </c>
      <c r="Q356" s="523" t="e">
        <f ca="1">stat(charge_entree[[#This Row],[ch_S_SNDT]])</f>
        <v>#NAME?</v>
      </c>
      <c r="R356" s="523">
        <f>calculs!R356</f>
        <v>0</v>
      </c>
      <c r="S356" s="523" t="e">
        <f ca="1">stat(calculs!S356)</f>
        <v>#NAME?</v>
      </c>
      <c r="T356" s="523" t="e">
        <f ca="1">stat(calculs!T356)</f>
        <v>#NAME?</v>
      </c>
      <c r="U356" s="523" t="e">
        <f ca="1">stat(calculs!U356)</f>
        <v>#NAME?</v>
      </c>
      <c r="V356" s="523" t="e">
        <f ca="1">stat(calculs!V356)</f>
        <v>#NAME?</v>
      </c>
      <c r="W356" s="523" t="e">
        <f ca="1">stat(calculs!W356)</f>
        <v>#NAME?</v>
      </c>
      <c r="X356" s="523" t="e">
        <f ca="1">stat(calculs!X356)</f>
        <v>#NAME?</v>
      </c>
      <c r="Y356" s="523" t="e">
        <f ca="1">stat(calculs!Y356)</f>
        <v>#NAME?</v>
      </c>
      <c r="Z356" s="523" t="e">
        <f ca="1">stat(calculs!Z356)</f>
        <v>#NAME?</v>
      </c>
      <c r="AA356" s="523" t="e">
        <f ca="1">stat(calculs!AA356)</f>
        <v>#NAME?</v>
      </c>
      <c r="AB356" s="523" t="e">
        <f ca="1">stat(calculs!AB356)</f>
        <v>#NAME?</v>
      </c>
      <c r="AC356" s="523" t="e">
        <f ca="1">stat(calculs!AC356)</f>
        <v>#NAME?</v>
      </c>
      <c r="AD356" s="523" t="e">
        <f ca="1">stat(calculs!AD356)</f>
        <v>#NAME?</v>
      </c>
      <c r="AE356" s="523" t="e">
        <f ca="1">stat(calculs!AE356)</f>
        <v>#NAME?</v>
      </c>
      <c r="AF356" s="523" t="e">
        <f ca="1">stat(calculs!AF356)</f>
        <v>#NAME?</v>
      </c>
      <c r="AG356" s="523" t="e">
        <f ca="1">stat(calculs!AG356)</f>
        <v>#NAME?</v>
      </c>
      <c r="AH356" s="523" t="e">
        <f ca="1">stat(calculs!AH356)</f>
        <v>#NAME?</v>
      </c>
      <c r="AI356" s="523" t="e">
        <f ca="1">stat(calculs!AI356)</f>
        <v>#NAME?</v>
      </c>
      <c r="AJ356" s="523" t="e">
        <f ca="1">stat(calculs!AJ356)</f>
        <v>#NAME?</v>
      </c>
      <c r="AK356" s="523" t="e">
        <f ca="1">stat(calculs!AK356)</f>
        <v>#NAME?</v>
      </c>
      <c r="AL356" s="523" t="e">
        <f ca="1">stat(calculs!AL356)</f>
        <v>#NAME?</v>
      </c>
      <c r="AM356" s="523" t="e">
        <f ca="1">stat(calculs!AM356)</f>
        <v>#NAME?</v>
      </c>
      <c r="AN356" s="523" t="e">
        <f ca="1">stat(calculs!AN356)</f>
        <v>#NAME?</v>
      </c>
      <c r="AO356" s="523" t="e">
        <f ca="1">stat(calculs!AO356)</f>
        <v>#NAME?</v>
      </c>
      <c r="AP356" s="523" t="e">
        <f ca="1">stat(calculs!AP356)</f>
        <v>#NAME?</v>
      </c>
      <c r="AQ356" s="523" t="e">
        <f ca="1">stat(calculs!AQ356)</f>
        <v>#NAME?</v>
      </c>
      <c r="AV356" s="525" t="str">
        <f>stat(calculs!AV356)</f>
        <v/>
      </c>
      <c r="AW356" s="525" t="str">
        <f>stat(calculs!AW356)</f>
        <v/>
      </c>
      <c r="AX356" s="525" t="str">
        <f>stat(calculs!AX356)</f>
        <v/>
      </c>
      <c r="AY356" s="525" t="e">
        <f ca="1">stat(calculs!AY356)</f>
        <v>#NAME?</v>
      </c>
      <c r="AZ356" s="525" t="e">
        <f ca="1">stat(calculs!AZ356)</f>
        <v>#NAME?</v>
      </c>
      <c r="BA356" s="525" t="e">
        <f ca="1">stat(calculs!BA356)</f>
        <v>#NAME?</v>
      </c>
      <c r="BB356" s="525" t="e">
        <f ca="1">stat(calculs!BB356)</f>
        <v>#NAME?</v>
      </c>
      <c r="BC356" s="525" t="e">
        <f ca="1">stat(calculs!BC356)</f>
        <v>#NAME?</v>
      </c>
      <c r="BD356" s="525" t="e">
        <f ca="1">stat(calculs!BD356)</f>
        <v>#NAME?</v>
      </c>
      <c r="BE356" s="525" t="e">
        <f ca="1">stat(calculs!BE356)</f>
        <v>#NAME?</v>
      </c>
      <c r="BF356" s="525" t="e">
        <f ca="1">stat(calculs!BF356)</f>
        <v>#NAME?</v>
      </c>
      <c r="BG356" s="729" t="e">
        <f ca="1">stat(calculs!BG356)</f>
        <v>#NAME?</v>
      </c>
      <c r="BH356" s="729" t="e">
        <f ca="1">stat(calculs!BH356)</f>
        <v>#NAME?</v>
      </c>
      <c r="BI356" s="729" t="e">
        <f ca="1">stat(calculs!BI356)</f>
        <v>#NAME?</v>
      </c>
      <c r="BJ356" s="729" t="e">
        <f ca="1">stat(calculs!BJ356)</f>
        <v>#NAME?</v>
      </c>
      <c r="BK356" s="729" t="e">
        <f ca="1">stat(calculs!BK356)</f>
        <v>#NAME?</v>
      </c>
      <c r="BL356" s="525" t="e">
        <f ca="1">stat(calculs!BL356)</f>
        <v>#NAME?</v>
      </c>
      <c r="BM356" s="525" t="e">
        <f ca="1">stat(calculs!BM356)</f>
        <v>#NAME?</v>
      </c>
      <c r="BN356" s="525" t="e">
        <f ca="1">stat(calculs!BN356)</f>
        <v>#NAME?</v>
      </c>
      <c r="BO356" s="525" t="e">
        <f ca="1">stat(calculs!BO356)</f>
        <v>#NAME?</v>
      </c>
      <c r="BP356" s="525" t="e">
        <f ca="1">stat(calculs!BP356)</f>
        <v>#NAME?</v>
      </c>
      <c r="BQ356" s="525" t="e">
        <f ca="1">stat(calculs!BQ356)</f>
        <v>#NAME?</v>
      </c>
      <c r="BR356" s="525" t="e">
        <f ca="1">stat(calculs!BR356)</f>
        <v>#NAME?</v>
      </c>
    </row>
    <row r="357" spans="1:70" x14ac:dyDescent="0.2">
      <c r="A357" s="222">
        <f>données_step[[#This Row],[Datum]]</f>
        <v>44908</v>
      </c>
      <c r="B357" s="223"/>
      <c r="C357" s="224">
        <f t="shared" si="5"/>
        <v>3</v>
      </c>
      <c r="D357" s="523" t="e">
        <f ca="1">stat(charge_entree[[#This Row],[ch_E_DBO5]])</f>
        <v>#NAME?</v>
      </c>
      <c r="E357" s="523" t="e">
        <f ca="1">stat(charge_entree[[#This Row],[ch_E_DCO]])</f>
        <v>#NAME?</v>
      </c>
      <c r="F357" s="523" t="e">
        <f ca="1">stat(charge_entree[[#This Row],[ch_E_COT]])</f>
        <v>#NAME?</v>
      </c>
      <c r="G357" s="523" t="e">
        <f ca="1">stat(charge_entree[[#This Row],[ch_E_NH4]])</f>
        <v>#NAME?</v>
      </c>
      <c r="H357" s="523" t="e">
        <f ca="1">stat(charge_entree[[#This Row],[ch_E_NTOT]])</f>
        <v>#NAME?</v>
      </c>
      <c r="I357" s="523" t="e">
        <f ca="1">stat(charge_entree[[#This Row],[ch_E_PTOT]])</f>
        <v>#NAME?</v>
      </c>
      <c r="J357" s="523" t="e">
        <f ca="1">stat(charge_entree[[#This Row],[ch_S_DBO]])</f>
        <v>#NAME?</v>
      </c>
      <c r="K357" s="523" t="e">
        <f ca="1">stat(charge_entree[[#This Row],[ch_S-DCO]])</f>
        <v>#NAME?</v>
      </c>
      <c r="L357" s="523" t="e">
        <f ca="1">stat(charge_entree[[#This Row],[ch_S_DOC]])</f>
        <v>#NAME?</v>
      </c>
      <c r="M357" s="523" t="e">
        <f ca="1">stat(charge_entree[[#This Row],[ch_S_NH4]])</f>
        <v>#NAME?</v>
      </c>
      <c r="N357" s="523" t="e">
        <f ca="1">stat(charge_entree[[#This Row],[ch_S_NO2]])</f>
        <v>#NAME?</v>
      </c>
      <c r="O357" s="523" t="e">
        <f ca="1">stat(charge_entree[[#This Row],[ch_S_NO3]])</f>
        <v>#NAME?</v>
      </c>
      <c r="P357" s="523" t="e">
        <f ca="1">stat(charge_entree[[#This Row],[ch_S_PTOT]])</f>
        <v>#NAME?</v>
      </c>
      <c r="Q357" s="523" t="e">
        <f ca="1">stat(charge_entree[[#This Row],[ch_S_SNDT]])</f>
        <v>#NAME?</v>
      </c>
      <c r="R357" s="523">
        <f>calculs!R357</f>
        <v>0</v>
      </c>
      <c r="S357" s="523" t="e">
        <f ca="1">stat(calculs!S357)</f>
        <v>#NAME?</v>
      </c>
      <c r="T357" s="523" t="e">
        <f ca="1">stat(calculs!T357)</f>
        <v>#NAME?</v>
      </c>
      <c r="U357" s="523" t="e">
        <f ca="1">stat(calculs!U357)</f>
        <v>#NAME?</v>
      </c>
      <c r="V357" s="523" t="e">
        <f ca="1">stat(calculs!V357)</f>
        <v>#NAME?</v>
      </c>
      <c r="W357" s="523" t="e">
        <f ca="1">stat(calculs!W357)</f>
        <v>#NAME?</v>
      </c>
      <c r="X357" s="523" t="e">
        <f ca="1">stat(calculs!X357)</f>
        <v>#NAME?</v>
      </c>
      <c r="Y357" s="523" t="e">
        <f ca="1">stat(calculs!Y357)</f>
        <v>#NAME?</v>
      </c>
      <c r="Z357" s="523" t="e">
        <f ca="1">stat(calculs!Z357)</f>
        <v>#NAME?</v>
      </c>
      <c r="AA357" s="523" t="e">
        <f ca="1">stat(calculs!AA357)</f>
        <v>#NAME?</v>
      </c>
      <c r="AB357" s="523" t="e">
        <f ca="1">stat(calculs!AB357)</f>
        <v>#NAME?</v>
      </c>
      <c r="AC357" s="523" t="e">
        <f ca="1">stat(calculs!AC357)</f>
        <v>#NAME?</v>
      </c>
      <c r="AD357" s="523" t="e">
        <f ca="1">stat(calculs!AD357)</f>
        <v>#NAME?</v>
      </c>
      <c r="AE357" s="523" t="e">
        <f ca="1">stat(calculs!AE357)</f>
        <v>#NAME?</v>
      </c>
      <c r="AF357" s="523" t="e">
        <f ca="1">stat(calculs!AF357)</f>
        <v>#NAME?</v>
      </c>
      <c r="AG357" s="523" t="e">
        <f ca="1">stat(calculs!AG357)</f>
        <v>#NAME?</v>
      </c>
      <c r="AH357" s="523" t="e">
        <f ca="1">stat(calculs!AH357)</f>
        <v>#NAME?</v>
      </c>
      <c r="AI357" s="523" t="e">
        <f ca="1">stat(calculs!AI357)</f>
        <v>#NAME?</v>
      </c>
      <c r="AJ357" s="523" t="e">
        <f ca="1">stat(calculs!AJ357)</f>
        <v>#NAME?</v>
      </c>
      <c r="AK357" s="523" t="e">
        <f ca="1">stat(calculs!AK357)</f>
        <v>#NAME?</v>
      </c>
      <c r="AL357" s="523" t="e">
        <f ca="1">stat(calculs!AL357)</f>
        <v>#NAME?</v>
      </c>
      <c r="AM357" s="523" t="e">
        <f ca="1">stat(calculs!AM357)</f>
        <v>#NAME?</v>
      </c>
      <c r="AN357" s="523" t="e">
        <f ca="1">stat(calculs!AN357)</f>
        <v>#NAME?</v>
      </c>
      <c r="AO357" s="523" t="e">
        <f ca="1">stat(calculs!AO357)</f>
        <v>#NAME?</v>
      </c>
      <c r="AP357" s="523" t="e">
        <f ca="1">stat(calculs!AP357)</f>
        <v>#NAME?</v>
      </c>
      <c r="AQ357" s="523" t="e">
        <f ca="1">stat(calculs!AQ357)</f>
        <v>#NAME?</v>
      </c>
      <c r="AV357" s="525" t="str">
        <f>stat(calculs!AV357)</f>
        <v/>
      </c>
      <c r="AW357" s="525" t="str">
        <f>stat(calculs!AW357)</f>
        <v/>
      </c>
      <c r="AX357" s="525" t="str">
        <f>stat(calculs!AX357)</f>
        <v/>
      </c>
      <c r="AY357" s="525" t="e">
        <f ca="1">stat(calculs!AY357)</f>
        <v>#NAME?</v>
      </c>
      <c r="AZ357" s="525" t="e">
        <f ca="1">stat(calculs!AZ357)</f>
        <v>#NAME?</v>
      </c>
      <c r="BA357" s="525" t="e">
        <f ca="1">stat(calculs!BA357)</f>
        <v>#NAME?</v>
      </c>
      <c r="BB357" s="525" t="e">
        <f ca="1">stat(calculs!BB357)</f>
        <v>#NAME?</v>
      </c>
      <c r="BC357" s="525" t="e">
        <f ca="1">stat(calculs!BC357)</f>
        <v>#NAME?</v>
      </c>
      <c r="BD357" s="525" t="e">
        <f ca="1">stat(calculs!BD357)</f>
        <v>#NAME?</v>
      </c>
      <c r="BE357" s="525" t="e">
        <f ca="1">stat(calculs!BE357)</f>
        <v>#NAME?</v>
      </c>
      <c r="BF357" s="525" t="e">
        <f ca="1">stat(calculs!BF357)</f>
        <v>#NAME?</v>
      </c>
      <c r="BG357" s="729" t="e">
        <f ca="1">stat(calculs!BG357)</f>
        <v>#NAME?</v>
      </c>
      <c r="BH357" s="729" t="e">
        <f ca="1">stat(calculs!BH357)</f>
        <v>#NAME?</v>
      </c>
      <c r="BI357" s="729" t="e">
        <f ca="1">stat(calculs!BI357)</f>
        <v>#NAME?</v>
      </c>
      <c r="BJ357" s="729" t="e">
        <f ca="1">stat(calculs!BJ357)</f>
        <v>#NAME?</v>
      </c>
      <c r="BK357" s="729" t="e">
        <f ca="1">stat(calculs!BK357)</f>
        <v>#NAME?</v>
      </c>
      <c r="BL357" s="525" t="e">
        <f ca="1">stat(calculs!BL357)</f>
        <v>#NAME?</v>
      </c>
      <c r="BM357" s="525" t="e">
        <f ca="1">stat(calculs!BM357)</f>
        <v>#NAME?</v>
      </c>
      <c r="BN357" s="525" t="e">
        <f ca="1">stat(calculs!BN357)</f>
        <v>#NAME?</v>
      </c>
      <c r="BO357" s="525" t="e">
        <f ca="1">stat(calculs!BO357)</f>
        <v>#NAME?</v>
      </c>
      <c r="BP357" s="525" t="e">
        <f ca="1">stat(calculs!BP357)</f>
        <v>#NAME?</v>
      </c>
      <c r="BQ357" s="525" t="e">
        <f ca="1">stat(calculs!BQ357)</f>
        <v>#NAME?</v>
      </c>
      <c r="BR357" s="525" t="e">
        <f ca="1">stat(calculs!BR357)</f>
        <v>#NAME?</v>
      </c>
    </row>
    <row r="358" spans="1:70" x14ac:dyDescent="0.2">
      <c r="A358" s="222">
        <f>données_step[[#This Row],[Datum]]</f>
        <v>44909</v>
      </c>
      <c r="B358" s="223"/>
      <c r="C358" s="224">
        <f t="shared" si="5"/>
        <v>4</v>
      </c>
      <c r="D358" s="523" t="e">
        <f ca="1">stat(charge_entree[[#This Row],[ch_E_DBO5]])</f>
        <v>#NAME?</v>
      </c>
      <c r="E358" s="523" t="e">
        <f ca="1">stat(charge_entree[[#This Row],[ch_E_DCO]])</f>
        <v>#NAME?</v>
      </c>
      <c r="F358" s="523" t="e">
        <f ca="1">stat(charge_entree[[#This Row],[ch_E_COT]])</f>
        <v>#NAME?</v>
      </c>
      <c r="G358" s="523" t="e">
        <f ca="1">stat(charge_entree[[#This Row],[ch_E_NH4]])</f>
        <v>#NAME?</v>
      </c>
      <c r="H358" s="523" t="e">
        <f ca="1">stat(charge_entree[[#This Row],[ch_E_NTOT]])</f>
        <v>#NAME?</v>
      </c>
      <c r="I358" s="523" t="e">
        <f ca="1">stat(charge_entree[[#This Row],[ch_E_PTOT]])</f>
        <v>#NAME?</v>
      </c>
      <c r="J358" s="523" t="e">
        <f ca="1">stat(charge_entree[[#This Row],[ch_S_DBO]])</f>
        <v>#NAME?</v>
      </c>
      <c r="K358" s="523" t="e">
        <f ca="1">stat(charge_entree[[#This Row],[ch_S-DCO]])</f>
        <v>#NAME?</v>
      </c>
      <c r="L358" s="523" t="e">
        <f ca="1">stat(charge_entree[[#This Row],[ch_S_DOC]])</f>
        <v>#NAME?</v>
      </c>
      <c r="M358" s="523" t="e">
        <f ca="1">stat(charge_entree[[#This Row],[ch_S_NH4]])</f>
        <v>#NAME?</v>
      </c>
      <c r="N358" s="523" t="e">
        <f ca="1">stat(charge_entree[[#This Row],[ch_S_NO2]])</f>
        <v>#NAME?</v>
      </c>
      <c r="O358" s="523" t="e">
        <f ca="1">stat(charge_entree[[#This Row],[ch_S_NO3]])</f>
        <v>#NAME?</v>
      </c>
      <c r="P358" s="523" t="e">
        <f ca="1">stat(charge_entree[[#This Row],[ch_S_PTOT]])</f>
        <v>#NAME?</v>
      </c>
      <c r="Q358" s="523" t="e">
        <f ca="1">stat(charge_entree[[#This Row],[ch_S_SNDT]])</f>
        <v>#NAME?</v>
      </c>
      <c r="R358" s="523">
        <f>calculs!R358</f>
        <v>0</v>
      </c>
      <c r="S358" s="523" t="e">
        <f ca="1">stat(calculs!S358)</f>
        <v>#NAME?</v>
      </c>
      <c r="T358" s="523" t="e">
        <f ca="1">stat(calculs!T358)</f>
        <v>#NAME?</v>
      </c>
      <c r="U358" s="523" t="e">
        <f ca="1">stat(calculs!U358)</f>
        <v>#NAME?</v>
      </c>
      <c r="V358" s="523" t="e">
        <f ca="1">stat(calculs!V358)</f>
        <v>#NAME?</v>
      </c>
      <c r="W358" s="523" t="e">
        <f ca="1">stat(calculs!W358)</f>
        <v>#NAME?</v>
      </c>
      <c r="X358" s="523" t="e">
        <f ca="1">stat(calculs!X358)</f>
        <v>#NAME?</v>
      </c>
      <c r="Y358" s="523" t="e">
        <f ca="1">stat(calculs!Y358)</f>
        <v>#NAME?</v>
      </c>
      <c r="Z358" s="523" t="e">
        <f ca="1">stat(calculs!Z358)</f>
        <v>#NAME?</v>
      </c>
      <c r="AA358" s="523" t="e">
        <f ca="1">stat(calculs!AA358)</f>
        <v>#NAME?</v>
      </c>
      <c r="AB358" s="523" t="e">
        <f ca="1">stat(calculs!AB358)</f>
        <v>#NAME?</v>
      </c>
      <c r="AC358" s="523" t="e">
        <f ca="1">stat(calculs!AC358)</f>
        <v>#NAME?</v>
      </c>
      <c r="AD358" s="523" t="e">
        <f ca="1">stat(calculs!AD358)</f>
        <v>#NAME?</v>
      </c>
      <c r="AE358" s="523" t="e">
        <f ca="1">stat(calculs!AE358)</f>
        <v>#NAME?</v>
      </c>
      <c r="AF358" s="523" t="e">
        <f ca="1">stat(calculs!AF358)</f>
        <v>#NAME?</v>
      </c>
      <c r="AG358" s="523" t="e">
        <f ca="1">stat(calculs!AG358)</f>
        <v>#NAME?</v>
      </c>
      <c r="AH358" s="523" t="e">
        <f ca="1">stat(calculs!AH358)</f>
        <v>#NAME?</v>
      </c>
      <c r="AI358" s="523" t="e">
        <f ca="1">stat(calculs!AI358)</f>
        <v>#NAME?</v>
      </c>
      <c r="AJ358" s="523" t="e">
        <f ca="1">stat(calculs!AJ358)</f>
        <v>#NAME?</v>
      </c>
      <c r="AK358" s="523" t="e">
        <f ca="1">stat(calculs!AK358)</f>
        <v>#NAME?</v>
      </c>
      <c r="AL358" s="523" t="e">
        <f ca="1">stat(calculs!AL358)</f>
        <v>#NAME?</v>
      </c>
      <c r="AM358" s="523" t="e">
        <f ca="1">stat(calculs!AM358)</f>
        <v>#NAME?</v>
      </c>
      <c r="AN358" s="523" t="e">
        <f ca="1">stat(calculs!AN358)</f>
        <v>#NAME?</v>
      </c>
      <c r="AO358" s="523" t="e">
        <f ca="1">stat(calculs!AO358)</f>
        <v>#NAME?</v>
      </c>
      <c r="AP358" s="523" t="e">
        <f ca="1">stat(calculs!AP358)</f>
        <v>#NAME?</v>
      </c>
      <c r="AQ358" s="523" t="e">
        <f ca="1">stat(calculs!AQ358)</f>
        <v>#NAME?</v>
      </c>
      <c r="AV358" s="525" t="str">
        <f>stat(calculs!AV358)</f>
        <v/>
      </c>
      <c r="AW358" s="525" t="str">
        <f>stat(calculs!AW358)</f>
        <v/>
      </c>
      <c r="AX358" s="525" t="str">
        <f>stat(calculs!AX358)</f>
        <v/>
      </c>
      <c r="AY358" s="525" t="e">
        <f ca="1">stat(calculs!AY358)</f>
        <v>#NAME?</v>
      </c>
      <c r="AZ358" s="525" t="e">
        <f ca="1">stat(calculs!AZ358)</f>
        <v>#NAME?</v>
      </c>
      <c r="BA358" s="525" t="e">
        <f ca="1">stat(calculs!BA358)</f>
        <v>#NAME?</v>
      </c>
      <c r="BB358" s="525" t="e">
        <f ca="1">stat(calculs!BB358)</f>
        <v>#NAME?</v>
      </c>
      <c r="BC358" s="525" t="e">
        <f ca="1">stat(calculs!BC358)</f>
        <v>#NAME?</v>
      </c>
      <c r="BD358" s="525" t="e">
        <f ca="1">stat(calculs!BD358)</f>
        <v>#NAME?</v>
      </c>
      <c r="BE358" s="525" t="e">
        <f ca="1">stat(calculs!BE358)</f>
        <v>#NAME?</v>
      </c>
      <c r="BF358" s="525" t="e">
        <f ca="1">stat(calculs!BF358)</f>
        <v>#NAME?</v>
      </c>
      <c r="BG358" s="729" t="e">
        <f ca="1">stat(calculs!BG358)</f>
        <v>#NAME?</v>
      </c>
      <c r="BH358" s="729" t="e">
        <f ca="1">stat(calculs!BH358)</f>
        <v>#NAME?</v>
      </c>
      <c r="BI358" s="729" t="e">
        <f ca="1">stat(calculs!BI358)</f>
        <v>#NAME?</v>
      </c>
      <c r="BJ358" s="729" t="e">
        <f ca="1">stat(calculs!BJ358)</f>
        <v>#NAME?</v>
      </c>
      <c r="BK358" s="729" t="e">
        <f ca="1">stat(calculs!BK358)</f>
        <v>#NAME?</v>
      </c>
      <c r="BL358" s="525" t="e">
        <f ca="1">stat(calculs!BL358)</f>
        <v>#NAME?</v>
      </c>
      <c r="BM358" s="525" t="e">
        <f ca="1">stat(calculs!BM358)</f>
        <v>#NAME?</v>
      </c>
      <c r="BN358" s="525" t="e">
        <f ca="1">stat(calculs!BN358)</f>
        <v>#NAME?</v>
      </c>
      <c r="BO358" s="525" t="e">
        <f ca="1">stat(calculs!BO358)</f>
        <v>#NAME?</v>
      </c>
      <c r="BP358" s="525" t="e">
        <f ca="1">stat(calculs!BP358)</f>
        <v>#NAME?</v>
      </c>
      <c r="BQ358" s="525" t="e">
        <f ca="1">stat(calculs!BQ358)</f>
        <v>#NAME?</v>
      </c>
      <c r="BR358" s="525" t="e">
        <f ca="1">stat(calculs!BR358)</f>
        <v>#NAME?</v>
      </c>
    </row>
    <row r="359" spans="1:70" x14ac:dyDescent="0.2">
      <c r="A359" s="222">
        <f>données_step[[#This Row],[Datum]]</f>
        <v>44910</v>
      </c>
      <c r="B359" s="223"/>
      <c r="C359" s="224">
        <f t="shared" si="5"/>
        <v>5</v>
      </c>
      <c r="D359" s="523" t="e">
        <f ca="1">stat(charge_entree[[#This Row],[ch_E_DBO5]])</f>
        <v>#NAME?</v>
      </c>
      <c r="E359" s="523" t="e">
        <f ca="1">stat(charge_entree[[#This Row],[ch_E_DCO]])</f>
        <v>#NAME?</v>
      </c>
      <c r="F359" s="523" t="e">
        <f ca="1">stat(charge_entree[[#This Row],[ch_E_COT]])</f>
        <v>#NAME?</v>
      </c>
      <c r="G359" s="523" t="e">
        <f ca="1">stat(charge_entree[[#This Row],[ch_E_NH4]])</f>
        <v>#NAME?</v>
      </c>
      <c r="H359" s="523" t="e">
        <f ca="1">stat(charge_entree[[#This Row],[ch_E_NTOT]])</f>
        <v>#NAME?</v>
      </c>
      <c r="I359" s="523" t="e">
        <f ca="1">stat(charge_entree[[#This Row],[ch_E_PTOT]])</f>
        <v>#NAME?</v>
      </c>
      <c r="J359" s="523" t="e">
        <f ca="1">stat(charge_entree[[#This Row],[ch_S_DBO]])</f>
        <v>#NAME?</v>
      </c>
      <c r="K359" s="523" t="e">
        <f ca="1">stat(charge_entree[[#This Row],[ch_S-DCO]])</f>
        <v>#NAME?</v>
      </c>
      <c r="L359" s="523" t="e">
        <f ca="1">stat(charge_entree[[#This Row],[ch_S_DOC]])</f>
        <v>#NAME?</v>
      </c>
      <c r="M359" s="523" t="e">
        <f ca="1">stat(charge_entree[[#This Row],[ch_S_NH4]])</f>
        <v>#NAME?</v>
      </c>
      <c r="N359" s="523" t="e">
        <f ca="1">stat(charge_entree[[#This Row],[ch_S_NO2]])</f>
        <v>#NAME?</v>
      </c>
      <c r="O359" s="523" t="e">
        <f ca="1">stat(charge_entree[[#This Row],[ch_S_NO3]])</f>
        <v>#NAME?</v>
      </c>
      <c r="P359" s="523" t="e">
        <f ca="1">stat(charge_entree[[#This Row],[ch_S_PTOT]])</f>
        <v>#NAME?</v>
      </c>
      <c r="Q359" s="523" t="e">
        <f ca="1">stat(charge_entree[[#This Row],[ch_S_SNDT]])</f>
        <v>#NAME?</v>
      </c>
      <c r="R359" s="523">
        <f>calculs!R359</f>
        <v>0</v>
      </c>
      <c r="S359" s="523" t="e">
        <f ca="1">stat(calculs!S359)</f>
        <v>#NAME?</v>
      </c>
      <c r="T359" s="523" t="e">
        <f ca="1">stat(calculs!T359)</f>
        <v>#NAME?</v>
      </c>
      <c r="U359" s="523" t="e">
        <f ca="1">stat(calculs!U359)</f>
        <v>#NAME?</v>
      </c>
      <c r="V359" s="523" t="e">
        <f ca="1">stat(calculs!V359)</f>
        <v>#NAME?</v>
      </c>
      <c r="W359" s="523" t="e">
        <f ca="1">stat(calculs!W359)</f>
        <v>#NAME?</v>
      </c>
      <c r="X359" s="523" t="e">
        <f ca="1">stat(calculs!X359)</f>
        <v>#NAME?</v>
      </c>
      <c r="Y359" s="523" t="e">
        <f ca="1">stat(calculs!Y359)</f>
        <v>#NAME?</v>
      </c>
      <c r="Z359" s="523" t="e">
        <f ca="1">stat(calculs!Z359)</f>
        <v>#NAME?</v>
      </c>
      <c r="AA359" s="523" t="e">
        <f ca="1">stat(calculs!AA359)</f>
        <v>#NAME?</v>
      </c>
      <c r="AB359" s="523" t="e">
        <f ca="1">stat(calculs!AB359)</f>
        <v>#NAME?</v>
      </c>
      <c r="AC359" s="523" t="e">
        <f ca="1">stat(calculs!AC359)</f>
        <v>#NAME?</v>
      </c>
      <c r="AD359" s="523" t="e">
        <f ca="1">stat(calculs!AD359)</f>
        <v>#NAME?</v>
      </c>
      <c r="AE359" s="523" t="e">
        <f ca="1">stat(calculs!AE359)</f>
        <v>#NAME?</v>
      </c>
      <c r="AF359" s="523" t="e">
        <f ca="1">stat(calculs!AF359)</f>
        <v>#NAME?</v>
      </c>
      <c r="AG359" s="523" t="e">
        <f ca="1">stat(calculs!AG359)</f>
        <v>#NAME?</v>
      </c>
      <c r="AH359" s="523" t="e">
        <f ca="1">stat(calculs!AH359)</f>
        <v>#NAME?</v>
      </c>
      <c r="AI359" s="523" t="e">
        <f ca="1">stat(calculs!AI359)</f>
        <v>#NAME?</v>
      </c>
      <c r="AJ359" s="523" t="e">
        <f ca="1">stat(calculs!AJ359)</f>
        <v>#NAME?</v>
      </c>
      <c r="AK359" s="523" t="e">
        <f ca="1">stat(calculs!AK359)</f>
        <v>#NAME?</v>
      </c>
      <c r="AL359" s="523" t="e">
        <f ca="1">stat(calculs!AL359)</f>
        <v>#NAME?</v>
      </c>
      <c r="AM359" s="523" t="e">
        <f ca="1">stat(calculs!AM359)</f>
        <v>#NAME?</v>
      </c>
      <c r="AN359" s="523" t="e">
        <f ca="1">stat(calculs!AN359)</f>
        <v>#NAME?</v>
      </c>
      <c r="AO359" s="523" t="e">
        <f ca="1">stat(calculs!AO359)</f>
        <v>#NAME?</v>
      </c>
      <c r="AP359" s="523" t="e">
        <f ca="1">stat(calculs!AP359)</f>
        <v>#NAME?</v>
      </c>
      <c r="AQ359" s="523" t="e">
        <f ca="1">stat(calculs!AQ359)</f>
        <v>#NAME?</v>
      </c>
      <c r="AV359" s="525" t="str">
        <f>stat(calculs!AV359)</f>
        <v/>
      </c>
      <c r="AW359" s="525" t="str">
        <f>stat(calculs!AW359)</f>
        <v/>
      </c>
      <c r="AX359" s="525" t="str">
        <f>stat(calculs!AX359)</f>
        <v/>
      </c>
      <c r="AY359" s="525" t="e">
        <f ca="1">stat(calculs!AY359)</f>
        <v>#NAME?</v>
      </c>
      <c r="AZ359" s="525" t="e">
        <f ca="1">stat(calculs!AZ359)</f>
        <v>#NAME?</v>
      </c>
      <c r="BA359" s="525" t="e">
        <f ca="1">stat(calculs!BA359)</f>
        <v>#NAME?</v>
      </c>
      <c r="BB359" s="525" t="e">
        <f ca="1">stat(calculs!BB359)</f>
        <v>#NAME?</v>
      </c>
      <c r="BC359" s="525" t="e">
        <f ca="1">stat(calculs!BC359)</f>
        <v>#NAME?</v>
      </c>
      <c r="BD359" s="525" t="e">
        <f ca="1">stat(calculs!BD359)</f>
        <v>#NAME?</v>
      </c>
      <c r="BE359" s="525" t="e">
        <f ca="1">stat(calculs!BE359)</f>
        <v>#NAME?</v>
      </c>
      <c r="BF359" s="525" t="e">
        <f ca="1">stat(calculs!BF359)</f>
        <v>#NAME?</v>
      </c>
      <c r="BG359" s="729" t="e">
        <f ca="1">stat(calculs!BG359)</f>
        <v>#NAME?</v>
      </c>
      <c r="BH359" s="729" t="e">
        <f ca="1">stat(calculs!BH359)</f>
        <v>#NAME?</v>
      </c>
      <c r="BI359" s="729" t="e">
        <f ca="1">stat(calculs!BI359)</f>
        <v>#NAME?</v>
      </c>
      <c r="BJ359" s="729" t="e">
        <f ca="1">stat(calculs!BJ359)</f>
        <v>#NAME?</v>
      </c>
      <c r="BK359" s="729" t="e">
        <f ca="1">stat(calculs!BK359)</f>
        <v>#NAME?</v>
      </c>
      <c r="BL359" s="525" t="e">
        <f ca="1">stat(calculs!BL359)</f>
        <v>#NAME?</v>
      </c>
      <c r="BM359" s="525" t="e">
        <f ca="1">stat(calculs!BM359)</f>
        <v>#NAME?</v>
      </c>
      <c r="BN359" s="525" t="e">
        <f ca="1">stat(calculs!BN359)</f>
        <v>#NAME?</v>
      </c>
      <c r="BO359" s="525" t="e">
        <f ca="1">stat(calculs!BO359)</f>
        <v>#NAME?</v>
      </c>
      <c r="BP359" s="525" t="e">
        <f ca="1">stat(calculs!BP359)</f>
        <v>#NAME?</v>
      </c>
      <c r="BQ359" s="525" t="e">
        <f ca="1">stat(calculs!BQ359)</f>
        <v>#NAME?</v>
      </c>
      <c r="BR359" s="525" t="e">
        <f ca="1">stat(calculs!BR359)</f>
        <v>#NAME?</v>
      </c>
    </row>
    <row r="360" spans="1:70" x14ac:dyDescent="0.2">
      <c r="A360" s="222">
        <f>données_step[[#This Row],[Datum]]</f>
        <v>44911</v>
      </c>
      <c r="B360" s="223"/>
      <c r="C360" s="224">
        <f t="shared" si="5"/>
        <v>6</v>
      </c>
      <c r="D360" s="523" t="e">
        <f ca="1">stat(charge_entree[[#This Row],[ch_E_DBO5]])</f>
        <v>#NAME?</v>
      </c>
      <c r="E360" s="523" t="e">
        <f ca="1">stat(charge_entree[[#This Row],[ch_E_DCO]])</f>
        <v>#NAME?</v>
      </c>
      <c r="F360" s="523" t="e">
        <f ca="1">stat(charge_entree[[#This Row],[ch_E_COT]])</f>
        <v>#NAME?</v>
      </c>
      <c r="G360" s="523" t="e">
        <f ca="1">stat(charge_entree[[#This Row],[ch_E_NH4]])</f>
        <v>#NAME?</v>
      </c>
      <c r="H360" s="523" t="e">
        <f ca="1">stat(charge_entree[[#This Row],[ch_E_NTOT]])</f>
        <v>#NAME?</v>
      </c>
      <c r="I360" s="523" t="e">
        <f ca="1">stat(charge_entree[[#This Row],[ch_E_PTOT]])</f>
        <v>#NAME?</v>
      </c>
      <c r="J360" s="523" t="e">
        <f ca="1">stat(charge_entree[[#This Row],[ch_S_DBO]])</f>
        <v>#NAME?</v>
      </c>
      <c r="K360" s="523" t="e">
        <f ca="1">stat(charge_entree[[#This Row],[ch_S-DCO]])</f>
        <v>#NAME?</v>
      </c>
      <c r="L360" s="523" t="e">
        <f ca="1">stat(charge_entree[[#This Row],[ch_S_DOC]])</f>
        <v>#NAME?</v>
      </c>
      <c r="M360" s="523" t="e">
        <f ca="1">stat(charge_entree[[#This Row],[ch_S_NH4]])</f>
        <v>#NAME?</v>
      </c>
      <c r="N360" s="523" t="e">
        <f ca="1">stat(charge_entree[[#This Row],[ch_S_NO2]])</f>
        <v>#NAME?</v>
      </c>
      <c r="O360" s="523" t="e">
        <f ca="1">stat(charge_entree[[#This Row],[ch_S_NO3]])</f>
        <v>#NAME?</v>
      </c>
      <c r="P360" s="523" t="e">
        <f ca="1">stat(charge_entree[[#This Row],[ch_S_PTOT]])</f>
        <v>#NAME?</v>
      </c>
      <c r="Q360" s="523" t="e">
        <f ca="1">stat(charge_entree[[#This Row],[ch_S_SNDT]])</f>
        <v>#NAME?</v>
      </c>
      <c r="R360" s="523">
        <f>calculs!R360</f>
        <v>0</v>
      </c>
      <c r="S360" s="523" t="e">
        <f ca="1">stat(calculs!S360)</f>
        <v>#NAME?</v>
      </c>
      <c r="T360" s="523" t="e">
        <f ca="1">stat(calculs!T360)</f>
        <v>#NAME?</v>
      </c>
      <c r="U360" s="523" t="e">
        <f ca="1">stat(calculs!U360)</f>
        <v>#NAME?</v>
      </c>
      <c r="V360" s="523" t="e">
        <f ca="1">stat(calculs!V360)</f>
        <v>#NAME?</v>
      </c>
      <c r="W360" s="523" t="e">
        <f ca="1">stat(calculs!W360)</f>
        <v>#NAME?</v>
      </c>
      <c r="X360" s="523" t="e">
        <f ca="1">stat(calculs!X360)</f>
        <v>#NAME?</v>
      </c>
      <c r="Y360" s="523" t="e">
        <f ca="1">stat(calculs!Y360)</f>
        <v>#NAME?</v>
      </c>
      <c r="Z360" s="523" t="e">
        <f ca="1">stat(calculs!Z360)</f>
        <v>#NAME?</v>
      </c>
      <c r="AA360" s="523" t="e">
        <f ca="1">stat(calculs!AA360)</f>
        <v>#NAME?</v>
      </c>
      <c r="AB360" s="523" t="e">
        <f ca="1">stat(calculs!AB360)</f>
        <v>#NAME?</v>
      </c>
      <c r="AC360" s="523" t="e">
        <f ca="1">stat(calculs!AC360)</f>
        <v>#NAME?</v>
      </c>
      <c r="AD360" s="523" t="e">
        <f ca="1">stat(calculs!AD360)</f>
        <v>#NAME?</v>
      </c>
      <c r="AE360" s="523" t="e">
        <f ca="1">stat(calculs!AE360)</f>
        <v>#NAME?</v>
      </c>
      <c r="AF360" s="523" t="e">
        <f ca="1">stat(calculs!AF360)</f>
        <v>#NAME?</v>
      </c>
      <c r="AG360" s="523" t="e">
        <f ca="1">stat(calculs!AG360)</f>
        <v>#NAME?</v>
      </c>
      <c r="AH360" s="523" t="e">
        <f ca="1">stat(calculs!AH360)</f>
        <v>#NAME?</v>
      </c>
      <c r="AI360" s="523" t="e">
        <f ca="1">stat(calculs!AI360)</f>
        <v>#NAME?</v>
      </c>
      <c r="AJ360" s="523" t="e">
        <f ca="1">stat(calculs!AJ360)</f>
        <v>#NAME?</v>
      </c>
      <c r="AK360" s="523" t="e">
        <f ca="1">stat(calculs!AK360)</f>
        <v>#NAME?</v>
      </c>
      <c r="AL360" s="523" t="e">
        <f ca="1">stat(calculs!AL360)</f>
        <v>#NAME?</v>
      </c>
      <c r="AM360" s="523" t="e">
        <f ca="1">stat(calculs!AM360)</f>
        <v>#NAME?</v>
      </c>
      <c r="AN360" s="523" t="e">
        <f ca="1">stat(calculs!AN360)</f>
        <v>#NAME?</v>
      </c>
      <c r="AO360" s="523" t="e">
        <f ca="1">stat(calculs!AO360)</f>
        <v>#NAME?</v>
      </c>
      <c r="AP360" s="523" t="e">
        <f ca="1">stat(calculs!AP360)</f>
        <v>#NAME?</v>
      </c>
      <c r="AQ360" s="523" t="e">
        <f ca="1">stat(calculs!AQ360)</f>
        <v>#NAME?</v>
      </c>
      <c r="AV360" s="525" t="str">
        <f>stat(calculs!AV360)</f>
        <v/>
      </c>
      <c r="AW360" s="525" t="str">
        <f>stat(calculs!AW360)</f>
        <v/>
      </c>
      <c r="AX360" s="525" t="str">
        <f>stat(calculs!AX360)</f>
        <v/>
      </c>
      <c r="AY360" s="525" t="e">
        <f ca="1">stat(calculs!AY360)</f>
        <v>#NAME?</v>
      </c>
      <c r="AZ360" s="525" t="e">
        <f ca="1">stat(calculs!AZ360)</f>
        <v>#NAME?</v>
      </c>
      <c r="BA360" s="525" t="e">
        <f ca="1">stat(calculs!BA360)</f>
        <v>#NAME?</v>
      </c>
      <c r="BB360" s="525" t="e">
        <f ca="1">stat(calculs!BB360)</f>
        <v>#NAME?</v>
      </c>
      <c r="BC360" s="525" t="e">
        <f ca="1">stat(calculs!BC360)</f>
        <v>#NAME?</v>
      </c>
      <c r="BD360" s="525" t="e">
        <f ca="1">stat(calculs!BD360)</f>
        <v>#NAME?</v>
      </c>
      <c r="BE360" s="525" t="e">
        <f ca="1">stat(calculs!BE360)</f>
        <v>#NAME?</v>
      </c>
      <c r="BF360" s="525" t="e">
        <f ca="1">stat(calculs!BF360)</f>
        <v>#NAME?</v>
      </c>
      <c r="BG360" s="729" t="e">
        <f ca="1">stat(calculs!BG360)</f>
        <v>#NAME?</v>
      </c>
      <c r="BH360" s="729" t="e">
        <f ca="1">stat(calculs!BH360)</f>
        <v>#NAME?</v>
      </c>
      <c r="BI360" s="729" t="e">
        <f ca="1">stat(calculs!BI360)</f>
        <v>#NAME?</v>
      </c>
      <c r="BJ360" s="729" t="e">
        <f ca="1">stat(calculs!BJ360)</f>
        <v>#NAME?</v>
      </c>
      <c r="BK360" s="729" t="e">
        <f ca="1">stat(calculs!BK360)</f>
        <v>#NAME?</v>
      </c>
      <c r="BL360" s="525" t="e">
        <f ca="1">stat(calculs!BL360)</f>
        <v>#NAME?</v>
      </c>
      <c r="BM360" s="525" t="e">
        <f ca="1">stat(calculs!BM360)</f>
        <v>#NAME?</v>
      </c>
      <c r="BN360" s="525" t="e">
        <f ca="1">stat(calculs!BN360)</f>
        <v>#NAME?</v>
      </c>
      <c r="BO360" s="525" t="e">
        <f ca="1">stat(calculs!BO360)</f>
        <v>#NAME?</v>
      </c>
      <c r="BP360" s="525" t="e">
        <f ca="1">stat(calculs!BP360)</f>
        <v>#NAME?</v>
      </c>
      <c r="BQ360" s="525" t="e">
        <f ca="1">stat(calculs!BQ360)</f>
        <v>#NAME?</v>
      </c>
      <c r="BR360" s="525" t="e">
        <f ca="1">stat(calculs!BR360)</f>
        <v>#NAME?</v>
      </c>
    </row>
    <row r="361" spans="1:70" x14ac:dyDescent="0.2">
      <c r="A361" s="222">
        <f>données_step[[#This Row],[Datum]]</f>
        <v>44912</v>
      </c>
      <c r="B361" s="223"/>
      <c r="C361" s="224">
        <f t="shared" si="5"/>
        <v>7</v>
      </c>
      <c r="D361" s="523" t="e">
        <f ca="1">stat(charge_entree[[#This Row],[ch_E_DBO5]])</f>
        <v>#NAME?</v>
      </c>
      <c r="E361" s="523" t="e">
        <f ca="1">stat(charge_entree[[#This Row],[ch_E_DCO]])</f>
        <v>#NAME?</v>
      </c>
      <c r="F361" s="523" t="e">
        <f ca="1">stat(charge_entree[[#This Row],[ch_E_COT]])</f>
        <v>#NAME?</v>
      </c>
      <c r="G361" s="523" t="e">
        <f ca="1">stat(charge_entree[[#This Row],[ch_E_NH4]])</f>
        <v>#NAME?</v>
      </c>
      <c r="H361" s="523" t="e">
        <f ca="1">stat(charge_entree[[#This Row],[ch_E_NTOT]])</f>
        <v>#NAME?</v>
      </c>
      <c r="I361" s="523" t="e">
        <f ca="1">stat(charge_entree[[#This Row],[ch_E_PTOT]])</f>
        <v>#NAME?</v>
      </c>
      <c r="J361" s="523" t="e">
        <f ca="1">stat(charge_entree[[#This Row],[ch_S_DBO]])</f>
        <v>#NAME?</v>
      </c>
      <c r="K361" s="523" t="e">
        <f ca="1">stat(charge_entree[[#This Row],[ch_S-DCO]])</f>
        <v>#NAME?</v>
      </c>
      <c r="L361" s="523" t="e">
        <f ca="1">stat(charge_entree[[#This Row],[ch_S_DOC]])</f>
        <v>#NAME?</v>
      </c>
      <c r="M361" s="523" t="e">
        <f ca="1">stat(charge_entree[[#This Row],[ch_S_NH4]])</f>
        <v>#NAME?</v>
      </c>
      <c r="N361" s="523" t="e">
        <f ca="1">stat(charge_entree[[#This Row],[ch_S_NO2]])</f>
        <v>#NAME?</v>
      </c>
      <c r="O361" s="523" t="e">
        <f ca="1">stat(charge_entree[[#This Row],[ch_S_NO3]])</f>
        <v>#NAME?</v>
      </c>
      <c r="P361" s="523" t="e">
        <f ca="1">stat(charge_entree[[#This Row],[ch_S_PTOT]])</f>
        <v>#NAME?</v>
      </c>
      <c r="Q361" s="523" t="e">
        <f ca="1">stat(charge_entree[[#This Row],[ch_S_SNDT]])</f>
        <v>#NAME?</v>
      </c>
      <c r="R361" s="523">
        <f>calculs!R361</f>
        <v>0</v>
      </c>
      <c r="S361" s="523" t="e">
        <f ca="1">stat(calculs!S361)</f>
        <v>#NAME?</v>
      </c>
      <c r="T361" s="523" t="e">
        <f ca="1">stat(calculs!T361)</f>
        <v>#NAME?</v>
      </c>
      <c r="U361" s="523" t="e">
        <f ca="1">stat(calculs!U361)</f>
        <v>#NAME?</v>
      </c>
      <c r="V361" s="523" t="e">
        <f ca="1">stat(calculs!V361)</f>
        <v>#NAME?</v>
      </c>
      <c r="W361" s="523" t="e">
        <f ca="1">stat(calculs!W361)</f>
        <v>#NAME?</v>
      </c>
      <c r="X361" s="523" t="e">
        <f ca="1">stat(calculs!X361)</f>
        <v>#NAME?</v>
      </c>
      <c r="Y361" s="523" t="e">
        <f ca="1">stat(calculs!Y361)</f>
        <v>#NAME?</v>
      </c>
      <c r="Z361" s="523" t="e">
        <f ca="1">stat(calculs!Z361)</f>
        <v>#NAME?</v>
      </c>
      <c r="AA361" s="523" t="e">
        <f ca="1">stat(calculs!AA361)</f>
        <v>#NAME?</v>
      </c>
      <c r="AB361" s="523" t="e">
        <f ca="1">stat(calculs!AB361)</f>
        <v>#NAME?</v>
      </c>
      <c r="AC361" s="523" t="e">
        <f ca="1">stat(calculs!AC361)</f>
        <v>#NAME?</v>
      </c>
      <c r="AD361" s="523" t="e">
        <f ca="1">stat(calculs!AD361)</f>
        <v>#NAME?</v>
      </c>
      <c r="AE361" s="523" t="e">
        <f ca="1">stat(calculs!AE361)</f>
        <v>#NAME?</v>
      </c>
      <c r="AF361" s="523" t="e">
        <f ca="1">stat(calculs!AF361)</f>
        <v>#NAME?</v>
      </c>
      <c r="AG361" s="523" t="e">
        <f ca="1">stat(calculs!AG361)</f>
        <v>#NAME?</v>
      </c>
      <c r="AH361" s="523" t="e">
        <f ca="1">stat(calculs!AH361)</f>
        <v>#NAME?</v>
      </c>
      <c r="AI361" s="523" t="e">
        <f ca="1">stat(calculs!AI361)</f>
        <v>#NAME?</v>
      </c>
      <c r="AJ361" s="523" t="e">
        <f ca="1">stat(calculs!AJ361)</f>
        <v>#NAME?</v>
      </c>
      <c r="AK361" s="523" t="e">
        <f ca="1">stat(calculs!AK361)</f>
        <v>#NAME?</v>
      </c>
      <c r="AL361" s="523" t="e">
        <f ca="1">stat(calculs!AL361)</f>
        <v>#NAME?</v>
      </c>
      <c r="AM361" s="523" t="e">
        <f ca="1">stat(calculs!AM361)</f>
        <v>#NAME?</v>
      </c>
      <c r="AN361" s="523" t="e">
        <f ca="1">stat(calculs!AN361)</f>
        <v>#NAME?</v>
      </c>
      <c r="AO361" s="523" t="e">
        <f ca="1">stat(calculs!AO361)</f>
        <v>#NAME?</v>
      </c>
      <c r="AP361" s="523" t="e">
        <f ca="1">stat(calculs!AP361)</f>
        <v>#NAME?</v>
      </c>
      <c r="AQ361" s="523" t="e">
        <f ca="1">stat(calculs!AQ361)</f>
        <v>#NAME?</v>
      </c>
      <c r="AV361" s="525" t="str">
        <f>stat(calculs!AV361)</f>
        <v/>
      </c>
      <c r="AW361" s="525" t="str">
        <f>stat(calculs!AW361)</f>
        <v/>
      </c>
      <c r="AX361" s="525" t="str">
        <f>stat(calculs!AX361)</f>
        <v/>
      </c>
      <c r="AY361" s="525" t="e">
        <f ca="1">stat(calculs!AY361)</f>
        <v>#NAME?</v>
      </c>
      <c r="AZ361" s="525" t="e">
        <f ca="1">stat(calculs!AZ361)</f>
        <v>#NAME?</v>
      </c>
      <c r="BA361" s="525" t="e">
        <f ca="1">stat(calculs!BA361)</f>
        <v>#NAME?</v>
      </c>
      <c r="BB361" s="525" t="e">
        <f ca="1">stat(calculs!BB361)</f>
        <v>#NAME?</v>
      </c>
      <c r="BC361" s="525" t="e">
        <f ca="1">stat(calculs!BC361)</f>
        <v>#NAME?</v>
      </c>
      <c r="BD361" s="525" t="e">
        <f ca="1">stat(calculs!BD361)</f>
        <v>#NAME?</v>
      </c>
      <c r="BE361" s="525" t="e">
        <f ca="1">stat(calculs!BE361)</f>
        <v>#NAME?</v>
      </c>
      <c r="BF361" s="525" t="e">
        <f ca="1">stat(calculs!BF361)</f>
        <v>#NAME?</v>
      </c>
      <c r="BG361" s="729" t="e">
        <f ca="1">stat(calculs!BG361)</f>
        <v>#NAME?</v>
      </c>
      <c r="BH361" s="729" t="e">
        <f ca="1">stat(calculs!BH361)</f>
        <v>#NAME?</v>
      </c>
      <c r="BI361" s="729" t="e">
        <f ca="1">stat(calculs!BI361)</f>
        <v>#NAME?</v>
      </c>
      <c r="BJ361" s="729" t="e">
        <f ca="1">stat(calculs!BJ361)</f>
        <v>#NAME?</v>
      </c>
      <c r="BK361" s="729" t="e">
        <f ca="1">stat(calculs!BK361)</f>
        <v>#NAME?</v>
      </c>
      <c r="BL361" s="525" t="e">
        <f ca="1">stat(calculs!BL361)</f>
        <v>#NAME?</v>
      </c>
      <c r="BM361" s="525" t="e">
        <f ca="1">stat(calculs!BM361)</f>
        <v>#NAME?</v>
      </c>
      <c r="BN361" s="525" t="e">
        <f ca="1">stat(calculs!BN361)</f>
        <v>#NAME?</v>
      </c>
      <c r="BO361" s="525" t="e">
        <f ca="1">stat(calculs!BO361)</f>
        <v>#NAME?</v>
      </c>
      <c r="BP361" s="525" t="e">
        <f ca="1">stat(calculs!BP361)</f>
        <v>#NAME?</v>
      </c>
      <c r="BQ361" s="525" t="e">
        <f ca="1">stat(calculs!BQ361)</f>
        <v>#NAME?</v>
      </c>
      <c r="BR361" s="525" t="e">
        <f ca="1">stat(calculs!BR361)</f>
        <v>#NAME?</v>
      </c>
    </row>
    <row r="362" spans="1:70" x14ac:dyDescent="0.2">
      <c r="A362" s="222">
        <f>données_step[[#This Row],[Datum]]</f>
        <v>44913</v>
      </c>
      <c r="B362" s="223"/>
      <c r="C362" s="224">
        <f t="shared" si="5"/>
        <v>1</v>
      </c>
      <c r="D362" s="523" t="e">
        <f ca="1">stat(charge_entree[[#This Row],[ch_E_DBO5]])</f>
        <v>#NAME?</v>
      </c>
      <c r="E362" s="523" t="e">
        <f ca="1">stat(charge_entree[[#This Row],[ch_E_DCO]])</f>
        <v>#NAME?</v>
      </c>
      <c r="F362" s="523" t="e">
        <f ca="1">stat(charge_entree[[#This Row],[ch_E_COT]])</f>
        <v>#NAME?</v>
      </c>
      <c r="G362" s="523" t="e">
        <f ca="1">stat(charge_entree[[#This Row],[ch_E_NH4]])</f>
        <v>#NAME?</v>
      </c>
      <c r="H362" s="523" t="e">
        <f ca="1">stat(charge_entree[[#This Row],[ch_E_NTOT]])</f>
        <v>#NAME?</v>
      </c>
      <c r="I362" s="523" t="e">
        <f ca="1">stat(charge_entree[[#This Row],[ch_E_PTOT]])</f>
        <v>#NAME?</v>
      </c>
      <c r="J362" s="523" t="e">
        <f ca="1">stat(charge_entree[[#This Row],[ch_S_DBO]])</f>
        <v>#NAME?</v>
      </c>
      <c r="K362" s="523" t="e">
        <f ca="1">stat(charge_entree[[#This Row],[ch_S-DCO]])</f>
        <v>#NAME?</v>
      </c>
      <c r="L362" s="523" t="e">
        <f ca="1">stat(charge_entree[[#This Row],[ch_S_DOC]])</f>
        <v>#NAME?</v>
      </c>
      <c r="M362" s="523" t="e">
        <f ca="1">stat(charge_entree[[#This Row],[ch_S_NH4]])</f>
        <v>#NAME?</v>
      </c>
      <c r="N362" s="523" t="e">
        <f ca="1">stat(charge_entree[[#This Row],[ch_S_NO2]])</f>
        <v>#NAME?</v>
      </c>
      <c r="O362" s="523" t="e">
        <f ca="1">stat(charge_entree[[#This Row],[ch_S_NO3]])</f>
        <v>#NAME?</v>
      </c>
      <c r="P362" s="523" t="e">
        <f ca="1">stat(charge_entree[[#This Row],[ch_S_PTOT]])</f>
        <v>#NAME?</v>
      </c>
      <c r="Q362" s="523" t="e">
        <f ca="1">stat(charge_entree[[#This Row],[ch_S_SNDT]])</f>
        <v>#NAME?</v>
      </c>
      <c r="R362" s="523">
        <f>calculs!R362</f>
        <v>0</v>
      </c>
      <c r="S362" s="523" t="e">
        <f ca="1">stat(calculs!S362)</f>
        <v>#NAME?</v>
      </c>
      <c r="T362" s="523" t="e">
        <f ca="1">stat(calculs!T362)</f>
        <v>#NAME?</v>
      </c>
      <c r="U362" s="523" t="e">
        <f ca="1">stat(calculs!U362)</f>
        <v>#NAME?</v>
      </c>
      <c r="V362" s="523" t="e">
        <f ca="1">stat(calculs!V362)</f>
        <v>#NAME?</v>
      </c>
      <c r="W362" s="523" t="e">
        <f ca="1">stat(calculs!W362)</f>
        <v>#NAME?</v>
      </c>
      <c r="X362" s="523" t="e">
        <f ca="1">stat(calculs!X362)</f>
        <v>#NAME?</v>
      </c>
      <c r="Y362" s="523" t="e">
        <f ca="1">stat(calculs!Y362)</f>
        <v>#NAME?</v>
      </c>
      <c r="Z362" s="523" t="e">
        <f ca="1">stat(calculs!Z362)</f>
        <v>#NAME?</v>
      </c>
      <c r="AA362" s="523" t="e">
        <f ca="1">stat(calculs!AA362)</f>
        <v>#NAME?</v>
      </c>
      <c r="AB362" s="523" t="e">
        <f ca="1">stat(calculs!AB362)</f>
        <v>#NAME?</v>
      </c>
      <c r="AC362" s="523" t="e">
        <f ca="1">stat(calculs!AC362)</f>
        <v>#NAME?</v>
      </c>
      <c r="AD362" s="523" t="e">
        <f ca="1">stat(calculs!AD362)</f>
        <v>#NAME?</v>
      </c>
      <c r="AE362" s="523" t="e">
        <f ca="1">stat(calculs!AE362)</f>
        <v>#NAME?</v>
      </c>
      <c r="AF362" s="523" t="e">
        <f ca="1">stat(calculs!AF362)</f>
        <v>#NAME?</v>
      </c>
      <c r="AG362" s="523" t="e">
        <f ca="1">stat(calculs!AG362)</f>
        <v>#NAME?</v>
      </c>
      <c r="AH362" s="523" t="e">
        <f ca="1">stat(calculs!AH362)</f>
        <v>#NAME?</v>
      </c>
      <c r="AI362" s="523" t="e">
        <f ca="1">stat(calculs!AI362)</f>
        <v>#NAME?</v>
      </c>
      <c r="AJ362" s="523" t="e">
        <f ca="1">stat(calculs!AJ362)</f>
        <v>#NAME?</v>
      </c>
      <c r="AK362" s="523" t="e">
        <f ca="1">stat(calculs!AK362)</f>
        <v>#NAME?</v>
      </c>
      <c r="AL362" s="523" t="e">
        <f ca="1">stat(calculs!AL362)</f>
        <v>#NAME?</v>
      </c>
      <c r="AM362" s="523" t="e">
        <f ca="1">stat(calculs!AM362)</f>
        <v>#NAME?</v>
      </c>
      <c r="AN362" s="523" t="e">
        <f ca="1">stat(calculs!AN362)</f>
        <v>#NAME?</v>
      </c>
      <c r="AO362" s="523" t="e">
        <f ca="1">stat(calculs!AO362)</f>
        <v>#NAME?</v>
      </c>
      <c r="AP362" s="523" t="e">
        <f ca="1">stat(calculs!AP362)</f>
        <v>#NAME?</v>
      </c>
      <c r="AQ362" s="523" t="e">
        <f ca="1">stat(calculs!AQ362)</f>
        <v>#NAME?</v>
      </c>
      <c r="AV362" s="525" t="str">
        <f>stat(calculs!AV362)</f>
        <v/>
      </c>
      <c r="AW362" s="525" t="str">
        <f>stat(calculs!AW362)</f>
        <v/>
      </c>
      <c r="AX362" s="525" t="str">
        <f>stat(calculs!AX362)</f>
        <v/>
      </c>
      <c r="AY362" s="525" t="e">
        <f ca="1">stat(calculs!AY362)</f>
        <v>#NAME?</v>
      </c>
      <c r="AZ362" s="525" t="e">
        <f ca="1">stat(calculs!AZ362)</f>
        <v>#NAME?</v>
      </c>
      <c r="BA362" s="525" t="e">
        <f ca="1">stat(calculs!BA362)</f>
        <v>#NAME?</v>
      </c>
      <c r="BB362" s="525" t="e">
        <f ca="1">stat(calculs!BB362)</f>
        <v>#NAME?</v>
      </c>
      <c r="BC362" s="525" t="e">
        <f ca="1">stat(calculs!BC362)</f>
        <v>#NAME?</v>
      </c>
      <c r="BD362" s="525" t="e">
        <f ca="1">stat(calculs!BD362)</f>
        <v>#NAME?</v>
      </c>
      <c r="BE362" s="525" t="e">
        <f ca="1">stat(calculs!BE362)</f>
        <v>#NAME?</v>
      </c>
      <c r="BF362" s="525" t="e">
        <f ca="1">stat(calculs!BF362)</f>
        <v>#NAME?</v>
      </c>
      <c r="BG362" s="729" t="e">
        <f ca="1">stat(calculs!BG362)</f>
        <v>#NAME?</v>
      </c>
      <c r="BH362" s="729" t="e">
        <f ca="1">stat(calculs!BH362)</f>
        <v>#NAME?</v>
      </c>
      <c r="BI362" s="729" t="e">
        <f ca="1">stat(calculs!BI362)</f>
        <v>#NAME?</v>
      </c>
      <c r="BJ362" s="729" t="e">
        <f ca="1">stat(calculs!BJ362)</f>
        <v>#NAME?</v>
      </c>
      <c r="BK362" s="729" t="e">
        <f ca="1">stat(calculs!BK362)</f>
        <v>#NAME?</v>
      </c>
      <c r="BL362" s="525" t="e">
        <f ca="1">stat(calculs!BL362)</f>
        <v>#NAME?</v>
      </c>
      <c r="BM362" s="525" t="e">
        <f ca="1">stat(calculs!BM362)</f>
        <v>#NAME?</v>
      </c>
      <c r="BN362" s="525" t="e">
        <f ca="1">stat(calculs!BN362)</f>
        <v>#NAME?</v>
      </c>
      <c r="BO362" s="525" t="e">
        <f ca="1">stat(calculs!BO362)</f>
        <v>#NAME?</v>
      </c>
      <c r="BP362" s="525" t="e">
        <f ca="1">stat(calculs!BP362)</f>
        <v>#NAME?</v>
      </c>
      <c r="BQ362" s="525" t="e">
        <f ca="1">stat(calculs!BQ362)</f>
        <v>#NAME?</v>
      </c>
      <c r="BR362" s="525" t="e">
        <f ca="1">stat(calculs!BR362)</f>
        <v>#NAME?</v>
      </c>
    </row>
    <row r="363" spans="1:70" x14ac:dyDescent="0.2">
      <c r="A363" s="222">
        <f>données_step[[#This Row],[Datum]]</f>
        <v>44914</v>
      </c>
      <c r="B363" s="223"/>
      <c r="C363" s="224">
        <f t="shared" si="5"/>
        <v>2</v>
      </c>
      <c r="D363" s="523" t="e">
        <f ca="1">stat(charge_entree[[#This Row],[ch_E_DBO5]])</f>
        <v>#NAME?</v>
      </c>
      <c r="E363" s="523" t="e">
        <f ca="1">stat(charge_entree[[#This Row],[ch_E_DCO]])</f>
        <v>#NAME?</v>
      </c>
      <c r="F363" s="523" t="e">
        <f ca="1">stat(charge_entree[[#This Row],[ch_E_COT]])</f>
        <v>#NAME?</v>
      </c>
      <c r="G363" s="523" t="e">
        <f ca="1">stat(charge_entree[[#This Row],[ch_E_NH4]])</f>
        <v>#NAME?</v>
      </c>
      <c r="H363" s="523" t="e">
        <f ca="1">stat(charge_entree[[#This Row],[ch_E_NTOT]])</f>
        <v>#NAME?</v>
      </c>
      <c r="I363" s="523" t="e">
        <f ca="1">stat(charge_entree[[#This Row],[ch_E_PTOT]])</f>
        <v>#NAME?</v>
      </c>
      <c r="J363" s="523" t="e">
        <f ca="1">stat(charge_entree[[#This Row],[ch_S_DBO]])</f>
        <v>#NAME?</v>
      </c>
      <c r="K363" s="523" t="e">
        <f ca="1">stat(charge_entree[[#This Row],[ch_S-DCO]])</f>
        <v>#NAME?</v>
      </c>
      <c r="L363" s="523" t="e">
        <f ca="1">stat(charge_entree[[#This Row],[ch_S_DOC]])</f>
        <v>#NAME?</v>
      </c>
      <c r="M363" s="523" t="e">
        <f ca="1">stat(charge_entree[[#This Row],[ch_S_NH4]])</f>
        <v>#NAME?</v>
      </c>
      <c r="N363" s="523" t="e">
        <f ca="1">stat(charge_entree[[#This Row],[ch_S_NO2]])</f>
        <v>#NAME?</v>
      </c>
      <c r="O363" s="523" t="e">
        <f ca="1">stat(charge_entree[[#This Row],[ch_S_NO3]])</f>
        <v>#NAME?</v>
      </c>
      <c r="P363" s="523" t="e">
        <f ca="1">stat(charge_entree[[#This Row],[ch_S_PTOT]])</f>
        <v>#NAME?</v>
      </c>
      <c r="Q363" s="523" t="e">
        <f ca="1">stat(charge_entree[[#This Row],[ch_S_SNDT]])</f>
        <v>#NAME?</v>
      </c>
      <c r="R363" s="523">
        <f>calculs!R363</f>
        <v>0</v>
      </c>
      <c r="S363" s="523" t="e">
        <f ca="1">stat(calculs!S363)</f>
        <v>#NAME?</v>
      </c>
      <c r="T363" s="523" t="e">
        <f ca="1">stat(calculs!T363)</f>
        <v>#NAME?</v>
      </c>
      <c r="U363" s="523" t="e">
        <f ca="1">stat(calculs!U363)</f>
        <v>#NAME?</v>
      </c>
      <c r="V363" s="523" t="e">
        <f ca="1">stat(calculs!V363)</f>
        <v>#NAME?</v>
      </c>
      <c r="W363" s="523" t="e">
        <f ca="1">stat(calculs!W363)</f>
        <v>#NAME?</v>
      </c>
      <c r="X363" s="523" t="e">
        <f ca="1">stat(calculs!X363)</f>
        <v>#NAME?</v>
      </c>
      <c r="Y363" s="523" t="e">
        <f ca="1">stat(calculs!Y363)</f>
        <v>#NAME?</v>
      </c>
      <c r="Z363" s="523" t="e">
        <f ca="1">stat(calculs!Z363)</f>
        <v>#NAME?</v>
      </c>
      <c r="AA363" s="523" t="e">
        <f ca="1">stat(calculs!AA363)</f>
        <v>#NAME?</v>
      </c>
      <c r="AB363" s="523" t="e">
        <f ca="1">stat(calculs!AB363)</f>
        <v>#NAME?</v>
      </c>
      <c r="AC363" s="523" t="e">
        <f ca="1">stat(calculs!AC363)</f>
        <v>#NAME?</v>
      </c>
      <c r="AD363" s="523" t="e">
        <f ca="1">stat(calculs!AD363)</f>
        <v>#NAME?</v>
      </c>
      <c r="AE363" s="523" t="e">
        <f ca="1">stat(calculs!AE363)</f>
        <v>#NAME?</v>
      </c>
      <c r="AF363" s="523" t="e">
        <f ca="1">stat(calculs!AF363)</f>
        <v>#NAME?</v>
      </c>
      <c r="AG363" s="523" t="e">
        <f ca="1">stat(calculs!AG363)</f>
        <v>#NAME?</v>
      </c>
      <c r="AH363" s="523" t="e">
        <f ca="1">stat(calculs!AH363)</f>
        <v>#NAME?</v>
      </c>
      <c r="AI363" s="523" t="e">
        <f ca="1">stat(calculs!AI363)</f>
        <v>#NAME?</v>
      </c>
      <c r="AJ363" s="523" t="e">
        <f ca="1">stat(calculs!AJ363)</f>
        <v>#NAME?</v>
      </c>
      <c r="AK363" s="523" t="e">
        <f ca="1">stat(calculs!AK363)</f>
        <v>#NAME?</v>
      </c>
      <c r="AL363" s="523" t="e">
        <f ca="1">stat(calculs!AL363)</f>
        <v>#NAME?</v>
      </c>
      <c r="AM363" s="523" t="e">
        <f ca="1">stat(calculs!AM363)</f>
        <v>#NAME?</v>
      </c>
      <c r="AN363" s="523" t="e">
        <f ca="1">stat(calculs!AN363)</f>
        <v>#NAME?</v>
      </c>
      <c r="AO363" s="523" t="e">
        <f ca="1">stat(calculs!AO363)</f>
        <v>#NAME?</v>
      </c>
      <c r="AP363" s="523" t="e">
        <f ca="1">stat(calculs!AP363)</f>
        <v>#NAME?</v>
      </c>
      <c r="AQ363" s="523" t="e">
        <f ca="1">stat(calculs!AQ363)</f>
        <v>#NAME?</v>
      </c>
      <c r="AV363" s="525" t="str">
        <f>stat(calculs!AV363)</f>
        <v/>
      </c>
      <c r="AW363" s="525" t="str">
        <f>stat(calculs!AW363)</f>
        <v/>
      </c>
      <c r="AX363" s="525" t="str">
        <f>stat(calculs!AX363)</f>
        <v/>
      </c>
      <c r="AY363" s="525" t="e">
        <f ca="1">stat(calculs!AY363)</f>
        <v>#NAME?</v>
      </c>
      <c r="AZ363" s="525" t="e">
        <f ca="1">stat(calculs!AZ363)</f>
        <v>#NAME?</v>
      </c>
      <c r="BA363" s="525" t="e">
        <f ca="1">stat(calculs!BA363)</f>
        <v>#NAME?</v>
      </c>
      <c r="BB363" s="525" t="e">
        <f ca="1">stat(calculs!BB363)</f>
        <v>#NAME?</v>
      </c>
      <c r="BC363" s="525" t="e">
        <f ca="1">stat(calculs!BC363)</f>
        <v>#NAME?</v>
      </c>
      <c r="BD363" s="525" t="e">
        <f ca="1">stat(calculs!BD363)</f>
        <v>#NAME?</v>
      </c>
      <c r="BE363" s="525" t="e">
        <f ca="1">stat(calculs!BE363)</f>
        <v>#NAME?</v>
      </c>
      <c r="BF363" s="525" t="e">
        <f ca="1">stat(calculs!BF363)</f>
        <v>#NAME?</v>
      </c>
      <c r="BG363" s="729" t="e">
        <f ca="1">stat(calculs!BG363)</f>
        <v>#NAME?</v>
      </c>
      <c r="BH363" s="729" t="e">
        <f ca="1">stat(calculs!BH363)</f>
        <v>#NAME?</v>
      </c>
      <c r="BI363" s="729" t="e">
        <f ca="1">stat(calculs!BI363)</f>
        <v>#NAME?</v>
      </c>
      <c r="BJ363" s="729" t="e">
        <f ca="1">stat(calculs!BJ363)</f>
        <v>#NAME?</v>
      </c>
      <c r="BK363" s="729" t="e">
        <f ca="1">stat(calculs!BK363)</f>
        <v>#NAME?</v>
      </c>
      <c r="BL363" s="525" t="e">
        <f ca="1">stat(calculs!BL363)</f>
        <v>#NAME?</v>
      </c>
      <c r="BM363" s="525" t="e">
        <f ca="1">stat(calculs!BM363)</f>
        <v>#NAME?</v>
      </c>
      <c r="BN363" s="525" t="e">
        <f ca="1">stat(calculs!BN363)</f>
        <v>#NAME?</v>
      </c>
      <c r="BO363" s="525" t="e">
        <f ca="1">stat(calculs!BO363)</f>
        <v>#NAME?</v>
      </c>
      <c r="BP363" s="525" t="e">
        <f ca="1">stat(calculs!BP363)</f>
        <v>#NAME?</v>
      </c>
      <c r="BQ363" s="525" t="e">
        <f ca="1">stat(calculs!BQ363)</f>
        <v>#NAME?</v>
      </c>
      <c r="BR363" s="525" t="e">
        <f ca="1">stat(calculs!BR363)</f>
        <v>#NAME?</v>
      </c>
    </row>
    <row r="364" spans="1:70" x14ac:dyDescent="0.2">
      <c r="A364" s="222">
        <f>données_step[[#This Row],[Datum]]</f>
        <v>44915</v>
      </c>
      <c r="B364" s="223"/>
      <c r="C364" s="224">
        <f t="shared" si="5"/>
        <v>3</v>
      </c>
      <c r="D364" s="523" t="e">
        <f ca="1">stat(charge_entree[[#This Row],[ch_E_DBO5]])</f>
        <v>#NAME?</v>
      </c>
      <c r="E364" s="523" t="e">
        <f ca="1">stat(charge_entree[[#This Row],[ch_E_DCO]])</f>
        <v>#NAME?</v>
      </c>
      <c r="F364" s="523" t="e">
        <f ca="1">stat(charge_entree[[#This Row],[ch_E_COT]])</f>
        <v>#NAME?</v>
      </c>
      <c r="G364" s="523" t="e">
        <f ca="1">stat(charge_entree[[#This Row],[ch_E_NH4]])</f>
        <v>#NAME?</v>
      </c>
      <c r="H364" s="523" t="e">
        <f ca="1">stat(charge_entree[[#This Row],[ch_E_NTOT]])</f>
        <v>#NAME?</v>
      </c>
      <c r="I364" s="523" t="e">
        <f ca="1">stat(charge_entree[[#This Row],[ch_E_PTOT]])</f>
        <v>#NAME?</v>
      </c>
      <c r="J364" s="523" t="e">
        <f ca="1">stat(charge_entree[[#This Row],[ch_S_DBO]])</f>
        <v>#NAME?</v>
      </c>
      <c r="K364" s="523" t="e">
        <f ca="1">stat(charge_entree[[#This Row],[ch_S-DCO]])</f>
        <v>#NAME?</v>
      </c>
      <c r="L364" s="523" t="e">
        <f ca="1">stat(charge_entree[[#This Row],[ch_S_DOC]])</f>
        <v>#NAME?</v>
      </c>
      <c r="M364" s="523" t="e">
        <f ca="1">stat(charge_entree[[#This Row],[ch_S_NH4]])</f>
        <v>#NAME?</v>
      </c>
      <c r="N364" s="523" t="e">
        <f ca="1">stat(charge_entree[[#This Row],[ch_S_NO2]])</f>
        <v>#NAME?</v>
      </c>
      <c r="O364" s="523" t="e">
        <f ca="1">stat(charge_entree[[#This Row],[ch_S_NO3]])</f>
        <v>#NAME?</v>
      </c>
      <c r="P364" s="523" t="e">
        <f ca="1">stat(charge_entree[[#This Row],[ch_S_PTOT]])</f>
        <v>#NAME?</v>
      </c>
      <c r="Q364" s="523" t="e">
        <f ca="1">stat(charge_entree[[#This Row],[ch_S_SNDT]])</f>
        <v>#NAME?</v>
      </c>
      <c r="R364" s="523">
        <f>calculs!R364</f>
        <v>0</v>
      </c>
      <c r="S364" s="523" t="e">
        <f ca="1">stat(calculs!S364)</f>
        <v>#NAME?</v>
      </c>
      <c r="T364" s="523" t="e">
        <f ca="1">stat(calculs!T364)</f>
        <v>#NAME?</v>
      </c>
      <c r="U364" s="523" t="e">
        <f ca="1">stat(calculs!U364)</f>
        <v>#NAME?</v>
      </c>
      <c r="V364" s="523" t="e">
        <f ca="1">stat(calculs!V364)</f>
        <v>#NAME?</v>
      </c>
      <c r="W364" s="523" t="e">
        <f ca="1">stat(calculs!W364)</f>
        <v>#NAME?</v>
      </c>
      <c r="X364" s="523" t="e">
        <f ca="1">stat(calculs!X364)</f>
        <v>#NAME?</v>
      </c>
      <c r="Y364" s="523" t="e">
        <f ca="1">stat(calculs!Y364)</f>
        <v>#NAME?</v>
      </c>
      <c r="Z364" s="523" t="e">
        <f ca="1">stat(calculs!Z364)</f>
        <v>#NAME?</v>
      </c>
      <c r="AA364" s="523" t="e">
        <f ca="1">stat(calculs!AA364)</f>
        <v>#NAME?</v>
      </c>
      <c r="AB364" s="523" t="e">
        <f ca="1">stat(calculs!AB364)</f>
        <v>#NAME?</v>
      </c>
      <c r="AC364" s="523" t="e">
        <f ca="1">stat(calculs!AC364)</f>
        <v>#NAME?</v>
      </c>
      <c r="AD364" s="523" t="e">
        <f ca="1">stat(calculs!AD364)</f>
        <v>#NAME?</v>
      </c>
      <c r="AE364" s="523" t="e">
        <f ca="1">stat(calculs!AE364)</f>
        <v>#NAME?</v>
      </c>
      <c r="AF364" s="523" t="e">
        <f ca="1">stat(calculs!AF364)</f>
        <v>#NAME?</v>
      </c>
      <c r="AG364" s="523" t="e">
        <f ca="1">stat(calculs!AG364)</f>
        <v>#NAME?</v>
      </c>
      <c r="AH364" s="523" t="e">
        <f ca="1">stat(calculs!AH364)</f>
        <v>#NAME?</v>
      </c>
      <c r="AI364" s="523" t="e">
        <f ca="1">stat(calculs!AI364)</f>
        <v>#NAME?</v>
      </c>
      <c r="AJ364" s="523" t="e">
        <f ca="1">stat(calculs!AJ364)</f>
        <v>#NAME?</v>
      </c>
      <c r="AK364" s="523" t="e">
        <f ca="1">stat(calculs!AK364)</f>
        <v>#NAME?</v>
      </c>
      <c r="AL364" s="523" t="e">
        <f ca="1">stat(calculs!AL364)</f>
        <v>#NAME?</v>
      </c>
      <c r="AM364" s="523" t="e">
        <f ca="1">stat(calculs!AM364)</f>
        <v>#NAME?</v>
      </c>
      <c r="AN364" s="523" t="e">
        <f ca="1">stat(calculs!AN364)</f>
        <v>#NAME?</v>
      </c>
      <c r="AO364" s="523" t="e">
        <f ca="1">stat(calculs!AO364)</f>
        <v>#NAME?</v>
      </c>
      <c r="AP364" s="523" t="e">
        <f ca="1">stat(calculs!AP364)</f>
        <v>#NAME?</v>
      </c>
      <c r="AQ364" s="523" t="e">
        <f ca="1">stat(calculs!AQ364)</f>
        <v>#NAME?</v>
      </c>
      <c r="AV364" s="525" t="str">
        <f>stat(calculs!AV364)</f>
        <v/>
      </c>
      <c r="AW364" s="525" t="str">
        <f>stat(calculs!AW364)</f>
        <v/>
      </c>
      <c r="AX364" s="525" t="str">
        <f>stat(calculs!AX364)</f>
        <v/>
      </c>
      <c r="AY364" s="525" t="e">
        <f ca="1">stat(calculs!AY364)</f>
        <v>#NAME?</v>
      </c>
      <c r="AZ364" s="525" t="e">
        <f ca="1">stat(calculs!AZ364)</f>
        <v>#NAME?</v>
      </c>
      <c r="BA364" s="525" t="e">
        <f ca="1">stat(calculs!BA364)</f>
        <v>#NAME?</v>
      </c>
      <c r="BB364" s="525" t="e">
        <f ca="1">stat(calculs!BB364)</f>
        <v>#NAME?</v>
      </c>
      <c r="BC364" s="525" t="e">
        <f ca="1">stat(calculs!BC364)</f>
        <v>#NAME?</v>
      </c>
      <c r="BD364" s="525" t="e">
        <f ca="1">stat(calculs!BD364)</f>
        <v>#NAME?</v>
      </c>
      <c r="BE364" s="525" t="e">
        <f ca="1">stat(calculs!BE364)</f>
        <v>#NAME?</v>
      </c>
      <c r="BF364" s="525" t="e">
        <f ca="1">stat(calculs!BF364)</f>
        <v>#NAME?</v>
      </c>
      <c r="BG364" s="729" t="e">
        <f ca="1">stat(calculs!BG364)</f>
        <v>#NAME?</v>
      </c>
      <c r="BH364" s="729" t="e">
        <f ca="1">stat(calculs!BH364)</f>
        <v>#NAME?</v>
      </c>
      <c r="BI364" s="729" t="e">
        <f ca="1">stat(calculs!BI364)</f>
        <v>#NAME?</v>
      </c>
      <c r="BJ364" s="729" t="e">
        <f ca="1">stat(calculs!BJ364)</f>
        <v>#NAME?</v>
      </c>
      <c r="BK364" s="729" t="e">
        <f ca="1">stat(calculs!BK364)</f>
        <v>#NAME?</v>
      </c>
      <c r="BL364" s="525" t="e">
        <f ca="1">stat(calculs!BL364)</f>
        <v>#NAME?</v>
      </c>
      <c r="BM364" s="525" t="e">
        <f ca="1">stat(calculs!BM364)</f>
        <v>#NAME?</v>
      </c>
      <c r="BN364" s="525" t="e">
        <f ca="1">stat(calculs!BN364)</f>
        <v>#NAME?</v>
      </c>
      <c r="BO364" s="525" t="e">
        <f ca="1">stat(calculs!BO364)</f>
        <v>#NAME?</v>
      </c>
      <c r="BP364" s="525" t="e">
        <f ca="1">stat(calculs!BP364)</f>
        <v>#NAME?</v>
      </c>
      <c r="BQ364" s="525" t="e">
        <f ca="1">stat(calculs!BQ364)</f>
        <v>#NAME?</v>
      </c>
      <c r="BR364" s="525" t="e">
        <f ca="1">stat(calculs!BR364)</f>
        <v>#NAME?</v>
      </c>
    </row>
    <row r="365" spans="1:70" x14ac:dyDescent="0.2">
      <c r="A365" s="222">
        <f>données_step[[#This Row],[Datum]]</f>
        <v>44916</v>
      </c>
      <c r="B365" s="223"/>
      <c r="C365" s="224">
        <f t="shared" si="5"/>
        <v>4</v>
      </c>
      <c r="D365" s="523" t="e">
        <f ca="1">stat(charge_entree[[#This Row],[ch_E_DBO5]])</f>
        <v>#NAME?</v>
      </c>
      <c r="E365" s="523" t="e">
        <f ca="1">stat(charge_entree[[#This Row],[ch_E_DCO]])</f>
        <v>#NAME?</v>
      </c>
      <c r="F365" s="523" t="e">
        <f ca="1">stat(charge_entree[[#This Row],[ch_E_COT]])</f>
        <v>#NAME?</v>
      </c>
      <c r="G365" s="523" t="e">
        <f ca="1">stat(charge_entree[[#This Row],[ch_E_NH4]])</f>
        <v>#NAME?</v>
      </c>
      <c r="H365" s="523" t="e">
        <f ca="1">stat(charge_entree[[#This Row],[ch_E_NTOT]])</f>
        <v>#NAME?</v>
      </c>
      <c r="I365" s="523" t="e">
        <f ca="1">stat(charge_entree[[#This Row],[ch_E_PTOT]])</f>
        <v>#NAME?</v>
      </c>
      <c r="J365" s="523" t="e">
        <f ca="1">stat(charge_entree[[#This Row],[ch_S_DBO]])</f>
        <v>#NAME?</v>
      </c>
      <c r="K365" s="523" t="e">
        <f ca="1">stat(charge_entree[[#This Row],[ch_S-DCO]])</f>
        <v>#NAME?</v>
      </c>
      <c r="L365" s="523" t="e">
        <f ca="1">stat(charge_entree[[#This Row],[ch_S_DOC]])</f>
        <v>#NAME?</v>
      </c>
      <c r="M365" s="523" t="e">
        <f ca="1">stat(charge_entree[[#This Row],[ch_S_NH4]])</f>
        <v>#NAME?</v>
      </c>
      <c r="N365" s="523" t="e">
        <f ca="1">stat(charge_entree[[#This Row],[ch_S_NO2]])</f>
        <v>#NAME?</v>
      </c>
      <c r="O365" s="523" t="e">
        <f ca="1">stat(charge_entree[[#This Row],[ch_S_NO3]])</f>
        <v>#NAME?</v>
      </c>
      <c r="P365" s="523" t="e">
        <f ca="1">stat(charge_entree[[#This Row],[ch_S_PTOT]])</f>
        <v>#NAME?</v>
      </c>
      <c r="Q365" s="523" t="e">
        <f ca="1">stat(charge_entree[[#This Row],[ch_S_SNDT]])</f>
        <v>#NAME?</v>
      </c>
      <c r="R365" s="523">
        <f>calculs!R365</f>
        <v>0</v>
      </c>
      <c r="S365" s="523" t="e">
        <f ca="1">stat(calculs!S365)</f>
        <v>#NAME?</v>
      </c>
      <c r="T365" s="523" t="e">
        <f ca="1">stat(calculs!T365)</f>
        <v>#NAME?</v>
      </c>
      <c r="U365" s="523" t="e">
        <f ca="1">stat(calculs!U365)</f>
        <v>#NAME?</v>
      </c>
      <c r="V365" s="523" t="e">
        <f ca="1">stat(calculs!V365)</f>
        <v>#NAME?</v>
      </c>
      <c r="W365" s="523" t="e">
        <f ca="1">stat(calculs!W365)</f>
        <v>#NAME?</v>
      </c>
      <c r="X365" s="523" t="e">
        <f ca="1">stat(calculs!X365)</f>
        <v>#NAME?</v>
      </c>
      <c r="Y365" s="523" t="e">
        <f ca="1">stat(calculs!Y365)</f>
        <v>#NAME?</v>
      </c>
      <c r="Z365" s="523" t="e">
        <f ca="1">stat(calculs!Z365)</f>
        <v>#NAME?</v>
      </c>
      <c r="AA365" s="523" t="e">
        <f ca="1">stat(calculs!AA365)</f>
        <v>#NAME?</v>
      </c>
      <c r="AB365" s="523" t="e">
        <f ca="1">stat(calculs!AB365)</f>
        <v>#NAME?</v>
      </c>
      <c r="AC365" s="523" t="e">
        <f ca="1">stat(calculs!AC365)</f>
        <v>#NAME?</v>
      </c>
      <c r="AD365" s="523" t="e">
        <f ca="1">stat(calculs!AD365)</f>
        <v>#NAME?</v>
      </c>
      <c r="AE365" s="523" t="e">
        <f ca="1">stat(calculs!AE365)</f>
        <v>#NAME?</v>
      </c>
      <c r="AF365" s="523" t="e">
        <f ca="1">stat(calculs!AF365)</f>
        <v>#NAME?</v>
      </c>
      <c r="AG365" s="523" t="e">
        <f ca="1">stat(calculs!AG365)</f>
        <v>#NAME?</v>
      </c>
      <c r="AH365" s="523" t="e">
        <f ca="1">stat(calculs!AH365)</f>
        <v>#NAME?</v>
      </c>
      <c r="AI365" s="523" t="e">
        <f ca="1">stat(calculs!AI365)</f>
        <v>#NAME?</v>
      </c>
      <c r="AJ365" s="523" t="e">
        <f ca="1">stat(calculs!AJ365)</f>
        <v>#NAME?</v>
      </c>
      <c r="AK365" s="523" t="e">
        <f ca="1">stat(calculs!AK365)</f>
        <v>#NAME?</v>
      </c>
      <c r="AL365" s="523" t="e">
        <f ca="1">stat(calculs!AL365)</f>
        <v>#NAME?</v>
      </c>
      <c r="AM365" s="523" t="e">
        <f ca="1">stat(calculs!AM365)</f>
        <v>#NAME?</v>
      </c>
      <c r="AN365" s="523" t="e">
        <f ca="1">stat(calculs!AN365)</f>
        <v>#NAME?</v>
      </c>
      <c r="AO365" s="523" t="e">
        <f ca="1">stat(calculs!AO365)</f>
        <v>#NAME?</v>
      </c>
      <c r="AP365" s="523" t="e">
        <f ca="1">stat(calculs!AP365)</f>
        <v>#NAME?</v>
      </c>
      <c r="AQ365" s="523" t="e">
        <f ca="1">stat(calculs!AQ365)</f>
        <v>#NAME?</v>
      </c>
      <c r="AV365" s="525" t="str">
        <f>stat(calculs!AV365)</f>
        <v/>
      </c>
      <c r="AW365" s="525" t="str">
        <f>stat(calculs!AW365)</f>
        <v/>
      </c>
      <c r="AX365" s="525" t="str">
        <f>stat(calculs!AX365)</f>
        <v/>
      </c>
      <c r="AY365" s="525" t="e">
        <f ca="1">stat(calculs!AY365)</f>
        <v>#NAME?</v>
      </c>
      <c r="AZ365" s="525" t="e">
        <f ca="1">stat(calculs!AZ365)</f>
        <v>#NAME?</v>
      </c>
      <c r="BA365" s="525" t="e">
        <f ca="1">stat(calculs!BA365)</f>
        <v>#NAME?</v>
      </c>
      <c r="BB365" s="525" t="e">
        <f ca="1">stat(calculs!BB365)</f>
        <v>#NAME?</v>
      </c>
      <c r="BC365" s="525" t="e">
        <f ca="1">stat(calculs!BC365)</f>
        <v>#NAME?</v>
      </c>
      <c r="BD365" s="525" t="e">
        <f ca="1">stat(calculs!BD365)</f>
        <v>#NAME?</v>
      </c>
      <c r="BE365" s="525" t="e">
        <f ca="1">stat(calculs!BE365)</f>
        <v>#NAME?</v>
      </c>
      <c r="BF365" s="525" t="e">
        <f ca="1">stat(calculs!BF365)</f>
        <v>#NAME?</v>
      </c>
      <c r="BG365" s="729" t="e">
        <f ca="1">stat(calculs!BG365)</f>
        <v>#NAME?</v>
      </c>
      <c r="BH365" s="729" t="e">
        <f ca="1">stat(calculs!BH365)</f>
        <v>#NAME?</v>
      </c>
      <c r="BI365" s="729" t="e">
        <f ca="1">stat(calculs!BI365)</f>
        <v>#NAME?</v>
      </c>
      <c r="BJ365" s="729" t="e">
        <f ca="1">stat(calculs!BJ365)</f>
        <v>#NAME?</v>
      </c>
      <c r="BK365" s="729" t="e">
        <f ca="1">stat(calculs!BK365)</f>
        <v>#NAME?</v>
      </c>
      <c r="BL365" s="525" t="e">
        <f ca="1">stat(calculs!BL365)</f>
        <v>#NAME?</v>
      </c>
      <c r="BM365" s="525" t="e">
        <f ca="1">stat(calculs!BM365)</f>
        <v>#NAME?</v>
      </c>
      <c r="BN365" s="525" t="e">
        <f ca="1">stat(calculs!BN365)</f>
        <v>#NAME?</v>
      </c>
      <c r="BO365" s="525" t="e">
        <f ca="1">stat(calculs!BO365)</f>
        <v>#NAME?</v>
      </c>
      <c r="BP365" s="525" t="e">
        <f ca="1">stat(calculs!BP365)</f>
        <v>#NAME?</v>
      </c>
      <c r="BQ365" s="525" t="e">
        <f ca="1">stat(calculs!BQ365)</f>
        <v>#NAME?</v>
      </c>
      <c r="BR365" s="525" t="e">
        <f ca="1">stat(calculs!BR365)</f>
        <v>#NAME?</v>
      </c>
    </row>
    <row r="366" spans="1:70" x14ac:dyDescent="0.2">
      <c r="A366" s="222">
        <f>données_step[[#This Row],[Datum]]</f>
        <v>44917</v>
      </c>
      <c r="B366" s="223"/>
      <c r="C366" s="224">
        <f t="shared" si="5"/>
        <v>5</v>
      </c>
      <c r="D366" s="523" t="e">
        <f ca="1">stat(charge_entree[[#This Row],[ch_E_DBO5]])</f>
        <v>#NAME?</v>
      </c>
      <c r="E366" s="523" t="e">
        <f ca="1">stat(charge_entree[[#This Row],[ch_E_DCO]])</f>
        <v>#NAME?</v>
      </c>
      <c r="F366" s="523" t="e">
        <f ca="1">stat(charge_entree[[#This Row],[ch_E_COT]])</f>
        <v>#NAME?</v>
      </c>
      <c r="G366" s="523" t="e">
        <f ca="1">stat(charge_entree[[#This Row],[ch_E_NH4]])</f>
        <v>#NAME?</v>
      </c>
      <c r="H366" s="523" t="e">
        <f ca="1">stat(charge_entree[[#This Row],[ch_E_NTOT]])</f>
        <v>#NAME?</v>
      </c>
      <c r="I366" s="523" t="e">
        <f ca="1">stat(charge_entree[[#This Row],[ch_E_PTOT]])</f>
        <v>#NAME?</v>
      </c>
      <c r="J366" s="523" t="e">
        <f ca="1">stat(charge_entree[[#This Row],[ch_S_DBO]])</f>
        <v>#NAME?</v>
      </c>
      <c r="K366" s="523" t="e">
        <f ca="1">stat(charge_entree[[#This Row],[ch_S-DCO]])</f>
        <v>#NAME?</v>
      </c>
      <c r="L366" s="523" t="e">
        <f ca="1">stat(charge_entree[[#This Row],[ch_S_DOC]])</f>
        <v>#NAME?</v>
      </c>
      <c r="M366" s="523" t="e">
        <f ca="1">stat(charge_entree[[#This Row],[ch_S_NH4]])</f>
        <v>#NAME?</v>
      </c>
      <c r="N366" s="523" t="e">
        <f ca="1">stat(charge_entree[[#This Row],[ch_S_NO2]])</f>
        <v>#NAME?</v>
      </c>
      <c r="O366" s="523" t="e">
        <f ca="1">stat(charge_entree[[#This Row],[ch_S_NO3]])</f>
        <v>#NAME?</v>
      </c>
      <c r="P366" s="523" t="e">
        <f ca="1">stat(charge_entree[[#This Row],[ch_S_PTOT]])</f>
        <v>#NAME?</v>
      </c>
      <c r="Q366" s="523" t="e">
        <f ca="1">stat(charge_entree[[#This Row],[ch_S_SNDT]])</f>
        <v>#NAME?</v>
      </c>
      <c r="R366" s="523">
        <f>calculs!R366</f>
        <v>0</v>
      </c>
      <c r="S366" s="523" t="e">
        <f ca="1">stat(calculs!S366)</f>
        <v>#NAME?</v>
      </c>
      <c r="T366" s="523" t="e">
        <f ca="1">stat(calculs!T366)</f>
        <v>#NAME?</v>
      </c>
      <c r="U366" s="523" t="e">
        <f ca="1">stat(calculs!U366)</f>
        <v>#NAME?</v>
      </c>
      <c r="V366" s="523" t="e">
        <f ca="1">stat(calculs!V366)</f>
        <v>#NAME?</v>
      </c>
      <c r="W366" s="523" t="e">
        <f ca="1">stat(calculs!W366)</f>
        <v>#NAME?</v>
      </c>
      <c r="X366" s="523" t="e">
        <f ca="1">stat(calculs!X366)</f>
        <v>#NAME?</v>
      </c>
      <c r="Y366" s="523" t="e">
        <f ca="1">stat(calculs!Y366)</f>
        <v>#NAME?</v>
      </c>
      <c r="Z366" s="523" t="e">
        <f ca="1">stat(calculs!Z366)</f>
        <v>#NAME?</v>
      </c>
      <c r="AA366" s="523" t="e">
        <f ca="1">stat(calculs!AA366)</f>
        <v>#NAME?</v>
      </c>
      <c r="AB366" s="523" t="e">
        <f ca="1">stat(calculs!AB366)</f>
        <v>#NAME?</v>
      </c>
      <c r="AC366" s="523" t="e">
        <f ca="1">stat(calculs!AC366)</f>
        <v>#NAME?</v>
      </c>
      <c r="AD366" s="523" t="e">
        <f ca="1">stat(calculs!AD366)</f>
        <v>#NAME?</v>
      </c>
      <c r="AE366" s="523" t="e">
        <f ca="1">stat(calculs!AE366)</f>
        <v>#NAME?</v>
      </c>
      <c r="AF366" s="523" t="e">
        <f ca="1">stat(calculs!AF366)</f>
        <v>#NAME?</v>
      </c>
      <c r="AG366" s="523" t="e">
        <f ca="1">stat(calculs!AG366)</f>
        <v>#NAME?</v>
      </c>
      <c r="AH366" s="523" t="e">
        <f ca="1">stat(calculs!AH366)</f>
        <v>#NAME?</v>
      </c>
      <c r="AI366" s="523" t="e">
        <f ca="1">stat(calculs!AI366)</f>
        <v>#NAME?</v>
      </c>
      <c r="AJ366" s="523" t="e">
        <f ca="1">stat(calculs!AJ366)</f>
        <v>#NAME?</v>
      </c>
      <c r="AK366" s="523" t="e">
        <f ca="1">stat(calculs!AK366)</f>
        <v>#NAME?</v>
      </c>
      <c r="AL366" s="523" t="e">
        <f ca="1">stat(calculs!AL366)</f>
        <v>#NAME?</v>
      </c>
      <c r="AM366" s="523" t="e">
        <f ca="1">stat(calculs!AM366)</f>
        <v>#NAME?</v>
      </c>
      <c r="AN366" s="523" t="e">
        <f ca="1">stat(calculs!AN366)</f>
        <v>#NAME?</v>
      </c>
      <c r="AO366" s="523" t="e">
        <f ca="1">stat(calculs!AO366)</f>
        <v>#NAME?</v>
      </c>
      <c r="AP366" s="523" t="e">
        <f ca="1">stat(calculs!AP366)</f>
        <v>#NAME?</v>
      </c>
      <c r="AQ366" s="523" t="e">
        <f ca="1">stat(calculs!AQ366)</f>
        <v>#NAME?</v>
      </c>
      <c r="AV366" s="525" t="str">
        <f>stat(calculs!AV366)</f>
        <v/>
      </c>
      <c r="AW366" s="525" t="str">
        <f>stat(calculs!AW366)</f>
        <v/>
      </c>
      <c r="AX366" s="525" t="str">
        <f>stat(calculs!AX366)</f>
        <v/>
      </c>
      <c r="AY366" s="525" t="e">
        <f ca="1">stat(calculs!AY366)</f>
        <v>#NAME?</v>
      </c>
      <c r="AZ366" s="525" t="e">
        <f ca="1">stat(calculs!AZ366)</f>
        <v>#NAME?</v>
      </c>
      <c r="BA366" s="525" t="e">
        <f ca="1">stat(calculs!BA366)</f>
        <v>#NAME?</v>
      </c>
      <c r="BB366" s="525" t="e">
        <f ca="1">stat(calculs!BB366)</f>
        <v>#NAME?</v>
      </c>
      <c r="BC366" s="525" t="e">
        <f ca="1">stat(calculs!BC366)</f>
        <v>#NAME?</v>
      </c>
      <c r="BD366" s="525" t="e">
        <f ca="1">stat(calculs!BD366)</f>
        <v>#NAME?</v>
      </c>
      <c r="BE366" s="525" t="e">
        <f ca="1">stat(calculs!BE366)</f>
        <v>#NAME?</v>
      </c>
      <c r="BF366" s="525" t="e">
        <f ca="1">stat(calculs!BF366)</f>
        <v>#NAME?</v>
      </c>
      <c r="BG366" s="729" t="e">
        <f ca="1">stat(calculs!BG366)</f>
        <v>#NAME?</v>
      </c>
      <c r="BH366" s="729" t="e">
        <f ca="1">stat(calculs!BH366)</f>
        <v>#NAME?</v>
      </c>
      <c r="BI366" s="729" t="e">
        <f ca="1">stat(calculs!BI366)</f>
        <v>#NAME?</v>
      </c>
      <c r="BJ366" s="729" t="e">
        <f ca="1">stat(calculs!BJ366)</f>
        <v>#NAME?</v>
      </c>
      <c r="BK366" s="729" t="e">
        <f ca="1">stat(calculs!BK366)</f>
        <v>#NAME?</v>
      </c>
      <c r="BL366" s="525" t="e">
        <f ca="1">stat(calculs!BL366)</f>
        <v>#NAME?</v>
      </c>
      <c r="BM366" s="525" t="e">
        <f ca="1">stat(calculs!BM366)</f>
        <v>#NAME?</v>
      </c>
      <c r="BN366" s="525" t="e">
        <f ca="1">stat(calculs!BN366)</f>
        <v>#NAME?</v>
      </c>
      <c r="BO366" s="525" t="e">
        <f ca="1">stat(calculs!BO366)</f>
        <v>#NAME?</v>
      </c>
      <c r="BP366" s="525" t="e">
        <f ca="1">stat(calculs!BP366)</f>
        <v>#NAME?</v>
      </c>
      <c r="BQ366" s="525" t="e">
        <f ca="1">stat(calculs!BQ366)</f>
        <v>#NAME?</v>
      </c>
      <c r="BR366" s="525" t="e">
        <f ca="1">stat(calculs!BR366)</f>
        <v>#NAME?</v>
      </c>
    </row>
    <row r="367" spans="1:70" x14ac:dyDescent="0.2">
      <c r="A367" s="222">
        <f>données_step[[#This Row],[Datum]]</f>
        <v>44918</v>
      </c>
      <c r="B367" s="223"/>
      <c r="C367" s="224">
        <f t="shared" si="5"/>
        <v>6</v>
      </c>
      <c r="D367" s="523" t="e">
        <f ca="1">stat(charge_entree[[#This Row],[ch_E_DBO5]])</f>
        <v>#NAME?</v>
      </c>
      <c r="E367" s="523" t="e">
        <f ca="1">stat(charge_entree[[#This Row],[ch_E_DCO]])</f>
        <v>#NAME?</v>
      </c>
      <c r="F367" s="523" t="e">
        <f ca="1">stat(charge_entree[[#This Row],[ch_E_COT]])</f>
        <v>#NAME?</v>
      </c>
      <c r="G367" s="523" t="e">
        <f ca="1">stat(charge_entree[[#This Row],[ch_E_NH4]])</f>
        <v>#NAME?</v>
      </c>
      <c r="H367" s="523" t="e">
        <f ca="1">stat(charge_entree[[#This Row],[ch_E_NTOT]])</f>
        <v>#NAME?</v>
      </c>
      <c r="I367" s="523" t="e">
        <f ca="1">stat(charge_entree[[#This Row],[ch_E_PTOT]])</f>
        <v>#NAME?</v>
      </c>
      <c r="J367" s="523" t="e">
        <f ca="1">stat(charge_entree[[#This Row],[ch_S_DBO]])</f>
        <v>#NAME?</v>
      </c>
      <c r="K367" s="523" t="e">
        <f ca="1">stat(charge_entree[[#This Row],[ch_S-DCO]])</f>
        <v>#NAME?</v>
      </c>
      <c r="L367" s="523" t="e">
        <f ca="1">stat(charge_entree[[#This Row],[ch_S_DOC]])</f>
        <v>#NAME?</v>
      </c>
      <c r="M367" s="523" t="e">
        <f ca="1">stat(charge_entree[[#This Row],[ch_S_NH4]])</f>
        <v>#NAME?</v>
      </c>
      <c r="N367" s="523" t="e">
        <f ca="1">stat(charge_entree[[#This Row],[ch_S_NO2]])</f>
        <v>#NAME?</v>
      </c>
      <c r="O367" s="523" t="e">
        <f ca="1">stat(charge_entree[[#This Row],[ch_S_NO3]])</f>
        <v>#NAME?</v>
      </c>
      <c r="P367" s="523" t="e">
        <f ca="1">stat(charge_entree[[#This Row],[ch_S_PTOT]])</f>
        <v>#NAME?</v>
      </c>
      <c r="Q367" s="523" t="e">
        <f ca="1">stat(charge_entree[[#This Row],[ch_S_SNDT]])</f>
        <v>#NAME?</v>
      </c>
      <c r="R367" s="523">
        <f>calculs!R367</f>
        <v>0</v>
      </c>
      <c r="S367" s="523" t="e">
        <f ca="1">stat(calculs!S367)</f>
        <v>#NAME?</v>
      </c>
      <c r="T367" s="523" t="e">
        <f ca="1">stat(calculs!T367)</f>
        <v>#NAME?</v>
      </c>
      <c r="U367" s="523" t="e">
        <f ca="1">stat(calculs!U367)</f>
        <v>#NAME?</v>
      </c>
      <c r="V367" s="523" t="e">
        <f ca="1">stat(calculs!V367)</f>
        <v>#NAME?</v>
      </c>
      <c r="W367" s="523" t="e">
        <f ca="1">stat(calculs!W367)</f>
        <v>#NAME?</v>
      </c>
      <c r="X367" s="523" t="e">
        <f ca="1">stat(calculs!X367)</f>
        <v>#NAME?</v>
      </c>
      <c r="Y367" s="523" t="e">
        <f ca="1">stat(calculs!Y367)</f>
        <v>#NAME?</v>
      </c>
      <c r="Z367" s="523" t="e">
        <f ca="1">stat(calculs!Z367)</f>
        <v>#NAME?</v>
      </c>
      <c r="AA367" s="523" t="e">
        <f ca="1">stat(calculs!AA367)</f>
        <v>#NAME?</v>
      </c>
      <c r="AB367" s="523" t="e">
        <f ca="1">stat(calculs!AB367)</f>
        <v>#NAME?</v>
      </c>
      <c r="AC367" s="523" t="e">
        <f ca="1">stat(calculs!AC367)</f>
        <v>#NAME?</v>
      </c>
      <c r="AD367" s="523" t="e">
        <f ca="1">stat(calculs!AD367)</f>
        <v>#NAME?</v>
      </c>
      <c r="AE367" s="523" t="e">
        <f ca="1">stat(calculs!AE367)</f>
        <v>#NAME?</v>
      </c>
      <c r="AF367" s="523" t="e">
        <f ca="1">stat(calculs!AF367)</f>
        <v>#NAME?</v>
      </c>
      <c r="AG367" s="523" t="e">
        <f ca="1">stat(calculs!AG367)</f>
        <v>#NAME?</v>
      </c>
      <c r="AH367" s="523" t="e">
        <f ca="1">stat(calculs!AH367)</f>
        <v>#NAME?</v>
      </c>
      <c r="AI367" s="523" t="e">
        <f ca="1">stat(calculs!AI367)</f>
        <v>#NAME?</v>
      </c>
      <c r="AJ367" s="523" t="e">
        <f ca="1">stat(calculs!AJ367)</f>
        <v>#NAME?</v>
      </c>
      <c r="AK367" s="523" t="e">
        <f ca="1">stat(calculs!AK367)</f>
        <v>#NAME?</v>
      </c>
      <c r="AL367" s="523" t="e">
        <f ca="1">stat(calculs!AL367)</f>
        <v>#NAME?</v>
      </c>
      <c r="AM367" s="523" t="e">
        <f ca="1">stat(calculs!AM367)</f>
        <v>#NAME?</v>
      </c>
      <c r="AN367" s="523" t="e">
        <f ca="1">stat(calculs!AN367)</f>
        <v>#NAME?</v>
      </c>
      <c r="AO367" s="523" t="e">
        <f ca="1">stat(calculs!AO367)</f>
        <v>#NAME?</v>
      </c>
      <c r="AP367" s="523" t="e">
        <f ca="1">stat(calculs!AP367)</f>
        <v>#NAME?</v>
      </c>
      <c r="AQ367" s="523" t="e">
        <f ca="1">stat(calculs!AQ367)</f>
        <v>#NAME?</v>
      </c>
      <c r="AV367" s="525" t="str">
        <f>stat(calculs!AV367)</f>
        <v/>
      </c>
      <c r="AW367" s="525" t="str">
        <f>stat(calculs!AW367)</f>
        <v/>
      </c>
      <c r="AX367" s="525" t="str">
        <f>stat(calculs!AX367)</f>
        <v/>
      </c>
      <c r="AY367" s="525" t="e">
        <f ca="1">stat(calculs!AY367)</f>
        <v>#NAME?</v>
      </c>
      <c r="AZ367" s="525" t="e">
        <f ca="1">stat(calculs!AZ367)</f>
        <v>#NAME?</v>
      </c>
      <c r="BA367" s="525" t="e">
        <f ca="1">stat(calculs!BA367)</f>
        <v>#NAME?</v>
      </c>
      <c r="BB367" s="525" t="e">
        <f ca="1">stat(calculs!BB367)</f>
        <v>#NAME?</v>
      </c>
      <c r="BC367" s="525" t="e">
        <f ca="1">stat(calculs!BC367)</f>
        <v>#NAME?</v>
      </c>
      <c r="BD367" s="525" t="e">
        <f ca="1">stat(calculs!BD367)</f>
        <v>#NAME?</v>
      </c>
      <c r="BE367" s="525" t="e">
        <f ca="1">stat(calculs!BE367)</f>
        <v>#NAME?</v>
      </c>
      <c r="BF367" s="525" t="e">
        <f ca="1">stat(calculs!BF367)</f>
        <v>#NAME?</v>
      </c>
      <c r="BG367" s="729" t="e">
        <f ca="1">stat(calculs!BG367)</f>
        <v>#NAME?</v>
      </c>
      <c r="BH367" s="729" t="e">
        <f ca="1">stat(calculs!BH367)</f>
        <v>#NAME?</v>
      </c>
      <c r="BI367" s="729" t="e">
        <f ca="1">stat(calculs!BI367)</f>
        <v>#NAME?</v>
      </c>
      <c r="BJ367" s="729" t="e">
        <f ca="1">stat(calculs!BJ367)</f>
        <v>#NAME?</v>
      </c>
      <c r="BK367" s="729" t="e">
        <f ca="1">stat(calculs!BK367)</f>
        <v>#NAME?</v>
      </c>
      <c r="BL367" s="525" t="e">
        <f ca="1">stat(calculs!BL367)</f>
        <v>#NAME?</v>
      </c>
      <c r="BM367" s="525" t="e">
        <f ca="1">stat(calculs!BM367)</f>
        <v>#NAME?</v>
      </c>
      <c r="BN367" s="525" t="e">
        <f ca="1">stat(calculs!BN367)</f>
        <v>#NAME?</v>
      </c>
      <c r="BO367" s="525" t="e">
        <f ca="1">stat(calculs!BO367)</f>
        <v>#NAME?</v>
      </c>
      <c r="BP367" s="525" t="e">
        <f ca="1">stat(calculs!BP367)</f>
        <v>#NAME?</v>
      </c>
      <c r="BQ367" s="525" t="e">
        <f ca="1">stat(calculs!BQ367)</f>
        <v>#NAME?</v>
      </c>
      <c r="BR367" s="525" t="e">
        <f ca="1">stat(calculs!BR367)</f>
        <v>#NAME?</v>
      </c>
    </row>
    <row r="368" spans="1:70" x14ac:dyDescent="0.2">
      <c r="A368" s="222">
        <f>données_step[[#This Row],[Datum]]</f>
        <v>44919</v>
      </c>
      <c r="B368" s="223"/>
      <c r="C368" s="224">
        <f t="shared" si="5"/>
        <v>7</v>
      </c>
      <c r="D368" s="523" t="e">
        <f ca="1">stat(charge_entree[[#This Row],[ch_E_DBO5]])</f>
        <v>#NAME?</v>
      </c>
      <c r="E368" s="523" t="e">
        <f ca="1">stat(charge_entree[[#This Row],[ch_E_DCO]])</f>
        <v>#NAME?</v>
      </c>
      <c r="F368" s="523" t="e">
        <f ca="1">stat(charge_entree[[#This Row],[ch_E_COT]])</f>
        <v>#NAME?</v>
      </c>
      <c r="G368" s="523" t="e">
        <f ca="1">stat(charge_entree[[#This Row],[ch_E_NH4]])</f>
        <v>#NAME?</v>
      </c>
      <c r="H368" s="523" t="e">
        <f ca="1">stat(charge_entree[[#This Row],[ch_E_NTOT]])</f>
        <v>#NAME?</v>
      </c>
      <c r="I368" s="523" t="e">
        <f ca="1">stat(charge_entree[[#This Row],[ch_E_PTOT]])</f>
        <v>#NAME?</v>
      </c>
      <c r="J368" s="523" t="e">
        <f ca="1">stat(charge_entree[[#This Row],[ch_S_DBO]])</f>
        <v>#NAME?</v>
      </c>
      <c r="K368" s="523" t="e">
        <f ca="1">stat(charge_entree[[#This Row],[ch_S-DCO]])</f>
        <v>#NAME?</v>
      </c>
      <c r="L368" s="523" t="e">
        <f ca="1">stat(charge_entree[[#This Row],[ch_S_DOC]])</f>
        <v>#NAME?</v>
      </c>
      <c r="M368" s="523" t="e">
        <f ca="1">stat(charge_entree[[#This Row],[ch_S_NH4]])</f>
        <v>#NAME?</v>
      </c>
      <c r="N368" s="523" t="e">
        <f ca="1">stat(charge_entree[[#This Row],[ch_S_NO2]])</f>
        <v>#NAME?</v>
      </c>
      <c r="O368" s="523" t="e">
        <f ca="1">stat(charge_entree[[#This Row],[ch_S_NO3]])</f>
        <v>#NAME?</v>
      </c>
      <c r="P368" s="523" t="e">
        <f ca="1">stat(charge_entree[[#This Row],[ch_S_PTOT]])</f>
        <v>#NAME?</v>
      </c>
      <c r="Q368" s="523" t="e">
        <f ca="1">stat(charge_entree[[#This Row],[ch_S_SNDT]])</f>
        <v>#NAME?</v>
      </c>
      <c r="R368" s="523">
        <f>calculs!R368</f>
        <v>0</v>
      </c>
      <c r="S368" s="523" t="e">
        <f ca="1">stat(calculs!S368)</f>
        <v>#NAME?</v>
      </c>
      <c r="T368" s="523" t="e">
        <f ca="1">stat(calculs!T368)</f>
        <v>#NAME?</v>
      </c>
      <c r="U368" s="523" t="e">
        <f ca="1">stat(calculs!U368)</f>
        <v>#NAME?</v>
      </c>
      <c r="V368" s="523" t="e">
        <f ca="1">stat(calculs!V368)</f>
        <v>#NAME?</v>
      </c>
      <c r="W368" s="523" t="e">
        <f ca="1">stat(calculs!W368)</f>
        <v>#NAME?</v>
      </c>
      <c r="X368" s="523" t="e">
        <f ca="1">stat(calculs!X368)</f>
        <v>#NAME?</v>
      </c>
      <c r="Y368" s="523" t="e">
        <f ca="1">stat(calculs!Y368)</f>
        <v>#NAME?</v>
      </c>
      <c r="Z368" s="523" t="e">
        <f ca="1">stat(calculs!Z368)</f>
        <v>#NAME?</v>
      </c>
      <c r="AA368" s="523" t="e">
        <f ca="1">stat(calculs!AA368)</f>
        <v>#NAME?</v>
      </c>
      <c r="AB368" s="523" t="e">
        <f ca="1">stat(calculs!AB368)</f>
        <v>#NAME?</v>
      </c>
      <c r="AC368" s="523" t="e">
        <f ca="1">stat(calculs!AC368)</f>
        <v>#NAME?</v>
      </c>
      <c r="AD368" s="523" t="e">
        <f ca="1">stat(calculs!AD368)</f>
        <v>#NAME?</v>
      </c>
      <c r="AE368" s="523" t="e">
        <f ca="1">stat(calculs!AE368)</f>
        <v>#NAME?</v>
      </c>
      <c r="AF368" s="523" t="e">
        <f ca="1">stat(calculs!AF368)</f>
        <v>#NAME?</v>
      </c>
      <c r="AG368" s="523" t="e">
        <f ca="1">stat(calculs!AG368)</f>
        <v>#NAME?</v>
      </c>
      <c r="AH368" s="523" t="e">
        <f ca="1">stat(calculs!AH368)</f>
        <v>#NAME?</v>
      </c>
      <c r="AI368" s="523" t="e">
        <f ca="1">stat(calculs!AI368)</f>
        <v>#NAME?</v>
      </c>
      <c r="AJ368" s="523" t="e">
        <f ca="1">stat(calculs!AJ368)</f>
        <v>#NAME?</v>
      </c>
      <c r="AK368" s="523" t="e">
        <f ca="1">stat(calculs!AK368)</f>
        <v>#NAME?</v>
      </c>
      <c r="AL368" s="523" t="e">
        <f ca="1">stat(calculs!AL368)</f>
        <v>#NAME?</v>
      </c>
      <c r="AM368" s="523" t="e">
        <f ca="1">stat(calculs!AM368)</f>
        <v>#NAME?</v>
      </c>
      <c r="AN368" s="523" t="e">
        <f ca="1">stat(calculs!AN368)</f>
        <v>#NAME?</v>
      </c>
      <c r="AO368" s="523" t="e">
        <f ca="1">stat(calculs!AO368)</f>
        <v>#NAME?</v>
      </c>
      <c r="AP368" s="523" t="e">
        <f ca="1">stat(calculs!AP368)</f>
        <v>#NAME?</v>
      </c>
      <c r="AQ368" s="523" t="e">
        <f ca="1">stat(calculs!AQ368)</f>
        <v>#NAME?</v>
      </c>
      <c r="AV368" s="525" t="str">
        <f>stat(calculs!AV368)</f>
        <v/>
      </c>
      <c r="AW368" s="525" t="str">
        <f>stat(calculs!AW368)</f>
        <v/>
      </c>
      <c r="AX368" s="525" t="str">
        <f>stat(calculs!AX368)</f>
        <v/>
      </c>
      <c r="AY368" s="525" t="e">
        <f ca="1">stat(calculs!AY368)</f>
        <v>#NAME?</v>
      </c>
      <c r="AZ368" s="525" t="e">
        <f ca="1">stat(calculs!AZ368)</f>
        <v>#NAME?</v>
      </c>
      <c r="BA368" s="525" t="e">
        <f ca="1">stat(calculs!BA368)</f>
        <v>#NAME?</v>
      </c>
      <c r="BB368" s="525" t="e">
        <f ca="1">stat(calculs!BB368)</f>
        <v>#NAME?</v>
      </c>
      <c r="BC368" s="525" t="e">
        <f ca="1">stat(calculs!BC368)</f>
        <v>#NAME?</v>
      </c>
      <c r="BD368" s="525" t="e">
        <f ca="1">stat(calculs!BD368)</f>
        <v>#NAME?</v>
      </c>
      <c r="BE368" s="525" t="e">
        <f ca="1">stat(calculs!BE368)</f>
        <v>#NAME?</v>
      </c>
      <c r="BF368" s="525" t="e">
        <f ca="1">stat(calculs!BF368)</f>
        <v>#NAME?</v>
      </c>
      <c r="BG368" s="729" t="e">
        <f ca="1">stat(calculs!BG368)</f>
        <v>#NAME?</v>
      </c>
      <c r="BH368" s="729" t="e">
        <f ca="1">stat(calculs!BH368)</f>
        <v>#NAME?</v>
      </c>
      <c r="BI368" s="729" t="e">
        <f ca="1">stat(calculs!BI368)</f>
        <v>#NAME?</v>
      </c>
      <c r="BJ368" s="729" t="e">
        <f ca="1">stat(calculs!BJ368)</f>
        <v>#NAME?</v>
      </c>
      <c r="BK368" s="729" t="e">
        <f ca="1">stat(calculs!BK368)</f>
        <v>#NAME?</v>
      </c>
      <c r="BL368" s="525" t="e">
        <f ca="1">stat(calculs!BL368)</f>
        <v>#NAME?</v>
      </c>
      <c r="BM368" s="525" t="e">
        <f ca="1">stat(calculs!BM368)</f>
        <v>#NAME?</v>
      </c>
      <c r="BN368" s="525" t="e">
        <f ca="1">stat(calculs!BN368)</f>
        <v>#NAME?</v>
      </c>
      <c r="BO368" s="525" t="e">
        <f ca="1">stat(calculs!BO368)</f>
        <v>#NAME?</v>
      </c>
      <c r="BP368" s="525" t="e">
        <f ca="1">stat(calculs!BP368)</f>
        <v>#NAME?</v>
      </c>
      <c r="BQ368" s="525" t="e">
        <f ca="1">stat(calculs!BQ368)</f>
        <v>#NAME?</v>
      </c>
      <c r="BR368" s="525" t="e">
        <f ca="1">stat(calculs!BR368)</f>
        <v>#NAME?</v>
      </c>
    </row>
    <row r="369" spans="1:70" x14ac:dyDescent="0.2">
      <c r="A369" s="222">
        <f>données_step[[#This Row],[Datum]]</f>
        <v>44920</v>
      </c>
      <c r="B369" s="223"/>
      <c r="C369" s="224">
        <f t="shared" si="5"/>
        <v>1</v>
      </c>
      <c r="D369" s="523" t="e">
        <f ca="1">stat(charge_entree[[#This Row],[ch_E_DBO5]])</f>
        <v>#NAME?</v>
      </c>
      <c r="E369" s="523" t="e">
        <f ca="1">stat(charge_entree[[#This Row],[ch_E_DCO]])</f>
        <v>#NAME?</v>
      </c>
      <c r="F369" s="523" t="e">
        <f ca="1">stat(charge_entree[[#This Row],[ch_E_COT]])</f>
        <v>#NAME?</v>
      </c>
      <c r="G369" s="523" t="e">
        <f ca="1">stat(charge_entree[[#This Row],[ch_E_NH4]])</f>
        <v>#NAME?</v>
      </c>
      <c r="H369" s="523" t="e">
        <f ca="1">stat(charge_entree[[#This Row],[ch_E_NTOT]])</f>
        <v>#NAME?</v>
      </c>
      <c r="I369" s="523" t="e">
        <f ca="1">stat(charge_entree[[#This Row],[ch_E_PTOT]])</f>
        <v>#NAME?</v>
      </c>
      <c r="J369" s="523" t="e">
        <f ca="1">stat(charge_entree[[#This Row],[ch_S_DBO]])</f>
        <v>#NAME?</v>
      </c>
      <c r="K369" s="523" t="e">
        <f ca="1">stat(charge_entree[[#This Row],[ch_S-DCO]])</f>
        <v>#NAME?</v>
      </c>
      <c r="L369" s="523" t="e">
        <f ca="1">stat(charge_entree[[#This Row],[ch_S_DOC]])</f>
        <v>#NAME?</v>
      </c>
      <c r="M369" s="523" t="e">
        <f ca="1">stat(charge_entree[[#This Row],[ch_S_NH4]])</f>
        <v>#NAME?</v>
      </c>
      <c r="N369" s="523" t="e">
        <f ca="1">stat(charge_entree[[#This Row],[ch_S_NO2]])</f>
        <v>#NAME?</v>
      </c>
      <c r="O369" s="523" t="e">
        <f ca="1">stat(charge_entree[[#This Row],[ch_S_NO3]])</f>
        <v>#NAME?</v>
      </c>
      <c r="P369" s="523" t="e">
        <f ca="1">stat(charge_entree[[#This Row],[ch_S_PTOT]])</f>
        <v>#NAME?</v>
      </c>
      <c r="Q369" s="523" t="e">
        <f ca="1">stat(charge_entree[[#This Row],[ch_S_SNDT]])</f>
        <v>#NAME?</v>
      </c>
      <c r="R369" s="523">
        <f>calculs!R369</f>
        <v>0</v>
      </c>
      <c r="S369" s="523" t="e">
        <f ca="1">stat(calculs!S369)</f>
        <v>#NAME?</v>
      </c>
      <c r="T369" s="523" t="e">
        <f ca="1">stat(calculs!T369)</f>
        <v>#NAME?</v>
      </c>
      <c r="U369" s="523" t="e">
        <f ca="1">stat(calculs!U369)</f>
        <v>#NAME?</v>
      </c>
      <c r="V369" s="523" t="e">
        <f ca="1">stat(calculs!V369)</f>
        <v>#NAME?</v>
      </c>
      <c r="W369" s="523" t="e">
        <f ca="1">stat(calculs!W369)</f>
        <v>#NAME?</v>
      </c>
      <c r="X369" s="523" t="e">
        <f ca="1">stat(calculs!X369)</f>
        <v>#NAME?</v>
      </c>
      <c r="Y369" s="523" t="e">
        <f ca="1">stat(calculs!Y369)</f>
        <v>#NAME?</v>
      </c>
      <c r="Z369" s="523" t="e">
        <f ca="1">stat(calculs!Z369)</f>
        <v>#NAME?</v>
      </c>
      <c r="AA369" s="523" t="e">
        <f ca="1">stat(calculs!AA369)</f>
        <v>#NAME?</v>
      </c>
      <c r="AB369" s="523" t="e">
        <f ca="1">stat(calculs!AB369)</f>
        <v>#NAME?</v>
      </c>
      <c r="AC369" s="523" t="e">
        <f ca="1">stat(calculs!AC369)</f>
        <v>#NAME?</v>
      </c>
      <c r="AD369" s="523" t="e">
        <f ca="1">stat(calculs!AD369)</f>
        <v>#NAME?</v>
      </c>
      <c r="AE369" s="523" t="e">
        <f ca="1">stat(calculs!AE369)</f>
        <v>#NAME?</v>
      </c>
      <c r="AF369" s="523" t="e">
        <f ca="1">stat(calculs!AF369)</f>
        <v>#NAME?</v>
      </c>
      <c r="AG369" s="523" t="e">
        <f ca="1">stat(calculs!AG369)</f>
        <v>#NAME?</v>
      </c>
      <c r="AH369" s="523" t="e">
        <f ca="1">stat(calculs!AH369)</f>
        <v>#NAME?</v>
      </c>
      <c r="AI369" s="523" t="e">
        <f ca="1">stat(calculs!AI369)</f>
        <v>#NAME?</v>
      </c>
      <c r="AJ369" s="523" t="e">
        <f ca="1">stat(calculs!AJ369)</f>
        <v>#NAME?</v>
      </c>
      <c r="AK369" s="523" t="e">
        <f ca="1">stat(calculs!AK369)</f>
        <v>#NAME?</v>
      </c>
      <c r="AL369" s="523" t="e">
        <f ca="1">stat(calculs!AL369)</f>
        <v>#NAME?</v>
      </c>
      <c r="AM369" s="523" t="e">
        <f ca="1">stat(calculs!AM369)</f>
        <v>#NAME?</v>
      </c>
      <c r="AN369" s="523" t="e">
        <f ca="1">stat(calculs!AN369)</f>
        <v>#NAME?</v>
      </c>
      <c r="AO369" s="523" t="e">
        <f ca="1">stat(calculs!AO369)</f>
        <v>#NAME?</v>
      </c>
      <c r="AP369" s="523" t="e">
        <f ca="1">stat(calculs!AP369)</f>
        <v>#NAME?</v>
      </c>
      <c r="AQ369" s="523" t="e">
        <f ca="1">stat(calculs!AQ369)</f>
        <v>#NAME?</v>
      </c>
      <c r="AV369" s="525" t="str">
        <f>stat(calculs!AV369)</f>
        <v/>
      </c>
      <c r="AW369" s="525" t="str">
        <f>stat(calculs!AW369)</f>
        <v/>
      </c>
      <c r="AX369" s="525" t="str">
        <f>stat(calculs!AX369)</f>
        <v/>
      </c>
      <c r="AY369" s="525" t="e">
        <f ca="1">stat(calculs!AY369)</f>
        <v>#NAME?</v>
      </c>
      <c r="AZ369" s="525" t="e">
        <f ca="1">stat(calculs!AZ369)</f>
        <v>#NAME?</v>
      </c>
      <c r="BA369" s="525" t="e">
        <f ca="1">stat(calculs!BA369)</f>
        <v>#NAME?</v>
      </c>
      <c r="BB369" s="525" t="e">
        <f ca="1">stat(calculs!BB369)</f>
        <v>#NAME?</v>
      </c>
      <c r="BC369" s="525" t="e">
        <f ca="1">stat(calculs!BC369)</f>
        <v>#NAME?</v>
      </c>
      <c r="BD369" s="525" t="e">
        <f ca="1">stat(calculs!BD369)</f>
        <v>#NAME?</v>
      </c>
      <c r="BE369" s="525" t="e">
        <f ca="1">stat(calculs!BE369)</f>
        <v>#NAME?</v>
      </c>
      <c r="BF369" s="525" t="e">
        <f ca="1">stat(calculs!BF369)</f>
        <v>#NAME?</v>
      </c>
      <c r="BG369" s="729" t="e">
        <f ca="1">stat(calculs!BG369)</f>
        <v>#NAME?</v>
      </c>
      <c r="BH369" s="729" t="e">
        <f ca="1">stat(calculs!BH369)</f>
        <v>#NAME?</v>
      </c>
      <c r="BI369" s="729" t="e">
        <f ca="1">stat(calculs!BI369)</f>
        <v>#NAME?</v>
      </c>
      <c r="BJ369" s="729" t="e">
        <f ca="1">stat(calculs!BJ369)</f>
        <v>#NAME?</v>
      </c>
      <c r="BK369" s="729" t="e">
        <f ca="1">stat(calculs!BK369)</f>
        <v>#NAME?</v>
      </c>
      <c r="BL369" s="525" t="e">
        <f ca="1">stat(calculs!BL369)</f>
        <v>#NAME?</v>
      </c>
      <c r="BM369" s="525" t="e">
        <f ca="1">stat(calculs!BM369)</f>
        <v>#NAME?</v>
      </c>
      <c r="BN369" s="525" t="e">
        <f ca="1">stat(calculs!BN369)</f>
        <v>#NAME?</v>
      </c>
      <c r="BO369" s="525" t="e">
        <f ca="1">stat(calculs!BO369)</f>
        <v>#NAME?</v>
      </c>
      <c r="BP369" s="525" t="e">
        <f ca="1">stat(calculs!BP369)</f>
        <v>#NAME?</v>
      </c>
      <c r="BQ369" s="525" t="e">
        <f ca="1">stat(calculs!BQ369)</f>
        <v>#NAME?</v>
      </c>
      <c r="BR369" s="525" t="e">
        <f ca="1">stat(calculs!BR369)</f>
        <v>#NAME?</v>
      </c>
    </row>
    <row r="370" spans="1:70" x14ac:dyDescent="0.2">
      <c r="A370" s="222">
        <f>données_step[[#This Row],[Datum]]</f>
        <v>44921</v>
      </c>
      <c r="B370" s="223"/>
      <c r="C370" s="224">
        <f t="shared" si="5"/>
        <v>2</v>
      </c>
      <c r="D370" s="523" t="e">
        <f ca="1">stat(charge_entree[[#This Row],[ch_E_DBO5]])</f>
        <v>#NAME?</v>
      </c>
      <c r="E370" s="523" t="e">
        <f ca="1">stat(charge_entree[[#This Row],[ch_E_DCO]])</f>
        <v>#NAME?</v>
      </c>
      <c r="F370" s="523" t="e">
        <f ca="1">stat(charge_entree[[#This Row],[ch_E_COT]])</f>
        <v>#NAME?</v>
      </c>
      <c r="G370" s="523" t="e">
        <f ca="1">stat(charge_entree[[#This Row],[ch_E_NH4]])</f>
        <v>#NAME?</v>
      </c>
      <c r="H370" s="523" t="e">
        <f ca="1">stat(charge_entree[[#This Row],[ch_E_NTOT]])</f>
        <v>#NAME?</v>
      </c>
      <c r="I370" s="523" t="e">
        <f ca="1">stat(charge_entree[[#This Row],[ch_E_PTOT]])</f>
        <v>#NAME?</v>
      </c>
      <c r="J370" s="523" t="e">
        <f ca="1">stat(charge_entree[[#This Row],[ch_S_DBO]])</f>
        <v>#NAME?</v>
      </c>
      <c r="K370" s="523" t="e">
        <f ca="1">stat(charge_entree[[#This Row],[ch_S-DCO]])</f>
        <v>#NAME?</v>
      </c>
      <c r="L370" s="523" t="e">
        <f ca="1">stat(charge_entree[[#This Row],[ch_S_DOC]])</f>
        <v>#NAME?</v>
      </c>
      <c r="M370" s="523" t="e">
        <f ca="1">stat(charge_entree[[#This Row],[ch_S_NH4]])</f>
        <v>#NAME?</v>
      </c>
      <c r="N370" s="523" t="e">
        <f ca="1">stat(charge_entree[[#This Row],[ch_S_NO2]])</f>
        <v>#NAME?</v>
      </c>
      <c r="O370" s="523" t="e">
        <f ca="1">stat(charge_entree[[#This Row],[ch_S_NO3]])</f>
        <v>#NAME?</v>
      </c>
      <c r="P370" s="523" t="e">
        <f ca="1">stat(charge_entree[[#This Row],[ch_S_PTOT]])</f>
        <v>#NAME?</v>
      </c>
      <c r="Q370" s="523" t="e">
        <f ca="1">stat(charge_entree[[#This Row],[ch_S_SNDT]])</f>
        <v>#NAME?</v>
      </c>
      <c r="R370" s="523">
        <f>calculs!R370</f>
        <v>0</v>
      </c>
      <c r="S370" s="523" t="e">
        <f ca="1">stat(calculs!S370)</f>
        <v>#NAME?</v>
      </c>
      <c r="T370" s="523" t="e">
        <f ca="1">stat(calculs!T370)</f>
        <v>#NAME?</v>
      </c>
      <c r="U370" s="523" t="e">
        <f ca="1">stat(calculs!U370)</f>
        <v>#NAME?</v>
      </c>
      <c r="V370" s="523" t="e">
        <f ca="1">stat(calculs!V370)</f>
        <v>#NAME?</v>
      </c>
      <c r="W370" s="523" t="e">
        <f ca="1">stat(calculs!W370)</f>
        <v>#NAME?</v>
      </c>
      <c r="X370" s="523" t="e">
        <f ca="1">stat(calculs!X370)</f>
        <v>#NAME?</v>
      </c>
      <c r="Y370" s="523" t="e">
        <f ca="1">stat(calculs!Y370)</f>
        <v>#NAME?</v>
      </c>
      <c r="Z370" s="523" t="e">
        <f ca="1">stat(calculs!Z370)</f>
        <v>#NAME?</v>
      </c>
      <c r="AA370" s="523" t="e">
        <f ca="1">stat(calculs!AA370)</f>
        <v>#NAME?</v>
      </c>
      <c r="AB370" s="523" t="e">
        <f ca="1">stat(calculs!AB370)</f>
        <v>#NAME?</v>
      </c>
      <c r="AC370" s="523" t="e">
        <f ca="1">stat(calculs!AC370)</f>
        <v>#NAME?</v>
      </c>
      <c r="AD370" s="523" t="e">
        <f ca="1">stat(calculs!AD370)</f>
        <v>#NAME?</v>
      </c>
      <c r="AE370" s="523" t="e">
        <f ca="1">stat(calculs!AE370)</f>
        <v>#NAME?</v>
      </c>
      <c r="AF370" s="523" t="e">
        <f ca="1">stat(calculs!AF370)</f>
        <v>#NAME?</v>
      </c>
      <c r="AG370" s="523" t="e">
        <f ca="1">stat(calculs!AG370)</f>
        <v>#NAME?</v>
      </c>
      <c r="AH370" s="523" t="e">
        <f ca="1">stat(calculs!AH370)</f>
        <v>#NAME?</v>
      </c>
      <c r="AI370" s="523" t="e">
        <f ca="1">stat(calculs!AI370)</f>
        <v>#NAME?</v>
      </c>
      <c r="AJ370" s="523" t="e">
        <f ca="1">stat(calculs!AJ370)</f>
        <v>#NAME?</v>
      </c>
      <c r="AK370" s="523" t="e">
        <f ca="1">stat(calculs!AK370)</f>
        <v>#NAME?</v>
      </c>
      <c r="AL370" s="523" t="e">
        <f ca="1">stat(calculs!AL370)</f>
        <v>#NAME?</v>
      </c>
      <c r="AM370" s="523" t="e">
        <f ca="1">stat(calculs!AM370)</f>
        <v>#NAME?</v>
      </c>
      <c r="AN370" s="523" t="e">
        <f ca="1">stat(calculs!AN370)</f>
        <v>#NAME?</v>
      </c>
      <c r="AO370" s="523" t="e">
        <f ca="1">stat(calculs!AO370)</f>
        <v>#NAME?</v>
      </c>
      <c r="AP370" s="523" t="e">
        <f ca="1">stat(calculs!AP370)</f>
        <v>#NAME?</v>
      </c>
      <c r="AQ370" s="523" t="e">
        <f ca="1">stat(calculs!AQ370)</f>
        <v>#NAME?</v>
      </c>
      <c r="AV370" s="525" t="str">
        <f>stat(calculs!AV370)</f>
        <v/>
      </c>
      <c r="AW370" s="525" t="str">
        <f>stat(calculs!AW370)</f>
        <v/>
      </c>
      <c r="AX370" s="525" t="str">
        <f>stat(calculs!AX370)</f>
        <v/>
      </c>
      <c r="AY370" s="525" t="e">
        <f ca="1">stat(calculs!AY370)</f>
        <v>#NAME?</v>
      </c>
      <c r="AZ370" s="525" t="e">
        <f ca="1">stat(calculs!AZ370)</f>
        <v>#NAME?</v>
      </c>
      <c r="BA370" s="525" t="e">
        <f ca="1">stat(calculs!BA370)</f>
        <v>#NAME?</v>
      </c>
      <c r="BB370" s="525" t="e">
        <f ca="1">stat(calculs!BB370)</f>
        <v>#NAME?</v>
      </c>
      <c r="BC370" s="525" t="e">
        <f ca="1">stat(calculs!BC370)</f>
        <v>#NAME?</v>
      </c>
      <c r="BD370" s="525" t="e">
        <f ca="1">stat(calculs!BD370)</f>
        <v>#NAME?</v>
      </c>
      <c r="BE370" s="525" t="e">
        <f ca="1">stat(calculs!BE370)</f>
        <v>#NAME?</v>
      </c>
      <c r="BF370" s="525" t="e">
        <f ca="1">stat(calculs!BF370)</f>
        <v>#NAME?</v>
      </c>
      <c r="BG370" s="729" t="e">
        <f ca="1">stat(calculs!BG370)</f>
        <v>#NAME?</v>
      </c>
      <c r="BH370" s="729" t="e">
        <f ca="1">stat(calculs!BH370)</f>
        <v>#NAME?</v>
      </c>
      <c r="BI370" s="729" t="e">
        <f ca="1">stat(calculs!BI370)</f>
        <v>#NAME?</v>
      </c>
      <c r="BJ370" s="729" t="e">
        <f ca="1">stat(calculs!BJ370)</f>
        <v>#NAME?</v>
      </c>
      <c r="BK370" s="729" t="e">
        <f ca="1">stat(calculs!BK370)</f>
        <v>#NAME?</v>
      </c>
      <c r="BL370" s="525" t="e">
        <f ca="1">stat(calculs!BL370)</f>
        <v>#NAME?</v>
      </c>
      <c r="BM370" s="525" t="e">
        <f ca="1">stat(calculs!BM370)</f>
        <v>#NAME?</v>
      </c>
      <c r="BN370" s="525" t="e">
        <f ca="1">stat(calculs!BN370)</f>
        <v>#NAME?</v>
      </c>
      <c r="BO370" s="525" t="e">
        <f ca="1">stat(calculs!BO370)</f>
        <v>#NAME?</v>
      </c>
      <c r="BP370" s="525" t="e">
        <f ca="1">stat(calculs!BP370)</f>
        <v>#NAME?</v>
      </c>
      <c r="BQ370" s="525" t="e">
        <f ca="1">stat(calculs!BQ370)</f>
        <v>#NAME?</v>
      </c>
      <c r="BR370" s="525" t="e">
        <f ca="1">stat(calculs!BR370)</f>
        <v>#NAME?</v>
      </c>
    </row>
    <row r="371" spans="1:70" x14ac:dyDescent="0.2">
      <c r="A371" s="222">
        <f>données_step[[#This Row],[Datum]]</f>
        <v>44922</v>
      </c>
      <c r="B371" s="223"/>
      <c r="C371" s="224">
        <f t="shared" si="5"/>
        <v>3</v>
      </c>
      <c r="D371" s="523" t="e">
        <f ca="1">stat(charge_entree[[#This Row],[ch_E_DBO5]])</f>
        <v>#NAME?</v>
      </c>
      <c r="E371" s="523" t="e">
        <f ca="1">stat(charge_entree[[#This Row],[ch_E_DCO]])</f>
        <v>#NAME?</v>
      </c>
      <c r="F371" s="523" t="e">
        <f ca="1">stat(charge_entree[[#This Row],[ch_E_COT]])</f>
        <v>#NAME?</v>
      </c>
      <c r="G371" s="523" t="e">
        <f ca="1">stat(charge_entree[[#This Row],[ch_E_NH4]])</f>
        <v>#NAME?</v>
      </c>
      <c r="H371" s="523" t="e">
        <f ca="1">stat(charge_entree[[#This Row],[ch_E_NTOT]])</f>
        <v>#NAME?</v>
      </c>
      <c r="I371" s="523" t="e">
        <f ca="1">stat(charge_entree[[#This Row],[ch_E_PTOT]])</f>
        <v>#NAME?</v>
      </c>
      <c r="J371" s="523" t="e">
        <f ca="1">stat(charge_entree[[#This Row],[ch_S_DBO]])</f>
        <v>#NAME?</v>
      </c>
      <c r="K371" s="523" t="e">
        <f ca="1">stat(charge_entree[[#This Row],[ch_S-DCO]])</f>
        <v>#NAME?</v>
      </c>
      <c r="L371" s="523" t="e">
        <f ca="1">stat(charge_entree[[#This Row],[ch_S_DOC]])</f>
        <v>#NAME?</v>
      </c>
      <c r="M371" s="523" t="e">
        <f ca="1">stat(charge_entree[[#This Row],[ch_S_NH4]])</f>
        <v>#NAME?</v>
      </c>
      <c r="N371" s="523" t="e">
        <f ca="1">stat(charge_entree[[#This Row],[ch_S_NO2]])</f>
        <v>#NAME?</v>
      </c>
      <c r="O371" s="523" t="e">
        <f ca="1">stat(charge_entree[[#This Row],[ch_S_NO3]])</f>
        <v>#NAME?</v>
      </c>
      <c r="P371" s="523" t="e">
        <f ca="1">stat(charge_entree[[#This Row],[ch_S_PTOT]])</f>
        <v>#NAME?</v>
      </c>
      <c r="Q371" s="523" t="e">
        <f ca="1">stat(charge_entree[[#This Row],[ch_S_SNDT]])</f>
        <v>#NAME?</v>
      </c>
      <c r="R371" s="523">
        <f>calculs!R371</f>
        <v>0</v>
      </c>
      <c r="S371" s="523" t="e">
        <f ca="1">stat(calculs!S371)</f>
        <v>#NAME?</v>
      </c>
      <c r="T371" s="523" t="e">
        <f ca="1">stat(calculs!T371)</f>
        <v>#NAME?</v>
      </c>
      <c r="U371" s="523" t="e">
        <f ca="1">stat(calculs!U371)</f>
        <v>#NAME?</v>
      </c>
      <c r="V371" s="523" t="e">
        <f ca="1">stat(calculs!V371)</f>
        <v>#NAME?</v>
      </c>
      <c r="W371" s="523" t="e">
        <f ca="1">stat(calculs!W371)</f>
        <v>#NAME?</v>
      </c>
      <c r="X371" s="523" t="e">
        <f ca="1">stat(calculs!X371)</f>
        <v>#NAME?</v>
      </c>
      <c r="Y371" s="523" t="e">
        <f ca="1">stat(calculs!Y371)</f>
        <v>#NAME?</v>
      </c>
      <c r="Z371" s="523" t="e">
        <f ca="1">stat(calculs!Z371)</f>
        <v>#NAME?</v>
      </c>
      <c r="AA371" s="523" t="e">
        <f ca="1">stat(calculs!AA371)</f>
        <v>#NAME?</v>
      </c>
      <c r="AB371" s="523" t="e">
        <f ca="1">stat(calculs!AB371)</f>
        <v>#NAME?</v>
      </c>
      <c r="AC371" s="523" t="e">
        <f ca="1">stat(calculs!AC371)</f>
        <v>#NAME?</v>
      </c>
      <c r="AD371" s="523" t="e">
        <f ca="1">stat(calculs!AD371)</f>
        <v>#NAME?</v>
      </c>
      <c r="AE371" s="523" t="e">
        <f ca="1">stat(calculs!AE371)</f>
        <v>#NAME?</v>
      </c>
      <c r="AF371" s="523" t="e">
        <f ca="1">stat(calculs!AF371)</f>
        <v>#NAME?</v>
      </c>
      <c r="AG371" s="523" t="e">
        <f ca="1">stat(calculs!AG371)</f>
        <v>#NAME?</v>
      </c>
      <c r="AH371" s="523" t="e">
        <f ca="1">stat(calculs!AH371)</f>
        <v>#NAME?</v>
      </c>
      <c r="AI371" s="523" t="e">
        <f ca="1">stat(calculs!AI371)</f>
        <v>#NAME?</v>
      </c>
      <c r="AJ371" s="523" t="e">
        <f ca="1">stat(calculs!AJ371)</f>
        <v>#NAME?</v>
      </c>
      <c r="AK371" s="523" t="e">
        <f ca="1">stat(calculs!AK371)</f>
        <v>#NAME?</v>
      </c>
      <c r="AL371" s="523" t="e">
        <f ca="1">stat(calculs!AL371)</f>
        <v>#NAME?</v>
      </c>
      <c r="AM371" s="523" t="e">
        <f ca="1">stat(calculs!AM371)</f>
        <v>#NAME?</v>
      </c>
      <c r="AN371" s="523" t="e">
        <f ca="1">stat(calculs!AN371)</f>
        <v>#NAME?</v>
      </c>
      <c r="AO371" s="523" t="e">
        <f ca="1">stat(calculs!AO371)</f>
        <v>#NAME?</v>
      </c>
      <c r="AP371" s="523" t="e">
        <f ca="1">stat(calculs!AP371)</f>
        <v>#NAME?</v>
      </c>
      <c r="AQ371" s="523" t="e">
        <f ca="1">stat(calculs!AQ371)</f>
        <v>#NAME?</v>
      </c>
      <c r="AV371" s="525" t="str">
        <f>stat(calculs!AV371)</f>
        <v/>
      </c>
      <c r="AW371" s="525" t="str">
        <f>stat(calculs!AW371)</f>
        <v/>
      </c>
      <c r="AX371" s="525" t="str">
        <f>stat(calculs!AX371)</f>
        <v/>
      </c>
      <c r="AY371" s="525" t="e">
        <f ca="1">stat(calculs!AY371)</f>
        <v>#NAME?</v>
      </c>
      <c r="AZ371" s="525" t="e">
        <f ca="1">stat(calculs!AZ371)</f>
        <v>#NAME?</v>
      </c>
      <c r="BA371" s="525" t="e">
        <f ca="1">stat(calculs!BA371)</f>
        <v>#NAME?</v>
      </c>
      <c r="BB371" s="525" t="e">
        <f ca="1">stat(calculs!BB371)</f>
        <v>#NAME?</v>
      </c>
      <c r="BC371" s="525" t="e">
        <f ca="1">stat(calculs!BC371)</f>
        <v>#NAME?</v>
      </c>
      <c r="BD371" s="525" t="e">
        <f ca="1">stat(calculs!BD371)</f>
        <v>#NAME?</v>
      </c>
      <c r="BE371" s="525" t="e">
        <f ca="1">stat(calculs!BE371)</f>
        <v>#NAME?</v>
      </c>
      <c r="BF371" s="525" t="e">
        <f ca="1">stat(calculs!BF371)</f>
        <v>#NAME?</v>
      </c>
      <c r="BG371" s="729" t="e">
        <f ca="1">stat(calculs!BG371)</f>
        <v>#NAME?</v>
      </c>
      <c r="BH371" s="729" t="e">
        <f ca="1">stat(calculs!BH371)</f>
        <v>#NAME?</v>
      </c>
      <c r="BI371" s="729" t="e">
        <f ca="1">stat(calculs!BI371)</f>
        <v>#NAME?</v>
      </c>
      <c r="BJ371" s="729" t="e">
        <f ca="1">stat(calculs!BJ371)</f>
        <v>#NAME?</v>
      </c>
      <c r="BK371" s="729" t="e">
        <f ca="1">stat(calculs!BK371)</f>
        <v>#NAME?</v>
      </c>
      <c r="BL371" s="525" t="e">
        <f ca="1">stat(calculs!BL371)</f>
        <v>#NAME?</v>
      </c>
      <c r="BM371" s="525" t="e">
        <f ca="1">stat(calculs!BM371)</f>
        <v>#NAME?</v>
      </c>
      <c r="BN371" s="525" t="e">
        <f ca="1">stat(calculs!BN371)</f>
        <v>#NAME?</v>
      </c>
      <c r="BO371" s="525" t="e">
        <f ca="1">stat(calculs!BO371)</f>
        <v>#NAME?</v>
      </c>
      <c r="BP371" s="525" t="e">
        <f ca="1">stat(calculs!BP371)</f>
        <v>#NAME?</v>
      </c>
      <c r="BQ371" s="525" t="e">
        <f ca="1">stat(calculs!BQ371)</f>
        <v>#NAME?</v>
      </c>
      <c r="BR371" s="525" t="e">
        <f ca="1">stat(calculs!BR371)</f>
        <v>#NAME?</v>
      </c>
    </row>
    <row r="372" spans="1:70" x14ac:dyDescent="0.2">
      <c r="A372" s="222">
        <f>données_step[[#This Row],[Datum]]</f>
        <v>44923</v>
      </c>
      <c r="B372" s="223"/>
      <c r="C372" s="224">
        <f t="shared" si="5"/>
        <v>4</v>
      </c>
      <c r="D372" s="523" t="e">
        <f ca="1">stat(charge_entree[[#This Row],[ch_E_DBO5]])</f>
        <v>#NAME?</v>
      </c>
      <c r="E372" s="523" t="e">
        <f ca="1">stat(charge_entree[[#This Row],[ch_E_DCO]])</f>
        <v>#NAME?</v>
      </c>
      <c r="F372" s="523" t="e">
        <f ca="1">stat(charge_entree[[#This Row],[ch_E_COT]])</f>
        <v>#NAME?</v>
      </c>
      <c r="G372" s="523" t="e">
        <f ca="1">stat(charge_entree[[#This Row],[ch_E_NH4]])</f>
        <v>#NAME?</v>
      </c>
      <c r="H372" s="523" t="e">
        <f ca="1">stat(charge_entree[[#This Row],[ch_E_NTOT]])</f>
        <v>#NAME?</v>
      </c>
      <c r="I372" s="523" t="e">
        <f ca="1">stat(charge_entree[[#This Row],[ch_E_PTOT]])</f>
        <v>#NAME?</v>
      </c>
      <c r="J372" s="523" t="e">
        <f ca="1">stat(charge_entree[[#This Row],[ch_S_DBO]])</f>
        <v>#NAME?</v>
      </c>
      <c r="K372" s="523" t="e">
        <f ca="1">stat(charge_entree[[#This Row],[ch_S-DCO]])</f>
        <v>#NAME?</v>
      </c>
      <c r="L372" s="523" t="e">
        <f ca="1">stat(charge_entree[[#This Row],[ch_S_DOC]])</f>
        <v>#NAME?</v>
      </c>
      <c r="M372" s="523" t="e">
        <f ca="1">stat(charge_entree[[#This Row],[ch_S_NH4]])</f>
        <v>#NAME?</v>
      </c>
      <c r="N372" s="523" t="e">
        <f ca="1">stat(charge_entree[[#This Row],[ch_S_NO2]])</f>
        <v>#NAME?</v>
      </c>
      <c r="O372" s="523" t="e">
        <f ca="1">stat(charge_entree[[#This Row],[ch_S_NO3]])</f>
        <v>#NAME?</v>
      </c>
      <c r="P372" s="523" t="e">
        <f ca="1">stat(charge_entree[[#This Row],[ch_S_PTOT]])</f>
        <v>#NAME?</v>
      </c>
      <c r="Q372" s="523" t="e">
        <f ca="1">stat(charge_entree[[#This Row],[ch_S_SNDT]])</f>
        <v>#NAME?</v>
      </c>
      <c r="R372" s="523">
        <f>calculs!R372</f>
        <v>0</v>
      </c>
      <c r="S372" s="523" t="e">
        <f ca="1">stat(calculs!S372)</f>
        <v>#NAME?</v>
      </c>
      <c r="T372" s="523" t="e">
        <f ca="1">stat(calculs!T372)</f>
        <v>#NAME?</v>
      </c>
      <c r="U372" s="523" t="e">
        <f ca="1">stat(calculs!U372)</f>
        <v>#NAME?</v>
      </c>
      <c r="V372" s="523" t="e">
        <f ca="1">stat(calculs!V372)</f>
        <v>#NAME?</v>
      </c>
      <c r="W372" s="523" t="e">
        <f ca="1">stat(calculs!W372)</f>
        <v>#NAME?</v>
      </c>
      <c r="X372" s="523" t="e">
        <f ca="1">stat(calculs!X372)</f>
        <v>#NAME?</v>
      </c>
      <c r="Y372" s="523" t="e">
        <f ca="1">stat(calculs!Y372)</f>
        <v>#NAME?</v>
      </c>
      <c r="Z372" s="523" t="e">
        <f ca="1">stat(calculs!Z372)</f>
        <v>#NAME?</v>
      </c>
      <c r="AA372" s="523" t="e">
        <f ca="1">stat(calculs!AA372)</f>
        <v>#NAME?</v>
      </c>
      <c r="AB372" s="523" t="e">
        <f ca="1">stat(calculs!AB372)</f>
        <v>#NAME?</v>
      </c>
      <c r="AC372" s="523" t="e">
        <f ca="1">stat(calculs!AC372)</f>
        <v>#NAME?</v>
      </c>
      <c r="AD372" s="523" t="e">
        <f ca="1">stat(calculs!AD372)</f>
        <v>#NAME?</v>
      </c>
      <c r="AE372" s="523" t="e">
        <f ca="1">stat(calculs!AE372)</f>
        <v>#NAME?</v>
      </c>
      <c r="AF372" s="523" t="e">
        <f ca="1">stat(calculs!AF372)</f>
        <v>#NAME?</v>
      </c>
      <c r="AG372" s="523" t="e">
        <f ca="1">stat(calculs!AG372)</f>
        <v>#NAME?</v>
      </c>
      <c r="AH372" s="523" t="e">
        <f ca="1">stat(calculs!AH372)</f>
        <v>#NAME?</v>
      </c>
      <c r="AI372" s="523" t="e">
        <f ca="1">stat(calculs!AI372)</f>
        <v>#NAME?</v>
      </c>
      <c r="AJ372" s="523" t="e">
        <f ca="1">stat(calculs!AJ372)</f>
        <v>#NAME?</v>
      </c>
      <c r="AK372" s="523" t="e">
        <f ca="1">stat(calculs!AK372)</f>
        <v>#NAME?</v>
      </c>
      <c r="AL372" s="523" t="e">
        <f ca="1">stat(calculs!AL372)</f>
        <v>#NAME?</v>
      </c>
      <c r="AM372" s="523" t="e">
        <f ca="1">stat(calculs!AM372)</f>
        <v>#NAME?</v>
      </c>
      <c r="AN372" s="523" t="e">
        <f ca="1">stat(calculs!AN372)</f>
        <v>#NAME?</v>
      </c>
      <c r="AO372" s="523" t="e">
        <f ca="1">stat(calculs!AO372)</f>
        <v>#NAME?</v>
      </c>
      <c r="AP372" s="523" t="e">
        <f ca="1">stat(calculs!AP372)</f>
        <v>#NAME?</v>
      </c>
      <c r="AQ372" s="523" t="e">
        <f ca="1">stat(calculs!AQ372)</f>
        <v>#NAME?</v>
      </c>
      <c r="AV372" s="525" t="str">
        <f>stat(calculs!AV372)</f>
        <v/>
      </c>
      <c r="AW372" s="525" t="str">
        <f>stat(calculs!AW372)</f>
        <v/>
      </c>
      <c r="AX372" s="525" t="str">
        <f>stat(calculs!AX372)</f>
        <v/>
      </c>
      <c r="AY372" s="525" t="e">
        <f ca="1">stat(calculs!AY372)</f>
        <v>#NAME?</v>
      </c>
      <c r="AZ372" s="525" t="e">
        <f ca="1">stat(calculs!AZ372)</f>
        <v>#NAME?</v>
      </c>
      <c r="BA372" s="525" t="e">
        <f ca="1">stat(calculs!BA372)</f>
        <v>#NAME?</v>
      </c>
      <c r="BB372" s="525" t="e">
        <f ca="1">stat(calculs!BB372)</f>
        <v>#NAME?</v>
      </c>
      <c r="BC372" s="525" t="e">
        <f ca="1">stat(calculs!BC372)</f>
        <v>#NAME?</v>
      </c>
      <c r="BD372" s="525" t="e">
        <f ca="1">stat(calculs!BD372)</f>
        <v>#NAME?</v>
      </c>
      <c r="BE372" s="525" t="e">
        <f ca="1">stat(calculs!BE372)</f>
        <v>#NAME?</v>
      </c>
      <c r="BF372" s="525" t="e">
        <f ca="1">stat(calculs!BF372)</f>
        <v>#NAME?</v>
      </c>
      <c r="BG372" s="729" t="e">
        <f ca="1">stat(calculs!BG372)</f>
        <v>#NAME?</v>
      </c>
      <c r="BH372" s="729" t="e">
        <f ca="1">stat(calculs!BH372)</f>
        <v>#NAME?</v>
      </c>
      <c r="BI372" s="729" t="e">
        <f ca="1">stat(calculs!BI372)</f>
        <v>#NAME?</v>
      </c>
      <c r="BJ372" s="729" t="e">
        <f ca="1">stat(calculs!BJ372)</f>
        <v>#NAME?</v>
      </c>
      <c r="BK372" s="729" t="e">
        <f ca="1">stat(calculs!BK372)</f>
        <v>#NAME?</v>
      </c>
      <c r="BL372" s="525" t="e">
        <f ca="1">stat(calculs!BL372)</f>
        <v>#NAME?</v>
      </c>
      <c r="BM372" s="525" t="e">
        <f ca="1">stat(calculs!BM372)</f>
        <v>#NAME?</v>
      </c>
      <c r="BN372" s="525" t="e">
        <f ca="1">stat(calculs!BN372)</f>
        <v>#NAME?</v>
      </c>
      <c r="BO372" s="525" t="e">
        <f ca="1">stat(calculs!BO372)</f>
        <v>#NAME?</v>
      </c>
      <c r="BP372" s="525" t="e">
        <f ca="1">stat(calculs!BP372)</f>
        <v>#NAME?</v>
      </c>
      <c r="BQ372" s="525" t="e">
        <f ca="1">stat(calculs!BQ372)</f>
        <v>#NAME?</v>
      </c>
      <c r="BR372" s="525" t="e">
        <f ca="1">stat(calculs!BR372)</f>
        <v>#NAME?</v>
      </c>
    </row>
    <row r="373" spans="1:70" x14ac:dyDescent="0.2">
      <c r="A373" s="222">
        <f>données_step[[#This Row],[Datum]]</f>
        <v>44924</v>
      </c>
      <c r="B373" s="223"/>
      <c r="C373" s="224">
        <f t="shared" si="5"/>
        <v>5</v>
      </c>
      <c r="D373" s="523" t="e">
        <f ca="1">stat(charge_entree[[#This Row],[ch_E_DBO5]])</f>
        <v>#NAME?</v>
      </c>
      <c r="E373" s="523" t="e">
        <f ca="1">stat(charge_entree[[#This Row],[ch_E_DCO]])</f>
        <v>#NAME?</v>
      </c>
      <c r="F373" s="523" t="e">
        <f ca="1">stat(charge_entree[[#This Row],[ch_E_COT]])</f>
        <v>#NAME?</v>
      </c>
      <c r="G373" s="523" t="e">
        <f ca="1">stat(charge_entree[[#This Row],[ch_E_NH4]])</f>
        <v>#NAME?</v>
      </c>
      <c r="H373" s="523" t="e">
        <f ca="1">stat(charge_entree[[#This Row],[ch_E_NTOT]])</f>
        <v>#NAME?</v>
      </c>
      <c r="I373" s="523" t="e">
        <f ca="1">stat(charge_entree[[#This Row],[ch_E_PTOT]])</f>
        <v>#NAME?</v>
      </c>
      <c r="J373" s="523" t="e">
        <f ca="1">stat(charge_entree[[#This Row],[ch_S_DBO]])</f>
        <v>#NAME?</v>
      </c>
      <c r="K373" s="523" t="e">
        <f ca="1">stat(charge_entree[[#This Row],[ch_S-DCO]])</f>
        <v>#NAME?</v>
      </c>
      <c r="L373" s="523" t="e">
        <f ca="1">stat(charge_entree[[#This Row],[ch_S_DOC]])</f>
        <v>#NAME?</v>
      </c>
      <c r="M373" s="523" t="e">
        <f ca="1">stat(charge_entree[[#This Row],[ch_S_NH4]])</f>
        <v>#NAME?</v>
      </c>
      <c r="N373" s="523" t="e">
        <f ca="1">stat(charge_entree[[#This Row],[ch_S_NO2]])</f>
        <v>#NAME?</v>
      </c>
      <c r="O373" s="523" t="e">
        <f ca="1">stat(charge_entree[[#This Row],[ch_S_NO3]])</f>
        <v>#NAME?</v>
      </c>
      <c r="P373" s="523" t="e">
        <f ca="1">stat(charge_entree[[#This Row],[ch_S_PTOT]])</f>
        <v>#NAME?</v>
      </c>
      <c r="Q373" s="523" t="e">
        <f ca="1">stat(charge_entree[[#This Row],[ch_S_SNDT]])</f>
        <v>#NAME?</v>
      </c>
      <c r="R373" s="523">
        <f>calculs!R373</f>
        <v>0</v>
      </c>
      <c r="S373" s="523" t="e">
        <f ca="1">stat(calculs!S373)</f>
        <v>#NAME?</v>
      </c>
      <c r="T373" s="523" t="e">
        <f ca="1">stat(calculs!T373)</f>
        <v>#NAME?</v>
      </c>
      <c r="U373" s="523" t="e">
        <f ca="1">stat(calculs!U373)</f>
        <v>#NAME?</v>
      </c>
      <c r="V373" s="523" t="e">
        <f ca="1">stat(calculs!V373)</f>
        <v>#NAME?</v>
      </c>
      <c r="W373" s="523" t="e">
        <f ca="1">stat(calculs!W373)</f>
        <v>#NAME?</v>
      </c>
      <c r="X373" s="523" t="e">
        <f ca="1">stat(calculs!X373)</f>
        <v>#NAME?</v>
      </c>
      <c r="Y373" s="523" t="e">
        <f ca="1">stat(calculs!Y373)</f>
        <v>#NAME?</v>
      </c>
      <c r="Z373" s="523" t="e">
        <f ca="1">stat(calculs!Z373)</f>
        <v>#NAME?</v>
      </c>
      <c r="AA373" s="523" t="e">
        <f ca="1">stat(calculs!AA373)</f>
        <v>#NAME?</v>
      </c>
      <c r="AB373" s="523" t="e">
        <f ca="1">stat(calculs!AB373)</f>
        <v>#NAME?</v>
      </c>
      <c r="AC373" s="523" t="e">
        <f ca="1">stat(calculs!AC373)</f>
        <v>#NAME?</v>
      </c>
      <c r="AD373" s="523" t="e">
        <f ca="1">stat(calculs!AD373)</f>
        <v>#NAME?</v>
      </c>
      <c r="AE373" s="523" t="e">
        <f ca="1">stat(calculs!AE373)</f>
        <v>#NAME?</v>
      </c>
      <c r="AF373" s="523" t="e">
        <f ca="1">stat(calculs!AF373)</f>
        <v>#NAME?</v>
      </c>
      <c r="AG373" s="523" t="e">
        <f ca="1">stat(calculs!AG373)</f>
        <v>#NAME?</v>
      </c>
      <c r="AH373" s="523" t="e">
        <f ca="1">stat(calculs!AH373)</f>
        <v>#NAME?</v>
      </c>
      <c r="AI373" s="523" t="e">
        <f ca="1">stat(calculs!AI373)</f>
        <v>#NAME?</v>
      </c>
      <c r="AJ373" s="523" t="e">
        <f ca="1">stat(calculs!AJ373)</f>
        <v>#NAME?</v>
      </c>
      <c r="AK373" s="523" t="e">
        <f ca="1">stat(calculs!AK373)</f>
        <v>#NAME?</v>
      </c>
      <c r="AL373" s="523" t="e">
        <f ca="1">stat(calculs!AL373)</f>
        <v>#NAME?</v>
      </c>
      <c r="AM373" s="523" t="e">
        <f ca="1">stat(calculs!AM373)</f>
        <v>#NAME?</v>
      </c>
      <c r="AN373" s="523" t="e">
        <f ca="1">stat(calculs!AN373)</f>
        <v>#NAME?</v>
      </c>
      <c r="AO373" s="523" t="e">
        <f ca="1">stat(calculs!AO373)</f>
        <v>#NAME?</v>
      </c>
      <c r="AP373" s="523" t="e">
        <f ca="1">stat(calculs!AP373)</f>
        <v>#NAME?</v>
      </c>
      <c r="AQ373" s="523" t="e">
        <f ca="1">stat(calculs!AQ373)</f>
        <v>#NAME?</v>
      </c>
      <c r="AV373" s="525" t="str">
        <f>stat(calculs!AV373)</f>
        <v/>
      </c>
      <c r="AW373" s="525" t="str">
        <f>stat(calculs!AW373)</f>
        <v/>
      </c>
      <c r="AX373" s="525" t="str">
        <f>stat(calculs!AX373)</f>
        <v/>
      </c>
      <c r="AY373" s="525" t="e">
        <f ca="1">stat(calculs!AY373)</f>
        <v>#NAME?</v>
      </c>
      <c r="AZ373" s="525" t="e">
        <f ca="1">stat(calculs!AZ373)</f>
        <v>#NAME?</v>
      </c>
      <c r="BA373" s="525" t="e">
        <f ca="1">stat(calculs!BA373)</f>
        <v>#NAME?</v>
      </c>
      <c r="BB373" s="525" t="e">
        <f ca="1">stat(calculs!BB373)</f>
        <v>#NAME?</v>
      </c>
      <c r="BC373" s="525" t="e">
        <f ca="1">stat(calculs!BC373)</f>
        <v>#NAME?</v>
      </c>
      <c r="BD373" s="525" t="e">
        <f ca="1">stat(calculs!BD373)</f>
        <v>#NAME?</v>
      </c>
      <c r="BE373" s="525" t="e">
        <f ca="1">stat(calculs!BE373)</f>
        <v>#NAME?</v>
      </c>
      <c r="BF373" s="525" t="e">
        <f ca="1">stat(calculs!BF373)</f>
        <v>#NAME?</v>
      </c>
      <c r="BG373" s="729" t="e">
        <f ca="1">stat(calculs!BG373)</f>
        <v>#NAME?</v>
      </c>
      <c r="BH373" s="729" t="e">
        <f ca="1">stat(calculs!BH373)</f>
        <v>#NAME?</v>
      </c>
      <c r="BI373" s="729" t="e">
        <f ca="1">stat(calculs!BI373)</f>
        <v>#NAME?</v>
      </c>
      <c r="BJ373" s="729" t="e">
        <f ca="1">stat(calculs!BJ373)</f>
        <v>#NAME?</v>
      </c>
      <c r="BK373" s="729" t="e">
        <f ca="1">stat(calculs!BK373)</f>
        <v>#NAME?</v>
      </c>
      <c r="BL373" s="525" t="e">
        <f ca="1">stat(calculs!BL373)</f>
        <v>#NAME?</v>
      </c>
      <c r="BM373" s="525" t="e">
        <f ca="1">stat(calculs!BM373)</f>
        <v>#NAME?</v>
      </c>
      <c r="BN373" s="525" t="e">
        <f ca="1">stat(calculs!BN373)</f>
        <v>#NAME?</v>
      </c>
      <c r="BO373" s="525" t="e">
        <f ca="1">stat(calculs!BO373)</f>
        <v>#NAME?</v>
      </c>
      <c r="BP373" s="525" t="e">
        <f ca="1">stat(calculs!BP373)</f>
        <v>#NAME?</v>
      </c>
      <c r="BQ373" s="525" t="e">
        <f ca="1">stat(calculs!BQ373)</f>
        <v>#NAME?</v>
      </c>
      <c r="BR373" s="525" t="e">
        <f ca="1">stat(calculs!BR373)</f>
        <v>#NAME?</v>
      </c>
    </row>
    <row r="374" spans="1:70" x14ac:dyDescent="0.2">
      <c r="A374" s="222">
        <f>données_step[[#This Row],[Datum]]</f>
        <v>44925</v>
      </c>
      <c r="B374" s="223"/>
      <c r="C374" s="224">
        <f t="shared" si="5"/>
        <v>6</v>
      </c>
      <c r="D374" s="523" t="e">
        <f ca="1">stat(charge_entree[[#This Row],[ch_E_DBO5]])</f>
        <v>#NAME?</v>
      </c>
      <c r="E374" s="523" t="e">
        <f ca="1">stat(charge_entree[[#This Row],[ch_E_DCO]])</f>
        <v>#NAME?</v>
      </c>
      <c r="F374" s="523" t="e">
        <f ca="1">stat(charge_entree[[#This Row],[ch_E_COT]])</f>
        <v>#NAME?</v>
      </c>
      <c r="G374" s="523" t="e">
        <f ca="1">stat(charge_entree[[#This Row],[ch_E_NH4]])</f>
        <v>#NAME?</v>
      </c>
      <c r="H374" s="523" t="e">
        <f ca="1">stat(charge_entree[[#This Row],[ch_E_NTOT]])</f>
        <v>#NAME?</v>
      </c>
      <c r="I374" s="523" t="e">
        <f ca="1">stat(charge_entree[[#This Row],[ch_E_PTOT]])</f>
        <v>#NAME?</v>
      </c>
      <c r="J374" s="523" t="e">
        <f ca="1">stat(charge_entree[[#This Row],[ch_S_DBO]])</f>
        <v>#NAME?</v>
      </c>
      <c r="K374" s="523" t="e">
        <f ca="1">stat(charge_entree[[#This Row],[ch_S-DCO]])</f>
        <v>#NAME?</v>
      </c>
      <c r="L374" s="523" t="e">
        <f ca="1">stat(charge_entree[[#This Row],[ch_S_DOC]])</f>
        <v>#NAME?</v>
      </c>
      <c r="M374" s="523" t="e">
        <f ca="1">stat(charge_entree[[#This Row],[ch_S_NH4]])</f>
        <v>#NAME?</v>
      </c>
      <c r="N374" s="523" t="e">
        <f ca="1">stat(charge_entree[[#This Row],[ch_S_NO2]])</f>
        <v>#NAME?</v>
      </c>
      <c r="O374" s="523" t="e">
        <f ca="1">stat(charge_entree[[#This Row],[ch_S_NO3]])</f>
        <v>#NAME?</v>
      </c>
      <c r="P374" s="523" t="e">
        <f ca="1">stat(charge_entree[[#This Row],[ch_S_PTOT]])</f>
        <v>#NAME?</v>
      </c>
      <c r="Q374" s="523" t="e">
        <f ca="1">stat(charge_entree[[#This Row],[ch_S_SNDT]])</f>
        <v>#NAME?</v>
      </c>
      <c r="R374" s="523">
        <f>calculs!R374</f>
        <v>0</v>
      </c>
      <c r="S374" s="523" t="e">
        <f ca="1">stat(calculs!S374)</f>
        <v>#NAME?</v>
      </c>
      <c r="T374" s="523" t="e">
        <f ca="1">stat(calculs!T374)</f>
        <v>#NAME?</v>
      </c>
      <c r="U374" s="523" t="e">
        <f ca="1">stat(calculs!U374)</f>
        <v>#NAME?</v>
      </c>
      <c r="V374" s="523" t="e">
        <f ca="1">stat(calculs!V374)</f>
        <v>#NAME?</v>
      </c>
      <c r="W374" s="523" t="e">
        <f ca="1">stat(calculs!W374)</f>
        <v>#NAME?</v>
      </c>
      <c r="X374" s="523" t="e">
        <f ca="1">stat(calculs!X374)</f>
        <v>#NAME?</v>
      </c>
      <c r="Y374" s="523" t="e">
        <f ca="1">stat(calculs!Y374)</f>
        <v>#NAME?</v>
      </c>
      <c r="Z374" s="523" t="e">
        <f ca="1">stat(calculs!Z374)</f>
        <v>#NAME?</v>
      </c>
      <c r="AA374" s="523" t="e">
        <f ca="1">stat(calculs!AA374)</f>
        <v>#NAME?</v>
      </c>
      <c r="AB374" s="523" t="e">
        <f ca="1">stat(calculs!AB374)</f>
        <v>#NAME?</v>
      </c>
      <c r="AC374" s="523" t="e">
        <f ca="1">stat(calculs!AC374)</f>
        <v>#NAME?</v>
      </c>
      <c r="AD374" s="523" t="e">
        <f ca="1">stat(calculs!AD374)</f>
        <v>#NAME?</v>
      </c>
      <c r="AE374" s="523" t="e">
        <f ca="1">stat(calculs!AE374)</f>
        <v>#NAME?</v>
      </c>
      <c r="AF374" s="523" t="e">
        <f ca="1">stat(calculs!AF374)</f>
        <v>#NAME?</v>
      </c>
      <c r="AG374" s="523" t="e">
        <f ca="1">stat(calculs!AG374)</f>
        <v>#NAME?</v>
      </c>
      <c r="AH374" s="523" t="e">
        <f ca="1">stat(calculs!AH374)</f>
        <v>#NAME?</v>
      </c>
      <c r="AI374" s="523" t="e">
        <f ca="1">stat(calculs!AI374)</f>
        <v>#NAME?</v>
      </c>
      <c r="AJ374" s="523" t="e">
        <f ca="1">stat(calculs!AJ374)</f>
        <v>#NAME?</v>
      </c>
      <c r="AK374" s="523" t="e">
        <f ca="1">stat(calculs!AK374)</f>
        <v>#NAME?</v>
      </c>
      <c r="AL374" s="523" t="e">
        <f ca="1">stat(calculs!AL374)</f>
        <v>#NAME?</v>
      </c>
      <c r="AM374" s="523" t="e">
        <f ca="1">stat(calculs!AM374)</f>
        <v>#NAME?</v>
      </c>
      <c r="AN374" s="523" t="e">
        <f ca="1">stat(calculs!AN374)</f>
        <v>#NAME?</v>
      </c>
      <c r="AO374" s="523" t="e">
        <f ca="1">stat(calculs!AO374)</f>
        <v>#NAME?</v>
      </c>
      <c r="AP374" s="523" t="e">
        <f ca="1">stat(calculs!AP374)</f>
        <v>#NAME?</v>
      </c>
      <c r="AQ374" s="523" t="e">
        <f ca="1">stat(calculs!AQ374)</f>
        <v>#NAME?</v>
      </c>
      <c r="AV374" s="525" t="str">
        <f>stat(calculs!AV374)</f>
        <v/>
      </c>
      <c r="AW374" s="525" t="str">
        <f>stat(calculs!AW374)</f>
        <v/>
      </c>
      <c r="AX374" s="525" t="str">
        <f>stat(calculs!AX374)</f>
        <v/>
      </c>
      <c r="AY374" s="525" t="e">
        <f ca="1">stat(calculs!AY374)</f>
        <v>#NAME?</v>
      </c>
      <c r="AZ374" s="525" t="e">
        <f ca="1">stat(calculs!AZ374)</f>
        <v>#NAME?</v>
      </c>
      <c r="BA374" s="525" t="e">
        <f ca="1">stat(calculs!BA374)</f>
        <v>#NAME?</v>
      </c>
      <c r="BB374" s="525" t="e">
        <f ca="1">stat(calculs!BB374)</f>
        <v>#NAME?</v>
      </c>
      <c r="BC374" s="525" t="e">
        <f ca="1">stat(calculs!BC374)</f>
        <v>#NAME?</v>
      </c>
      <c r="BD374" s="525" t="e">
        <f ca="1">stat(calculs!BD374)</f>
        <v>#NAME?</v>
      </c>
      <c r="BE374" s="525" t="e">
        <f ca="1">stat(calculs!BE374)</f>
        <v>#NAME?</v>
      </c>
      <c r="BF374" s="525" t="e">
        <f ca="1">stat(calculs!BF374)</f>
        <v>#NAME?</v>
      </c>
      <c r="BG374" s="729" t="e">
        <f ca="1">stat(calculs!BG374)</f>
        <v>#NAME?</v>
      </c>
      <c r="BH374" s="729" t="e">
        <f ca="1">stat(calculs!BH374)</f>
        <v>#NAME?</v>
      </c>
      <c r="BI374" s="729" t="e">
        <f ca="1">stat(calculs!BI374)</f>
        <v>#NAME?</v>
      </c>
      <c r="BJ374" s="729" t="e">
        <f ca="1">stat(calculs!BJ374)</f>
        <v>#NAME?</v>
      </c>
      <c r="BK374" s="729" t="e">
        <f ca="1">stat(calculs!BK374)</f>
        <v>#NAME?</v>
      </c>
      <c r="BL374" s="525" t="e">
        <f ca="1">stat(calculs!BL374)</f>
        <v>#NAME?</v>
      </c>
      <c r="BM374" s="525" t="e">
        <f ca="1">stat(calculs!BM374)</f>
        <v>#NAME?</v>
      </c>
      <c r="BN374" s="525" t="e">
        <f ca="1">stat(calculs!BN374)</f>
        <v>#NAME?</v>
      </c>
      <c r="BO374" s="525" t="e">
        <f ca="1">stat(calculs!BO374)</f>
        <v>#NAME?</v>
      </c>
      <c r="BP374" s="525" t="e">
        <f ca="1">stat(calculs!BP374)</f>
        <v>#NAME?</v>
      </c>
      <c r="BQ374" s="525" t="e">
        <f ca="1">stat(calculs!BQ374)</f>
        <v>#NAME?</v>
      </c>
      <c r="BR374" s="525" t="e">
        <f ca="1">stat(calculs!BR374)</f>
        <v>#NAME?</v>
      </c>
    </row>
    <row r="375" spans="1:70" x14ac:dyDescent="0.2">
      <c r="A375" s="222">
        <f>données_step[[#This Row],[Datum]]</f>
        <v>44926</v>
      </c>
      <c r="B375" s="223"/>
      <c r="C375" s="224">
        <f t="shared" si="5"/>
        <v>7</v>
      </c>
      <c r="D375" s="523" t="e">
        <f ca="1">stat(charge_entree[[#This Row],[ch_E_DBO5]])</f>
        <v>#NAME?</v>
      </c>
      <c r="E375" s="523" t="e">
        <f ca="1">stat(charge_entree[[#This Row],[ch_E_DCO]])</f>
        <v>#NAME?</v>
      </c>
      <c r="F375" s="523" t="e">
        <f ca="1">stat(charge_entree[[#This Row],[ch_E_COT]])</f>
        <v>#NAME?</v>
      </c>
      <c r="G375" s="523" t="e">
        <f ca="1">stat(charge_entree[[#This Row],[ch_E_NH4]])</f>
        <v>#NAME?</v>
      </c>
      <c r="H375" s="523" t="e">
        <f ca="1">stat(charge_entree[[#This Row],[ch_E_NTOT]])</f>
        <v>#NAME?</v>
      </c>
      <c r="I375" s="523" t="e">
        <f ca="1">stat(charge_entree[[#This Row],[ch_E_PTOT]])</f>
        <v>#NAME?</v>
      </c>
      <c r="J375" s="523" t="e">
        <f ca="1">stat(charge_entree[[#This Row],[ch_S_DBO]])</f>
        <v>#NAME?</v>
      </c>
      <c r="K375" s="523" t="e">
        <f ca="1">stat(charge_entree[[#This Row],[ch_S-DCO]])</f>
        <v>#NAME?</v>
      </c>
      <c r="L375" s="523" t="e">
        <f ca="1">stat(charge_entree[[#This Row],[ch_S_DOC]])</f>
        <v>#NAME?</v>
      </c>
      <c r="M375" s="523" t="e">
        <f ca="1">stat(charge_entree[[#This Row],[ch_S_NH4]])</f>
        <v>#NAME?</v>
      </c>
      <c r="N375" s="523" t="e">
        <f ca="1">stat(charge_entree[[#This Row],[ch_S_NO2]])</f>
        <v>#NAME?</v>
      </c>
      <c r="O375" s="523" t="e">
        <f ca="1">stat(charge_entree[[#This Row],[ch_S_NO3]])</f>
        <v>#NAME?</v>
      </c>
      <c r="P375" s="523" t="e">
        <f ca="1">stat(charge_entree[[#This Row],[ch_S_PTOT]])</f>
        <v>#NAME?</v>
      </c>
      <c r="Q375" s="523" t="e">
        <f ca="1">stat(charge_entree[[#This Row],[ch_S_SNDT]])</f>
        <v>#NAME?</v>
      </c>
      <c r="R375" s="523">
        <f>calculs!R375</f>
        <v>0</v>
      </c>
      <c r="S375" s="523" t="e">
        <f ca="1">stat(calculs!S375)</f>
        <v>#NAME?</v>
      </c>
      <c r="T375" s="523" t="e">
        <f ca="1">stat(calculs!T375)</f>
        <v>#NAME?</v>
      </c>
      <c r="U375" s="523" t="e">
        <f ca="1">stat(calculs!U375)</f>
        <v>#NAME?</v>
      </c>
      <c r="V375" s="523" t="e">
        <f ca="1">stat(calculs!V375)</f>
        <v>#NAME?</v>
      </c>
      <c r="W375" s="523" t="e">
        <f ca="1">stat(calculs!W375)</f>
        <v>#NAME?</v>
      </c>
      <c r="X375" s="523" t="e">
        <f ca="1">stat(calculs!X375)</f>
        <v>#NAME?</v>
      </c>
      <c r="Y375" s="523" t="e">
        <f ca="1">stat(calculs!Y375)</f>
        <v>#NAME?</v>
      </c>
      <c r="Z375" s="523" t="e">
        <f ca="1">stat(calculs!Z375)</f>
        <v>#NAME?</v>
      </c>
      <c r="AA375" s="523" t="e">
        <f ca="1">stat(calculs!AA375)</f>
        <v>#NAME?</v>
      </c>
      <c r="AB375" s="523" t="e">
        <f ca="1">stat(calculs!AB375)</f>
        <v>#NAME?</v>
      </c>
      <c r="AC375" s="523" t="e">
        <f ca="1">stat(calculs!AC375)</f>
        <v>#NAME?</v>
      </c>
      <c r="AD375" s="523" t="e">
        <f ca="1">stat(calculs!AD375)</f>
        <v>#NAME?</v>
      </c>
      <c r="AE375" s="523" t="e">
        <f ca="1">stat(calculs!AE375)</f>
        <v>#NAME?</v>
      </c>
      <c r="AF375" s="523" t="e">
        <f ca="1">stat(calculs!AF375)</f>
        <v>#NAME?</v>
      </c>
      <c r="AG375" s="523" t="e">
        <f ca="1">stat(calculs!AG375)</f>
        <v>#NAME?</v>
      </c>
      <c r="AH375" s="523" t="e">
        <f ca="1">stat(calculs!AH375)</f>
        <v>#NAME?</v>
      </c>
      <c r="AI375" s="523" t="e">
        <f ca="1">stat(calculs!AI375)</f>
        <v>#NAME?</v>
      </c>
      <c r="AJ375" s="523" t="e">
        <f ca="1">stat(calculs!AJ375)</f>
        <v>#NAME?</v>
      </c>
      <c r="AK375" s="523" t="e">
        <f ca="1">stat(calculs!AK375)</f>
        <v>#NAME?</v>
      </c>
      <c r="AL375" s="523" t="e">
        <f ca="1">stat(calculs!AL375)</f>
        <v>#NAME?</v>
      </c>
      <c r="AM375" s="523" t="e">
        <f ca="1">stat(calculs!AM375)</f>
        <v>#NAME?</v>
      </c>
      <c r="AN375" s="523" t="e">
        <f ca="1">stat(calculs!AN375)</f>
        <v>#NAME?</v>
      </c>
      <c r="AO375" s="523" t="e">
        <f ca="1">stat(calculs!AO375)</f>
        <v>#NAME?</v>
      </c>
      <c r="AP375" s="523" t="e">
        <f ca="1">stat(calculs!AP375)</f>
        <v>#NAME?</v>
      </c>
      <c r="AQ375" s="523" t="e">
        <f ca="1">stat(calculs!AQ375)</f>
        <v>#NAME?</v>
      </c>
      <c r="AV375" s="525" t="str">
        <f>stat(calculs!AV375)</f>
        <v/>
      </c>
      <c r="AW375" s="525" t="str">
        <f>stat(calculs!AW375)</f>
        <v/>
      </c>
      <c r="AX375" s="525" t="str">
        <f>stat(calculs!AX375)</f>
        <v/>
      </c>
      <c r="AY375" s="525" t="e">
        <f ca="1">stat(calculs!AY375)</f>
        <v>#NAME?</v>
      </c>
      <c r="AZ375" s="525" t="e">
        <f ca="1">stat(calculs!AZ375)</f>
        <v>#NAME?</v>
      </c>
      <c r="BA375" s="525" t="e">
        <f ca="1">stat(calculs!BA375)</f>
        <v>#NAME?</v>
      </c>
      <c r="BB375" s="525" t="e">
        <f ca="1">stat(calculs!BB375)</f>
        <v>#NAME?</v>
      </c>
      <c r="BC375" s="525" t="e">
        <f ca="1">stat(calculs!BC375)</f>
        <v>#NAME?</v>
      </c>
      <c r="BD375" s="525" t="e">
        <f ca="1">stat(calculs!BD375)</f>
        <v>#NAME?</v>
      </c>
      <c r="BE375" s="525" t="e">
        <f ca="1">stat(calculs!BE375)</f>
        <v>#NAME?</v>
      </c>
      <c r="BF375" s="525" t="e">
        <f ca="1">stat(calculs!BF375)</f>
        <v>#NAME?</v>
      </c>
      <c r="BG375" s="525" t="e">
        <f ca="1">stat(calculs!BG375)</f>
        <v>#NAME?</v>
      </c>
      <c r="BH375" s="525" t="e">
        <f ca="1">stat(calculs!BH375)</f>
        <v>#NAME?</v>
      </c>
      <c r="BI375" s="525" t="e">
        <f ca="1">stat(calculs!BI375)</f>
        <v>#NAME?</v>
      </c>
      <c r="BJ375" s="525" t="e">
        <f ca="1">stat(calculs!BJ375)</f>
        <v>#NAME?</v>
      </c>
      <c r="BK375" s="525" t="e">
        <f ca="1">stat(calculs!BK375)</f>
        <v>#NAME?</v>
      </c>
      <c r="BL375" s="525" t="e">
        <f ca="1">stat(calculs!BL375)</f>
        <v>#NAME?</v>
      </c>
      <c r="BM375" s="525" t="e">
        <f ca="1">stat(calculs!BM375)</f>
        <v>#NAME?</v>
      </c>
      <c r="BN375" s="525" t="e">
        <f ca="1">stat(calculs!BN375)</f>
        <v>#NAME?</v>
      </c>
      <c r="BO375" s="525" t="e">
        <f ca="1">stat(calculs!BO375)</f>
        <v>#NAME?</v>
      </c>
      <c r="BP375" s="525" t="e">
        <f ca="1">stat(calculs!BP375)</f>
        <v>#NAME?</v>
      </c>
      <c r="BQ375" s="525" t="e">
        <f ca="1">stat(calculs!BQ375)</f>
        <v>#NAME?</v>
      </c>
      <c r="BR375" s="525" t="e">
        <f ca="1">stat(calculs!BR375)</f>
        <v>#NAME?</v>
      </c>
    </row>
    <row r="376" spans="1:70" x14ac:dyDescent="0.2">
      <c r="A376" s="222"/>
      <c r="B376" s="223"/>
      <c r="C376" s="224"/>
      <c r="D376" s="523"/>
      <c r="E376" s="523"/>
      <c r="F376" s="523"/>
      <c r="G376" s="523"/>
      <c r="H376" s="523"/>
      <c r="I376" s="523"/>
      <c r="J376" s="523"/>
      <c r="K376" s="523"/>
      <c r="L376" s="523"/>
      <c r="M376" s="523"/>
      <c r="N376" s="523"/>
      <c r="O376" s="523"/>
      <c r="P376" s="523"/>
      <c r="Q376" s="523"/>
      <c r="R376" s="523"/>
      <c r="S376" s="523"/>
      <c r="T376" s="523"/>
      <c r="U376" s="523"/>
      <c r="V376" s="523"/>
      <c r="W376" s="523"/>
      <c r="X376" s="523"/>
      <c r="Y376" s="523"/>
      <c r="Z376" s="523"/>
      <c r="AA376" s="523"/>
      <c r="AB376" s="523"/>
      <c r="AC376" s="523"/>
      <c r="AD376" s="523"/>
      <c r="AE376" s="523"/>
      <c r="AF376" s="523"/>
      <c r="AG376" s="523"/>
      <c r="AH376" s="523"/>
      <c r="AI376" s="523"/>
      <c r="AJ376" s="523"/>
      <c r="AK376" s="523"/>
      <c r="AL376" s="523"/>
      <c r="AM376" s="523"/>
      <c r="AN376" s="523"/>
      <c r="AO376" s="523"/>
      <c r="AP376" s="523"/>
      <c r="AQ376" s="523"/>
      <c r="AV376" s="525"/>
      <c r="AW376" s="525"/>
      <c r="AX376" s="525"/>
      <c r="AY376" s="525"/>
      <c r="AZ376" s="525"/>
      <c r="BA376" s="525"/>
      <c r="BB376" s="525"/>
      <c r="BC376" s="525"/>
      <c r="BD376" s="525"/>
      <c r="BE376" s="525"/>
      <c r="BF376" s="525"/>
      <c r="BG376" s="525"/>
      <c r="BH376" s="525"/>
      <c r="BI376" s="525"/>
      <c r="BJ376" s="525"/>
      <c r="BK376" s="525"/>
      <c r="BL376" s="525"/>
      <c r="BM376" s="525"/>
      <c r="BN376" s="525"/>
      <c r="BO376" s="525"/>
      <c r="BP376" s="525"/>
      <c r="BQ376" s="525"/>
      <c r="BR376" s="525"/>
    </row>
    <row r="377" spans="1:70" s="515" customFormat="1" x14ac:dyDescent="0.2">
      <c r="G377" s="516"/>
      <c r="H377" s="516"/>
      <c r="I377" s="516"/>
      <c r="J377" s="516"/>
      <c r="K377" s="516"/>
      <c r="L377" s="516"/>
      <c r="M377" s="516"/>
      <c r="N377" s="516"/>
      <c r="O377" s="516"/>
      <c r="P377" s="516"/>
      <c r="Q377" s="516"/>
    </row>
    <row r="378" spans="1:70" x14ac:dyDescent="0.2">
      <c r="G378" s="7"/>
      <c r="H378" s="7"/>
      <c r="I378" s="7"/>
      <c r="J378" s="7"/>
      <c r="K378" s="7"/>
      <c r="L378" s="7"/>
      <c r="M378" s="7"/>
      <c r="N378" s="7"/>
      <c r="O378" s="7"/>
      <c r="P378" s="7"/>
      <c r="Q378" s="7"/>
    </row>
    <row r="379" spans="1:70" x14ac:dyDescent="0.2">
      <c r="A379" s="537" t="s">
        <v>154</v>
      </c>
      <c r="D379" s="863" t="e">
        <f ca="1">MIN(D11:D376)</f>
        <v>#NAME?</v>
      </c>
      <c r="E379" s="863" t="e">
        <f ca="1">MIN(E11:E376)</f>
        <v>#NAME?</v>
      </c>
      <c r="F379" s="863" t="e">
        <f t="shared" ref="F379:Q379" ca="1" si="6">MIN(F11:F376)</f>
        <v>#NAME?</v>
      </c>
      <c r="G379" s="863" t="e">
        <f t="shared" ca="1" si="6"/>
        <v>#NAME?</v>
      </c>
      <c r="H379" s="863" t="e">
        <f t="shared" ca="1" si="6"/>
        <v>#NAME?</v>
      </c>
      <c r="I379" s="863" t="e">
        <f t="shared" ca="1" si="6"/>
        <v>#NAME?</v>
      </c>
      <c r="J379" s="863" t="e">
        <f t="shared" ca="1" si="6"/>
        <v>#NAME?</v>
      </c>
      <c r="K379" s="863" t="e">
        <f t="shared" ca="1" si="6"/>
        <v>#NAME?</v>
      </c>
      <c r="L379" s="863" t="e">
        <f t="shared" ca="1" si="6"/>
        <v>#NAME?</v>
      </c>
      <c r="M379" s="863" t="e">
        <f t="shared" ca="1" si="6"/>
        <v>#NAME?</v>
      </c>
      <c r="N379" s="863" t="e">
        <f t="shared" ca="1" si="6"/>
        <v>#NAME?</v>
      </c>
      <c r="O379" s="863" t="e">
        <f t="shared" ca="1" si="6"/>
        <v>#NAME?</v>
      </c>
      <c r="P379" s="863" t="e">
        <f t="shared" ca="1" si="6"/>
        <v>#NAME?</v>
      </c>
      <c r="Q379" s="863" t="e">
        <f t="shared" ca="1" si="6"/>
        <v>#NAME?</v>
      </c>
      <c r="S379" s="863" t="e">
        <f t="shared" ref="S379:AR379" ca="1" si="7">MIN(S11:S376)</f>
        <v>#NAME?</v>
      </c>
      <c r="T379" s="863" t="e">
        <f t="shared" ca="1" si="7"/>
        <v>#NAME?</v>
      </c>
      <c r="U379" s="863" t="e">
        <f t="shared" ca="1" si="7"/>
        <v>#NAME?</v>
      </c>
      <c r="V379" s="863" t="e">
        <f t="shared" ca="1" si="7"/>
        <v>#NAME?</v>
      </c>
      <c r="W379" s="863" t="e">
        <f t="shared" ca="1" si="7"/>
        <v>#NAME?</v>
      </c>
      <c r="X379" s="863" t="e">
        <f t="shared" ca="1" si="7"/>
        <v>#NAME?</v>
      </c>
      <c r="Y379" s="863" t="e">
        <f t="shared" ca="1" si="7"/>
        <v>#NAME?</v>
      </c>
      <c r="Z379" s="863" t="e">
        <f t="shared" ca="1" si="7"/>
        <v>#NAME?</v>
      </c>
      <c r="AA379" s="863" t="e">
        <f t="shared" ca="1" si="7"/>
        <v>#NAME?</v>
      </c>
      <c r="AB379" s="863" t="e">
        <f t="shared" ca="1" si="7"/>
        <v>#NAME?</v>
      </c>
      <c r="AC379" s="863" t="e">
        <f t="shared" ca="1" si="7"/>
        <v>#NAME?</v>
      </c>
      <c r="AD379" s="863" t="e">
        <f t="shared" ca="1" si="7"/>
        <v>#NAME?</v>
      </c>
      <c r="AE379" s="863" t="e">
        <f t="shared" ca="1" si="7"/>
        <v>#NAME?</v>
      </c>
      <c r="AF379" s="863" t="e">
        <f t="shared" ca="1" si="7"/>
        <v>#NAME?</v>
      </c>
      <c r="AG379" s="863" t="e">
        <f t="shared" ca="1" si="7"/>
        <v>#NAME?</v>
      </c>
      <c r="AH379" s="863" t="e">
        <f t="shared" ca="1" si="7"/>
        <v>#NAME?</v>
      </c>
      <c r="AI379" s="863" t="e">
        <f t="shared" ca="1" si="7"/>
        <v>#NAME?</v>
      </c>
      <c r="AJ379" s="863" t="e">
        <f t="shared" ca="1" si="7"/>
        <v>#NAME?</v>
      </c>
      <c r="AK379" s="863" t="e">
        <f t="shared" ca="1" si="7"/>
        <v>#NAME?</v>
      </c>
      <c r="AL379" s="863" t="e">
        <f t="shared" ca="1" si="7"/>
        <v>#NAME?</v>
      </c>
      <c r="AM379" s="863" t="e">
        <f t="shared" ca="1" si="7"/>
        <v>#NAME?</v>
      </c>
      <c r="AN379" s="863" t="e">
        <f t="shared" ca="1" si="7"/>
        <v>#NAME?</v>
      </c>
      <c r="AO379" s="863" t="e">
        <f t="shared" ca="1" si="7"/>
        <v>#NAME?</v>
      </c>
      <c r="AP379" s="863" t="e">
        <f t="shared" ca="1" si="7"/>
        <v>#NAME?</v>
      </c>
      <c r="AQ379" s="863" t="e">
        <f t="shared" ca="1" si="7"/>
        <v>#NAME?</v>
      </c>
      <c r="AR379" s="863">
        <f t="shared" si="7"/>
        <v>0</v>
      </c>
      <c r="AS379" s="545"/>
      <c r="AT379" s="545"/>
      <c r="AU379" s="545"/>
      <c r="AV379" s="863" t="e">
        <f t="shared" ref="AV379:BR379" ca="1" si="8">MIN(AV11:AV376)</f>
        <v>#NAME?</v>
      </c>
      <c r="AW379" s="863" t="e">
        <f t="shared" ca="1" si="8"/>
        <v>#NAME?</v>
      </c>
      <c r="AX379" s="863" t="e">
        <f t="shared" ca="1" si="8"/>
        <v>#NAME?</v>
      </c>
      <c r="AY379" s="863" t="e">
        <f t="shared" ca="1" si="8"/>
        <v>#NAME?</v>
      </c>
      <c r="AZ379" s="863" t="e">
        <f t="shared" ca="1" si="8"/>
        <v>#NAME?</v>
      </c>
      <c r="BA379" s="863" t="e">
        <f t="shared" ca="1" si="8"/>
        <v>#NAME?</v>
      </c>
      <c r="BB379" s="863" t="e">
        <f t="shared" ca="1" si="8"/>
        <v>#NAME?</v>
      </c>
      <c r="BC379" s="863" t="e">
        <f t="shared" ca="1" si="8"/>
        <v>#NAME?</v>
      </c>
      <c r="BD379" s="863" t="e">
        <f t="shared" ca="1" si="8"/>
        <v>#NAME?</v>
      </c>
      <c r="BE379" s="863" t="e">
        <f t="shared" ca="1" si="8"/>
        <v>#NAME?</v>
      </c>
      <c r="BF379" s="863" t="e">
        <f t="shared" ca="1" si="8"/>
        <v>#NAME?</v>
      </c>
      <c r="BG379" s="863" t="e">
        <f t="shared" ca="1" si="8"/>
        <v>#NAME?</v>
      </c>
      <c r="BH379" s="863" t="e">
        <f t="shared" ca="1" si="8"/>
        <v>#NAME?</v>
      </c>
      <c r="BI379" s="863" t="e">
        <f t="shared" ca="1" si="8"/>
        <v>#NAME?</v>
      </c>
      <c r="BJ379" s="863" t="e">
        <f t="shared" ca="1" si="8"/>
        <v>#NAME?</v>
      </c>
      <c r="BK379" s="863" t="e">
        <f t="shared" ca="1" si="8"/>
        <v>#NAME?</v>
      </c>
      <c r="BL379" s="863" t="e">
        <f t="shared" ca="1" si="8"/>
        <v>#NAME?</v>
      </c>
      <c r="BM379" s="863" t="e">
        <f t="shared" ca="1" si="8"/>
        <v>#NAME?</v>
      </c>
      <c r="BN379" s="863" t="e">
        <f t="shared" ca="1" si="8"/>
        <v>#NAME?</v>
      </c>
      <c r="BO379" s="863" t="e">
        <f t="shared" ca="1" si="8"/>
        <v>#NAME?</v>
      </c>
      <c r="BP379" s="863" t="e">
        <f t="shared" ca="1" si="8"/>
        <v>#NAME?</v>
      </c>
      <c r="BQ379" s="863" t="e">
        <f t="shared" ca="1" si="8"/>
        <v>#NAME?</v>
      </c>
      <c r="BR379" s="863" t="e">
        <f t="shared" ca="1" si="8"/>
        <v>#NAME?</v>
      </c>
    </row>
    <row r="380" spans="1:70" x14ac:dyDescent="0.2">
      <c r="A380" s="538" t="s">
        <v>155</v>
      </c>
      <c r="D380" s="862" t="e">
        <f t="shared" ref="D380:Q380" ca="1" si="9">MAX(D11:D376)</f>
        <v>#NAME?</v>
      </c>
      <c r="E380" s="862" t="e">
        <f t="shared" ref="E380" ca="1" si="10">MAX(E11:E376)</f>
        <v>#NAME?</v>
      </c>
      <c r="F380" s="862" t="e">
        <f t="shared" ca="1" si="9"/>
        <v>#NAME?</v>
      </c>
      <c r="G380" s="862" t="e">
        <f t="shared" ca="1" si="9"/>
        <v>#NAME?</v>
      </c>
      <c r="H380" s="862" t="e">
        <f t="shared" ca="1" si="9"/>
        <v>#NAME?</v>
      </c>
      <c r="I380" s="862" t="e">
        <f t="shared" ca="1" si="9"/>
        <v>#NAME?</v>
      </c>
      <c r="J380" s="862" t="e">
        <f t="shared" ca="1" si="9"/>
        <v>#NAME?</v>
      </c>
      <c r="K380" s="862" t="e">
        <f t="shared" ca="1" si="9"/>
        <v>#NAME?</v>
      </c>
      <c r="L380" s="862" t="e">
        <f t="shared" ca="1" si="9"/>
        <v>#NAME?</v>
      </c>
      <c r="M380" s="862" t="e">
        <f t="shared" ca="1" si="9"/>
        <v>#NAME?</v>
      </c>
      <c r="N380" s="862" t="e">
        <f t="shared" ca="1" si="9"/>
        <v>#NAME?</v>
      </c>
      <c r="O380" s="862" t="e">
        <f t="shared" ca="1" si="9"/>
        <v>#NAME?</v>
      </c>
      <c r="P380" s="862" t="e">
        <f t="shared" ca="1" si="9"/>
        <v>#NAME?</v>
      </c>
      <c r="Q380" s="862" t="e">
        <f t="shared" ca="1" si="9"/>
        <v>#NAME?</v>
      </c>
      <c r="S380" s="862" t="e">
        <f t="shared" ref="S380:AR380" ca="1" si="11">MAX(S11:S376)</f>
        <v>#NAME?</v>
      </c>
      <c r="T380" s="862" t="e">
        <f t="shared" ca="1" si="11"/>
        <v>#NAME?</v>
      </c>
      <c r="U380" s="862" t="e">
        <f t="shared" ca="1" si="11"/>
        <v>#NAME?</v>
      </c>
      <c r="V380" s="862" t="e">
        <f t="shared" ca="1" si="11"/>
        <v>#NAME?</v>
      </c>
      <c r="W380" s="862" t="e">
        <f t="shared" ca="1" si="11"/>
        <v>#NAME?</v>
      </c>
      <c r="X380" s="862" t="e">
        <f t="shared" ca="1" si="11"/>
        <v>#NAME?</v>
      </c>
      <c r="Y380" s="862" t="e">
        <f t="shared" ca="1" si="11"/>
        <v>#NAME?</v>
      </c>
      <c r="Z380" s="862" t="e">
        <f t="shared" ca="1" si="11"/>
        <v>#NAME?</v>
      </c>
      <c r="AA380" s="862" t="e">
        <f t="shared" ca="1" si="11"/>
        <v>#NAME?</v>
      </c>
      <c r="AB380" s="862" t="e">
        <f t="shared" ca="1" si="11"/>
        <v>#NAME?</v>
      </c>
      <c r="AC380" s="862" t="e">
        <f t="shared" ca="1" si="11"/>
        <v>#NAME?</v>
      </c>
      <c r="AD380" s="862" t="e">
        <f t="shared" ca="1" si="11"/>
        <v>#NAME?</v>
      </c>
      <c r="AE380" s="862" t="e">
        <f t="shared" ca="1" si="11"/>
        <v>#NAME?</v>
      </c>
      <c r="AF380" s="862" t="e">
        <f t="shared" ca="1" si="11"/>
        <v>#NAME?</v>
      </c>
      <c r="AG380" s="862" t="e">
        <f t="shared" ca="1" si="11"/>
        <v>#NAME?</v>
      </c>
      <c r="AH380" s="862" t="e">
        <f t="shared" ca="1" si="11"/>
        <v>#NAME?</v>
      </c>
      <c r="AI380" s="862" t="e">
        <f t="shared" ca="1" si="11"/>
        <v>#NAME?</v>
      </c>
      <c r="AJ380" s="862" t="e">
        <f t="shared" ca="1" si="11"/>
        <v>#NAME?</v>
      </c>
      <c r="AK380" s="862" t="e">
        <f t="shared" ca="1" si="11"/>
        <v>#NAME?</v>
      </c>
      <c r="AL380" s="862" t="e">
        <f t="shared" ca="1" si="11"/>
        <v>#NAME?</v>
      </c>
      <c r="AM380" s="862" t="e">
        <f t="shared" ca="1" si="11"/>
        <v>#NAME?</v>
      </c>
      <c r="AN380" s="862" t="e">
        <f t="shared" ca="1" si="11"/>
        <v>#NAME?</v>
      </c>
      <c r="AO380" s="862" t="e">
        <f t="shared" ca="1" si="11"/>
        <v>#NAME?</v>
      </c>
      <c r="AP380" s="862" t="e">
        <f t="shared" ca="1" si="11"/>
        <v>#NAME?</v>
      </c>
      <c r="AQ380" s="862" t="e">
        <f t="shared" ca="1" si="11"/>
        <v>#NAME?</v>
      </c>
      <c r="AR380" s="862">
        <f t="shared" si="11"/>
        <v>0</v>
      </c>
      <c r="AS380" s="546"/>
      <c r="AT380" s="546"/>
      <c r="AU380" s="546"/>
      <c r="AV380" s="862" t="e">
        <f t="shared" ref="AV380:BR380" ca="1" si="12">MAX(AV11:AV376)</f>
        <v>#NAME?</v>
      </c>
      <c r="AW380" s="862" t="e">
        <f t="shared" ca="1" si="12"/>
        <v>#NAME?</v>
      </c>
      <c r="AX380" s="862" t="e">
        <f t="shared" ca="1" si="12"/>
        <v>#NAME?</v>
      </c>
      <c r="AY380" s="862" t="e">
        <f t="shared" ca="1" si="12"/>
        <v>#NAME?</v>
      </c>
      <c r="AZ380" s="862" t="e">
        <f t="shared" ca="1" si="12"/>
        <v>#NAME?</v>
      </c>
      <c r="BA380" s="862" t="e">
        <f t="shared" ca="1" si="12"/>
        <v>#NAME?</v>
      </c>
      <c r="BB380" s="862" t="e">
        <f t="shared" ca="1" si="12"/>
        <v>#NAME?</v>
      </c>
      <c r="BC380" s="862" t="e">
        <f t="shared" ca="1" si="12"/>
        <v>#NAME?</v>
      </c>
      <c r="BD380" s="862" t="e">
        <f t="shared" ca="1" si="12"/>
        <v>#NAME?</v>
      </c>
      <c r="BE380" s="862" t="e">
        <f t="shared" ca="1" si="12"/>
        <v>#NAME?</v>
      </c>
      <c r="BF380" s="862" t="e">
        <f t="shared" ca="1" si="12"/>
        <v>#NAME?</v>
      </c>
      <c r="BG380" s="862" t="e">
        <f t="shared" ca="1" si="12"/>
        <v>#NAME?</v>
      </c>
      <c r="BH380" s="862" t="e">
        <f t="shared" ca="1" si="12"/>
        <v>#NAME?</v>
      </c>
      <c r="BI380" s="862" t="e">
        <f t="shared" ca="1" si="12"/>
        <v>#NAME?</v>
      </c>
      <c r="BJ380" s="862" t="e">
        <f t="shared" ca="1" si="12"/>
        <v>#NAME?</v>
      </c>
      <c r="BK380" s="862" t="e">
        <f t="shared" ca="1" si="12"/>
        <v>#NAME?</v>
      </c>
      <c r="BL380" s="862" t="e">
        <f t="shared" ca="1" si="12"/>
        <v>#NAME?</v>
      </c>
      <c r="BM380" s="862" t="e">
        <f t="shared" ca="1" si="12"/>
        <v>#NAME?</v>
      </c>
      <c r="BN380" s="862" t="e">
        <f t="shared" ca="1" si="12"/>
        <v>#NAME?</v>
      </c>
      <c r="BO380" s="862" t="e">
        <f t="shared" ca="1" si="12"/>
        <v>#NAME?</v>
      </c>
      <c r="BP380" s="862" t="e">
        <f t="shared" ca="1" si="12"/>
        <v>#NAME?</v>
      </c>
      <c r="BQ380" s="862" t="e">
        <f t="shared" ca="1" si="12"/>
        <v>#NAME?</v>
      </c>
      <c r="BR380" s="862" t="e">
        <f t="shared" ca="1" si="12"/>
        <v>#NAME?</v>
      </c>
    </row>
    <row r="381" spans="1:70" x14ac:dyDescent="0.2">
      <c r="A381" s="539" t="s">
        <v>341</v>
      </c>
      <c r="D381" s="861" t="e">
        <f t="shared" ref="D381:E381" ca="1" si="13">D383/D382</f>
        <v>#NAME?</v>
      </c>
      <c r="E381" s="861" t="e">
        <f t="shared" ca="1" si="13"/>
        <v>#NAME?</v>
      </c>
      <c r="F381" s="861" t="e">
        <f t="shared" ref="F381" ca="1" si="14">F383/F382</f>
        <v>#NAME?</v>
      </c>
      <c r="G381" s="861" t="e">
        <f t="shared" ref="G381" ca="1" si="15">G383/G382</f>
        <v>#NAME?</v>
      </c>
      <c r="H381" s="861" t="e">
        <f t="shared" ref="H381" ca="1" si="16">H383/H382</f>
        <v>#NAME?</v>
      </c>
      <c r="I381" s="861" t="e">
        <f t="shared" ref="I381" ca="1" si="17">I383/I382</f>
        <v>#NAME?</v>
      </c>
      <c r="J381" s="861" t="e">
        <f t="shared" ref="J381" ca="1" si="18">J383/J382</f>
        <v>#NAME?</v>
      </c>
      <c r="K381" s="861" t="e">
        <f t="shared" ref="K381" ca="1" si="19">K383/K382</f>
        <v>#NAME?</v>
      </c>
      <c r="L381" s="861" t="e">
        <f t="shared" ref="L381" ca="1" si="20">L383/L382</f>
        <v>#NAME?</v>
      </c>
      <c r="M381" s="861" t="e">
        <f t="shared" ref="M381" ca="1" si="21">M383/M382</f>
        <v>#NAME?</v>
      </c>
      <c r="N381" s="861" t="e">
        <f t="shared" ref="N381" ca="1" si="22">N383/N382</f>
        <v>#NAME?</v>
      </c>
      <c r="O381" s="861" t="e">
        <f t="shared" ref="O381" ca="1" si="23">O383/O382</f>
        <v>#NAME?</v>
      </c>
      <c r="P381" s="861" t="e">
        <f t="shared" ref="P381" ca="1" si="24">P383/P382</f>
        <v>#NAME?</v>
      </c>
      <c r="Q381" s="861" t="e">
        <f t="shared" ref="Q381:S381" ca="1" si="25">Q383/Q382</f>
        <v>#NAME?</v>
      </c>
      <c r="S381" s="861" t="e">
        <f t="shared" ca="1" si="25"/>
        <v>#NAME?</v>
      </c>
      <c r="T381" s="861" t="e">
        <f t="shared" ref="T381" ca="1" si="26">T383/T382</f>
        <v>#NAME?</v>
      </c>
      <c r="U381" s="861" t="e">
        <f t="shared" ref="U381" ca="1" si="27">U383/U382</f>
        <v>#NAME?</v>
      </c>
      <c r="V381" s="861" t="e">
        <f t="shared" ref="V381" ca="1" si="28">V383/V382</f>
        <v>#NAME?</v>
      </c>
      <c r="W381" s="861" t="e">
        <f t="shared" ref="W381" ca="1" si="29">W383/W382</f>
        <v>#NAME?</v>
      </c>
      <c r="X381" s="861" t="e">
        <f t="shared" ref="X381" ca="1" si="30">X383/X382</f>
        <v>#NAME?</v>
      </c>
      <c r="Y381" s="861" t="e">
        <f t="shared" ref="Y381" ca="1" si="31">Y383/Y382</f>
        <v>#NAME?</v>
      </c>
      <c r="Z381" s="861" t="e">
        <f t="shared" ref="Z381" ca="1" si="32">Z383/Z382</f>
        <v>#NAME?</v>
      </c>
      <c r="AA381" s="861" t="e">
        <f t="shared" ref="AA381" ca="1" si="33">AA383/AA382</f>
        <v>#NAME?</v>
      </c>
      <c r="AB381" s="861" t="e">
        <f t="shared" ref="AB381" ca="1" si="34">AB383/AB382</f>
        <v>#NAME?</v>
      </c>
      <c r="AC381" s="861" t="e">
        <f t="shared" ref="AC381" ca="1" si="35">AC383/AC382</f>
        <v>#NAME?</v>
      </c>
      <c r="AD381" s="861" t="e">
        <f t="shared" ref="AD381" ca="1" si="36">AD383/AD382</f>
        <v>#NAME?</v>
      </c>
      <c r="AE381" s="861" t="e">
        <f t="shared" ref="AE381" ca="1" si="37">AE383/AE382</f>
        <v>#NAME?</v>
      </c>
      <c r="AF381" s="861" t="e">
        <f t="shared" ref="AF381" ca="1" si="38">AF383/AF382</f>
        <v>#NAME?</v>
      </c>
      <c r="AG381" s="861" t="e">
        <f t="shared" ref="AG381" ca="1" si="39">AG383/AG382</f>
        <v>#NAME?</v>
      </c>
      <c r="AH381" s="861" t="e">
        <f t="shared" ref="AH381" ca="1" si="40">AH383/AH382</f>
        <v>#NAME?</v>
      </c>
      <c r="AI381" s="861" t="e">
        <f t="shared" ref="AI381" ca="1" si="41">AI383/AI382</f>
        <v>#NAME?</v>
      </c>
      <c r="AJ381" s="861" t="e">
        <f t="shared" ref="AJ381" ca="1" si="42">AJ383/AJ382</f>
        <v>#NAME?</v>
      </c>
      <c r="AK381" s="861" t="e">
        <f t="shared" ref="AK381" ca="1" si="43">AK383/AK382</f>
        <v>#NAME?</v>
      </c>
      <c r="AL381" s="861" t="e">
        <f t="shared" ref="AL381" ca="1" si="44">AL383/AL382</f>
        <v>#NAME?</v>
      </c>
      <c r="AM381" s="861" t="e">
        <f t="shared" ref="AM381" ca="1" si="45">AM383/AM382</f>
        <v>#NAME?</v>
      </c>
      <c r="AN381" s="861" t="e">
        <f t="shared" ref="AN381" ca="1" si="46">AN383/AN382</f>
        <v>#NAME?</v>
      </c>
      <c r="AO381" s="861" t="e">
        <f t="shared" ref="AO381" ca="1" si="47">AO383/AO382</f>
        <v>#NAME?</v>
      </c>
      <c r="AP381" s="861" t="e">
        <f t="shared" ref="AP381" ca="1" si="48">AP383/AP382</f>
        <v>#NAME?</v>
      </c>
      <c r="AQ381" s="861" t="e">
        <f t="shared" ref="AQ381" ca="1" si="49">AQ383/AQ382</f>
        <v>#NAME?</v>
      </c>
      <c r="AR381" s="861" t="e">
        <f t="shared" ref="AR381" si="50">AR383/AR382</f>
        <v>#DIV/0!</v>
      </c>
      <c r="AS381" s="547"/>
      <c r="AT381" s="547"/>
      <c r="AU381" s="547"/>
      <c r="AV381" s="861" t="e">
        <f t="shared" ref="AV381" ca="1" si="51">AV383/AV382</f>
        <v>#NAME?</v>
      </c>
      <c r="AW381" s="861" t="e">
        <f t="shared" ref="AW381" ca="1" si="52">AW383/AW382</f>
        <v>#NAME?</v>
      </c>
      <c r="AX381" s="861" t="e">
        <f t="shared" ref="AX381" ca="1" si="53">AX383/AX382</f>
        <v>#NAME?</v>
      </c>
      <c r="AY381" s="861" t="e">
        <f t="shared" ref="AY381" ca="1" si="54">AY383/AY382</f>
        <v>#NAME?</v>
      </c>
      <c r="AZ381" s="861" t="e">
        <f t="shared" ref="AZ381" ca="1" si="55">AZ383/AZ382</f>
        <v>#NAME?</v>
      </c>
      <c r="BA381" s="861" t="e">
        <f t="shared" ref="BA381" ca="1" si="56">BA383/BA382</f>
        <v>#NAME?</v>
      </c>
      <c r="BB381" s="861" t="e">
        <f t="shared" ref="BB381" ca="1" si="57">BB383/BB382</f>
        <v>#NAME?</v>
      </c>
      <c r="BC381" s="861" t="e">
        <f t="shared" ref="BC381" ca="1" si="58">BC383/BC382</f>
        <v>#NAME?</v>
      </c>
      <c r="BD381" s="861" t="e">
        <f t="shared" ref="BD381" ca="1" si="59">BD383/BD382</f>
        <v>#NAME?</v>
      </c>
      <c r="BE381" s="861" t="e">
        <f t="shared" ref="BE381" ca="1" si="60">BE383/BE382</f>
        <v>#NAME?</v>
      </c>
      <c r="BF381" s="861" t="e">
        <f t="shared" ref="BF381" ca="1" si="61">BF383/BF382</f>
        <v>#NAME?</v>
      </c>
      <c r="BG381" s="861" t="e">
        <f t="shared" ref="BG381" ca="1" si="62">BG383/BG382</f>
        <v>#NAME?</v>
      </c>
      <c r="BH381" s="861" t="e">
        <f t="shared" ref="BH381" ca="1" si="63">BH383/BH382</f>
        <v>#NAME?</v>
      </c>
      <c r="BI381" s="861" t="e">
        <f t="shared" ref="BI381" ca="1" si="64">BI383/BI382</f>
        <v>#NAME?</v>
      </c>
      <c r="BJ381" s="861" t="e">
        <f t="shared" ref="BJ381" ca="1" si="65">BJ383/BJ382</f>
        <v>#NAME?</v>
      </c>
      <c r="BK381" s="861" t="e">
        <f t="shared" ref="BK381" ca="1" si="66">BK383/BK382</f>
        <v>#NAME?</v>
      </c>
      <c r="BL381" s="861" t="e">
        <f t="shared" ref="BL381" ca="1" si="67">BL383/BL382</f>
        <v>#NAME?</v>
      </c>
      <c r="BM381" s="861" t="e">
        <f t="shared" ref="BM381" ca="1" si="68">BM383/BM382</f>
        <v>#NAME?</v>
      </c>
      <c r="BN381" s="861" t="e">
        <f t="shared" ref="BN381" ca="1" si="69">BN383/BN382</f>
        <v>#NAME?</v>
      </c>
      <c r="BO381" s="861" t="e">
        <f t="shared" ref="BO381" ca="1" si="70">BO383/BO382</f>
        <v>#NAME?</v>
      </c>
      <c r="BP381" s="861" t="e">
        <f t="shared" ref="BP381" ca="1" si="71">BP383/BP382</f>
        <v>#NAME?</v>
      </c>
      <c r="BQ381" s="861" t="e">
        <f t="shared" ref="BQ381" ca="1" si="72">BQ383/BQ382</f>
        <v>#NAME?</v>
      </c>
      <c r="BR381" s="861" t="e">
        <f t="shared" ref="BR381" ca="1" si="73">BR383/BR382</f>
        <v>#NAME?</v>
      </c>
    </row>
    <row r="382" spans="1:70" x14ac:dyDescent="0.2">
      <c r="A382" s="540" t="s">
        <v>342</v>
      </c>
      <c r="D382" s="553">
        <f t="shared" ref="D382:Q382" ca="1" si="74">COUNTIF(D11:D376,"&gt;0")</f>
        <v>0</v>
      </c>
      <c r="E382" s="553">
        <f t="shared" ref="E382" ca="1" si="75">COUNTIF(E11:E376,"&gt;0")</f>
        <v>0</v>
      </c>
      <c r="F382" s="553">
        <f t="shared" ca="1" si="74"/>
        <v>0</v>
      </c>
      <c r="G382" s="553">
        <f t="shared" ca="1" si="74"/>
        <v>0</v>
      </c>
      <c r="H382" s="553">
        <f t="shared" ca="1" si="74"/>
        <v>0</v>
      </c>
      <c r="I382" s="553">
        <f t="shared" ca="1" si="74"/>
        <v>0</v>
      </c>
      <c r="J382" s="553">
        <f t="shared" ca="1" si="74"/>
        <v>0</v>
      </c>
      <c r="K382" s="553">
        <f t="shared" ca="1" si="74"/>
        <v>0</v>
      </c>
      <c r="L382" s="553">
        <f t="shared" ca="1" si="74"/>
        <v>0</v>
      </c>
      <c r="M382" s="553">
        <f t="shared" ca="1" si="74"/>
        <v>0</v>
      </c>
      <c r="N382" s="553">
        <f t="shared" ca="1" si="74"/>
        <v>0</v>
      </c>
      <c r="O382" s="553">
        <f t="shared" ca="1" si="74"/>
        <v>0</v>
      </c>
      <c r="P382" s="553">
        <f t="shared" ca="1" si="74"/>
        <v>0</v>
      </c>
      <c r="Q382" s="553">
        <f t="shared" ca="1" si="74"/>
        <v>0</v>
      </c>
      <c r="S382" s="553">
        <f t="shared" ref="S382:AR382" ca="1" si="76">COUNTIF(S11:S376,"&gt;0")</f>
        <v>0</v>
      </c>
      <c r="T382" s="553">
        <f t="shared" ca="1" si="76"/>
        <v>0</v>
      </c>
      <c r="U382" s="553">
        <f t="shared" ca="1" si="76"/>
        <v>0</v>
      </c>
      <c r="V382" s="553">
        <f t="shared" ca="1" si="76"/>
        <v>0</v>
      </c>
      <c r="W382" s="553">
        <f t="shared" ca="1" si="76"/>
        <v>0</v>
      </c>
      <c r="X382" s="553">
        <f t="shared" ca="1" si="76"/>
        <v>0</v>
      </c>
      <c r="Y382" s="553">
        <f t="shared" ca="1" si="76"/>
        <v>0</v>
      </c>
      <c r="Z382" s="553">
        <f t="shared" ca="1" si="76"/>
        <v>0</v>
      </c>
      <c r="AA382" s="553">
        <f t="shared" ca="1" si="76"/>
        <v>0</v>
      </c>
      <c r="AB382" s="553">
        <f t="shared" ca="1" si="76"/>
        <v>0</v>
      </c>
      <c r="AC382" s="553">
        <f t="shared" ca="1" si="76"/>
        <v>0</v>
      </c>
      <c r="AD382" s="553">
        <f t="shared" ca="1" si="76"/>
        <v>0</v>
      </c>
      <c r="AE382" s="553">
        <f t="shared" ca="1" si="76"/>
        <v>0</v>
      </c>
      <c r="AF382" s="553">
        <f t="shared" ca="1" si="76"/>
        <v>0</v>
      </c>
      <c r="AG382" s="553">
        <f t="shared" ca="1" si="76"/>
        <v>0</v>
      </c>
      <c r="AH382" s="553">
        <f t="shared" ca="1" si="76"/>
        <v>0</v>
      </c>
      <c r="AI382" s="553">
        <f t="shared" ca="1" si="76"/>
        <v>0</v>
      </c>
      <c r="AJ382" s="553">
        <f t="shared" ca="1" si="76"/>
        <v>0</v>
      </c>
      <c r="AK382" s="553">
        <f t="shared" ca="1" si="76"/>
        <v>0</v>
      </c>
      <c r="AL382" s="553">
        <f t="shared" ca="1" si="76"/>
        <v>0</v>
      </c>
      <c r="AM382" s="553">
        <f t="shared" ca="1" si="76"/>
        <v>0</v>
      </c>
      <c r="AN382" s="553">
        <f t="shared" ca="1" si="76"/>
        <v>0</v>
      </c>
      <c r="AO382" s="553">
        <f t="shared" ca="1" si="76"/>
        <v>0</v>
      </c>
      <c r="AP382" s="553">
        <f t="shared" ca="1" si="76"/>
        <v>0</v>
      </c>
      <c r="AQ382" s="553">
        <f t="shared" ca="1" si="76"/>
        <v>0</v>
      </c>
      <c r="AR382" s="553">
        <f t="shared" si="76"/>
        <v>0</v>
      </c>
      <c r="AS382" s="553"/>
      <c r="AT382" s="553"/>
      <c r="AU382" s="553"/>
      <c r="AV382" s="553">
        <f t="shared" ref="AV382:BR382" ca="1" si="77">COUNTIF(AV11:AV376,"&gt;0")</f>
        <v>0</v>
      </c>
      <c r="AW382" s="553">
        <f t="shared" ca="1" si="77"/>
        <v>0</v>
      </c>
      <c r="AX382" s="553">
        <f t="shared" ca="1" si="77"/>
        <v>0</v>
      </c>
      <c r="AY382" s="553">
        <f t="shared" ca="1" si="77"/>
        <v>0</v>
      </c>
      <c r="AZ382" s="553">
        <f t="shared" ca="1" si="77"/>
        <v>0</v>
      </c>
      <c r="BA382" s="553">
        <f t="shared" ca="1" si="77"/>
        <v>0</v>
      </c>
      <c r="BB382" s="553">
        <f t="shared" ca="1" si="77"/>
        <v>0</v>
      </c>
      <c r="BC382" s="553">
        <f t="shared" ca="1" si="77"/>
        <v>0</v>
      </c>
      <c r="BD382" s="553">
        <f t="shared" ca="1" si="77"/>
        <v>0</v>
      </c>
      <c r="BE382" s="553">
        <f t="shared" ca="1" si="77"/>
        <v>0</v>
      </c>
      <c r="BF382" s="553">
        <f t="shared" ca="1" si="77"/>
        <v>0</v>
      </c>
      <c r="BG382" s="553">
        <f t="shared" ca="1" si="77"/>
        <v>0</v>
      </c>
      <c r="BH382" s="553">
        <f t="shared" ca="1" si="77"/>
        <v>0</v>
      </c>
      <c r="BI382" s="553">
        <f t="shared" ca="1" si="77"/>
        <v>0</v>
      </c>
      <c r="BJ382" s="553">
        <f t="shared" ca="1" si="77"/>
        <v>0</v>
      </c>
      <c r="BK382" s="553">
        <f t="shared" ca="1" si="77"/>
        <v>0</v>
      </c>
      <c r="BL382" s="553">
        <f t="shared" ca="1" si="77"/>
        <v>0</v>
      </c>
      <c r="BM382" s="553">
        <f t="shared" ca="1" si="77"/>
        <v>0</v>
      </c>
      <c r="BN382" s="553">
        <f t="shared" ca="1" si="77"/>
        <v>0</v>
      </c>
      <c r="BO382" s="553">
        <f t="shared" ca="1" si="77"/>
        <v>0</v>
      </c>
      <c r="BP382" s="553">
        <f t="shared" ca="1" si="77"/>
        <v>0</v>
      </c>
      <c r="BQ382" s="553">
        <f t="shared" ca="1" si="77"/>
        <v>0</v>
      </c>
      <c r="BR382" s="553">
        <f t="shared" ca="1" si="77"/>
        <v>0</v>
      </c>
    </row>
    <row r="383" spans="1:70" x14ac:dyDescent="0.2">
      <c r="A383" s="541" t="s">
        <v>343</v>
      </c>
      <c r="D383" s="860" t="e">
        <f t="shared" ref="D383:Q383" ca="1" si="78">SUM(D11:D376)</f>
        <v>#NAME?</v>
      </c>
      <c r="E383" s="860" t="e">
        <f t="shared" ref="E383" ca="1" si="79">SUM(E11:E376)</f>
        <v>#NAME?</v>
      </c>
      <c r="F383" s="860" t="e">
        <f t="shared" ca="1" si="78"/>
        <v>#NAME?</v>
      </c>
      <c r="G383" s="860" t="e">
        <f t="shared" ca="1" si="78"/>
        <v>#NAME?</v>
      </c>
      <c r="H383" s="860" t="e">
        <f t="shared" ca="1" si="78"/>
        <v>#NAME?</v>
      </c>
      <c r="I383" s="860" t="e">
        <f t="shared" ca="1" si="78"/>
        <v>#NAME?</v>
      </c>
      <c r="J383" s="860" t="e">
        <f t="shared" ca="1" si="78"/>
        <v>#NAME?</v>
      </c>
      <c r="K383" s="860" t="e">
        <f t="shared" ca="1" si="78"/>
        <v>#NAME?</v>
      </c>
      <c r="L383" s="860" t="e">
        <f t="shared" ca="1" si="78"/>
        <v>#NAME?</v>
      </c>
      <c r="M383" s="860" t="e">
        <f t="shared" ca="1" si="78"/>
        <v>#NAME?</v>
      </c>
      <c r="N383" s="860" t="e">
        <f t="shared" ca="1" si="78"/>
        <v>#NAME?</v>
      </c>
      <c r="O383" s="860" t="e">
        <f t="shared" ca="1" si="78"/>
        <v>#NAME?</v>
      </c>
      <c r="P383" s="860" t="e">
        <f t="shared" ca="1" si="78"/>
        <v>#NAME?</v>
      </c>
      <c r="Q383" s="860" t="e">
        <f t="shared" ca="1" si="78"/>
        <v>#NAME?</v>
      </c>
      <c r="S383" s="860" t="e">
        <f t="shared" ref="S383:AR383" ca="1" si="80">SUM(S11:S376)</f>
        <v>#NAME?</v>
      </c>
      <c r="T383" s="860" t="e">
        <f t="shared" ca="1" si="80"/>
        <v>#NAME?</v>
      </c>
      <c r="U383" s="860" t="e">
        <f t="shared" ca="1" si="80"/>
        <v>#NAME?</v>
      </c>
      <c r="V383" s="860" t="e">
        <f t="shared" ca="1" si="80"/>
        <v>#NAME?</v>
      </c>
      <c r="W383" s="860" t="e">
        <f t="shared" ca="1" si="80"/>
        <v>#NAME?</v>
      </c>
      <c r="X383" s="860" t="e">
        <f t="shared" ca="1" si="80"/>
        <v>#NAME?</v>
      </c>
      <c r="Y383" s="860" t="e">
        <f t="shared" ca="1" si="80"/>
        <v>#NAME?</v>
      </c>
      <c r="Z383" s="860" t="e">
        <f t="shared" ca="1" si="80"/>
        <v>#NAME?</v>
      </c>
      <c r="AA383" s="860" t="e">
        <f t="shared" ca="1" si="80"/>
        <v>#NAME?</v>
      </c>
      <c r="AB383" s="860" t="e">
        <f t="shared" ca="1" si="80"/>
        <v>#NAME?</v>
      </c>
      <c r="AC383" s="860" t="e">
        <f t="shared" ca="1" si="80"/>
        <v>#NAME?</v>
      </c>
      <c r="AD383" s="860" t="e">
        <f t="shared" ca="1" si="80"/>
        <v>#NAME?</v>
      </c>
      <c r="AE383" s="860" t="e">
        <f t="shared" ca="1" si="80"/>
        <v>#NAME?</v>
      </c>
      <c r="AF383" s="860" t="e">
        <f t="shared" ca="1" si="80"/>
        <v>#NAME?</v>
      </c>
      <c r="AG383" s="860" t="e">
        <f t="shared" ca="1" si="80"/>
        <v>#NAME?</v>
      </c>
      <c r="AH383" s="860" t="e">
        <f t="shared" ca="1" si="80"/>
        <v>#NAME?</v>
      </c>
      <c r="AI383" s="860" t="e">
        <f t="shared" ca="1" si="80"/>
        <v>#NAME?</v>
      </c>
      <c r="AJ383" s="860" t="e">
        <f t="shared" ca="1" si="80"/>
        <v>#NAME?</v>
      </c>
      <c r="AK383" s="860" t="e">
        <f t="shared" ca="1" si="80"/>
        <v>#NAME?</v>
      </c>
      <c r="AL383" s="860" t="e">
        <f t="shared" ca="1" si="80"/>
        <v>#NAME?</v>
      </c>
      <c r="AM383" s="860" t="e">
        <f t="shared" ca="1" si="80"/>
        <v>#NAME?</v>
      </c>
      <c r="AN383" s="860" t="e">
        <f t="shared" ca="1" si="80"/>
        <v>#NAME?</v>
      </c>
      <c r="AO383" s="860" t="e">
        <f t="shared" ca="1" si="80"/>
        <v>#NAME?</v>
      </c>
      <c r="AP383" s="860" t="e">
        <f t="shared" ca="1" si="80"/>
        <v>#NAME?</v>
      </c>
      <c r="AQ383" s="860" t="e">
        <f t="shared" ca="1" si="80"/>
        <v>#NAME?</v>
      </c>
      <c r="AR383" s="860">
        <f t="shared" si="80"/>
        <v>0</v>
      </c>
      <c r="AS383" s="548"/>
      <c r="AT383" s="548"/>
      <c r="AU383" s="548"/>
      <c r="AV383" s="860" t="e">
        <f t="shared" ref="AV383:BR383" ca="1" si="81">SUM(AV11:AV376)</f>
        <v>#NAME?</v>
      </c>
      <c r="AW383" s="860" t="e">
        <f t="shared" ca="1" si="81"/>
        <v>#NAME?</v>
      </c>
      <c r="AX383" s="860" t="e">
        <f t="shared" ca="1" si="81"/>
        <v>#NAME?</v>
      </c>
      <c r="AY383" s="860" t="e">
        <f t="shared" ca="1" si="81"/>
        <v>#NAME?</v>
      </c>
      <c r="AZ383" s="860" t="e">
        <f t="shared" ca="1" si="81"/>
        <v>#NAME?</v>
      </c>
      <c r="BA383" s="860" t="e">
        <f t="shared" ca="1" si="81"/>
        <v>#NAME?</v>
      </c>
      <c r="BB383" s="860" t="e">
        <f t="shared" ca="1" si="81"/>
        <v>#NAME?</v>
      </c>
      <c r="BC383" s="860" t="e">
        <f t="shared" ca="1" si="81"/>
        <v>#NAME?</v>
      </c>
      <c r="BD383" s="860" t="e">
        <f t="shared" ca="1" si="81"/>
        <v>#NAME?</v>
      </c>
      <c r="BE383" s="860" t="e">
        <f t="shared" ca="1" si="81"/>
        <v>#NAME?</v>
      </c>
      <c r="BF383" s="860" t="e">
        <f t="shared" ca="1" si="81"/>
        <v>#NAME?</v>
      </c>
      <c r="BG383" s="860" t="e">
        <f t="shared" ca="1" si="81"/>
        <v>#NAME?</v>
      </c>
      <c r="BH383" s="860" t="e">
        <f t="shared" ca="1" si="81"/>
        <v>#NAME?</v>
      </c>
      <c r="BI383" s="860" t="e">
        <f t="shared" ca="1" si="81"/>
        <v>#NAME?</v>
      </c>
      <c r="BJ383" s="860" t="e">
        <f t="shared" ca="1" si="81"/>
        <v>#NAME?</v>
      </c>
      <c r="BK383" s="860" t="e">
        <f t="shared" ca="1" si="81"/>
        <v>#NAME?</v>
      </c>
      <c r="BL383" s="860" t="e">
        <f t="shared" ca="1" si="81"/>
        <v>#NAME?</v>
      </c>
      <c r="BM383" s="860" t="e">
        <f t="shared" ca="1" si="81"/>
        <v>#NAME?</v>
      </c>
      <c r="BN383" s="860" t="e">
        <f t="shared" ca="1" si="81"/>
        <v>#NAME?</v>
      </c>
      <c r="BO383" s="860" t="e">
        <f t="shared" ca="1" si="81"/>
        <v>#NAME?</v>
      </c>
      <c r="BP383" s="860" t="e">
        <f t="shared" ca="1" si="81"/>
        <v>#NAME?</v>
      </c>
      <c r="BQ383" s="860" t="e">
        <f t="shared" ca="1" si="81"/>
        <v>#NAME?</v>
      </c>
      <c r="BR383" s="860" t="e">
        <f t="shared" ca="1" si="81"/>
        <v>#NAME?</v>
      </c>
    </row>
    <row r="384" spans="1:70" x14ac:dyDescent="0.2">
      <c r="A384" s="59" t="s">
        <v>168</v>
      </c>
      <c r="D384" s="864" t="e">
        <f t="shared" ref="D384:Q384" ca="1" si="82">PERCENTILE(D11:D376,0.2)</f>
        <v>#NAME?</v>
      </c>
      <c r="E384" s="864" t="e">
        <f t="shared" ref="E384" ca="1" si="83">PERCENTILE(E11:E376,0.2)</f>
        <v>#NAME?</v>
      </c>
      <c r="F384" s="864" t="e">
        <f t="shared" ca="1" si="82"/>
        <v>#NAME?</v>
      </c>
      <c r="G384" s="864" t="e">
        <f t="shared" ca="1" si="82"/>
        <v>#NAME?</v>
      </c>
      <c r="H384" s="864" t="e">
        <f t="shared" ca="1" si="82"/>
        <v>#NAME?</v>
      </c>
      <c r="I384" s="864" t="e">
        <f t="shared" ca="1" si="82"/>
        <v>#NAME?</v>
      </c>
      <c r="J384" s="864" t="e">
        <f t="shared" ca="1" si="82"/>
        <v>#NAME?</v>
      </c>
      <c r="K384" s="864" t="e">
        <f t="shared" ca="1" si="82"/>
        <v>#NAME?</v>
      </c>
      <c r="L384" s="864" t="e">
        <f t="shared" ca="1" si="82"/>
        <v>#NAME?</v>
      </c>
      <c r="M384" s="864" t="e">
        <f t="shared" ca="1" si="82"/>
        <v>#NAME?</v>
      </c>
      <c r="N384" s="864" t="e">
        <f t="shared" ca="1" si="82"/>
        <v>#NAME?</v>
      </c>
      <c r="O384" s="864" t="e">
        <f t="shared" ca="1" si="82"/>
        <v>#NAME?</v>
      </c>
      <c r="P384" s="864" t="e">
        <f t="shared" ca="1" si="82"/>
        <v>#NAME?</v>
      </c>
      <c r="Q384" s="864" t="e">
        <f t="shared" ca="1" si="82"/>
        <v>#NAME?</v>
      </c>
      <c r="S384" s="864" t="e">
        <f t="shared" ref="S384:AR384" ca="1" si="84">PERCENTILE(S11:S376,0.2)</f>
        <v>#NAME?</v>
      </c>
      <c r="T384" s="864" t="e">
        <f t="shared" ca="1" si="84"/>
        <v>#NAME?</v>
      </c>
      <c r="U384" s="864" t="e">
        <f t="shared" ca="1" si="84"/>
        <v>#NAME?</v>
      </c>
      <c r="V384" s="864" t="e">
        <f t="shared" ca="1" si="84"/>
        <v>#NAME?</v>
      </c>
      <c r="W384" s="864" t="e">
        <f t="shared" ca="1" si="84"/>
        <v>#NAME?</v>
      </c>
      <c r="X384" s="864" t="e">
        <f t="shared" ca="1" si="84"/>
        <v>#NAME?</v>
      </c>
      <c r="Y384" s="864" t="e">
        <f t="shared" ca="1" si="84"/>
        <v>#NAME?</v>
      </c>
      <c r="Z384" s="864" t="e">
        <f t="shared" ca="1" si="84"/>
        <v>#NAME?</v>
      </c>
      <c r="AA384" s="864" t="e">
        <f t="shared" ca="1" si="84"/>
        <v>#NAME?</v>
      </c>
      <c r="AB384" s="864" t="e">
        <f t="shared" ca="1" si="84"/>
        <v>#NAME?</v>
      </c>
      <c r="AC384" s="864" t="e">
        <f t="shared" ca="1" si="84"/>
        <v>#NAME?</v>
      </c>
      <c r="AD384" s="864" t="e">
        <f t="shared" ca="1" si="84"/>
        <v>#NAME?</v>
      </c>
      <c r="AE384" s="864" t="e">
        <f t="shared" ca="1" si="84"/>
        <v>#NAME?</v>
      </c>
      <c r="AF384" s="864" t="e">
        <f t="shared" ca="1" si="84"/>
        <v>#NAME?</v>
      </c>
      <c r="AG384" s="864" t="e">
        <f t="shared" ca="1" si="84"/>
        <v>#NAME?</v>
      </c>
      <c r="AH384" s="864" t="e">
        <f t="shared" ca="1" si="84"/>
        <v>#NAME?</v>
      </c>
      <c r="AI384" s="864" t="e">
        <f t="shared" ca="1" si="84"/>
        <v>#NAME?</v>
      </c>
      <c r="AJ384" s="864" t="e">
        <f t="shared" ca="1" si="84"/>
        <v>#NAME?</v>
      </c>
      <c r="AK384" s="864" t="e">
        <f t="shared" ca="1" si="84"/>
        <v>#NAME?</v>
      </c>
      <c r="AL384" s="864" t="e">
        <f t="shared" ca="1" si="84"/>
        <v>#NAME?</v>
      </c>
      <c r="AM384" s="864" t="e">
        <f t="shared" ca="1" si="84"/>
        <v>#NAME?</v>
      </c>
      <c r="AN384" s="864" t="e">
        <f t="shared" ca="1" si="84"/>
        <v>#NAME?</v>
      </c>
      <c r="AO384" s="864" t="e">
        <f t="shared" ca="1" si="84"/>
        <v>#NAME?</v>
      </c>
      <c r="AP384" s="864" t="e">
        <f t="shared" ca="1" si="84"/>
        <v>#NAME?</v>
      </c>
      <c r="AQ384" s="864" t="e">
        <f t="shared" ca="1" si="84"/>
        <v>#NAME?</v>
      </c>
      <c r="AR384" s="864" t="e">
        <f t="shared" si="84"/>
        <v>#NUM!</v>
      </c>
      <c r="AS384" s="549"/>
      <c r="AT384" s="549"/>
      <c r="AU384" s="549"/>
      <c r="AV384" s="864" t="e">
        <f t="shared" ref="AV384:BR384" ca="1" si="85">PERCENTILE(AV11:AV376,0.2)</f>
        <v>#NAME?</v>
      </c>
      <c r="AW384" s="864" t="e">
        <f t="shared" ca="1" si="85"/>
        <v>#NAME?</v>
      </c>
      <c r="AX384" s="864" t="e">
        <f t="shared" ca="1" si="85"/>
        <v>#NAME?</v>
      </c>
      <c r="AY384" s="864" t="e">
        <f t="shared" ca="1" si="85"/>
        <v>#NAME?</v>
      </c>
      <c r="AZ384" s="864" t="e">
        <f t="shared" ca="1" si="85"/>
        <v>#NAME?</v>
      </c>
      <c r="BA384" s="864" t="e">
        <f t="shared" ca="1" si="85"/>
        <v>#NAME?</v>
      </c>
      <c r="BB384" s="864" t="e">
        <f t="shared" ca="1" si="85"/>
        <v>#NAME?</v>
      </c>
      <c r="BC384" s="864" t="e">
        <f t="shared" ca="1" si="85"/>
        <v>#NAME?</v>
      </c>
      <c r="BD384" s="864" t="e">
        <f t="shared" ca="1" si="85"/>
        <v>#NAME?</v>
      </c>
      <c r="BE384" s="864" t="e">
        <f t="shared" ca="1" si="85"/>
        <v>#NAME?</v>
      </c>
      <c r="BF384" s="864" t="e">
        <f t="shared" ca="1" si="85"/>
        <v>#NAME?</v>
      </c>
      <c r="BG384" s="864" t="e">
        <f t="shared" ca="1" si="85"/>
        <v>#NAME?</v>
      </c>
      <c r="BH384" s="864" t="e">
        <f t="shared" ca="1" si="85"/>
        <v>#NAME?</v>
      </c>
      <c r="BI384" s="864" t="e">
        <f t="shared" ca="1" si="85"/>
        <v>#NAME?</v>
      </c>
      <c r="BJ384" s="864" t="e">
        <f t="shared" ca="1" si="85"/>
        <v>#NAME?</v>
      </c>
      <c r="BK384" s="864" t="e">
        <f t="shared" ca="1" si="85"/>
        <v>#NAME?</v>
      </c>
      <c r="BL384" s="864" t="e">
        <f t="shared" ca="1" si="85"/>
        <v>#NAME?</v>
      </c>
      <c r="BM384" s="864" t="e">
        <f t="shared" ca="1" si="85"/>
        <v>#NAME?</v>
      </c>
      <c r="BN384" s="864" t="e">
        <f t="shared" ca="1" si="85"/>
        <v>#NAME?</v>
      </c>
      <c r="BO384" s="864" t="e">
        <f t="shared" ca="1" si="85"/>
        <v>#NAME?</v>
      </c>
      <c r="BP384" s="864" t="e">
        <f t="shared" ca="1" si="85"/>
        <v>#NAME?</v>
      </c>
      <c r="BQ384" s="864" t="e">
        <f t="shared" ca="1" si="85"/>
        <v>#NAME?</v>
      </c>
      <c r="BR384" s="864" t="e">
        <f t="shared" ca="1" si="85"/>
        <v>#NAME?</v>
      </c>
    </row>
    <row r="385" spans="1:70" x14ac:dyDescent="0.2">
      <c r="A385" s="542" t="s">
        <v>162</v>
      </c>
      <c r="D385" s="865" t="e">
        <f t="shared" ref="D385:Q385" ca="1" si="86">PERCENTILE(D11:D376,0.5)</f>
        <v>#NAME?</v>
      </c>
      <c r="E385" s="865" t="e">
        <f t="shared" ref="E385" ca="1" si="87">PERCENTILE(E11:E376,0.5)</f>
        <v>#NAME?</v>
      </c>
      <c r="F385" s="865" t="e">
        <f t="shared" ca="1" si="86"/>
        <v>#NAME?</v>
      </c>
      <c r="G385" s="865" t="e">
        <f t="shared" ca="1" si="86"/>
        <v>#NAME?</v>
      </c>
      <c r="H385" s="865" t="e">
        <f t="shared" ca="1" si="86"/>
        <v>#NAME?</v>
      </c>
      <c r="I385" s="865" t="e">
        <f t="shared" ca="1" si="86"/>
        <v>#NAME?</v>
      </c>
      <c r="J385" s="865" t="e">
        <f t="shared" ca="1" si="86"/>
        <v>#NAME?</v>
      </c>
      <c r="K385" s="865" t="e">
        <f t="shared" ca="1" si="86"/>
        <v>#NAME?</v>
      </c>
      <c r="L385" s="865" t="e">
        <f t="shared" ca="1" si="86"/>
        <v>#NAME?</v>
      </c>
      <c r="M385" s="865" t="e">
        <f t="shared" ca="1" si="86"/>
        <v>#NAME?</v>
      </c>
      <c r="N385" s="865" t="e">
        <f t="shared" ca="1" si="86"/>
        <v>#NAME?</v>
      </c>
      <c r="O385" s="865" t="e">
        <f t="shared" ca="1" si="86"/>
        <v>#NAME?</v>
      </c>
      <c r="P385" s="865" t="e">
        <f t="shared" ca="1" si="86"/>
        <v>#NAME?</v>
      </c>
      <c r="Q385" s="865" t="e">
        <f t="shared" ca="1" si="86"/>
        <v>#NAME?</v>
      </c>
      <c r="S385" s="865" t="e">
        <f t="shared" ref="S385:AR385" ca="1" si="88">PERCENTILE(S11:S376,0.5)</f>
        <v>#NAME?</v>
      </c>
      <c r="T385" s="865" t="e">
        <f t="shared" ca="1" si="88"/>
        <v>#NAME?</v>
      </c>
      <c r="U385" s="865" t="e">
        <f t="shared" ca="1" si="88"/>
        <v>#NAME?</v>
      </c>
      <c r="V385" s="865" t="e">
        <f t="shared" ca="1" si="88"/>
        <v>#NAME?</v>
      </c>
      <c r="W385" s="865" t="e">
        <f t="shared" ca="1" si="88"/>
        <v>#NAME?</v>
      </c>
      <c r="X385" s="865" t="e">
        <f t="shared" ca="1" si="88"/>
        <v>#NAME?</v>
      </c>
      <c r="Y385" s="865" t="e">
        <f t="shared" ca="1" si="88"/>
        <v>#NAME?</v>
      </c>
      <c r="Z385" s="865" t="e">
        <f t="shared" ca="1" si="88"/>
        <v>#NAME?</v>
      </c>
      <c r="AA385" s="865" t="e">
        <f t="shared" ca="1" si="88"/>
        <v>#NAME?</v>
      </c>
      <c r="AB385" s="865" t="e">
        <f t="shared" ca="1" si="88"/>
        <v>#NAME?</v>
      </c>
      <c r="AC385" s="865" t="e">
        <f t="shared" ca="1" si="88"/>
        <v>#NAME?</v>
      </c>
      <c r="AD385" s="865" t="e">
        <f t="shared" ca="1" si="88"/>
        <v>#NAME?</v>
      </c>
      <c r="AE385" s="865" t="e">
        <f t="shared" ca="1" si="88"/>
        <v>#NAME?</v>
      </c>
      <c r="AF385" s="865" t="e">
        <f t="shared" ca="1" si="88"/>
        <v>#NAME?</v>
      </c>
      <c r="AG385" s="865" t="e">
        <f t="shared" ca="1" si="88"/>
        <v>#NAME?</v>
      </c>
      <c r="AH385" s="865" t="e">
        <f t="shared" ca="1" si="88"/>
        <v>#NAME?</v>
      </c>
      <c r="AI385" s="865" t="e">
        <f t="shared" ca="1" si="88"/>
        <v>#NAME?</v>
      </c>
      <c r="AJ385" s="865" t="e">
        <f t="shared" ca="1" si="88"/>
        <v>#NAME?</v>
      </c>
      <c r="AK385" s="865" t="e">
        <f t="shared" ca="1" si="88"/>
        <v>#NAME?</v>
      </c>
      <c r="AL385" s="865" t="e">
        <f t="shared" ca="1" si="88"/>
        <v>#NAME?</v>
      </c>
      <c r="AM385" s="865" t="e">
        <f t="shared" ca="1" si="88"/>
        <v>#NAME?</v>
      </c>
      <c r="AN385" s="865" t="e">
        <f t="shared" ca="1" si="88"/>
        <v>#NAME?</v>
      </c>
      <c r="AO385" s="865" t="e">
        <f t="shared" ca="1" si="88"/>
        <v>#NAME?</v>
      </c>
      <c r="AP385" s="865" t="e">
        <f t="shared" ca="1" si="88"/>
        <v>#NAME?</v>
      </c>
      <c r="AQ385" s="865" t="e">
        <f t="shared" ca="1" si="88"/>
        <v>#NAME?</v>
      </c>
      <c r="AR385" s="865" t="e">
        <f t="shared" si="88"/>
        <v>#NUM!</v>
      </c>
      <c r="AS385" s="550"/>
      <c r="AT385" s="550"/>
      <c r="AU385" s="550"/>
      <c r="AV385" s="865" t="e">
        <f t="shared" ref="AV385:BR385" ca="1" si="89">PERCENTILE(AV11:AV376,0.5)</f>
        <v>#NAME?</v>
      </c>
      <c r="AW385" s="865" t="e">
        <f t="shared" ca="1" si="89"/>
        <v>#NAME?</v>
      </c>
      <c r="AX385" s="865" t="e">
        <f t="shared" ca="1" si="89"/>
        <v>#NAME?</v>
      </c>
      <c r="AY385" s="865" t="e">
        <f t="shared" ca="1" si="89"/>
        <v>#NAME?</v>
      </c>
      <c r="AZ385" s="865" t="e">
        <f t="shared" ca="1" si="89"/>
        <v>#NAME?</v>
      </c>
      <c r="BA385" s="865" t="e">
        <f t="shared" ca="1" si="89"/>
        <v>#NAME?</v>
      </c>
      <c r="BB385" s="865" t="e">
        <f t="shared" ca="1" si="89"/>
        <v>#NAME?</v>
      </c>
      <c r="BC385" s="865" t="e">
        <f t="shared" ca="1" si="89"/>
        <v>#NAME?</v>
      </c>
      <c r="BD385" s="865" t="e">
        <f t="shared" ca="1" si="89"/>
        <v>#NAME?</v>
      </c>
      <c r="BE385" s="865" t="e">
        <f t="shared" ca="1" si="89"/>
        <v>#NAME?</v>
      </c>
      <c r="BF385" s="865" t="e">
        <f t="shared" ca="1" si="89"/>
        <v>#NAME?</v>
      </c>
      <c r="BG385" s="865" t="e">
        <f t="shared" ca="1" si="89"/>
        <v>#NAME?</v>
      </c>
      <c r="BH385" s="865" t="e">
        <f t="shared" ca="1" si="89"/>
        <v>#NAME?</v>
      </c>
      <c r="BI385" s="865" t="e">
        <f t="shared" ca="1" si="89"/>
        <v>#NAME?</v>
      </c>
      <c r="BJ385" s="865" t="e">
        <f t="shared" ca="1" si="89"/>
        <v>#NAME?</v>
      </c>
      <c r="BK385" s="865" t="e">
        <f t="shared" ca="1" si="89"/>
        <v>#NAME?</v>
      </c>
      <c r="BL385" s="865" t="e">
        <f t="shared" ca="1" si="89"/>
        <v>#NAME?</v>
      </c>
      <c r="BM385" s="865" t="e">
        <f t="shared" ca="1" si="89"/>
        <v>#NAME?</v>
      </c>
      <c r="BN385" s="865" t="e">
        <f t="shared" ca="1" si="89"/>
        <v>#NAME?</v>
      </c>
      <c r="BO385" s="865" t="e">
        <f t="shared" ca="1" si="89"/>
        <v>#NAME?</v>
      </c>
      <c r="BP385" s="865" t="e">
        <f t="shared" ca="1" si="89"/>
        <v>#NAME?</v>
      </c>
      <c r="BQ385" s="865" t="e">
        <f t="shared" ca="1" si="89"/>
        <v>#NAME?</v>
      </c>
      <c r="BR385" s="865" t="e">
        <f t="shared" ca="1" si="89"/>
        <v>#NAME?</v>
      </c>
    </row>
    <row r="386" spans="1:70" x14ac:dyDescent="0.2">
      <c r="A386" s="59" t="s">
        <v>163</v>
      </c>
      <c r="D386" s="864" t="e">
        <f t="shared" ref="D386:Q386" ca="1" si="90">PERCENTILE(D11:D376,0.85)</f>
        <v>#NAME?</v>
      </c>
      <c r="E386" s="864" t="e">
        <f t="shared" ref="E386" ca="1" si="91">PERCENTILE(E11:E376,0.85)</f>
        <v>#NAME?</v>
      </c>
      <c r="F386" s="864" t="e">
        <f t="shared" ca="1" si="90"/>
        <v>#NAME?</v>
      </c>
      <c r="G386" s="864" t="e">
        <f t="shared" ca="1" si="90"/>
        <v>#NAME?</v>
      </c>
      <c r="H386" s="864" t="e">
        <f t="shared" ca="1" si="90"/>
        <v>#NAME?</v>
      </c>
      <c r="I386" s="864" t="e">
        <f t="shared" ca="1" si="90"/>
        <v>#NAME?</v>
      </c>
      <c r="J386" s="864" t="e">
        <f t="shared" ca="1" si="90"/>
        <v>#NAME?</v>
      </c>
      <c r="K386" s="864" t="e">
        <f t="shared" ca="1" si="90"/>
        <v>#NAME?</v>
      </c>
      <c r="L386" s="864" t="e">
        <f t="shared" ca="1" si="90"/>
        <v>#NAME?</v>
      </c>
      <c r="M386" s="864" t="e">
        <f t="shared" ca="1" si="90"/>
        <v>#NAME?</v>
      </c>
      <c r="N386" s="864" t="e">
        <f t="shared" ca="1" si="90"/>
        <v>#NAME?</v>
      </c>
      <c r="O386" s="864" t="e">
        <f t="shared" ca="1" si="90"/>
        <v>#NAME?</v>
      </c>
      <c r="P386" s="864" t="e">
        <f t="shared" ca="1" si="90"/>
        <v>#NAME?</v>
      </c>
      <c r="Q386" s="864" t="e">
        <f t="shared" ca="1" si="90"/>
        <v>#NAME?</v>
      </c>
      <c r="S386" s="864" t="e">
        <f t="shared" ref="S386:AR386" ca="1" si="92">PERCENTILE(S11:S376,0.85)</f>
        <v>#NAME?</v>
      </c>
      <c r="T386" s="864" t="e">
        <f t="shared" ca="1" si="92"/>
        <v>#NAME?</v>
      </c>
      <c r="U386" s="864" t="e">
        <f t="shared" ca="1" si="92"/>
        <v>#NAME?</v>
      </c>
      <c r="V386" s="864" t="e">
        <f t="shared" ca="1" si="92"/>
        <v>#NAME?</v>
      </c>
      <c r="W386" s="864" t="e">
        <f t="shared" ca="1" si="92"/>
        <v>#NAME?</v>
      </c>
      <c r="X386" s="864" t="e">
        <f t="shared" ca="1" si="92"/>
        <v>#NAME?</v>
      </c>
      <c r="Y386" s="864" t="e">
        <f t="shared" ca="1" si="92"/>
        <v>#NAME?</v>
      </c>
      <c r="Z386" s="864" t="e">
        <f t="shared" ca="1" si="92"/>
        <v>#NAME?</v>
      </c>
      <c r="AA386" s="864" t="e">
        <f t="shared" ca="1" si="92"/>
        <v>#NAME?</v>
      </c>
      <c r="AB386" s="864" t="e">
        <f t="shared" ca="1" si="92"/>
        <v>#NAME?</v>
      </c>
      <c r="AC386" s="864" t="e">
        <f t="shared" ca="1" si="92"/>
        <v>#NAME?</v>
      </c>
      <c r="AD386" s="864" t="e">
        <f t="shared" ca="1" si="92"/>
        <v>#NAME?</v>
      </c>
      <c r="AE386" s="864" t="e">
        <f t="shared" ca="1" si="92"/>
        <v>#NAME?</v>
      </c>
      <c r="AF386" s="864" t="e">
        <f t="shared" ca="1" si="92"/>
        <v>#NAME?</v>
      </c>
      <c r="AG386" s="864" t="e">
        <f t="shared" ca="1" si="92"/>
        <v>#NAME?</v>
      </c>
      <c r="AH386" s="864" t="e">
        <f t="shared" ca="1" si="92"/>
        <v>#NAME?</v>
      </c>
      <c r="AI386" s="864" t="e">
        <f t="shared" ca="1" si="92"/>
        <v>#NAME?</v>
      </c>
      <c r="AJ386" s="864" t="e">
        <f t="shared" ca="1" si="92"/>
        <v>#NAME?</v>
      </c>
      <c r="AK386" s="864" t="e">
        <f t="shared" ca="1" si="92"/>
        <v>#NAME?</v>
      </c>
      <c r="AL386" s="864" t="e">
        <f t="shared" ca="1" si="92"/>
        <v>#NAME?</v>
      </c>
      <c r="AM386" s="864" t="e">
        <f t="shared" ca="1" si="92"/>
        <v>#NAME?</v>
      </c>
      <c r="AN386" s="864" t="e">
        <f t="shared" ca="1" si="92"/>
        <v>#NAME?</v>
      </c>
      <c r="AO386" s="864" t="e">
        <f t="shared" ca="1" si="92"/>
        <v>#NAME?</v>
      </c>
      <c r="AP386" s="864" t="e">
        <f t="shared" ca="1" si="92"/>
        <v>#NAME?</v>
      </c>
      <c r="AQ386" s="864" t="e">
        <f t="shared" ca="1" si="92"/>
        <v>#NAME?</v>
      </c>
      <c r="AR386" s="864" t="e">
        <f t="shared" si="92"/>
        <v>#NUM!</v>
      </c>
      <c r="AS386" s="549"/>
      <c r="AT386" s="549"/>
      <c r="AU386" s="549"/>
      <c r="AV386" s="864" t="e">
        <f t="shared" ref="AV386:BR386" ca="1" si="93">PERCENTILE(AV11:AV376,0.85)</f>
        <v>#NAME?</v>
      </c>
      <c r="AW386" s="864" t="e">
        <f t="shared" ca="1" si="93"/>
        <v>#NAME?</v>
      </c>
      <c r="AX386" s="864" t="e">
        <f t="shared" ca="1" si="93"/>
        <v>#NAME?</v>
      </c>
      <c r="AY386" s="864" t="e">
        <f t="shared" ca="1" si="93"/>
        <v>#NAME?</v>
      </c>
      <c r="AZ386" s="864" t="e">
        <f t="shared" ca="1" si="93"/>
        <v>#NAME?</v>
      </c>
      <c r="BA386" s="864" t="e">
        <f t="shared" ca="1" si="93"/>
        <v>#NAME?</v>
      </c>
      <c r="BB386" s="864" t="e">
        <f t="shared" ca="1" si="93"/>
        <v>#NAME?</v>
      </c>
      <c r="BC386" s="864" t="e">
        <f t="shared" ca="1" si="93"/>
        <v>#NAME?</v>
      </c>
      <c r="BD386" s="864" t="e">
        <f t="shared" ca="1" si="93"/>
        <v>#NAME?</v>
      </c>
      <c r="BE386" s="864" t="e">
        <f t="shared" ca="1" si="93"/>
        <v>#NAME?</v>
      </c>
      <c r="BF386" s="864" t="e">
        <f t="shared" ca="1" si="93"/>
        <v>#NAME?</v>
      </c>
      <c r="BG386" s="864" t="e">
        <f t="shared" ca="1" si="93"/>
        <v>#NAME?</v>
      </c>
      <c r="BH386" s="864" t="e">
        <f t="shared" ca="1" si="93"/>
        <v>#NAME?</v>
      </c>
      <c r="BI386" s="864" t="e">
        <f t="shared" ca="1" si="93"/>
        <v>#NAME?</v>
      </c>
      <c r="BJ386" s="864" t="e">
        <f t="shared" ca="1" si="93"/>
        <v>#NAME?</v>
      </c>
      <c r="BK386" s="864" t="e">
        <f t="shared" ca="1" si="93"/>
        <v>#NAME?</v>
      </c>
      <c r="BL386" s="864" t="e">
        <f t="shared" ca="1" si="93"/>
        <v>#NAME?</v>
      </c>
      <c r="BM386" s="864" t="e">
        <f t="shared" ca="1" si="93"/>
        <v>#NAME?</v>
      </c>
      <c r="BN386" s="864" t="e">
        <f t="shared" ca="1" si="93"/>
        <v>#NAME?</v>
      </c>
      <c r="BO386" s="864" t="e">
        <f t="shared" ca="1" si="93"/>
        <v>#NAME?</v>
      </c>
      <c r="BP386" s="864" t="e">
        <f t="shared" ca="1" si="93"/>
        <v>#NAME?</v>
      </c>
      <c r="BQ386" s="864" t="e">
        <f t="shared" ca="1" si="93"/>
        <v>#NAME?</v>
      </c>
      <c r="BR386" s="864" t="e">
        <f t="shared" ca="1" si="93"/>
        <v>#NAME?</v>
      </c>
    </row>
    <row r="387" spans="1:70" x14ac:dyDescent="0.2">
      <c r="A387" s="542" t="s">
        <v>164</v>
      </c>
      <c r="D387" s="865" t="e">
        <f t="shared" ref="D387:Q387" ca="1" si="94">PERCENTILE(D11:D376,0.95)</f>
        <v>#NAME?</v>
      </c>
      <c r="E387" s="865" t="e">
        <f t="shared" ref="E387" ca="1" si="95">PERCENTILE(E11:E376,0.95)</f>
        <v>#NAME?</v>
      </c>
      <c r="F387" s="865" t="e">
        <f t="shared" ca="1" si="94"/>
        <v>#NAME?</v>
      </c>
      <c r="G387" s="865" t="e">
        <f t="shared" ca="1" si="94"/>
        <v>#NAME?</v>
      </c>
      <c r="H387" s="865" t="e">
        <f t="shared" ca="1" si="94"/>
        <v>#NAME?</v>
      </c>
      <c r="I387" s="865" t="e">
        <f t="shared" ca="1" si="94"/>
        <v>#NAME?</v>
      </c>
      <c r="J387" s="865" t="e">
        <f t="shared" ca="1" si="94"/>
        <v>#NAME?</v>
      </c>
      <c r="K387" s="865" t="e">
        <f t="shared" ca="1" si="94"/>
        <v>#NAME?</v>
      </c>
      <c r="L387" s="865" t="e">
        <f t="shared" ca="1" si="94"/>
        <v>#NAME?</v>
      </c>
      <c r="M387" s="865" t="e">
        <f t="shared" ca="1" si="94"/>
        <v>#NAME?</v>
      </c>
      <c r="N387" s="865" t="e">
        <f t="shared" ca="1" si="94"/>
        <v>#NAME?</v>
      </c>
      <c r="O387" s="865" t="e">
        <f t="shared" ca="1" si="94"/>
        <v>#NAME?</v>
      </c>
      <c r="P387" s="865" t="e">
        <f t="shared" ca="1" si="94"/>
        <v>#NAME?</v>
      </c>
      <c r="Q387" s="865" t="e">
        <f t="shared" ca="1" si="94"/>
        <v>#NAME?</v>
      </c>
      <c r="S387" s="865" t="e">
        <f t="shared" ref="S387:AR387" ca="1" si="96">PERCENTILE(S11:S376,0.95)</f>
        <v>#NAME?</v>
      </c>
      <c r="T387" s="865" t="e">
        <f t="shared" ca="1" si="96"/>
        <v>#NAME?</v>
      </c>
      <c r="U387" s="865" t="e">
        <f t="shared" ca="1" si="96"/>
        <v>#NAME?</v>
      </c>
      <c r="V387" s="865" t="e">
        <f t="shared" ca="1" si="96"/>
        <v>#NAME?</v>
      </c>
      <c r="W387" s="865" t="e">
        <f t="shared" ca="1" si="96"/>
        <v>#NAME?</v>
      </c>
      <c r="X387" s="865" t="e">
        <f t="shared" ca="1" si="96"/>
        <v>#NAME?</v>
      </c>
      <c r="Y387" s="865" t="e">
        <f t="shared" ca="1" si="96"/>
        <v>#NAME?</v>
      </c>
      <c r="Z387" s="865" t="e">
        <f t="shared" ca="1" si="96"/>
        <v>#NAME?</v>
      </c>
      <c r="AA387" s="865" t="e">
        <f t="shared" ca="1" si="96"/>
        <v>#NAME?</v>
      </c>
      <c r="AB387" s="865" t="e">
        <f t="shared" ca="1" si="96"/>
        <v>#NAME?</v>
      </c>
      <c r="AC387" s="865" t="e">
        <f t="shared" ca="1" si="96"/>
        <v>#NAME?</v>
      </c>
      <c r="AD387" s="865" t="e">
        <f t="shared" ca="1" si="96"/>
        <v>#NAME?</v>
      </c>
      <c r="AE387" s="865" t="e">
        <f t="shared" ca="1" si="96"/>
        <v>#NAME?</v>
      </c>
      <c r="AF387" s="865" t="e">
        <f t="shared" ca="1" si="96"/>
        <v>#NAME?</v>
      </c>
      <c r="AG387" s="865" t="e">
        <f t="shared" ca="1" si="96"/>
        <v>#NAME?</v>
      </c>
      <c r="AH387" s="865" t="e">
        <f t="shared" ca="1" si="96"/>
        <v>#NAME?</v>
      </c>
      <c r="AI387" s="865" t="e">
        <f t="shared" ca="1" si="96"/>
        <v>#NAME?</v>
      </c>
      <c r="AJ387" s="865" t="e">
        <f t="shared" ca="1" si="96"/>
        <v>#NAME?</v>
      </c>
      <c r="AK387" s="865" t="e">
        <f t="shared" ca="1" si="96"/>
        <v>#NAME?</v>
      </c>
      <c r="AL387" s="865" t="e">
        <f t="shared" ca="1" si="96"/>
        <v>#NAME?</v>
      </c>
      <c r="AM387" s="865" t="e">
        <f t="shared" ca="1" si="96"/>
        <v>#NAME?</v>
      </c>
      <c r="AN387" s="865" t="e">
        <f t="shared" ca="1" si="96"/>
        <v>#NAME?</v>
      </c>
      <c r="AO387" s="865" t="e">
        <f t="shared" ca="1" si="96"/>
        <v>#NAME?</v>
      </c>
      <c r="AP387" s="865" t="e">
        <f t="shared" ca="1" si="96"/>
        <v>#NAME?</v>
      </c>
      <c r="AQ387" s="865" t="e">
        <f t="shared" ca="1" si="96"/>
        <v>#NAME?</v>
      </c>
      <c r="AR387" s="865" t="e">
        <f t="shared" si="96"/>
        <v>#NUM!</v>
      </c>
      <c r="AS387" s="550"/>
      <c r="AT387" s="550"/>
      <c r="AU387" s="550"/>
      <c r="AV387" s="865" t="e">
        <f t="shared" ref="AV387:BR387" ca="1" si="97">PERCENTILE(AV11:AV376,0.95)</f>
        <v>#NAME?</v>
      </c>
      <c r="AW387" s="865" t="e">
        <f t="shared" ca="1" si="97"/>
        <v>#NAME?</v>
      </c>
      <c r="AX387" s="865" t="e">
        <f t="shared" ca="1" si="97"/>
        <v>#NAME?</v>
      </c>
      <c r="AY387" s="865" t="e">
        <f t="shared" ca="1" si="97"/>
        <v>#NAME?</v>
      </c>
      <c r="AZ387" s="865" t="e">
        <f t="shared" ca="1" si="97"/>
        <v>#NAME?</v>
      </c>
      <c r="BA387" s="865" t="e">
        <f t="shared" ca="1" si="97"/>
        <v>#NAME?</v>
      </c>
      <c r="BB387" s="865" t="e">
        <f t="shared" ca="1" si="97"/>
        <v>#NAME?</v>
      </c>
      <c r="BC387" s="865" t="e">
        <f t="shared" ca="1" si="97"/>
        <v>#NAME?</v>
      </c>
      <c r="BD387" s="865" t="e">
        <f t="shared" ca="1" si="97"/>
        <v>#NAME?</v>
      </c>
      <c r="BE387" s="865" t="e">
        <f t="shared" ca="1" si="97"/>
        <v>#NAME?</v>
      </c>
      <c r="BF387" s="865" t="e">
        <f t="shared" ca="1" si="97"/>
        <v>#NAME?</v>
      </c>
      <c r="BG387" s="865" t="e">
        <f t="shared" ca="1" si="97"/>
        <v>#NAME?</v>
      </c>
      <c r="BH387" s="865" t="e">
        <f t="shared" ca="1" si="97"/>
        <v>#NAME?</v>
      </c>
      <c r="BI387" s="865" t="e">
        <f t="shared" ca="1" si="97"/>
        <v>#NAME?</v>
      </c>
      <c r="BJ387" s="865" t="e">
        <f t="shared" ca="1" si="97"/>
        <v>#NAME?</v>
      </c>
      <c r="BK387" s="865" t="e">
        <f t="shared" ca="1" si="97"/>
        <v>#NAME?</v>
      </c>
      <c r="BL387" s="865" t="e">
        <f t="shared" ca="1" si="97"/>
        <v>#NAME?</v>
      </c>
      <c r="BM387" s="865" t="e">
        <f t="shared" ca="1" si="97"/>
        <v>#NAME?</v>
      </c>
      <c r="BN387" s="865" t="e">
        <f t="shared" ca="1" si="97"/>
        <v>#NAME?</v>
      </c>
      <c r="BO387" s="865" t="e">
        <f t="shared" ca="1" si="97"/>
        <v>#NAME?</v>
      </c>
      <c r="BP387" s="865" t="e">
        <f t="shared" ca="1" si="97"/>
        <v>#NAME?</v>
      </c>
      <c r="BQ387" s="865" t="e">
        <f t="shared" ca="1" si="97"/>
        <v>#NAME?</v>
      </c>
      <c r="BR387" s="865" t="e">
        <f t="shared" ca="1" si="97"/>
        <v>#NAME?</v>
      </c>
    </row>
    <row r="388" spans="1:70" x14ac:dyDescent="0.2">
      <c r="A388" s="543" t="s">
        <v>344</v>
      </c>
      <c r="D388" s="866" t="e">
        <f t="shared" ref="D388:Q388" ca="1" si="98">_xlfn.VAR.S(D11:D376)</f>
        <v>#NAME?</v>
      </c>
      <c r="E388" s="866" t="e">
        <f t="shared" ref="E388" ca="1" si="99">_xlfn.VAR.S(E11:E376)</f>
        <v>#NAME?</v>
      </c>
      <c r="F388" s="866" t="e">
        <f t="shared" ca="1" si="98"/>
        <v>#NAME?</v>
      </c>
      <c r="G388" s="866" t="e">
        <f t="shared" ca="1" si="98"/>
        <v>#NAME?</v>
      </c>
      <c r="H388" s="866" t="e">
        <f t="shared" ca="1" si="98"/>
        <v>#NAME?</v>
      </c>
      <c r="I388" s="866" t="e">
        <f t="shared" ca="1" si="98"/>
        <v>#NAME?</v>
      </c>
      <c r="J388" s="866" t="e">
        <f t="shared" ca="1" si="98"/>
        <v>#NAME?</v>
      </c>
      <c r="K388" s="866" t="e">
        <f t="shared" ca="1" si="98"/>
        <v>#NAME?</v>
      </c>
      <c r="L388" s="866" t="e">
        <f t="shared" ca="1" si="98"/>
        <v>#NAME?</v>
      </c>
      <c r="M388" s="866" t="e">
        <f t="shared" ca="1" si="98"/>
        <v>#NAME?</v>
      </c>
      <c r="N388" s="866" t="e">
        <f t="shared" ca="1" si="98"/>
        <v>#NAME?</v>
      </c>
      <c r="O388" s="866" t="e">
        <f t="shared" ca="1" si="98"/>
        <v>#NAME?</v>
      </c>
      <c r="P388" s="866" t="e">
        <f t="shared" ca="1" si="98"/>
        <v>#NAME?</v>
      </c>
      <c r="Q388" s="866" t="e">
        <f t="shared" ca="1" si="98"/>
        <v>#NAME?</v>
      </c>
      <c r="S388" s="866" t="e">
        <f t="shared" ref="S388:AR388" ca="1" si="100">_xlfn.VAR.S(S11:S376)</f>
        <v>#NAME?</v>
      </c>
      <c r="T388" s="866" t="e">
        <f t="shared" ca="1" si="100"/>
        <v>#NAME?</v>
      </c>
      <c r="U388" s="866" t="e">
        <f t="shared" ca="1" si="100"/>
        <v>#NAME?</v>
      </c>
      <c r="V388" s="866" t="e">
        <f t="shared" ca="1" si="100"/>
        <v>#NAME?</v>
      </c>
      <c r="W388" s="866" t="e">
        <f t="shared" ca="1" si="100"/>
        <v>#NAME?</v>
      </c>
      <c r="X388" s="866" t="e">
        <f t="shared" ca="1" si="100"/>
        <v>#NAME?</v>
      </c>
      <c r="Y388" s="866" t="e">
        <f t="shared" ca="1" si="100"/>
        <v>#NAME?</v>
      </c>
      <c r="Z388" s="866" t="e">
        <f t="shared" ca="1" si="100"/>
        <v>#NAME?</v>
      </c>
      <c r="AA388" s="866" t="e">
        <f t="shared" ca="1" si="100"/>
        <v>#NAME?</v>
      </c>
      <c r="AB388" s="866" t="e">
        <f t="shared" ca="1" si="100"/>
        <v>#NAME?</v>
      </c>
      <c r="AC388" s="866" t="e">
        <f t="shared" ca="1" si="100"/>
        <v>#NAME?</v>
      </c>
      <c r="AD388" s="866" t="e">
        <f t="shared" ca="1" si="100"/>
        <v>#NAME?</v>
      </c>
      <c r="AE388" s="866" t="e">
        <f t="shared" ca="1" si="100"/>
        <v>#NAME?</v>
      </c>
      <c r="AF388" s="866" t="e">
        <f t="shared" ca="1" si="100"/>
        <v>#NAME?</v>
      </c>
      <c r="AG388" s="866" t="e">
        <f t="shared" ca="1" si="100"/>
        <v>#NAME?</v>
      </c>
      <c r="AH388" s="866" t="e">
        <f t="shared" ca="1" si="100"/>
        <v>#NAME?</v>
      </c>
      <c r="AI388" s="866" t="e">
        <f t="shared" ca="1" si="100"/>
        <v>#NAME?</v>
      </c>
      <c r="AJ388" s="866" t="e">
        <f t="shared" ca="1" si="100"/>
        <v>#NAME?</v>
      </c>
      <c r="AK388" s="866" t="e">
        <f t="shared" ca="1" si="100"/>
        <v>#NAME?</v>
      </c>
      <c r="AL388" s="866" t="e">
        <f t="shared" ca="1" si="100"/>
        <v>#NAME?</v>
      </c>
      <c r="AM388" s="866" t="e">
        <f t="shared" ca="1" si="100"/>
        <v>#NAME?</v>
      </c>
      <c r="AN388" s="866" t="e">
        <f t="shared" ca="1" si="100"/>
        <v>#NAME?</v>
      </c>
      <c r="AO388" s="866" t="e">
        <f t="shared" ca="1" si="100"/>
        <v>#NAME?</v>
      </c>
      <c r="AP388" s="866" t="e">
        <f t="shared" ca="1" si="100"/>
        <v>#NAME?</v>
      </c>
      <c r="AQ388" s="866" t="e">
        <f t="shared" ca="1" si="100"/>
        <v>#NAME?</v>
      </c>
      <c r="AR388" s="866" t="e">
        <f t="shared" si="100"/>
        <v>#DIV/0!</v>
      </c>
      <c r="AS388" s="551"/>
      <c r="AT388" s="551"/>
      <c r="AU388" s="551"/>
      <c r="AV388" s="866" t="e">
        <f t="shared" ref="AV388:BR388" ca="1" si="101">_xlfn.VAR.S(AV11:AV376)</f>
        <v>#NAME?</v>
      </c>
      <c r="AW388" s="866" t="e">
        <f t="shared" ca="1" si="101"/>
        <v>#NAME?</v>
      </c>
      <c r="AX388" s="866" t="e">
        <f t="shared" ca="1" si="101"/>
        <v>#NAME?</v>
      </c>
      <c r="AY388" s="866" t="e">
        <f t="shared" ca="1" si="101"/>
        <v>#NAME?</v>
      </c>
      <c r="AZ388" s="866" t="e">
        <f t="shared" ca="1" si="101"/>
        <v>#NAME?</v>
      </c>
      <c r="BA388" s="866" t="e">
        <f t="shared" ca="1" si="101"/>
        <v>#NAME?</v>
      </c>
      <c r="BB388" s="866" t="e">
        <f t="shared" ca="1" si="101"/>
        <v>#NAME?</v>
      </c>
      <c r="BC388" s="866" t="e">
        <f t="shared" ca="1" si="101"/>
        <v>#NAME?</v>
      </c>
      <c r="BD388" s="866" t="e">
        <f t="shared" ca="1" si="101"/>
        <v>#NAME?</v>
      </c>
      <c r="BE388" s="866" t="e">
        <f t="shared" ca="1" si="101"/>
        <v>#NAME?</v>
      </c>
      <c r="BF388" s="866" t="e">
        <f t="shared" ca="1" si="101"/>
        <v>#NAME?</v>
      </c>
      <c r="BG388" s="866" t="e">
        <f t="shared" ca="1" si="101"/>
        <v>#NAME?</v>
      </c>
      <c r="BH388" s="866" t="e">
        <f t="shared" ca="1" si="101"/>
        <v>#NAME?</v>
      </c>
      <c r="BI388" s="866" t="e">
        <f t="shared" ca="1" si="101"/>
        <v>#NAME?</v>
      </c>
      <c r="BJ388" s="866" t="e">
        <f t="shared" ca="1" si="101"/>
        <v>#NAME?</v>
      </c>
      <c r="BK388" s="866" t="e">
        <f t="shared" ca="1" si="101"/>
        <v>#NAME?</v>
      </c>
      <c r="BL388" s="866" t="e">
        <f t="shared" ca="1" si="101"/>
        <v>#NAME?</v>
      </c>
      <c r="BM388" s="866" t="e">
        <f t="shared" ca="1" si="101"/>
        <v>#NAME?</v>
      </c>
      <c r="BN388" s="866" t="e">
        <f t="shared" ca="1" si="101"/>
        <v>#NAME?</v>
      </c>
      <c r="BO388" s="866" t="e">
        <f t="shared" ca="1" si="101"/>
        <v>#NAME?</v>
      </c>
      <c r="BP388" s="866" t="e">
        <f t="shared" ca="1" si="101"/>
        <v>#NAME?</v>
      </c>
      <c r="BQ388" s="866" t="e">
        <f t="shared" ca="1" si="101"/>
        <v>#NAME?</v>
      </c>
      <c r="BR388" s="866" t="e">
        <f t="shared" ca="1" si="101"/>
        <v>#NAME?</v>
      </c>
    </row>
    <row r="389" spans="1:70" x14ac:dyDescent="0.2">
      <c r="A389" s="544" t="s">
        <v>345</v>
      </c>
      <c r="D389" s="867" t="e">
        <f t="shared" ref="D389:Q389" ca="1" si="102">SQRT(D388)</f>
        <v>#NAME?</v>
      </c>
      <c r="E389" s="867" t="e">
        <f t="shared" ref="E389" ca="1" si="103">SQRT(E388)</f>
        <v>#NAME?</v>
      </c>
      <c r="F389" s="867" t="e">
        <f t="shared" ca="1" si="102"/>
        <v>#NAME?</v>
      </c>
      <c r="G389" s="867" t="e">
        <f t="shared" ca="1" si="102"/>
        <v>#NAME?</v>
      </c>
      <c r="H389" s="867" t="e">
        <f t="shared" ca="1" si="102"/>
        <v>#NAME?</v>
      </c>
      <c r="I389" s="867" t="e">
        <f t="shared" ca="1" si="102"/>
        <v>#NAME?</v>
      </c>
      <c r="J389" s="867" t="e">
        <f t="shared" ca="1" si="102"/>
        <v>#NAME?</v>
      </c>
      <c r="K389" s="867" t="e">
        <f t="shared" ca="1" si="102"/>
        <v>#NAME?</v>
      </c>
      <c r="L389" s="867" t="e">
        <f t="shared" ca="1" si="102"/>
        <v>#NAME?</v>
      </c>
      <c r="M389" s="867" t="e">
        <f t="shared" ca="1" si="102"/>
        <v>#NAME?</v>
      </c>
      <c r="N389" s="867" t="e">
        <f t="shared" ca="1" si="102"/>
        <v>#NAME?</v>
      </c>
      <c r="O389" s="867" t="e">
        <f t="shared" ca="1" si="102"/>
        <v>#NAME?</v>
      </c>
      <c r="P389" s="867" t="e">
        <f t="shared" ca="1" si="102"/>
        <v>#NAME?</v>
      </c>
      <c r="Q389" s="867" t="e">
        <f t="shared" ca="1" si="102"/>
        <v>#NAME?</v>
      </c>
      <c r="S389" s="867" t="e">
        <f t="shared" ref="S389:AR389" ca="1" si="104">SQRT(S388)</f>
        <v>#NAME?</v>
      </c>
      <c r="T389" s="867" t="e">
        <f t="shared" ca="1" si="104"/>
        <v>#NAME?</v>
      </c>
      <c r="U389" s="867" t="e">
        <f t="shared" ca="1" si="104"/>
        <v>#NAME?</v>
      </c>
      <c r="V389" s="867" t="e">
        <f t="shared" ca="1" si="104"/>
        <v>#NAME?</v>
      </c>
      <c r="W389" s="867" t="e">
        <f t="shared" ca="1" si="104"/>
        <v>#NAME?</v>
      </c>
      <c r="X389" s="867" t="e">
        <f t="shared" ca="1" si="104"/>
        <v>#NAME?</v>
      </c>
      <c r="Y389" s="867" t="e">
        <f t="shared" ca="1" si="104"/>
        <v>#NAME?</v>
      </c>
      <c r="Z389" s="867" t="e">
        <f t="shared" ca="1" si="104"/>
        <v>#NAME?</v>
      </c>
      <c r="AA389" s="867" t="e">
        <f t="shared" ca="1" si="104"/>
        <v>#NAME?</v>
      </c>
      <c r="AB389" s="867" t="e">
        <f t="shared" ca="1" si="104"/>
        <v>#NAME?</v>
      </c>
      <c r="AC389" s="867" t="e">
        <f t="shared" ca="1" si="104"/>
        <v>#NAME?</v>
      </c>
      <c r="AD389" s="867" t="e">
        <f t="shared" ca="1" si="104"/>
        <v>#NAME?</v>
      </c>
      <c r="AE389" s="867" t="e">
        <f t="shared" ca="1" si="104"/>
        <v>#NAME?</v>
      </c>
      <c r="AF389" s="867" t="e">
        <f t="shared" ca="1" si="104"/>
        <v>#NAME?</v>
      </c>
      <c r="AG389" s="867" t="e">
        <f t="shared" ca="1" si="104"/>
        <v>#NAME?</v>
      </c>
      <c r="AH389" s="867" t="e">
        <f t="shared" ca="1" si="104"/>
        <v>#NAME?</v>
      </c>
      <c r="AI389" s="867" t="e">
        <f t="shared" ca="1" si="104"/>
        <v>#NAME?</v>
      </c>
      <c r="AJ389" s="867" t="e">
        <f t="shared" ca="1" si="104"/>
        <v>#NAME?</v>
      </c>
      <c r="AK389" s="867" t="e">
        <f t="shared" ca="1" si="104"/>
        <v>#NAME?</v>
      </c>
      <c r="AL389" s="867" t="e">
        <f t="shared" ca="1" si="104"/>
        <v>#NAME?</v>
      </c>
      <c r="AM389" s="867" t="e">
        <f t="shared" ca="1" si="104"/>
        <v>#NAME?</v>
      </c>
      <c r="AN389" s="867" t="e">
        <f t="shared" ca="1" si="104"/>
        <v>#NAME?</v>
      </c>
      <c r="AO389" s="867" t="e">
        <f t="shared" ca="1" si="104"/>
        <v>#NAME?</v>
      </c>
      <c r="AP389" s="867" t="e">
        <f t="shared" ca="1" si="104"/>
        <v>#NAME?</v>
      </c>
      <c r="AQ389" s="867" t="e">
        <f t="shared" ca="1" si="104"/>
        <v>#NAME?</v>
      </c>
      <c r="AR389" s="867" t="e">
        <f t="shared" si="104"/>
        <v>#DIV/0!</v>
      </c>
      <c r="AS389" s="552"/>
      <c r="AT389" s="552"/>
      <c r="AU389" s="552"/>
      <c r="AV389" s="867" t="e">
        <f t="shared" ref="AV389:BR389" ca="1" si="105">SQRT(AV388)</f>
        <v>#NAME?</v>
      </c>
      <c r="AW389" s="867" t="e">
        <f t="shared" ca="1" si="105"/>
        <v>#NAME?</v>
      </c>
      <c r="AX389" s="867" t="e">
        <f t="shared" ca="1" si="105"/>
        <v>#NAME?</v>
      </c>
      <c r="AY389" s="867" t="e">
        <f t="shared" ca="1" si="105"/>
        <v>#NAME?</v>
      </c>
      <c r="AZ389" s="867" t="e">
        <f t="shared" ca="1" si="105"/>
        <v>#NAME?</v>
      </c>
      <c r="BA389" s="867" t="e">
        <f t="shared" ca="1" si="105"/>
        <v>#NAME?</v>
      </c>
      <c r="BB389" s="867" t="e">
        <f t="shared" ca="1" si="105"/>
        <v>#NAME?</v>
      </c>
      <c r="BC389" s="867" t="e">
        <f t="shared" ca="1" si="105"/>
        <v>#NAME?</v>
      </c>
      <c r="BD389" s="867" t="e">
        <f t="shared" ca="1" si="105"/>
        <v>#NAME?</v>
      </c>
      <c r="BE389" s="867" t="e">
        <f t="shared" ca="1" si="105"/>
        <v>#NAME?</v>
      </c>
      <c r="BF389" s="867" t="e">
        <f t="shared" ca="1" si="105"/>
        <v>#NAME?</v>
      </c>
      <c r="BG389" s="867" t="e">
        <f t="shared" ca="1" si="105"/>
        <v>#NAME?</v>
      </c>
      <c r="BH389" s="867" t="e">
        <f t="shared" ca="1" si="105"/>
        <v>#NAME?</v>
      </c>
      <c r="BI389" s="867" t="e">
        <f t="shared" ca="1" si="105"/>
        <v>#NAME?</v>
      </c>
      <c r="BJ389" s="867" t="e">
        <f t="shared" ca="1" si="105"/>
        <v>#NAME?</v>
      </c>
      <c r="BK389" s="867" t="e">
        <f t="shared" ca="1" si="105"/>
        <v>#NAME?</v>
      </c>
      <c r="BL389" s="867" t="e">
        <f t="shared" ca="1" si="105"/>
        <v>#NAME?</v>
      </c>
      <c r="BM389" s="867" t="e">
        <f t="shared" ca="1" si="105"/>
        <v>#NAME?</v>
      </c>
      <c r="BN389" s="867" t="e">
        <f t="shared" ca="1" si="105"/>
        <v>#NAME?</v>
      </c>
      <c r="BO389" s="867" t="e">
        <f t="shared" ca="1" si="105"/>
        <v>#NAME?</v>
      </c>
      <c r="BP389" s="867" t="e">
        <f t="shared" ca="1" si="105"/>
        <v>#NAME?</v>
      </c>
      <c r="BQ389" s="867" t="e">
        <f t="shared" ca="1" si="105"/>
        <v>#NAME?</v>
      </c>
      <c r="BR389" s="867" t="e">
        <f t="shared" ca="1" si="105"/>
        <v>#NAME?</v>
      </c>
    </row>
    <row r="390" spans="1:70" x14ac:dyDescent="0.2">
      <c r="G390" s="7"/>
      <c r="H390" s="7"/>
      <c r="I390" s="7"/>
      <c r="J390" s="7"/>
      <c r="K390" s="7"/>
      <c r="L390" s="7"/>
      <c r="M390" s="7"/>
      <c r="N390" s="7"/>
      <c r="O390" s="7"/>
      <c r="P390" s="7"/>
      <c r="Q390" s="7"/>
    </row>
    <row r="391" spans="1:70" x14ac:dyDescent="0.2">
      <c r="D391" s="524"/>
      <c r="G391" s="528"/>
      <c r="H391" s="7"/>
      <c r="I391" s="7"/>
      <c r="J391" s="7"/>
      <c r="K391" s="7"/>
      <c r="L391" s="7"/>
      <c r="M391" s="7"/>
      <c r="N391" s="7"/>
      <c r="O391" s="7"/>
      <c r="P391" s="7"/>
      <c r="Q391" s="7"/>
    </row>
    <row r="392" spans="1:70" x14ac:dyDescent="0.2">
      <c r="G392" s="7"/>
      <c r="H392" s="7"/>
      <c r="I392" s="7"/>
      <c r="J392" s="7"/>
      <c r="K392" s="7"/>
      <c r="L392" s="7"/>
      <c r="M392" s="7"/>
      <c r="N392" s="7"/>
      <c r="O392" s="7"/>
      <c r="P392" s="7"/>
      <c r="Q392" s="7"/>
    </row>
    <row r="393" spans="1:70" x14ac:dyDescent="0.2">
      <c r="G393" s="7"/>
      <c r="H393" s="7"/>
      <c r="I393" s="7"/>
      <c r="J393" s="7"/>
      <c r="K393" s="7"/>
      <c r="L393" s="7"/>
      <c r="M393" s="7"/>
      <c r="N393" s="7"/>
      <c r="O393" s="7"/>
      <c r="P393" s="7"/>
      <c r="Q393" s="7"/>
    </row>
    <row r="394" spans="1:70" x14ac:dyDescent="0.2">
      <c r="G394" s="7"/>
      <c r="H394" s="7"/>
      <c r="I394" s="7"/>
      <c r="J394" s="7"/>
      <c r="K394" s="7"/>
      <c r="L394" s="7"/>
      <c r="M394" s="7"/>
      <c r="N394" s="7"/>
      <c r="O394" s="7"/>
      <c r="P394" s="7"/>
      <c r="Q394" s="7"/>
    </row>
    <row r="395" spans="1:70" x14ac:dyDescent="0.2">
      <c r="G395" s="7"/>
      <c r="H395" s="7"/>
      <c r="I395" s="7"/>
      <c r="J395" s="7"/>
      <c r="K395" s="7"/>
      <c r="L395" s="7"/>
      <c r="M395" s="7"/>
      <c r="N395" s="7"/>
      <c r="O395" s="7"/>
      <c r="P395" s="7"/>
      <c r="Q395" s="7"/>
    </row>
    <row r="396" spans="1:70" x14ac:dyDescent="0.2">
      <c r="G396" s="7"/>
      <c r="H396" s="7"/>
      <c r="I396" s="7"/>
      <c r="J396" s="7"/>
      <c r="K396" s="7"/>
      <c r="L396" s="7"/>
      <c r="M396" s="7"/>
      <c r="N396" s="7"/>
      <c r="O396" s="7"/>
      <c r="P396" s="7"/>
      <c r="Q396" s="7"/>
    </row>
    <row r="397" spans="1:70" x14ac:dyDescent="0.2">
      <c r="G397" s="7"/>
      <c r="H397" s="7"/>
      <c r="I397" s="7"/>
      <c r="J397" s="7"/>
      <c r="K397" s="7"/>
      <c r="L397" s="7"/>
      <c r="M397" s="7"/>
      <c r="N397" s="7"/>
      <c r="O397" s="7"/>
      <c r="P397" s="7"/>
      <c r="Q397" s="7"/>
    </row>
    <row r="398" spans="1:70" x14ac:dyDescent="0.2">
      <c r="G398" s="7"/>
      <c r="H398" s="7"/>
      <c r="I398" s="7"/>
      <c r="J398" s="7"/>
      <c r="K398" s="7"/>
      <c r="L398" s="7"/>
      <c r="M398" s="7"/>
      <c r="N398" s="7"/>
      <c r="O398" s="7"/>
      <c r="P398" s="7"/>
      <c r="Q398" s="7"/>
    </row>
    <row r="399" spans="1:70" x14ac:dyDescent="0.2">
      <c r="G399" s="7"/>
      <c r="H399" s="7"/>
      <c r="I399" s="7"/>
      <c r="J399" s="7"/>
      <c r="K399" s="7"/>
      <c r="L399" s="7"/>
      <c r="M399" s="7"/>
      <c r="N399" s="7"/>
      <c r="O399" s="7"/>
      <c r="P399" s="7"/>
      <c r="Q399" s="7"/>
    </row>
    <row r="400" spans="1:70" x14ac:dyDescent="0.2">
      <c r="G400" s="7"/>
      <c r="H400" s="7"/>
      <c r="I400" s="7"/>
      <c r="J400" s="7"/>
      <c r="K400" s="7"/>
      <c r="L400" s="7"/>
      <c r="M400" s="7"/>
      <c r="N400" s="7"/>
      <c r="O400" s="7"/>
      <c r="P400" s="7"/>
      <c r="Q400" s="7"/>
    </row>
    <row r="401" spans="7:17" x14ac:dyDescent="0.2">
      <c r="G401" s="7"/>
      <c r="H401" s="7"/>
      <c r="I401" s="7"/>
      <c r="J401" s="7"/>
      <c r="K401" s="7"/>
      <c r="L401" s="7"/>
      <c r="M401" s="7"/>
      <c r="N401" s="7"/>
      <c r="O401" s="7"/>
      <c r="P401" s="7"/>
      <c r="Q401" s="7"/>
    </row>
    <row r="402" spans="7:17" x14ac:dyDescent="0.2">
      <c r="G402" s="7"/>
      <c r="H402" s="7"/>
      <c r="I402" s="7"/>
      <c r="J402" s="7"/>
      <c r="K402" s="7"/>
      <c r="L402" s="7"/>
      <c r="M402" s="7"/>
      <c r="N402" s="7"/>
      <c r="O402" s="7"/>
      <c r="P402" s="7"/>
      <c r="Q402" s="7"/>
    </row>
    <row r="403" spans="7:17" x14ac:dyDescent="0.2">
      <c r="G403" s="7"/>
      <c r="H403" s="7"/>
      <c r="I403" s="7"/>
      <c r="J403" s="7"/>
      <c r="K403" s="7"/>
      <c r="L403" s="7"/>
      <c r="M403" s="7"/>
      <c r="N403" s="7"/>
      <c r="O403" s="7"/>
      <c r="P403" s="7"/>
      <c r="Q403" s="7"/>
    </row>
    <row r="404" spans="7:17" x14ac:dyDescent="0.2">
      <c r="G404" s="7"/>
      <c r="H404" s="7"/>
      <c r="I404" s="7"/>
      <c r="J404" s="7"/>
      <c r="K404" s="7"/>
      <c r="L404" s="7"/>
      <c r="M404" s="7"/>
      <c r="N404" s="7"/>
      <c r="O404" s="7"/>
      <c r="P404" s="7"/>
      <c r="Q404" s="7"/>
    </row>
    <row r="405" spans="7:17" x14ac:dyDescent="0.2">
      <c r="G405" s="7"/>
      <c r="H405" s="7"/>
      <c r="I405" s="7"/>
      <c r="J405" s="7"/>
      <c r="K405" s="7"/>
      <c r="L405" s="7"/>
      <c r="M405" s="7"/>
      <c r="N405" s="7"/>
      <c r="O405" s="7"/>
      <c r="P405" s="7"/>
      <c r="Q405" s="7"/>
    </row>
    <row r="406" spans="7:17" x14ac:dyDescent="0.2">
      <c r="G406" s="7"/>
      <c r="H406" s="7"/>
      <c r="I406" s="7"/>
      <c r="J406" s="7"/>
      <c r="K406" s="7"/>
      <c r="L406" s="7"/>
      <c r="M406" s="7"/>
      <c r="N406" s="7"/>
      <c r="O406" s="7"/>
      <c r="P406" s="7"/>
      <c r="Q406" s="7"/>
    </row>
    <row r="407" spans="7:17" x14ac:dyDescent="0.2">
      <c r="G407" s="7"/>
      <c r="H407" s="7"/>
      <c r="I407" s="7"/>
      <c r="J407" s="7"/>
      <c r="K407" s="7"/>
      <c r="L407" s="7"/>
      <c r="M407" s="7"/>
      <c r="N407" s="7"/>
      <c r="O407" s="7"/>
      <c r="P407" s="7"/>
      <c r="Q407" s="7"/>
    </row>
    <row r="408" spans="7:17" x14ac:dyDescent="0.2">
      <c r="G408" s="7"/>
      <c r="H408" s="7"/>
      <c r="I408" s="7"/>
      <c r="J408" s="7"/>
      <c r="K408" s="7"/>
      <c r="L408" s="7"/>
      <c r="M408" s="7"/>
      <c r="N408" s="7"/>
      <c r="O408" s="7"/>
      <c r="P408" s="7"/>
      <c r="Q408" s="7"/>
    </row>
    <row r="409" spans="7:17" x14ac:dyDescent="0.2">
      <c r="G409" s="7"/>
      <c r="H409" s="7"/>
      <c r="I409" s="7"/>
      <c r="J409" s="7"/>
      <c r="K409" s="7"/>
      <c r="L409" s="7"/>
      <c r="M409" s="7"/>
      <c r="N409" s="7"/>
      <c r="O409" s="7"/>
      <c r="P409" s="7"/>
      <c r="Q409" s="7"/>
    </row>
    <row r="410" spans="7:17" x14ac:dyDescent="0.2">
      <c r="G410" s="7"/>
      <c r="H410" s="7"/>
      <c r="I410" s="7"/>
      <c r="J410" s="7"/>
      <c r="K410" s="7"/>
      <c r="L410" s="7"/>
      <c r="M410" s="7"/>
      <c r="N410" s="7"/>
      <c r="O410" s="7"/>
      <c r="P410" s="7"/>
      <c r="Q410" s="7"/>
    </row>
    <row r="411" spans="7:17" x14ac:dyDescent="0.2">
      <c r="G411" s="7"/>
      <c r="H411" s="7"/>
      <c r="I411" s="7"/>
      <c r="J411" s="7"/>
      <c r="K411" s="7"/>
      <c r="L411" s="7"/>
      <c r="M411" s="7"/>
      <c r="N411" s="7"/>
      <c r="O411" s="7"/>
      <c r="P411" s="7"/>
      <c r="Q411" s="7"/>
    </row>
    <row r="412" spans="7:17" x14ac:dyDescent="0.2">
      <c r="G412" s="7"/>
      <c r="H412" s="7"/>
      <c r="I412" s="7"/>
      <c r="J412" s="7"/>
      <c r="K412" s="7"/>
      <c r="L412" s="7"/>
      <c r="M412" s="7"/>
      <c r="N412" s="7"/>
      <c r="O412" s="7"/>
      <c r="P412" s="7"/>
      <c r="Q412" s="7"/>
    </row>
    <row r="413" spans="7:17" x14ac:dyDescent="0.2">
      <c r="G413" s="7"/>
      <c r="H413" s="7"/>
      <c r="I413" s="7"/>
      <c r="J413" s="7"/>
      <c r="K413" s="7"/>
      <c r="L413" s="7"/>
      <c r="M413" s="7"/>
      <c r="N413" s="7"/>
      <c r="O413" s="7"/>
      <c r="P413" s="7"/>
      <c r="Q413" s="7"/>
    </row>
    <row r="414" spans="7:17" x14ac:dyDescent="0.2">
      <c r="G414" s="7"/>
      <c r="H414" s="7"/>
      <c r="I414" s="7"/>
      <c r="J414" s="7"/>
      <c r="K414" s="7"/>
      <c r="L414" s="7"/>
      <c r="M414" s="7"/>
      <c r="N414" s="7"/>
      <c r="O414" s="7"/>
      <c r="P414" s="7"/>
      <c r="Q414" s="7"/>
    </row>
    <row r="415" spans="7:17" x14ac:dyDescent="0.2">
      <c r="G415" s="7"/>
      <c r="H415" s="7"/>
      <c r="I415" s="7"/>
      <c r="J415" s="7"/>
      <c r="K415" s="7"/>
      <c r="L415" s="7"/>
      <c r="M415" s="7"/>
      <c r="N415" s="7"/>
      <c r="O415" s="7"/>
      <c r="P415" s="7"/>
      <c r="Q415" s="7"/>
    </row>
    <row r="416" spans="7:17" x14ac:dyDescent="0.2">
      <c r="G416" s="7"/>
      <c r="H416" s="7"/>
      <c r="I416" s="7"/>
      <c r="J416" s="7"/>
      <c r="K416" s="7"/>
      <c r="L416" s="7"/>
      <c r="M416" s="7"/>
      <c r="N416" s="7"/>
      <c r="O416" s="7"/>
      <c r="P416" s="7"/>
      <c r="Q416" s="7"/>
    </row>
    <row r="417" spans="7:17" x14ac:dyDescent="0.2">
      <c r="G417" s="7"/>
      <c r="H417" s="7"/>
      <c r="I417" s="7"/>
      <c r="J417" s="7"/>
      <c r="K417" s="7"/>
      <c r="L417" s="7"/>
      <c r="M417" s="7"/>
      <c r="N417" s="7"/>
      <c r="O417" s="7"/>
      <c r="P417" s="7"/>
      <c r="Q417" s="7"/>
    </row>
    <row r="418" spans="7:17" x14ac:dyDescent="0.2">
      <c r="G418" s="7"/>
      <c r="H418" s="7"/>
      <c r="I418" s="7"/>
      <c r="J418" s="7"/>
      <c r="K418" s="7"/>
      <c r="L418" s="7"/>
      <c r="M418" s="7"/>
      <c r="N418" s="7"/>
      <c r="O418" s="7"/>
      <c r="P418" s="7"/>
      <c r="Q418" s="7"/>
    </row>
    <row r="419" spans="7:17" x14ac:dyDescent="0.2">
      <c r="G419" s="7"/>
      <c r="H419" s="7"/>
      <c r="I419" s="7"/>
      <c r="J419" s="7"/>
      <c r="K419" s="7"/>
      <c r="L419" s="7"/>
      <c r="M419" s="7"/>
      <c r="N419" s="7"/>
      <c r="O419" s="7"/>
      <c r="P419" s="7"/>
      <c r="Q419" s="7"/>
    </row>
    <row r="420" spans="7:17" x14ac:dyDescent="0.2">
      <c r="G420" s="7"/>
      <c r="H420" s="7"/>
      <c r="I420" s="7"/>
      <c r="J420" s="7"/>
      <c r="K420" s="7"/>
      <c r="L420" s="7"/>
      <c r="M420" s="7"/>
      <c r="N420" s="7"/>
      <c r="O420" s="7"/>
      <c r="P420" s="7"/>
      <c r="Q420" s="7"/>
    </row>
    <row r="421" spans="7:17" x14ac:dyDescent="0.2">
      <c r="G421" s="7"/>
      <c r="H421" s="7"/>
      <c r="I421" s="7"/>
      <c r="J421" s="7"/>
      <c r="K421" s="7"/>
      <c r="L421" s="7"/>
      <c r="M421" s="7"/>
      <c r="N421" s="7"/>
      <c r="O421" s="7"/>
      <c r="P421" s="7"/>
      <c r="Q421" s="7"/>
    </row>
    <row r="422" spans="7:17" x14ac:dyDescent="0.2">
      <c r="G422" s="7"/>
      <c r="H422" s="7"/>
      <c r="I422" s="7"/>
      <c r="J422" s="7"/>
      <c r="K422" s="7"/>
      <c r="L422" s="7"/>
      <c r="M422" s="7"/>
      <c r="N422" s="7"/>
      <c r="O422" s="7"/>
      <c r="P422" s="7"/>
      <c r="Q422" s="7"/>
    </row>
    <row r="423" spans="7:17" x14ac:dyDescent="0.2">
      <c r="G423" s="7"/>
      <c r="H423" s="7"/>
      <c r="I423" s="7"/>
      <c r="J423" s="7"/>
      <c r="K423" s="7"/>
      <c r="L423" s="7"/>
      <c r="M423" s="7"/>
      <c r="N423" s="7"/>
      <c r="O423" s="7"/>
      <c r="P423" s="7"/>
      <c r="Q423" s="7"/>
    </row>
    <row r="424" spans="7:17" x14ac:dyDescent="0.2">
      <c r="G424" s="7"/>
      <c r="H424" s="7"/>
      <c r="I424" s="7"/>
      <c r="J424" s="7"/>
      <c r="K424" s="7"/>
      <c r="L424" s="7"/>
      <c r="M424" s="7"/>
      <c r="N424" s="7"/>
      <c r="O424" s="7"/>
      <c r="P424" s="7"/>
      <c r="Q424" s="7"/>
    </row>
    <row r="425" spans="7:17" x14ac:dyDescent="0.2">
      <c r="G425" s="7"/>
      <c r="H425" s="7"/>
      <c r="I425" s="7"/>
      <c r="J425" s="7"/>
      <c r="K425" s="7"/>
      <c r="L425" s="7"/>
      <c r="M425" s="7"/>
      <c r="N425" s="7"/>
      <c r="O425" s="7"/>
      <c r="P425" s="7"/>
      <c r="Q425" s="7"/>
    </row>
    <row r="426" spans="7:17" x14ac:dyDescent="0.2">
      <c r="G426" s="7"/>
      <c r="H426" s="7"/>
      <c r="I426" s="7"/>
      <c r="J426" s="7"/>
      <c r="K426" s="7"/>
      <c r="L426" s="7"/>
      <c r="M426" s="7"/>
      <c r="N426" s="7"/>
      <c r="O426" s="7"/>
      <c r="P426" s="7"/>
      <c r="Q426" s="7"/>
    </row>
    <row r="427" spans="7:17" x14ac:dyDescent="0.2">
      <c r="G427" s="7"/>
      <c r="H427" s="7"/>
      <c r="I427" s="7"/>
      <c r="J427" s="7"/>
      <c r="K427" s="7"/>
      <c r="L427" s="7"/>
      <c r="M427" s="7"/>
      <c r="N427" s="7"/>
      <c r="O427" s="7"/>
      <c r="P427" s="7"/>
      <c r="Q427" s="7"/>
    </row>
    <row r="428" spans="7:17" x14ac:dyDescent="0.2">
      <c r="G428" s="7"/>
      <c r="H428" s="7"/>
      <c r="I428" s="7"/>
      <c r="J428" s="7"/>
      <c r="K428" s="7"/>
      <c r="L428" s="7"/>
      <c r="M428" s="7"/>
      <c r="N428" s="7"/>
      <c r="O428" s="7"/>
      <c r="P428" s="7"/>
      <c r="Q428" s="7"/>
    </row>
    <row r="429" spans="7:17" x14ac:dyDescent="0.2">
      <c r="G429" s="7"/>
      <c r="H429" s="7"/>
      <c r="I429" s="7"/>
      <c r="J429" s="7"/>
      <c r="K429" s="7"/>
      <c r="L429" s="7"/>
      <c r="M429" s="7"/>
      <c r="N429" s="7"/>
      <c r="O429" s="7"/>
      <c r="P429" s="7"/>
      <c r="Q429" s="7"/>
    </row>
    <row r="430" spans="7:17" x14ac:dyDescent="0.2">
      <c r="G430" s="7"/>
      <c r="H430" s="7"/>
      <c r="I430" s="7"/>
      <c r="J430" s="7"/>
      <c r="K430" s="7"/>
      <c r="L430" s="7"/>
      <c r="M430" s="7"/>
      <c r="N430" s="7"/>
      <c r="O430" s="7"/>
      <c r="P430" s="7"/>
      <c r="Q430" s="7"/>
    </row>
    <row r="431" spans="7:17" x14ac:dyDescent="0.2">
      <c r="G431" s="7"/>
      <c r="H431" s="7"/>
      <c r="I431" s="7"/>
      <c r="J431" s="7"/>
      <c r="K431" s="7"/>
      <c r="L431" s="7"/>
      <c r="M431" s="7"/>
      <c r="N431" s="7"/>
      <c r="O431" s="7"/>
      <c r="P431" s="7"/>
      <c r="Q431" s="7"/>
    </row>
    <row r="432" spans="7:17" x14ac:dyDescent="0.2">
      <c r="G432" s="7"/>
      <c r="H432" s="7"/>
      <c r="I432" s="7"/>
      <c r="J432" s="7"/>
      <c r="K432" s="7"/>
      <c r="L432" s="7"/>
      <c r="M432" s="7"/>
      <c r="N432" s="7"/>
      <c r="O432" s="7"/>
      <c r="P432" s="7"/>
      <c r="Q432" s="7"/>
    </row>
    <row r="433" spans="7:17" x14ac:dyDescent="0.2">
      <c r="G433" s="7"/>
      <c r="H433" s="7"/>
      <c r="I433" s="7"/>
      <c r="J433" s="7"/>
      <c r="K433" s="7"/>
      <c r="L433" s="7"/>
      <c r="M433" s="7"/>
      <c r="N433" s="7"/>
      <c r="O433" s="7"/>
      <c r="P433" s="7"/>
      <c r="Q433" s="7"/>
    </row>
    <row r="434" spans="7:17" x14ac:dyDescent="0.2">
      <c r="G434" s="7"/>
      <c r="H434" s="7"/>
      <c r="I434" s="7"/>
      <c r="J434" s="7"/>
      <c r="K434" s="7"/>
      <c r="L434" s="7"/>
      <c r="M434" s="7"/>
      <c r="N434" s="7"/>
      <c r="O434" s="7"/>
      <c r="P434" s="7"/>
      <c r="Q434" s="7"/>
    </row>
    <row r="435" spans="7:17" x14ac:dyDescent="0.2">
      <c r="G435" s="7"/>
      <c r="H435" s="7"/>
      <c r="I435" s="7"/>
      <c r="J435" s="7"/>
      <c r="K435" s="7"/>
      <c r="L435" s="7"/>
      <c r="M435" s="7"/>
      <c r="N435" s="7"/>
      <c r="O435" s="7"/>
      <c r="P435" s="7"/>
      <c r="Q435" s="7"/>
    </row>
    <row r="436" spans="7:17" x14ac:dyDescent="0.2">
      <c r="G436" s="7"/>
      <c r="H436" s="7"/>
      <c r="I436" s="7"/>
      <c r="J436" s="7"/>
      <c r="K436" s="7"/>
      <c r="L436" s="7"/>
      <c r="M436" s="7"/>
      <c r="N436" s="7"/>
      <c r="O436" s="7"/>
      <c r="P436" s="7"/>
      <c r="Q436" s="7"/>
    </row>
    <row r="437" spans="7:17" x14ac:dyDescent="0.2">
      <c r="G437" s="7"/>
      <c r="H437" s="7"/>
      <c r="I437" s="7"/>
      <c r="J437" s="7"/>
      <c r="K437" s="7"/>
      <c r="L437" s="7"/>
      <c r="M437" s="7"/>
      <c r="N437" s="7"/>
      <c r="O437" s="7"/>
      <c r="P437" s="7"/>
      <c r="Q437" s="7"/>
    </row>
    <row r="438" spans="7:17" x14ac:dyDescent="0.2">
      <c r="G438" s="7"/>
      <c r="H438" s="7"/>
      <c r="I438" s="7"/>
      <c r="J438" s="7"/>
      <c r="K438" s="7"/>
      <c r="L438" s="7"/>
      <c r="M438" s="7"/>
      <c r="N438" s="7"/>
      <c r="O438" s="7"/>
      <c r="P438" s="7"/>
      <c r="Q438" s="7"/>
    </row>
    <row r="439" spans="7:17" x14ac:dyDescent="0.2">
      <c r="G439" s="7"/>
      <c r="H439" s="7"/>
      <c r="I439" s="7"/>
      <c r="J439" s="7"/>
      <c r="K439" s="7"/>
      <c r="L439" s="7"/>
      <c r="M439" s="7"/>
      <c r="N439" s="7"/>
      <c r="O439" s="7"/>
      <c r="P439" s="7"/>
      <c r="Q439" s="7"/>
    </row>
    <row r="440" spans="7:17" x14ac:dyDescent="0.2">
      <c r="G440" s="7"/>
      <c r="H440" s="7"/>
      <c r="I440" s="7"/>
      <c r="J440" s="7"/>
      <c r="K440" s="7"/>
      <c r="L440" s="7"/>
      <c r="M440" s="7"/>
      <c r="N440" s="7"/>
      <c r="O440" s="7"/>
      <c r="P440" s="7"/>
      <c r="Q440" s="7"/>
    </row>
    <row r="441" spans="7:17" x14ac:dyDescent="0.2">
      <c r="G441" s="7"/>
      <c r="H441" s="7"/>
      <c r="I441" s="7"/>
      <c r="J441" s="7"/>
      <c r="K441" s="7"/>
      <c r="L441" s="7"/>
      <c r="M441" s="7"/>
      <c r="N441" s="7"/>
      <c r="O441" s="7"/>
      <c r="P441" s="7"/>
      <c r="Q441" s="7"/>
    </row>
    <row r="442" spans="7:17" x14ac:dyDescent="0.2">
      <c r="G442" s="7"/>
      <c r="H442" s="7"/>
      <c r="I442" s="7"/>
      <c r="J442" s="7"/>
      <c r="K442" s="7"/>
      <c r="L442" s="7"/>
      <c r="M442" s="7"/>
      <c r="N442" s="7"/>
      <c r="O442" s="7"/>
      <c r="P442" s="7"/>
      <c r="Q442" s="7"/>
    </row>
    <row r="443" spans="7:17" x14ac:dyDescent="0.2">
      <c r="G443" s="7"/>
      <c r="H443" s="7"/>
      <c r="I443" s="7"/>
      <c r="J443" s="7"/>
      <c r="K443" s="7"/>
      <c r="L443" s="7"/>
      <c r="M443" s="7"/>
      <c r="N443" s="7"/>
      <c r="O443" s="7"/>
      <c r="P443" s="7"/>
      <c r="Q443" s="7"/>
    </row>
    <row r="444" spans="7:17" x14ac:dyDescent="0.2">
      <c r="G444" s="7"/>
      <c r="H444" s="7"/>
      <c r="I444" s="7"/>
      <c r="J444" s="7"/>
      <c r="K444" s="7"/>
      <c r="L444" s="7"/>
      <c r="M444" s="7"/>
      <c r="N444" s="7"/>
      <c r="O444" s="7"/>
      <c r="P444" s="7"/>
      <c r="Q444" s="7"/>
    </row>
    <row r="445" spans="7:17" x14ac:dyDescent="0.2">
      <c r="G445" s="7"/>
      <c r="H445" s="7"/>
      <c r="I445" s="7"/>
      <c r="J445" s="7"/>
      <c r="K445" s="7"/>
      <c r="L445" s="7"/>
      <c r="M445" s="7"/>
      <c r="N445" s="7"/>
      <c r="O445" s="7"/>
      <c r="P445" s="7"/>
      <c r="Q445" s="7"/>
    </row>
    <row r="446" spans="7:17" x14ac:dyDescent="0.2">
      <c r="G446" s="7"/>
      <c r="H446" s="7"/>
      <c r="I446" s="7"/>
      <c r="J446" s="7"/>
      <c r="K446" s="7"/>
      <c r="L446" s="7"/>
      <c r="M446" s="7"/>
      <c r="N446" s="7"/>
      <c r="O446" s="7"/>
      <c r="P446" s="7"/>
      <c r="Q446" s="7"/>
    </row>
    <row r="447" spans="7:17" x14ac:dyDescent="0.2">
      <c r="G447" s="7"/>
      <c r="H447" s="7"/>
      <c r="I447" s="7"/>
      <c r="J447" s="7"/>
      <c r="K447" s="7"/>
      <c r="L447" s="7"/>
      <c r="M447" s="7"/>
      <c r="N447" s="7"/>
      <c r="O447" s="7"/>
      <c r="P447" s="7"/>
      <c r="Q447" s="7"/>
    </row>
    <row r="448" spans="7:17" x14ac:dyDescent="0.2">
      <c r="G448" s="7"/>
      <c r="H448" s="7"/>
      <c r="I448" s="7"/>
      <c r="J448" s="7"/>
      <c r="K448" s="7"/>
      <c r="L448" s="7"/>
      <c r="M448" s="7"/>
      <c r="N448" s="7"/>
      <c r="O448" s="7"/>
      <c r="P448" s="7"/>
      <c r="Q448" s="7"/>
    </row>
    <row r="449" spans="7:17" x14ac:dyDescent="0.2">
      <c r="G449" s="7"/>
      <c r="H449" s="7"/>
      <c r="I449" s="7"/>
      <c r="J449" s="7"/>
      <c r="K449" s="7"/>
      <c r="L449" s="7"/>
      <c r="M449" s="7"/>
      <c r="N449" s="7"/>
      <c r="O449" s="7"/>
      <c r="P449" s="7"/>
      <c r="Q449" s="7"/>
    </row>
    <row r="450" spans="7:17" x14ac:dyDescent="0.2">
      <c r="G450" s="7"/>
      <c r="H450" s="7"/>
      <c r="I450" s="7"/>
      <c r="J450" s="7"/>
      <c r="K450" s="7"/>
      <c r="L450" s="7"/>
      <c r="M450" s="7"/>
      <c r="N450" s="7"/>
      <c r="O450" s="7"/>
      <c r="P450" s="7"/>
      <c r="Q450" s="7"/>
    </row>
    <row r="451" spans="7:17" x14ac:dyDescent="0.2">
      <c r="G451" s="7"/>
      <c r="H451" s="7"/>
      <c r="I451" s="7"/>
      <c r="J451" s="7"/>
      <c r="K451" s="7"/>
      <c r="L451" s="7"/>
      <c r="M451" s="7"/>
      <c r="N451" s="7"/>
      <c r="O451" s="7"/>
      <c r="P451" s="7"/>
      <c r="Q451" s="7"/>
    </row>
  </sheetData>
  <mergeCells count="5">
    <mergeCell ref="D6:I6"/>
    <mergeCell ref="J6:Q6"/>
    <mergeCell ref="AY6:BC6"/>
    <mergeCell ref="BD6:BD7"/>
    <mergeCell ref="BF6:BF7"/>
  </mergeCells>
  <pageMargins left="0.7" right="0.7" top="0.75" bottom="0.75" header="0.3" footer="0.3"/>
  <pageSetup paperSize="301" orientation="portrait" r:id="rId1"/>
  <tableParts count="1">
    <tablePart r:id="rId2"/>
  </tableParts>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'calcul-stats'!AO11:AO376</xm:f>
              <xm:sqref>AO2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'calcul-stats'!AP11:AP376</xm:f>
              <xm:sqref>AP2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'calcul-stats'!AQ11:AQ376</xm:f>
              <xm:sqref>AQ2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'calcul-stats'!AL11:AL376</xm:f>
              <xm:sqref>AL2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'calcul-stats'!AJ11:AJ376</xm:f>
              <xm:sqref>AJ2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'calcul-stats'!AF11:AF376</xm:f>
              <xm:sqref>AF2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'calcul-stats'!AD11:AD376</xm:f>
              <xm:sqref>AD2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'calcul-stats'!T11:T376</xm:f>
              <xm:sqref>T2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'calcul-stats'!X11:X376</xm:f>
              <xm:sqref>X2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'calcul-stats'!Z11:Z376</xm:f>
              <xm:sqref>Z2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'calcul-stats'!D11:D376</xm:f>
              <xm:sqref>D2</xm:sqref>
            </x14:sparkline>
            <x14:sparkline>
              <xm:f>'calcul-stats'!E11:E376</xm:f>
              <xm:sqref>E2</xm:sqref>
            </x14:sparkline>
            <x14:sparkline>
              <xm:f>'calcul-stats'!F11:F376</xm:f>
              <xm:sqref>F2</xm:sqref>
            </x14:sparkline>
            <x14:sparkline>
              <xm:f>'calcul-stats'!G11:G376</xm:f>
              <xm:sqref>G2</xm:sqref>
            </x14:sparkline>
            <x14:sparkline>
              <xm:f>'calcul-stats'!H11:H376</xm:f>
              <xm:sqref>H2</xm:sqref>
            </x14:sparkline>
            <x14:sparkline>
              <xm:f>'calcul-stats'!I11:I376</xm:f>
              <xm:sqref>I2</xm:sqref>
            </x14:sparkline>
            <x14:sparkline>
              <xm:f>'calcul-stats'!J11:J376</xm:f>
              <xm:sqref>J2</xm:sqref>
            </x14:sparkline>
            <x14:sparkline>
              <xm:f>'calcul-stats'!K11:K376</xm:f>
              <xm:sqref>K2</xm:sqref>
            </x14:sparkline>
            <x14:sparkline>
              <xm:f>'calcul-stats'!L11:L376</xm:f>
              <xm:sqref>L2</xm:sqref>
            </x14:sparkline>
            <x14:sparkline>
              <xm:f>'calcul-stats'!M11:M376</xm:f>
              <xm:sqref>M2</xm:sqref>
            </x14:sparkline>
            <x14:sparkline>
              <xm:f>'calcul-stats'!N11:N376</xm:f>
              <xm:sqref>N2</xm:sqref>
            </x14:sparkline>
            <x14:sparkline>
              <xm:f>'calcul-stats'!O11:O376</xm:f>
              <xm:sqref>O2</xm:sqref>
            </x14:sparkline>
            <x14:sparkline>
              <xm:f>'calcul-stats'!P11:P376</xm:f>
              <xm:sqref>P2</xm:sqref>
            </x14:sparkline>
            <x14:sparkline>
              <xm:f>'calcul-stats'!Q11:Q376</xm:f>
              <xm:sqref>Q2</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0" tint="-0.34998626667073579"/>
  </sheetPr>
  <dimension ref="A1:N392"/>
  <sheetViews>
    <sheetView topLeftCell="E1" zoomScaleNormal="100" workbookViewId="0">
      <selection activeCell="B11" sqref="B11"/>
    </sheetView>
  </sheetViews>
  <sheetFormatPr baseColWidth="10" defaultColWidth="11.42578125" defaultRowHeight="12.75" x14ac:dyDescent="0.2"/>
  <cols>
    <col min="1" max="1" width="10.7109375" style="96" customWidth="1"/>
    <col min="2" max="3" width="26" style="96" customWidth="1"/>
    <col min="4" max="4" width="30.5703125" style="96" bestFit="1" customWidth="1"/>
    <col min="5" max="5" width="11.42578125" style="577"/>
    <col min="6" max="6" width="14.140625" style="96" customWidth="1"/>
    <col min="7" max="7" width="13.28515625" style="96" bestFit="1" customWidth="1"/>
    <col min="8" max="8" width="23.7109375" style="96" customWidth="1"/>
    <col min="9" max="9" width="11.42578125" style="96"/>
    <col min="10" max="10" width="11.42578125" style="568" customWidth="1"/>
    <col min="11" max="11" width="10" style="96" customWidth="1"/>
    <col min="12" max="16384" width="11.42578125" style="96"/>
  </cols>
  <sheetData>
    <row r="1" spans="1:14" ht="18.75" x14ac:dyDescent="0.3">
      <c r="A1" s="564" t="s">
        <v>362</v>
      </c>
      <c r="B1" s="565"/>
      <c r="C1" s="565"/>
      <c r="D1" s="565"/>
      <c r="E1" s="566"/>
      <c r="F1" s="98" t="s">
        <v>363</v>
      </c>
      <c r="G1" s="567">
        <v>1757</v>
      </c>
      <c r="H1" s="98" t="s">
        <v>364</v>
      </c>
      <c r="M1" s="98" t="s">
        <v>365</v>
      </c>
      <c r="N1" s="565"/>
    </row>
    <row r="2" spans="1:14" ht="15" x14ac:dyDescent="0.25">
      <c r="A2" s="569" t="s">
        <v>366</v>
      </c>
      <c r="B2" s="570">
        <v>43831</v>
      </c>
      <c r="C2" s="570"/>
      <c r="D2" s="565"/>
      <c r="E2" s="566"/>
      <c r="G2" s="567">
        <v>1982.64</v>
      </c>
      <c r="H2" s="96" t="str">
        <f>bi("hab.sais","Sais.Einw.")</f>
        <v>Sais.Einw.</v>
      </c>
    </row>
    <row r="3" spans="1:14" x14ac:dyDescent="0.2">
      <c r="A3" s="565"/>
      <c r="B3" s="565"/>
      <c r="C3" s="565"/>
      <c r="D3" s="565"/>
      <c r="E3" s="566"/>
      <c r="G3" s="571">
        <f>G1 + (G2 / 3)</f>
        <v>2417.88</v>
      </c>
      <c r="H3" s="96" t="s">
        <v>367</v>
      </c>
    </row>
    <row r="4" spans="1:14" x14ac:dyDescent="0.2">
      <c r="A4" s="572" t="s">
        <v>368</v>
      </c>
      <c r="B4" s="572" t="s">
        <v>7</v>
      </c>
      <c r="C4" s="572" t="s">
        <v>369</v>
      </c>
      <c r="D4" s="572" t="s">
        <v>370</v>
      </c>
      <c r="E4" s="566" t="str">
        <f>bi("lits hab.sais","Sais.Einw. Bette")</f>
        <v>Sais.Einw. Bette</v>
      </c>
    </row>
    <row r="5" spans="1:14" x14ac:dyDescent="0.2">
      <c r="A5" s="573" t="s">
        <v>13</v>
      </c>
      <c r="B5" s="573" t="s">
        <v>82</v>
      </c>
      <c r="C5" s="573">
        <v>11250</v>
      </c>
      <c r="D5" s="573">
        <v>4034</v>
      </c>
      <c r="E5" s="574">
        <v>8500</v>
      </c>
    </row>
    <row r="6" spans="1:14" x14ac:dyDescent="0.2">
      <c r="A6" s="573" t="s">
        <v>14</v>
      </c>
      <c r="B6" s="573" t="s">
        <v>242</v>
      </c>
      <c r="C6" s="573">
        <v>59120</v>
      </c>
      <c r="D6" s="573">
        <v>7827</v>
      </c>
      <c r="E6" s="574">
        <v>40476.666666659999</v>
      </c>
      <c r="J6" s="575"/>
      <c r="K6" s="316"/>
    </row>
    <row r="7" spans="1:14" x14ac:dyDescent="0.2">
      <c r="A7" s="573" t="s">
        <v>15</v>
      </c>
      <c r="B7" s="573" t="s">
        <v>109</v>
      </c>
      <c r="C7" s="573">
        <v>450</v>
      </c>
      <c r="D7" s="573">
        <v>113</v>
      </c>
      <c r="E7" s="574">
        <v>444</v>
      </c>
      <c r="J7" s="575" t="s">
        <v>371</v>
      </c>
      <c r="K7" s="316"/>
    </row>
    <row r="8" spans="1:14" ht="25.5" x14ac:dyDescent="0.2">
      <c r="A8" s="573" t="s">
        <v>235</v>
      </c>
      <c r="B8" s="573" t="s">
        <v>234</v>
      </c>
      <c r="C8" s="573">
        <v>200</v>
      </c>
      <c r="D8" s="573">
        <v>2</v>
      </c>
      <c r="E8" s="574">
        <v>417.33333333000002</v>
      </c>
      <c r="J8" s="575"/>
      <c r="K8" s="316" t="str">
        <f>bi("hab.perm.racc","ständ.angeschl.Bev.")</f>
        <v>ständ.angeschl.Bev.</v>
      </c>
      <c r="L8" s="96" t="str">
        <f>bi("hab.tot.","Tot.Einw.")</f>
        <v>Tot.Einw.</v>
      </c>
    </row>
    <row r="9" spans="1:14" x14ac:dyDescent="0.2">
      <c r="A9" s="573" t="s">
        <v>16</v>
      </c>
      <c r="B9" s="573" t="s">
        <v>102</v>
      </c>
      <c r="C9" s="573">
        <v>1200</v>
      </c>
      <c r="D9" s="573">
        <v>290</v>
      </c>
      <c r="E9" s="574">
        <v>440.33333333000002</v>
      </c>
      <c r="J9" s="575"/>
      <c r="K9" s="316"/>
    </row>
    <row r="10" spans="1:14" x14ac:dyDescent="0.2">
      <c r="A10" s="573" t="s">
        <v>17</v>
      </c>
      <c r="B10" s="573" t="s">
        <v>243</v>
      </c>
      <c r="C10" s="573">
        <v>400</v>
      </c>
      <c r="D10" s="573">
        <v>185</v>
      </c>
      <c r="E10" s="574">
        <v>520</v>
      </c>
      <c r="J10" s="575"/>
      <c r="K10" s="316"/>
    </row>
    <row r="11" spans="1:14" x14ac:dyDescent="0.2">
      <c r="A11" s="573" t="s">
        <v>44</v>
      </c>
      <c r="B11" s="573" t="s">
        <v>310</v>
      </c>
      <c r="C11" s="573">
        <v>6000</v>
      </c>
      <c r="D11" s="573">
        <v>1757</v>
      </c>
      <c r="E11" s="574">
        <v>1982.64</v>
      </c>
      <c r="J11" s="568">
        <v>43831</v>
      </c>
      <c r="K11" s="96">
        <f>G1</f>
        <v>1757</v>
      </c>
      <c r="L11" s="96">
        <f>$G$3</f>
        <v>2417.88</v>
      </c>
    </row>
    <row r="12" spans="1:14" x14ac:dyDescent="0.2">
      <c r="A12" s="573" t="s">
        <v>18</v>
      </c>
      <c r="B12" s="573" t="s">
        <v>71</v>
      </c>
      <c r="C12" s="573">
        <v>55000</v>
      </c>
      <c r="D12" s="573">
        <v>28080</v>
      </c>
      <c r="E12" s="574">
        <v>21961.266666660002</v>
      </c>
      <c r="J12" s="568">
        <v>43832</v>
      </c>
      <c r="K12" s="96">
        <f>K11</f>
        <v>1757</v>
      </c>
      <c r="L12" s="96">
        <f t="shared" ref="L12:L75" si="0">$G$3</f>
        <v>2417.88</v>
      </c>
    </row>
    <row r="13" spans="1:14" x14ac:dyDescent="0.2">
      <c r="A13" s="573" t="s">
        <v>19</v>
      </c>
      <c r="B13" s="573" t="s">
        <v>83</v>
      </c>
      <c r="C13" s="573">
        <v>5000</v>
      </c>
      <c r="D13" s="573">
        <v>3872</v>
      </c>
      <c r="E13" s="574">
        <v>2342</v>
      </c>
      <c r="J13" s="568">
        <v>43833</v>
      </c>
      <c r="K13" s="96">
        <f t="shared" ref="K13:K76" si="1">K12</f>
        <v>1757</v>
      </c>
      <c r="L13" s="96">
        <f t="shared" si="0"/>
        <v>2417.88</v>
      </c>
    </row>
    <row r="14" spans="1:14" x14ac:dyDescent="0.2">
      <c r="A14" s="573" t="s">
        <v>20</v>
      </c>
      <c r="B14" s="573" t="s">
        <v>244</v>
      </c>
      <c r="C14" s="573">
        <v>3750</v>
      </c>
      <c r="D14" s="573">
        <v>1211</v>
      </c>
      <c r="E14" s="574">
        <v>7004.3333333299997</v>
      </c>
      <c r="J14" s="568">
        <v>43834</v>
      </c>
      <c r="K14" s="96">
        <f t="shared" si="1"/>
        <v>1757</v>
      </c>
      <c r="L14" s="96">
        <f t="shared" si="0"/>
        <v>2417.88</v>
      </c>
    </row>
    <row r="15" spans="1:14" x14ac:dyDescent="0.2">
      <c r="A15" s="573" t="s">
        <v>28</v>
      </c>
      <c r="B15" s="573" t="s">
        <v>245</v>
      </c>
      <c r="C15" s="573">
        <v>355</v>
      </c>
      <c r="D15" s="573">
        <v>5</v>
      </c>
      <c r="E15" s="574">
        <v>200</v>
      </c>
      <c r="J15" s="568">
        <v>43835</v>
      </c>
      <c r="K15" s="96">
        <f t="shared" si="1"/>
        <v>1757</v>
      </c>
      <c r="L15" s="96">
        <f t="shared" si="0"/>
        <v>2417.88</v>
      </c>
    </row>
    <row r="16" spans="1:14" x14ac:dyDescent="0.2">
      <c r="A16" s="573" t="s">
        <v>21</v>
      </c>
      <c r="B16" s="573" t="s">
        <v>87</v>
      </c>
      <c r="C16" s="573">
        <v>7500</v>
      </c>
      <c r="D16" s="573">
        <v>8646</v>
      </c>
      <c r="E16" s="574">
        <v>21</v>
      </c>
      <c r="J16" s="568">
        <v>43836</v>
      </c>
      <c r="K16" s="96">
        <f t="shared" si="1"/>
        <v>1757</v>
      </c>
      <c r="L16" s="96">
        <f t="shared" si="0"/>
        <v>2417.88</v>
      </c>
    </row>
    <row r="17" spans="1:13" x14ac:dyDescent="0.2">
      <c r="A17" s="573" t="s">
        <v>22</v>
      </c>
      <c r="B17" s="573" t="s">
        <v>99</v>
      </c>
      <c r="C17" s="573">
        <v>2625</v>
      </c>
      <c r="D17" s="573">
        <v>1943</v>
      </c>
      <c r="E17" s="574">
        <v>324</v>
      </c>
      <c r="J17" s="568">
        <v>43837</v>
      </c>
      <c r="K17" s="96">
        <f t="shared" si="1"/>
        <v>1757</v>
      </c>
      <c r="L17" s="96">
        <f t="shared" si="0"/>
        <v>2417.88</v>
      </c>
    </row>
    <row r="18" spans="1:13" x14ac:dyDescent="0.2">
      <c r="A18" s="573" t="s">
        <v>23</v>
      </c>
      <c r="B18" s="573" t="s">
        <v>112</v>
      </c>
      <c r="C18" s="573">
        <v>400</v>
      </c>
      <c r="D18" s="573">
        <v>156</v>
      </c>
      <c r="E18" s="574">
        <v>211</v>
      </c>
      <c r="J18" s="568">
        <v>43838</v>
      </c>
      <c r="K18" s="96">
        <f t="shared" si="1"/>
        <v>1757</v>
      </c>
      <c r="L18" s="96">
        <f t="shared" si="0"/>
        <v>2417.88</v>
      </c>
    </row>
    <row r="19" spans="1:13" x14ac:dyDescent="0.2">
      <c r="A19" s="573" t="s">
        <v>24</v>
      </c>
      <c r="B19" s="573" t="s">
        <v>108</v>
      </c>
      <c r="C19" s="573">
        <v>600</v>
      </c>
      <c r="D19" s="573">
        <v>276</v>
      </c>
      <c r="E19" s="574">
        <v>54</v>
      </c>
      <c r="J19" s="568">
        <v>43839</v>
      </c>
      <c r="K19" s="96">
        <f t="shared" si="1"/>
        <v>1757</v>
      </c>
      <c r="L19" s="96">
        <f t="shared" si="0"/>
        <v>2417.88</v>
      </c>
    </row>
    <row r="20" spans="1:13" x14ac:dyDescent="0.2">
      <c r="A20" s="573" t="s">
        <v>25</v>
      </c>
      <c r="B20" s="573" t="s">
        <v>89</v>
      </c>
      <c r="C20" s="573">
        <v>9000</v>
      </c>
      <c r="D20" s="573">
        <v>6450</v>
      </c>
      <c r="E20" s="574">
        <v>2445.3333333300002</v>
      </c>
      <c r="J20" s="568">
        <v>43840</v>
      </c>
      <c r="K20" s="96">
        <f t="shared" si="1"/>
        <v>1757</v>
      </c>
      <c r="L20" s="96">
        <f t="shared" si="0"/>
        <v>2417.88</v>
      </c>
    </row>
    <row r="21" spans="1:13" x14ac:dyDescent="0.2">
      <c r="A21" s="573" t="s">
        <v>26</v>
      </c>
      <c r="B21" s="573" t="s">
        <v>262</v>
      </c>
      <c r="C21" s="573">
        <v>84600</v>
      </c>
      <c r="D21" s="573">
        <v>0</v>
      </c>
      <c r="E21" s="574"/>
      <c r="J21" s="568">
        <v>43841</v>
      </c>
      <c r="K21" s="96">
        <f t="shared" si="1"/>
        <v>1757</v>
      </c>
      <c r="L21" s="96">
        <f t="shared" si="0"/>
        <v>2417.88</v>
      </c>
      <c r="M21" s="98" t="s">
        <v>372</v>
      </c>
    </row>
    <row r="22" spans="1:13" x14ac:dyDescent="0.2">
      <c r="A22" s="573" t="s">
        <v>159</v>
      </c>
      <c r="B22" s="573" t="s">
        <v>158</v>
      </c>
      <c r="C22" s="573">
        <v>6000</v>
      </c>
      <c r="D22" s="573">
        <v>1573</v>
      </c>
      <c r="E22" s="574">
        <v>3371</v>
      </c>
      <c r="J22" s="568">
        <v>43842</v>
      </c>
      <c r="K22" s="96">
        <f t="shared" si="1"/>
        <v>1757</v>
      </c>
      <c r="L22" s="96">
        <f t="shared" si="0"/>
        <v>2417.88</v>
      </c>
    </row>
    <row r="23" spans="1:13" x14ac:dyDescent="0.2">
      <c r="A23" s="573" t="s">
        <v>27</v>
      </c>
      <c r="B23" s="573" t="s">
        <v>111</v>
      </c>
      <c r="C23" s="573">
        <v>500</v>
      </c>
      <c r="D23" s="573">
        <v>253</v>
      </c>
      <c r="E23" s="574">
        <v>193</v>
      </c>
      <c r="J23" s="568">
        <v>43843</v>
      </c>
      <c r="K23" s="96">
        <f t="shared" si="1"/>
        <v>1757</v>
      </c>
      <c r="L23" s="96">
        <f t="shared" si="0"/>
        <v>2417.88</v>
      </c>
    </row>
    <row r="24" spans="1:13" x14ac:dyDescent="0.2">
      <c r="A24" s="573" t="s">
        <v>29</v>
      </c>
      <c r="B24" s="573" t="s">
        <v>285</v>
      </c>
      <c r="C24" s="573">
        <v>36167</v>
      </c>
      <c r="D24" s="573">
        <v>4245</v>
      </c>
      <c r="E24" s="574">
        <v>22855.266666660002</v>
      </c>
      <c r="J24" s="568">
        <v>43844</v>
      </c>
      <c r="K24" s="96">
        <f t="shared" si="1"/>
        <v>1757</v>
      </c>
      <c r="L24" s="96">
        <f t="shared" si="0"/>
        <v>2417.88</v>
      </c>
    </row>
    <row r="25" spans="1:13" x14ac:dyDescent="0.2">
      <c r="A25" s="573" t="s">
        <v>30</v>
      </c>
      <c r="B25" s="573" t="s">
        <v>81</v>
      </c>
      <c r="C25" s="573">
        <v>15750</v>
      </c>
      <c r="D25" s="573">
        <v>1251</v>
      </c>
      <c r="E25" s="574">
        <v>6879.3333333299997</v>
      </c>
      <c r="J25" s="568">
        <v>43845</v>
      </c>
      <c r="K25" s="96">
        <f t="shared" si="1"/>
        <v>1757</v>
      </c>
      <c r="L25" s="96">
        <f t="shared" si="0"/>
        <v>2417.88</v>
      </c>
    </row>
    <row r="26" spans="1:13" x14ac:dyDescent="0.2">
      <c r="A26" s="573" t="s">
        <v>31</v>
      </c>
      <c r="B26" s="573" t="s">
        <v>105</v>
      </c>
      <c r="C26" s="573">
        <v>1000</v>
      </c>
      <c r="D26" s="573">
        <v>412</v>
      </c>
      <c r="E26" s="574">
        <v>650</v>
      </c>
      <c r="J26" s="568">
        <v>43846</v>
      </c>
      <c r="K26" s="96">
        <f t="shared" si="1"/>
        <v>1757</v>
      </c>
      <c r="L26" s="96">
        <f t="shared" si="0"/>
        <v>2417.88</v>
      </c>
    </row>
    <row r="27" spans="1:13" x14ac:dyDescent="0.2">
      <c r="A27" s="573" t="s">
        <v>165</v>
      </c>
      <c r="B27" s="573" t="s">
        <v>94</v>
      </c>
      <c r="C27" s="573">
        <v>3334</v>
      </c>
      <c r="D27" s="573">
        <v>1050</v>
      </c>
      <c r="E27" s="574">
        <v>3682.6666666599999</v>
      </c>
      <c r="J27" s="568">
        <v>43847</v>
      </c>
      <c r="K27" s="96">
        <f t="shared" si="1"/>
        <v>1757</v>
      </c>
      <c r="L27" s="96">
        <f t="shared" si="0"/>
        <v>2417.88</v>
      </c>
    </row>
    <row r="28" spans="1:13" x14ac:dyDescent="0.2">
      <c r="A28" s="573" t="s">
        <v>249</v>
      </c>
      <c r="B28" s="573" t="s">
        <v>248</v>
      </c>
      <c r="C28" s="573">
        <v>250</v>
      </c>
      <c r="D28" s="573">
        <v>0</v>
      </c>
      <c r="E28" s="574">
        <v>150</v>
      </c>
      <c r="J28" s="568">
        <v>43848</v>
      </c>
      <c r="K28" s="96">
        <f t="shared" si="1"/>
        <v>1757</v>
      </c>
      <c r="L28" s="96">
        <f t="shared" si="0"/>
        <v>2417.88</v>
      </c>
    </row>
    <row r="29" spans="1:13" x14ac:dyDescent="0.2">
      <c r="A29" s="573" t="s">
        <v>239</v>
      </c>
      <c r="B29" s="573" t="s">
        <v>238</v>
      </c>
      <c r="C29" s="573">
        <v>350</v>
      </c>
      <c r="D29" s="573">
        <v>175</v>
      </c>
      <c r="E29" s="574">
        <v>149</v>
      </c>
      <c r="J29" s="568">
        <v>43849</v>
      </c>
      <c r="K29" s="96">
        <f t="shared" si="1"/>
        <v>1757</v>
      </c>
      <c r="L29" s="96">
        <f t="shared" si="0"/>
        <v>2417.88</v>
      </c>
    </row>
    <row r="30" spans="1:13" x14ac:dyDescent="0.2">
      <c r="A30" s="573" t="s">
        <v>32</v>
      </c>
      <c r="B30" s="573" t="s">
        <v>104</v>
      </c>
      <c r="C30" s="573">
        <v>1300</v>
      </c>
      <c r="D30" s="573">
        <v>581</v>
      </c>
      <c r="E30" s="574">
        <v>1239</v>
      </c>
      <c r="J30" s="568">
        <v>43850</v>
      </c>
      <c r="K30" s="96">
        <f t="shared" si="1"/>
        <v>1757</v>
      </c>
      <c r="L30" s="96">
        <f t="shared" si="0"/>
        <v>2417.88</v>
      </c>
    </row>
    <row r="31" spans="1:13" x14ac:dyDescent="0.2">
      <c r="A31" s="573" t="s">
        <v>33</v>
      </c>
      <c r="B31" s="573" t="s">
        <v>110</v>
      </c>
      <c r="C31" s="573">
        <v>563</v>
      </c>
      <c r="D31" s="573">
        <v>97</v>
      </c>
      <c r="E31" s="574">
        <v>154</v>
      </c>
      <c r="J31" s="568">
        <v>43851</v>
      </c>
      <c r="K31" s="96">
        <f t="shared" si="1"/>
        <v>1757</v>
      </c>
      <c r="L31" s="96">
        <f t="shared" si="0"/>
        <v>2417.88</v>
      </c>
    </row>
    <row r="32" spans="1:13" x14ac:dyDescent="0.2">
      <c r="A32" s="573" t="s">
        <v>34</v>
      </c>
      <c r="B32" s="573" t="s">
        <v>250</v>
      </c>
      <c r="C32" s="573">
        <v>2500</v>
      </c>
      <c r="D32" s="573">
        <v>832</v>
      </c>
      <c r="E32" s="574">
        <v>493</v>
      </c>
      <c r="J32" s="568">
        <v>43852</v>
      </c>
      <c r="K32" s="96">
        <f t="shared" si="1"/>
        <v>1757</v>
      </c>
      <c r="L32" s="96">
        <f t="shared" si="0"/>
        <v>2417.88</v>
      </c>
    </row>
    <row r="33" spans="1:12" x14ac:dyDescent="0.2">
      <c r="A33" s="573" t="s">
        <v>35</v>
      </c>
      <c r="B33" s="573" t="s">
        <v>106</v>
      </c>
      <c r="C33" s="573">
        <v>1000</v>
      </c>
      <c r="D33" s="573">
        <v>325</v>
      </c>
      <c r="E33" s="574">
        <v>210</v>
      </c>
      <c r="J33" s="568">
        <v>43853</v>
      </c>
      <c r="K33" s="96">
        <f t="shared" si="1"/>
        <v>1757</v>
      </c>
      <c r="L33" s="96">
        <f t="shared" si="0"/>
        <v>2417.88</v>
      </c>
    </row>
    <row r="34" spans="1:12" x14ac:dyDescent="0.2">
      <c r="A34" s="573" t="s">
        <v>37</v>
      </c>
      <c r="B34" s="573" t="s">
        <v>80</v>
      </c>
      <c r="C34" s="573">
        <v>13750</v>
      </c>
      <c r="D34" s="573">
        <v>1368</v>
      </c>
      <c r="E34" s="574">
        <v>8747.6666666599995</v>
      </c>
      <c r="J34" s="568">
        <v>43854</v>
      </c>
      <c r="K34" s="96">
        <f t="shared" si="1"/>
        <v>1757</v>
      </c>
      <c r="L34" s="96">
        <f t="shared" si="0"/>
        <v>2417.88</v>
      </c>
    </row>
    <row r="35" spans="1:12" x14ac:dyDescent="0.2">
      <c r="A35" s="573" t="s">
        <v>36</v>
      </c>
      <c r="B35" s="573" t="s">
        <v>76</v>
      </c>
      <c r="C35" s="573">
        <v>30500</v>
      </c>
      <c r="D35" s="573">
        <v>13480</v>
      </c>
      <c r="E35" s="574">
        <v>10998.33333333</v>
      </c>
      <c r="J35" s="568">
        <v>43855</v>
      </c>
      <c r="K35" s="96">
        <f t="shared" si="1"/>
        <v>1757</v>
      </c>
      <c r="L35" s="96">
        <f t="shared" si="0"/>
        <v>2417.88</v>
      </c>
    </row>
    <row r="36" spans="1:12" x14ac:dyDescent="0.2">
      <c r="A36" s="573" t="s">
        <v>38</v>
      </c>
      <c r="B36" s="573" t="s">
        <v>88</v>
      </c>
      <c r="C36" s="573">
        <v>7500</v>
      </c>
      <c r="D36" s="573">
        <v>3203</v>
      </c>
      <c r="E36" s="574">
        <v>10399</v>
      </c>
      <c r="J36" s="568">
        <v>43856</v>
      </c>
      <c r="K36" s="96">
        <f t="shared" si="1"/>
        <v>1757</v>
      </c>
      <c r="L36" s="96">
        <f t="shared" si="0"/>
        <v>2417.88</v>
      </c>
    </row>
    <row r="37" spans="1:12" x14ac:dyDescent="0.2">
      <c r="A37" s="573" t="s">
        <v>39</v>
      </c>
      <c r="B37" s="573" t="s">
        <v>72</v>
      </c>
      <c r="C37" s="573">
        <v>64700</v>
      </c>
      <c r="D37" s="573">
        <v>38739</v>
      </c>
      <c r="E37" s="574">
        <v>11229.33333333</v>
      </c>
      <c r="J37" s="568">
        <v>43857</v>
      </c>
      <c r="K37" s="96">
        <f t="shared" si="1"/>
        <v>1757</v>
      </c>
      <c r="L37" s="96">
        <f t="shared" si="0"/>
        <v>2417.88</v>
      </c>
    </row>
    <row r="38" spans="1:12" x14ac:dyDescent="0.2">
      <c r="A38" s="573" t="s">
        <v>40</v>
      </c>
      <c r="B38" s="573" t="s">
        <v>107</v>
      </c>
      <c r="C38" s="573">
        <v>867</v>
      </c>
      <c r="D38" s="573">
        <v>251</v>
      </c>
      <c r="E38" s="574">
        <v>961</v>
      </c>
      <c r="J38" s="568">
        <v>43858</v>
      </c>
      <c r="K38" s="96">
        <f t="shared" si="1"/>
        <v>1757</v>
      </c>
      <c r="L38" s="96">
        <f t="shared" si="0"/>
        <v>2417.88</v>
      </c>
    </row>
    <row r="39" spans="1:12" x14ac:dyDescent="0.2">
      <c r="A39" s="573" t="s">
        <v>41</v>
      </c>
      <c r="B39" s="573" t="s">
        <v>70</v>
      </c>
      <c r="C39" s="573">
        <v>360000</v>
      </c>
      <c r="D39" s="573">
        <v>20053</v>
      </c>
      <c r="E39" s="574">
        <v>596</v>
      </c>
      <c r="J39" s="568">
        <v>43859</v>
      </c>
      <c r="K39" s="96">
        <f t="shared" si="1"/>
        <v>1757</v>
      </c>
      <c r="L39" s="96">
        <f t="shared" si="0"/>
        <v>2417.88</v>
      </c>
    </row>
    <row r="40" spans="1:12" x14ac:dyDescent="0.2">
      <c r="A40" s="573" t="s">
        <v>42</v>
      </c>
      <c r="B40" s="573" t="s">
        <v>73</v>
      </c>
      <c r="C40" s="573">
        <v>40500</v>
      </c>
      <c r="D40" s="573">
        <v>10619</v>
      </c>
      <c r="E40" s="574">
        <v>24770</v>
      </c>
      <c r="J40" s="568">
        <v>43860</v>
      </c>
      <c r="K40" s="96">
        <f t="shared" si="1"/>
        <v>1757</v>
      </c>
      <c r="L40" s="96">
        <f t="shared" si="0"/>
        <v>2417.88</v>
      </c>
    </row>
    <row r="41" spans="1:12" x14ac:dyDescent="0.2">
      <c r="A41" s="573" t="s">
        <v>43</v>
      </c>
      <c r="B41" s="573" t="s">
        <v>86</v>
      </c>
      <c r="C41" s="573">
        <v>7700</v>
      </c>
      <c r="D41" s="573">
        <v>4032</v>
      </c>
      <c r="E41" s="574">
        <v>1977.33333333</v>
      </c>
      <c r="J41" s="568">
        <v>43861</v>
      </c>
      <c r="K41" s="96">
        <f t="shared" si="1"/>
        <v>1757</v>
      </c>
      <c r="L41" s="96">
        <f t="shared" si="0"/>
        <v>2417.88</v>
      </c>
    </row>
    <row r="42" spans="1:12" x14ac:dyDescent="0.2">
      <c r="A42" s="573" t="s">
        <v>65</v>
      </c>
      <c r="B42" s="573" t="s">
        <v>306</v>
      </c>
      <c r="C42" s="573">
        <v>388833</v>
      </c>
      <c r="D42" s="573">
        <v>13246</v>
      </c>
      <c r="E42" s="574">
        <v>3137.6666666599999</v>
      </c>
      <c r="J42" s="568">
        <v>43862</v>
      </c>
      <c r="K42" s="96">
        <f t="shared" si="1"/>
        <v>1757</v>
      </c>
      <c r="L42" s="96">
        <f t="shared" si="0"/>
        <v>2417.88</v>
      </c>
    </row>
    <row r="43" spans="1:12" x14ac:dyDescent="0.2">
      <c r="A43" s="573" t="s">
        <v>45</v>
      </c>
      <c r="B43" s="573" t="s">
        <v>84</v>
      </c>
      <c r="C43" s="573">
        <v>8750</v>
      </c>
      <c r="D43" s="573">
        <v>3083</v>
      </c>
      <c r="E43" s="574">
        <v>7485</v>
      </c>
      <c r="J43" s="568">
        <v>43863</v>
      </c>
      <c r="K43" s="96">
        <f t="shared" si="1"/>
        <v>1757</v>
      </c>
      <c r="L43" s="96">
        <f t="shared" si="0"/>
        <v>2417.88</v>
      </c>
    </row>
    <row r="44" spans="1:12" x14ac:dyDescent="0.2">
      <c r="A44" s="573" t="s">
        <v>46</v>
      </c>
      <c r="B44" s="573" t="s">
        <v>78</v>
      </c>
      <c r="C44" s="573">
        <v>27367</v>
      </c>
      <c r="D44" s="573">
        <v>3281</v>
      </c>
      <c r="E44" s="574">
        <v>14262.33333333</v>
      </c>
      <c r="J44" s="568">
        <v>43864</v>
      </c>
      <c r="K44" s="96">
        <f t="shared" si="1"/>
        <v>1757</v>
      </c>
      <c r="L44" s="96">
        <f t="shared" si="0"/>
        <v>2417.88</v>
      </c>
    </row>
    <row r="45" spans="1:12" x14ac:dyDescent="0.2">
      <c r="A45" s="573" t="s">
        <v>47</v>
      </c>
      <c r="B45" s="573" t="s">
        <v>97</v>
      </c>
      <c r="C45" s="573">
        <v>8483</v>
      </c>
      <c r="D45" s="573">
        <v>2598</v>
      </c>
      <c r="E45" s="574">
        <v>1642</v>
      </c>
      <c r="J45" s="568">
        <v>43865</v>
      </c>
      <c r="K45" s="96">
        <f t="shared" si="1"/>
        <v>1757</v>
      </c>
      <c r="L45" s="96">
        <f t="shared" si="0"/>
        <v>2417.88</v>
      </c>
    </row>
    <row r="46" spans="1:12" x14ac:dyDescent="0.2">
      <c r="A46" s="573" t="s">
        <v>48</v>
      </c>
      <c r="B46" s="573" t="s">
        <v>92</v>
      </c>
      <c r="C46" s="573">
        <v>14267</v>
      </c>
      <c r="D46" s="573">
        <v>5871</v>
      </c>
      <c r="E46" s="574">
        <v>1450</v>
      </c>
      <c r="J46" s="568">
        <v>43866</v>
      </c>
      <c r="K46" s="96">
        <f t="shared" si="1"/>
        <v>1757</v>
      </c>
      <c r="L46" s="96">
        <f t="shared" si="0"/>
        <v>2417.88</v>
      </c>
    </row>
    <row r="47" spans="1:12" x14ac:dyDescent="0.2">
      <c r="A47" s="573" t="s">
        <v>49</v>
      </c>
      <c r="B47" s="573" t="s">
        <v>77</v>
      </c>
      <c r="C47" s="573">
        <v>27500</v>
      </c>
      <c r="D47" s="573">
        <v>13021</v>
      </c>
      <c r="E47" s="574">
        <v>21996.86666666</v>
      </c>
      <c r="J47" s="568">
        <v>43867</v>
      </c>
      <c r="K47" s="96">
        <f t="shared" si="1"/>
        <v>1757</v>
      </c>
      <c r="L47" s="96">
        <f t="shared" si="0"/>
        <v>2417.88</v>
      </c>
    </row>
    <row r="48" spans="1:12" x14ac:dyDescent="0.2">
      <c r="A48" s="573" t="s">
        <v>50</v>
      </c>
      <c r="B48" s="573" t="s">
        <v>259</v>
      </c>
      <c r="C48" s="573">
        <v>97500</v>
      </c>
      <c r="D48" s="573">
        <v>32861</v>
      </c>
      <c r="E48" s="574">
        <v>28903.33333333</v>
      </c>
      <c r="J48" s="568">
        <v>43868</v>
      </c>
      <c r="K48" s="96">
        <f t="shared" si="1"/>
        <v>1757</v>
      </c>
      <c r="L48" s="96">
        <f t="shared" si="0"/>
        <v>2417.88</v>
      </c>
    </row>
    <row r="49" spans="1:12" x14ac:dyDescent="0.2">
      <c r="A49" s="573" t="s">
        <v>51</v>
      </c>
      <c r="B49" s="573" t="s">
        <v>114</v>
      </c>
      <c r="C49" s="573">
        <v>450</v>
      </c>
      <c r="D49" s="573">
        <v>280</v>
      </c>
      <c r="E49" s="574">
        <v>220</v>
      </c>
      <c r="J49" s="568">
        <v>43869</v>
      </c>
      <c r="K49" s="96">
        <f t="shared" si="1"/>
        <v>1757</v>
      </c>
      <c r="L49" s="96">
        <f t="shared" si="0"/>
        <v>2417.88</v>
      </c>
    </row>
    <row r="50" spans="1:12" x14ac:dyDescent="0.2">
      <c r="A50" s="573" t="s">
        <v>282</v>
      </c>
      <c r="B50" s="573" t="s">
        <v>281</v>
      </c>
      <c r="C50" s="573">
        <v>500</v>
      </c>
      <c r="D50" s="573">
        <v>3</v>
      </c>
      <c r="E50" s="574">
        <v>0</v>
      </c>
      <c r="J50" s="568">
        <v>43870</v>
      </c>
      <c r="K50" s="96">
        <f t="shared" si="1"/>
        <v>1757</v>
      </c>
      <c r="L50" s="96">
        <f t="shared" si="0"/>
        <v>2417.88</v>
      </c>
    </row>
    <row r="51" spans="1:12" x14ac:dyDescent="0.2">
      <c r="A51" s="573" t="s">
        <v>52</v>
      </c>
      <c r="B51" s="573" t="s">
        <v>75</v>
      </c>
      <c r="C51" s="573">
        <v>32500</v>
      </c>
      <c r="D51" s="573">
        <v>15657</v>
      </c>
      <c r="E51" s="574">
        <v>9480.6666666599995</v>
      </c>
      <c r="J51" s="568">
        <v>43871</v>
      </c>
      <c r="K51" s="96">
        <f t="shared" si="1"/>
        <v>1757</v>
      </c>
      <c r="L51" s="96">
        <f t="shared" si="0"/>
        <v>2417.88</v>
      </c>
    </row>
    <row r="52" spans="1:12" x14ac:dyDescent="0.2">
      <c r="A52" s="573" t="s">
        <v>53</v>
      </c>
      <c r="B52" s="573" t="s">
        <v>260</v>
      </c>
      <c r="C52" s="573">
        <v>66667</v>
      </c>
      <c r="D52" s="573">
        <v>35092</v>
      </c>
      <c r="E52" s="574">
        <v>3381</v>
      </c>
      <c r="J52" s="568">
        <v>43872</v>
      </c>
      <c r="K52" s="96">
        <f t="shared" si="1"/>
        <v>1757</v>
      </c>
      <c r="L52" s="96">
        <f t="shared" si="0"/>
        <v>2417.88</v>
      </c>
    </row>
    <row r="53" spans="1:12" x14ac:dyDescent="0.2">
      <c r="A53" s="573" t="s">
        <v>55</v>
      </c>
      <c r="B53" s="573" t="s">
        <v>85</v>
      </c>
      <c r="C53" s="573">
        <v>8250</v>
      </c>
      <c r="D53" s="573">
        <v>2374</v>
      </c>
      <c r="E53" s="574">
        <v>1709</v>
      </c>
      <c r="J53" s="568">
        <v>43873</v>
      </c>
      <c r="K53" s="96">
        <f t="shared" si="1"/>
        <v>1757</v>
      </c>
      <c r="L53" s="96">
        <f t="shared" si="0"/>
        <v>2417.88</v>
      </c>
    </row>
    <row r="54" spans="1:12" x14ac:dyDescent="0.2">
      <c r="A54" s="573" t="s">
        <v>56</v>
      </c>
      <c r="B54" s="573" t="s">
        <v>95</v>
      </c>
      <c r="C54" s="573">
        <v>3227</v>
      </c>
      <c r="D54" s="573">
        <v>1679</v>
      </c>
      <c r="E54" s="574">
        <v>1525</v>
      </c>
      <c r="J54" s="568">
        <v>43874</v>
      </c>
      <c r="K54" s="96">
        <f t="shared" si="1"/>
        <v>1757</v>
      </c>
      <c r="L54" s="96">
        <f t="shared" si="0"/>
        <v>2417.88</v>
      </c>
    </row>
    <row r="55" spans="1:12" x14ac:dyDescent="0.2">
      <c r="A55" s="573" t="s">
        <v>57</v>
      </c>
      <c r="B55" s="573" t="s">
        <v>101</v>
      </c>
      <c r="C55" s="573">
        <v>2400</v>
      </c>
      <c r="D55" s="573">
        <v>642</v>
      </c>
      <c r="E55" s="574">
        <v>761</v>
      </c>
      <c r="J55" s="568">
        <v>43875</v>
      </c>
      <c r="K55" s="96">
        <f t="shared" si="1"/>
        <v>1757</v>
      </c>
      <c r="L55" s="96">
        <f t="shared" si="0"/>
        <v>2417.88</v>
      </c>
    </row>
    <row r="56" spans="1:12" x14ac:dyDescent="0.2">
      <c r="A56" s="573" t="s">
        <v>54</v>
      </c>
      <c r="B56" s="573" t="s">
        <v>90</v>
      </c>
      <c r="C56" s="573">
        <v>5875</v>
      </c>
      <c r="D56" s="573">
        <v>2229</v>
      </c>
      <c r="E56" s="574">
        <v>1471</v>
      </c>
      <c r="J56" s="568">
        <v>43876</v>
      </c>
      <c r="K56" s="96">
        <f t="shared" si="1"/>
        <v>1757</v>
      </c>
      <c r="L56" s="96">
        <f t="shared" si="0"/>
        <v>2417.88</v>
      </c>
    </row>
    <row r="57" spans="1:12" x14ac:dyDescent="0.2">
      <c r="A57" s="573" t="s">
        <v>58</v>
      </c>
      <c r="B57" s="573" t="s">
        <v>113</v>
      </c>
      <c r="C57" s="573">
        <v>375</v>
      </c>
      <c r="D57" s="573">
        <v>140</v>
      </c>
      <c r="E57" s="574">
        <v>417.41333333</v>
      </c>
      <c r="J57" s="568">
        <v>43877</v>
      </c>
      <c r="K57" s="96">
        <f t="shared" si="1"/>
        <v>1757</v>
      </c>
      <c r="L57" s="96">
        <f t="shared" si="0"/>
        <v>2417.88</v>
      </c>
    </row>
    <row r="58" spans="1:12" x14ac:dyDescent="0.2">
      <c r="A58" s="573" t="s">
        <v>59</v>
      </c>
      <c r="B58" s="573" t="s">
        <v>161</v>
      </c>
      <c r="C58" s="573">
        <v>13417</v>
      </c>
      <c r="D58" s="573">
        <v>5083</v>
      </c>
      <c r="E58" s="574">
        <v>10789.86666666</v>
      </c>
      <c r="J58" s="568">
        <v>43878</v>
      </c>
      <c r="K58" s="96">
        <f t="shared" si="1"/>
        <v>1757</v>
      </c>
      <c r="L58" s="96">
        <f t="shared" si="0"/>
        <v>2417.88</v>
      </c>
    </row>
    <row r="59" spans="1:12" x14ac:dyDescent="0.2">
      <c r="A59" s="573" t="s">
        <v>60</v>
      </c>
      <c r="B59" s="573" t="s">
        <v>93</v>
      </c>
      <c r="C59" s="573">
        <v>3750</v>
      </c>
      <c r="D59" s="573">
        <v>434</v>
      </c>
      <c r="E59" s="574">
        <v>1030</v>
      </c>
      <c r="J59" s="568">
        <v>43879</v>
      </c>
      <c r="K59" s="96">
        <f t="shared" si="1"/>
        <v>1757</v>
      </c>
      <c r="L59" s="96">
        <f t="shared" si="0"/>
        <v>2417.88</v>
      </c>
    </row>
    <row r="60" spans="1:12" x14ac:dyDescent="0.2">
      <c r="A60" s="573" t="s">
        <v>11</v>
      </c>
      <c r="B60" s="573" t="s">
        <v>79</v>
      </c>
      <c r="C60" s="573">
        <v>22500</v>
      </c>
      <c r="D60" s="573">
        <v>2534</v>
      </c>
      <c r="E60" s="574">
        <v>23533.33333333</v>
      </c>
      <c r="J60" s="568">
        <v>43880</v>
      </c>
      <c r="K60" s="96">
        <f t="shared" si="1"/>
        <v>1757</v>
      </c>
      <c r="L60" s="96">
        <f t="shared" si="0"/>
        <v>2417.88</v>
      </c>
    </row>
    <row r="61" spans="1:12" x14ac:dyDescent="0.2">
      <c r="A61" s="573" t="s">
        <v>61</v>
      </c>
      <c r="B61" s="573" t="s">
        <v>103</v>
      </c>
      <c r="C61" s="573">
        <v>1334</v>
      </c>
      <c r="D61" s="573">
        <v>640</v>
      </c>
      <c r="E61" s="574">
        <v>207</v>
      </c>
      <c r="J61" s="568">
        <v>43881</v>
      </c>
      <c r="K61" s="96">
        <f t="shared" si="1"/>
        <v>1757</v>
      </c>
      <c r="L61" s="96">
        <f t="shared" si="0"/>
        <v>2417.88</v>
      </c>
    </row>
    <row r="62" spans="1:12" x14ac:dyDescent="0.2">
      <c r="A62" s="573" t="s">
        <v>62</v>
      </c>
      <c r="B62" s="573" t="s">
        <v>115</v>
      </c>
      <c r="C62" s="573">
        <v>26650</v>
      </c>
      <c r="D62" s="573">
        <v>13071</v>
      </c>
      <c r="E62" s="574">
        <v>472.33333333000002</v>
      </c>
      <c r="J62" s="568">
        <v>43882</v>
      </c>
      <c r="K62" s="96">
        <f t="shared" si="1"/>
        <v>1757</v>
      </c>
      <c r="L62" s="96">
        <f t="shared" si="0"/>
        <v>2417.88</v>
      </c>
    </row>
    <row r="63" spans="1:12" x14ac:dyDescent="0.2">
      <c r="A63" s="573" t="s">
        <v>64</v>
      </c>
      <c r="B63" s="573" t="s">
        <v>96</v>
      </c>
      <c r="C63" s="573">
        <v>4200</v>
      </c>
      <c r="D63" s="573">
        <v>2265</v>
      </c>
      <c r="E63" s="574">
        <v>80</v>
      </c>
      <c r="J63" s="568">
        <v>43883</v>
      </c>
      <c r="K63" s="96">
        <f t="shared" si="1"/>
        <v>1757</v>
      </c>
      <c r="L63" s="96">
        <f t="shared" si="0"/>
        <v>2417.88</v>
      </c>
    </row>
    <row r="64" spans="1:12" x14ac:dyDescent="0.2">
      <c r="A64" s="573" t="s">
        <v>63</v>
      </c>
      <c r="B64" s="573" t="s">
        <v>98</v>
      </c>
      <c r="C64" s="573">
        <v>2800</v>
      </c>
      <c r="D64" s="573">
        <v>380</v>
      </c>
      <c r="E64" s="574">
        <v>3872</v>
      </c>
      <c r="J64" s="568">
        <v>43884</v>
      </c>
      <c r="K64" s="96">
        <f t="shared" si="1"/>
        <v>1757</v>
      </c>
      <c r="L64" s="96">
        <f t="shared" si="0"/>
        <v>2417.88</v>
      </c>
    </row>
    <row r="65" spans="1:12" x14ac:dyDescent="0.2">
      <c r="A65" s="573" t="s">
        <v>66</v>
      </c>
      <c r="B65" s="573" t="s">
        <v>91</v>
      </c>
      <c r="C65" s="573">
        <v>5000</v>
      </c>
      <c r="D65" s="573">
        <v>4166</v>
      </c>
      <c r="E65" s="574">
        <v>847.33333332999996</v>
      </c>
      <c r="J65" s="568">
        <v>43885</v>
      </c>
      <c r="K65" s="96">
        <f t="shared" si="1"/>
        <v>1757</v>
      </c>
      <c r="L65" s="96">
        <f t="shared" si="0"/>
        <v>2417.88</v>
      </c>
    </row>
    <row r="66" spans="1:12" x14ac:dyDescent="0.2">
      <c r="A66" s="565" t="s">
        <v>67</v>
      </c>
      <c r="B66" s="565" t="s">
        <v>100</v>
      </c>
      <c r="C66" s="565">
        <v>2450</v>
      </c>
      <c r="D66" s="565">
        <v>565</v>
      </c>
      <c r="E66" s="576">
        <v>975</v>
      </c>
      <c r="J66" s="568">
        <v>43886</v>
      </c>
      <c r="K66" s="96">
        <f t="shared" si="1"/>
        <v>1757</v>
      </c>
      <c r="L66" s="96">
        <f t="shared" si="0"/>
        <v>2417.88</v>
      </c>
    </row>
    <row r="67" spans="1:12" x14ac:dyDescent="0.2">
      <c r="A67" s="565" t="s">
        <v>68</v>
      </c>
      <c r="B67" s="565" t="s">
        <v>74</v>
      </c>
      <c r="C67" s="565">
        <v>60000</v>
      </c>
      <c r="D67" s="565">
        <v>5758</v>
      </c>
      <c r="E67" s="576">
        <v>29704</v>
      </c>
      <c r="J67" s="568">
        <v>43887</v>
      </c>
      <c r="K67" s="96">
        <f t="shared" si="1"/>
        <v>1757</v>
      </c>
      <c r="L67" s="96">
        <f t="shared" si="0"/>
        <v>2417.88</v>
      </c>
    </row>
    <row r="68" spans="1:12" x14ac:dyDescent="0.2">
      <c r="J68" s="568">
        <v>43888</v>
      </c>
      <c r="K68" s="96">
        <f t="shared" si="1"/>
        <v>1757</v>
      </c>
      <c r="L68" s="96">
        <f t="shared" si="0"/>
        <v>2417.88</v>
      </c>
    </row>
    <row r="69" spans="1:12" x14ac:dyDescent="0.2">
      <c r="J69" s="568">
        <v>43889</v>
      </c>
      <c r="K69" s="96">
        <f t="shared" si="1"/>
        <v>1757</v>
      </c>
      <c r="L69" s="96">
        <f t="shared" si="0"/>
        <v>2417.88</v>
      </c>
    </row>
    <row r="70" spans="1:12" x14ac:dyDescent="0.2">
      <c r="J70" s="568">
        <v>43890</v>
      </c>
      <c r="K70" s="96">
        <f t="shared" si="1"/>
        <v>1757</v>
      </c>
      <c r="L70" s="96">
        <f t="shared" si="0"/>
        <v>2417.88</v>
      </c>
    </row>
    <row r="71" spans="1:12" x14ac:dyDescent="0.2">
      <c r="J71" s="568">
        <v>43891</v>
      </c>
      <c r="K71" s="96">
        <f t="shared" si="1"/>
        <v>1757</v>
      </c>
      <c r="L71" s="96">
        <f t="shared" si="0"/>
        <v>2417.88</v>
      </c>
    </row>
    <row r="72" spans="1:12" x14ac:dyDescent="0.2">
      <c r="J72" s="568">
        <v>43892</v>
      </c>
      <c r="K72" s="96">
        <f t="shared" si="1"/>
        <v>1757</v>
      </c>
      <c r="L72" s="96">
        <f t="shared" si="0"/>
        <v>2417.88</v>
      </c>
    </row>
    <row r="73" spans="1:12" x14ac:dyDescent="0.2">
      <c r="J73" s="568">
        <v>43893</v>
      </c>
      <c r="K73" s="96">
        <f t="shared" si="1"/>
        <v>1757</v>
      </c>
      <c r="L73" s="96">
        <f t="shared" si="0"/>
        <v>2417.88</v>
      </c>
    </row>
    <row r="74" spans="1:12" x14ac:dyDescent="0.2">
      <c r="J74" s="568">
        <v>43894</v>
      </c>
      <c r="K74" s="96">
        <f t="shared" si="1"/>
        <v>1757</v>
      </c>
      <c r="L74" s="96">
        <f t="shared" si="0"/>
        <v>2417.88</v>
      </c>
    </row>
    <row r="75" spans="1:12" x14ac:dyDescent="0.2">
      <c r="J75" s="568">
        <v>43895</v>
      </c>
      <c r="K75" s="96">
        <f t="shared" si="1"/>
        <v>1757</v>
      </c>
      <c r="L75" s="96">
        <f t="shared" si="0"/>
        <v>2417.88</v>
      </c>
    </row>
    <row r="76" spans="1:12" x14ac:dyDescent="0.2">
      <c r="J76" s="568">
        <v>43896</v>
      </c>
      <c r="K76" s="96">
        <f t="shared" si="1"/>
        <v>1757</v>
      </c>
      <c r="L76" s="96">
        <f t="shared" ref="L76:L139" si="2">$G$3</f>
        <v>2417.88</v>
      </c>
    </row>
    <row r="77" spans="1:12" x14ac:dyDescent="0.2">
      <c r="J77" s="568">
        <v>43897</v>
      </c>
      <c r="K77" s="96">
        <f t="shared" ref="K77:K140" si="3">K76</f>
        <v>1757</v>
      </c>
      <c r="L77" s="96">
        <f t="shared" si="2"/>
        <v>2417.88</v>
      </c>
    </row>
    <row r="78" spans="1:12" x14ac:dyDescent="0.2">
      <c r="J78" s="568">
        <v>43898</v>
      </c>
      <c r="K78" s="96">
        <f t="shared" si="3"/>
        <v>1757</v>
      </c>
      <c r="L78" s="96">
        <f t="shared" si="2"/>
        <v>2417.88</v>
      </c>
    </row>
    <row r="79" spans="1:12" x14ac:dyDescent="0.2">
      <c r="J79" s="568">
        <v>43899</v>
      </c>
      <c r="K79" s="96">
        <f t="shared" si="3"/>
        <v>1757</v>
      </c>
      <c r="L79" s="96">
        <f t="shared" si="2"/>
        <v>2417.88</v>
      </c>
    </row>
    <row r="80" spans="1:12" x14ac:dyDescent="0.2">
      <c r="J80" s="568">
        <v>43900</v>
      </c>
      <c r="K80" s="96">
        <f t="shared" si="3"/>
        <v>1757</v>
      </c>
      <c r="L80" s="96">
        <f t="shared" si="2"/>
        <v>2417.88</v>
      </c>
    </row>
    <row r="81" spans="10:12" x14ac:dyDescent="0.2">
      <c r="J81" s="568">
        <v>43901</v>
      </c>
      <c r="K81" s="96">
        <f t="shared" si="3"/>
        <v>1757</v>
      </c>
      <c r="L81" s="96">
        <f t="shared" si="2"/>
        <v>2417.88</v>
      </c>
    </row>
    <row r="82" spans="10:12" x14ac:dyDescent="0.2">
      <c r="J82" s="568">
        <v>43902</v>
      </c>
      <c r="K82" s="96">
        <f t="shared" si="3"/>
        <v>1757</v>
      </c>
      <c r="L82" s="96">
        <f t="shared" si="2"/>
        <v>2417.88</v>
      </c>
    </row>
    <row r="83" spans="10:12" x14ac:dyDescent="0.2">
      <c r="J83" s="568">
        <v>43903</v>
      </c>
      <c r="K83" s="96">
        <f t="shared" si="3"/>
        <v>1757</v>
      </c>
      <c r="L83" s="96">
        <f t="shared" si="2"/>
        <v>2417.88</v>
      </c>
    </row>
    <row r="84" spans="10:12" x14ac:dyDescent="0.2">
      <c r="J84" s="568">
        <v>43904</v>
      </c>
      <c r="K84" s="96">
        <f t="shared" si="3"/>
        <v>1757</v>
      </c>
      <c r="L84" s="96">
        <f t="shared" si="2"/>
        <v>2417.88</v>
      </c>
    </row>
    <row r="85" spans="10:12" x14ac:dyDescent="0.2">
      <c r="J85" s="568">
        <v>43905</v>
      </c>
      <c r="K85" s="96">
        <f t="shared" si="3"/>
        <v>1757</v>
      </c>
      <c r="L85" s="96">
        <f t="shared" si="2"/>
        <v>2417.88</v>
      </c>
    </row>
    <row r="86" spans="10:12" x14ac:dyDescent="0.2">
      <c r="J86" s="568">
        <v>43906</v>
      </c>
      <c r="K86" s="96">
        <f t="shared" si="3"/>
        <v>1757</v>
      </c>
      <c r="L86" s="96">
        <f t="shared" si="2"/>
        <v>2417.88</v>
      </c>
    </row>
    <row r="87" spans="10:12" x14ac:dyDescent="0.2">
      <c r="J87" s="568">
        <v>43907</v>
      </c>
      <c r="K87" s="96">
        <f t="shared" si="3"/>
        <v>1757</v>
      </c>
      <c r="L87" s="96">
        <f t="shared" si="2"/>
        <v>2417.88</v>
      </c>
    </row>
    <row r="88" spans="10:12" x14ac:dyDescent="0.2">
      <c r="J88" s="568">
        <v>43908</v>
      </c>
      <c r="K88" s="96">
        <f t="shared" si="3"/>
        <v>1757</v>
      </c>
      <c r="L88" s="96">
        <f t="shared" si="2"/>
        <v>2417.88</v>
      </c>
    </row>
    <row r="89" spans="10:12" x14ac:dyDescent="0.2">
      <c r="J89" s="568">
        <v>43909</v>
      </c>
      <c r="K89" s="96">
        <f t="shared" si="3"/>
        <v>1757</v>
      </c>
      <c r="L89" s="96">
        <f t="shared" si="2"/>
        <v>2417.88</v>
      </c>
    </row>
    <row r="90" spans="10:12" x14ac:dyDescent="0.2">
      <c r="J90" s="568">
        <v>43910</v>
      </c>
      <c r="K90" s="96">
        <f t="shared" si="3"/>
        <v>1757</v>
      </c>
      <c r="L90" s="96">
        <f t="shared" si="2"/>
        <v>2417.88</v>
      </c>
    </row>
    <row r="91" spans="10:12" x14ac:dyDescent="0.2">
      <c r="J91" s="568">
        <v>43911</v>
      </c>
      <c r="K91" s="96">
        <f t="shared" si="3"/>
        <v>1757</v>
      </c>
      <c r="L91" s="96">
        <f t="shared" si="2"/>
        <v>2417.88</v>
      </c>
    </row>
    <row r="92" spans="10:12" x14ac:dyDescent="0.2">
      <c r="J92" s="568">
        <v>43912</v>
      </c>
      <c r="K92" s="96">
        <f t="shared" si="3"/>
        <v>1757</v>
      </c>
      <c r="L92" s="96">
        <f t="shared" si="2"/>
        <v>2417.88</v>
      </c>
    </row>
    <row r="93" spans="10:12" x14ac:dyDescent="0.2">
      <c r="J93" s="568">
        <v>43913</v>
      </c>
      <c r="K93" s="96">
        <f t="shared" si="3"/>
        <v>1757</v>
      </c>
      <c r="L93" s="96">
        <f t="shared" si="2"/>
        <v>2417.88</v>
      </c>
    </row>
    <row r="94" spans="10:12" x14ac:dyDescent="0.2">
      <c r="J94" s="568">
        <v>43914</v>
      </c>
      <c r="K94" s="96">
        <f t="shared" si="3"/>
        <v>1757</v>
      </c>
      <c r="L94" s="96">
        <f t="shared" si="2"/>
        <v>2417.88</v>
      </c>
    </row>
    <row r="95" spans="10:12" x14ac:dyDescent="0.2">
      <c r="J95" s="568">
        <v>43915</v>
      </c>
      <c r="K95" s="96">
        <f t="shared" si="3"/>
        <v>1757</v>
      </c>
      <c r="L95" s="96">
        <f t="shared" si="2"/>
        <v>2417.88</v>
      </c>
    </row>
    <row r="96" spans="10:12" x14ac:dyDescent="0.2">
      <c r="J96" s="568">
        <v>43916</v>
      </c>
      <c r="K96" s="96">
        <f t="shared" si="3"/>
        <v>1757</v>
      </c>
      <c r="L96" s="96">
        <f t="shared" si="2"/>
        <v>2417.88</v>
      </c>
    </row>
    <row r="97" spans="10:12" x14ac:dyDescent="0.2">
      <c r="J97" s="568">
        <v>43917</v>
      </c>
      <c r="K97" s="96">
        <f t="shared" si="3"/>
        <v>1757</v>
      </c>
      <c r="L97" s="96">
        <f t="shared" si="2"/>
        <v>2417.88</v>
      </c>
    </row>
    <row r="98" spans="10:12" x14ac:dyDescent="0.2">
      <c r="J98" s="568">
        <v>43918</v>
      </c>
      <c r="K98" s="96">
        <f t="shared" si="3"/>
        <v>1757</v>
      </c>
      <c r="L98" s="96">
        <f t="shared" si="2"/>
        <v>2417.88</v>
      </c>
    </row>
    <row r="99" spans="10:12" x14ac:dyDescent="0.2">
      <c r="J99" s="568">
        <v>43919</v>
      </c>
      <c r="K99" s="96">
        <f t="shared" si="3"/>
        <v>1757</v>
      </c>
      <c r="L99" s="96">
        <f t="shared" si="2"/>
        <v>2417.88</v>
      </c>
    </row>
    <row r="100" spans="10:12" x14ac:dyDescent="0.2">
      <c r="J100" s="568">
        <v>43920</v>
      </c>
      <c r="K100" s="96">
        <f t="shared" si="3"/>
        <v>1757</v>
      </c>
      <c r="L100" s="96">
        <f t="shared" si="2"/>
        <v>2417.88</v>
      </c>
    </row>
    <row r="101" spans="10:12" x14ac:dyDescent="0.2">
      <c r="J101" s="568">
        <v>43921</v>
      </c>
      <c r="K101" s="96">
        <f t="shared" si="3"/>
        <v>1757</v>
      </c>
      <c r="L101" s="96">
        <f t="shared" si="2"/>
        <v>2417.88</v>
      </c>
    </row>
    <row r="102" spans="10:12" x14ac:dyDescent="0.2">
      <c r="J102" s="568">
        <v>43922</v>
      </c>
      <c r="K102" s="96">
        <f t="shared" si="3"/>
        <v>1757</v>
      </c>
      <c r="L102" s="96">
        <f t="shared" si="2"/>
        <v>2417.88</v>
      </c>
    </row>
    <row r="103" spans="10:12" x14ac:dyDescent="0.2">
      <c r="J103" s="568">
        <v>43923</v>
      </c>
      <c r="K103" s="96">
        <f t="shared" si="3"/>
        <v>1757</v>
      </c>
      <c r="L103" s="96">
        <f t="shared" si="2"/>
        <v>2417.88</v>
      </c>
    </row>
    <row r="104" spans="10:12" x14ac:dyDescent="0.2">
      <c r="J104" s="568">
        <v>43924</v>
      </c>
      <c r="K104" s="96">
        <f t="shared" si="3"/>
        <v>1757</v>
      </c>
      <c r="L104" s="96">
        <f t="shared" si="2"/>
        <v>2417.88</v>
      </c>
    </row>
    <row r="105" spans="10:12" x14ac:dyDescent="0.2">
      <c r="J105" s="568">
        <v>43925</v>
      </c>
      <c r="K105" s="96">
        <f t="shared" si="3"/>
        <v>1757</v>
      </c>
      <c r="L105" s="96">
        <f t="shared" si="2"/>
        <v>2417.88</v>
      </c>
    </row>
    <row r="106" spans="10:12" x14ac:dyDescent="0.2">
      <c r="J106" s="568">
        <v>43926</v>
      </c>
      <c r="K106" s="96">
        <f t="shared" si="3"/>
        <v>1757</v>
      </c>
      <c r="L106" s="96">
        <f t="shared" si="2"/>
        <v>2417.88</v>
      </c>
    </row>
    <row r="107" spans="10:12" x14ac:dyDescent="0.2">
      <c r="J107" s="568">
        <v>43927</v>
      </c>
      <c r="K107" s="96">
        <f t="shared" si="3"/>
        <v>1757</v>
      </c>
      <c r="L107" s="96">
        <f t="shared" si="2"/>
        <v>2417.88</v>
      </c>
    </row>
    <row r="108" spans="10:12" x14ac:dyDescent="0.2">
      <c r="J108" s="568">
        <v>43928</v>
      </c>
      <c r="K108" s="96">
        <f t="shared" si="3"/>
        <v>1757</v>
      </c>
      <c r="L108" s="96">
        <f t="shared" si="2"/>
        <v>2417.88</v>
      </c>
    </row>
    <row r="109" spans="10:12" x14ac:dyDescent="0.2">
      <c r="J109" s="568">
        <v>43929</v>
      </c>
      <c r="K109" s="96">
        <f t="shared" si="3"/>
        <v>1757</v>
      </c>
      <c r="L109" s="96">
        <f t="shared" si="2"/>
        <v>2417.88</v>
      </c>
    </row>
    <row r="110" spans="10:12" x14ac:dyDescent="0.2">
      <c r="J110" s="568">
        <v>43930</v>
      </c>
      <c r="K110" s="96">
        <f t="shared" si="3"/>
        <v>1757</v>
      </c>
      <c r="L110" s="96">
        <f t="shared" si="2"/>
        <v>2417.88</v>
      </c>
    </row>
    <row r="111" spans="10:12" x14ac:dyDescent="0.2">
      <c r="J111" s="568">
        <v>43931</v>
      </c>
      <c r="K111" s="96">
        <f t="shared" si="3"/>
        <v>1757</v>
      </c>
      <c r="L111" s="96">
        <f t="shared" si="2"/>
        <v>2417.88</v>
      </c>
    </row>
    <row r="112" spans="10:12" x14ac:dyDescent="0.2">
      <c r="J112" s="568">
        <v>43932</v>
      </c>
      <c r="K112" s="96">
        <f t="shared" si="3"/>
        <v>1757</v>
      </c>
      <c r="L112" s="96">
        <f t="shared" si="2"/>
        <v>2417.88</v>
      </c>
    </row>
    <row r="113" spans="10:12" x14ac:dyDescent="0.2">
      <c r="J113" s="568">
        <v>43933</v>
      </c>
      <c r="K113" s="96">
        <f t="shared" si="3"/>
        <v>1757</v>
      </c>
      <c r="L113" s="96">
        <f t="shared" si="2"/>
        <v>2417.88</v>
      </c>
    </row>
    <row r="114" spans="10:12" x14ac:dyDescent="0.2">
      <c r="J114" s="568">
        <v>43934</v>
      </c>
      <c r="K114" s="96">
        <f t="shared" si="3"/>
        <v>1757</v>
      </c>
      <c r="L114" s="96">
        <f t="shared" si="2"/>
        <v>2417.88</v>
      </c>
    </row>
    <row r="115" spans="10:12" x14ac:dyDescent="0.2">
      <c r="J115" s="568">
        <v>43935</v>
      </c>
      <c r="K115" s="96">
        <f t="shared" si="3"/>
        <v>1757</v>
      </c>
      <c r="L115" s="96">
        <f t="shared" si="2"/>
        <v>2417.88</v>
      </c>
    </row>
    <row r="116" spans="10:12" x14ac:dyDescent="0.2">
      <c r="J116" s="568">
        <v>43936</v>
      </c>
      <c r="K116" s="96">
        <f t="shared" si="3"/>
        <v>1757</v>
      </c>
      <c r="L116" s="96">
        <f t="shared" si="2"/>
        <v>2417.88</v>
      </c>
    </row>
    <row r="117" spans="10:12" x14ac:dyDescent="0.2">
      <c r="J117" s="568">
        <v>43937</v>
      </c>
      <c r="K117" s="96">
        <f t="shared" si="3"/>
        <v>1757</v>
      </c>
      <c r="L117" s="96">
        <f t="shared" si="2"/>
        <v>2417.88</v>
      </c>
    </row>
    <row r="118" spans="10:12" x14ac:dyDescent="0.2">
      <c r="J118" s="568">
        <v>43938</v>
      </c>
      <c r="K118" s="96">
        <f t="shared" si="3"/>
        <v>1757</v>
      </c>
      <c r="L118" s="96">
        <f t="shared" si="2"/>
        <v>2417.88</v>
      </c>
    </row>
    <row r="119" spans="10:12" x14ac:dyDescent="0.2">
      <c r="J119" s="568">
        <v>43939</v>
      </c>
      <c r="K119" s="96">
        <f t="shared" si="3"/>
        <v>1757</v>
      </c>
      <c r="L119" s="96">
        <f t="shared" si="2"/>
        <v>2417.88</v>
      </c>
    </row>
    <row r="120" spans="10:12" x14ac:dyDescent="0.2">
      <c r="J120" s="568">
        <v>43940</v>
      </c>
      <c r="K120" s="96">
        <f t="shared" si="3"/>
        <v>1757</v>
      </c>
      <c r="L120" s="96">
        <f t="shared" si="2"/>
        <v>2417.88</v>
      </c>
    </row>
    <row r="121" spans="10:12" x14ac:dyDescent="0.2">
      <c r="J121" s="568">
        <v>43941</v>
      </c>
      <c r="K121" s="96">
        <f t="shared" si="3"/>
        <v>1757</v>
      </c>
      <c r="L121" s="96">
        <f t="shared" si="2"/>
        <v>2417.88</v>
      </c>
    </row>
    <row r="122" spans="10:12" x14ac:dyDescent="0.2">
      <c r="J122" s="568">
        <v>43942</v>
      </c>
      <c r="K122" s="96">
        <f t="shared" si="3"/>
        <v>1757</v>
      </c>
      <c r="L122" s="96">
        <f t="shared" si="2"/>
        <v>2417.88</v>
      </c>
    </row>
    <row r="123" spans="10:12" x14ac:dyDescent="0.2">
      <c r="J123" s="568">
        <v>43943</v>
      </c>
      <c r="K123" s="96">
        <f t="shared" si="3"/>
        <v>1757</v>
      </c>
      <c r="L123" s="96">
        <f t="shared" si="2"/>
        <v>2417.88</v>
      </c>
    </row>
    <row r="124" spans="10:12" x14ac:dyDescent="0.2">
      <c r="J124" s="568">
        <v>43944</v>
      </c>
      <c r="K124" s="96">
        <f t="shared" si="3"/>
        <v>1757</v>
      </c>
      <c r="L124" s="96">
        <f t="shared" si="2"/>
        <v>2417.88</v>
      </c>
    </row>
    <row r="125" spans="10:12" x14ac:dyDescent="0.2">
      <c r="J125" s="568">
        <v>43945</v>
      </c>
      <c r="K125" s="96">
        <f t="shared" si="3"/>
        <v>1757</v>
      </c>
      <c r="L125" s="96">
        <f t="shared" si="2"/>
        <v>2417.88</v>
      </c>
    </row>
    <row r="126" spans="10:12" x14ac:dyDescent="0.2">
      <c r="J126" s="568">
        <v>43946</v>
      </c>
      <c r="K126" s="96">
        <f t="shared" si="3"/>
        <v>1757</v>
      </c>
      <c r="L126" s="96">
        <f t="shared" si="2"/>
        <v>2417.88</v>
      </c>
    </row>
    <row r="127" spans="10:12" x14ac:dyDescent="0.2">
      <c r="J127" s="568">
        <v>43947</v>
      </c>
      <c r="K127" s="96">
        <f t="shared" si="3"/>
        <v>1757</v>
      </c>
      <c r="L127" s="96">
        <f t="shared" si="2"/>
        <v>2417.88</v>
      </c>
    </row>
    <row r="128" spans="10:12" x14ac:dyDescent="0.2">
      <c r="J128" s="568">
        <v>43948</v>
      </c>
      <c r="K128" s="96">
        <f t="shared" si="3"/>
        <v>1757</v>
      </c>
      <c r="L128" s="96">
        <f t="shared" si="2"/>
        <v>2417.88</v>
      </c>
    </row>
    <row r="129" spans="10:12" x14ac:dyDescent="0.2">
      <c r="J129" s="568">
        <v>43949</v>
      </c>
      <c r="K129" s="96">
        <f t="shared" si="3"/>
        <v>1757</v>
      </c>
      <c r="L129" s="96">
        <f t="shared" si="2"/>
        <v>2417.88</v>
      </c>
    </row>
    <row r="130" spans="10:12" x14ac:dyDescent="0.2">
      <c r="J130" s="568">
        <v>43950</v>
      </c>
      <c r="K130" s="96">
        <f t="shared" si="3"/>
        <v>1757</v>
      </c>
      <c r="L130" s="96">
        <f t="shared" si="2"/>
        <v>2417.88</v>
      </c>
    </row>
    <row r="131" spans="10:12" x14ac:dyDescent="0.2">
      <c r="J131" s="568">
        <v>43951</v>
      </c>
      <c r="K131" s="96">
        <f t="shared" si="3"/>
        <v>1757</v>
      </c>
      <c r="L131" s="96">
        <f t="shared" si="2"/>
        <v>2417.88</v>
      </c>
    </row>
    <row r="132" spans="10:12" x14ac:dyDescent="0.2">
      <c r="J132" s="568">
        <v>43952</v>
      </c>
      <c r="K132" s="96">
        <f t="shared" si="3"/>
        <v>1757</v>
      </c>
      <c r="L132" s="96">
        <f t="shared" si="2"/>
        <v>2417.88</v>
      </c>
    </row>
    <row r="133" spans="10:12" x14ac:dyDescent="0.2">
      <c r="J133" s="568">
        <v>43953</v>
      </c>
      <c r="K133" s="96">
        <f t="shared" si="3"/>
        <v>1757</v>
      </c>
      <c r="L133" s="96">
        <f t="shared" si="2"/>
        <v>2417.88</v>
      </c>
    </row>
    <row r="134" spans="10:12" x14ac:dyDescent="0.2">
      <c r="J134" s="568">
        <v>43954</v>
      </c>
      <c r="K134" s="96">
        <f t="shared" si="3"/>
        <v>1757</v>
      </c>
      <c r="L134" s="96">
        <f t="shared" si="2"/>
        <v>2417.88</v>
      </c>
    </row>
    <row r="135" spans="10:12" x14ac:dyDescent="0.2">
      <c r="J135" s="568">
        <v>43955</v>
      </c>
      <c r="K135" s="96">
        <f t="shared" si="3"/>
        <v>1757</v>
      </c>
      <c r="L135" s="96">
        <f t="shared" si="2"/>
        <v>2417.88</v>
      </c>
    </row>
    <row r="136" spans="10:12" x14ac:dyDescent="0.2">
      <c r="J136" s="568">
        <v>43956</v>
      </c>
      <c r="K136" s="96">
        <f t="shared" si="3"/>
        <v>1757</v>
      </c>
      <c r="L136" s="96">
        <f t="shared" si="2"/>
        <v>2417.88</v>
      </c>
    </row>
    <row r="137" spans="10:12" x14ac:dyDescent="0.2">
      <c r="J137" s="568">
        <v>43957</v>
      </c>
      <c r="K137" s="96">
        <f t="shared" si="3"/>
        <v>1757</v>
      </c>
      <c r="L137" s="96">
        <f t="shared" si="2"/>
        <v>2417.88</v>
      </c>
    </row>
    <row r="138" spans="10:12" x14ac:dyDescent="0.2">
      <c r="J138" s="568">
        <v>43958</v>
      </c>
      <c r="K138" s="96">
        <f t="shared" si="3"/>
        <v>1757</v>
      </c>
      <c r="L138" s="96">
        <f t="shared" si="2"/>
        <v>2417.88</v>
      </c>
    </row>
    <row r="139" spans="10:12" x14ac:dyDescent="0.2">
      <c r="J139" s="568">
        <v>43959</v>
      </c>
      <c r="K139" s="96">
        <f t="shared" si="3"/>
        <v>1757</v>
      </c>
      <c r="L139" s="96">
        <f t="shared" si="2"/>
        <v>2417.88</v>
      </c>
    </row>
    <row r="140" spans="10:12" x14ac:dyDescent="0.2">
      <c r="J140" s="568">
        <v>43960</v>
      </c>
      <c r="K140" s="96">
        <f t="shared" si="3"/>
        <v>1757</v>
      </c>
      <c r="L140" s="96">
        <f t="shared" ref="L140:L203" si="4">$G$3</f>
        <v>2417.88</v>
      </c>
    </row>
    <row r="141" spans="10:12" x14ac:dyDescent="0.2">
      <c r="J141" s="568">
        <v>43961</v>
      </c>
      <c r="K141" s="96">
        <f t="shared" ref="K141:K204" si="5">K140</f>
        <v>1757</v>
      </c>
      <c r="L141" s="96">
        <f t="shared" si="4"/>
        <v>2417.88</v>
      </c>
    </row>
    <row r="142" spans="10:12" x14ac:dyDescent="0.2">
      <c r="J142" s="568">
        <v>43962</v>
      </c>
      <c r="K142" s="96">
        <f t="shared" si="5"/>
        <v>1757</v>
      </c>
      <c r="L142" s="96">
        <f t="shared" si="4"/>
        <v>2417.88</v>
      </c>
    </row>
    <row r="143" spans="10:12" x14ac:dyDescent="0.2">
      <c r="J143" s="568">
        <v>43963</v>
      </c>
      <c r="K143" s="96">
        <f t="shared" si="5"/>
        <v>1757</v>
      </c>
      <c r="L143" s="96">
        <f t="shared" si="4"/>
        <v>2417.88</v>
      </c>
    </row>
    <row r="144" spans="10:12" x14ac:dyDescent="0.2">
      <c r="J144" s="568">
        <v>43964</v>
      </c>
      <c r="K144" s="96">
        <f t="shared" si="5"/>
        <v>1757</v>
      </c>
      <c r="L144" s="96">
        <f t="shared" si="4"/>
        <v>2417.88</v>
      </c>
    </row>
    <row r="145" spans="10:12" x14ac:dyDescent="0.2">
      <c r="J145" s="568">
        <v>43965</v>
      </c>
      <c r="K145" s="96">
        <f t="shared" si="5"/>
        <v>1757</v>
      </c>
      <c r="L145" s="96">
        <f t="shared" si="4"/>
        <v>2417.88</v>
      </c>
    </row>
    <row r="146" spans="10:12" x14ac:dyDescent="0.2">
      <c r="J146" s="568">
        <v>43966</v>
      </c>
      <c r="K146" s="96">
        <f t="shared" si="5"/>
        <v>1757</v>
      </c>
      <c r="L146" s="96">
        <f t="shared" si="4"/>
        <v>2417.88</v>
      </c>
    </row>
    <row r="147" spans="10:12" x14ac:dyDescent="0.2">
      <c r="J147" s="568">
        <v>43967</v>
      </c>
      <c r="K147" s="96">
        <f t="shared" si="5"/>
        <v>1757</v>
      </c>
      <c r="L147" s="96">
        <f t="shared" si="4"/>
        <v>2417.88</v>
      </c>
    </row>
    <row r="148" spans="10:12" x14ac:dyDescent="0.2">
      <c r="J148" s="568">
        <v>43968</v>
      </c>
      <c r="K148" s="96">
        <f t="shared" si="5"/>
        <v>1757</v>
      </c>
      <c r="L148" s="96">
        <f t="shared" si="4"/>
        <v>2417.88</v>
      </c>
    </row>
    <row r="149" spans="10:12" x14ac:dyDescent="0.2">
      <c r="J149" s="568">
        <v>43969</v>
      </c>
      <c r="K149" s="96">
        <f t="shared" si="5"/>
        <v>1757</v>
      </c>
      <c r="L149" s="96">
        <f t="shared" si="4"/>
        <v>2417.88</v>
      </c>
    </row>
    <row r="150" spans="10:12" x14ac:dyDescent="0.2">
      <c r="J150" s="568">
        <v>43970</v>
      </c>
      <c r="K150" s="96">
        <f t="shared" si="5"/>
        <v>1757</v>
      </c>
      <c r="L150" s="96">
        <f t="shared" si="4"/>
        <v>2417.88</v>
      </c>
    </row>
    <row r="151" spans="10:12" x14ac:dyDescent="0.2">
      <c r="J151" s="568">
        <v>43971</v>
      </c>
      <c r="K151" s="96">
        <f t="shared" si="5"/>
        <v>1757</v>
      </c>
      <c r="L151" s="96">
        <f t="shared" si="4"/>
        <v>2417.88</v>
      </c>
    </row>
    <row r="152" spans="10:12" x14ac:dyDescent="0.2">
      <c r="J152" s="568">
        <v>43972</v>
      </c>
      <c r="K152" s="96">
        <f t="shared" si="5"/>
        <v>1757</v>
      </c>
      <c r="L152" s="96">
        <f t="shared" si="4"/>
        <v>2417.88</v>
      </c>
    </row>
    <row r="153" spans="10:12" x14ac:dyDescent="0.2">
      <c r="J153" s="568">
        <v>43973</v>
      </c>
      <c r="K153" s="96">
        <f t="shared" si="5"/>
        <v>1757</v>
      </c>
      <c r="L153" s="96">
        <f t="shared" si="4"/>
        <v>2417.88</v>
      </c>
    </row>
    <row r="154" spans="10:12" x14ac:dyDescent="0.2">
      <c r="J154" s="568">
        <v>43974</v>
      </c>
      <c r="K154" s="96">
        <f t="shared" si="5"/>
        <v>1757</v>
      </c>
      <c r="L154" s="96">
        <f t="shared" si="4"/>
        <v>2417.88</v>
      </c>
    </row>
    <row r="155" spans="10:12" x14ac:dyDescent="0.2">
      <c r="J155" s="568">
        <v>43975</v>
      </c>
      <c r="K155" s="96">
        <f t="shared" si="5"/>
        <v>1757</v>
      </c>
      <c r="L155" s="96">
        <f t="shared" si="4"/>
        <v>2417.88</v>
      </c>
    </row>
    <row r="156" spans="10:12" x14ac:dyDescent="0.2">
      <c r="J156" s="568">
        <v>43976</v>
      </c>
      <c r="K156" s="96">
        <f t="shared" si="5"/>
        <v>1757</v>
      </c>
      <c r="L156" s="96">
        <f t="shared" si="4"/>
        <v>2417.88</v>
      </c>
    </row>
    <row r="157" spans="10:12" x14ac:dyDescent="0.2">
      <c r="J157" s="568">
        <v>43977</v>
      </c>
      <c r="K157" s="96">
        <f t="shared" si="5"/>
        <v>1757</v>
      </c>
      <c r="L157" s="96">
        <f t="shared" si="4"/>
        <v>2417.88</v>
      </c>
    </row>
    <row r="158" spans="10:12" x14ac:dyDescent="0.2">
      <c r="J158" s="568">
        <v>43978</v>
      </c>
      <c r="K158" s="96">
        <f t="shared" si="5"/>
        <v>1757</v>
      </c>
      <c r="L158" s="96">
        <f t="shared" si="4"/>
        <v>2417.88</v>
      </c>
    </row>
    <row r="159" spans="10:12" x14ac:dyDescent="0.2">
      <c r="J159" s="568">
        <v>43979</v>
      </c>
      <c r="K159" s="96">
        <f t="shared" si="5"/>
        <v>1757</v>
      </c>
      <c r="L159" s="96">
        <f t="shared" si="4"/>
        <v>2417.88</v>
      </c>
    </row>
    <row r="160" spans="10:12" x14ac:dyDescent="0.2">
      <c r="J160" s="568">
        <v>43980</v>
      </c>
      <c r="K160" s="96">
        <f t="shared" si="5"/>
        <v>1757</v>
      </c>
      <c r="L160" s="96">
        <f t="shared" si="4"/>
        <v>2417.88</v>
      </c>
    </row>
    <row r="161" spans="10:12" x14ac:dyDescent="0.2">
      <c r="J161" s="568">
        <v>43981</v>
      </c>
      <c r="K161" s="96">
        <f t="shared" si="5"/>
        <v>1757</v>
      </c>
      <c r="L161" s="96">
        <f t="shared" si="4"/>
        <v>2417.88</v>
      </c>
    </row>
    <row r="162" spans="10:12" x14ac:dyDescent="0.2">
      <c r="J162" s="568">
        <v>43982</v>
      </c>
      <c r="K162" s="96">
        <f t="shared" si="5"/>
        <v>1757</v>
      </c>
      <c r="L162" s="96">
        <f t="shared" si="4"/>
        <v>2417.88</v>
      </c>
    </row>
    <row r="163" spans="10:12" x14ac:dyDescent="0.2">
      <c r="J163" s="568">
        <v>43983</v>
      </c>
      <c r="K163" s="96">
        <f t="shared" si="5"/>
        <v>1757</v>
      </c>
      <c r="L163" s="96">
        <f t="shared" si="4"/>
        <v>2417.88</v>
      </c>
    </row>
    <row r="164" spans="10:12" x14ac:dyDescent="0.2">
      <c r="J164" s="568">
        <v>43984</v>
      </c>
      <c r="K164" s="96">
        <f t="shared" si="5"/>
        <v>1757</v>
      </c>
      <c r="L164" s="96">
        <f t="shared" si="4"/>
        <v>2417.88</v>
      </c>
    </row>
    <row r="165" spans="10:12" x14ac:dyDescent="0.2">
      <c r="J165" s="568">
        <v>43985</v>
      </c>
      <c r="K165" s="96">
        <f t="shared" si="5"/>
        <v>1757</v>
      </c>
      <c r="L165" s="96">
        <f t="shared" si="4"/>
        <v>2417.88</v>
      </c>
    </row>
    <row r="166" spans="10:12" x14ac:dyDescent="0.2">
      <c r="J166" s="568">
        <v>43986</v>
      </c>
      <c r="K166" s="96">
        <f t="shared" si="5"/>
        <v>1757</v>
      </c>
      <c r="L166" s="96">
        <f t="shared" si="4"/>
        <v>2417.88</v>
      </c>
    </row>
    <row r="167" spans="10:12" x14ac:dyDescent="0.2">
      <c r="J167" s="568">
        <v>43987</v>
      </c>
      <c r="K167" s="96">
        <f t="shared" si="5"/>
        <v>1757</v>
      </c>
      <c r="L167" s="96">
        <f t="shared" si="4"/>
        <v>2417.88</v>
      </c>
    </row>
    <row r="168" spans="10:12" x14ac:dyDescent="0.2">
      <c r="J168" s="568">
        <v>43988</v>
      </c>
      <c r="K168" s="96">
        <f t="shared" si="5"/>
        <v>1757</v>
      </c>
      <c r="L168" s="96">
        <f t="shared" si="4"/>
        <v>2417.88</v>
      </c>
    </row>
    <row r="169" spans="10:12" x14ac:dyDescent="0.2">
      <c r="J169" s="568">
        <v>43989</v>
      </c>
      <c r="K169" s="96">
        <f t="shared" si="5"/>
        <v>1757</v>
      </c>
      <c r="L169" s="96">
        <f t="shared" si="4"/>
        <v>2417.88</v>
      </c>
    </row>
    <row r="170" spans="10:12" x14ac:dyDescent="0.2">
      <c r="J170" s="568">
        <v>43990</v>
      </c>
      <c r="K170" s="96">
        <f t="shared" si="5"/>
        <v>1757</v>
      </c>
      <c r="L170" s="96">
        <f t="shared" si="4"/>
        <v>2417.88</v>
      </c>
    </row>
    <row r="171" spans="10:12" x14ac:dyDescent="0.2">
      <c r="J171" s="568">
        <v>43991</v>
      </c>
      <c r="K171" s="96">
        <f t="shared" si="5"/>
        <v>1757</v>
      </c>
      <c r="L171" s="96">
        <f t="shared" si="4"/>
        <v>2417.88</v>
      </c>
    </row>
    <row r="172" spans="10:12" x14ac:dyDescent="0.2">
      <c r="J172" s="568">
        <v>43992</v>
      </c>
      <c r="K172" s="96">
        <f t="shared" si="5"/>
        <v>1757</v>
      </c>
      <c r="L172" s="96">
        <f t="shared" si="4"/>
        <v>2417.88</v>
      </c>
    </row>
    <row r="173" spans="10:12" x14ac:dyDescent="0.2">
      <c r="J173" s="568">
        <v>43993</v>
      </c>
      <c r="K173" s="96">
        <f t="shared" si="5"/>
        <v>1757</v>
      </c>
      <c r="L173" s="96">
        <f t="shared" si="4"/>
        <v>2417.88</v>
      </c>
    </row>
    <row r="174" spans="10:12" x14ac:dyDescent="0.2">
      <c r="J174" s="568">
        <v>43994</v>
      </c>
      <c r="K174" s="96">
        <f t="shared" si="5"/>
        <v>1757</v>
      </c>
      <c r="L174" s="96">
        <f t="shared" si="4"/>
        <v>2417.88</v>
      </c>
    </row>
    <row r="175" spans="10:12" x14ac:dyDescent="0.2">
      <c r="J175" s="568">
        <v>43995</v>
      </c>
      <c r="K175" s="96">
        <f t="shared" si="5"/>
        <v>1757</v>
      </c>
      <c r="L175" s="96">
        <f t="shared" si="4"/>
        <v>2417.88</v>
      </c>
    </row>
    <row r="176" spans="10:12" x14ac:dyDescent="0.2">
      <c r="J176" s="568">
        <v>43996</v>
      </c>
      <c r="K176" s="96">
        <f t="shared" si="5"/>
        <v>1757</v>
      </c>
      <c r="L176" s="96">
        <f t="shared" si="4"/>
        <v>2417.88</v>
      </c>
    </row>
    <row r="177" spans="10:12" x14ac:dyDescent="0.2">
      <c r="J177" s="568">
        <v>43997</v>
      </c>
      <c r="K177" s="96">
        <f t="shared" si="5"/>
        <v>1757</v>
      </c>
      <c r="L177" s="96">
        <f t="shared" si="4"/>
        <v>2417.88</v>
      </c>
    </row>
    <row r="178" spans="10:12" x14ac:dyDescent="0.2">
      <c r="J178" s="568">
        <v>43998</v>
      </c>
      <c r="K178" s="96">
        <f t="shared" si="5"/>
        <v>1757</v>
      </c>
      <c r="L178" s="96">
        <f t="shared" si="4"/>
        <v>2417.88</v>
      </c>
    </row>
    <row r="179" spans="10:12" x14ac:dyDescent="0.2">
      <c r="J179" s="568">
        <v>43999</v>
      </c>
      <c r="K179" s="96">
        <f t="shared" si="5"/>
        <v>1757</v>
      </c>
      <c r="L179" s="96">
        <f t="shared" si="4"/>
        <v>2417.88</v>
      </c>
    </row>
    <row r="180" spans="10:12" x14ac:dyDescent="0.2">
      <c r="J180" s="568">
        <v>44000</v>
      </c>
      <c r="K180" s="96">
        <f t="shared" si="5"/>
        <v>1757</v>
      </c>
      <c r="L180" s="96">
        <f t="shared" si="4"/>
        <v>2417.88</v>
      </c>
    </row>
    <row r="181" spans="10:12" x14ac:dyDescent="0.2">
      <c r="J181" s="568">
        <v>44001</v>
      </c>
      <c r="K181" s="96">
        <f t="shared" si="5"/>
        <v>1757</v>
      </c>
      <c r="L181" s="96">
        <f t="shared" si="4"/>
        <v>2417.88</v>
      </c>
    </row>
    <row r="182" spans="10:12" x14ac:dyDescent="0.2">
      <c r="J182" s="568">
        <v>44002</v>
      </c>
      <c r="K182" s="96">
        <f t="shared" si="5"/>
        <v>1757</v>
      </c>
      <c r="L182" s="96">
        <f t="shared" si="4"/>
        <v>2417.88</v>
      </c>
    </row>
    <row r="183" spans="10:12" x14ac:dyDescent="0.2">
      <c r="J183" s="568">
        <v>44003</v>
      </c>
      <c r="K183" s="96">
        <f t="shared" si="5"/>
        <v>1757</v>
      </c>
      <c r="L183" s="96">
        <f t="shared" si="4"/>
        <v>2417.88</v>
      </c>
    </row>
    <row r="184" spans="10:12" x14ac:dyDescent="0.2">
      <c r="J184" s="568">
        <v>44004</v>
      </c>
      <c r="K184" s="96">
        <f t="shared" si="5"/>
        <v>1757</v>
      </c>
      <c r="L184" s="96">
        <f t="shared" si="4"/>
        <v>2417.88</v>
      </c>
    </row>
    <row r="185" spans="10:12" x14ac:dyDescent="0.2">
      <c r="J185" s="568">
        <v>44005</v>
      </c>
      <c r="K185" s="96">
        <f t="shared" si="5"/>
        <v>1757</v>
      </c>
      <c r="L185" s="96">
        <f t="shared" si="4"/>
        <v>2417.88</v>
      </c>
    </row>
    <row r="186" spans="10:12" x14ac:dyDescent="0.2">
      <c r="J186" s="568">
        <v>44006</v>
      </c>
      <c r="K186" s="96">
        <f t="shared" si="5"/>
        <v>1757</v>
      </c>
      <c r="L186" s="96">
        <f t="shared" si="4"/>
        <v>2417.88</v>
      </c>
    </row>
    <row r="187" spans="10:12" x14ac:dyDescent="0.2">
      <c r="J187" s="568">
        <v>44007</v>
      </c>
      <c r="K187" s="96">
        <f t="shared" si="5"/>
        <v>1757</v>
      </c>
      <c r="L187" s="96">
        <f t="shared" si="4"/>
        <v>2417.88</v>
      </c>
    </row>
    <row r="188" spans="10:12" x14ac:dyDescent="0.2">
      <c r="J188" s="568">
        <v>44008</v>
      </c>
      <c r="K188" s="96">
        <f t="shared" si="5"/>
        <v>1757</v>
      </c>
      <c r="L188" s="96">
        <f t="shared" si="4"/>
        <v>2417.88</v>
      </c>
    </row>
    <row r="189" spans="10:12" x14ac:dyDescent="0.2">
      <c r="J189" s="568">
        <v>44009</v>
      </c>
      <c r="K189" s="96">
        <f t="shared" si="5"/>
        <v>1757</v>
      </c>
      <c r="L189" s="96">
        <f t="shared" si="4"/>
        <v>2417.88</v>
      </c>
    </row>
    <row r="190" spans="10:12" x14ac:dyDescent="0.2">
      <c r="J190" s="568">
        <v>44010</v>
      </c>
      <c r="K190" s="96">
        <f t="shared" si="5"/>
        <v>1757</v>
      </c>
      <c r="L190" s="96">
        <f t="shared" si="4"/>
        <v>2417.88</v>
      </c>
    </row>
    <row r="191" spans="10:12" x14ac:dyDescent="0.2">
      <c r="J191" s="568">
        <v>44011</v>
      </c>
      <c r="K191" s="96">
        <f t="shared" si="5"/>
        <v>1757</v>
      </c>
      <c r="L191" s="96">
        <f t="shared" si="4"/>
        <v>2417.88</v>
      </c>
    </row>
    <row r="192" spans="10:12" x14ac:dyDescent="0.2">
      <c r="J192" s="568">
        <v>44012</v>
      </c>
      <c r="K192" s="96">
        <f t="shared" si="5"/>
        <v>1757</v>
      </c>
      <c r="L192" s="96">
        <f t="shared" si="4"/>
        <v>2417.88</v>
      </c>
    </row>
    <row r="193" spans="10:12" x14ac:dyDescent="0.2">
      <c r="J193" s="568">
        <v>44013</v>
      </c>
      <c r="K193" s="96">
        <f t="shared" si="5"/>
        <v>1757</v>
      </c>
      <c r="L193" s="96">
        <f t="shared" si="4"/>
        <v>2417.88</v>
      </c>
    </row>
    <row r="194" spans="10:12" x14ac:dyDescent="0.2">
      <c r="J194" s="568">
        <v>44014</v>
      </c>
      <c r="K194" s="96">
        <f t="shared" si="5"/>
        <v>1757</v>
      </c>
      <c r="L194" s="96">
        <f t="shared" si="4"/>
        <v>2417.88</v>
      </c>
    </row>
    <row r="195" spans="10:12" x14ac:dyDescent="0.2">
      <c r="J195" s="568">
        <v>44015</v>
      </c>
      <c r="K195" s="96">
        <f t="shared" si="5"/>
        <v>1757</v>
      </c>
      <c r="L195" s="96">
        <f t="shared" si="4"/>
        <v>2417.88</v>
      </c>
    </row>
    <row r="196" spans="10:12" x14ac:dyDescent="0.2">
      <c r="J196" s="568">
        <v>44016</v>
      </c>
      <c r="K196" s="96">
        <f t="shared" si="5"/>
        <v>1757</v>
      </c>
      <c r="L196" s="96">
        <f t="shared" si="4"/>
        <v>2417.88</v>
      </c>
    </row>
    <row r="197" spans="10:12" x14ac:dyDescent="0.2">
      <c r="J197" s="568">
        <v>44017</v>
      </c>
      <c r="K197" s="96">
        <f t="shared" si="5"/>
        <v>1757</v>
      </c>
      <c r="L197" s="96">
        <f t="shared" si="4"/>
        <v>2417.88</v>
      </c>
    </row>
    <row r="198" spans="10:12" x14ac:dyDescent="0.2">
      <c r="J198" s="568">
        <v>44018</v>
      </c>
      <c r="K198" s="96">
        <f t="shared" si="5"/>
        <v>1757</v>
      </c>
      <c r="L198" s="96">
        <f t="shared" si="4"/>
        <v>2417.88</v>
      </c>
    </row>
    <row r="199" spans="10:12" x14ac:dyDescent="0.2">
      <c r="J199" s="568">
        <v>44019</v>
      </c>
      <c r="K199" s="96">
        <f t="shared" si="5"/>
        <v>1757</v>
      </c>
      <c r="L199" s="96">
        <f t="shared" si="4"/>
        <v>2417.88</v>
      </c>
    </row>
    <row r="200" spans="10:12" x14ac:dyDescent="0.2">
      <c r="J200" s="568">
        <v>44020</v>
      </c>
      <c r="K200" s="96">
        <f t="shared" si="5"/>
        <v>1757</v>
      </c>
      <c r="L200" s="96">
        <f t="shared" si="4"/>
        <v>2417.88</v>
      </c>
    </row>
    <row r="201" spans="10:12" x14ac:dyDescent="0.2">
      <c r="J201" s="568">
        <v>44021</v>
      </c>
      <c r="K201" s="96">
        <f t="shared" si="5"/>
        <v>1757</v>
      </c>
      <c r="L201" s="96">
        <f t="shared" si="4"/>
        <v>2417.88</v>
      </c>
    </row>
    <row r="202" spans="10:12" x14ac:dyDescent="0.2">
      <c r="J202" s="568">
        <v>44022</v>
      </c>
      <c r="K202" s="96">
        <f t="shared" si="5"/>
        <v>1757</v>
      </c>
      <c r="L202" s="96">
        <f t="shared" si="4"/>
        <v>2417.88</v>
      </c>
    </row>
    <row r="203" spans="10:12" x14ac:dyDescent="0.2">
      <c r="J203" s="568">
        <v>44023</v>
      </c>
      <c r="K203" s="96">
        <f t="shared" si="5"/>
        <v>1757</v>
      </c>
      <c r="L203" s="96">
        <f t="shared" si="4"/>
        <v>2417.88</v>
      </c>
    </row>
    <row r="204" spans="10:12" x14ac:dyDescent="0.2">
      <c r="J204" s="568">
        <v>44024</v>
      </c>
      <c r="K204" s="96">
        <f t="shared" si="5"/>
        <v>1757</v>
      </c>
      <c r="L204" s="96">
        <f t="shared" ref="L204:L267" si="6">$G$3</f>
        <v>2417.88</v>
      </c>
    </row>
    <row r="205" spans="10:12" x14ac:dyDescent="0.2">
      <c r="J205" s="568">
        <v>44025</v>
      </c>
      <c r="K205" s="96">
        <f t="shared" ref="K205:K268" si="7">K204</f>
        <v>1757</v>
      </c>
      <c r="L205" s="96">
        <f t="shared" si="6"/>
        <v>2417.88</v>
      </c>
    </row>
    <row r="206" spans="10:12" x14ac:dyDescent="0.2">
      <c r="J206" s="568">
        <v>44026</v>
      </c>
      <c r="K206" s="96">
        <f t="shared" si="7"/>
        <v>1757</v>
      </c>
      <c r="L206" s="96">
        <f t="shared" si="6"/>
        <v>2417.88</v>
      </c>
    </row>
    <row r="207" spans="10:12" x14ac:dyDescent="0.2">
      <c r="J207" s="568">
        <v>44027</v>
      </c>
      <c r="K207" s="96">
        <f t="shared" si="7"/>
        <v>1757</v>
      </c>
      <c r="L207" s="96">
        <f t="shared" si="6"/>
        <v>2417.88</v>
      </c>
    </row>
    <row r="208" spans="10:12" x14ac:dyDescent="0.2">
      <c r="J208" s="568">
        <v>44028</v>
      </c>
      <c r="K208" s="96">
        <f t="shared" si="7"/>
        <v>1757</v>
      </c>
      <c r="L208" s="96">
        <f t="shared" si="6"/>
        <v>2417.88</v>
      </c>
    </row>
    <row r="209" spans="10:12" x14ac:dyDescent="0.2">
      <c r="J209" s="568">
        <v>44029</v>
      </c>
      <c r="K209" s="96">
        <f t="shared" si="7"/>
        <v>1757</v>
      </c>
      <c r="L209" s="96">
        <f t="shared" si="6"/>
        <v>2417.88</v>
      </c>
    </row>
    <row r="210" spans="10:12" x14ac:dyDescent="0.2">
      <c r="J210" s="568">
        <v>44030</v>
      </c>
      <c r="K210" s="96">
        <f t="shared" si="7"/>
        <v>1757</v>
      </c>
      <c r="L210" s="96">
        <f t="shared" si="6"/>
        <v>2417.88</v>
      </c>
    </row>
    <row r="211" spans="10:12" x14ac:dyDescent="0.2">
      <c r="J211" s="568">
        <v>44031</v>
      </c>
      <c r="K211" s="96">
        <f t="shared" si="7"/>
        <v>1757</v>
      </c>
      <c r="L211" s="96">
        <f t="shared" si="6"/>
        <v>2417.88</v>
      </c>
    </row>
    <row r="212" spans="10:12" x14ac:dyDescent="0.2">
      <c r="J212" s="568">
        <v>44032</v>
      </c>
      <c r="K212" s="96">
        <f t="shared" si="7"/>
        <v>1757</v>
      </c>
      <c r="L212" s="96">
        <f t="shared" si="6"/>
        <v>2417.88</v>
      </c>
    </row>
    <row r="213" spans="10:12" x14ac:dyDescent="0.2">
      <c r="J213" s="568">
        <v>44033</v>
      </c>
      <c r="K213" s="96">
        <f t="shared" si="7"/>
        <v>1757</v>
      </c>
      <c r="L213" s="96">
        <f t="shared" si="6"/>
        <v>2417.88</v>
      </c>
    </row>
    <row r="214" spans="10:12" x14ac:dyDescent="0.2">
      <c r="J214" s="568">
        <v>44034</v>
      </c>
      <c r="K214" s="96">
        <f t="shared" si="7"/>
        <v>1757</v>
      </c>
      <c r="L214" s="96">
        <f t="shared" si="6"/>
        <v>2417.88</v>
      </c>
    </row>
    <row r="215" spans="10:12" x14ac:dyDescent="0.2">
      <c r="J215" s="568">
        <v>44035</v>
      </c>
      <c r="K215" s="96">
        <f t="shared" si="7"/>
        <v>1757</v>
      </c>
      <c r="L215" s="96">
        <f t="shared" si="6"/>
        <v>2417.88</v>
      </c>
    </row>
    <row r="216" spans="10:12" x14ac:dyDescent="0.2">
      <c r="J216" s="568">
        <v>44036</v>
      </c>
      <c r="K216" s="96">
        <f t="shared" si="7"/>
        <v>1757</v>
      </c>
      <c r="L216" s="96">
        <f t="shared" si="6"/>
        <v>2417.88</v>
      </c>
    </row>
    <row r="217" spans="10:12" x14ac:dyDescent="0.2">
      <c r="J217" s="568">
        <v>44037</v>
      </c>
      <c r="K217" s="96">
        <f t="shared" si="7"/>
        <v>1757</v>
      </c>
      <c r="L217" s="96">
        <f t="shared" si="6"/>
        <v>2417.88</v>
      </c>
    </row>
    <row r="218" spans="10:12" x14ac:dyDescent="0.2">
      <c r="J218" s="568">
        <v>44038</v>
      </c>
      <c r="K218" s="96">
        <f t="shared" si="7"/>
        <v>1757</v>
      </c>
      <c r="L218" s="96">
        <f t="shared" si="6"/>
        <v>2417.88</v>
      </c>
    </row>
    <row r="219" spans="10:12" x14ac:dyDescent="0.2">
      <c r="J219" s="568">
        <v>44039</v>
      </c>
      <c r="K219" s="96">
        <f t="shared" si="7"/>
        <v>1757</v>
      </c>
      <c r="L219" s="96">
        <f t="shared" si="6"/>
        <v>2417.88</v>
      </c>
    </row>
    <row r="220" spans="10:12" x14ac:dyDescent="0.2">
      <c r="J220" s="568">
        <v>44040</v>
      </c>
      <c r="K220" s="96">
        <f t="shared" si="7"/>
        <v>1757</v>
      </c>
      <c r="L220" s="96">
        <f t="shared" si="6"/>
        <v>2417.88</v>
      </c>
    </row>
    <row r="221" spans="10:12" x14ac:dyDescent="0.2">
      <c r="J221" s="568">
        <v>44041</v>
      </c>
      <c r="K221" s="96">
        <f t="shared" si="7"/>
        <v>1757</v>
      </c>
      <c r="L221" s="96">
        <f t="shared" si="6"/>
        <v>2417.88</v>
      </c>
    </row>
    <row r="222" spans="10:12" x14ac:dyDescent="0.2">
      <c r="J222" s="568">
        <v>44042</v>
      </c>
      <c r="K222" s="96">
        <f t="shared" si="7"/>
        <v>1757</v>
      </c>
      <c r="L222" s="96">
        <f t="shared" si="6"/>
        <v>2417.88</v>
      </c>
    </row>
    <row r="223" spans="10:12" x14ac:dyDescent="0.2">
      <c r="J223" s="568">
        <v>44043</v>
      </c>
      <c r="K223" s="96">
        <f t="shared" si="7"/>
        <v>1757</v>
      </c>
      <c r="L223" s="96">
        <f t="shared" si="6"/>
        <v>2417.88</v>
      </c>
    </row>
    <row r="224" spans="10:12" x14ac:dyDescent="0.2">
      <c r="J224" s="568">
        <v>44044</v>
      </c>
      <c r="K224" s="96">
        <f t="shared" si="7"/>
        <v>1757</v>
      </c>
      <c r="L224" s="96">
        <f t="shared" si="6"/>
        <v>2417.88</v>
      </c>
    </row>
    <row r="225" spans="10:12" x14ac:dyDescent="0.2">
      <c r="J225" s="568">
        <v>44045</v>
      </c>
      <c r="K225" s="96">
        <f t="shared" si="7"/>
        <v>1757</v>
      </c>
      <c r="L225" s="96">
        <f t="shared" si="6"/>
        <v>2417.88</v>
      </c>
    </row>
    <row r="226" spans="10:12" x14ac:dyDescent="0.2">
      <c r="J226" s="568">
        <v>44046</v>
      </c>
      <c r="K226" s="96">
        <f t="shared" si="7"/>
        <v>1757</v>
      </c>
      <c r="L226" s="96">
        <f t="shared" si="6"/>
        <v>2417.88</v>
      </c>
    </row>
    <row r="227" spans="10:12" x14ac:dyDescent="0.2">
      <c r="J227" s="568">
        <v>44047</v>
      </c>
      <c r="K227" s="96">
        <f t="shared" si="7"/>
        <v>1757</v>
      </c>
      <c r="L227" s="96">
        <f t="shared" si="6"/>
        <v>2417.88</v>
      </c>
    </row>
    <row r="228" spans="10:12" x14ac:dyDescent="0.2">
      <c r="J228" s="568">
        <v>44048</v>
      </c>
      <c r="K228" s="96">
        <f t="shared" si="7"/>
        <v>1757</v>
      </c>
      <c r="L228" s="96">
        <f t="shared" si="6"/>
        <v>2417.88</v>
      </c>
    </row>
    <row r="229" spans="10:12" x14ac:dyDescent="0.2">
      <c r="J229" s="568">
        <v>44049</v>
      </c>
      <c r="K229" s="96">
        <f t="shared" si="7"/>
        <v>1757</v>
      </c>
      <c r="L229" s="96">
        <f t="shared" si="6"/>
        <v>2417.88</v>
      </c>
    </row>
    <row r="230" spans="10:12" x14ac:dyDescent="0.2">
      <c r="J230" s="568">
        <v>44050</v>
      </c>
      <c r="K230" s="96">
        <f t="shared" si="7"/>
        <v>1757</v>
      </c>
      <c r="L230" s="96">
        <f t="shared" si="6"/>
        <v>2417.88</v>
      </c>
    </row>
    <row r="231" spans="10:12" x14ac:dyDescent="0.2">
      <c r="J231" s="568">
        <v>44051</v>
      </c>
      <c r="K231" s="96">
        <f t="shared" si="7"/>
        <v>1757</v>
      </c>
      <c r="L231" s="96">
        <f t="shared" si="6"/>
        <v>2417.88</v>
      </c>
    </row>
    <row r="232" spans="10:12" x14ac:dyDescent="0.2">
      <c r="J232" s="568">
        <v>44052</v>
      </c>
      <c r="K232" s="96">
        <f t="shared" si="7"/>
        <v>1757</v>
      </c>
      <c r="L232" s="96">
        <f t="shared" si="6"/>
        <v>2417.88</v>
      </c>
    </row>
    <row r="233" spans="10:12" x14ac:dyDescent="0.2">
      <c r="J233" s="568">
        <v>44053</v>
      </c>
      <c r="K233" s="96">
        <f t="shared" si="7"/>
        <v>1757</v>
      </c>
      <c r="L233" s="96">
        <f t="shared" si="6"/>
        <v>2417.88</v>
      </c>
    </row>
    <row r="234" spans="10:12" x14ac:dyDescent="0.2">
      <c r="J234" s="568">
        <v>44054</v>
      </c>
      <c r="K234" s="96">
        <f t="shared" si="7"/>
        <v>1757</v>
      </c>
      <c r="L234" s="96">
        <f t="shared" si="6"/>
        <v>2417.88</v>
      </c>
    </row>
    <row r="235" spans="10:12" x14ac:dyDescent="0.2">
      <c r="J235" s="568">
        <v>44055</v>
      </c>
      <c r="K235" s="96">
        <f t="shared" si="7"/>
        <v>1757</v>
      </c>
      <c r="L235" s="96">
        <f t="shared" si="6"/>
        <v>2417.88</v>
      </c>
    </row>
    <row r="236" spans="10:12" x14ac:dyDescent="0.2">
      <c r="J236" s="568">
        <v>44056</v>
      </c>
      <c r="K236" s="96">
        <f t="shared" si="7"/>
        <v>1757</v>
      </c>
      <c r="L236" s="96">
        <f t="shared" si="6"/>
        <v>2417.88</v>
      </c>
    </row>
    <row r="237" spans="10:12" x14ac:dyDescent="0.2">
      <c r="J237" s="568">
        <v>44057</v>
      </c>
      <c r="K237" s="96">
        <f t="shared" si="7"/>
        <v>1757</v>
      </c>
      <c r="L237" s="96">
        <f t="shared" si="6"/>
        <v>2417.88</v>
      </c>
    </row>
    <row r="238" spans="10:12" x14ac:dyDescent="0.2">
      <c r="J238" s="568">
        <v>44058</v>
      </c>
      <c r="K238" s="96">
        <f t="shared" si="7"/>
        <v>1757</v>
      </c>
      <c r="L238" s="96">
        <f t="shared" si="6"/>
        <v>2417.88</v>
      </c>
    </row>
    <row r="239" spans="10:12" x14ac:dyDescent="0.2">
      <c r="J239" s="568">
        <v>44059</v>
      </c>
      <c r="K239" s="96">
        <f t="shared" si="7"/>
        <v>1757</v>
      </c>
      <c r="L239" s="96">
        <f t="shared" si="6"/>
        <v>2417.88</v>
      </c>
    </row>
    <row r="240" spans="10:12" x14ac:dyDescent="0.2">
      <c r="J240" s="568">
        <v>44060</v>
      </c>
      <c r="K240" s="96">
        <f t="shared" si="7"/>
        <v>1757</v>
      </c>
      <c r="L240" s="96">
        <f t="shared" si="6"/>
        <v>2417.88</v>
      </c>
    </row>
    <row r="241" spans="10:12" x14ac:dyDescent="0.2">
      <c r="J241" s="568">
        <v>44061</v>
      </c>
      <c r="K241" s="96">
        <f t="shared" si="7"/>
        <v>1757</v>
      </c>
      <c r="L241" s="96">
        <f t="shared" si="6"/>
        <v>2417.88</v>
      </c>
    </row>
    <row r="242" spans="10:12" x14ac:dyDescent="0.2">
      <c r="J242" s="568">
        <v>44062</v>
      </c>
      <c r="K242" s="96">
        <f t="shared" si="7"/>
        <v>1757</v>
      </c>
      <c r="L242" s="96">
        <f t="shared" si="6"/>
        <v>2417.88</v>
      </c>
    </row>
    <row r="243" spans="10:12" x14ac:dyDescent="0.2">
      <c r="J243" s="568">
        <v>44063</v>
      </c>
      <c r="K243" s="96">
        <f t="shared" si="7"/>
        <v>1757</v>
      </c>
      <c r="L243" s="96">
        <f t="shared" si="6"/>
        <v>2417.88</v>
      </c>
    </row>
    <row r="244" spans="10:12" x14ac:dyDescent="0.2">
      <c r="J244" s="568">
        <v>44064</v>
      </c>
      <c r="K244" s="96">
        <f t="shared" si="7"/>
        <v>1757</v>
      </c>
      <c r="L244" s="96">
        <f t="shared" si="6"/>
        <v>2417.88</v>
      </c>
    </row>
    <row r="245" spans="10:12" x14ac:dyDescent="0.2">
      <c r="J245" s="568">
        <v>44065</v>
      </c>
      <c r="K245" s="96">
        <f t="shared" si="7"/>
        <v>1757</v>
      </c>
      <c r="L245" s="96">
        <f t="shared" si="6"/>
        <v>2417.88</v>
      </c>
    </row>
    <row r="246" spans="10:12" x14ac:dyDescent="0.2">
      <c r="J246" s="568">
        <v>44066</v>
      </c>
      <c r="K246" s="96">
        <f t="shared" si="7"/>
        <v>1757</v>
      </c>
      <c r="L246" s="96">
        <f t="shared" si="6"/>
        <v>2417.88</v>
      </c>
    </row>
    <row r="247" spans="10:12" x14ac:dyDescent="0.2">
      <c r="J247" s="568">
        <v>44067</v>
      </c>
      <c r="K247" s="96">
        <f t="shared" si="7"/>
        <v>1757</v>
      </c>
      <c r="L247" s="96">
        <f t="shared" si="6"/>
        <v>2417.88</v>
      </c>
    </row>
    <row r="248" spans="10:12" x14ac:dyDescent="0.2">
      <c r="J248" s="568">
        <v>44068</v>
      </c>
      <c r="K248" s="96">
        <f t="shared" si="7"/>
        <v>1757</v>
      </c>
      <c r="L248" s="96">
        <f t="shared" si="6"/>
        <v>2417.88</v>
      </c>
    </row>
    <row r="249" spans="10:12" x14ac:dyDescent="0.2">
      <c r="J249" s="568">
        <v>44069</v>
      </c>
      <c r="K249" s="96">
        <f t="shared" si="7"/>
        <v>1757</v>
      </c>
      <c r="L249" s="96">
        <f t="shared" si="6"/>
        <v>2417.88</v>
      </c>
    </row>
    <row r="250" spans="10:12" x14ac:dyDescent="0.2">
      <c r="J250" s="568">
        <v>44070</v>
      </c>
      <c r="K250" s="96">
        <f t="shared" si="7"/>
        <v>1757</v>
      </c>
      <c r="L250" s="96">
        <f t="shared" si="6"/>
        <v>2417.88</v>
      </c>
    </row>
    <row r="251" spans="10:12" x14ac:dyDescent="0.2">
      <c r="J251" s="568">
        <v>44071</v>
      </c>
      <c r="K251" s="96">
        <f t="shared" si="7"/>
        <v>1757</v>
      </c>
      <c r="L251" s="96">
        <f t="shared" si="6"/>
        <v>2417.88</v>
      </c>
    </row>
    <row r="252" spans="10:12" x14ac:dyDescent="0.2">
      <c r="J252" s="568">
        <v>44072</v>
      </c>
      <c r="K252" s="96">
        <f t="shared" si="7"/>
        <v>1757</v>
      </c>
      <c r="L252" s="96">
        <f t="shared" si="6"/>
        <v>2417.88</v>
      </c>
    </row>
    <row r="253" spans="10:12" x14ac:dyDescent="0.2">
      <c r="J253" s="568">
        <v>44073</v>
      </c>
      <c r="K253" s="96">
        <f t="shared" si="7"/>
        <v>1757</v>
      </c>
      <c r="L253" s="96">
        <f t="shared" si="6"/>
        <v>2417.88</v>
      </c>
    </row>
    <row r="254" spans="10:12" x14ac:dyDescent="0.2">
      <c r="J254" s="568">
        <v>44074</v>
      </c>
      <c r="K254" s="96">
        <f t="shared" si="7"/>
        <v>1757</v>
      </c>
      <c r="L254" s="96">
        <f t="shared" si="6"/>
        <v>2417.88</v>
      </c>
    </row>
    <row r="255" spans="10:12" x14ac:dyDescent="0.2">
      <c r="J255" s="568">
        <v>44075</v>
      </c>
      <c r="K255" s="96">
        <f t="shared" si="7"/>
        <v>1757</v>
      </c>
      <c r="L255" s="96">
        <f t="shared" si="6"/>
        <v>2417.88</v>
      </c>
    </row>
    <row r="256" spans="10:12" x14ac:dyDescent="0.2">
      <c r="J256" s="568">
        <v>44076</v>
      </c>
      <c r="K256" s="96">
        <f t="shared" si="7"/>
        <v>1757</v>
      </c>
      <c r="L256" s="96">
        <f t="shared" si="6"/>
        <v>2417.88</v>
      </c>
    </row>
    <row r="257" spans="10:12" x14ac:dyDescent="0.2">
      <c r="J257" s="568">
        <v>44077</v>
      </c>
      <c r="K257" s="96">
        <f t="shared" si="7"/>
        <v>1757</v>
      </c>
      <c r="L257" s="96">
        <f t="shared" si="6"/>
        <v>2417.88</v>
      </c>
    </row>
    <row r="258" spans="10:12" x14ac:dyDescent="0.2">
      <c r="J258" s="568">
        <v>44078</v>
      </c>
      <c r="K258" s="96">
        <f t="shared" si="7"/>
        <v>1757</v>
      </c>
      <c r="L258" s="96">
        <f t="shared" si="6"/>
        <v>2417.88</v>
      </c>
    </row>
    <row r="259" spans="10:12" x14ac:dyDescent="0.2">
      <c r="J259" s="568">
        <v>44079</v>
      </c>
      <c r="K259" s="96">
        <f t="shared" si="7"/>
        <v>1757</v>
      </c>
      <c r="L259" s="96">
        <f t="shared" si="6"/>
        <v>2417.88</v>
      </c>
    </row>
    <row r="260" spans="10:12" x14ac:dyDescent="0.2">
      <c r="J260" s="568">
        <v>44080</v>
      </c>
      <c r="K260" s="96">
        <f t="shared" si="7"/>
        <v>1757</v>
      </c>
      <c r="L260" s="96">
        <f t="shared" si="6"/>
        <v>2417.88</v>
      </c>
    </row>
    <row r="261" spans="10:12" x14ac:dyDescent="0.2">
      <c r="J261" s="568">
        <v>44081</v>
      </c>
      <c r="K261" s="96">
        <f t="shared" si="7"/>
        <v>1757</v>
      </c>
      <c r="L261" s="96">
        <f t="shared" si="6"/>
        <v>2417.88</v>
      </c>
    </row>
    <row r="262" spans="10:12" x14ac:dyDescent="0.2">
      <c r="J262" s="568">
        <v>44082</v>
      </c>
      <c r="K262" s="96">
        <f t="shared" si="7"/>
        <v>1757</v>
      </c>
      <c r="L262" s="96">
        <f t="shared" si="6"/>
        <v>2417.88</v>
      </c>
    </row>
    <row r="263" spans="10:12" x14ac:dyDescent="0.2">
      <c r="J263" s="568">
        <v>44083</v>
      </c>
      <c r="K263" s="96">
        <f t="shared" si="7"/>
        <v>1757</v>
      </c>
      <c r="L263" s="96">
        <f t="shared" si="6"/>
        <v>2417.88</v>
      </c>
    </row>
    <row r="264" spans="10:12" x14ac:dyDescent="0.2">
      <c r="J264" s="568">
        <v>44084</v>
      </c>
      <c r="K264" s="96">
        <f t="shared" si="7"/>
        <v>1757</v>
      </c>
      <c r="L264" s="96">
        <f t="shared" si="6"/>
        <v>2417.88</v>
      </c>
    </row>
    <row r="265" spans="10:12" x14ac:dyDescent="0.2">
      <c r="J265" s="568">
        <v>44085</v>
      </c>
      <c r="K265" s="96">
        <f t="shared" si="7"/>
        <v>1757</v>
      </c>
      <c r="L265" s="96">
        <f t="shared" si="6"/>
        <v>2417.88</v>
      </c>
    </row>
    <row r="266" spans="10:12" x14ac:dyDescent="0.2">
      <c r="J266" s="568">
        <v>44086</v>
      </c>
      <c r="K266" s="96">
        <f t="shared" si="7"/>
        <v>1757</v>
      </c>
      <c r="L266" s="96">
        <f t="shared" si="6"/>
        <v>2417.88</v>
      </c>
    </row>
    <row r="267" spans="10:12" x14ac:dyDescent="0.2">
      <c r="J267" s="568">
        <v>44087</v>
      </c>
      <c r="K267" s="96">
        <f t="shared" si="7"/>
        <v>1757</v>
      </c>
      <c r="L267" s="96">
        <f t="shared" si="6"/>
        <v>2417.88</v>
      </c>
    </row>
    <row r="268" spans="10:12" x14ac:dyDescent="0.2">
      <c r="J268" s="568">
        <v>44088</v>
      </c>
      <c r="K268" s="96">
        <f t="shared" si="7"/>
        <v>1757</v>
      </c>
      <c r="L268" s="96">
        <f t="shared" ref="L268:L331" si="8">$G$3</f>
        <v>2417.88</v>
      </c>
    </row>
    <row r="269" spans="10:12" x14ac:dyDescent="0.2">
      <c r="J269" s="568">
        <v>44089</v>
      </c>
      <c r="K269" s="96">
        <f t="shared" ref="K269:K332" si="9">K268</f>
        <v>1757</v>
      </c>
      <c r="L269" s="96">
        <f t="shared" si="8"/>
        <v>2417.88</v>
      </c>
    </row>
    <row r="270" spans="10:12" x14ac:dyDescent="0.2">
      <c r="J270" s="568">
        <v>44090</v>
      </c>
      <c r="K270" s="96">
        <f t="shared" si="9"/>
        <v>1757</v>
      </c>
      <c r="L270" s="96">
        <f t="shared" si="8"/>
        <v>2417.88</v>
      </c>
    </row>
    <row r="271" spans="10:12" x14ac:dyDescent="0.2">
      <c r="J271" s="568">
        <v>44091</v>
      </c>
      <c r="K271" s="96">
        <f t="shared" si="9"/>
        <v>1757</v>
      </c>
      <c r="L271" s="96">
        <f t="shared" si="8"/>
        <v>2417.88</v>
      </c>
    </row>
    <row r="272" spans="10:12" x14ac:dyDescent="0.2">
      <c r="J272" s="568">
        <v>44092</v>
      </c>
      <c r="K272" s="96">
        <f t="shared" si="9"/>
        <v>1757</v>
      </c>
      <c r="L272" s="96">
        <f t="shared" si="8"/>
        <v>2417.88</v>
      </c>
    </row>
    <row r="273" spans="10:12" x14ac:dyDescent="0.2">
      <c r="J273" s="568">
        <v>44093</v>
      </c>
      <c r="K273" s="96">
        <f t="shared" si="9"/>
        <v>1757</v>
      </c>
      <c r="L273" s="96">
        <f t="shared" si="8"/>
        <v>2417.88</v>
      </c>
    </row>
    <row r="274" spans="10:12" x14ac:dyDescent="0.2">
      <c r="J274" s="568">
        <v>44094</v>
      </c>
      <c r="K274" s="96">
        <f t="shared" si="9"/>
        <v>1757</v>
      </c>
      <c r="L274" s="96">
        <f t="shared" si="8"/>
        <v>2417.88</v>
      </c>
    </row>
    <row r="275" spans="10:12" x14ac:dyDescent="0.2">
      <c r="J275" s="568">
        <v>44095</v>
      </c>
      <c r="K275" s="96">
        <f t="shared" si="9"/>
        <v>1757</v>
      </c>
      <c r="L275" s="96">
        <f t="shared" si="8"/>
        <v>2417.88</v>
      </c>
    </row>
    <row r="276" spans="10:12" x14ac:dyDescent="0.2">
      <c r="J276" s="568">
        <v>44096</v>
      </c>
      <c r="K276" s="96">
        <f t="shared" si="9"/>
        <v>1757</v>
      </c>
      <c r="L276" s="96">
        <f t="shared" si="8"/>
        <v>2417.88</v>
      </c>
    </row>
    <row r="277" spans="10:12" x14ac:dyDescent="0.2">
      <c r="J277" s="568">
        <v>44097</v>
      </c>
      <c r="K277" s="96">
        <f t="shared" si="9"/>
        <v>1757</v>
      </c>
      <c r="L277" s="96">
        <f t="shared" si="8"/>
        <v>2417.88</v>
      </c>
    </row>
    <row r="278" spans="10:12" x14ac:dyDescent="0.2">
      <c r="J278" s="568">
        <v>44098</v>
      </c>
      <c r="K278" s="96">
        <f t="shared" si="9"/>
        <v>1757</v>
      </c>
      <c r="L278" s="96">
        <f t="shared" si="8"/>
        <v>2417.88</v>
      </c>
    </row>
    <row r="279" spans="10:12" x14ac:dyDescent="0.2">
      <c r="J279" s="568">
        <v>44099</v>
      </c>
      <c r="K279" s="96">
        <f t="shared" si="9"/>
        <v>1757</v>
      </c>
      <c r="L279" s="96">
        <f t="shared" si="8"/>
        <v>2417.88</v>
      </c>
    </row>
    <row r="280" spans="10:12" x14ac:dyDescent="0.2">
      <c r="J280" s="568">
        <v>44100</v>
      </c>
      <c r="K280" s="96">
        <f t="shared" si="9"/>
        <v>1757</v>
      </c>
      <c r="L280" s="96">
        <f t="shared" si="8"/>
        <v>2417.88</v>
      </c>
    </row>
    <row r="281" spans="10:12" x14ac:dyDescent="0.2">
      <c r="J281" s="568">
        <v>44101</v>
      </c>
      <c r="K281" s="96">
        <f t="shared" si="9"/>
        <v>1757</v>
      </c>
      <c r="L281" s="96">
        <f t="shared" si="8"/>
        <v>2417.88</v>
      </c>
    </row>
    <row r="282" spans="10:12" x14ac:dyDescent="0.2">
      <c r="J282" s="568">
        <v>44102</v>
      </c>
      <c r="K282" s="96">
        <f t="shared" si="9"/>
        <v>1757</v>
      </c>
      <c r="L282" s="96">
        <f t="shared" si="8"/>
        <v>2417.88</v>
      </c>
    </row>
    <row r="283" spans="10:12" x14ac:dyDescent="0.2">
      <c r="J283" s="568">
        <v>44103</v>
      </c>
      <c r="K283" s="96">
        <f t="shared" si="9"/>
        <v>1757</v>
      </c>
      <c r="L283" s="96">
        <f t="shared" si="8"/>
        <v>2417.88</v>
      </c>
    </row>
    <row r="284" spans="10:12" x14ac:dyDescent="0.2">
      <c r="J284" s="568">
        <v>44104</v>
      </c>
      <c r="K284" s="96">
        <f t="shared" si="9"/>
        <v>1757</v>
      </c>
      <c r="L284" s="96">
        <f t="shared" si="8"/>
        <v>2417.88</v>
      </c>
    </row>
    <row r="285" spans="10:12" x14ac:dyDescent="0.2">
      <c r="J285" s="568">
        <v>44105</v>
      </c>
      <c r="K285" s="96">
        <f t="shared" si="9"/>
        <v>1757</v>
      </c>
      <c r="L285" s="96">
        <f t="shared" si="8"/>
        <v>2417.88</v>
      </c>
    </row>
    <row r="286" spans="10:12" x14ac:dyDescent="0.2">
      <c r="J286" s="568">
        <v>44106</v>
      </c>
      <c r="K286" s="96">
        <f t="shared" si="9"/>
        <v>1757</v>
      </c>
      <c r="L286" s="96">
        <f t="shared" si="8"/>
        <v>2417.88</v>
      </c>
    </row>
    <row r="287" spans="10:12" x14ac:dyDescent="0.2">
      <c r="J287" s="568">
        <v>44107</v>
      </c>
      <c r="K287" s="96">
        <f t="shared" si="9"/>
        <v>1757</v>
      </c>
      <c r="L287" s="96">
        <f t="shared" si="8"/>
        <v>2417.88</v>
      </c>
    </row>
    <row r="288" spans="10:12" x14ac:dyDescent="0.2">
      <c r="J288" s="568">
        <v>44108</v>
      </c>
      <c r="K288" s="96">
        <f t="shared" si="9"/>
        <v>1757</v>
      </c>
      <c r="L288" s="96">
        <f t="shared" si="8"/>
        <v>2417.88</v>
      </c>
    </row>
    <row r="289" spans="10:12" x14ac:dyDescent="0.2">
      <c r="J289" s="568">
        <v>44109</v>
      </c>
      <c r="K289" s="96">
        <f t="shared" si="9"/>
        <v>1757</v>
      </c>
      <c r="L289" s="96">
        <f t="shared" si="8"/>
        <v>2417.88</v>
      </c>
    </row>
    <row r="290" spans="10:12" x14ac:dyDescent="0.2">
      <c r="J290" s="568">
        <v>44110</v>
      </c>
      <c r="K290" s="96">
        <f t="shared" si="9"/>
        <v>1757</v>
      </c>
      <c r="L290" s="96">
        <f t="shared" si="8"/>
        <v>2417.88</v>
      </c>
    </row>
    <row r="291" spans="10:12" x14ac:dyDescent="0.2">
      <c r="J291" s="568">
        <v>44111</v>
      </c>
      <c r="K291" s="96">
        <f t="shared" si="9"/>
        <v>1757</v>
      </c>
      <c r="L291" s="96">
        <f t="shared" si="8"/>
        <v>2417.88</v>
      </c>
    </row>
    <row r="292" spans="10:12" x14ac:dyDescent="0.2">
      <c r="J292" s="568">
        <v>44112</v>
      </c>
      <c r="K292" s="96">
        <f t="shared" si="9"/>
        <v>1757</v>
      </c>
      <c r="L292" s="96">
        <f t="shared" si="8"/>
        <v>2417.88</v>
      </c>
    </row>
    <row r="293" spans="10:12" x14ac:dyDescent="0.2">
      <c r="J293" s="568">
        <v>44113</v>
      </c>
      <c r="K293" s="96">
        <f t="shared" si="9"/>
        <v>1757</v>
      </c>
      <c r="L293" s="96">
        <f t="shared" si="8"/>
        <v>2417.88</v>
      </c>
    </row>
    <row r="294" spans="10:12" x14ac:dyDescent="0.2">
      <c r="J294" s="568">
        <v>44114</v>
      </c>
      <c r="K294" s="96">
        <f t="shared" si="9"/>
        <v>1757</v>
      </c>
      <c r="L294" s="96">
        <f t="shared" si="8"/>
        <v>2417.88</v>
      </c>
    </row>
    <row r="295" spans="10:12" x14ac:dyDescent="0.2">
      <c r="J295" s="568">
        <v>44115</v>
      </c>
      <c r="K295" s="96">
        <f t="shared" si="9"/>
        <v>1757</v>
      </c>
      <c r="L295" s="96">
        <f t="shared" si="8"/>
        <v>2417.88</v>
      </c>
    </row>
    <row r="296" spans="10:12" x14ac:dyDescent="0.2">
      <c r="J296" s="568">
        <v>44116</v>
      </c>
      <c r="K296" s="96">
        <f t="shared" si="9"/>
        <v>1757</v>
      </c>
      <c r="L296" s="96">
        <f t="shared" si="8"/>
        <v>2417.88</v>
      </c>
    </row>
    <row r="297" spans="10:12" x14ac:dyDescent="0.2">
      <c r="J297" s="568">
        <v>44117</v>
      </c>
      <c r="K297" s="96">
        <f t="shared" si="9"/>
        <v>1757</v>
      </c>
      <c r="L297" s="96">
        <f t="shared" si="8"/>
        <v>2417.88</v>
      </c>
    </row>
    <row r="298" spans="10:12" x14ac:dyDescent="0.2">
      <c r="J298" s="568">
        <v>44118</v>
      </c>
      <c r="K298" s="96">
        <f t="shared" si="9"/>
        <v>1757</v>
      </c>
      <c r="L298" s="96">
        <f t="shared" si="8"/>
        <v>2417.88</v>
      </c>
    </row>
    <row r="299" spans="10:12" x14ac:dyDescent="0.2">
      <c r="J299" s="568">
        <v>44119</v>
      </c>
      <c r="K299" s="96">
        <f t="shared" si="9"/>
        <v>1757</v>
      </c>
      <c r="L299" s="96">
        <f t="shared" si="8"/>
        <v>2417.88</v>
      </c>
    </row>
    <row r="300" spans="10:12" x14ac:dyDescent="0.2">
      <c r="J300" s="568">
        <v>44120</v>
      </c>
      <c r="K300" s="96">
        <f t="shared" si="9"/>
        <v>1757</v>
      </c>
      <c r="L300" s="96">
        <f t="shared" si="8"/>
        <v>2417.88</v>
      </c>
    </row>
    <row r="301" spans="10:12" x14ac:dyDescent="0.2">
      <c r="J301" s="568">
        <v>44121</v>
      </c>
      <c r="K301" s="96">
        <f t="shared" si="9"/>
        <v>1757</v>
      </c>
      <c r="L301" s="96">
        <f t="shared" si="8"/>
        <v>2417.88</v>
      </c>
    </row>
    <row r="302" spans="10:12" x14ac:dyDescent="0.2">
      <c r="J302" s="568">
        <v>44122</v>
      </c>
      <c r="K302" s="96">
        <f t="shared" si="9"/>
        <v>1757</v>
      </c>
      <c r="L302" s="96">
        <f t="shared" si="8"/>
        <v>2417.88</v>
      </c>
    </row>
    <row r="303" spans="10:12" x14ac:dyDescent="0.2">
      <c r="J303" s="568">
        <v>44123</v>
      </c>
      <c r="K303" s="96">
        <f t="shared" si="9"/>
        <v>1757</v>
      </c>
      <c r="L303" s="96">
        <f t="shared" si="8"/>
        <v>2417.88</v>
      </c>
    </row>
    <row r="304" spans="10:12" x14ac:dyDescent="0.2">
      <c r="J304" s="568">
        <v>44124</v>
      </c>
      <c r="K304" s="96">
        <f t="shared" si="9"/>
        <v>1757</v>
      </c>
      <c r="L304" s="96">
        <f t="shared" si="8"/>
        <v>2417.88</v>
      </c>
    </row>
    <row r="305" spans="10:12" x14ac:dyDescent="0.2">
      <c r="J305" s="568">
        <v>44125</v>
      </c>
      <c r="K305" s="96">
        <f t="shared" si="9"/>
        <v>1757</v>
      </c>
      <c r="L305" s="96">
        <f t="shared" si="8"/>
        <v>2417.88</v>
      </c>
    </row>
    <row r="306" spans="10:12" x14ac:dyDescent="0.2">
      <c r="J306" s="568">
        <v>44126</v>
      </c>
      <c r="K306" s="96">
        <f t="shared" si="9"/>
        <v>1757</v>
      </c>
      <c r="L306" s="96">
        <f t="shared" si="8"/>
        <v>2417.88</v>
      </c>
    </row>
    <row r="307" spans="10:12" x14ac:dyDescent="0.2">
      <c r="J307" s="568">
        <v>44127</v>
      </c>
      <c r="K307" s="96">
        <f t="shared" si="9"/>
        <v>1757</v>
      </c>
      <c r="L307" s="96">
        <f t="shared" si="8"/>
        <v>2417.88</v>
      </c>
    </row>
    <row r="308" spans="10:12" x14ac:dyDescent="0.2">
      <c r="J308" s="568">
        <v>44128</v>
      </c>
      <c r="K308" s="96">
        <f t="shared" si="9"/>
        <v>1757</v>
      </c>
      <c r="L308" s="96">
        <f t="shared" si="8"/>
        <v>2417.88</v>
      </c>
    </row>
    <row r="309" spans="10:12" x14ac:dyDescent="0.2">
      <c r="J309" s="568">
        <v>44129</v>
      </c>
      <c r="K309" s="96">
        <f t="shared" si="9"/>
        <v>1757</v>
      </c>
      <c r="L309" s="96">
        <f t="shared" si="8"/>
        <v>2417.88</v>
      </c>
    </row>
    <row r="310" spans="10:12" x14ac:dyDescent="0.2">
      <c r="J310" s="568">
        <v>44130</v>
      </c>
      <c r="K310" s="96">
        <f t="shared" si="9"/>
        <v>1757</v>
      </c>
      <c r="L310" s="96">
        <f t="shared" si="8"/>
        <v>2417.88</v>
      </c>
    </row>
    <row r="311" spans="10:12" x14ac:dyDescent="0.2">
      <c r="J311" s="568">
        <v>44131</v>
      </c>
      <c r="K311" s="96">
        <f t="shared" si="9"/>
        <v>1757</v>
      </c>
      <c r="L311" s="96">
        <f t="shared" si="8"/>
        <v>2417.88</v>
      </c>
    </row>
    <row r="312" spans="10:12" x14ac:dyDescent="0.2">
      <c r="J312" s="568">
        <v>44132</v>
      </c>
      <c r="K312" s="96">
        <f t="shared" si="9"/>
        <v>1757</v>
      </c>
      <c r="L312" s="96">
        <f t="shared" si="8"/>
        <v>2417.88</v>
      </c>
    </row>
    <row r="313" spans="10:12" x14ac:dyDescent="0.2">
      <c r="J313" s="568">
        <v>44133</v>
      </c>
      <c r="K313" s="96">
        <f t="shared" si="9"/>
        <v>1757</v>
      </c>
      <c r="L313" s="96">
        <f t="shared" si="8"/>
        <v>2417.88</v>
      </c>
    </row>
    <row r="314" spans="10:12" x14ac:dyDescent="0.2">
      <c r="J314" s="568">
        <v>44134</v>
      </c>
      <c r="K314" s="96">
        <f t="shared" si="9"/>
        <v>1757</v>
      </c>
      <c r="L314" s="96">
        <f t="shared" si="8"/>
        <v>2417.88</v>
      </c>
    </row>
    <row r="315" spans="10:12" x14ac:dyDescent="0.2">
      <c r="J315" s="568">
        <v>44135</v>
      </c>
      <c r="K315" s="96">
        <f t="shared" si="9"/>
        <v>1757</v>
      </c>
      <c r="L315" s="96">
        <f t="shared" si="8"/>
        <v>2417.88</v>
      </c>
    </row>
    <row r="316" spans="10:12" x14ac:dyDescent="0.2">
      <c r="J316" s="568">
        <v>44136</v>
      </c>
      <c r="K316" s="96">
        <f t="shared" si="9"/>
        <v>1757</v>
      </c>
      <c r="L316" s="96">
        <f t="shared" si="8"/>
        <v>2417.88</v>
      </c>
    </row>
    <row r="317" spans="10:12" x14ac:dyDescent="0.2">
      <c r="J317" s="568">
        <v>44137</v>
      </c>
      <c r="K317" s="96">
        <f t="shared" si="9"/>
        <v>1757</v>
      </c>
      <c r="L317" s="96">
        <f t="shared" si="8"/>
        <v>2417.88</v>
      </c>
    </row>
    <row r="318" spans="10:12" x14ac:dyDescent="0.2">
      <c r="J318" s="568">
        <v>44138</v>
      </c>
      <c r="K318" s="96">
        <f t="shared" si="9"/>
        <v>1757</v>
      </c>
      <c r="L318" s="96">
        <f t="shared" si="8"/>
        <v>2417.88</v>
      </c>
    </row>
    <row r="319" spans="10:12" x14ac:dyDescent="0.2">
      <c r="J319" s="568">
        <v>44139</v>
      </c>
      <c r="K319" s="96">
        <f t="shared" si="9"/>
        <v>1757</v>
      </c>
      <c r="L319" s="96">
        <f t="shared" si="8"/>
        <v>2417.88</v>
      </c>
    </row>
    <row r="320" spans="10:12" x14ac:dyDescent="0.2">
      <c r="J320" s="568">
        <v>44140</v>
      </c>
      <c r="K320" s="96">
        <f t="shared" si="9"/>
        <v>1757</v>
      </c>
      <c r="L320" s="96">
        <f t="shared" si="8"/>
        <v>2417.88</v>
      </c>
    </row>
    <row r="321" spans="10:12" x14ac:dyDescent="0.2">
      <c r="J321" s="568">
        <v>44141</v>
      </c>
      <c r="K321" s="96">
        <f t="shared" si="9"/>
        <v>1757</v>
      </c>
      <c r="L321" s="96">
        <f t="shared" si="8"/>
        <v>2417.88</v>
      </c>
    </row>
    <row r="322" spans="10:12" x14ac:dyDescent="0.2">
      <c r="J322" s="568">
        <v>44142</v>
      </c>
      <c r="K322" s="96">
        <f t="shared" si="9"/>
        <v>1757</v>
      </c>
      <c r="L322" s="96">
        <f t="shared" si="8"/>
        <v>2417.88</v>
      </c>
    </row>
    <row r="323" spans="10:12" x14ac:dyDescent="0.2">
      <c r="J323" s="568">
        <v>44143</v>
      </c>
      <c r="K323" s="96">
        <f t="shared" si="9"/>
        <v>1757</v>
      </c>
      <c r="L323" s="96">
        <f t="shared" si="8"/>
        <v>2417.88</v>
      </c>
    </row>
    <row r="324" spans="10:12" x14ac:dyDescent="0.2">
      <c r="J324" s="568">
        <v>44144</v>
      </c>
      <c r="K324" s="96">
        <f t="shared" si="9"/>
        <v>1757</v>
      </c>
      <c r="L324" s="96">
        <f t="shared" si="8"/>
        <v>2417.88</v>
      </c>
    </row>
    <row r="325" spans="10:12" x14ac:dyDescent="0.2">
      <c r="J325" s="568">
        <v>44145</v>
      </c>
      <c r="K325" s="96">
        <f t="shared" si="9"/>
        <v>1757</v>
      </c>
      <c r="L325" s="96">
        <f t="shared" si="8"/>
        <v>2417.88</v>
      </c>
    </row>
    <row r="326" spans="10:12" x14ac:dyDescent="0.2">
      <c r="J326" s="568">
        <v>44146</v>
      </c>
      <c r="K326" s="96">
        <f t="shared" si="9"/>
        <v>1757</v>
      </c>
      <c r="L326" s="96">
        <f t="shared" si="8"/>
        <v>2417.88</v>
      </c>
    </row>
    <row r="327" spans="10:12" x14ac:dyDescent="0.2">
      <c r="J327" s="568">
        <v>44147</v>
      </c>
      <c r="K327" s="96">
        <f t="shared" si="9"/>
        <v>1757</v>
      </c>
      <c r="L327" s="96">
        <f t="shared" si="8"/>
        <v>2417.88</v>
      </c>
    </row>
    <row r="328" spans="10:12" x14ac:dyDescent="0.2">
      <c r="J328" s="568">
        <v>44148</v>
      </c>
      <c r="K328" s="96">
        <f t="shared" si="9"/>
        <v>1757</v>
      </c>
      <c r="L328" s="96">
        <f t="shared" si="8"/>
        <v>2417.88</v>
      </c>
    </row>
    <row r="329" spans="10:12" x14ac:dyDescent="0.2">
      <c r="J329" s="568">
        <v>44149</v>
      </c>
      <c r="K329" s="96">
        <f t="shared" si="9"/>
        <v>1757</v>
      </c>
      <c r="L329" s="96">
        <f t="shared" si="8"/>
        <v>2417.88</v>
      </c>
    </row>
    <row r="330" spans="10:12" x14ac:dyDescent="0.2">
      <c r="J330" s="568">
        <v>44150</v>
      </c>
      <c r="K330" s="96">
        <f t="shared" si="9"/>
        <v>1757</v>
      </c>
      <c r="L330" s="96">
        <f t="shared" si="8"/>
        <v>2417.88</v>
      </c>
    </row>
    <row r="331" spans="10:12" x14ac:dyDescent="0.2">
      <c r="J331" s="568">
        <v>44151</v>
      </c>
      <c r="K331" s="96">
        <f t="shared" si="9"/>
        <v>1757</v>
      </c>
      <c r="L331" s="96">
        <f t="shared" si="8"/>
        <v>2417.88</v>
      </c>
    </row>
    <row r="332" spans="10:12" x14ac:dyDescent="0.2">
      <c r="J332" s="568">
        <v>44152</v>
      </c>
      <c r="K332" s="96">
        <f t="shared" si="9"/>
        <v>1757</v>
      </c>
      <c r="L332" s="96">
        <f t="shared" ref="L332:L376" si="10">$G$3</f>
        <v>2417.88</v>
      </c>
    </row>
    <row r="333" spans="10:12" x14ac:dyDescent="0.2">
      <c r="J333" s="568">
        <v>44153</v>
      </c>
      <c r="K333" s="96">
        <f t="shared" ref="K333:K376" si="11">K332</f>
        <v>1757</v>
      </c>
      <c r="L333" s="96">
        <f t="shared" si="10"/>
        <v>2417.88</v>
      </c>
    </row>
    <row r="334" spans="10:12" x14ac:dyDescent="0.2">
      <c r="J334" s="568">
        <v>44154</v>
      </c>
      <c r="K334" s="96">
        <f t="shared" si="11"/>
        <v>1757</v>
      </c>
      <c r="L334" s="96">
        <f t="shared" si="10"/>
        <v>2417.88</v>
      </c>
    </row>
    <row r="335" spans="10:12" x14ac:dyDescent="0.2">
      <c r="J335" s="568">
        <v>44155</v>
      </c>
      <c r="K335" s="96">
        <f t="shared" si="11"/>
        <v>1757</v>
      </c>
      <c r="L335" s="96">
        <f t="shared" si="10"/>
        <v>2417.88</v>
      </c>
    </row>
    <row r="336" spans="10:12" x14ac:dyDescent="0.2">
      <c r="J336" s="568">
        <v>44156</v>
      </c>
      <c r="K336" s="96">
        <f t="shared" si="11"/>
        <v>1757</v>
      </c>
      <c r="L336" s="96">
        <f t="shared" si="10"/>
        <v>2417.88</v>
      </c>
    </row>
    <row r="337" spans="10:12" x14ac:dyDescent="0.2">
      <c r="J337" s="568">
        <v>44157</v>
      </c>
      <c r="K337" s="96">
        <f t="shared" si="11"/>
        <v>1757</v>
      </c>
      <c r="L337" s="96">
        <f t="shared" si="10"/>
        <v>2417.88</v>
      </c>
    </row>
    <row r="338" spans="10:12" x14ac:dyDescent="0.2">
      <c r="J338" s="568">
        <v>44158</v>
      </c>
      <c r="K338" s="96">
        <f t="shared" si="11"/>
        <v>1757</v>
      </c>
      <c r="L338" s="96">
        <f t="shared" si="10"/>
        <v>2417.88</v>
      </c>
    </row>
    <row r="339" spans="10:12" x14ac:dyDescent="0.2">
      <c r="J339" s="568">
        <v>44159</v>
      </c>
      <c r="K339" s="96">
        <f t="shared" si="11"/>
        <v>1757</v>
      </c>
      <c r="L339" s="96">
        <f t="shared" si="10"/>
        <v>2417.88</v>
      </c>
    </row>
    <row r="340" spans="10:12" x14ac:dyDescent="0.2">
      <c r="J340" s="568">
        <v>44160</v>
      </c>
      <c r="K340" s="96">
        <f t="shared" si="11"/>
        <v>1757</v>
      </c>
      <c r="L340" s="96">
        <f t="shared" si="10"/>
        <v>2417.88</v>
      </c>
    </row>
    <row r="341" spans="10:12" x14ac:dyDescent="0.2">
      <c r="J341" s="568">
        <v>44161</v>
      </c>
      <c r="K341" s="96">
        <f t="shared" si="11"/>
        <v>1757</v>
      </c>
      <c r="L341" s="96">
        <f t="shared" si="10"/>
        <v>2417.88</v>
      </c>
    </row>
    <row r="342" spans="10:12" x14ac:dyDescent="0.2">
      <c r="J342" s="568">
        <v>44162</v>
      </c>
      <c r="K342" s="96">
        <f t="shared" si="11"/>
        <v>1757</v>
      </c>
      <c r="L342" s="96">
        <f t="shared" si="10"/>
        <v>2417.88</v>
      </c>
    </row>
    <row r="343" spans="10:12" x14ac:dyDescent="0.2">
      <c r="J343" s="568">
        <v>44163</v>
      </c>
      <c r="K343" s="96">
        <f t="shared" si="11"/>
        <v>1757</v>
      </c>
      <c r="L343" s="96">
        <f t="shared" si="10"/>
        <v>2417.88</v>
      </c>
    </row>
    <row r="344" spans="10:12" x14ac:dyDescent="0.2">
      <c r="J344" s="568">
        <v>44164</v>
      </c>
      <c r="K344" s="96">
        <f t="shared" si="11"/>
        <v>1757</v>
      </c>
      <c r="L344" s="96">
        <f t="shared" si="10"/>
        <v>2417.88</v>
      </c>
    </row>
    <row r="345" spans="10:12" x14ac:dyDescent="0.2">
      <c r="J345" s="568">
        <v>44165</v>
      </c>
      <c r="K345" s="96">
        <f t="shared" si="11"/>
        <v>1757</v>
      </c>
      <c r="L345" s="96">
        <f t="shared" si="10"/>
        <v>2417.88</v>
      </c>
    </row>
    <row r="346" spans="10:12" x14ac:dyDescent="0.2">
      <c r="J346" s="568">
        <v>44166</v>
      </c>
      <c r="K346" s="96">
        <f t="shared" si="11"/>
        <v>1757</v>
      </c>
      <c r="L346" s="96">
        <f t="shared" si="10"/>
        <v>2417.88</v>
      </c>
    </row>
    <row r="347" spans="10:12" x14ac:dyDescent="0.2">
      <c r="J347" s="568">
        <v>44167</v>
      </c>
      <c r="K347" s="96">
        <f t="shared" si="11"/>
        <v>1757</v>
      </c>
      <c r="L347" s="96">
        <f t="shared" si="10"/>
        <v>2417.88</v>
      </c>
    </row>
    <row r="348" spans="10:12" x14ac:dyDescent="0.2">
      <c r="J348" s="568">
        <v>44168</v>
      </c>
      <c r="K348" s="96">
        <f t="shared" si="11"/>
        <v>1757</v>
      </c>
      <c r="L348" s="96">
        <f t="shared" si="10"/>
        <v>2417.88</v>
      </c>
    </row>
    <row r="349" spans="10:12" x14ac:dyDescent="0.2">
      <c r="J349" s="568">
        <v>44169</v>
      </c>
      <c r="K349" s="96">
        <f t="shared" si="11"/>
        <v>1757</v>
      </c>
      <c r="L349" s="96">
        <f t="shared" si="10"/>
        <v>2417.88</v>
      </c>
    </row>
    <row r="350" spans="10:12" x14ac:dyDescent="0.2">
      <c r="J350" s="568">
        <v>44170</v>
      </c>
      <c r="K350" s="96">
        <f t="shared" si="11"/>
        <v>1757</v>
      </c>
      <c r="L350" s="96">
        <f t="shared" si="10"/>
        <v>2417.88</v>
      </c>
    </row>
    <row r="351" spans="10:12" x14ac:dyDescent="0.2">
      <c r="J351" s="568">
        <v>44171</v>
      </c>
      <c r="K351" s="96">
        <f t="shared" si="11"/>
        <v>1757</v>
      </c>
      <c r="L351" s="96">
        <f t="shared" si="10"/>
        <v>2417.88</v>
      </c>
    </row>
    <row r="352" spans="10:12" x14ac:dyDescent="0.2">
      <c r="J352" s="568">
        <v>44172</v>
      </c>
      <c r="K352" s="96">
        <f t="shared" si="11"/>
        <v>1757</v>
      </c>
      <c r="L352" s="96">
        <f t="shared" si="10"/>
        <v>2417.88</v>
      </c>
    </row>
    <row r="353" spans="10:12" x14ac:dyDescent="0.2">
      <c r="J353" s="568">
        <v>44173</v>
      </c>
      <c r="K353" s="96">
        <f t="shared" si="11"/>
        <v>1757</v>
      </c>
      <c r="L353" s="96">
        <f t="shared" si="10"/>
        <v>2417.88</v>
      </c>
    </row>
    <row r="354" spans="10:12" x14ac:dyDescent="0.2">
      <c r="J354" s="568">
        <v>44174</v>
      </c>
      <c r="K354" s="96">
        <f t="shared" si="11"/>
        <v>1757</v>
      </c>
      <c r="L354" s="96">
        <f t="shared" si="10"/>
        <v>2417.88</v>
      </c>
    </row>
    <row r="355" spans="10:12" x14ac:dyDescent="0.2">
      <c r="J355" s="568">
        <v>44175</v>
      </c>
      <c r="K355" s="96">
        <f t="shared" si="11"/>
        <v>1757</v>
      </c>
      <c r="L355" s="96">
        <f t="shared" si="10"/>
        <v>2417.88</v>
      </c>
    </row>
    <row r="356" spans="10:12" x14ac:dyDescent="0.2">
      <c r="J356" s="568">
        <v>44176</v>
      </c>
      <c r="K356" s="96">
        <f t="shared" si="11"/>
        <v>1757</v>
      </c>
      <c r="L356" s="96">
        <f t="shared" si="10"/>
        <v>2417.88</v>
      </c>
    </row>
    <row r="357" spans="10:12" x14ac:dyDescent="0.2">
      <c r="J357" s="568">
        <v>44177</v>
      </c>
      <c r="K357" s="96">
        <f t="shared" si="11"/>
        <v>1757</v>
      </c>
      <c r="L357" s="96">
        <f t="shared" si="10"/>
        <v>2417.88</v>
      </c>
    </row>
    <row r="358" spans="10:12" x14ac:dyDescent="0.2">
      <c r="J358" s="568">
        <v>44178</v>
      </c>
      <c r="K358" s="96">
        <f t="shared" si="11"/>
        <v>1757</v>
      </c>
      <c r="L358" s="96">
        <f t="shared" si="10"/>
        <v>2417.88</v>
      </c>
    </row>
    <row r="359" spans="10:12" x14ac:dyDescent="0.2">
      <c r="J359" s="568">
        <v>44179</v>
      </c>
      <c r="K359" s="96">
        <f t="shared" si="11"/>
        <v>1757</v>
      </c>
      <c r="L359" s="96">
        <f t="shared" si="10"/>
        <v>2417.88</v>
      </c>
    </row>
    <row r="360" spans="10:12" x14ac:dyDescent="0.2">
      <c r="J360" s="568">
        <v>44180</v>
      </c>
      <c r="K360" s="96">
        <f t="shared" si="11"/>
        <v>1757</v>
      </c>
      <c r="L360" s="96">
        <f t="shared" si="10"/>
        <v>2417.88</v>
      </c>
    </row>
    <row r="361" spans="10:12" x14ac:dyDescent="0.2">
      <c r="J361" s="568">
        <v>44181</v>
      </c>
      <c r="K361" s="96">
        <f t="shared" si="11"/>
        <v>1757</v>
      </c>
      <c r="L361" s="96">
        <f t="shared" si="10"/>
        <v>2417.88</v>
      </c>
    </row>
    <row r="362" spans="10:12" x14ac:dyDescent="0.2">
      <c r="J362" s="568">
        <v>44182</v>
      </c>
      <c r="K362" s="96">
        <f t="shared" si="11"/>
        <v>1757</v>
      </c>
      <c r="L362" s="96">
        <f t="shared" si="10"/>
        <v>2417.88</v>
      </c>
    </row>
    <row r="363" spans="10:12" x14ac:dyDescent="0.2">
      <c r="J363" s="568">
        <v>44183</v>
      </c>
      <c r="K363" s="96">
        <f t="shared" si="11"/>
        <v>1757</v>
      </c>
      <c r="L363" s="96">
        <f t="shared" si="10"/>
        <v>2417.88</v>
      </c>
    </row>
    <row r="364" spans="10:12" x14ac:dyDescent="0.2">
      <c r="J364" s="568">
        <v>44184</v>
      </c>
      <c r="K364" s="96">
        <f t="shared" si="11"/>
        <v>1757</v>
      </c>
      <c r="L364" s="96">
        <f t="shared" si="10"/>
        <v>2417.88</v>
      </c>
    </row>
    <row r="365" spans="10:12" x14ac:dyDescent="0.2">
      <c r="J365" s="568">
        <v>44185</v>
      </c>
      <c r="K365" s="96">
        <f t="shared" si="11"/>
        <v>1757</v>
      </c>
      <c r="L365" s="96">
        <f t="shared" si="10"/>
        <v>2417.88</v>
      </c>
    </row>
    <row r="366" spans="10:12" x14ac:dyDescent="0.2">
      <c r="J366" s="568">
        <v>44186</v>
      </c>
      <c r="K366" s="96">
        <f t="shared" si="11"/>
        <v>1757</v>
      </c>
      <c r="L366" s="96">
        <f t="shared" si="10"/>
        <v>2417.88</v>
      </c>
    </row>
    <row r="367" spans="10:12" x14ac:dyDescent="0.2">
      <c r="J367" s="568">
        <v>44187</v>
      </c>
      <c r="K367" s="96">
        <f t="shared" si="11"/>
        <v>1757</v>
      </c>
      <c r="L367" s="96">
        <f t="shared" si="10"/>
        <v>2417.88</v>
      </c>
    </row>
    <row r="368" spans="10:12" x14ac:dyDescent="0.2">
      <c r="J368" s="568">
        <v>44188</v>
      </c>
      <c r="K368" s="96">
        <f t="shared" si="11"/>
        <v>1757</v>
      </c>
      <c r="L368" s="96">
        <f t="shared" si="10"/>
        <v>2417.88</v>
      </c>
    </row>
    <row r="369" spans="10:12" x14ac:dyDescent="0.2">
      <c r="J369" s="568">
        <v>44189</v>
      </c>
      <c r="K369" s="96">
        <f t="shared" si="11"/>
        <v>1757</v>
      </c>
      <c r="L369" s="96">
        <f t="shared" si="10"/>
        <v>2417.88</v>
      </c>
    </row>
    <row r="370" spans="10:12" x14ac:dyDescent="0.2">
      <c r="J370" s="568">
        <v>44190</v>
      </c>
      <c r="K370" s="96">
        <f t="shared" si="11"/>
        <v>1757</v>
      </c>
      <c r="L370" s="96">
        <f t="shared" si="10"/>
        <v>2417.88</v>
      </c>
    </row>
    <row r="371" spans="10:12" x14ac:dyDescent="0.2">
      <c r="J371" s="568">
        <v>44191</v>
      </c>
      <c r="K371" s="96">
        <f t="shared" si="11"/>
        <v>1757</v>
      </c>
      <c r="L371" s="96">
        <f t="shared" si="10"/>
        <v>2417.88</v>
      </c>
    </row>
    <row r="372" spans="10:12" x14ac:dyDescent="0.2">
      <c r="J372" s="568">
        <v>44192</v>
      </c>
      <c r="K372" s="96">
        <f t="shared" si="11"/>
        <v>1757</v>
      </c>
      <c r="L372" s="96">
        <f t="shared" si="10"/>
        <v>2417.88</v>
      </c>
    </row>
    <row r="373" spans="10:12" x14ac:dyDescent="0.2">
      <c r="J373" s="568">
        <v>44193</v>
      </c>
      <c r="K373" s="96">
        <f t="shared" si="11"/>
        <v>1757</v>
      </c>
      <c r="L373" s="96">
        <f t="shared" si="10"/>
        <v>2417.88</v>
      </c>
    </row>
    <row r="374" spans="10:12" x14ac:dyDescent="0.2">
      <c r="J374" s="568">
        <v>44194</v>
      </c>
      <c r="K374" s="96">
        <f t="shared" si="11"/>
        <v>1757</v>
      </c>
      <c r="L374" s="96">
        <f t="shared" si="10"/>
        <v>2417.88</v>
      </c>
    </row>
    <row r="375" spans="10:12" x14ac:dyDescent="0.2">
      <c r="J375" s="568">
        <v>44195</v>
      </c>
      <c r="K375" s="96">
        <f t="shared" si="11"/>
        <v>1757</v>
      </c>
      <c r="L375" s="96">
        <f t="shared" si="10"/>
        <v>2417.88</v>
      </c>
    </row>
    <row r="376" spans="10:12" x14ac:dyDescent="0.2">
      <c r="J376" s="568">
        <v>0</v>
      </c>
      <c r="K376" s="96">
        <f t="shared" si="11"/>
        <v>1757</v>
      </c>
      <c r="L376" s="96">
        <f t="shared" si="10"/>
        <v>2417.88</v>
      </c>
    </row>
    <row r="377" spans="10:12" x14ac:dyDescent="0.2">
      <c r="J377" s="578"/>
      <c r="K377" s="579"/>
    </row>
    <row r="384" spans="10:12" x14ac:dyDescent="0.2">
      <c r="J384" s="580" t="s">
        <v>154</v>
      </c>
      <c r="K384" s="98"/>
    </row>
    <row r="385" spans="10:11" x14ac:dyDescent="0.2">
      <c r="J385" s="581" t="s">
        <v>155</v>
      </c>
      <c r="K385" s="98"/>
    </row>
    <row r="386" spans="10:11" x14ac:dyDescent="0.2">
      <c r="J386" s="582" t="s">
        <v>341</v>
      </c>
      <c r="K386" s="583" t="e">
        <f ca="1">no_err(AverageNonZero(K11:K376))</f>
        <v>#NAME?</v>
      </c>
    </row>
    <row r="387" spans="10:11" x14ac:dyDescent="0.2">
      <c r="J387" s="584" t="s">
        <v>342</v>
      </c>
      <c r="K387" s="584"/>
    </row>
    <row r="388" spans="10:11" x14ac:dyDescent="0.2">
      <c r="J388" s="582" t="s">
        <v>343</v>
      </c>
    </row>
    <row r="389" spans="10:11" x14ac:dyDescent="0.2">
      <c r="J389" s="96" t="s">
        <v>168</v>
      </c>
    </row>
    <row r="390" spans="10:11" x14ac:dyDescent="0.2">
      <c r="J390" s="585" t="s">
        <v>162</v>
      </c>
    </row>
    <row r="391" spans="10:11" x14ac:dyDescent="0.2">
      <c r="J391" s="96" t="s">
        <v>163</v>
      </c>
    </row>
    <row r="392" spans="10:11" x14ac:dyDescent="0.2">
      <c r="J392" s="585" t="s">
        <v>164</v>
      </c>
    </row>
  </sheetData>
  <pageMargins left="0.7" right="0.7" top="0.75" bottom="0.75" header="0.3" footer="0.3"/>
  <pageSetup paperSize="30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S45"/>
  <sheetViews>
    <sheetView zoomScale="115" zoomScaleNormal="115" zoomScaleSheetLayoutView="110" workbookViewId="0">
      <selection activeCell="BE11" sqref="BE11:BE376"/>
    </sheetView>
  </sheetViews>
  <sheetFormatPr baseColWidth="10" defaultRowHeight="12.75" x14ac:dyDescent="0.2"/>
  <cols>
    <col min="1" max="6" width="7.85546875" customWidth="1"/>
    <col min="7" max="7" width="8.7109375" customWidth="1"/>
    <col min="8" max="9" width="7.85546875" customWidth="1"/>
    <col min="10" max="11" width="7.7109375" customWidth="1"/>
    <col min="12" max="12" width="9.140625" customWidth="1"/>
    <col min="13" max="13" width="7.85546875" customWidth="1"/>
  </cols>
  <sheetData>
    <row r="1" spans="1:15" x14ac:dyDescent="0.2">
      <c r="A1" s="1074" t="str">
        <f>basis!A1</f>
        <v>ARA Ausserbinn</v>
      </c>
      <c r="B1" s="1075"/>
      <c r="C1" s="1075"/>
      <c r="D1" s="1075"/>
      <c r="E1" s="1075"/>
      <c r="F1" s="1075"/>
      <c r="G1" s="1075"/>
      <c r="H1" s="1075"/>
      <c r="I1" s="1075"/>
      <c r="J1" s="1075"/>
      <c r="K1" s="1075"/>
      <c r="L1" s="1075"/>
      <c r="M1" s="1076"/>
    </row>
    <row r="2" spans="1:15" x14ac:dyDescent="0.2">
      <c r="A2" s="1082" t="str">
        <f>IF(Langue=1,"Hydraulique &amp; dimensionnement","Hydraulik und Dimensionierung")</f>
        <v>Hydraulik und Dimensionierung</v>
      </c>
      <c r="B2" s="1083"/>
      <c r="C2" s="1083"/>
      <c r="D2" s="1083"/>
      <c r="E2" s="1083"/>
      <c r="F2" s="1083"/>
      <c r="G2" s="1083"/>
      <c r="H2" s="1083"/>
      <c r="I2" s="1083"/>
      <c r="J2" s="1083"/>
      <c r="K2" s="1083"/>
      <c r="L2" s="1083"/>
      <c r="M2" s="1084"/>
    </row>
    <row r="3" spans="1:15" ht="39" customHeight="1" x14ac:dyDescent="0.2">
      <c r="A3" s="1085" t="str">
        <f>IF(Langue=1,"Capacité hydraulique","Hydraulische Kapazität")</f>
        <v>Hydraulische Kapazität</v>
      </c>
      <c r="B3" s="1045"/>
      <c r="C3" s="1045" t="str">
        <f>IF(Langue=1,"Dépassements de la capacité hydraulique","Überschreitungen der hydraulischen Kapazität")</f>
        <v>Überschreitungen der hydraulischen Kapazität</v>
      </c>
      <c r="D3" s="1045"/>
      <c r="E3" s="1044" t="str">
        <f>IF(Langue=1,"Débit arrivant dévié (entrée et sortie primaire)","Bypass Zulauf (Zu und Ablauf Vorklärung)")</f>
        <v>Bypass Zulauf (Zu und Ablauf Vorklärung)</v>
      </c>
      <c r="F3" s="1044"/>
      <c r="G3" s="1044" t="str">
        <f>IF(Langue=1,"Débit spécifique par temps sec","Spezifischer Zulauf bei Trockenwetter")</f>
        <v>Spezifischer Zulauf bei Trockenwetter</v>
      </c>
      <c r="H3" s="1044"/>
      <c r="I3" s="1044"/>
      <c r="J3" s="1045" t="str">
        <f>IF(Langue=1,"Capacité biologique","Biologische Kapazität")</f>
        <v>Biologische Kapazität</v>
      </c>
      <c r="K3" s="1045"/>
      <c r="L3" s="1045" t="str">
        <f>IF(Langue=1,"Utilisation de la capacité biologique à percentile 85%","Auslastung der biologischen Kapazität bei Percentil 85%")</f>
        <v>Auslastung der biologischen Kapazität bei Percentil 85%</v>
      </c>
      <c r="M3" s="1046"/>
      <c r="O3" s="95"/>
    </row>
    <row r="4" spans="1:15" x14ac:dyDescent="0.2">
      <c r="A4" s="1078" t="s">
        <v>152</v>
      </c>
      <c r="B4" s="1079"/>
      <c r="C4" s="1079" t="s">
        <v>3</v>
      </c>
      <c r="D4" s="1079"/>
      <c r="E4" s="1080" t="s">
        <v>3</v>
      </c>
      <c r="F4" s="1080"/>
      <c r="G4" s="818" t="str">
        <f>IF(Langue=1,"l/EH/d","l/EW/d")</f>
        <v>l/EW/d</v>
      </c>
      <c r="H4" s="1080"/>
      <c r="I4" s="1080"/>
      <c r="J4" s="1079" t="str">
        <f>IF(Langue=1,"EH","EW")</f>
        <v>EW</v>
      </c>
      <c r="K4" s="1079"/>
      <c r="L4" s="1079" t="s">
        <v>3</v>
      </c>
      <c r="M4" s="1081"/>
    </row>
    <row r="5" spans="1:15" ht="13.5" thickBot="1" x14ac:dyDescent="0.25">
      <c r="A5" s="1058">
        <f>basis!B18</f>
        <v>17</v>
      </c>
      <c r="B5" s="1059"/>
      <c r="C5" s="1060" t="e">
        <f>1/A5*stats!C15</f>
        <v>#DIV/0!</v>
      </c>
      <c r="D5" s="1060"/>
      <c r="E5" s="1061" t="e">
        <f>stats!E10+stats!E11</f>
        <v>#DIV/0!</v>
      </c>
      <c r="F5" s="1061"/>
      <c r="G5" s="826" t="e">
        <f ca="1">stats!C59</f>
        <v>#NUM!</v>
      </c>
      <c r="H5" s="1062" t="e">
        <f ca="1">IF(G5&lt;=250,bi("Classe 1","Klasse 1"),IF(G5&lt;=450,bi("Classe 2","Klasse 2"),bi("Classe 3","Klasse 3")))</f>
        <v>#NUM!</v>
      </c>
      <c r="I5" s="1062"/>
      <c r="J5" s="1059">
        <f>basis!B16</f>
        <v>100</v>
      </c>
      <c r="K5" s="1059"/>
      <c r="L5" s="1063" t="e">
        <f ca="1">stats!C26</f>
        <v>#NAME?</v>
      </c>
      <c r="M5" s="1064"/>
    </row>
    <row r="6" spans="1:15" s="817" customFormat="1" ht="13.5" thickBot="1" x14ac:dyDescent="0.25">
      <c r="A6" s="693"/>
      <c r="B6" s="693"/>
      <c r="C6" s="701"/>
      <c r="D6" s="701"/>
    </row>
    <row r="7" spans="1:15" s="817" customFormat="1" x14ac:dyDescent="0.2">
      <c r="A7" s="1042" t="str">
        <f>IF('liste-STEP'!F95=1,"Nb. analyses effectuées","Getätigte Analysenanzahl")</f>
        <v>Getätigte Analysenanzahl</v>
      </c>
      <c r="B7" s="1043"/>
      <c r="C7" s="1043"/>
      <c r="D7" s="1043"/>
      <c r="E7" s="1043"/>
      <c r="F7" s="1043"/>
      <c r="G7" s="1043"/>
      <c r="H7" s="1043"/>
      <c r="I7" s="1043"/>
      <c r="J7" s="1043"/>
      <c r="K7" s="1043"/>
      <c r="L7" s="1043"/>
      <c r="M7" s="1043"/>
      <c r="N7" s="14"/>
    </row>
    <row r="8" spans="1:15" s="817" customFormat="1" ht="23.45" customHeight="1" x14ac:dyDescent="0.2">
      <c r="A8" s="849"/>
      <c r="B8" s="847"/>
      <c r="C8" s="819" t="str">
        <f>IF(Langue=1,"DBO5","BSB5")</f>
        <v>BSB5</v>
      </c>
      <c r="D8" s="819" t="str">
        <f>IF('liste-STEP'!F95=1,"DCO","CSB")</f>
        <v>CSB</v>
      </c>
      <c r="E8" s="820" t="str">
        <f>IF(Langue=1,"COT","TOC")</f>
        <v>TOC</v>
      </c>
      <c r="F8" s="821" t="str">
        <f>IF(Langue=1,"COD","DOC")</f>
        <v>DOC</v>
      </c>
      <c r="G8" s="819" t="s">
        <v>0</v>
      </c>
      <c r="H8" s="819" t="s">
        <v>156</v>
      </c>
      <c r="I8" s="819" t="s">
        <v>8</v>
      </c>
      <c r="J8" s="819" t="str">
        <f>IF('liste-STEP'!F95=1,"Ptot","Pges")</f>
        <v>Pges</v>
      </c>
      <c r="K8" s="855" t="str">
        <f>IF('liste-STEP'!F95=1,"SNDT","GUS")</f>
        <v>GUS</v>
      </c>
      <c r="L8" s="820" t="str">
        <f>IF('liste-STEP'!F95=1,"débits","Durch-fluss")</f>
        <v>Durch-fluss</v>
      </c>
      <c r="M8" s="831" t="str">
        <f>IF('liste-STEP'!F95=1,"Témp","Temp")</f>
        <v>Temp</v>
      </c>
      <c r="N8" s="14"/>
    </row>
    <row r="9" spans="1:15" s="817" customFormat="1" x14ac:dyDescent="0.2">
      <c r="A9" s="850" t="str">
        <f>IF(Langue=1,"% effectuées entrée","% getätigt Zulauf")</f>
        <v>% getätigt Zulauf</v>
      </c>
      <c r="B9" s="847"/>
      <c r="C9" s="848" t="str">
        <f>basis!C31</f>
        <v/>
      </c>
      <c r="D9" s="848" t="str">
        <f>basis!D31</f>
        <v/>
      </c>
      <c r="E9" s="848" t="str">
        <f>basis!E31</f>
        <v/>
      </c>
      <c r="F9" s="848">
        <f>basis!F31</f>
        <v>0</v>
      </c>
      <c r="G9" s="848" t="str">
        <f>basis!G31</f>
        <v/>
      </c>
      <c r="H9" s="848" t="str">
        <f>basis!H31</f>
        <v/>
      </c>
      <c r="I9" s="848">
        <f>basis!I31</f>
        <v>0</v>
      </c>
      <c r="J9" s="848" t="str">
        <f>basis!J31</f>
        <v/>
      </c>
      <c r="K9" s="856">
        <f>basis!K31</f>
        <v>0</v>
      </c>
      <c r="L9" s="848">
        <f>basis!L31</f>
        <v>0</v>
      </c>
      <c r="M9" s="888" t="str">
        <f>basis!M31</f>
        <v/>
      </c>
    </row>
    <row r="10" spans="1:15" s="817" customFormat="1" ht="13.5" thickBot="1" x14ac:dyDescent="0.25">
      <c r="A10" s="851" t="str">
        <f>IF(Langue=1,"% effectuées sortie","% getätigt Ablauf")</f>
        <v>% getätigt Ablauf</v>
      </c>
      <c r="B10" s="852"/>
      <c r="C10" s="853" t="str">
        <f>basis!C32</f>
        <v/>
      </c>
      <c r="D10" s="853" t="str">
        <f>basis!D32</f>
        <v/>
      </c>
      <c r="E10" s="853">
        <f>basis!E32</f>
        <v>0</v>
      </c>
      <c r="F10" s="853" t="str">
        <f>basis!F32</f>
        <v/>
      </c>
      <c r="G10" s="853" t="str">
        <f>basis!G32</f>
        <v/>
      </c>
      <c r="H10" s="853">
        <f>basis!H32</f>
        <v>0</v>
      </c>
      <c r="I10" s="853" t="str">
        <f>basis!I32</f>
        <v/>
      </c>
      <c r="J10" s="853" t="str">
        <f>basis!J32</f>
        <v/>
      </c>
      <c r="K10" s="889" t="str">
        <f>basis!K32</f>
        <v/>
      </c>
      <c r="L10" s="887"/>
      <c r="M10" s="857"/>
    </row>
    <row r="11" spans="1:15" ht="12.75" customHeight="1" thickBot="1" x14ac:dyDescent="0.25">
      <c r="A11" s="14"/>
      <c r="B11" s="14"/>
      <c r="C11" s="14"/>
      <c r="D11" s="14"/>
      <c r="E11" s="14"/>
      <c r="F11" s="14"/>
      <c r="G11" s="14"/>
      <c r="H11" s="14"/>
      <c r="I11" s="14"/>
      <c r="J11" s="14"/>
      <c r="K11" s="14"/>
      <c r="L11" s="14"/>
      <c r="M11" s="817"/>
    </row>
    <row r="12" spans="1:15" x14ac:dyDescent="0.2">
      <c r="A12" s="1042" t="str">
        <f>IF(Langue=1,"Nombre non conformités (par année), exigence de rejet","Ablaufkonzentrationen, Anzahl Überschreitungen (pro Jahr)")</f>
        <v>Ablaufkonzentrationen, Anzahl Überschreitungen (pro Jahr)</v>
      </c>
      <c r="B12" s="1043"/>
      <c r="C12" s="1043"/>
      <c r="D12" s="1043"/>
      <c r="E12" s="1043"/>
      <c r="F12" s="1043"/>
      <c r="G12" s="1043"/>
      <c r="H12" s="1043"/>
      <c r="I12" s="1043"/>
      <c r="J12" s="1043"/>
      <c r="K12" s="1057"/>
      <c r="L12" s="14"/>
      <c r="M12" s="817"/>
    </row>
    <row r="13" spans="1:15" s="817" customFormat="1" x14ac:dyDescent="0.2">
      <c r="A13" s="885"/>
      <c r="B13" s="886"/>
      <c r="C13" s="886"/>
      <c r="D13" s="886"/>
      <c r="E13" s="819" t="str">
        <f>IF('liste-STEP'!F95=1,"DBO5","BSB5")</f>
        <v>BSB5</v>
      </c>
      <c r="F13" s="819" t="str">
        <f>IF('liste-STEP'!F95=1,"DCO","CSB")</f>
        <v>CSB</v>
      </c>
      <c r="G13" s="821" t="str">
        <f>IF(Langue=1,"COD","DOC")</f>
        <v>DOC</v>
      </c>
      <c r="H13" s="819" t="s">
        <v>0</v>
      </c>
      <c r="I13" s="819" t="s">
        <v>8</v>
      </c>
      <c r="J13" s="819" t="str">
        <f>IF('liste-STEP'!F95=1,"Ptot","Pges")</f>
        <v>Pges</v>
      </c>
      <c r="K13" s="831" t="str">
        <f>IF('liste-STEP'!F95=1,"SNDT","GUS")</f>
        <v>GUS</v>
      </c>
      <c r="L13" s="14"/>
    </row>
    <row r="14" spans="1:15" x14ac:dyDescent="0.2">
      <c r="A14" s="1072" t="str">
        <f>IF(Langue=1,"Nb total de dépassement","Anz. tot. Überschreitungen")</f>
        <v>Anz. tot. Überschreitungen</v>
      </c>
      <c r="B14" s="1073"/>
      <c r="C14" s="1073"/>
      <c r="D14" s="822" t="str">
        <f>IF(Langue=1,"nb","Anz.")</f>
        <v>Anz.</v>
      </c>
      <c r="E14" s="823">
        <f ca="1">basis!C35</f>
        <v>0</v>
      </c>
      <c r="F14" s="823">
        <f ca="1">basis!D35</f>
        <v>0</v>
      </c>
      <c r="G14" s="823">
        <f ca="1">basis!F35</f>
        <v>0</v>
      </c>
      <c r="H14" s="823">
        <f ca="1">basis!G35</f>
        <v>366</v>
      </c>
      <c r="I14" s="823">
        <f ca="1">basis!I35</f>
        <v>0</v>
      </c>
      <c r="J14" s="823">
        <f ca="1">basis!J35</f>
        <v>0</v>
      </c>
      <c r="K14" s="827">
        <f ca="1">basis!K35</f>
        <v>0</v>
      </c>
    </row>
    <row r="15" spans="1:15" x14ac:dyDescent="0.2">
      <c r="A15" s="1072" t="str">
        <f>IF(Langue=1,"Nb non-conforme","Anzahl unzulässige")</f>
        <v>Anzahl unzulässige</v>
      </c>
      <c r="B15" s="1073"/>
      <c r="C15" s="1073"/>
      <c r="D15" s="822" t="str">
        <f>IF(Langue=1,"nb","Anz.")</f>
        <v>Anz.</v>
      </c>
      <c r="E15" s="823">
        <f ca="1">basis!C36</f>
        <v>0</v>
      </c>
      <c r="F15" s="823">
        <f ca="1">basis!D36</f>
        <v>0</v>
      </c>
      <c r="G15" s="823">
        <f ca="1">basis!F36</f>
        <v>0</v>
      </c>
      <c r="H15" s="823">
        <f ca="1">basis!G36</f>
        <v>366</v>
      </c>
      <c r="I15" s="823">
        <f ca="1">basis!I36</f>
        <v>0</v>
      </c>
      <c r="J15" s="823">
        <f ca="1">basis!J36</f>
        <v>0</v>
      </c>
      <c r="K15" s="827">
        <f ca="1">basis!K36</f>
        <v>0</v>
      </c>
    </row>
    <row r="16" spans="1:15" ht="13.5" thickBot="1" x14ac:dyDescent="0.25">
      <c r="A16" s="1047" t="str">
        <f>IF(Langue=1,"% de non-conformité","% unzulässige")</f>
        <v>% unzulässige</v>
      </c>
      <c r="B16" s="1048"/>
      <c r="C16" s="1048"/>
      <c r="D16" s="828" t="s">
        <v>3</v>
      </c>
      <c r="E16" s="829" t="e">
        <f ca="1">basis!C37</f>
        <v>#DIV/0!</v>
      </c>
      <c r="F16" s="829" t="e">
        <f ca="1">basis!D37</f>
        <v>#DIV/0!</v>
      </c>
      <c r="G16" s="829" t="e">
        <f ca="1">basis!F37</f>
        <v>#DIV/0!</v>
      </c>
      <c r="H16" s="829" t="e">
        <f ca="1">basis!G37</f>
        <v>#DIV/0!</v>
      </c>
      <c r="I16" s="829" t="e">
        <f ca="1">basis!I37</f>
        <v>#DIV/0!</v>
      </c>
      <c r="J16" s="829" t="e">
        <f ca="1">basis!J37</f>
        <v>#DIV/0!</v>
      </c>
      <c r="K16" s="830" t="e">
        <f ca="1">basis!K37</f>
        <v>#DIV/0!</v>
      </c>
    </row>
    <row r="17" spans="1:19" s="817" customFormat="1" ht="13.5" thickBot="1" x14ac:dyDescent="0.25">
      <c r="A17" s="598"/>
      <c r="B17" s="598"/>
      <c r="C17" s="598"/>
      <c r="D17" s="594"/>
      <c r="E17" s="824"/>
      <c r="F17" s="824"/>
      <c r="G17" s="825"/>
      <c r="H17" s="824"/>
      <c r="I17" s="824"/>
      <c r="J17" s="825"/>
      <c r="K17" s="824"/>
      <c r="L17" s="824"/>
      <c r="M17" s="824"/>
    </row>
    <row r="18" spans="1:19" ht="12.75" customHeight="1" thickBot="1" x14ac:dyDescent="0.25">
      <c r="A18" s="1051" t="str">
        <f>IF(Langue=1,"Nombre non conformités (par année), rendements","Reinigungsleistungen, Anzahl Uberschreitungen (pro Jahr)")</f>
        <v>Reinigungsleistungen, Anzahl Uberschreitungen (pro Jahr)</v>
      </c>
      <c r="B18" s="1052"/>
      <c r="C18" s="1052"/>
      <c r="D18" s="1052"/>
      <c r="E18" s="1052"/>
      <c r="F18" s="1052"/>
      <c r="G18" s="1052"/>
      <c r="H18" s="1052"/>
      <c r="I18" s="1053"/>
      <c r="J18" s="825"/>
      <c r="K18" s="824"/>
      <c r="L18" s="824"/>
      <c r="M18" s="824"/>
    </row>
    <row r="19" spans="1:19" s="817" customFormat="1" ht="24.75" thickBot="1" x14ac:dyDescent="0.25">
      <c r="A19" s="1049"/>
      <c r="B19" s="1050"/>
      <c r="C19" s="1050"/>
      <c r="D19" s="1050"/>
      <c r="E19" s="819" t="str">
        <f>IF('liste-STEP'!F95=1,"DBO5","BSB5")</f>
        <v>BSB5</v>
      </c>
      <c r="F19" s="819" t="str">
        <f>IF('liste-STEP'!F95=1,"DCO","CSB")</f>
        <v>CSB</v>
      </c>
      <c r="G19" s="820" t="str">
        <f>IF(Langue=1,"COT,COD","TOC,DOC")</f>
        <v>TOC,DOC</v>
      </c>
      <c r="H19" s="820" t="s">
        <v>662</v>
      </c>
      <c r="I19" s="831" t="str">
        <f>IF('liste-STEP'!F95=1,"Ptot","Pges")</f>
        <v>Pges</v>
      </c>
      <c r="J19" s="825"/>
      <c r="K19" s="883" t="s">
        <v>763</v>
      </c>
      <c r="L19" s="884" t="e">
        <f ca="1">stats!C58</f>
        <v>#NUM!</v>
      </c>
      <c r="M19" s="824"/>
    </row>
    <row r="20" spans="1:19" x14ac:dyDescent="0.2">
      <c r="A20" s="1072" t="str">
        <f>IF(Langue=1,"Nb total de dépassement","Anz. tot. Überschreitungen")</f>
        <v>Anz. tot. Überschreitungen</v>
      </c>
      <c r="B20" s="1073"/>
      <c r="C20" s="1073"/>
      <c r="D20" s="822" t="str">
        <f>IF(Langue=1,"nb","Anz.")</f>
        <v>Anz.</v>
      </c>
      <c r="E20" s="823">
        <f ca="1">basis!C39</f>
        <v>365</v>
      </c>
      <c r="F20" s="823">
        <f ca="1">basis!D39</f>
        <v>365</v>
      </c>
      <c r="G20" s="823">
        <f ca="1">basis!E39</f>
        <v>365</v>
      </c>
      <c r="H20" s="823">
        <f ca="1">basis!G39</f>
        <v>365</v>
      </c>
      <c r="I20" s="827">
        <f ca="1">basis!J39</f>
        <v>365</v>
      </c>
      <c r="J20" s="817"/>
      <c r="K20" s="817"/>
      <c r="L20" s="817"/>
      <c r="M20" s="817"/>
    </row>
    <row r="21" spans="1:19" x14ac:dyDescent="0.2">
      <c r="A21" s="1072" t="str">
        <f>IF(Langue=1,"Nb non-conforme","Anzahl unzulässige")</f>
        <v>Anzahl unzulässige</v>
      </c>
      <c r="B21" s="1073"/>
      <c r="C21" s="1073"/>
      <c r="D21" s="822" t="str">
        <f>IF(Langue=1,"nb","Anz.")</f>
        <v>Anz.</v>
      </c>
      <c r="E21" s="823">
        <f ca="1">basis!C40</f>
        <v>365</v>
      </c>
      <c r="F21" s="823">
        <f ca="1">basis!D40</f>
        <v>365</v>
      </c>
      <c r="G21" s="823">
        <f ca="1">basis!E40</f>
        <v>365</v>
      </c>
      <c r="H21" s="823">
        <f ca="1">basis!G40</f>
        <v>365</v>
      </c>
      <c r="I21" s="827">
        <f ca="1">basis!J40</f>
        <v>365</v>
      </c>
      <c r="J21" s="817"/>
      <c r="K21" s="817"/>
      <c r="L21" s="817"/>
      <c r="M21" s="817"/>
    </row>
    <row r="22" spans="1:19" ht="13.5" thickBot="1" x14ac:dyDescent="0.25">
      <c r="A22" s="1047" t="str">
        <f>IF(Langue=1,"% de non-conformité","% unzulässige")</f>
        <v>% unzulässige</v>
      </c>
      <c r="B22" s="1048"/>
      <c r="C22" s="1048"/>
      <c r="D22" s="828" t="s">
        <v>3</v>
      </c>
      <c r="E22" s="829" t="e">
        <f ca="1">basis!C41</f>
        <v>#DIV/0!</v>
      </c>
      <c r="F22" s="829" t="e">
        <f ca="1">basis!D41</f>
        <v>#DIV/0!</v>
      </c>
      <c r="G22" s="829" t="e">
        <f ca="1">basis!E41</f>
        <v>#DIV/0!</v>
      </c>
      <c r="H22" s="829" t="e">
        <f ca="1">basis!G41</f>
        <v>#DIV/0!</v>
      </c>
      <c r="I22" s="830" t="e">
        <f ca="1">basis!J41</f>
        <v>#DIV/0!</v>
      </c>
      <c r="J22" s="817"/>
      <c r="K22" s="817"/>
      <c r="L22" s="817"/>
      <c r="M22" s="817"/>
      <c r="P22" s="817"/>
      <c r="Q22" s="817"/>
      <c r="R22" s="817"/>
      <c r="S22" s="817"/>
    </row>
    <row r="23" spans="1:19" ht="13.5" thickBot="1" x14ac:dyDescent="0.25">
      <c r="A23" s="817"/>
      <c r="B23" s="817"/>
      <c r="C23" s="817"/>
      <c r="D23" s="817"/>
      <c r="E23" s="817"/>
      <c r="F23" s="817"/>
      <c r="G23" s="817"/>
      <c r="H23" s="817"/>
      <c r="I23" s="817"/>
      <c r="J23" s="817"/>
      <c r="K23" s="817"/>
      <c r="L23" s="817"/>
      <c r="M23" s="817"/>
      <c r="N23" s="817"/>
      <c r="P23" s="817"/>
      <c r="Q23" s="817"/>
      <c r="R23" s="817"/>
      <c r="S23" s="817"/>
    </row>
    <row r="24" spans="1:19" x14ac:dyDescent="0.2">
      <c r="A24" s="1069" t="str">
        <f>IF(Langue=1,"Production spécifique (g MS/EH.j)","Spezifischer Schlammprod. (g TS/EW.d)")</f>
        <v>Spezifischer Schlammprod. (g TS/EW.d)</v>
      </c>
      <c r="B24" s="1070"/>
      <c r="C24" s="1070"/>
      <c r="D24" s="1070"/>
      <c r="E24" s="1070"/>
      <c r="F24" s="1070"/>
      <c r="G24" s="1070" t="e">
        <f ca="1">IF(Langue=1,"Consommation spécifique d'électricité","Spezifischer Stromverbrauch")&amp;bi(" kWh/EH.an"," kWh/EW.Jahr")</f>
        <v>#NAME?</v>
      </c>
      <c r="H24" s="1070"/>
      <c r="I24" s="1070"/>
      <c r="J24" s="1070"/>
      <c r="K24" s="1070"/>
      <c r="L24" s="1071"/>
      <c r="M24" s="817"/>
      <c r="P24" s="817"/>
      <c r="Q24" s="817"/>
      <c r="R24" s="817"/>
      <c r="S24" s="817"/>
    </row>
    <row r="25" spans="1:19" x14ac:dyDescent="0.2">
      <c r="A25" s="1077" t="str">
        <f>IF(Langue=1,"Fourchette recommandée","Richtwert")</f>
        <v>Richtwert</v>
      </c>
      <c r="B25" s="1068"/>
      <c r="C25" s="1068"/>
      <c r="D25" s="1068"/>
      <c r="E25" s="1068" t="str">
        <f>IF(Langue=1,"Valeur obtenue","gerechneter Wert")</f>
        <v>gerechneter Wert</v>
      </c>
      <c r="F25" s="1068"/>
      <c r="G25" s="1068" t="str">
        <f>IF(Langue=1,"Fourchette recommandée","Richtwerte")</f>
        <v>Richtwerte</v>
      </c>
      <c r="H25" s="1068"/>
      <c r="I25" s="1068"/>
      <c r="J25" s="1068"/>
      <c r="K25" s="1068" t="str">
        <f>IF(Langue=1,"Valeur obtenue","gerechneter Wert")</f>
        <v>gerechneter Wert</v>
      </c>
      <c r="L25" s="1068"/>
      <c r="M25" s="14"/>
      <c r="P25" s="817"/>
      <c r="Q25" s="817"/>
      <c r="R25" s="817"/>
      <c r="S25" s="817"/>
    </row>
    <row r="26" spans="1:19" ht="13.5" thickBot="1" x14ac:dyDescent="0.25">
      <c r="A26" s="841">
        <v>50</v>
      </c>
      <c r="B26" s="842" t="s">
        <v>116</v>
      </c>
      <c r="C26" s="843">
        <v>85</v>
      </c>
      <c r="D26" s="843"/>
      <c r="E26" s="1065" t="e">
        <f ca="1">stats!J90</f>
        <v>#NAME?</v>
      </c>
      <c r="F26" s="1066"/>
      <c r="G26" s="844">
        <f>IF(capbio&lt;100,"",(3/4)*IF(capbio&lt;=1000,80,IF(capbio&lt;=10000,51,IF(capbio&lt;=50000,39,IF(capbio&lt;100000,38,28)))))</f>
        <v>60</v>
      </c>
      <c r="H26" s="842" t="s">
        <v>116</v>
      </c>
      <c r="I26" s="844">
        <f>IF(capbio&lt;100,"",(5/4)*IF(capbio&lt;=1000,80,IF(capbio&lt;=10000,51,IF(capbio&lt;=50000,39,IF(capbio&lt;100000,38,28)))))</f>
        <v>100</v>
      </c>
      <c r="J26" s="843"/>
      <c r="K26" s="1065" t="e">
        <f ca="1">stats!C111*365/1000</f>
        <v>#NAME?</v>
      </c>
      <c r="L26" s="1067"/>
      <c r="M26" s="817"/>
      <c r="N26" s="817"/>
    </row>
    <row r="27" spans="1:19" ht="13.5" thickBot="1" x14ac:dyDescent="0.25">
      <c r="A27" s="14"/>
      <c r="B27" s="14"/>
      <c r="C27" s="14"/>
      <c r="D27" s="14"/>
      <c r="E27" s="14"/>
      <c r="F27" s="14"/>
      <c r="G27" s="14"/>
      <c r="H27" s="14"/>
      <c r="I27" s="14"/>
      <c r="J27" s="14"/>
      <c r="K27" s="14"/>
      <c r="L27" s="14"/>
      <c r="M27" s="817"/>
    </row>
    <row r="28" spans="1:19" x14ac:dyDescent="0.2">
      <c r="A28" s="1054" t="str">
        <f>IF(Langue=1,"Remarques","Bemerkungen")</f>
        <v>Bemerkungen</v>
      </c>
      <c r="B28" s="1055"/>
      <c r="C28" s="1055"/>
      <c r="D28" s="1055"/>
      <c r="E28" s="1055"/>
      <c r="F28" s="1055"/>
      <c r="G28" s="1055"/>
      <c r="H28" s="1055"/>
      <c r="I28" s="1055"/>
      <c r="J28" s="1055"/>
      <c r="K28" s="1055"/>
      <c r="L28" s="1055"/>
      <c r="M28" s="1056"/>
    </row>
    <row r="29" spans="1:19" x14ac:dyDescent="0.2">
      <c r="A29" s="1036"/>
      <c r="B29" s="1037"/>
      <c r="C29" s="1037"/>
      <c r="D29" s="1037"/>
      <c r="E29" s="1037"/>
      <c r="F29" s="1037"/>
      <c r="G29" s="1037"/>
      <c r="H29" s="1037"/>
      <c r="I29" s="1037"/>
      <c r="J29" s="1037"/>
      <c r="K29" s="1037"/>
      <c r="L29" s="1037"/>
      <c r="M29" s="1038"/>
    </row>
    <row r="30" spans="1:19" x14ac:dyDescent="0.2">
      <c r="A30" s="1036"/>
      <c r="B30" s="1037"/>
      <c r="C30" s="1037"/>
      <c r="D30" s="1037"/>
      <c r="E30" s="1037"/>
      <c r="F30" s="1037"/>
      <c r="G30" s="1037"/>
      <c r="H30" s="1037"/>
      <c r="I30" s="1037"/>
      <c r="J30" s="1037"/>
      <c r="K30" s="1037"/>
      <c r="L30" s="1037"/>
      <c r="M30" s="1038"/>
    </row>
    <row r="31" spans="1:19" x14ac:dyDescent="0.2">
      <c r="A31" s="1036"/>
      <c r="B31" s="1037"/>
      <c r="C31" s="1037"/>
      <c r="D31" s="1037"/>
      <c r="E31" s="1037"/>
      <c r="F31" s="1037"/>
      <c r="G31" s="1037"/>
      <c r="H31" s="1037"/>
      <c r="I31" s="1037"/>
      <c r="J31" s="1037"/>
      <c r="K31" s="1037"/>
      <c r="L31" s="1037"/>
      <c r="M31" s="1038"/>
    </row>
    <row r="32" spans="1:19" x14ac:dyDescent="0.2">
      <c r="A32" s="1036"/>
      <c r="B32" s="1037"/>
      <c r="C32" s="1037"/>
      <c r="D32" s="1037"/>
      <c r="E32" s="1037"/>
      <c r="F32" s="1037"/>
      <c r="G32" s="1037"/>
      <c r="H32" s="1037"/>
      <c r="I32" s="1037"/>
      <c r="J32" s="1037"/>
      <c r="K32" s="1037"/>
      <c r="L32" s="1037"/>
      <c r="M32" s="1038"/>
    </row>
    <row r="33" spans="1:13" x14ac:dyDescent="0.2">
      <c r="A33" s="1036"/>
      <c r="B33" s="1037"/>
      <c r="C33" s="1037"/>
      <c r="D33" s="1037"/>
      <c r="E33" s="1037"/>
      <c r="F33" s="1037"/>
      <c r="G33" s="1037"/>
      <c r="H33" s="1037"/>
      <c r="I33" s="1037"/>
      <c r="J33" s="1037"/>
      <c r="K33" s="1037"/>
      <c r="L33" s="1037"/>
      <c r="M33" s="1038"/>
    </row>
    <row r="34" spans="1:13" x14ac:dyDescent="0.2">
      <c r="A34" s="1036"/>
      <c r="B34" s="1037"/>
      <c r="C34" s="1037"/>
      <c r="D34" s="1037"/>
      <c r="E34" s="1037"/>
      <c r="F34" s="1037"/>
      <c r="G34" s="1037"/>
      <c r="H34" s="1037"/>
      <c r="I34" s="1037"/>
      <c r="J34" s="1037"/>
      <c r="K34" s="1037"/>
      <c r="L34" s="1037"/>
      <c r="M34" s="1038"/>
    </row>
    <row r="35" spans="1:13" x14ac:dyDescent="0.2">
      <c r="A35" s="1036"/>
      <c r="B35" s="1037"/>
      <c r="C35" s="1037"/>
      <c r="D35" s="1037"/>
      <c r="E35" s="1037"/>
      <c r="F35" s="1037"/>
      <c r="G35" s="1037"/>
      <c r="H35" s="1037"/>
      <c r="I35" s="1037"/>
      <c r="J35" s="1037"/>
      <c r="K35" s="1037"/>
      <c r="L35" s="1037"/>
      <c r="M35" s="1038"/>
    </row>
    <row r="36" spans="1:13" x14ac:dyDescent="0.2">
      <c r="A36" s="1036"/>
      <c r="B36" s="1037"/>
      <c r="C36" s="1037"/>
      <c r="D36" s="1037"/>
      <c r="E36" s="1037"/>
      <c r="F36" s="1037"/>
      <c r="G36" s="1037"/>
      <c r="H36" s="1037"/>
      <c r="I36" s="1037"/>
      <c r="J36" s="1037"/>
      <c r="K36" s="1037"/>
      <c r="L36" s="1037"/>
      <c r="M36" s="1038"/>
    </row>
    <row r="37" spans="1:13" x14ac:dyDescent="0.2">
      <c r="A37" s="1036"/>
      <c r="B37" s="1037"/>
      <c r="C37" s="1037"/>
      <c r="D37" s="1037"/>
      <c r="E37" s="1037"/>
      <c r="F37" s="1037"/>
      <c r="G37" s="1037"/>
      <c r="H37" s="1037"/>
      <c r="I37" s="1037"/>
      <c r="J37" s="1037"/>
      <c r="K37" s="1037"/>
      <c r="L37" s="1037"/>
      <c r="M37" s="1038"/>
    </row>
    <row r="38" spans="1:13" x14ac:dyDescent="0.2">
      <c r="A38" s="1036"/>
      <c r="B38" s="1037"/>
      <c r="C38" s="1037"/>
      <c r="D38" s="1037"/>
      <c r="E38" s="1037"/>
      <c r="F38" s="1037"/>
      <c r="G38" s="1037"/>
      <c r="H38" s="1037"/>
      <c r="I38" s="1037"/>
      <c r="J38" s="1037"/>
      <c r="K38" s="1037"/>
      <c r="L38" s="1037"/>
      <c r="M38" s="1038"/>
    </row>
    <row r="39" spans="1:13" x14ac:dyDescent="0.2">
      <c r="A39" s="1036"/>
      <c r="B39" s="1037"/>
      <c r="C39" s="1037"/>
      <c r="D39" s="1037"/>
      <c r="E39" s="1037"/>
      <c r="F39" s="1037"/>
      <c r="G39" s="1037"/>
      <c r="H39" s="1037"/>
      <c r="I39" s="1037"/>
      <c r="J39" s="1037"/>
      <c r="K39" s="1037"/>
      <c r="L39" s="1037"/>
      <c r="M39" s="1038"/>
    </row>
    <row r="40" spans="1:13" x14ac:dyDescent="0.2">
      <c r="A40" s="1036"/>
      <c r="B40" s="1037"/>
      <c r="C40" s="1037"/>
      <c r="D40" s="1037"/>
      <c r="E40" s="1037"/>
      <c r="F40" s="1037"/>
      <c r="G40" s="1037"/>
      <c r="H40" s="1037"/>
      <c r="I40" s="1037"/>
      <c r="J40" s="1037"/>
      <c r="K40" s="1037"/>
      <c r="L40" s="1037"/>
      <c r="M40" s="1038"/>
    </row>
    <row r="41" spans="1:13" x14ac:dyDescent="0.2">
      <c r="A41" s="1036"/>
      <c r="B41" s="1037"/>
      <c r="C41" s="1037"/>
      <c r="D41" s="1037"/>
      <c r="E41" s="1037"/>
      <c r="F41" s="1037"/>
      <c r="G41" s="1037"/>
      <c r="H41" s="1037"/>
      <c r="I41" s="1037"/>
      <c r="J41" s="1037"/>
      <c r="K41" s="1037"/>
      <c r="L41" s="1037"/>
      <c r="M41" s="1038"/>
    </row>
    <row r="42" spans="1:13" x14ac:dyDescent="0.2">
      <c r="A42" s="1036"/>
      <c r="B42" s="1037"/>
      <c r="C42" s="1037"/>
      <c r="D42" s="1037"/>
      <c r="E42" s="1037"/>
      <c r="F42" s="1037"/>
      <c r="G42" s="1037"/>
      <c r="H42" s="1037"/>
      <c r="I42" s="1037"/>
      <c r="J42" s="1037"/>
      <c r="K42" s="1037"/>
      <c r="L42" s="1037"/>
      <c r="M42" s="1038"/>
    </row>
    <row r="43" spans="1:13" x14ac:dyDescent="0.2">
      <c r="A43" s="1036"/>
      <c r="B43" s="1037"/>
      <c r="C43" s="1037"/>
      <c r="D43" s="1037"/>
      <c r="E43" s="1037"/>
      <c r="F43" s="1037"/>
      <c r="G43" s="1037"/>
      <c r="H43" s="1037"/>
      <c r="I43" s="1037"/>
      <c r="J43" s="1037"/>
      <c r="K43" s="1037"/>
      <c r="L43" s="1037"/>
      <c r="M43" s="1038"/>
    </row>
    <row r="44" spans="1:13" ht="13.5" thickBot="1" x14ac:dyDescent="0.25">
      <c r="A44" s="1039"/>
      <c r="B44" s="1040"/>
      <c r="C44" s="1040"/>
      <c r="D44" s="1040"/>
      <c r="E44" s="1040"/>
      <c r="F44" s="1040"/>
      <c r="G44" s="1040"/>
      <c r="H44" s="1040"/>
      <c r="I44" s="1040"/>
      <c r="J44" s="1040"/>
      <c r="K44" s="1040"/>
      <c r="L44" s="1040"/>
      <c r="M44" s="1041"/>
    </row>
    <row r="45" spans="1:13" x14ac:dyDescent="0.2">
      <c r="M45" s="817"/>
    </row>
  </sheetData>
  <mergeCells count="40">
    <mergeCell ref="A1:M1"/>
    <mergeCell ref="A14:C14"/>
    <mergeCell ref="A15:C15"/>
    <mergeCell ref="A16:C16"/>
    <mergeCell ref="A25:D25"/>
    <mergeCell ref="E25:F25"/>
    <mergeCell ref="G25:J25"/>
    <mergeCell ref="A4:B4"/>
    <mergeCell ref="C4:D4"/>
    <mergeCell ref="E4:F4"/>
    <mergeCell ref="H4:I4"/>
    <mergeCell ref="J4:K4"/>
    <mergeCell ref="L4:M4"/>
    <mergeCell ref="A2:M2"/>
    <mergeCell ref="A3:B3"/>
    <mergeCell ref="C3:D3"/>
    <mergeCell ref="L5:M5"/>
    <mergeCell ref="E26:F26"/>
    <mergeCell ref="K26:L26"/>
    <mergeCell ref="K25:L25"/>
    <mergeCell ref="A24:F24"/>
    <mergeCell ref="G24:L24"/>
    <mergeCell ref="A20:C20"/>
    <mergeCell ref="A21:C21"/>
    <mergeCell ref="A29:M44"/>
    <mergeCell ref="A7:M7"/>
    <mergeCell ref="E3:F3"/>
    <mergeCell ref="G3:I3"/>
    <mergeCell ref="J3:K3"/>
    <mergeCell ref="L3:M3"/>
    <mergeCell ref="A22:C22"/>
    <mergeCell ref="A19:D19"/>
    <mergeCell ref="A18:I18"/>
    <mergeCell ref="A28:M28"/>
    <mergeCell ref="A12:K12"/>
    <mergeCell ref="A5:B5"/>
    <mergeCell ref="C5:D5"/>
    <mergeCell ref="E5:F5"/>
    <mergeCell ref="H5:I5"/>
    <mergeCell ref="J5:K5"/>
  </mergeCells>
  <conditionalFormatting sqref="E5:F5">
    <cfRule type="cellIs" dxfId="22" priority="96" operator="lessThanOrEqual">
      <formula>0.05</formula>
    </cfRule>
    <cfRule type="cellIs" dxfId="21" priority="97" operator="greaterThan">
      <formula>0.05</formula>
    </cfRule>
  </conditionalFormatting>
  <conditionalFormatting sqref="L5">
    <cfRule type="cellIs" dxfId="20" priority="93" operator="lessThanOrEqual">
      <formula>0.8</formula>
    </cfRule>
    <cfRule type="cellIs" dxfId="19" priority="94" operator="greaterThanOrEqual">
      <formula>1</formula>
    </cfRule>
    <cfRule type="cellIs" dxfId="18" priority="95" operator="between">
      <formula>0.8</formula>
      <formula>1</formula>
    </cfRule>
  </conditionalFormatting>
  <conditionalFormatting sqref="H5:I5">
    <cfRule type="containsText" dxfId="17" priority="48" operator="containsText" text="Klasse 3">
      <formula>NOT(ISERROR(SEARCH("Klasse 3",H5)))</formula>
    </cfRule>
    <cfRule type="containsText" dxfId="16" priority="49" operator="containsText" text="Klasse 2">
      <formula>NOT(ISERROR(SEARCH("Klasse 2",H5)))</formula>
    </cfRule>
    <cfRule type="containsText" dxfId="15" priority="50" operator="containsText" text="Klasse 1">
      <formula>NOT(ISERROR(SEARCH("Klasse 1",H5)))</formula>
    </cfRule>
    <cfRule type="containsText" dxfId="14" priority="90" operator="containsText" text="Classe 3">
      <formula>NOT(ISERROR(SEARCH("Classe 3",H5)))</formula>
    </cfRule>
    <cfRule type="containsText" dxfId="13" priority="91" operator="containsText" text="Classe 2">
      <formula>NOT(ISERROR(SEARCH("Classe 2",H5)))</formula>
    </cfRule>
    <cfRule type="containsText" dxfId="12" priority="92" operator="containsText" text="Classe 1">
      <formula>NOT(ISERROR(SEARCH("Classe 1",H5)))</formula>
    </cfRule>
  </conditionalFormatting>
  <conditionalFormatting sqref="E22:H22">
    <cfRule type="cellIs" dxfId="11" priority="10" stopIfTrue="1" operator="greaterThan">
      <formula>0</formula>
    </cfRule>
  </conditionalFormatting>
  <conditionalFormatting sqref="E15:K15">
    <cfRule type="cellIs" dxfId="10" priority="15" stopIfTrue="1" operator="greaterThan">
      <formula>0</formula>
    </cfRule>
  </conditionalFormatting>
  <conditionalFormatting sqref="E16:F17">
    <cfRule type="cellIs" dxfId="9" priority="14" stopIfTrue="1" operator="greaterThan">
      <formula>0</formula>
    </cfRule>
  </conditionalFormatting>
  <conditionalFormatting sqref="E21:H21">
    <cfRule type="cellIs" dxfId="8" priority="11" stopIfTrue="1" operator="greaterThan">
      <formula>0</formula>
    </cfRule>
  </conditionalFormatting>
  <conditionalFormatting sqref="I21">
    <cfRule type="cellIs" dxfId="7" priority="9" stopIfTrue="1" operator="greaterThan">
      <formula>0</formula>
    </cfRule>
  </conditionalFormatting>
  <conditionalFormatting sqref="I22">
    <cfRule type="cellIs" dxfId="6" priority="8" stopIfTrue="1" operator="greaterThan">
      <formula>0</formula>
    </cfRule>
  </conditionalFormatting>
  <conditionalFormatting sqref="E26:F26">
    <cfRule type="cellIs" dxfId="5" priority="1" operator="between">
      <formula>$A$26</formula>
      <formula>$C$26</formula>
    </cfRule>
    <cfRule type="expression" dxfId="4" priority="5">
      <formula>$E$26&gt;$C$26</formula>
    </cfRule>
    <cfRule type="expression" dxfId="3" priority="6">
      <formula>$E$26&lt;$A$26</formula>
    </cfRule>
  </conditionalFormatting>
  <conditionalFormatting sqref="K26:L26">
    <cfRule type="cellIs" dxfId="2" priority="2" operator="between">
      <formula>$G$26</formula>
      <formula>$I$26</formula>
    </cfRule>
    <cfRule type="expression" dxfId="1" priority="3">
      <formula>$K$26&gt;$I$26</formula>
    </cfRule>
    <cfRule type="expression" dxfId="0" priority="4">
      <formula>$K$26&lt;$G$26</formula>
    </cfRule>
  </conditionalFormatting>
  <pageMargins left="0.7" right="0.7" top="0.75" bottom="0.75" header="0.3" footer="0.3"/>
  <pageSetup paperSize="9" scale="85" orientation="portrait" r:id="rId1"/>
  <colBreaks count="1" manualBreakCount="1">
    <brk id="1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9" tint="0.59999389629810485"/>
  </sheetPr>
  <dimension ref="A1:L113"/>
  <sheetViews>
    <sheetView zoomScale="115" zoomScaleNormal="115" zoomScaleSheetLayoutView="100" workbookViewId="0">
      <selection activeCell="BE11" sqref="BE11:BE376"/>
    </sheetView>
  </sheetViews>
  <sheetFormatPr baseColWidth="10" defaultColWidth="11.42578125" defaultRowHeight="12" x14ac:dyDescent="0.2"/>
  <cols>
    <col min="1" max="1" width="11.42578125" style="667"/>
    <col min="2" max="2" width="33.7109375" style="667" customWidth="1"/>
    <col min="3" max="3" width="12" style="667" bestFit="1" customWidth="1"/>
    <col min="4" max="9" width="11.42578125" style="667"/>
    <col min="10" max="10" width="12.140625" style="667" bestFit="1" customWidth="1"/>
    <col min="11" max="16384" width="11.42578125" style="667"/>
  </cols>
  <sheetData>
    <row r="1" spans="1:11" x14ac:dyDescent="0.2">
      <c r="A1" s="667" t="str">
        <f>basis!A1</f>
        <v>ARA Ausserbinn</v>
      </c>
    </row>
    <row r="2" spans="1:11" x14ac:dyDescent="0.2">
      <c r="A2" s="665" t="str">
        <f>IF(Langue=1,"Entrée STEP","Zulauf ARA")</f>
        <v>Zulauf ARA</v>
      </c>
      <c r="B2" s="666"/>
      <c r="C2" s="666"/>
      <c r="D2" s="666"/>
      <c r="E2" s="666"/>
      <c r="F2" s="666"/>
      <c r="G2" s="666"/>
      <c r="H2" s="666"/>
      <c r="I2" s="666"/>
      <c r="J2" s="666"/>
      <c r="K2" s="679"/>
    </row>
    <row r="3" spans="1:11" x14ac:dyDescent="0.2">
      <c r="B3" s="668" t="str">
        <f>IF(Langue=1,"Charge DCO","CSB-Fracht")</f>
        <v>CSB-Fracht</v>
      </c>
      <c r="C3" s="669"/>
      <c r="D3" s="669"/>
      <c r="E3" s="669"/>
      <c r="K3" s="679"/>
    </row>
    <row r="4" spans="1:11" x14ac:dyDescent="0.2">
      <c r="B4" s="669"/>
      <c r="C4" s="670" t="e">
        <f ca="1">C5*365</f>
        <v>#NAME?</v>
      </c>
      <c r="D4" s="555" t="str">
        <f>IF(Langue=1,"kg O2/an","kg/Jahr")</f>
        <v>kg/Jahr</v>
      </c>
      <c r="E4" s="669"/>
      <c r="K4" s="679"/>
    </row>
    <row r="5" spans="1:11" x14ac:dyDescent="0.2">
      <c r="B5" s="669"/>
      <c r="C5" s="671" t="e">
        <f ca="1">'calcul-stats'!E381</f>
        <v>#NAME?</v>
      </c>
      <c r="D5" s="555" t="str">
        <f>IF(Langue=1,"kg/jour  (moy. annuelle)","kg/d  (jährliches Mittel)")</f>
        <v>kg/d  (jährliches Mittel)</v>
      </c>
      <c r="E5" s="669"/>
      <c r="K5" s="679"/>
    </row>
    <row r="6" spans="1:11" x14ac:dyDescent="0.2">
      <c r="B6" s="669"/>
      <c r="C6" s="672" t="e">
        <f ca="1">IF(C5="","",C5*1000/DCO_specifique_par_EH)</f>
        <v>#NAME?</v>
      </c>
      <c r="D6" s="555" t="str">
        <f>IF(Langue=1,"EH  (120 g DCO/EH.j)","EWG  (120 g DCO/EW.d)")</f>
        <v>EWG  (120 g DCO/EW.d)</v>
      </c>
      <c r="E6" s="669"/>
      <c r="K6" s="679"/>
    </row>
    <row r="7" spans="1:11" x14ac:dyDescent="0.2">
      <c r="B7" s="673"/>
      <c r="K7" s="679"/>
    </row>
    <row r="8" spans="1:11" x14ac:dyDescent="0.2">
      <c r="B8" s="668" t="str">
        <f>IF(Langue=1,"Charge hydraulique", "Hydraulische Belastung")</f>
        <v>Hydraulische Belastung</v>
      </c>
      <c r="C8" s="669"/>
      <c r="D8" s="669"/>
      <c r="E8" s="555"/>
      <c r="F8" s="56"/>
      <c r="G8" s="56"/>
      <c r="H8" s="56"/>
      <c r="I8" s="56"/>
      <c r="K8" s="679"/>
    </row>
    <row r="9" spans="1:11" x14ac:dyDescent="0.2">
      <c r="B9" s="663" t="str">
        <f>IF(Langue=1,"Q entrée STEP","Q Zulauf ARA")</f>
        <v>Q Zulauf ARA</v>
      </c>
      <c r="C9" s="659">
        <f>analyses!F384</f>
        <v>0</v>
      </c>
      <c r="D9" s="558" t="s">
        <v>355</v>
      </c>
      <c r="E9" s="660">
        <v>1</v>
      </c>
      <c r="K9" s="679"/>
    </row>
    <row r="10" spans="1:11" x14ac:dyDescent="0.2">
      <c r="B10" s="664" t="str">
        <f>IF(Langue=1,"Q dévié sortie primaire","Q Bypass Ablauf Vorklärung")</f>
        <v>Q Bypass Ablauf Vorklärung</v>
      </c>
      <c r="C10" s="659">
        <f>analyses!G384</f>
        <v>0</v>
      </c>
      <c r="D10" s="558" t="s">
        <v>355</v>
      </c>
      <c r="E10" s="660" t="e">
        <f>1/C9*C10</f>
        <v>#DIV/0!</v>
      </c>
      <c r="K10" s="679"/>
    </row>
    <row r="11" spans="1:11" x14ac:dyDescent="0.2">
      <c r="B11" s="558" t="str">
        <f>IF(Langue=1,"Q dévié entrée STEP","Q Bypass Zulauf  ARA")</f>
        <v>Q Bypass Zulauf  ARA</v>
      </c>
      <c r="C11" s="659">
        <f>analyses!E384</f>
        <v>0</v>
      </c>
      <c r="D11" s="558" t="s">
        <v>355</v>
      </c>
      <c r="E11" s="660" t="e">
        <f>1/C9*C11</f>
        <v>#DIV/0!</v>
      </c>
      <c r="K11" s="679"/>
    </row>
    <row r="12" spans="1:11" x14ac:dyDescent="0.2">
      <c r="B12" s="558" t="str">
        <f>IF(Langue=1,"Q sortie STEP (traitée)","Q Ablauf ARA (behandelt)")</f>
        <v>Q Ablauf ARA (behandelt)</v>
      </c>
      <c r="C12" s="659">
        <f>analyses!H384</f>
        <v>0</v>
      </c>
      <c r="D12" s="558" t="s">
        <v>355</v>
      </c>
      <c r="E12" s="660" t="e">
        <f>1/C9*C12</f>
        <v>#DIV/0!</v>
      </c>
      <c r="K12" s="679"/>
    </row>
    <row r="13" spans="1:11" x14ac:dyDescent="0.2">
      <c r="K13" s="679"/>
    </row>
    <row r="14" spans="1:11" x14ac:dyDescent="0.2">
      <c r="B14" s="1088" t="s">
        <v>376</v>
      </c>
      <c r="C14" s="1088"/>
      <c r="D14" s="669"/>
      <c r="E14" s="669"/>
      <c r="K14" s="679"/>
    </row>
    <row r="15" spans="1:11" x14ac:dyDescent="0.2">
      <c r="B15" s="555" t="str">
        <f>IF(Langue=1,"Moyennes annuelle","Jährliches Mittel")</f>
        <v>Jährliches Mittel</v>
      </c>
      <c r="C15" s="674" t="e">
        <f>analyses!F382</f>
        <v>#DIV/0!</v>
      </c>
      <c r="D15" s="555" t="s">
        <v>152</v>
      </c>
      <c r="E15" s="669"/>
      <c r="K15" s="679"/>
    </row>
    <row r="16" spans="1:11" x14ac:dyDescent="0.2">
      <c r="B16" s="555" t="str">
        <f>"20% "&amp;bi("Centile","Quantil")</f>
        <v>20% Quantil</v>
      </c>
      <c r="C16" s="659" t="e">
        <f>analyses!F385</f>
        <v>#NUM!</v>
      </c>
      <c r="D16" s="555" t="s">
        <v>152</v>
      </c>
      <c r="E16" s="669"/>
      <c r="K16" s="679"/>
    </row>
    <row r="17" spans="2:11" x14ac:dyDescent="0.2">
      <c r="B17" s="555" t="str">
        <f>"50% "&amp;bi("Centile","Quantil")</f>
        <v>50% Quantil</v>
      </c>
      <c r="C17" s="659" t="e">
        <f>analyses!F386</f>
        <v>#NUM!</v>
      </c>
      <c r="D17" s="555" t="s">
        <v>152</v>
      </c>
      <c r="E17" s="669"/>
      <c r="K17" s="679"/>
    </row>
    <row r="18" spans="2:11" x14ac:dyDescent="0.2">
      <c r="B18" s="555" t="str">
        <f>"85% "&amp;bi("Centile","Quantil")</f>
        <v>85% Quantil</v>
      </c>
      <c r="C18" s="659" t="e">
        <f>analyses!F387</f>
        <v>#NUM!</v>
      </c>
      <c r="D18" s="555" t="s">
        <v>152</v>
      </c>
      <c r="E18" s="669"/>
      <c r="K18" s="679"/>
    </row>
    <row r="19" spans="2:11" x14ac:dyDescent="0.2">
      <c r="B19" s="555" t="str">
        <f>"95% "&amp;bi("Centile","Quantil")</f>
        <v>95% Quantil</v>
      </c>
      <c r="C19" s="659" t="e">
        <f>analyses!F388</f>
        <v>#NUM!</v>
      </c>
      <c r="D19" s="555" t="s">
        <v>152</v>
      </c>
      <c r="E19" s="669"/>
      <c r="K19" s="679"/>
    </row>
    <row r="20" spans="2:11" x14ac:dyDescent="0.2">
      <c r="B20" s="555" t="str">
        <f>IF(Langue=1,"Moyennes annuelle)","Jährliche Mittel")</f>
        <v>Jährliche Mittel</v>
      </c>
      <c r="C20" s="674" t="e">
        <f>C15/0.35</f>
        <v>#DIV/0!</v>
      </c>
      <c r="D20" s="555" t="str">
        <f>IF(Langue=1,"EH  (à 350 l/EH.j)","EWG  (à 350 l/EW.d)")</f>
        <v>EWG  (à 350 l/EW.d)</v>
      </c>
      <c r="E20" s="669"/>
      <c r="K20" s="679"/>
    </row>
    <row r="21" spans="2:11" x14ac:dyDescent="0.2">
      <c r="B21" s="555" t="str">
        <f>IF(Langue=1,"Moyennes annuelle)","Jährliche Mittel")</f>
        <v>Jährliche Mittel</v>
      </c>
      <c r="C21" s="674" t="e">
        <f>C15/0.25</f>
        <v>#DIV/0!</v>
      </c>
      <c r="D21" s="555" t="str">
        <f>IF(Langue=1,"EH  (à 250 l/EH.j)","EWG  (à 250 l/EW.d)")</f>
        <v>EWG  (à 250 l/EW.d)</v>
      </c>
      <c r="E21" s="669"/>
      <c r="K21" s="679"/>
    </row>
    <row r="22" spans="2:11" x14ac:dyDescent="0.2">
      <c r="B22" s="555" t="str">
        <f>IF(Langue=1,"Moyennes annuelle)","Jährliche Mittel")</f>
        <v>Jährliche Mittel</v>
      </c>
      <c r="C22" s="675" t="e">
        <f ca="1">C15/C6*1000</f>
        <v>#DIV/0!</v>
      </c>
      <c r="D22" s="555" t="str">
        <f>IF(Langue=1,"l/EH/d","l/EW/d")</f>
        <v>l/EW/d</v>
      </c>
      <c r="E22" s="669"/>
      <c r="K22" s="679"/>
    </row>
    <row r="23" spans="2:11" x14ac:dyDescent="0.2">
      <c r="K23" s="679"/>
    </row>
    <row r="24" spans="2:11" x14ac:dyDescent="0.2">
      <c r="B24" s="676" t="s">
        <v>354</v>
      </c>
      <c r="C24" s="669"/>
      <c r="D24" s="669"/>
      <c r="E24" s="669"/>
      <c r="K24" s="679"/>
    </row>
    <row r="25" spans="2:11" x14ac:dyDescent="0.2">
      <c r="B25" s="555" t="str">
        <f>IF(Langue=1,"util. moy. cap. traitem. bio (base DCO)","Mittl. Ausnütz. biol.Kap (Basis CSB)")</f>
        <v>Mittl. Ausnütz. biol.Kap (Basis CSB)</v>
      </c>
      <c r="C25" s="677" t="e">
        <f ca="1">'calcul-stats'!E381/basis!$B$17</f>
        <v>#NAME?</v>
      </c>
      <c r="D25" s="669"/>
      <c r="E25" s="669"/>
      <c r="K25" s="679"/>
    </row>
    <row r="26" spans="2:11" x14ac:dyDescent="0.2">
      <c r="B26" s="555" t="str">
        <f>IF(Langue=1,"util. cap. traitem. bio à percentile 85%","Ausnütz. biol.Kap bei Percentil 85%")</f>
        <v>Ausnütz. biol.Kap bei Percentil 85%</v>
      </c>
      <c r="C26" s="677" t="e">
        <f ca="1">'calcul-stats'!E386/basis!$B$17</f>
        <v>#NAME?</v>
      </c>
      <c r="D26" s="669"/>
      <c r="E26" s="669"/>
      <c r="K26" s="679"/>
    </row>
    <row r="27" spans="2:11" x14ac:dyDescent="0.2">
      <c r="B27" s="555" t="str">
        <f>IF(Langue=1,"util. cap. traitem. bio à percentile 95%","Max. Ausnütz. biol.Kap (95%)")</f>
        <v>Max. Ausnütz. biol.Kap (95%)</v>
      </c>
      <c r="C27" s="677" t="e">
        <f ca="1">'calcul-stats'!E387/basis!$B$17</f>
        <v>#NAME?</v>
      </c>
      <c r="D27" s="669"/>
      <c r="E27" s="669"/>
      <c r="K27" s="679"/>
    </row>
    <row r="28" spans="2:11" x14ac:dyDescent="0.2">
      <c r="B28" s="596"/>
      <c r="C28" s="678"/>
      <c r="D28" s="679"/>
      <c r="E28" s="679"/>
      <c r="K28" s="679"/>
    </row>
    <row r="29" spans="2:11" x14ac:dyDescent="0.2">
      <c r="B29" s="661" t="str">
        <f>IF(Langue=1,"QTS","QTW")&amp;" (*)"</f>
        <v>QTW (*)</v>
      </c>
      <c r="C29" s="659" t="e">
        <f>ROUND((C16+C17)/2,0)</f>
        <v>#NUM!</v>
      </c>
      <c r="D29" s="558" t="s">
        <v>152</v>
      </c>
      <c r="E29" s="557" t="e">
        <f>QTS/86.4</f>
        <v>#NUM!</v>
      </c>
      <c r="F29" s="558" t="s">
        <v>2</v>
      </c>
      <c r="K29" s="679"/>
    </row>
    <row r="30" spans="2:11" x14ac:dyDescent="0.2">
      <c r="B30" s="562" t="str">
        <f>"2"&amp;B29</f>
        <v>2QTW (*)</v>
      </c>
      <c r="C30" s="659" t="e">
        <f>C16+C17</f>
        <v>#NUM!</v>
      </c>
      <c r="D30" s="558" t="s">
        <v>152</v>
      </c>
      <c r="E30" s="557" t="e">
        <f>C30/86.4</f>
        <v>#NUM!</v>
      </c>
      <c r="F30" s="558" t="s">
        <v>2</v>
      </c>
      <c r="K30" s="679"/>
    </row>
    <row r="31" spans="2:11" ht="12.75" customHeight="1" x14ac:dyDescent="0.2">
      <c r="B31" s="558"/>
      <c r="C31" s="1089" t="str">
        <f>IF(Langue=1,"(*)  =Moyenne des percentiles 20% et 50%, méthode VSA","(*) =Mittelwert der Quantile 20% und 50%, VSA Methode")</f>
        <v>(*) =Mittelwert der Quantile 20% und 50%, VSA Methode</v>
      </c>
      <c r="D31" s="1089"/>
      <c r="E31" s="1089"/>
      <c r="F31" s="1089"/>
      <c r="K31" s="679"/>
    </row>
    <row r="32" spans="2:11" x14ac:dyDescent="0.2">
      <c r="K32" s="679"/>
    </row>
    <row r="33" spans="1:11" x14ac:dyDescent="0.2">
      <c r="K33" s="679"/>
    </row>
    <row r="34" spans="1:11" x14ac:dyDescent="0.2">
      <c r="A34" s="705" t="str">
        <f>IF(Langue=1,"Eaux parasites","Fremdwasser")</f>
        <v>Fremdwasser</v>
      </c>
      <c r="B34" s="666"/>
      <c r="C34" s="666"/>
      <c r="D34" s="666"/>
      <c r="E34" s="666"/>
      <c r="F34" s="666"/>
      <c r="G34" s="666"/>
      <c r="H34" s="666"/>
      <c r="I34" s="666"/>
      <c r="J34" s="666"/>
      <c r="K34" s="679"/>
    </row>
    <row r="35" spans="1:11" x14ac:dyDescent="0.2">
      <c r="B35" s="561" t="str">
        <f>IF(Langue=1," A) Calcul % eaux claires parasites par rapport aux concentrations en entrée, moyenne annuelle","A) Berechnung % Fremdwasseranteil im Bezug auf Zulaufkonzentrationen, Jahresmittelwert")</f>
        <v>A) Berechnung % Fremdwasseranteil im Bezug auf Zulaufkonzentrationen, Jahresmittelwert</v>
      </c>
      <c r="C35" s="555"/>
      <c r="D35" s="555"/>
      <c r="E35" s="555"/>
      <c r="F35" s="555"/>
      <c r="G35" s="596"/>
      <c r="H35" s="679"/>
      <c r="I35" s="679"/>
      <c r="J35" s="679"/>
      <c r="K35" s="679"/>
    </row>
    <row r="36" spans="1:11" x14ac:dyDescent="0.2">
      <c r="B36" s="681" t="str">
        <f>IF(Langue=1,"Part des eaux claires totales (Part des eaux claires permanentes et pluviales dans les eaux traitées tout temps confondus)","Gesamter Fremdwasseranteil (ständiger Anteil und Regenwasser, am mittleren Abwasseranfall, unabhängig von der Witterung")</f>
        <v>Gesamter Fremdwasseranteil (ständiger Anteil und Regenwasser, am mittleren Abwasseranfall, unabhängig von der Witterung</v>
      </c>
      <c r="C36" s="555"/>
      <c r="D36" s="555"/>
      <c r="E36" s="555"/>
      <c r="F36" s="555"/>
      <c r="G36" s="596"/>
      <c r="H36" s="679"/>
      <c r="I36" s="679"/>
      <c r="J36" s="679"/>
      <c r="K36" s="679"/>
    </row>
    <row r="37" spans="1:11" x14ac:dyDescent="0.2">
      <c r="B37" s="680" t="str">
        <f>IF(Langue=1,"Ptot","Pges")</f>
        <v>Pges</v>
      </c>
      <c r="C37" s="660" t="str">
        <f>IFERROR(calculs!AM382/100,"")</f>
        <v/>
      </c>
      <c r="D37" s="669"/>
      <c r="E37" s="555"/>
      <c r="F37" s="555"/>
      <c r="G37" s="596"/>
      <c r="H37" s="679"/>
      <c r="I37" s="679"/>
      <c r="J37" s="679"/>
      <c r="K37" s="679"/>
    </row>
    <row r="38" spans="1:11" x14ac:dyDescent="0.2">
      <c r="B38" s="680" t="str">
        <f>IF(Langue=1,"NH4","NH4")</f>
        <v>NH4</v>
      </c>
      <c r="C38" s="660" t="str">
        <f>IFERROR(calculs!AG382/100,"")</f>
        <v/>
      </c>
      <c r="D38" s="669"/>
      <c r="E38" s="555"/>
      <c r="F38" s="555"/>
      <c r="G38" s="596"/>
      <c r="H38" s="679"/>
      <c r="I38" s="679"/>
      <c r="J38" s="679"/>
      <c r="K38" s="679"/>
    </row>
    <row r="39" spans="1:11" x14ac:dyDescent="0.2">
      <c r="B39" s="680" t="str">
        <f>IF(Langue=1,"COT","TOC")</f>
        <v>TOC</v>
      </c>
      <c r="C39" s="660" t="str">
        <f>IFERROR(calculs!AA382/100,"")</f>
        <v/>
      </c>
      <c r="D39" s="669"/>
      <c r="E39" s="555"/>
      <c r="F39" s="555"/>
      <c r="G39" s="596"/>
      <c r="H39" s="679"/>
      <c r="I39" s="679"/>
      <c r="J39" s="679"/>
      <c r="K39" s="679"/>
    </row>
    <row r="40" spans="1:11" x14ac:dyDescent="0.2">
      <c r="B40" s="680" t="s">
        <v>321</v>
      </c>
      <c r="C40" s="660" t="str">
        <f>IFERROR(calculs!U382/100,"")</f>
        <v/>
      </c>
      <c r="D40" s="669"/>
      <c r="E40" s="555"/>
      <c r="F40" s="555"/>
      <c r="G40" s="596"/>
      <c r="H40" s="679"/>
      <c r="I40" s="679"/>
      <c r="J40" s="679"/>
      <c r="K40" s="679"/>
    </row>
    <row r="41" spans="1:11" x14ac:dyDescent="0.2">
      <c r="B41" s="680" t="str">
        <f>IF(Langue=1,"Moyenne","Mittelwert")</f>
        <v>Mittelwert</v>
      </c>
      <c r="C41" s="699" t="e">
        <f>AVERAGE(C37:C40)</f>
        <v>#DIV/0!</v>
      </c>
      <c r="D41" s="669"/>
      <c r="E41" s="555"/>
      <c r="F41" s="555"/>
      <c r="G41" s="596"/>
      <c r="H41" s="679"/>
      <c r="I41" s="679"/>
      <c r="J41" s="679"/>
      <c r="K41" s="679"/>
    </row>
    <row r="42" spans="1:11" x14ac:dyDescent="0.2">
      <c r="B42" s="596"/>
      <c r="C42" s="700"/>
      <c r="D42" s="701"/>
      <c r="E42" s="596"/>
      <c r="F42" s="596"/>
      <c r="G42" s="596"/>
      <c r="H42" s="679"/>
      <c r="I42" s="679"/>
      <c r="J42" s="679"/>
      <c r="K42" s="679"/>
    </row>
    <row r="43" spans="1:11" x14ac:dyDescent="0.2">
      <c r="B43" s="558" t="str">
        <f>IF(Langue=1,"débit moyen journalier","Mittl. Tägl. Durchfluss")</f>
        <v>Mittl. Tägl. Durchfluss</v>
      </c>
      <c r="C43" s="663" t="e">
        <f>C15</f>
        <v>#DIV/0!</v>
      </c>
      <c r="D43" s="680" t="s">
        <v>152</v>
      </c>
      <c r="E43" s="682" t="e">
        <f>C43/86.4</f>
        <v>#DIV/0!</v>
      </c>
      <c r="F43" s="680" t="s">
        <v>2</v>
      </c>
      <c r="G43" s="669"/>
      <c r="H43" s="669"/>
      <c r="I43" s="679"/>
      <c r="J43" s="679"/>
      <c r="K43" s="679"/>
    </row>
    <row r="44" spans="1:11" x14ac:dyDescent="0.2">
      <c r="B44" s="681" t="str">
        <f>IF(Langue=1,"ECP","Fremdw.")</f>
        <v>Fremdw.</v>
      </c>
      <c r="C44" s="663" t="e">
        <f>C43*C41</f>
        <v>#DIV/0!</v>
      </c>
      <c r="D44" s="680" t="s">
        <v>152</v>
      </c>
      <c r="E44" s="682" t="e">
        <f>C44/86.4</f>
        <v>#DIV/0!</v>
      </c>
      <c r="F44" s="680" t="s">
        <v>2</v>
      </c>
      <c r="G44" s="698" t="str">
        <f>IF(Langue=1," = Qmoyen * % ECP","= QMittel * % Fremdwasser")</f>
        <v>= QMittel * % Fremdwasser</v>
      </c>
      <c r="H44" s="698"/>
      <c r="I44" s="554"/>
      <c r="J44" s="679"/>
      <c r="K44" s="679"/>
    </row>
    <row r="45" spans="1:11" x14ac:dyDescent="0.2">
      <c r="B45" s="681" t="str">
        <f>IF(Langue=1,"EU théor.","Th. Abw.")</f>
        <v>Th. Abw.</v>
      </c>
      <c r="C45" s="663" t="e">
        <f>C43-C44</f>
        <v>#DIV/0!</v>
      </c>
      <c r="D45" s="680" t="s">
        <v>152</v>
      </c>
      <c r="E45" s="682" t="e">
        <f>C45/86.4</f>
        <v>#DIV/0!</v>
      </c>
      <c r="F45" s="680" t="s">
        <v>2</v>
      </c>
      <c r="G45" s="698" t="str">
        <f>IF(Langue=1," = Qmoyen - ECP"," = QMittel - Fremdwasser")</f>
        <v xml:space="preserve"> = QMittel - Fremdwasser</v>
      </c>
      <c r="H45" s="698"/>
      <c r="I45" s="704"/>
      <c r="J45" s="679"/>
      <c r="K45" s="679"/>
    </row>
    <row r="46" spans="1:11" x14ac:dyDescent="0.2">
      <c r="I46" s="679"/>
      <c r="J46" s="679"/>
      <c r="K46" s="679"/>
    </row>
    <row r="47" spans="1:11" x14ac:dyDescent="0.2">
      <c r="B47" s="561" t="str">
        <f>IF(Langue=1,"B) Calcul quantité d'eaux claires parasites (m3/d) par rapport au débit en entrée, moyenne annuelle","B) Berechnung Fremdwassermenge (m3/d) im Bezug auf Zulaufmenge, Jahresmittelwert")</f>
        <v>B) Berechnung Fremdwassermenge (m3/d) im Bezug auf Zulaufmenge, Jahresmittelwert</v>
      </c>
      <c r="C47" s="669"/>
      <c r="D47" s="669"/>
      <c r="E47" s="669"/>
      <c r="F47" s="669"/>
      <c r="I47" s="679"/>
      <c r="J47" s="679"/>
      <c r="K47" s="679"/>
    </row>
    <row r="48" spans="1:11" x14ac:dyDescent="0.2">
      <c r="B48" s="559" t="str">
        <f>IF(Langue=1,"Part des eaux claires permanentes, dans les eaux traitées par temps sec","Ständiger Fremdwasseranteil, Abwassermenge bei Trockenwetter")</f>
        <v>Ständiger Fremdwasseranteil, Abwassermenge bei Trockenwetter</v>
      </c>
      <c r="C48" s="669"/>
      <c r="D48" s="558"/>
      <c r="E48" s="682"/>
      <c r="F48" s="698"/>
      <c r="G48" s="704"/>
      <c r="H48" s="679"/>
      <c r="I48" s="679"/>
      <c r="J48" s="679"/>
      <c r="K48" s="679"/>
    </row>
    <row r="49" spans="1:11" x14ac:dyDescent="0.2">
      <c r="B49" s="559" t="str">
        <f>IF(Langue=1,"     Un autre mode de calcul est de calculer le nb moyen d'EH avec la charge en entrée de la STEP.","     Andere Berechnung: Berechnung der EW mit BSB-Fracht im Zulauf der ARA")</f>
        <v xml:space="preserve">     Andere Berechnung: Berechnung der EW mit BSB-Fracht im Zulauf der ARA</v>
      </c>
      <c r="C49" s="663"/>
      <c r="D49" s="558"/>
      <c r="E49" s="682"/>
      <c r="F49" s="698"/>
      <c r="G49" s="704"/>
      <c r="H49" s="679"/>
      <c r="I49" s="679"/>
      <c r="J49" s="679"/>
      <c r="K49" s="679"/>
    </row>
    <row r="50" spans="1:11" x14ac:dyDescent="0.2">
      <c r="B50" s="559" t="str">
        <f>IF(Langue=1,"     Ensuite on calcule le débit d'eau usée avec la valeur de 150 L / jour / EH.","     Dann wird die Abwassermenge mit 150 L / Tag / EW berechnet.")</f>
        <v xml:space="preserve">     Dann wird die Abwassermenge mit 150 L / Tag / EW berechnet.</v>
      </c>
      <c r="C50" s="663"/>
      <c r="D50" s="558"/>
      <c r="E50" s="682"/>
      <c r="F50" s="698"/>
      <c r="G50" s="704"/>
      <c r="H50" s="679"/>
      <c r="I50" s="679"/>
      <c r="J50" s="679"/>
      <c r="K50" s="679"/>
    </row>
    <row r="51" spans="1:11" x14ac:dyDescent="0.2">
      <c r="B51" s="559" t="str">
        <f>IF(Langue=1,"     Pour le débit ECP, on calcule: ECP = QTS - Q eau usée.","     Für die Fremdwassermenge, berechnet man: Fremdw. = QTW - Q Abwasser.")</f>
        <v xml:space="preserve">     Für die Fremdwassermenge, berechnet man: Fremdw. = QTW - Q Abwasser.</v>
      </c>
      <c r="C51" s="663"/>
      <c r="D51" s="558"/>
      <c r="E51" s="682"/>
      <c r="F51" s="698"/>
      <c r="G51" s="704"/>
      <c r="H51" s="679"/>
      <c r="I51" s="679"/>
      <c r="J51" s="679"/>
      <c r="K51" s="679"/>
    </row>
    <row r="52" spans="1:11" x14ac:dyDescent="0.2">
      <c r="B52" s="587"/>
      <c r="C52" s="702"/>
      <c r="D52" s="554"/>
      <c r="E52" s="703"/>
      <c r="F52" s="704"/>
      <c r="G52" s="704"/>
      <c r="H52" s="679"/>
      <c r="I52" s="679"/>
      <c r="J52" s="679"/>
      <c r="K52" s="679"/>
    </row>
    <row r="53" spans="1:11" x14ac:dyDescent="0.2">
      <c r="B53" s="558" t="str">
        <f>IF(Langue=1,"EH en entrée STEP d'après la charge moyenne DCO","EW Zulauf ARA gemäss CSB-Fracht")</f>
        <v>EW Zulauf ARA gemäss CSB-Fracht</v>
      </c>
      <c r="C53" s="663" t="e">
        <f ca="1">'calcul-stats'!AY381</f>
        <v>#NAME?</v>
      </c>
      <c r="D53" s="558" t="str">
        <f>IF(Langue=1,"EH","EW")</f>
        <v>EW</v>
      </c>
      <c r="E53" s="558"/>
      <c r="F53" s="558"/>
      <c r="G53" s="673"/>
    </row>
    <row r="54" spans="1:11" x14ac:dyDescent="0.2">
      <c r="B54" s="558" t="str">
        <f>IF(Langue=1,"Débit eau usée par EH","Abwassermenge pro EW")</f>
        <v>Abwassermenge pro EW</v>
      </c>
      <c r="C54" s="558">
        <f>debit_specifique_par_EH</f>
        <v>150</v>
      </c>
      <c r="D54" s="558" t="str">
        <f>IF(Langue=1,"l/EH/jour","L/EW/d")</f>
        <v>L/EW/d</v>
      </c>
      <c r="E54" s="558"/>
      <c r="F54" s="558"/>
      <c r="G54" s="673"/>
    </row>
    <row r="55" spans="1:11" x14ac:dyDescent="0.2">
      <c r="B55" s="558" t="str">
        <f>IF(Langue=1,"Débit eau usée théorique calculé","Theoretische Abwassermenge berechnet")</f>
        <v>Theoretische Abwassermenge berechnet</v>
      </c>
      <c r="C55" s="663" t="e">
        <f ca="1">C53*C54/1000</f>
        <v>#NAME?</v>
      </c>
      <c r="D55" s="681" t="s">
        <v>152</v>
      </c>
      <c r="E55" s="682" t="e">
        <f ca="1">C55/24*1000/60/60</f>
        <v>#NAME?</v>
      </c>
      <c r="F55" s="685" t="s">
        <v>2</v>
      </c>
      <c r="G55" s="673"/>
    </row>
    <row r="56" spans="1:11" x14ac:dyDescent="0.2">
      <c r="B56" s="558" t="str">
        <f>IF(Langue=1,"QTS","QTW")</f>
        <v>QTW</v>
      </c>
      <c r="C56" s="663" t="e">
        <f>QTS</f>
        <v>#NUM!</v>
      </c>
      <c r="D56" s="681" t="s">
        <v>152</v>
      </c>
      <c r="E56" s="682" t="e">
        <f>C56/24*1000/60/60</f>
        <v>#NUM!</v>
      </c>
      <c r="F56" s="685" t="s">
        <v>2</v>
      </c>
      <c r="G56" s="673"/>
    </row>
    <row r="57" spans="1:11" x14ac:dyDescent="0.2">
      <c r="B57" s="558" t="str">
        <f>IF(Langue=1,"ECP permanentes","Ständiger Fremdw.")</f>
        <v>Ständiger Fremdw.</v>
      </c>
      <c r="C57" s="663" t="e">
        <f ca="1">QTS-C55</f>
        <v>#NUM!</v>
      </c>
      <c r="D57" s="681" t="s">
        <v>152</v>
      </c>
      <c r="E57" s="686" t="e">
        <f ca="1">C57/24*1000/60/60</f>
        <v>#NUM!</v>
      </c>
      <c r="F57" s="685" t="s">
        <v>2</v>
      </c>
      <c r="G57" s="673"/>
    </row>
    <row r="58" spans="1:11" x14ac:dyDescent="0.2">
      <c r="B58" s="562" t="str">
        <f>IF(Langue=1,"Part d'ECP permanentes","Anteil an ständiger Fremdw.")</f>
        <v>Anteil an ständiger Fremdw.</v>
      </c>
      <c r="C58" s="687" t="e">
        <f ca="1">ROUND(100*C57/C56,0)/100</f>
        <v>#NUM!</v>
      </c>
      <c r="D58" s="558"/>
      <c r="E58" s="558"/>
      <c r="F58" s="558"/>
      <c r="G58" s="673"/>
    </row>
    <row r="59" spans="1:11" x14ac:dyDescent="0.2">
      <c r="B59" s="558" t="str">
        <f>IF(Langue=1,"Débit spécifique de TS","Spezifischer Durchfluss bei TW")</f>
        <v>Spezifischer Durchfluss bei TW</v>
      </c>
      <c r="C59" s="682" t="e">
        <f ca="1">C56*1000/C53</f>
        <v>#NUM!</v>
      </c>
      <c r="D59" s="558" t="str">
        <f>IF(Langue=1,"l/EH/jour","L/EW/d")</f>
        <v>L/EW/d</v>
      </c>
      <c r="E59" s="558"/>
      <c r="F59" s="558"/>
      <c r="G59" s="673"/>
    </row>
    <row r="60" spans="1:11" x14ac:dyDescent="0.2">
      <c r="B60" s="558" t="str">
        <f>IF(Langue=1,"Débit d'ECP permanentes à éliminer pour atteindre l'objectif CIPEL (250 l/EH/j) :","Ständiger Fremdw. Durchfluss dass zu beseitigen ist um das Ziel der CIPEL (250 L/EW/d) zu erreichen :")</f>
        <v>Ständiger Fremdw. Durchfluss dass zu beseitigen ist um das Ziel der CIPEL (250 L/EW/d) zu erreichen :</v>
      </c>
      <c r="C60" s="558"/>
      <c r="D60" s="558"/>
      <c r="E60" s="557" t="e">
        <f ca="1">(C57-(C53*0.08))/86.4</f>
        <v>#NUM!</v>
      </c>
      <c r="F60" s="558" t="s">
        <v>2</v>
      </c>
    </row>
    <row r="61" spans="1:11" x14ac:dyDescent="0.2">
      <c r="B61" s="669"/>
      <c r="C61" s="558"/>
      <c r="D61" s="558"/>
      <c r="E61" s="558"/>
      <c r="F61" s="558"/>
    </row>
    <row r="62" spans="1:11" x14ac:dyDescent="0.2">
      <c r="B62" s="561" t="str">
        <f>IF(Langue=1,"Taux moyen calcul A) et B)","Mittelwert Berechung A) und B)")</f>
        <v>Mittelwert Berechung A) und B)</v>
      </c>
      <c r="C62" s="563" t="e">
        <f>AVERAGE(C41,C58)</f>
        <v>#DIV/0!</v>
      </c>
      <c r="D62" s="558"/>
      <c r="E62" s="558"/>
      <c r="F62" s="558"/>
    </row>
    <row r="64" spans="1:11" x14ac:dyDescent="0.2">
      <c r="A64" s="706" t="str">
        <f>IF(Langue=1,"Flux moyens annuels","Mittl. jährl. Zulauffrachten")</f>
        <v>Mittl. jährl. Zulauffrachten</v>
      </c>
      <c r="B64" s="666"/>
      <c r="C64" s="666"/>
      <c r="D64" s="666"/>
      <c r="E64" s="666"/>
      <c r="F64" s="666"/>
      <c r="G64" s="666"/>
      <c r="H64" s="666"/>
      <c r="I64" s="666"/>
      <c r="J64" s="666"/>
    </row>
    <row r="65" spans="1:12" x14ac:dyDescent="0.2">
      <c r="B65" s="707"/>
      <c r="C65" s="658" t="str">
        <f>IF(Langue=1,"DBO5","BSB5")</f>
        <v>BSB5</v>
      </c>
      <c r="D65" s="658" t="str">
        <f>IF(Langue=1,"DCO","CSB")</f>
        <v>CSB</v>
      </c>
      <c r="E65" s="658" t="str">
        <f>IF(Langue=1,"COT","TOC")</f>
        <v>TOC</v>
      </c>
      <c r="F65" s="658" t="s">
        <v>156</v>
      </c>
      <c r="G65" s="658" t="s">
        <v>0</v>
      </c>
      <c r="H65" s="658" t="str">
        <f>IF(Langue=1,"Ptot","Pges")</f>
        <v>Pges</v>
      </c>
      <c r="I65" s="658" t="str">
        <f>IF(Langue=1,"Gaz produit","Gasprod.")</f>
        <v>Gasprod.</v>
      </c>
      <c r="J65" s="658" t="str">
        <f>IF(Langue=1,"B fraiches","FS")</f>
        <v>FS</v>
      </c>
    </row>
    <row r="66" spans="1:12" x14ac:dyDescent="0.2">
      <c r="B66" s="707"/>
      <c r="C66" s="685" t="str">
        <f>IF(Langue=1,"kg/j","kg/Tag")</f>
        <v>kg/Tag</v>
      </c>
      <c r="D66" s="685" t="str">
        <f>IF(Langue=1,"kg/j","kg/Tag")</f>
        <v>kg/Tag</v>
      </c>
      <c r="E66" s="685" t="str">
        <f>IF(Langue=1,"kg/j","kg/Tag")</f>
        <v>kg/Tag</v>
      </c>
      <c r="F66" s="669"/>
      <c r="G66" s="685" t="str">
        <f>IF(Langue=1,"kg/j","kg/Tag")</f>
        <v>kg/Tag</v>
      </c>
      <c r="H66" s="685" t="str">
        <f>IF(Langue=1,"kg/j","kg/Tag")</f>
        <v>kg/Tag</v>
      </c>
      <c r="I66" s="685" t="str">
        <f>IF(Langue=1,"m3/j","m3/Tag")</f>
        <v>m3/Tag</v>
      </c>
      <c r="J66" s="685" t="str">
        <f>IF(Langue=1,"kg/j","kg/Tag")</f>
        <v>kg/Tag</v>
      </c>
    </row>
    <row r="67" spans="1:12" x14ac:dyDescent="0.2">
      <c r="B67" s="681" t="str">
        <f>IF(Langue=1,"Moyenne","Mittelwert")</f>
        <v>Mittelwert</v>
      </c>
      <c r="C67" s="689" t="e">
        <f ca="1">'calcul-stats'!D381</f>
        <v>#NAME?</v>
      </c>
      <c r="D67" s="689" t="e">
        <f ca="1">'calcul-stats'!E381</f>
        <v>#NAME?</v>
      </c>
      <c r="E67" s="689" t="e">
        <f ca="1">'calcul-stats'!F381</f>
        <v>#NAME?</v>
      </c>
      <c r="F67" s="669"/>
      <c r="G67" s="689" t="e">
        <f ca="1">'calcul-stats'!G381</f>
        <v>#NAME?</v>
      </c>
      <c r="H67" s="689" t="e">
        <f ca="1">'calcul-stats'!I381</f>
        <v>#NAME?</v>
      </c>
      <c r="I67" s="689" t="e">
        <f>analyses!AM382</f>
        <v>#DIV/0!</v>
      </c>
      <c r="J67" s="689" t="e">
        <f>C87</f>
        <v>#DIV/0!</v>
      </c>
    </row>
    <row r="68" spans="1:12" x14ac:dyDescent="0.2">
      <c r="B68" s="709" t="s">
        <v>373</v>
      </c>
      <c r="C68" s="689" t="e">
        <f ca="1">'calcul-stats'!D385</f>
        <v>#NAME?</v>
      </c>
      <c r="D68" s="689" t="e">
        <f ca="1">'calcul-stats'!E385</f>
        <v>#NAME?</v>
      </c>
      <c r="E68" s="689" t="e">
        <f ca="1">'calcul-stats'!F385</f>
        <v>#NAME?</v>
      </c>
      <c r="F68" s="669"/>
      <c r="G68" s="689" t="e">
        <f ca="1">'calcul-stats'!G385</f>
        <v>#NAME?</v>
      </c>
      <c r="H68" s="689" t="e">
        <f ca="1">'calcul-stats'!I385</f>
        <v>#NAME?</v>
      </c>
      <c r="I68" s="689"/>
      <c r="J68" s="689"/>
    </row>
    <row r="69" spans="1:12" x14ac:dyDescent="0.2">
      <c r="B69" s="709" t="s">
        <v>374</v>
      </c>
      <c r="C69" s="689" t="e">
        <f ca="1">'calcul-stats'!D386</f>
        <v>#NAME?</v>
      </c>
      <c r="D69" s="689" t="e">
        <f ca="1">'calcul-stats'!E386</f>
        <v>#NAME?</v>
      </c>
      <c r="E69" s="689" t="e">
        <f ca="1">'calcul-stats'!F386</f>
        <v>#NAME?</v>
      </c>
      <c r="F69" s="669"/>
      <c r="G69" s="689" t="e">
        <f ca="1">'calcul-stats'!G386</f>
        <v>#NAME?</v>
      </c>
      <c r="H69" s="689" t="e">
        <f ca="1">'calcul-stats'!I386</f>
        <v>#NAME?</v>
      </c>
      <c r="I69" s="689"/>
      <c r="J69" s="689"/>
    </row>
    <row r="70" spans="1:12" x14ac:dyDescent="0.2">
      <c r="B70" s="708" t="s">
        <v>375</v>
      </c>
      <c r="C70" s="689" t="e">
        <f ca="1">'calcul-stats'!D387</f>
        <v>#NAME?</v>
      </c>
      <c r="D70" s="689" t="e">
        <f ca="1">'calcul-stats'!E387</f>
        <v>#NAME?</v>
      </c>
      <c r="E70" s="689" t="e">
        <f ca="1">'calcul-stats'!F387</f>
        <v>#NAME?</v>
      </c>
      <c r="F70" s="669"/>
      <c r="G70" s="689" t="e">
        <f ca="1">'calcul-stats'!G387</f>
        <v>#NAME?</v>
      </c>
      <c r="H70" s="689" t="e">
        <f ca="1">'calcul-stats'!I387</f>
        <v>#NAME?</v>
      </c>
      <c r="I70" s="558"/>
      <c r="J70" s="558"/>
    </row>
    <row r="72" spans="1:12" x14ac:dyDescent="0.2">
      <c r="A72" s="706" t="str">
        <f>IF(Langue=1,"Flux moyens annuels, en EH","Mittl. jährl. Zulauffrachten, in EW")</f>
        <v>Mittl. jährl. Zulauffrachten, in EW</v>
      </c>
      <c r="B72" s="666"/>
      <c r="C72" s="666"/>
      <c r="D72" s="666"/>
      <c r="E72" s="666"/>
      <c r="F72" s="666"/>
      <c r="G72" s="666"/>
      <c r="H72" s="666"/>
      <c r="I72" s="666"/>
      <c r="J72" s="666"/>
    </row>
    <row r="73" spans="1:12" x14ac:dyDescent="0.2">
      <c r="C73" s="658" t="str">
        <f>IF(Langue=1,"DCO","CSB")</f>
        <v>CSB</v>
      </c>
      <c r="D73" s="658" t="str">
        <f>IF(Langue=1,"COT","TOC")</f>
        <v>TOC</v>
      </c>
      <c r="E73" s="658" t="s">
        <v>156</v>
      </c>
      <c r="F73" s="658" t="s">
        <v>0</v>
      </c>
      <c r="G73" s="658" t="str">
        <f>IF(Langue=1,"Ptot","Pges")</f>
        <v>Pges</v>
      </c>
      <c r="H73" s="658" t="str">
        <f>IF(Langue=1,"Gaz produit","Gasprod.")</f>
        <v>Gasprod.</v>
      </c>
      <c r="I73" s="658" t="str">
        <f>IF(Langue=1,"B fraiches","FS")</f>
        <v>FS</v>
      </c>
    </row>
    <row r="74" spans="1:12" x14ac:dyDescent="0.2">
      <c r="B74" s="681" t="str">
        <f>IF(Langue=1,"Moyenne","Mittelwert")</f>
        <v>Mittelwert</v>
      </c>
      <c r="C74" s="689" t="e">
        <f ca="1">'calcul-stats'!AY381</f>
        <v>#NAME?</v>
      </c>
      <c r="D74" s="689" t="e">
        <f ca="1">'calcul-stats'!BB381</f>
        <v>#NAME?</v>
      </c>
      <c r="E74" s="689" t="e">
        <f ca="1">'calcul-stats'!AZ381</f>
        <v>#NAME?</v>
      </c>
      <c r="F74" s="689" t="e">
        <f ca="1">'calcul-stats'!BA381</f>
        <v>#NAME?</v>
      </c>
      <c r="G74" s="689" t="e">
        <f ca="1">'calcul-stats'!BC381</f>
        <v>#NAME?</v>
      </c>
      <c r="H74" s="689" t="e">
        <f>I67*1000/constanten!B17</f>
        <v>#DIV/0!</v>
      </c>
      <c r="I74" s="689" t="e">
        <f>J67*1000/constanten!B18</f>
        <v>#DIV/0!</v>
      </c>
    </row>
    <row r="75" spans="1:12" x14ac:dyDescent="0.2">
      <c r="B75" s="709" t="s">
        <v>373</v>
      </c>
      <c r="C75" s="689" t="e">
        <f ca="1">'calcul-stats'!AY385</f>
        <v>#NAME?</v>
      </c>
      <c r="D75" s="689" t="e">
        <f ca="1">'calcul-stats'!BB385</f>
        <v>#NAME?</v>
      </c>
      <c r="E75" s="689" t="e">
        <f ca="1">'calcul-stats'!AZ385</f>
        <v>#NAME?</v>
      </c>
      <c r="F75" s="689" t="e">
        <f ca="1">'calcul-stats'!BA385</f>
        <v>#NAME?</v>
      </c>
      <c r="G75" s="689" t="e">
        <f ca="1">'calcul-stats'!BC385</f>
        <v>#NAME?</v>
      </c>
    </row>
    <row r="76" spans="1:12" x14ac:dyDescent="0.2">
      <c r="B76" s="709" t="s">
        <v>374</v>
      </c>
      <c r="C76" s="689" t="e">
        <f ca="1">'calcul-stats'!AY386</f>
        <v>#NAME?</v>
      </c>
      <c r="D76" s="689" t="e">
        <f ca="1">'calcul-stats'!BB386</f>
        <v>#NAME?</v>
      </c>
      <c r="E76" s="689" t="e">
        <f ca="1">'calcul-stats'!AZ386</f>
        <v>#NAME?</v>
      </c>
      <c r="F76" s="689" t="e">
        <f ca="1">'calcul-stats'!BA386</f>
        <v>#NAME?</v>
      </c>
      <c r="G76" s="689" t="e">
        <f ca="1">'calcul-stats'!BC386</f>
        <v>#NAME?</v>
      </c>
    </row>
    <row r="77" spans="1:12" x14ac:dyDescent="0.2">
      <c r="B77" s="708" t="s">
        <v>375</v>
      </c>
      <c r="C77" s="689" t="e">
        <f ca="1">'calcul-stats'!AY387</f>
        <v>#NAME?</v>
      </c>
      <c r="D77" s="689" t="e">
        <f ca="1">'calcul-stats'!BB387</f>
        <v>#NAME?</v>
      </c>
      <c r="E77" s="689" t="e">
        <f ca="1">'calcul-stats'!AZ387</f>
        <v>#NAME?</v>
      </c>
      <c r="F77" s="689" t="e">
        <f ca="1">'calcul-stats'!BA387</f>
        <v>#NAME?</v>
      </c>
      <c r="G77" s="689" t="e">
        <f ca="1">'calcul-stats'!BC387</f>
        <v>#NAME?</v>
      </c>
    </row>
    <row r="78" spans="1:12" x14ac:dyDescent="0.2">
      <c r="B78" s="688"/>
      <c r="C78" s="688"/>
      <c r="D78" s="688"/>
      <c r="E78" s="688"/>
      <c r="F78" s="688"/>
      <c r="G78" s="688"/>
      <c r="H78" s="690"/>
      <c r="I78" s="688"/>
    </row>
    <row r="79" spans="1:12" x14ac:dyDescent="0.2">
      <c r="A79" s="706" t="str">
        <f>IF(Langue=1,"Habitants","Bevölkerung")</f>
        <v>Bevölkerung</v>
      </c>
      <c r="B79" s="666"/>
      <c r="C79" s="666"/>
      <c r="D79" s="666"/>
      <c r="E79" s="666"/>
      <c r="F79" s="666"/>
      <c r="G79" s="666"/>
      <c r="H79" s="666"/>
      <c r="I79" s="666"/>
      <c r="J79" s="666"/>
    </row>
    <row r="80" spans="1:12" x14ac:dyDescent="0.2">
      <c r="B80" s="691" t="s">
        <v>360</v>
      </c>
      <c r="C80" s="685">
        <f>hab.rac!K11</f>
        <v>1757</v>
      </c>
      <c r="D80" s="685"/>
      <c r="E80" s="688"/>
      <c r="F80" s="688"/>
      <c r="G80" s="688"/>
      <c r="H80" s="690"/>
      <c r="I80" s="693"/>
      <c r="J80" s="693"/>
      <c r="K80" s="693"/>
      <c r="L80" s="693"/>
    </row>
    <row r="81" spans="1:12" x14ac:dyDescent="0.2">
      <c r="B81" s="692" t="s">
        <v>361</v>
      </c>
      <c r="C81" s="689">
        <f>hab.rac!G2</f>
        <v>1982.64</v>
      </c>
      <c r="D81" s="685"/>
      <c r="E81" s="688"/>
      <c r="F81" s="688"/>
      <c r="G81" s="688"/>
      <c r="H81" s="690"/>
      <c r="I81" s="693"/>
      <c r="J81" s="693"/>
      <c r="K81" s="693"/>
      <c r="L81" s="693"/>
    </row>
    <row r="82" spans="1:12" x14ac:dyDescent="0.2">
      <c r="H82" s="690"/>
      <c r="I82" s="693"/>
      <c r="J82" s="693"/>
      <c r="K82" s="693"/>
      <c r="L82" s="693"/>
    </row>
    <row r="83" spans="1:12" x14ac:dyDescent="0.2">
      <c r="A83" s="706" t="str">
        <f>IF(Langue=1,"boues","Schlamm")</f>
        <v>Schlamm</v>
      </c>
      <c r="B83" s="666"/>
      <c r="C83" s="666"/>
      <c r="D83" s="666"/>
      <c r="E83" s="666"/>
      <c r="F83" s="666"/>
      <c r="G83" s="666"/>
      <c r="H83" s="666"/>
      <c r="I83" s="666"/>
      <c r="J83" s="666"/>
    </row>
    <row r="84" spans="1:12" x14ac:dyDescent="0.2">
      <c r="B84" s="562" t="str">
        <f>IF(Langue=1,"Boues fraîches","Frischschlammanfall")</f>
        <v>Frischschlammanfall</v>
      </c>
      <c r="C84" s="562" t="str">
        <f>IF('liste-STEP'!G95=1,"Moyenne journalière","Mittelwerte")</f>
        <v>Mittelwerte</v>
      </c>
      <c r="D84" s="685"/>
      <c r="E84" s="562" t="str">
        <f>IF('liste-STEP'!I95=1,"Somme annuelle","Total pro Jahr")</f>
        <v>Total pro Jahr</v>
      </c>
      <c r="F84" s="669"/>
    </row>
    <row r="85" spans="1:12" ht="12.75" x14ac:dyDescent="0.2">
      <c r="B85" s="558" t="str">
        <f>IF(Langue=1,"Boues fraîches","Frischschl. nass")</f>
        <v>Frischschl. nass</v>
      </c>
      <c r="C85" s="696">
        <f>E85/365</f>
        <v>0</v>
      </c>
      <c r="D85" s="558" t="str">
        <f>IF(Langue=1,"m3/jour","m3/Tag")</f>
        <v>m3/Tag</v>
      </c>
      <c r="E85" s="832">
        <f>analyses!Z384</f>
        <v>0</v>
      </c>
      <c r="F85" s="833" t="s">
        <v>355</v>
      </c>
    </row>
    <row r="86" spans="1:12" x14ac:dyDescent="0.2">
      <c r="B86" s="558" t="str">
        <f>IF(Langue=1,"MS","TS-Anteil")</f>
        <v>TS-Anteil</v>
      </c>
      <c r="C86" s="696" t="e">
        <f>analyses!AA382</f>
        <v>#DIV/0!</v>
      </c>
      <c r="D86" s="558" t="str">
        <f>IF(Langue=1,"g MS/l","%")</f>
        <v>%</v>
      </c>
      <c r="E86" s="832" t="e">
        <f>analyses!AA382</f>
        <v>#DIV/0!</v>
      </c>
      <c r="F86" s="669" t="s">
        <v>3</v>
      </c>
    </row>
    <row r="87" spans="1:12" x14ac:dyDescent="0.2">
      <c r="B87" s="558" t="str">
        <f>IF(Langue=1,"Production :","Frischschl. in TS")</f>
        <v>Frischschl. in TS</v>
      </c>
      <c r="C87" s="696" t="e">
        <f>E87/365</f>
        <v>#DIV/0!</v>
      </c>
      <c r="D87" s="558" t="str">
        <f>IF(Langue=1,"kg MS/jour","kg TS/Tag")</f>
        <v>kg TS/Tag</v>
      </c>
      <c r="E87" s="663" t="e">
        <f>E85*E86</f>
        <v>#DIV/0!</v>
      </c>
      <c r="F87" s="558" t="str">
        <f>IF('liste-STEP'!H95=1,"kg MS/jour","kg TS/Tag")</f>
        <v>kg TS/Tag</v>
      </c>
    </row>
    <row r="88" spans="1:12" x14ac:dyDescent="0.2">
      <c r="H88" s="684"/>
      <c r="J88" s="694"/>
      <c r="K88" s="695"/>
      <c r="L88" s="695"/>
    </row>
    <row r="90" spans="1:12" ht="12.75" x14ac:dyDescent="0.2">
      <c r="B90" s="562" t="str">
        <f>IF(Langue=1,"Elimination boues","Entwässerter Schlamm")</f>
        <v>Entwässerter Schlamm</v>
      </c>
      <c r="C90" s="708" t="str">
        <f>IF('liste-STEP'!G84=1,"Moyenne","Mittelw.")</f>
        <v>Mittelw.</v>
      </c>
      <c r="D90" s="685"/>
      <c r="E90" s="562" t="str">
        <f>IF('liste-STEP'!I101=1,"Somme annuelle","Total pro Jahr")</f>
        <v>Total pro Jahr</v>
      </c>
      <c r="F90" s="669"/>
      <c r="G90" s="833" t="str">
        <f>bi("Production spécif. (g MS/EH.j)","Spez. Schlammprod. (g TS/EW.d)")</f>
        <v>Spez. Schlammprod. (g TS/EW.d)</v>
      </c>
      <c r="H90" s="669"/>
      <c r="I90" s="669"/>
      <c r="J90" s="672" t="e">
        <f ca="1">C93/C74*1000000</f>
        <v>#NAME?</v>
      </c>
    </row>
    <row r="91" spans="1:12" ht="12.75" x14ac:dyDescent="0.2">
      <c r="B91" s="558"/>
      <c r="C91" s="697">
        <f>E91/365</f>
        <v>0</v>
      </c>
      <c r="D91" s="558" t="s">
        <v>663</v>
      </c>
      <c r="E91" s="832">
        <f>analyses!AF384</f>
        <v>0</v>
      </c>
      <c r="F91" s="833" t="s">
        <v>664</v>
      </c>
      <c r="G91" s="833" t="str">
        <f>bi("Plage recommandée (g MS/EH.j)","Empfohlene Werte (g TS/EW.d)")&amp;"                 55 - 85"</f>
        <v>Empfohlene Werte (g TS/EW.d)                 55 - 85</v>
      </c>
      <c r="H91" s="669"/>
      <c r="I91" s="669"/>
      <c r="J91" s="669"/>
    </row>
    <row r="92" spans="1:12" x14ac:dyDescent="0.2">
      <c r="B92" s="558"/>
      <c r="C92" s="834" t="e">
        <f>analyses!AG382</f>
        <v>#DIV/0!</v>
      </c>
      <c r="D92" s="558"/>
      <c r="E92" s="835" t="e">
        <f>analyses!AG382</f>
        <v>#DIV/0!</v>
      </c>
      <c r="F92" s="669"/>
    </row>
    <row r="93" spans="1:12" x14ac:dyDescent="0.2">
      <c r="B93" s="669"/>
      <c r="C93" s="869">
        <f>E93/365</f>
        <v>0</v>
      </c>
      <c r="D93" s="558" t="s">
        <v>665</v>
      </c>
      <c r="E93" s="836">
        <f>analyses!AH384</f>
        <v>0</v>
      </c>
      <c r="F93" s="558" t="s">
        <v>666</v>
      </c>
    </row>
    <row r="95" spans="1:12" x14ac:dyDescent="0.2">
      <c r="B95" s="562" t="str">
        <f>IF(Langue=1,"Production gaz","Gasproduktion")</f>
        <v>Gasproduktion</v>
      </c>
      <c r="C95" s="663">
        <f>analyses!AM384</f>
        <v>0</v>
      </c>
      <c r="D95" s="558" t="s">
        <v>355</v>
      </c>
    </row>
    <row r="96" spans="1:12" x14ac:dyDescent="0.2">
      <c r="B96" s="684"/>
      <c r="C96" s="684"/>
      <c r="D96" s="684"/>
    </row>
    <row r="97" spans="1:10" x14ac:dyDescent="0.2">
      <c r="A97" s="706" t="str">
        <f>IF(Langue=1,"Température bassin biologique","Abwassertemperatur")</f>
        <v>Abwassertemperatur</v>
      </c>
      <c r="B97" s="666"/>
      <c r="C97" s="710"/>
      <c r="D97" s="710"/>
      <c r="E97" s="666"/>
      <c r="F97" s="666"/>
      <c r="G97" s="666"/>
      <c r="H97" s="666"/>
      <c r="I97" s="666"/>
      <c r="J97" s="666"/>
    </row>
    <row r="98" spans="1:10" x14ac:dyDescent="0.2">
      <c r="B98" s="558" t="str">
        <f>IF(Langue=1,"Moyenne","Mittelwert")</f>
        <v>Mittelwert</v>
      </c>
      <c r="C98" s="696" t="e">
        <f>analyses!D382</f>
        <v>#DIV/0!</v>
      </c>
      <c r="D98" s="558" t="s">
        <v>1</v>
      </c>
    </row>
    <row r="99" spans="1:10" x14ac:dyDescent="0.2">
      <c r="B99" s="683"/>
      <c r="C99" s="683"/>
      <c r="D99" s="683"/>
      <c r="E99" s="683"/>
    </row>
    <row r="100" spans="1:10" x14ac:dyDescent="0.2">
      <c r="A100" s="706" t="str">
        <f>IF(Langue=1,"age de boues","Schlammalter")</f>
        <v>Schlammalter</v>
      </c>
      <c r="B100" s="710"/>
      <c r="C100" s="711"/>
      <c r="D100" s="711"/>
      <c r="E100" s="711"/>
      <c r="F100" s="666"/>
      <c r="G100" s="666"/>
      <c r="H100" s="666"/>
      <c r="I100" s="666"/>
      <c r="J100" s="666"/>
    </row>
    <row r="101" spans="1:10" x14ac:dyDescent="0.2">
      <c r="B101" s="708" t="str">
        <f>IF(Langue=1,"Moyenne","Mittelw.")</f>
        <v>Mittelw.</v>
      </c>
      <c r="C101" s="696" t="e">
        <f ca="1">'calcul-stats'!BE381</f>
        <v>#NAME?</v>
      </c>
      <c r="D101" s="669" t="s">
        <v>359</v>
      </c>
    </row>
    <row r="102" spans="1:10" x14ac:dyDescent="0.2">
      <c r="B102" s="558" t="s">
        <v>155</v>
      </c>
      <c r="C102" s="696" t="e">
        <f ca="1">'calcul-stats'!BE380</f>
        <v>#NAME?</v>
      </c>
      <c r="D102" s="669" t="s">
        <v>359</v>
      </c>
    </row>
    <row r="103" spans="1:10" x14ac:dyDescent="0.2">
      <c r="B103" s="558" t="s">
        <v>154</v>
      </c>
      <c r="C103" s="696" t="e">
        <f ca="1">'calcul-stats'!BE379</f>
        <v>#NAME?</v>
      </c>
      <c r="D103" s="669" t="s">
        <v>359</v>
      </c>
    </row>
    <row r="105" spans="1:10" x14ac:dyDescent="0.2">
      <c r="A105" s="706" t="str">
        <f>IF(Langue=1,"consommation électrique","Stromverbrauch")</f>
        <v>Stromverbrauch</v>
      </c>
      <c r="B105" s="710"/>
      <c r="C105" s="711"/>
      <c r="D105" s="711"/>
      <c r="E105" s="711"/>
      <c r="F105" s="666"/>
      <c r="G105" s="666"/>
      <c r="H105" s="666"/>
      <c r="I105" s="666"/>
      <c r="J105" s="666"/>
    </row>
    <row r="106" spans="1:10" x14ac:dyDescent="0.2">
      <c r="C106" s="667" t="s">
        <v>667</v>
      </c>
    </row>
    <row r="107" spans="1:10" ht="12.6" customHeight="1" x14ac:dyDescent="0.2">
      <c r="B107" s="721" t="str">
        <f>IF(Langue=1,"achetée","bezogen")</f>
        <v>bezogen</v>
      </c>
      <c r="C107" s="832">
        <f>analyses!AK384</f>
        <v>0</v>
      </c>
      <c r="D107" s="669" t="s">
        <v>278</v>
      </c>
      <c r="F107" s="1090"/>
      <c r="G107" s="1090"/>
      <c r="H107" s="1086"/>
    </row>
    <row r="108" spans="1:10" ht="12.75" x14ac:dyDescent="0.2">
      <c r="B108" s="721" t="str">
        <f>IF(Langue=1,"produite","erzeugt")</f>
        <v>erzeugt</v>
      </c>
      <c r="C108" s="832">
        <f>analyses!AN384</f>
        <v>0</v>
      </c>
      <c r="D108" s="669" t="s">
        <v>278</v>
      </c>
      <c r="F108" s="1090"/>
      <c r="G108" s="1090"/>
      <c r="H108" s="1087"/>
    </row>
    <row r="109" spans="1:10" ht="12.75" x14ac:dyDescent="0.2">
      <c r="B109" s="837" t="str">
        <f>IF(Langue=1,"vendue","verkauft")</f>
        <v>verkauft</v>
      </c>
      <c r="C109" s="838">
        <f>analyses!AO384</f>
        <v>0</v>
      </c>
      <c r="D109" s="669" t="s">
        <v>278</v>
      </c>
    </row>
    <row r="110" spans="1:10" ht="12.75" x14ac:dyDescent="0.2">
      <c r="B110" s="721" t="str">
        <f>IF(Langue=1,"utilisée","verbraucht")</f>
        <v>verbraucht</v>
      </c>
      <c r="C110" s="839">
        <f>C107+C108-C109</f>
        <v>0</v>
      </c>
      <c r="D110" s="669" t="s">
        <v>278</v>
      </c>
    </row>
    <row r="111" spans="1:10" ht="12.75" x14ac:dyDescent="0.2">
      <c r="B111" s="721" t="b">
        <f>IF(Langue=1,"Stromverbrauch/behandelte EW")</f>
        <v>0</v>
      </c>
      <c r="C111" s="672" t="e">
        <f ca="1">C110/C74/365*1000</f>
        <v>#NAME?</v>
      </c>
      <c r="D111" s="669" t="s">
        <v>668</v>
      </c>
    </row>
    <row r="112" spans="1:10" ht="12.75" x14ac:dyDescent="0.2">
      <c r="B112" s="721"/>
      <c r="C112" s="721"/>
      <c r="D112" s="669"/>
    </row>
    <row r="113" spans="2:4" ht="12.75" x14ac:dyDescent="0.2">
      <c r="B113" s="721" t="str">
        <f>IF(Langue=1,"Part aération biologie","Anteil Gebläse Biologie")</f>
        <v>Anteil Gebläse Biologie</v>
      </c>
      <c r="C113" s="840" t="e">
        <f>analyses!AL384/C110</f>
        <v>#DIV/0!</v>
      </c>
      <c r="D113" s="669"/>
    </row>
  </sheetData>
  <mergeCells count="4">
    <mergeCell ref="H107:H108"/>
    <mergeCell ref="B14:C14"/>
    <mergeCell ref="C31:F31"/>
    <mergeCell ref="F107:G108"/>
  </mergeCells>
  <pageMargins left="0.70866141732283472" right="0.70866141732283472" top="0.74803149606299213" bottom="0.74803149606299213" header="0.31496062992125984" footer="0.31496062992125984"/>
  <pageSetup paperSize="301" fitToHeight="4" orientation="landscape" r:id="rId1"/>
  <rowBreaks count="2" manualBreakCount="2">
    <brk id="33" max="16383" man="1"/>
    <brk id="6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8" tint="0.59999389629810485"/>
  </sheetPr>
  <dimension ref="A1:O377"/>
  <sheetViews>
    <sheetView zoomScale="85" zoomScaleNormal="85" workbookViewId="0">
      <selection activeCell="F12" sqref="F12"/>
    </sheetView>
  </sheetViews>
  <sheetFormatPr baseColWidth="10" defaultColWidth="11.42578125" defaultRowHeight="12.75" x14ac:dyDescent="0.2"/>
  <cols>
    <col min="1" max="16384" width="11.42578125" style="514"/>
  </cols>
  <sheetData>
    <row r="1" spans="1:15" x14ac:dyDescent="0.2">
      <c r="A1" s="514" t="str">
        <f>basis!A1</f>
        <v>ARA Ausserbinn</v>
      </c>
    </row>
    <row r="9" spans="1:15" ht="12.75" customHeight="1" x14ac:dyDescent="0.2">
      <c r="B9" s="1091" t="str">
        <f>A1&amp;" "&amp;Jahr&amp;" - "&amp;IF('liste-STEP'!F95=1,"Charge entrée EW","Zulauffrachten in EW")</f>
        <v>ARA Ausserbinn 2022 - Zulauffrachten in EW</v>
      </c>
      <c r="C9" s="1091"/>
      <c r="D9" s="1091"/>
      <c r="E9" s="1091"/>
      <c r="F9" s="1091"/>
      <c r="G9" s="757"/>
    </row>
    <row r="10" spans="1:15" ht="25.5" x14ac:dyDescent="0.2">
      <c r="A10" s="502"/>
      <c r="B10" s="758" t="s">
        <v>150</v>
      </c>
      <c r="C10" s="758" t="s">
        <v>330</v>
      </c>
      <c r="D10" s="757" t="s">
        <v>0</v>
      </c>
      <c r="E10" s="757" t="s">
        <v>151</v>
      </c>
      <c r="F10" s="757" t="s">
        <v>331</v>
      </c>
      <c r="G10" s="757" t="s">
        <v>672</v>
      </c>
    </row>
    <row r="11" spans="1:15" x14ac:dyDescent="0.2">
      <c r="A11" s="222">
        <f>calculs!A11</f>
        <v>44562</v>
      </c>
      <c r="B11" s="523" t="e">
        <f ca="1">gr('calcul-stats'!AY11)</f>
        <v>#NAME?</v>
      </c>
      <c r="C11" s="523" t="e">
        <f ca="1">gr('calcul-stats'!AZ11)</f>
        <v>#NAME?</v>
      </c>
      <c r="D11" s="523" t="e">
        <f ca="1">gr('calcul-stats'!BA11)</f>
        <v>#NAME?</v>
      </c>
      <c r="E11" s="523" t="e">
        <f ca="1">gr('calcul-stats'!BB11)</f>
        <v>#NAME?</v>
      </c>
      <c r="F11" s="523" t="e">
        <f ca="1">gr('calcul-stats'!BC11)</f>
        <v>#NAME?</v>
      </c>
      <c r="G11" s="524" t="e">
        <f ca="1">AVERAGE(B11:F11)</f>
        <v>#NAME?</v>
      </c>
    </row>
    <row r="12" spans="1:15" x14ac:dyDescent="0.2">
      <c r="A12" s="222">
        <f>calculs!A12</f>
        <v>44563</v>
      </c>
      <c r="B12" s="523" t="e">
        <f ca="1">gr('calcul-stats'!AY12)</f>
        <v>#NAME?</v>
      </c>
      <c r="C12" s="523" t="e">
        <f ca="1">gr('calcul-stats'!AZ12)</f>
        <v>#NAME?</v>
      </c>
      <c r="D12" s="523" t="e">
        <f ca="1">gr('calcul-stats'!BA12)</f>
        <v>#NAME?</v>
      </c>
      <c r="E12" s="523" t="e">
        <f ca="1">gr('calcul-stats'!BB12)</f>
        <v>#NAME?</v>
      </c>
      <c r="F12" s="523" t="e">
        <f ca="1">gr('calcul-stats'!BC12)</f>
        <v>#NAME?</v>
      </c>
      <c r="G12" s="524" t="e">
        <f t="shared" ref="G12:G75" ca="1" si="0">AVERAGE(B12:F12)</f>
        <v>#NAME?</v>
      </c>
    </row>
    <row r="13" spans="1:15" x14ac:dyDescent="0.2">
      <c r="A13" s="222">
        <f>calculs!A13</f>
        <v>44564</v>
      </c>
      <c r="B13" s="523" t="e">
        <f ca="1">gr('calcul-stats'!AY13)</f>
        <v>#NAME?</v>
      </c>
      <c r="C13" s="523" t="e">
        <f ca="1">gr('calcul-stats'!AZ13)</f>
        <v>#NAME?</v>
      </c>
      <c r="D13" s="523" t="e">
        <f ca="1">gr('calcul-stats'!BA13)</f>
        <v>#NAME?</v>
      </c>
      <c r="E13" s="523" t="e">
        <f ca="1">gr('calcul-stats'!BB13)</f>
        <v>#NAME?</v>
      </c>
      <c r="F13" s="523" t="e">
        <f ca="1">gr('calcul-stats'!BC13)</f>
        <v>#NAME?</v>
      </c>
      <c r="G13" s="524" t="e">
        <f t="shared" ca="1" si="0"/>
        <v>#NAME?</v>
      </c>
    </row>
    <row r="14" spans="1:15" x14ac:dyDescent="0.2">
      <c r="A14" s="222">
        <f>calculs!A14</f>
        <v>44565</v>
      </c>
      <c r="B14" s="523" t="e">
        <f ca="1">gr('calcul-stats'!AY14)</f>
        <v>#NAME?</v>
      </c>
      <c r="C14" s="523" t="e">
        <f ca="1">gr('calcul-stats'!AZ14)</f>
        <v>#NAME?</v>
      </c>
      <c r="D14" s="523" t="e">
        <f ca="1">gr('calcul-stats'!BA14)</f>
        <v>#NAME?</v>
      </c>
      <c r="E14" s="523" t="e">
        <f ca="1">gr('calcul-stats'!BB14)</f>
        <v>#NAME?</v>
      </c>
      <c r="F14" s="523" t="e">
        <f ca="1">gr('calcul-stats'!BC14)</f>
        <v>#NAME?</v>
      </c>
      <c r="G14" s="524" t="e">
        <f t="shared" ca="1" si="0"/>
        <v>#NAME?</v>
      </c>
      <c r="H14" s="523"/>
      <c r="I14" s="523"/>
      <c r="J14" s="523"/>
      <c r="K14" s="523"/>
      <c r="L14" s="523"/>
      <c r="M14" s="523"/>
      <c r="N14" s="523"/>
      <c r="O14" s="523"/>
    </row>
    <row r="15" spans="1:15" x14ac:dyDescent="0.2">
      <c r="A15" s="222">
        <f>calculs!A15</f>
        <v>44566</v>
      </c>
      <c r="B15" s="523" t="e">
        <f ca="1">gr('calcul-stats'!AY15)</f>
        <v>#NAME?</v>
      </c>
      <c r="C15" s="523" t="e">
        <f ca="1">gr('calcul-stats'!AZ15)</f>
        <v>#NAME?</v>
      </c>
      <c r="D15" s="523" t="e">
        <f ca="1">gr('calcul-stats'!BA15)</f>
        <v>#NAME?</v>
      </c>
      <c r="E15" s="523" t="e">
        <f ca="1">gr('calcul-stats'!BB15)</f>
        <v>#NAME?</v>
      </c>
      <c r="F15" s="523" t="e">
        <f ca="1">gr('calcul-stats'!BC15)</f>
        <v>#NAME?</v>
      </c>
      <c r="G15" s="524" t="e">
        <f t="shared" ca="1" si="0"/>
        <v>#NAME?</v>
      </c>
      <c r="H15" s="523"/>
      <c r="I15" s="523"/>
      <c r="J15" s="523"/>
      <c r="K15" s="523"/>
      <c r="L15" s="523"/>
      <c r="M15" s="523"/>
      <c r="N15" s="523"/>
      <c r="O15" s="523"/>
    </row>
    <row r="16" spans="1:15" x14ac:dyDescent="0.2">
      <c r="A16" s="222">
        <f>calculs!A16</f>
        <v>44567</v>
      </c>
      <c r="B16" s="523" t="e">
        <f ca="1">gr('calcul-stats'!AY16)</f>
        <v>#NAME?</v>
      </c>
      <c r="C16" s="523" t="e">
        <f ca="1">gr('calcul-stats'!AZ16)</f>
        <v>#NAME?</v>
      </c>
      <c r="D16" s="523" t="e">
        <f ca="1">gr('calcul-stats'!BA16)</f>
        <v>#NAME?</v>
      </c>
      <c r="E16" s="523" t="e">
        <f ca="1">gr('calcul-stats'!BB16)</f>
        <v>#NAME?</v>
      </c>
      <c r="F16" s="523" t="e">
        <f ca="1">gr('calcul-stats'!BC16)</f>
        <v>#NAME?</v>
      </c>
      <c r="G16" s="524" t="e">
        <f t="shared" ca="1" si="0"/>
        <v>#NAME?</v>
      </c>
      <c r="H16" s="523"/>
      <c r="I16" s="523"/>
      <c r="J16" s="523"/>
      <c r="K16" s="523"/>
      <c r="L16" s="523"/>
      <c r="M16" s="523"/>
      <c r="N16" s="523"/>
      <c r="O16" s="523"/>
    </row>
    <row r="17" spans="1:15" x14ac:dyDescent="0.2">
      <c r="A17" s="222">
        <f>calculs!A17</f>
        <v>44568</v>
      </c>
      <c r="B17" s="523" t="e">
        <f ca="1">gr('calcul-stats'!AY17)</f>
        <v>#NAME?</v>
      </c>
      <c r="C17" s="523" t="e">
        <f ca="1">gr('calcul-stats'!AZ17)</f>
        <v>#NAME?</v>
      </c>
      <c r="D17" s="523" t="e">
        <f ca="1">gr('calcul-stats'!BA17)</f>
        <v>#NAME?</v>
      </c>
      <c r="E17" s="523" t="e">
        <f ca="1">gr('calcul-stats'!BB17)</f>
        <v>#NAME?</v>
      </c>
      <c r="F17" s="523" t="e">
        <f ca="1">gr('calcul-stats'!BC17)</f>
        <v>#NAME?</v>
      </c>
      <c r="G17" s="524" t="e">
        <f t="shared" ca="1" si="0"/>
        <v>#NAME?</v>
      </c>
      <c r="H17" s="523"/>
      <c r="I17" s="523"/>
      <c r="J17" s="523"/>
      <c r="K17" s="523"/>
      <c r="L17" s="523"/>
      <c r="M17" s="523"/>
      <c r="N17" s="523"/>
      <c r="O17" s="523"/>
    </row>
    <row r="18" spans="1:15" x14ac:dyDescent="0.2">
      <c r="A18" s="222">
        <f>calculs!A18</f>
        <v>44569</v>
      </c>
      <c r="B18" s="523" t="e">
        <f ca="1">gr('calcul-stats'!AY18)</f>
        <v>#NAME?</v>
      </c>
      <c r="C18" s="523" t="e">
        <f ca="1">gr('calcul-stats'!AZ18)</f>
        <v>#NAME?</v>
      </c>
      <c r="D18" s="523" t="e">
        <f ca="1">gr('calcul-stats'!BA18)</f>
        <v>#NAME?</v>
      </c>
      <c r="E18" s="523" t="e">
        <f ca="1">gr('calcul-stats'!BB18)</f>
        <v>#NAME?</v>
      </c>
      <c r="F18" s="523" t="e">
        <f ca="1">gr('calcul-stats'!BC18)</f>
        <v>#NAME?</v>
      </c>
      <c r="G18" s="524" t="e">
        <f t="shared" ca="1" si="0"/>
        <v>#NAME?</v>
      </c>
      <c r="H18" s="523"/>
      <c r="I18" s="523"/>
      <c r="J18" s="523"/>
      <c r="K18" s="523"/>
      <c r="L18" s="523"/>
      <c r="M18" s="523"/>
      <c r="N18" s="523"/>
      <c r="O18" s="523"/>
    </row>
    <row r="19" spans="1:15" x14ac:dyDescent="0.2">
      <c r="A19" s="222">
        <f>calculs!A19</f>
        <v>44570</v>
      </c>
      <c r="B19" s="523" t="e">
        <f ca="1">gr('calcul-stats'!AY19)</f>
        <v>#NAME?</v>
      </c>
      <c r="C19" s="523" t="e">
        <f ca="1">gr('calcul-stats'!AZ19)</f>
        <v>#NAME?</v>
      </c>
      <c r="D19" s="523" t="e">
        <f ca="1">gr('calcul-stats'!BA19)</f>
        <v>#NAME?</v>
      </c>
      <c r="E19" s="523" t="e">
        <f ca="1">gr('calcul-stats'!BB19)</f>
        <v>#NAME?</v>
      </c>
      <c r="F19" s="523" t="e">
        <f ca="1">gr('calcul-stats'!BC19)</f>
        <v>#NAME?</v>
      </c>
      <c r="G19" s="524" t="e">
        <f t="shared" ca="1" si="0"/>
        <v>#NAME?</v>
      </c>
      <c r="H19" s="523"/>
      <c r="I19" s="523"/>
      <c r="J19" s="523"/>
      <c r="K19" s="523"/>
      <c r="L19" s="523"/>
      <c r="M19" s="523"/>
      <c r="N19" s="523"/>
      <c r="O19" s="523"/>
    </row>
    <row r="20" spans="1:15" x14ac:dyDescent="0.2">
      <c r="A20" s="222">
        <f>calculs!A20</f>
        <v>44571</v>
      </c>
      <c r="B20" s="523" t="e">
        <f ca="1">gr('calcul-stats'!AY20)</f>
        <v>#NAME?</v>
      </c>
      <c r="C20" s="523" t="e">
        <f ca="1">gr('calcul-stats'!AZ20)</f>
        <v>#NAME?</v>
      </c>
      <c r="D20" s="523" t="e">
        <f ca="1">gr('calcul-stats'!BA20)</f>
        <v>#NAME?</v>
      </c>
      <c r="E20" s="523" t="e">
        <f ca="1">gr('calcul-stats'!BB20)</f>
        <v>#NAME?</v>
      </c>
      <c r="F20" s="523" t="e">
        <f ca="1">gr('calcul-stats'!BC20)</f>
        <v>#NAME?</v>
      </c>
      <c r="G20" s="524" t="e">
        <f t="shared" ca="1" si="0"/>
        <v>#NAME?</v>
      </c>
      <c r="H20" s="523"/>
      <c r="I20" s="523"/>
      <c r="J20" s="523"/>
      <c r="K20" s="523"/>
      <c r="L20" s="523"/>
      <c r="M20" s="523"/>
      <c r="N20" s="523"/>
      <c r="O20" s="523"/>
    </row>
    <row r="21" spans="1:15" x14ac:dyDescent="0.2">
      <c r="A21" s="222">
        <f>calculs!A21</f>
        <v>44572</v>
      </c>
      <c r="B21" s="523" t="e">
        <f ca="1">gr('calcul-stats'!AY21)</f>
        <v>#NAME?</v>
      </c>
      <c r="C21" s="523" t="e">
        <f ca="1">gr('calcul-stats'!AZ21)</f>
        <v>#NAME?</v>
      </c>
      <c r="D21" s="523" t="e">
        <f ca="1">gr('calcul-stats'!BA21)</f>
        <v>#NAME?</v>
      </c>
      <c r="E21" s="523" t="e">
        <f ca="1">gr('calcul-stats'!BB21)</f>
        <v>#NAME?</v>
      </c>
      <c r="F21" s="523" t="e">
        <f ca="1">gr('calcul-stats'!BC21)</f>
        <v>#NAME?</v>
      </c>
      <c r="G21" s="524" t="e">
        <f t="shared" ca="1" si="0"/>
        <v>#NAME?</v>
      </c>
      <c r="H21" s="523"/>
      <c r="I21" s="523"/>
      <c r="J21" s="523"/>
      <c r="K21" s="523"/>
      <c r="L21" s="523"/>
      <c r="M21" s="523"/>
      <c r="N21" s="523"/>
      <c r="O21" s="523"/>
    </row>
    <row r="22" spans="1:15" x14ac:dyDescent="0.2">
      <c r="A22" s="222">
        <f>calculs!A22</f>
        <v>44573</v>
      </c>
      <c r="B22" s="523" t="e">
        <f ca="1">gr('calcul-stats'!AY22)</f>
        <v>#NAME?</v>
      </c>
      <c r="C22" s="523" t="e">
        <f ca="1">gr('calcul-stats'!AZ22)</f>
        <v>#NAME?</v>
      </c>
      <c r="D22" s="523" t="e">
        <f ca="1">gr('calcul-stats'!BA22)</f>
        <v>#NAME?</v>
      </c>
      <c r="E22" s="523" t="e">
        <f ca="1">gr('calcul-stats'!BB22)</f>
        <v>#NAME?</v>
      </c>
      <c r="F22" s="523" t="e">
        <f ca="1">gr('calcul-stats'!BC22)</f>
        <v>#NAME?</v>
      </c>
      <c r="G22" s="524" t="e">
        <f t="shared" ca="1" si="0"/>
        <v>#NAME?</v>
      </c>
      <c r="H22" s="523"/>
      <c r="I22" s="523"/>
      <c r="J22" s="523"/>
      <c r="K22" s="523"/>
      <c r="L22" s="523"/>
      <c r="M22" s="523"/>
      <c r="N22" s="523"/>
      <c r="O22" s="523"/>
    </row>
    <row r="23" spans="1:15" x14ac:dyDescent="0.2">
      <c r="A23" s="222">
        <f>calculs!A23</f>
        <v>44574</v>
      </c>
      <c r="B23" s="523" t="e">
        <f ca="1">gr('calcul-stats'!AY23)</f>
        <v>#NAME?</v>
      </c>
      <c r="C23" s="523" t="e">
        <f ca="1">gr('calcul-stats'!AZ23)</f>
        <v>#NAME?</v>
      </c>
      <c r="D23" s="523" t="e">
        <f ca="1">gr('calcul-stats'!BA23)</f>
        <v>#NAME?</v>
      </c>
      <c r="E23" s="523" t="e">
        <f ca="1">gr('calcul-stats'!BB23)</f>
        <v>#NAME?</v>
      </c>
      <c r="F23" s="523" t="e">
        <f ca="1">gr('calcul-stats'!BC23)</f>
        <v>#NAME?</v>
      </c>
      <c r="G23" s="524" t="e">
        <f t="shared" ca="1" si="0"/>
        <v>#NAME?</v>
      </c>
      <c r="H23" s="523"/>
      <c r="I23" s="523"/>
      <c r="J23" s="523"/>
      <c r="K23" s="523"/>
      <c r="L23" s="523"/>
      <c r="M23" s="523"/>
      <c r="N23" s="523"/>
      <c r="O23" s="523"/>
    </row>
    <row r="24" spans="1:15" x14ac:dyDescent="0.2">
      <c r="A24" s="222">
        <f>calculs!A24</f>
        <v>44575</v>
      </c>
      <c r="B24" s="523" t="e">
        <f ca="1">gr('calcul-stats'!AY24)</f>
        <v>#NAME?</v>
      </c>
      <c r="C24" s="523" t="e">
        <f ca="1">gr('calcul-stats'!AZ24)</f>
        <v>#NAME?</v>
      </c>
      <c r="D24" s="523" t="e">
        <f ca="1">gr('calcul-stats'!BA24)</f>
        <v>#NAME?</v>
      </c>
      <c r="E24" s="523" t="e">
        <f ca="1">gr('calcul-stats'!BB24)</f>
        <v>#NAME?</v>
      </c>
      <c r="F24" s="523" t="e">
        <f ca="1">gr('calcul-stats'!BC24)</f>
        <v>#NAME?</v>
      </c>
      <c r="G24" s="524" t="e">
        <f t="shared" ca="1" si="0"/>
        <v>#NAME?</v>
      </c>
      <c r="H24" s="523"/>
      <c r="I24" s="523"/>
      <c r="J24" s="523"/>
      <c r="K24" s="523"/>
      <c r="L24" s="523"/>
      <c r="M24" s="523"/>
      <c r="N24" s="523"/>
      <c r="O24" s="523"/>
    </row>
    <row r="25" spans="1:15" x14ac:dyDescent="0.2">
      <c r="A25" s="222">
        <f>calculs!A25</f>
        <v>44576</v>
      </c>
      <c r="B25" s="523" t="e">
        <f ca="1">gr('calcul-stats'!AY25)</f>
        <v>#NAME?</v>
      </c>
      <c r="C25" s="523" t="e">
        <f ca="1">gr('calcul-stats'!AZ25)</f>
        <v>#NAME?</v>
      </c>
      <c r="D25" s="523" t="e">
        <f ca="1">gr('calcul-stats'!BA25)</f>
        <v>#NAME?</v>
      </c>
      <c r="E25" s="523" t="e">
        <f ca="1">gr('calcul-stats'!BB25)</f>
        <v>#NAME?</v>
      </c>
      <c r="F25" s="523" t="e">
        <f ca="1">gr('calcul-stats'!BC25)</f>
        <v>#NAME?</v>
      </c>
      <c r="G25" s="524" t="e">
        <f t="shared" ca="1" si="0"/>
        <v>#NAME?</v>
      </c>
      <c r="H25" s="523"/>
      <c r="I25" s="523"/>
      <c r="J25" s="523"/>
      <c r="K25" s="523"/>
      <c r="L25" s="523"/>
      <c r="M25" s="523"/>
      <c r="N25" s="523"/>
      <c r="O25" s="523"/>
    </row>
    <row r="26" spans="1:15" x14ac:dyDescent="0.2">
      <c r="A26" s="222">
        <f>calculs!A26</f>
        <v>44577</v>
      </c>
      <c r="B26" s="523" t="e">
        <f ca="1">gr('calcul-stats'!AY26)</f>
        <v>#NAME?</v>
      </c>
      <c r="C26" s="523" t="e">
        <f ca="1">gr('calcul-stats'!AZ26)</f>
        <v>#NAME?</v>
      </c>
      <c r="D26" s="523" t="e">
        <f ca="1">gr('calcul-stats'!BA26)</f>
        <v>#NAME?</v>
      </c>
      <c r="E26" s="523" t="e">
        <f ca="1">gr('calcul-stats'!BB26)</f>
        <v>#NAME?</v>
      </c>
      <c r="F26" s="523" t="e">
        <f ca="1">gr('calcul-stats'!BC26)</f>
        <v>#NAME?</v>
      </c>
      <c r="G26" s="524" t="e">
        <f t="shared" ca="1" si="0"/>
        <v>#NAME?</v>
      </c>
      <c r="H26" s="523"/>
      <c r="I26" s="523"/>
      <c r="J26" s="523"/>
      <c r="K26" s="523"/>
      <c r="L26" s="523"/>
      <c r="M26" s="523"/>
      <c r="N26" s="523"/>
      <c r="O26" s="523"/>
    </row>
    <row r="27" spans="1:15" x14ac:dyDescent="0.2">
      <c r="A27" s="222">
        <f>calculs!A27</f>
        <v>44578</v>
      </c>
      <c r="B27" s="523" t="e">
        <f ca="1">gr('calcul-stats'!AY27)</f>
        <v>#NAME?</v>
      </c>
      <c r="C27" s="523" t="e">
        <f ca="1">gr('calcul-stats'!AZ27)</f>
        <v>#NAME?</v>
      </c>
      <c r="D27" s="523" t="e">
        <f ca="1">gr('calcul-stats'!BA27)</f>
        <v>#NAME?</v>
      </c>
      <c r="E27" s="523" t="e">
        <f ca="1">gr('calcul-stats'!BB27)</f>
        <v>#NAME?</v>
      </c>
      <c r="F27" s="523" t="e">
        <f ca="1">gr('calcul-stats'!BC27)</f>
        <v>#NAME?</v>
      </c>
      <c r="G27" s="524" t="e">
        <f t="shared" ca="1" si="0"/>
        <v>#NAME?</v>
      </c>
      <c r="H27" s="523"/>
      <c r="I27" s="523"/>
      <c r="J27" s="523"/>
      <c r="K27" s="523"/>
      <c r="L27" s="523"/>
      <c r="M27" s="523"/>
      <c r="N27" s="523"/>
      <c r="O27" s="523"/>
    </row>
    <row r="28" spans="1:15" x14ac:dyDescent="0.2">
      <c r="A28" s="222">
        <f>calculs!A28</f>
        <v>44579</v>
      </c>
      <c r="B28" s="523" t="e">
        <f ca="1">gr('calcul-stats'!AY28)</f>
        <v>#NAME?</v>
      </c>
      <c r="C28" s="523" t="e">
        <f ca="1">gr('calcul-stats'!AZ28)</f>
        <v>#NAME?</v>
      </c>
      <c r="D28" s="523" t="e">
        <f ca="1">gr('calcul-stats'!BA28)</f>
        <v>#NAME?</v>
      </c>
      <c r="E28" s="523" t="e">
        <f ca="1">gr('calcul-stats'!BB28)</f>
        <v>#NAME?</v>
      </c>
      <c r="F28" s="523" t="e">
        <f ca="1">gr('calcul-stats'!BC28)</f>
        <v>#NAME?</v>
      </c>
      <c r="G28" s="524" t="e">
        <f t="shared" ca="1" si="0"/>
        <v>#NAME?</v>
      </c>
      <c r="H28" s="523"/>
      <c r="I28" s="523"/>
      <c r="J28" s="523"/>
      <c r="K28" s="523"/>
      <c r="L28" s="523"/>
      <c r="M28" s="523"/>
      <c r="N28" s="523"/>
      <c r="O28" s="523"/>
    </row>
    <row r="29" spans="1:15" x14ac:dyDescent="0.2">
      <c r="A29" s="222">
        <f>calculs!A29</f>
        <v>44580</v>
      </c>
      <c r="B29" s="523" t="e">
        <f ca="1">gr('calcul-stats'!AY29)</f>
        <v>#NAME?</v>
      </c>
      <c r="C29" s="523" t="e">
        <f ca="1">gr('calcul-stats'!AZ29)</f>
        <v>#NAME?</v>
      </c>
      <c r="D29" s="523" t="e">
        <f ca="1">gr('calcul-stats'!BA29)</f>
        <v>#NAME?</v>
      </c>
      <c r="E29" s="523" t="e">
        <f ca="1">gr('calcul-stats'!BB29)</f>
        <v>#NAME?</v>
      </c>
      <c r="F29" s="523" t="e">
        <f ca="1">gr('calcul-stats'!BC29)</f>
        <v>#NAME?</v>
      </c>
      <c r="G29" s="524" t="e">
        <f t="shared" ca="1" si="0"/>
        <v>#NAME?</v>
      </c>
      <c r="H29" s="523"/>
      <c r="I29" s="523"/>
      <c r="J29" s="523"/>
      <c r="K29" s="523"/>
      <c r="L29" s="523"/>
      <c r="M29" s="523"/>
      <c r="N29" s="523"/>
      <c r="O29" s="523"/>
    </row>
    <row r="30" spans="1:15" x14ac:dyDescent="0.2">
      <c r="A30" s="222">
        <f>calculs!A30</f>
        <v>44581</v>
      </c>
      <c r="B30" s="523" t="e">
        <f ca="1">gr('calcul-stats'!AY30)</f>
        <v>#NAME?</v>
      </c>
      <c r="C30" s="523" t="e">
        <f ca="1">gr('calcul-stats'!AZ30)</f>
        <v>#NAME?</v>
      </c>
      <c r="D30" s="523" t="e">
        <f ca="1">gr('calcul-stats'!BA30)</f>
        <v>#NAME?</v>
      </c>
      <c r="E30" s="523" t="e">
        <f ca="1">gr('calcul-stats'!BB30)</f>
        <v>#NAME?</v>
      </c>
      <c r="F30" s="523" t="e">
        <f ca="1">gr('calcul-stats'!BC30)</f>
        <v>#NAME?</v>
      </c>
      <c r="G30" s="524" t="e">
        <f t="shared" ca="1" si="0"/>
        <v>#NAME?</v>
      </c>
      <c r="H30" s="523"/>
      <c r="I30" s="523"/>
      <c r="J30" s="523"/>
      <c r="K30" s="523"/>
      <c r="L30" s="523"/>
      <c r="M30" s="523"/>
      <c r="N30" s="523"/>
      <c r="O30" s="523"/>
    </row>
    <row r="31" spans="1:15" x14ac:dyDescent="0.2">
      <c r="A31" s="222">
        <f>calculs!A31</f>
        <v>44582</v>
      </c>
      <c r="B31" s="523" t="e">
        <f ca="1">gr('calcul-stats'!AY31)</f>
        <v>#NAME?</v>
      </c>
      <c r="C31" s="523" t="e">
        <f ca="1">gr('calcul-stats'!AZ31)</f>
        <v>#NAME?</v>
      </c>
      <c r="D31" s="523" t="e">
        <f ca="1">gr('calcul-stats'!BA31)</f>
        <v>#NAME?</v>
      </c>
      <c r="E31" s="523" t="e">
        <f ca="1">gr('calcul-stats'!BB31)</f>
        <v>#NAME?</v>
      </c>
      <c r="F31" s="523" t="e">
        <f ca="1">gr('calcul-stats'!BC31)</f>
        <v>#NAME?</v>
      </c>
      <c r="G31" s="524" t="e">
        <f t="shared" ca="1" si="0"/>
        <v>#NAME?</v>
      </c>
      <c r="H31" s="523"/>
      <c r="I31" s="523"/>
      <c r="J31" s="523"/>
      <c r="K31" s="523"/>
      <c r="L31" s="523"/>
      <c r="M31" s="523"/>
      <c r="N31" s="523"/>
      <c r="O31" s="523"/>
    </row>
    <row r="32" spans="1:15" x14ac:dyDescent="0.2">
      <c r="A32" s="222">
        <f>calculs!A32</f>
        <v>44583</v>
      </c>
      <c r="B32" s="523" t="e">
        <f ca="1">gr('calcul-stats'!AY32)</f>
        <v>#NAME?</v>
      </c>
      <c r="C32" s="523" t="e">
        <f ca="1">gr('calcul-stats'!AZ32)</f>
        <v>#NAME?</v>
      </c>
      <c r="D32" s="523" t="e">
        <f ca="1">gr('calcul-stats'!BA32)</f>
        <v>#NAME?</v>
      </c>
      <c r="E32" s="523" t="e">
        <f ca="1">gr('calcul-stats'!BB32)</f>
        <v>#NAME?</v>
      </c>
      <c r="F32" s="523" t="e">
        <f ca="1">gr('calcul-stats'!BC32)</f>
        <v>#NAME?</v>
      </c>
      <c r="G32" s="524" t="e">
        <f t="shared" ca="1" si="0"/>
        <v>#NAME?</v>
      </c>
      <c r="H32" s="523"/>
      <c r="I32" s="523"/>
      <c r="J32" s="523"/>
      <c r="K32" s="523"/>
      <c r="L32" s="523"/>
      <c r="M32" s="523"/>
      <c r="N32" s="523"/>
      <c r="O32" s="523"/>
    </row>
    <row r="33" spans="1:15" x14ac:dyDescent="0.2">
      <c r="A33" s="222">
        <f>calculs!A33</f>
        <v>44584</v>
      </c>
      <c r="B33" s="523" t="e">
        <f ca="1">gr('calcul-stats'!AY33)</f>
        <v>#NAME?</v>
      </c>
      <c r="C33" s="523" t="e">
        <f ca="1">gr('calcul-stats'!AZ33)</f>
        <v>#NAME?</v>
      </c>
      <c r="D33" s="523" t="e">
        <f ca="1">gr('calcul-stats'!BA33)</f>
        <v>#NAME?</v>
      </c>
      <c r="E33" s="523" t="e">
        <f ca="1">gr('calcul-stats'!BB33)</f>
        <v>#NAME?</v>
      </c>
      <c r="F33" s="523" t="e">
        <f ca="1">gr('calcul-stats'!BC33)</f>
        <v>#NAME?</v>
      </c>
      <c r="G33" s="524" t="e">
        <f t="shared" ca="1" si="0"/>
        <v>#NAME?</v>
      </c>
      <c r="H33" s="523"/>
      <c r="I33" s="523"/>
      <c r="J33" s="523"/>
      <c r="K33" s="523"/>
      <c r="L33" s="523"/>
      <c r="M33" s="523"/>
      <c r="N33" s="523"/>
      <c r="O33" s="523"/>
    </row>
    <row r="34" spans="1:15" x14ac:dyDescent="0.2">
      <c r="A34" s="222">
        <f>calculs!A34</f>
        <v>44585</v>
      </c>
      <c r="B34" s="523" t="e">
        <f ca="1">gr('calcul-stats'!AY34)</f>
        <v>#NAME?</v>
      </c>
      <c r="C34" s="523" t="e">
        <f ca="1">gr('calcul-stats'!AZ34)</f>
        <v>#NAME?</v>
      </c>
      <c r="D34" s="523" t="e">
        <f ca="1">gr('calcul-stats'!BA34)</f>
        <v>#NAME?</v>
      </c>
      <c r="E34" s="523" t="e">
        <f ca="1">gr('calcul-stats'!BB34)</f>
        <v>#NAME?</v>
      </c>
      <c r="F34" s="523" t="e">
        <f ca="1">gr('calcul-stats'!BC34)</f>
        <v>#NAME?</v>
      </c>
      <c r="G34" s="524" t="e">
        <f t="shared" ca="1" si="0"/>
        <v>#NAME?</v>
      </c>
      <c r="H34" s="523"/>
      <c r="I34" s="523"/>
      <c r="J34" s="523"/>
      <c r="K34" s="523"/>
      <c r="L34" s="523"/>
      <c r="M34" s="523"/>
      <c r="N34" s="523"/>
      <c r="O34" s="523"/>
    </row>
    <row r="35" spans="1:15" x14ac:dyDescent="0.2">
      <c r="A35" s="222">
        <f>calculs!A35</f>
        <v>44586</v>
      </c>
      <c r="B35" s="523" t="e">
        <f ca="1">gr('calcul-stats'!AY35)</f>
        <v>#NAME?</v>
      </c>
      <c r="C35" s="523" t="e">
        <f ca="1">gr('calcul-stats'!AZ35)</f>
        <v>#NAME?</v>
      </c>
      <c r="D35" s="523" t="e">
        <f ca="1">gr('calcul-stats'!BA35)</f>
        <v>#NAME?</v>
      </c>
      <c r="E35" s="523" t="e">
        <f ca="1">gr('calcul-stats'!BB35)</f>
        <v>#NAME?</v>
      </c>
      <c r="F35" s="523" t="e">
        <f ca="1">gr('calcul-stats'!BC35)</f>
        <v>#NAME?</v>
      </c>
      <c r="G35" s="524" t="e">
        <f t="shared" ca="1" si="0"/>
        <v>#NAME?</v>
      </c>
      <c r="H35" s="523"/>
      <c r="I35" s="523"/>
      <c r="J35" s="523"/>
      <c r="K35" s="523"/>
      <c r="L35" s="523"/>
      <c r="M35" s="523"/>
      <c r="N35" s="523"/>
      <c r="O35" s="523"/>
    </row>
    <row r="36" spans="1:15" x14ac:dyDescent="0.2">
      <c r="A36" s="222">
        <f>calculs!A36</f>
        <v>44587</v>
      </c>
      <c r="B36" s="523" t="e">
        <f ca="1">gr('calcul-stats'!AY36)</f>
        <v>#NAME?</v>
      </c>
      <c r="C36" s="523" t="e">
        <f ca="1">gr('calcul-stats'!AZ36)</f>
        <v>#NAME?</v>
      </c>
      <c r="D36" s="523" t="e">
        <f ca="1">gr('calcul-stats'!BA36)</f>
        <v>#NAME?</v>
      </c>
      <c r="E36" s="523" t="e">
        <f ca="1">gr('calcul-stats'!BB36)</f>
        <v>#NAME?</v>
      </c>
      <c r="F36" s="523" t="e">
        <f ca="1">gr('calcul-stats'!BC36)</f>
        <v>#NAME?</v>
      </c>
      <c r="G36" s="524" t="e">
        <f t="shared" ca="1" si="0"/>
        <v>#NAME?</v>
      </c>
      <c r="H36" s="523"/>
      <c r="I36" s="523"/>
      <c r="J36" s="523"/>
      <c r="K36" s="523"/>
      <c r="L36" s="523"/>
      <c r="M36" s="523"/>
      <c r="N36" s="523"/>
      <c r="O36" s="523"/>
    </row>
    <row r="37" spans="1:15" x14ac:dyDescent="0.2">
      <c r="A37" s="222">
        <f>calculs!A37</f>
        <v>44588</v>
      </c>
      <c r="B37" s="523" t="e">
        <f ca="1">gr('calcul-stats'!AY37)</f>
        <v>#NAME?</v>
      </c>
      <c r="C37" s="523" t="e">
        <f ca="1">gr('calcul-stats'!AZ37)</f>
        <v>#NAME?</v>
      </c>
      <c r="D37" s="523" t="e">
        <f ca="1">gr('calcul-stats'!BA37)</f>
        <v>#NAME?</v>
      </c>
      <c r="E37" s="523" t="e">
        <f ca="1">gr('calcul-stats'!BB37)</f>
        <v>#NAME?</v>
      </c>
      <c r="F37" s="523" t="e">
        <f ca="1">gr('calcul-stats'!BC37)</f>
        <v>#NAME?</v>
      </c>
      <c r="G37" s="524" t="e">
        <f t="shared" ca="1" si="0"/>
        <v>#NAME?</v>
      </c>
      <c r="H37" s="523"/>
      <c r="I37" s="523"/>
      <c r="J37" s="523"/>
      <c r="K37" s="523"/>
      <c r="L37" s="523"/>
      <c r="M37" s="523"/>
      <c r="N37" s="523"/>
      <c r="O37" s="523"/>
    </row>
    <row r="38" spans="1:15" x14ac:dyDescent="0.2">
      <c r="A38" s="222">
        <f>calculs!A38</f>
        <v>44589</v>
      </c>
      <c r="B38" s="523" t="e">
        <f ca="1">gr('calcul-stats'!AY38)</f>
        <v>#NAME?</v>
      </c>
      <c r="C38" s="523" t="e">
        <f ca="1">gr('calcul-stats'!AZ38)</f>
        <v>#NAME?</v>
      </c>
      <c r="D38" s="523" t="e">
        <f ca="1">gr('calcul-stats'!BA38)</f>
        <v>#NAME?</v>
      </c>
      <c r="E38" s="523" t="e">
        <f ca="1">gr('calcul-stats'!BB38)</f>
        <v>#NAME?</v>
      </c>
      <c r="F38" s="523" t="e">
        <f ca="1">gr('calcul-stats'!BC38)</f>
        <v>#NAME?</v>
      </c>
      <c r="G38" s="524" t="e">
        <f t="shared" ca="1" si="0"/>
        <v>#NAME?</v>
      </c>
      <c r="H38" s="523"/>
      <c r="I38" s="523"/>
      <c r="J38" s="523"/>
      <c r="K38" s="523"/>
      <c r="L38" s="523"/>
      <c r="M38" s="523"/>
      <c r="N38" s="523"/>
      <c r="O38" s="523"/>
    </row>
    <row r="39" spans="1:15" x14ac:dyDescent="0.2">
      <c r="A39" s="222">
        <f>calculs!A39</f>
        <v>44590</v>
      </c>
      <c r="B39" s="523" t="e">
        <f ca="1">gr('calcul-stats'!AY39)</f>
        <v>#NAME?</v>
      </c>
      <c r="C39" s="523" t="e">
        <f ca="1">gr('calcul-stats'!AZ39)</f>
        <v>#NAME?</v>
      </c>
      <c r="D39" s="523" t="e">
        <f ca="1">gr('calcul-stats'!BA39)</f>
        <v>#NAME?</v>
      </c>
      <c r="E39" s="523" t="e">
        <f ca="1">gr('calcul-stats'!BB39)</f>
        <v>#NAME?</v>
      </c>
      <c r="F39" s="523" t="e">
        <f ca="1">gr('calcul-stats'!BC39)</f>
        <v>#NAME?</v>
      </c>
      <c r="G39" s="524" t="e">
        <f t="shared" ca="1" si="0"/>
        <v>#NAME?</v>
      </c>
      <c r="H39" s="523"/>
      <c r="I39" s="523"/>
      <c r="J39" s="523"/>
      <c r="K39" s="523"/>
      <c r="L39" s="523"/>
      <c r="M39" s="523"/>
      <c r="N39" s="523"/>
      <c r="O39" s="523"/>
    </row>
    <row r="40" spans="1:15" x14ac:dyDescent="0.2">
      <c r="A40" s="222">
        <f>calculs!A40</f>
        <v>44591</v>
      </c>
      <c r="B40" s="523" t="e">
        <f ca="1">gr('calcul-stats'!AY40)</f>
        <v>#NAME?</v>
      </c>
      <c r="C40" s="523" t="e">
        <f ca="1">gr('calcul-stats'!AZ40)</f>
        <v>#NAME?</v>
      </c>
      <c r="D40" s="523" t="e">
        <f ca="1">gr('calcul-stats'!BA40)</f>
        <v>#NAME?</v>
      </c>
      <c r="E40" s="523" t="e">
        <f ca="1">gr('calcul-stats'!BB40)</f>
        <v>#NAME?</v>
      </c>
      <c r="F40" s="523" t="e">
        <f ca="1">gr('calcul-stats'!BC40)</f>
        <v>#NAME?</v>
      </c>
      <c r="G40" s="524" t="e">
        <f t="shared" ca="1" si="0"/>
        <v>#NAME?</v>
      </c>
      <c r="H40" s="523"/>
      <c r="I40" s="523"/>
      <c r="J40" s="523"/>
      <c r="K40" s="523"/>
      <c r="L40" s="523"/>
      <c r="M40" s="523"/>
      <c r="N40" s="523"/>
      <c r="O40" s="523"/>
    </row>
    <row r="41" spans="1:15" x14ac:dyDescent="0.2">
      <c r="A41" s="222">
        <f>calculs!A41</f>
        <v>44592</v>
      </c>
      <c r="B41" s="523" t="e">
        <f ca="1">gr('calcul-stats'!AY41)</f>
        <v>#NAME?</v>
      </c>
      <c r="C41" s="523" t="e">
        <f ca="1">gr('calcul-stats'!AZ41)</f>
        <v>#NAME?</v>
      </c>
      <c r="D41" s="523" t="e">
        <f ca="1">gr('calcul-stats'!BA41)</f>
        <v>#NAME?</v>
      </c>
      <c r="E41" s="523" t="e">
        <f ca="1">gr('calcul-stats'!BB41)</f>
        <v>#NAME?</v>
      </c>
      <c r="F41" s="523" t="e">
        <f ca="1">gr('calcul-stats'!BC41)</f>
        <v>#NAME?</v>
      </c>
      <c r="G41" s="524" t="e">
        <f t="shared" ca="1" si="0"/>
        <v>#NAME?</v>
      </c>
      <c r="H41" s="523"/>
      <c r="I41" s="523"/>
      <c r="J41" s="523"/>
      <c r="K41" s="523"/>
      <c r="L41" s="523"/>
      <c r="M41" s="523"/>
      <c r="N41" s="523"/>
      <c r="O41" s="523"/>
    </row>
    <row r="42" spans="1:15" x14ac:dyDescent="0.2">
      <c r="A42" s="222">
        <f>calculs!A42</f>
        <v>44593</v>
      </c>
      <c r="B42" s="523" t="e">
        <f ca="1">gr('calcul-stats'!AY42)</f>
        <v>#NAME?</v>
      </c>
      <c r="C42" s="523" t="e">
        <f ca="1">gr('calcul-stats'!AZ42)</f>
        <v>#NAME?</v>
      </c>
      <c r="D42" s="523" t="e">
        <f ca="1">gr('calcul-stats'!BA42)</f>
        <v>#NAME?</v>
      </c>
      <c r="E42" s="523" t="e">
        <f ca="1">gr('calcul-stats'!BB42)</f>
        <v>#NAME?</v>
      </c>
      <c r="F42" s="523" t="e">
        <f ca="1">gr('calcul-stats'!BC42)</f>
        <v>#NAME?</v>
      </c>
      <c r="G42" s="524" t="e">
        <f t="shared" ca="1" si="0"/>
        <v>#NAME?</v>
      </c>
      <c r="H42" s="523"/>
      <c r="I42" s="523"/>
      <c r="J42" s="523"/>
      <c r="K42" s="523"/>
      <c r="L42" s="523"/>
      <c r="M42" s="523"/>
      <c r="N42" s="523"/>
      <c r="O42" s="523"/>
    </row>
    <row r="43" spans="1:15" x14ac:dyDescent="0.2">
      <c r="A43" s="222">
        <f>calculs!A43</f>
        <v>44594</v>
      </c>
      <c r="B43" s="523" t="e">
        <f ca="1">gr('calcul-stats'!AY43)</f>
        <v>#NAME?</v>
      </c>
      <c r="C43" s="523" t="e">
        <f ca="1">gr('calcul-stats'!AZ43)</f>
        <v>#NAME?</v>
      </c>
      <c r="D43" s="523" t="e">
        <f ca="1">gr('calcul-stats'!BA43)</f>
        <v>#NAME?</v>
      </c>
      <c r="E43" s="523" t="e">
        <f ca="1">gr('calcul-stats'!BB43)</f>
        <v>#NAME?</v>
      </c>
      <c r="F43" s="523" t="e">
        <f ca="1">gr('calcul-stats'!BC43)</f>
        <v>#NAME?</v>
      </c>
      <c r="G43" s="524" t="e">
        <f t="shared" ca="1" si="0"/>
        <v>#NAME?</v>
      </c>
      <c r="H43" s="523"/>
      <c r="I43" s="523"/>
      <c r="J43" s="523"/>
      <c r="K43" s="523"/>
      <c r="L43" s="523"/>
      <c r="M43" s="523"/>
      <c r="N43" s="523"/>
      <c r="O43" s="523"/>
    </row>
    <row r="44" spans="1:15" x14ac:dyDescent="0.2">
      <c r="A44" s="222">
        <f>calculs!A44</f>
        <v>44595</v>
      </c>
      <c r="B44" s="523" t="e">
        <f ca="1">gr('calcul-stats'!AY44)</f>
        <v>#NAME?</v>
      </c>
      <c r="C44" s="523" t="e">
        <f ca="1">gr('calcul-stats'!AZ44)</f>
        <v>#NAME?</v>
      </c>
      <c r="D44" s="523" t="e">
        <f ca="1">gr('calcul-stats'!BA44)</f>
        <v>#NAME?</v>
      </c>
      <c r="E44" s="523" t="e">
        <f ca="1">gr('calcul-stats'!BB44)</f>
        <v>#NAME?</v>
      </c>
      <c r="F44" s="523" t="e">
        <f ca="1">gr('calcul-stats'!BC44)</f>
        <v>#NAME?</v>
      </c>
      <c r="G44" s="524" t="e">
        <f t="shared" ca="1" si="0"/>
        <v>#NAME?</v>
      </c>
      <c r="H44" s="523"/>
      <c r="I44" s="523"/>
      <c r="J44" s="523"/>
      <c r="K44" s="523"/>
      <c r="L44" s="523"/>
      <c r="M44" s="523"/>
      <c r="N44" s="523"/>
      <c r="O44" s="523"/>
    </row>
    <row r="45" spans="1:15" x14ac:dyDescent="0.2">
      <c r="A45" s="222">
        <f>calculs!A45</f>
        <v>44596</v>
      </c>
      <c r="B45" s="523" t="e">
        <f ca="1">gr('calcul-stats'!AY45)</f>
        <v>#NAME?</v>
      </c>
      <c r="C45" s="523" t="e">
        <f ca="1">gr('calcul-stats'!AZ45)</f>
        <v>#NAME?</v>
      </c>
      <c r="D45" s="523" t="e">
        <f ca="1">gr('calcul-stats'!BA45)</f>
        <v>#NAME?</v>
      </c>
      <c r="E45" s="523" t="e">
        <f ca="1">gr('calcul-stats'!BB45)</f>
        <v>#NAME?</v>
      </c>
      <c r="F45" s="523" t="e">
        <f ca="1">gr('calcul-stats'!BC45)</f>
        <v>#NAME?</v>
      </c>
      <c r="G45" s="524" t="e">
        <f t="shared" ca="1" si="0"/>
        <v>#NAME?</v>
      </c>
      <c r="H45" s="523"/>
      <c r="I45" s="523"/>
      <c r="J45" s="523"/>
      <c r="K45" s="523"/>
      <c r="L45" s="523"/>
      <c r="M45" s="523"/>
      <c r="N45" s="523"/>
      <c r="O45" s="523"/>
    </row>
    <row r="46" spans="1:15" x14ac:dyDescent="0.2">
      <c r="A46" s="222">
        <f>calculs!A46</f>
        <v>44597</v>
      </c>
      <c r="B46" s="523" t="e">
        <f ca="1">gr('calcul-stats'!AY46)</f>
        <v>#NAME?</v>
      </c>
      <c r="C46" s="523" t="e">
        <f ca="1">gr('calcul-stats'!AZ46)</f>
        <v>#NAME?</v>
      </c>
      <c r="D46" s="523" t="e">
        <f ca="1">gr('calcul-stats'!BA46)</f>
        <v>#NAME?</v>
      </c>
      <c r="E46" s="523" t="e">
        <f ca="1">gr('calcul-stats'!BB46)</f>
        <v>#NAME?</v>
      </c>
      <c r="F46" s="523" t="e">
        <f ca="1">gr('calcul-stats'!BC46)</f>
        <v>#NAME?</v>
      </c>
      <c r="G46" s="524" t="e">
        <f t="shared" ca="1" si="0"/>
        <v>#NAME?</v>
      </c>
      <c r="H46" s="523"/>
      <c r="I46" s="523"/>
      <c r="J46" s="523"/>
      <c r="K46" s="523"/>
      <c r="L46" s="523"/>
      <c r="M46" s="523"/>
      <c r="N46" s="523"/>
      <c r="O46" s="523"/>
    </row>
    <row r="47" spans="1:15" x14ac:dyDescent="0.2">
      <c r="A47" s="222">
        <f>calculs!A47</f>
        <v>44598</v>
      </c>
      <c r="B47" s="523" t="e">
        <f ca="1">gr('calcul-stats'!AY47)</f>
        <v>#NAME?</v>
      </c>
      <c r="C47" s="523" t="e">
        <f ca="1">gr('calcul-stats'!AZ47)</f>
        <v>#NAME?</v>
      </c>
      <c r="D47" s="523" t="e">
        <f ca="1">gr('calcul-stats'!BA47)</f>
        <v>#NAME?</v>
      </c>
      <c r="E47" s="523" t="e">
        <f ca="1">gr('calcul-stats'!BB47)</f>
        <v>#NAME?</v>
      </c>
      <c r="F47" s="523" t="e">
        <f ca="1">gr('calcul-stats'!BC47)</f>
        <v>#NAME?</v>
      </c>
      <c r="G47" s="524" t="e">
        <f t="shared" ca="1" si="0"/>
        <v>#NAME?</v>
      </c>
      <c r="H47" s="523"/>
      <c r="I47" s="523"/>
      <c r="J47" s="523"/>
      <c r="K47" s="523"/>
      <c r="L47" s="523"/>
      <c r="M47" s="523"/>
      <c r="N47" s="523"/>
      <c r="O47" s="523"/>
    </row>
    <row r="48" spans="1:15" x14ac:dyDescent="0.2">
      <c r="A48" s="222">
        <f>calculs!A48</f>
        <v>44599</v>
      </c>
      <c r="B48" s="523" t="e">
        <f ca="1">gr('calcul-stats'!AY48)</f>
        <v>#NAME?</v>
      </c>
      <c r="C48" s="523" t="e">
        <f ca="1">gr('calcul-stats'!AZ48)</f>
        <v>#NAME?</v>
      </c>
      <c r="D48" s="523" t="e">
        <f ca="1">gr('calcul-stats'!BA48)</f>
        <v>#NAME?</v>
      </c>
      <c r="E48" s="523" t="e">
        <f ca="1">gr('calcul-stats'!BB48)</f>
        <v>#NAME?</v>
      </c>
      <c r="F48" s="523" t="e">
        <f ca="1">gr('calcul-stats'!BC48)</f>
        <v>#NAME?</v>
      </c>
      <c r="G48" s="524" t="e">
        <f t="shared" ca="1" si="0"/>
        <v>#NAME?</v>
      </c>
      <c r="H48" s="523"/>
      <c r="I48" s="523"/>
      <c r="J48" s="523"/>
      <c r="K48" s="523"/>
      <c r="L48" s="523"/>
      <c r="M48" s="523"/>
      <c r="N48" s="523"/>
      <c r="O48" s="523"/>
    </row>
    <row r="49" spans="1:15" x14ac:dyDescent="0.2">
      <c r="A49" s="222">
        <f>calculs!A49</f>
        <v>44600</v>
      </c>
      <c r="B49" s="523" t="e">
        <f ca="1">gr('calcul-stats'!AY49)</f>
        <v>#NAME?</v>
      </c>
      <c r="C49" s="523" t="e">
        <f ca="1">gr('calcul-stats'!AZ49)</f>
        <v>#NAME?</v>
      </c>
      <c r="D49" s="523" t="e">
        <f ca="1">gr('calcul-stats'!BA49)</f>
        <v>#NAME?</v>
      </c>
      <c r="E49" s="523" t="e">
        <f ca="1">gr('calcul-stats'!BB49)</f>
        <v>#NAME?</v>
      </c>
      <c r="F49" s="523" t="e">
        <f ca="1">gr('calcul-stats'!BC49)</f>
        <v>#NAME?</v>
      </c>
      <c r="G49" s="524" t="e">
        <f t="shared" ca="1" si="0"/>
        <v>#NAME?</v>
      </c>
      <c r="H49" s="523"/>
      <c r="I49" s="523"/>
      <c r="J49" s="523"/>
      <c r="K49" s="523"/>
      <c r="L49" s="523"/>
      <c r="M49" s="523"/>
      <c r="N49" s="523"/>
      <c r="O49" s="523"/>
    </row>
    <row r="50" spans="1:15" x14ac:dyDescent="0.2">
      <c r="A50" s="222">
        <f>calculs!A50</f>
        <v>44601</v>
      </c>
      <c r="B50" s="523" t="e">
        <f ca="1">gr('calcul-stats'!AY50)</f>
        <v>#NAME?</v>
      </c>
      <c r="C50" s="523" t="e">
        <f ca="1">gr('calcul-stats'!AZ50)</f>
        <v>#NAME?</v>
      </c>
      <c r="D50" s="523" t="e">
        <f ca="1">gr('calcul-stats'!BA50)</f>
        <v>#NAME?</v>
      </c>
      <c r="E50" s="523" t="e">
        <f ca="1">gr('calcul-stats'!BB50)</f>
        <v>#NAME?</v>
      </c>
      <c r="F50" s="523" t="e">
        <f ca="1">gr('calcul-stats'!BC50)</f>
        <v>#NAME?</v>
      </c>
      <c r="G50" s="524" t="e">
        <f t="shared" ca="1" si="0"/>
        <v>#NAME?</v>
      </c>
      <c r="H50" s="523"/>
      <c r="I50" s="523"/>
      <c r="J50" s="523"/>
      <c r="K50" s="523"/>
      <c r="L50" s="523"/>
      <c r="M50" s="523"/>
      <c r="N50" s="523"/>
      <c r="O50" s="523"/>
    </row>
    <row r="51" spans="1:15" x14ac:dyDescent="0.2">
      <c r="A51" s="222">
        <f>calculs!A51</f>
        <v>44602</v>
      </c>
      <c r="B51" s="523" t="e">
        <f ca="1">gr('calcul-stats'!AY51)</f>
        <v>#NAME?</v>
      </c>
      <c r="C51" s="523" t="e">
        <f ca="1">gr('calcul-stats'!AZ51)</f>
        <v>#NAME?</v>
      </c>
      <c r="D51" s="523" t="e">
        <f ca="1">gr('calcul-stats'!BA51)</f>
        <v>#NAME?</v>
      </c>
      <c r="E51" s="523" t="e">
        <f ca="1">gr('calcul-stats'!BB51)</f>
        <v>#NAME?</v>
      </c>
      <c r="F51" s="523" t="e">
        <f ca="1">gr('calcul-stats'!BC51)</f>
        <v>#NAME?</v>
      </c>
      <c r="G51" s="524" t="e">
        <f t="shared" ca="1" si="0"/>
        <v>#NAME?</v>
      </c>
      <c r="H51" s="523"/>
      <c r="I51" s="523"/>
      <c r="J51" s="523"/>
      <c r="K51" s="523"/>
      <c r="L51" s="523"/>
      <c r="M51" s="523"/>
      <c r="N51" s="523"/>
      <c r="O51" s="523"/>
    </row>
    <row r="52" spans="1:15" x14ac:dyDescent="0.2">
      <c r="A52" s="222">
        <f>calculs!A52</f>
        <v>44603</v>
      </c>
      <c r="B52" s="523" t="e">
        <f ca="1">gr('calcul-stats'!AY52)</f>
        <v>#NAME?</v>
      </c>
      <c r="C52" s="523" t="e">
        <f ca="1">gr('calcul-stats'!AZ52)</f>
        <v>#NAME?</v>
      </c>
      <c r="D52" s="523" t="e">
        <f ca="1">gr('calcul-stats'!BA52)</f>
        <v>#NAME?</v>
      </c>
      <c r="E52" s="523" t="e">
        <f ca="1">gr('calcul-stats'!BB52)</f>
        <v>#NAME?</v>
      </c>
      <c r="F52" s="523" t="e">
        <f ca="1">gr('calcul-stats'!BC52)</f>
        <v>#NAME?</v>
      </c>
      <c r="G52" s="524" t="e">
        <f t="shared" ca="1" si="0"/>
        <v>#NAME?</v>
      </c>
      <c r="H52" s="523"/>
      <c r="I52" s="523"/>
      <c r="J52" s="523"/>
      <c r="K52" s="523"/>
      <c r="L52" s="523"/>
      <c r="M52" s="523"/>
      <c r="N52" s="523"/>
      <c r="O52" s="523"/>
    </row>
    <row r="53" spans="1:15" x14ac:dyDescent="0.2">
      <c r="A53" s="222">
        <f>calculs!A53</f>
        <v>44604</v>
      </c>
      <c r="B53" s="523" t="e">
        <f ca="1">gr('calcul-stats'!AY53)</f>
        <v>#NAME?</v>
      </c>
      <c r="C53" s="523" t="e">
        <f ca="1">gr('calcul-stats'!AZ53)</f>
        <v>#NAME?</v>
      </c>
      <c r="D53" s="523" t="e">
        <f ca="1">gr('calcul-stats'!BA53)</f>
        <v>#NAME?</v>
      </c>
      <c r="E53" s="523" t="e">
        <f ca="1">gr('calcul-stats'!BB53)</f>
        <v>#NAME?</v>
      </c>
      <c r="F53" s="523" t="e">
        <f ca="1">gr('calcul-stats'!BC53)</f>
        <v>#NAME?</v>
      </c>
      <c r="G53" s="524" t="e">
        <f t="shared" ca="1" si="0"/>
        <v>#NAME?</v>
      </c>
      <c r="H53" s="523"/>
      <c r="I53" s="523"/>
      <c r="J53" s="523"/>
      <c r="K53" s="523"/>
      <c r="L53" s="523"/>
      <c r="M53" s="523"/>
      <c r="N53" s="523"/>
      <c r="O53" s="523"/>
    </row>
    <row r="54" spans="1:15" x14ac:dyDescent="0.2">
      <c r="A54" s="222">
        <f>calculs!A54</f>
        <v>44605</v>
      </c>
      <c r="B54" s="523" t="e">
        <f ca="1">gr('calcul-stats'!AY54)</f>
        <v>#NAME?</v>
      </c>
      <c r="C54" s="523" t="e">
        <f ca="1">gr('calcul-stats'!AZ54)</f>
        <v>#NAME?</v>
      </c>
      <c r="D54" s="523" t="e">
        <f ca="1">gr('calcul-stats'!BA54)</f>
        <v>#NAME?</v>
      </c>
      <c r="E54" s="523" t="e">
        <f ca="1">gr('calcul-stats'!BB54)</f>
        <v>#NAME?</v>
      </c>
      <c r="F54" s="523" t="e">
        <f ca="1">gr('calcul-stats'!BC54)</f>
        <v>#NAME?</v>
      </c>
      <c r="G54" s="524" t="e">
        <f t="shared" ca="1" si="0"/>
        <v>#NAME?</v>
      </c>
      <c r="H54" s="523"/>
      <c r="I54" s="523"/>
      <c r="J54" s="523"/>
      <c r="K54" s="523"/>
      <c r="L54" s="523"/>
      <c r="M54" s="523"/>
      <c r="N54" s="523"/>
      <c r="O54" s="523"/>
    </row>
    <row r="55" spans="1:15" x14ac:dyDescent="0.2">
      <c r="A55" s="222">
        <f>calculs!A55</f>
        <v>44606</v>
      </c>
      <c r="B55" s="523" t="e">
        <f ca="1">gr('calcul-stats'!AY55)</f>
        <v>#NAME?</v>
      </c>
      <c r="C55" s="523" t="e">
        <f ca="1">gr('calcul-stats'!AZ55)</f>
        <v>#NAME?</v>
      </c>
      <c r="D55" s="523" t="e">
        <f ca="1">gr('calcul-stats'!BA55)</f>
        <v>#NAME?</v>
      </c>
      <c r="E55" s="523" t="e">
        <f ca="1">gr('calcul-stats'!BB55)</f>
        <v>#NAME?</v>
      </c>
      <c r="F55" s="523" t="e">
        <f ca="1">gr('calcul-stats'!BC55)</f>
        <v>#NAME?</v>
      </c>
      <c r="G55" s="524" t="e">
        <f t="shared" ca="1" si="0"/>
        <v>#NAME?</v>
      </c>
      <c r="H55" s="523"/>
      <c r="I55" s="523"/>
      <c r="J55" s="523"/>
      <c r="K55" s="523"/>
      <c r="L55" s="523"/>
      <c r="M55" s="523"/>
      <c r="N55" s="523"/>
      <c r="O55" s="523"/>
    </row>
    <row r="56" spans="1:15" x14ac:dyDescent="0.2">
      <c r="A56" s="222">
        <f>calculs!A56</f>
        <v>44607</v>
      </c>
      <c r="B56" s="523" t="e">
        <f ca="1">gr('calcul-stats'!AY56)</f>
        <v>#NAME?</v>
      </c>
      <c r="C56" s="523" t="e">
        <f ca="1">gr('calcul-stats'!AZ56)</f>
        <v>#NAME?</v>
      </c>
      <c r="D56" s="523" t="e">
        <f ca="1">gr('calcul-stats'!BA56)</f>
        <v>#NAME?</v>
      </c>
      <c r="E56" s="523" t="e">
        <f ca="1">gr('calcul-stats'!BB56)</f>
        <v>#NAME?</v>
      </c>
      <c r="F56" s="523" t="e">
        <f ca="1">gr('calcul-stats'!BC56)</f>
        <v>#NAME?</v>
      </c>
      <c r="G56" s="524" t="e">
        <f t="shared" ca="1" si="0"/>
        <v>#NAME?</v>
      </c>
      <c r="H56" s="523"/>
      <c r="I56" s="523"/>
      <c r="J56" s="523"/>
      <c r="K56" s="523"/>
      <c r="L56" s="523"/>
      <c r="M56" s="523"/>
      <c r="N56" s="523"/>
      <c r="O56" s="523"/>
    </row>
    <row r="57" spans="1:15" x14ac:dyDescent="0.2">
      <c r="A57" s="222">
        <f>calculs!A57</f>
        <v>44608</v>
      </c>
      <c r="B57" s="523" t="e">
        <f ca="1">gr('calcul-stats'!AY57)</f>
        <v>#NAME?</v>
      </c>
      <c r="C57" s="523" t="e">
        <f ca="1">gr('calcul-stats'!AZ57)</f>
        <v>#NAME?</v>
      </c>
      <c r="D57" s="523" t="e">
        <f ca="1">gr('calcul-stats'!BA57)</f>
        <v>#NAME?</v>
      </c>
      <c r="E57" s="523" t="e">
        <f ca="1">gr('calcul-stats'!BB57)</f>
        <v>#NAME?</v>
      </c>
      <c r="F57" s="523" t="e">
        <f ca="1">gr('calcul-stats'!BC57)</f>
        <v>#NAME?</v>
      </c>
      <c r="G57" s="524" t="e">
        <f t="shared" ca="1" si="0"/>
        <v>#NAME?</v>
      </c>
      <c r="H57" s="523"/>
      <c r="I57" s="523"/>
      <c r="J57" s="523"/>
      <c r="K57" s="523"/>
      <c r="L57" s="523"/>
      <c r="M57" s="523"/>
      <c r="N57" s="523"/>
      <c r="O57" s="523"/>
    </row>
    <row r="58" spans="1:15" x14ac:dyDescent="0.2">
      <c r="A58" s="222">
        <f>calculs!A58</f>
        <v>44609</v>
      </c>
      <c r="B58" s="523" t="e">
        <f ca="1">gr('calcul-stats'!AY58)</f>
        <v>#NAME?</v>
      </c>
      <c r="C58" s="523" t="e">
        <f ca="1">gr('calcul-stats'!AZ58)</f>
        <v>#NAME?</v>
      </c>
      <c r="D58" s="523" t="e">
        <f ca="1">gr('calcul-stats'!BA58)</f>
        <v>#NAME?</v>
      </c>
      <c r="E58" s="523" t="e">
        <f ca="1">gr('calcul-stats'!BB58)</f>
        <v>#NAME?</v>
      </c>
      <c r="F58" s="523" t="e">
        <f ca="1">gr('calcul-stats'!BC58)</f>
        <v>#NAME?</v>
      </c>
      <c r="G58" s="524" t="e">
        <f t="shared" ca="1" si="0"/>
        <v>#NAME?</v>
      </c>
      <c r="H58" s="523"/>
      <c r="I58" s="523"/>
      <c r="J58" s="523"/>
      <c r="K58" s="523"/>
      <c r="L58" s="523"/>
      <c r="M58" s="523"/>
      <c r="N58" s="523"/>
      <c r="O58" s="523"/>
    </row>
    <row r="59" spans="1:15" x14ac:dyDescent="0.2">
      <c r="A59" s="222">
        <f>calculs!A59</f>
        <v>44610</v>
      </c>
      <c r="B59" s="523" t="e">
        <f ca="1">gr('calcul-stats'!AY59)</f>
        <v>#NAME?</v>
      </c>
      <c r="C59" s="523" t="e">
        <f ca="1">gr('calcul-stats'!AZ59)</f>
        <v>#NAME?</v>
      </c>
      <c r="D59" s="523" t="e">
        <f ca="1">gr('calcul-stats'!BA59)</f>
        <v>#NAME?</v>
      </c>
      <c r="E59" s="523" t="e">
        <f ca="1">gr('calcul-stats'!BB59)</f>
        <v>#NAME?</v>
      </c>
      <c r="F59" s="523" t="e">
        <f ca="1">gr('calcul-stats'!BC59)</f>
        <v>#NAME?</v>
      </c>
      <c r="G59" s="524" t="e">
        <f t="shared" ca="1" si="0"/>
        <v>#NAME?</v>
      </c>
      <c r="H59" s="523"/>
      <c r="I59" s="523"/>
      <c r="J59" s="523"/>
      <c r="K59" s="523"/>
      <c r="L59" s="523"/>
      <c r="M59" s="523"/>
      <c r="N59" s="523"/>
      <c r="O59" s="523"/>
    </row>
    <row r="60" spans="1:15" x14ac:dyDescent="0.2">
      <c r="A60" s="222">
        <f>calculs!A60</f>
        <v>44611</v>
      </c>
      <c r="B60" s="523" t="e">
        <f ca="1">gr('calcul-stats'!AY60)</f>
        <v>#NAME?</v>
      </c>
      <c r="C60" s="523" t="e">
        <f ca="1">gr('calcul-stats'!AZ60)</f>
        <v>#NAME?</v>
      </c>
      <c r="D60" s="523" t="e">
        <f ca="1">gr('calcul-stats'!BA60)</f>
        <v>#NAME?</v>
      </c>
      <c r="E60" s="523" t="e">
        <f ca="1">gr('calcul-stats'!BB60)</f>
        <v>#NAME?</v>
      </c>
      <c r="F60" s="523" t="e">
        <f ca="1">gr('calcul-stats'!BC60)</f>
        <v>#NAME?</v>
      </c>
      <c r="G60" s="524" t="e">
        <f t="shared" ca="1" si="0"/>
        <v>#NAME?</v>
      </c>
      <c r="H60" s="523"/>
      <c r="I60" s="523"/>
      <c r="J60" s="523"/>
      <c r="K60" s="523"/>
      <c r="L60" s="523"/>
      <c r="M60" s="523"/>
      <c r="N60" s="523"/>
      <c r="O60" s="523"/>
    </row>
    <row r="61" spans="1:15" x14ac:dyDescent="0.2">
      <c r="A61" s="222">
        <f>calculs!A61</f>
        <v>44612</v>
      </c>
      <c r="B61" s="523" t="e">
        <f ca="1">gr('calcul-stats'!AY61)</f>
        <v>#NAME?</v>
      </c>
      <c r="C61" s="523" t="e">
        <f ca="1">gr('calcul-stats'!AZ61)</f>
        <v>#NAME?</v>
      </c>
      <c r="D61" s="523" t="e">
        <f ca="1">gr('calcul-stats'!BA61)</f>
        <v>#NAME?</v>
      </c>
      <c r="E61" s="523" t="e">
        <f ca="1">gr('calcul-stats'!BB61)</f>
        <v>#NAME?</v>
      </c>
      <c r="F61" s="523" t="e">
        <f ca="1">gr('calcul-stats'!BC61)</f>
        <v>#NAME?</v>
      </c>
      <c r="G61" s="524" t="e">
        <f t="shared" ca="1" si="0"/>
        <v>#NAME?</v>
      </c>
      <c r="H61" s="523"/>
      <c r="I61" s="523"/>
      <c r="J61" s="523"/>
      <c r="K61" s="523"/>
      <c r="L61" s="523"/>
      <c r="M61" s="523"/>
      <c r="N61" s="523"/>
      <c r="O61" s="523"/>
    </row>
    <row r="62" spans="1:15" x14ac:dyDescent="0.2">
      <c r="A62" s="222">
        <f>calculs!A62</f>
        <v>44613</v>
      </c>
      <c r="B62" s="523" t="e">
        <f ca="1">gr('calcul-stats'!AY62)</f>
        <v>#NAME?</v>
      </c>
      <c r="C62" s="523" t="e">
        <f ca="1">gr('calcul-stats'!AZ62)</f>
        <v>#NAME?</v>
      </c>
      <c r="D62" s="523" t="e">
        <f ca="1">gr('calcul-stats'!BA62)</f>
        <v>#NAME?</v>
      </c>
      <c r="E62" s="523" t="e">
        <f ca="1">gr('calcul-stats'!BB62)</f>
        <v>#NAME?</v>
      </c>
      <c r="F62" s="523" t="e">
        <f ca="1">gr('calcul-stats'!BC62)</f>
        <v>#NAME?</v>
      </c>
      <c r="G62" s="524" t="e">
        <f t="shared" ca="1" si="0"/>
        <v>#NAME?</v>
      </c>
      <c r="H62" s="523"/>
      <c r="I62" s="523"/>
      <c r="J62" s="523"/>
      <c r="K62" s="523"/>
      <c r="L62" s="523"/>
      <c r="M62" s="523"/>
      <c r="N62" s="523"/>
      <c r="O62" s="523"/>
    </row>
    <row r="63" spans="1:15" x14ac:dyDescent="0.2">
      <c r="A63" s="222">
        <f>calculs!A63</f>
        <v>44614</v>
      </c>
      <c r="B63" s="523" t="e">
        <f ca="1">gr('calcul-stats'!AY63)</f>
        <v>#NAME?</v>
      </c>
      <c r="C63" s="523" t="e">
        <f ca="1">gr('calcul-stats'!AZ63)</f>
        <v>#NAME?</v>
      </c>
      <c r="D63" s="523" t="e">
        <f ca="1">gr('calcul-stats'!BA63)</f>
        <v>#NAME?</v>
      </c>
      <c r="E63" s="523" t="e">
        <f ca="1">gr('calcul-stats'!BB63)</f>
        <v>#NAME?</v>
      </c>
      <c r="F63" s="523" t="e">
        <f ca="1">gr('calcul-stats'!BC63)</f>
        <v>#NAME?</v>
      </c>
      <c r="G63" s="524" t="e">
        <f t="shared" ca="1" si="0"/>
        <v>#NAME?</v>
      </c>
      <c r="H63" s="523"/>
      <c r="I63" s="523"/>
      <c r="J63" s="523"/>
      <c r="K63" s="523"/>
      <c r="L63" s="523"/>
      <c r="M63" s="523"/>
      <c r="N63" s="523"/>
      <c r="O63" s="523"/>
    </row>
    <row r="64" spans="1:15" x14ac:dyDescent="0.2">
      <c r="A64" s="222">
        <f>calculs!A64</f>
        <v>44615</v>
      </c>
      <c r="B64" s="523" t="e">
        <f ca="1">gr('calcul-stats'!AY64)</f>
        <v>#NAME?</v>
      </c>
      <c r="C64" s="523" t="e">
        <f ca="1">gr('calcul-stats'!AZ64)</f>
        <v>#NAME?</v>
      </c>
      <c r="D64" s="523" t="e">
        <f ca="1">gr('calcul-stats'!BA64)</f>
        <v>#NAME?</v>
      </c>
      <c r="E64" s="523" t="e">
        <f ca="1">gr('calcul-stats'!BB64)</f>
        <v>#NAME?</v>
      </c>
      <c r="F64" s="523" t="e">
        <f ca="1">gr('calcul-stats'!BC64)</f>
        <v>#NAME?</v>
      </c>
      <c r="G64" s="524" t="e">
        <f t="shared" ca="1" si="0"/>
        <v>#NAME?</v>
      </c>
      <c r="H64" s="523"/>
      <c r="I64" s="523"/>
      <c r="J64" s="523"/>
      <c r="K64" s="523"/>
      <c r="L64" s="523"/>
      <c r="M64" s="523"/>
      <c r="N64" s="523"/>
      <c r="O64" s="523"/>
    </row>
    <row r="65" spans="1:15" x14ac:dyDescent="0.2">
      <c r="A65" s="222">
        <f>calculs!A65</f>
        <v>44616</v>
      </c>
      <c r="B65" s="523" t="e">
        <f ca="1">gr('calcul-stats'!AY65)</f>
        <v>#NAME?</v>
      </c>
      <c r="C65" s="523" t="e">
        <f ca="1">gr('calcul-stats'!AZ65)</f>
        <v>#NAME?</v>
      </c>
      <c r="D65" s="523" t="e">
        <f ca="1">gr('calcul-stats'!BA65)</f>
        <v>#NAME?</v>
      </c>
      <c r="E65" s="523" t="e">
        <f ca="1">gr('calcul-stats'!BB65)</f>
        <v>#NAME?</v>
      </c>
      <c r="F65" s="523" t="e">
        <f ca="1">gr('calcul-stats'!BC65)</f>
        <v>#NAME?</v>
      </c>
      <c r="G65" s="524" t="e">
        <f t="shared" ca="1" si="0"/>
        <v>#NAME?</v>
      </c>
      <c r="H65" s="523"/>
      <c r="I65" s="523"/>
      <c r="J65" s="523"/>
      <c r="K65" s="523"/>
      <c r="L65" s="523"/>
      <c r="M65" s="523"/>
      <c r="N65" s="523"/>
      <c r="O65" s="523"/>
    </row>
    <row r="66" spans="1:15" x14ac:dyDescent="0.2">
      <c r="A66" s="222">
        <f>calculs!A66</f>
        <v>44617</v>
      </c>
      <c r="B66" s="523" t="e">
        <f ca="1">gr('calcul-stats'!AY66)</f>
        <v>#NAME?</v>
      </c>
      <c r="C66" s="523" t="e">
        <f ca="1">gr('calcul-stats'!AZ66)</f>
        <v>#NAME?</v>
      </c>
      <c r="D66" s="523" t="e">
        <f ca="1">gr('calcul-stats'!BA66)</f>
        <v>#NAME?</v>
      </c>
      <c r="E66" s="523" t="e">
        <f ca="1">gr('calcul-stats'!BB66)</f>
        <v>#NAME?</v>
      </c>
      <c r="F66" s="523" t="e">
        <f ca="1">gr('calcul-stats'!BC66)</f>
        <v>#NAME?</v>
      </c>
      <c r="G66" s="524" t="e">
        <f t="shared" ca="1" si="0"/>
        <v>#NAME?</v>
      </c>
      <c r="H66" s="523"/>
      <c r="I66" s="523"/>
      <c r="J66" s="523"/>
      <c r="K66" s="523"/>
      <c r="L66" s="523"/>
      <c r="M66" s="523"/>
      <c r="N66" s="523"/>
      <c r="O66" s="523"/>
    </row>
    <row r="67" spans="1:15" x14ac:dyDescent="0.2">
      <c r="A67" s="222">
        <f>calculs!A67</f>
        <v>44618</v>
      </c>
      <c r="B67" s="523" t="e">
        <f ca="1">gr('calcul-stats'!AY67)</f>
        <v>#NAME?</v>
      </c>
      <c r="C67" s="523" t="e">
        <f ca="1">gr('calcul-stats'!AZ67)</f>
        <v>#NAME?</v>
      </c>
      <c r="D67" s="523" t="e">
        <f ca="1">gr('calcul-stats'!BA67)</f>
        <v>#NAME?</v>
      </c>
      <c r="E67" s="523" t="e">
        <f ca="1">gr('calcul-stats'!BB67)</f>
        <v>#NAME?</v>
      </c>
      <c r="F67" s="523" t="e">
        <f ca="1">gr('calcul-stats'!BC67)</f>
        <v>#NAME?</v>
      </c>
      <c r="G67" s="524" t="e">
        <f t="shared" ca="1" si="0"/>
        <v>#NAME?</v>
      </c>
      <c r="H67" s="523"/>
      <c r="I67" s="523"/>
      <c r="J67" s="523"/>
      <c r="K67" s="523"/>
      <c r="L67" s="523"/>
      <c r="M67" s="523"/>
      <c r="N67" s="523"/>
      <c r="O67" s="523"/>
    </row>
    <row r="68" spans="1:15" x14ac:dyDescent="0.2">
      <c r="A68" s="222">
        <f>calculs!A68</f>
        <v>44619</v>
      </c>
      <c r="B68" s="523" t="e">
        <f ca="1">gr('calcul-stats'!AY68)</f>
        <v>#NAME?</v>
      </c>
      <c r="C68" s="523" t="e">
        <f ca="1">gr('calcul-stats'!AZ68)</f>
        <v>#NAME?</v>
      </c>
      <c r="D68" s="523" t="e">
        <f ca="1">gr('calcul-stats'!BA68)</f>
        <v>#NAME?</v>
      </c>
      <c r="E68" s="523" t="e">
        <f ca="1">gr('calcul-stats'!BB68)</f>
        <v>#NAME?</v>
      </c>
      <c r="F68" s="523" t="e">
        <f ca="1">gr('calcul-stats'!BC68)</f>
        <v>#NAME?</v>
      </c>
      <c r="G68" s="524" t="e">
        <f t="shared" ca="1" si="0"/>
        <v>#NAME?</v>
      </c>
      <c r="H68" s="523"/>
      <c r="I68" s="523"/>
      <c r="J68" s="523"/>
      <c r="K68" s="523"/>
      <c r="L68" s="523"/>
      <c r="M68" s="523"/>
      <c r="N68" s="523"/>
      <c r="O68" s="523"/>
    </row>
    <row r="69" spans="1:15" x14ac:dyDescent="0.2">
      <c r="A69" s="222">
        <f>calculs!A69</f>
        <v>44620</v>
      </c>
      <c r="B69" s="523" t="e">
        <f ca="1">gr('calcul-stats'!AY69)</f>
        <v>#NAME?</v>
      </c>
      <c r="C69" s="523" t="e">
        <f ca="1">gr('calcul-stats'!AZ69)</f>
        <v>#NAME?</v>
      </c>
      <c r="D69" s="523" t="e">
        <f ca="1">gr('calcul-stats'!BA69)</f>
        <v>#NAME?</v>
      </c>
      <c r="E69" s="523" t="e">
        <f ca="1">gr('calcul-stats'!BB69)</f>
        <v>#NAME?</v>
      </c>
      <c r="F69" s="523" t="e">
        <f ca="1">gr('calcul-stats'!BC69)</f>
        <v>#NAME?</v>
      </c>
      <c r="G69" s="524" t="e">
        <f t="shared" ca="1" si="0"/>
        <v>#NAME?</v>
      </c>
      <c r="H69" s="523"/>
      <c r="I69" s="523"/>
      <c r="J69" s="523"/>
      <c r="K69" s="523"/>
      <c r="L69" s="523"/>
      <c r="M69" s="523"/>
      <c r="N69" s="523"/>
      <c r="O69" s="523"/>
    </row>
    <row r="70" spans="1:15" x14ac:dyDescent="0.2">
      <c r="A70" s="222">
        <f>calculs!A70</f>
        <v>44621</v>
      </c>
      <c r="B70" s="523" t="e">
        <f ca="1">gr('calcul-stats'!AY70)</f>
        <v>#NAME?</v>
      </c>
      <c r="C70" s="523" t="e">
        <f ca="1">gr('calcul-stats'!AZ70)</f>
        <v>#NAME?</v>
      </c>
      <c r="D70" s="523" t="e">
        <f ca="1">gr('calcul-stats'!BA70)</f>
        <v>#NAME?</v>
      </c>
      <c r="E70" s="523" t="e">
        <f ca="1">gr('calcul-stats'!BB70)</f>
        <v>#NAME?</v>
      </c>
      <c r="F70" s="523" t="e">
        <f ca="1">gr('calcul-stats'!BC70)</f>
        <v>#NAME?</v>
      </c>
      <c r="G70" s="524" t="e">
        <f t="shared" ca="1" si="0"/>
        <v>#NAME?</v>
      </c>
      <c r="H70" s="523"/>
      <c r="I70" s="523"/>
      <c r="J70" s="523"/>
      <c r="K70" s="523"/>
      <c r="L70" s="523"/>
      <c r="M70" s="523"/>
      <c r="N70" s="523"/>
      <c r="O70" s="523"/>
    </row>
    <row r="71" spans="1:15" x14ac:dyDescent="0.2">
      <c r="A71" s="222">
        <f>calculs!A71</f>
        <v>44622</v>
      </c>
      <c r="B71" s="523" t="e">
        <f ca="1">gr('calcul-stats'!AY71)</f>
        <v>#NAME?</v>
      </c>
      <c r="C71" s="523" t="e">
        <f ca="1">gr('calcul-stats'!AZ71)</f>
        <v>#NAME?</v>
      </c>
      <c r="D71" s="523" t="e">
        <f ca="1">gr('calcul-stats'!BA71)</f>
        <v>#NAME?</v>
      </c>
      <c r="E71" s="523" t="e">
        <f ca="1">gr('calcul-stats'!BB71)</f>
        <v>#NAME?</v>
      </c>
      <c r="F71" s="523" t="e">
        <f ca="1">gr('calcul-stats'!BC71)</f>
        <v>#NAME?</v>
      </c>
      <c r="G71" s="524" t="e">
        <f t="shared" ca="1" si="0"/>
        <v>#NAME?</v>
      </c>
      <c r="H71" s="523"/>
      <c r="I71" s="523"/>
      <c r="J71" s="523"/>
      <c r="K71" s="523"/>
      <c r="L71" s="523"/>
      <c r="M71" s="523"/>
      <c r="N71" s="523"/>
      <c r="O71" s="523"/>
    </row>
    <row r="72" spans="1:15" x14ac:dyDescent="0.2">
      <c r="A72" s="222">
        <f>calculs!A72</f>
        <v>44623</v>
      </c>
      <c r="B72" s="523" t="e">
        <f ca="1">gr('calcul-stats'!AY72)</f>
        <v>#NAME?</v>
      </c>
      <c r="C72" s="523" t="e">
        <f ca="1">gr('calcul-stats'!AZ72)</f>
        <v>#NAME?</v>
      </c>
      <c r="D72" s="523" t="e">
        <f ca="1">gr('calcul-stats'!BA72)</f>
        <v>#NAME?</v>
      </c>
      <c r="E72" s="523" t="e">
        <f ca="1">gr('calcul-stats'!BB72)</f>
        <v>#NAME?</v>
      </c>
      <c r="F72" s="523" t="e">
        <f ca="1">gr('calcul-stats'!BC72)</f>
        <v>#NAME?</v>
      </c>
      <c r="G72" s="524" t="e">
        <f t="shared" ca="1" si="0"/>
        <v>#NAME?</v>
      </c>
      <c r="H72" s="523"/>
      <c r="I72" s="523"/>
      <c r="J72" s="523"/>
      <c r="K72" s="523"/>
      <c r="L72" s="523"/>
      <c r="M72" s="523"/>
      <c r="N72" s="523"/>
      <c r="O72" s="523"/>
    </row>
    <row r="73" spans="1:15" x14ac:dyDescent="0.2">
      <c r="A73" s="222">
        <f>calculs!A73</f>
        <v>44624</v>
      </c>
      <c r="B73" s="523" t="e">
        <f ca="1">gr('calcul-stats'!AY73)</f>
        <v>#NAME?</v>
      </c>
      <c r="C73" s="523" t="e">
        <f ca="1">gr('calcul-stats'!AZ73)</f>
        <v>#NAME?</v>
      </c>
      <c r="D73" s="523" t="e">
        <f ca="1">gr('calcul-stats'!BA73)</f>
        <v>#NAME?</v>
      </c>
      <c r="E73" s="523" t="e">
        <f ca="1">gr('calcul-stats'!BB73)</f>
        <v>#NAME?</v>
      </c>
      <c r="F73" s="523" t="e">
        <f ca="1">gr('calcul-stats'!BC73)</f>
        <v>#NAME?</v>
      </c>
      <c r="G73" s="524" t="e">
        <f t="shared" ca="1" si="0"/>
        <v>#NAME?</v>
      </c>
      <c r="H73" s="523"/>
      <c r="I73" s="523"/>
      <c r="J73" s="523"/>
      <c r="K73" s="523"/>
      <c r="L73" s="523"/>
      <c r="M73" s="523"/>
      <c r="N73" s="523"/>
      <c r="O73" s="523"/>
    </row>
    <row r="74" spans="1:15" x14ac:dyDescent="0.2">
      <c r="A74" s="222">
        <f>calculs!A74</f>
        <v>44625</v>
      </c>
      <c r="B74" s="523" t="e">
        <f ca="1">gr('calcul-stats'!AY74)</f>
        <v>#NAME?</v>
      </c>
      <c r="C74" s="523" t="e">
        <f ca="1">gr('calcul-stats'!AZ74)</f>
        <v>#NAME?</v>
      </c>
      <c r="D74" s="523" t="e">
        <f ca="1">gr('calcul-stats'!BA74)</f>
        <v>#NAME?</v>
      </c>
      <c r="E74" s="523" t="e">
        <f ca="1">gr('calcul-stats'!BB74)</f>
        <v>#NAME?</v>
      </c>
      <c r="F74" s="523" t="e">
        <f ca="1">gr('calcul-stats'!BC74)</f>
        <v>#NAME?</v>
      </c>
      <c r="G74" s="524" t="e">
        <f t="shared" ca="1" si="0"/>
        <v>#NAME?</v>
      </c>
      <c r="H74" s="523"/>
      <c r="I74" s="523"/>
      <c r="J74" s="523"/>
      <c r="K74" s="523"/>
      <c r="L74" s="523"/>
      <c r="M74" s="523"/>
      <c r="N74" s="523"/>
      <c r="O74" s="523"/>
    </row>
    <row r="75" spans="1:15" x14ac:dyDescent="0.2">
      <c r="A75" s="222">
        <f>calculs!A75</f>
        <v>44626</v>
      </c>
      <c r="B75" s="523" t="e">
        <f ca="1">gr('calcul-stats'!AY75)</f>
        <v>#NAME?</v>
      </c>
      <c r="C75" s="523" t="e">
        <f ca="1">gr('calcul-stats'!AZ75)</f>
        <v>#NAME?</v>
      </c>
      <c r="D75" s="523" t="e">
        <f ca="1">gr('calcul-stats'!BA75)</f>
        <v>#NAME?</v>
      </c>
      <c r="E75" s="523" t="e">
        <f ca="1">gr('calcul-stats'!BB75)</f>
        <v>#NAME?</v>
      </c>
      <c r="F75" s="523" t="e">
        <f ca="1">gr('calcul-stats'!BC75)</f>
        <v>#NAME?</v>
      </c>
      <c r="G75" s="524" t="e">
        <f t="shared" ca="1" si="0"/>
        <v>#NAME?</v>
      </c>
      <c r="H75" s="523"/>
      <c r="I75" s="523"/>
      <c r="J75" s="523"/>
      <c r="K75" s="523"/>
      <c r="L75" s="523"/>
      <c r="M75" s="523"/>
      <c r="N75" s="523"/>
      <c r="O75" s="523"/>
    </row>
    <row r="76" spans="1:15" x14ac:dyDescent="0.2">
      <c r="A76" s="222">
        <f>calculs!A76</f>
        <v>44627</v>
      </c>
      <c r="B76" s="523" t="e">
        <f ca="1">gr('calcul-stats'!AY76)</f>
        <v>#NAME?</v>
      </c>
      <c r="C76" s="523" t="e">
        <f ca="1">gr('calcul-stats'!AZ76)</f>
        <v>#NAME?</v>
      </c>
      <c r="D76" s="523" t="e">
        <f ca="1">gr('calcul-stats'!BA76)</f>
        <v>#NAME?</v>
      </c>
      <c r="E76" s="523" t="e">
        <f ca="1">gr('calcul-stats'!BB76)</f>
        <v>#NAME?</v>
      </c>
      <c r="F76" s="523" t="e">
        <f ca="1">gr('calcul-stats'!BC76)</f>
        <v>#NAME?</v>
      </c>
      <c r="G76" s="524" t="e">
        <f t="shared" ref="G76:G139" ca="1" si="1">AVERAGE(B76:F76)</f>
        <v>#NAME?</v>
      </c>
      <c r="H76" s="523"/>
      <c r="I76" s="523"/>
      <c r="J76" s="523"/>
      <c r="K76" s="523"/>
      <c r="L76" s="523"/>
      <c r="M76" s="523"/>
      <c r="N76" s="523"/>
      <c r="O76" s="523"/>
    </row>
    <row r="77" spans="1:15" x14ac:dyDescent="0.2">
      <c r="A77" s="222">
        <f>calculs!A77</f>
        <v>44628</v>
      </c>
      <c r="B77" s="523" t="e">
        <f ca="1">gr('calcul-stats'!AY77)</f>
        <v>#NAME?</v>
      </c>
      <c r="C77" s="523" t="e">
        <f ca="1">gr('calcul-stats'!AZ77)</f>
        <v>#NAME?</v>
      </c>
      <c r="D77" s="523" t="e">
        <f ca="1">gr('calcul-stats'!BA77)</f>
        <v>#NAME?</v>
      </c>
      <c r="E77" s="523" t="e">
        <f ca="1">gr('calcul-stats'!BB77)</f>
        <v>#NAME?</v>
      </c>
      <c r="F77" s="523" t="e">
        <f ca="1">gr('calcul-stats'!BC77)</f>
        <v>#NAME?</v>
      </c>
      <c r="G77" s="524" t="e">
        <f t="shared" ca="1" si="1"/>
        <v>#NAME?</v>
      </c>
      <c r="H77" s="523"/>
      <c r="I77" s="523"/>
      <c r="J77" s="523"/>
      <c r="K77" s="523"/>
      <c r="L77" s="523"/>
      <c r="M77" s="523"/>
      <c r="N77" s="523"/>
      <c r="O77" s="523"/>
    </row>
    <row r="78" spans="1:15" x14ac:dyDescent="0.2">
      <c r="A78" s="222">
        <f>calculs!A78</f>
        <v>44629</v>
      </c>
      <c r="B78" s="523" t="e">
        <f ca="1">gr('calcul-stats'!AY78)</f>
        <v>#NAME?</v>
      </c>
      <c r="C78" s="523" t="e">
        <f ca="1">gr('calcul-stats'!AZ78)</f>
        <v>#NAME?</v>
      </c>
      <c r="D78" s="523" t="e">
        <f ca="1">gr('calcul-stats'!BA78)</f>
        <v>#NAME?</v>
      </c>
      <c r="E78" s="523" t="e">
        <f ca="1">gr('calcul-stats'!BB78)</f>
        <v>#NAME?</v>
      </c>
      <c r="F78" s="523" t="e">
        <f ca="1">gr('calcul-stats'!BC78)</f>
        <v>#NAME?</v>
      </c>
      <c r="G78" s="524" t="e">
        <f t="shared" ca="1" si="1"/>
        <v>#NAME?</v>
      </c>
      <c r="H78" s="523"/>
      <c r="I78" s="523"/>
      <c r="J78" s="523"/>
      <c r="K78" s="523"/>
      <c r="L78" s="523"/>
      <c r="M78" s="523"/>
      <c r="N78" s="523"/>
      <c r="O78" s="523"/>
    </row>
    <row r="79" spans="1:15" x14ac:dyDescent="0.2">
      <c r="A79" s="222">
        <f>calculs!A79</f>
        <v>44630</v>
      </c>
      <c r="B79" s="523" t="e">
        <f ca="1">gr('calcul-stats'!AY79)</f>
        <v>#NAME?</v>
      </c>
      <c r="C79" s="523" t="e">
        <f ca="1">gr('calcul-stats'!AZ79)</f>
        <v>#NAME?</v>
      </c>
      <c r="D79" s="523" t="e">
        <f ca="1">gr('calcul-stats'!BA79)</f>
        <v>#NAME?</v>
      </c>
      <c r="E79" s="523" t="e">
        <f ca="1">gr('calcul-stats'!BB79)</f>
        <v>#NAME?</v>
      </c>
      <c r="F79" s="523" t="e">
        <f ca="1">gr('calcul-stats'!BC79)</f>
        <v>#NAME?</v>
      </c>
      <c r="G79" s="524" t="e">
        <f t="shared" ca="1" si="1"/>
        <v>#NAME?</v>
      </c>
      <c r="H79" s="523"/>
      <c r="I79" s="523"/>
      <c r="J79" s="523"/>
      <c r="K79" s="523"/>
      <c r="L79" s="523"/>
      <c r="M79" s="523"/>
      <c r="N79" s="523"/>
      <c r="O79" s="523"/>
    </row>
    <row r="80" spans="1:15" x14ac:dyDescent="0.2">
      <c r="A80" s="222">
        <f>calculs!A80</f>
        <v>44631</v>
      </c>
      <c r="B80" s="523" t="e">
        <f ca="1">gr('calcul-stats'!AY80)</f>
        <v>#NAME?</v>
      </c>
      <c r="C80" s="523" t="e">
        <f ca="1">gr('calcul-stats'!AZ80)</f>
        <v>#NAME?</v>
      </c>
      <c r="D80" s="523" t="e">
        <f ca="1">gr('calcul-stats'!BA80)</f>
        <v>#NAME?</v>
      </c>
      <c r="E80" s="523" t="e">
        <f ca="1">gr('calcul-stats'!BB80)</f>
        <v>#NAME?</v>
      </c>
      <c r="F80" s="523" t="e">
        <f ca="1">gr('calcul-stats'!BC80)</f>
        <v>#NAME?</v>
      </c>
      <c r="G80" s="524" t="e">
        <f t="shared" ca="1" si="1"/>
        <v>#NAME?</v>
      </c>
      <c r="H80" s="523"/>
      <c r="I80" s="523"/>
      <c r="J80" s="523"/>
      <c r="K80" s="523"/>
      <c r="L80" s="523"/>
      <c r="M80" s="523"/>
      <c r="N80" s="523"/>
      <c r="O80" s="523"/>
    </row>
    <row r="81" spans="1:15" x14ac:dyDescent="0.2">
      <c r="A81" s="222">
        <f>calculs!A81</f>
        <v>44632</v>
      </c>
      <c r="B81" s="523" t="e">
        <f ca="1">gr('calcul-stats'!AY81)</f>
        <v>#NAME?</v>
      </c>
      <c r="C81" s="523" t="e">
        <f ca="1">gr('calcul-stats'!AZ81)</f>
        <v>#NAME?</v>
      </c>
      <c r="D81" s="523" t="e">
        <f ca="1">gr('calcul-stats'!BA81)</f>
        <v>#NAME?</v>
      </c>
      <c r="E81" s="523" t="e">
        <f ca="1">gr('calcul-stats'!BB81)</f>
        <v>#NAME?</v>
      </c>
      <c r="F81" s="523" t="e">
        <f ca="1">gr('calcul-stats'!BC81)</f>
        <v>#NAME?</v>
      </c>
      <c r="G81" s="524" t="e">
        <f t="shared" ca="1" si="1"/>
        <v>#NAME?</v>
      </c>
      <c r="H81" s="523"/>
      <c r="I81" s="523"/>
      <c r="J81" s="523"/>
      <c r="K81" s="523"/>
      <c r="L81" s="523"/>
      <c r="M81" s="523"/>
      <c r="N81" s="523"/>
      <c r="O81" s="523"/>
    </row>
    <row r="82" spans="1:15" x14ac:dyDescent="0.2">
      <c r="A82" s="222">
        <f>calculs!A82</f>
        <v>44633</v>
      </c>
      <c r="B82" s="523" t="e">
        <f ca="1">gr('calcul-stats'!AY82)</f>
        <v>#NAME?</v>
      </c>
      <c r="C82" s="523" t="e">
        <f ca="1">gr('calcul-stats'!AZ82)</f>
        <v>#NAME?</v>
      </c>
      <c r="D82" s="523" t="e">
        <f ca="1">gr('calcul-stats'!BA82)</f>
        <v>#NAME?</v>
      </c>
      <c r="E82" s="523" t="e">
        <f ca="1">gr('calcul-stats'!BB82)</f>
        <v>#NAME?</v>
      </c>
      <c r="F82" s="523" t="e">
        <f ca="1">gr('calcul-stats'!BC82)</f>
        <v>#NAME?</v>
      </c>
      <c r="G82" s="524" t="e">
        <f t="shared" ca="1" si="1"/>
        <v>#NAME?</v>
      </c>
      <c r="H82" s="523"/>
      <c r="I82" s="523"/>
      <c r="J82" s="523"/>
      <c r="K82" s="523"/>
      <c r="L82" s="523"/>
      <c r="M82" s="523"/>
      <c r="N82" s="523"/>
      <c r="O82" s="523"/>
    </row>
    <row r="83" spans="1:15" x14ac:dyDescent="0.2">
      <c r="A83" s="222">
        <f>calculs!A83</f>
        <v>44634</v>
      </c>
      <c r="B83" s="523" t="e">
        <f ca="1">gr('calcul-stats'!AY83)</f>
        <v>#NAME?</v>
      </c>
      <c r="C83" s="523" t="e">
        <f ca="1">gr('calcul-stats'!AZ83)</f>
        <v>#NAME?</v>
      </c>
      <c r="D83" s="523" t="e">
        <f ca="1">gr('calcul-stats'!BA83)</f>
        <v>#NAME?</v>
      </c>
      <c r="E83" s="523" t="e">
        <f ca="1">gr('calcul-stats'!BB83)</f>
        <v>#NAME?</v>
      </c>
      <c r="F83" s="523" t="e">
        <f ca="1">gr('calcul-stats'!BC83)</f>
        <v>#NAME?</v>
      </c>
      <c r="G83" s="524" t="e">
        <f t="shared" ca="1" si="1"/>
        <v>#NAME?</v>
      </c>
      <c r="H83" s="523"/>
      <c r="I83" s="523"/>
      <c r="J83" s="523"/>
      <c r="K83" s="523"/>
      <c r="L83" s="523"/>
      <c r="M83" s="523"/>
      <c r="N83" s="523"/>
      <c r="O83" s="523"/>
    </row>
    <row r="84" spans="1:15" x14ac:dyDescent="0.2">
      <c r="A84" s="222">
        <f>calculs!A84</f>
        <v>44635</v>
      </c>
      <c r="B84" s="523" t="e">
        <f ca="1">gr('calcul-stats'!AY84)</f>
        <v>#NAME?</v>
      </c>
      <c r="C84" s="523" t="e">
        <f ca="1">gr('calcul-stats'!AZ84)</f>
        <v>#NAME?</v>
      </c>
      <c r="D84" s="523" t="e">
        <f ca="1">gr('calcul-stats'!BA84)</f>
        <v>#NAME?</v>
      </c>
      <c r="E84" s="523" t="e">
        <f ca="1">gr('calcul-stats'!BB84)</f>
        <v>#NAME?</v>
      </c>
      <c r="F84" s="523" t="e">
        <f ca="1">gr('calcul-stats'!BC84)</f>
        <v>#NAME?</v>
      </c>
      <c r="G84" s="524" t="e">
        <f t="shared" ca="1" si="1"/>
        <v>#NAME?</v>
      </c>
      <c r="H84" s="523"/>
      <c r="I84" s="523"/>
      <c r="J84" s="523"/>
      <c r="K84" s="523"/>
      <c r="L84" s="523"/>
      <c r="M84" s="523"/>
      <c r="N84" s="523"/>
      <c r="O84" s="523"/>
    </row>
    <row r="85" spans="1:15" x14ac:dyDescent="0.2">
      <c r="A85" s="222">
        <f>calculs!A85</f>
        <v>44636</v>
      </c>
      <c r="B85" s="523" t="e">
        <f ca="1">gr('calcul-stats'!AY85)</f>
        <v>#NAME?</v>
      </c>
      <c r="C85" s="523" t="e">
        <f ca="1">gr('calcul-stats'!AZ85)</f>
        <v>#NAME?</v>
      </c>
      <c r="D85" s="523" t="e">
        <f ca="1">gr('calcul-stats'!BA85)</f>
        <v>#NAME?</v>
      </c>
      <c r="E85" s="523" t="e">
        <f ca="1">gr('calcul-stats'!BB85)</f>
        <v>#NAME?</v>
      </c>
      <c r="F85" s="523" t="e">
        <f ca="1">gr('calcul-stats'!BC85)</f>
        <v>#NAME?</v>
      </c>
      <c r="G85" s="524" t="e">
        <f t="shared" ca="1" si="1"/>
        <v>#NAME?</v>
      </c>
      <c r="H85" s="523"/>
      <c r="I85" s="523"/>
      <c r="J85" s="523"/>
      <c r="K85" s="523"/>
      <c r="L85" s="523"/>
      <c r="M85" s="523"/>
      <c r="N85" s="523"/>
      <c r="O85" s="523"/>
    </row>
    <row r="86" spans="1:15" x14ac:dyDescent="0.2">
      <c r="A86" s="222">
        <f>calculs!A86</f>
        <v>44637</v>
      </c>
      <c r="B86" s="523" t="e">
        <f ca="1">gr('calcul-stats'!AY86)</f>
        <v>#NAME?</v>
      </c>
      <c r="C86" s="523" t="e">
        <f ca="1">gr('calcul-stats'!AZ86)</f>
        <v>#NAME?</v>
      </c>
      <c r="D86" s="523" t="e">
        <f ca="1">gr('calcul-stats'!BA86)</f>
        <v>#NAME?</v>
      </c>
      <c r="E86" s="523" t="e">
        <f ca="1">gr('calcul-stats'!BB86)</f>
        <v>#NAME?</v>
      </c>
      <c r="F86" s="523" t="e">
        <f ca="1">gr('calcul-stats'!BC86)</f>
        <v>#NAME?</v>
      </c>
      <c r="G86" s="524" t="e">
        <f t="shared" ca="1" si="1"/>
        <v>#NAME?</v>
      </c>
      <c r="H86" s="523"/>
      <c r="I86" s="523"/>
      <c r="J86" s="523"/>
      <c r="K86" s="523"/>
      <c r="L86" s="523"/>
      <c r="M86" s="523"/>
      <c r="N86" s="523"/>
      <c r="O86" s="523"/>
    </row>
    <row r="87" spans="1:15" x14ac:dyDescent="0.2">
      <c r="A87" s="222">
        <f>calculs!A87</f>
        <v>44638</v>
      </c>
      <c r="B87" s="523" t="e">
        <f ca="1">gr('calcul-stats'!AY87)</f>
        <v>#NAME?</v>
      </c>
      <c r="C87" s="523" t="e">
        <f ca="1">gr('calcul-stats'!AZ87)</f>
        <v>#NAME?</v>
      </c>
      <c r="D87" s="523" t="e">
        <f ca="1">gr('calcul-stats'!BA87)</f>
        <v>#NAME?</v>
      </c>
      <c r="E87" s="523" t="e">
        <f ca="1">gr('calcul-stats'!BB87)</f>
        <v>#NAME?</v>
      </c>
      <c r="F87" s="523" t="e">
        <f ca="1">gr('calcul-stats'!BC87)</f>
        <v>#NAME?</v>
      </c>
      <c r="G87" s="524" t="e">
        <f t="shared" ca="1" si="1"/>
        <v>#NAME?</v>
      </c>
      <c r="H87" s="523"/>
      <c r="I87" s="523"/>
      <c r="J87" s="523"/>
      <c r="K87" s="523"/>
      <c r="L87" s="523"/>
      <c r="M87" s="523"/>
      <c r="N87" s="523"/>
      <c r="O87" s="523"/>
    </row>
    <row r="88" spans="1:15" x14ac:dyDescent="0.2">
      <c r="A88" s="222">
        <f>calculs!A88</f>
        <v>44639</v>
      </c>
      <c r="B88" s="523" t="e">
        <f ca="1">gr('calcul-stats'!AY88)</f>
        <v>#NAME?</v>
      </c>
      <c r="C88" s="523" t="e">
        <f ca="1">gr('calcul-stats'!AZ88)</f>
        <v>#NAME?</v>
      </c>
      <c r="D88" s="523" t="e">
        <f ca="1">gr('calcul-stats'!BA88)</f>
        <v>#NAME?</v>
      </c>
      <c r="E88" s="523" t="e">
        <f ca="1">gr('calcul-stats'!BB88)</f>
        <v>#NAME?</v>
      </c>
      <c r="F88" s="523" t="e">
        <f ca="1">gr('calcul-stats'!BC88)</f>
        <v>#NAME?</v>
      </c>
      <c r="G88" s="524" t="e">
        <f t="shared" ca="1" si="1"/>
        <v>#NAME?</v>
      </c>
      <c r="H88" s="523"/>
      <c r="I88" s="523"/>
      <c r="J88" s="523"/>
      <c r="K88" s="523"/>
      <c r="L88" s="523"/>
      <c r="M88" s="523"/>
      <c r="N88" s="523"/>
      <c r="O88" s="523"/>
    </row>
    <row r="89" spans="1:15" x14ac:dyDescent="0.2">
      <c r="A89" s="222">
        <f>calculs!A89</f>
        <v>44640</v>
      </c>
      <c r="B89" s="523" t="e">
        <f ca="1">gr('calcul-stats'!AY89)</f>
        <v>#NAME?</v>
      </c>
      <c r="C89" s="523" t="e">
        <f ca="1">gr('calcul-stats'!AZ89)</f>
        <v>#NAME?</v>
      </c>
      <c r="D89" s="523" t="e">
        <f ca="1">gr('calcul-stats'!BA89)</f>
        <v>#NAME?</v>
      </c>
      <c r="E89" s="523" t="e">
        <f ca="1">gr('calcul-stats'!BB89)</f>
        <v>#NAME?</v>
      </c>
      <c r="F89" s="523" t="e">
        <f ca="1">gr('calcul-stats'!BC89)</f>
        <v>#NAME?</v>
      </c>
      <c r="G89" s="524" t="e">
        <f t="shared" ca="1" si="1"/>
        <v>#NAME?</v>
      </c>
      <c r="H89" s="523"/>
      <c r="I89" s="523"/>
      <c r="J89" s="523"/>
      <c r="K89" s="523"/>
      <c r="L89" s="523"/>
      <c r="M89" s="523"/>
      <c r="N89" s="523"/>
      <c r="O89" s="523"/>
    </row>
    <row r="90" spans="1:15" x14ac:dyDescent="0.2">
      <c r="A90" s="222">
        <f>calculs!A90</f>
        <v>44641</v>
      </c>
      <c r="B90" s="523" t="e">
        <f ca="1">gr('calcul-stats'!AY90)</f>
        <v>#NAME?</v>
      </c>
      <c r="C90" s="523" t="e">
        <f ca="1">gr('calcul-stats'!AZ90)</f>
        <v>#NAME?</v>
      </c>
      <c r="D90" s="523" t="e">
        <f ca="1">gr('calcul-stats'!BA90)</f>
        <v>#NAME?</v>
      </c>
      <c r="E90" s="523" t="e">
        <f ca="1">gr('calcul-stats'!BB90)</f>
        <v>#NAME?</v>
      </c>
      <c r="F90" s="523" t="e">
        <f ca="1">gr('calcul-stats'!BC90)</f>
        <v>#NAME?</v>
      </c>
      <c r="G90" s="524" t="e">
        <f t="shared" ca="1" si="1"/>
        <v>#NAME?</v>
      </c>
      <c r="H90" s="523"/>
      <c r="I90" s="523"/>
      <c r="J90" s="523"/>
      <c r="K90" s="523"/>
      <c r="L90" s="523"/>
      <c r="M90" s="523"/>
      <c r="N90" s="523"/>
      <c r="O90" s="523"/>
    </row>
    <row r="91" spans="1:15" x14ac:dyDescent="0.2">
      <c r="A91" s="222">
        <f>calculs!A91</f>
        <v>44642</v>
      </c>
      <c r="B91" s="523" t="e">
        <f ca="1">gr('calcul-stats'!AY91)</f>
        <v>#NAME?</v>
      </c>
      <c r="C91" s="523" t="e">
        <f ca="1">gr('calcul-stats'!AZ91)</f>
        <v>#NAME?</v>
      </c>
      <c r="D91" s="523" t="e">
        <f ca="1">gr('calcul-stats'!BA91)</f>
        <v>#NAME?</v>
      </c>
      <c r="E91" s="523" t="e">
        <f ca="1">gr('calcul-stats'!BB91)</f>
        <v>#NAME?</v>
      </c>
      <c r="F91" s="523" t="e">
        <f ca="1">gr('calcul-stats'!BC91)</f>
        <v>#NAME?</v>
      </c>
      <c r="G91" s="524" t="e">
        <f t="shared" ca="1" si="1"/>
        <v>#NAME?</v>
      </c>
      <c r="H91" s="523"/>
      <c r="I91" s="523"/>
      <c r="J91" s="523"/>
      <c r="K91" s="523"/>
      <c r="L91" s="523"/>
      <c r="M91" s="523"/>
      <c r="N91" s="523"/>
      <c r="O91" s="523"/>
    </row>
    <row r="92" spans="1:15" x14ac:dyDescent="0.2">
      <c r="A92" s="222">
        <f>calculs!A92</f>
        <v>44643</v>
      </c>
      <c r="B92" s="523" t="e">
        <f ca="1">gr('calcul-stats'!AY92)</f>
        <v>#NAME?</v>
      </c>
      <c r="C92" s="523" t="e">
        <f ca="1">gr('calcul-stats'!AZ92)</f>
        <v>#NAME?</v>
      </c>
      <c r="D92" s="523" t="e">
        <f ca="1">gr('calcul-stats'!BA92)</f>
        <v>#NAME?</v>
      </c>
      <c r="E92" s="523" t="e">
        <f ca="1">gr('calcul-stats'!BB92)</f>
        <v>#NAME?</v>
      </c>
      <c r="F92" s="523" t="e">
        <f ca="1">gr('calcul-stats'!BC92)</f>
        <v>#NAME?</v>
      </c>
      <c r="G92" s="524" t="e">
        <f t="shared" ca="1" si="1"/>
        <v>#NAME?</v>
      </c>
      <c r="H92" s="523"/>
      <c r="I92" s="523"/>
      <c r="J92" s="523"/>
      <c r="K92" s="523"/>
      <c r="L92" s="523"/>
      <c r="M92" s="523"/>
      <c r="N92" s="523"/>
      <c r="O92" s="523"/>
    </row>
    <row r="93" spans="1:15" x14ac:dyDescent="0.2">
      <c r="A93" s="222">
        <f>calculs!A93</f>
        <v>44644</v>
      </c>
      <c r="B93" s="523" t="e">
        <f ca="1">gr('calcul-stats'!AY93)</f>
        <v>#NAME?</v>
      </c>
      <c r="C93" s="523" t="e">
        <f ca="1">gr('calcul-stats'!AZ93)</f>
        <v>#NAME?</v>
      </c>
      <c r="D93" s="523" t="e">
        <f ca="1">gr('calcul-stats'!BA93)</f>
        <v>#NAME?</v>
      </c>
      <c r="E93" s="523" t="e">
        <f ca="1">gr('calcul-stats'!BB93)</f>
        <v>#NAME?</v>
      </c>
      <c r="F93" s="523" t="e">
        <f ca="1">gr('calcul-stats'!BC93)</f>
        <v>#NAME?</v>
      </c>
      <c r="G93" s="524" t="e">
        <f t="shared" ca="1" si="1"/>
        <v>#NAME?</v>
      </c>
      <c r="H93" s="523"/>
      <c r="I93" s="523"/>
      <c r="J93" s="523"/>
      <c r="K93" s="523"/>
      <c r="L93" s="523"/>
      <c r="M93" s="523"/>
      <c r="N93" s="523"/>
      <c r="O93" s="523"/>
    </row>
    <row r="94" spans="1:15" x14ac:dyDescent="0.2">
      <c r="A94" s="222">
        <f>calculs!A94</f>
        <v>44645</v>
      </c>
      <c r="B94" s="523" t="e">
        <f ca="1">gr('calcul-stats'!AY94)</f>
        <v>#NAME?</v>
      </c>
      <c r="C94" s="523" t="e">
        <f ca="1">gr('calcul-stats'!AZ94)</f>
        <v>#NAME?</v>
      </c>
      <c r="D94" s="523" t="e">
        <f ca="1">gr('calcul-stats'!BA94)</f>
        <v>#NAME?</v>
      </c>
      <c r="E94" s="523" t="e">
        <f ca="1">gr('calcul-stats'!BB94)</f>
        <v>#NAME?</v>
      </c>
      <c r="F94" s="523" t="e">
        <f ca="1">gr('calcul-stats'!BC94)</f>
        <v>#NAME?</v>
      </c>
      <c r="G94" s="524" t="e">
        <f t="shared" ca="1" si="1"/>
        <v>#NAME?</v>
      </c>
      <c r="H94" s="523"/>
      <c r="I94" s="523"/>
      <c r="J94" s="523"/>
      <c r="K94" s="523"/>
      <c r="L94" s="523"/>
      <c r="M94" s="523"/>
      <c r="N94" s="523"/>
      <c r="O94" s="523"/>
    </row>
    <row r="95" spans="1:15" x14ac:dyDescent="0.2">
      <c r="A95" s="222">
        <f>calculs!A95</f>
        <v>44646</v>
      </c>
      <c r="B95" s="523" t="e">
        <f ca="1">gr('calcul-stats'!AY95)</f>
        <v>#NAME?</v>
      </c>
      <c r="C95" s="523" t="e">
        <f ca="1">gr('calcul-stats'!AZ95)</f>
        <v>#NAME?</v>
      </c>
      <c r="D95" s="523" t="e">
        <f ca="1">gr('calcul-stats'!BA95)</f>
        <v>#NAME?</v>
      </c>
      <c r="E95" s="523" t="e">
        <f ca="1">gr('calcul-stats'!BB95)</f>
        <v>#NAME?</v>
      </c>
      <c r="F95" s="523" t="e">
        <f ca="1">gr('calcul-stats'!BC95)</f>
        <v>#NAME?</v>
      </c>
      <c r="G95" s="524" t="e">
        <f t="shared" ca="1" si="1"/>
        <v>#NAME?</v>
      </c>
      <c r="H95" s="523"/>
      <c r="I95" s="523"/>
      <c r="J95" s="523"/>
      <c r="K95" s="523"/>
      <c r="L95" s="523"/>
      <c r="M95" s="523"/>
      <c r="N95" s="523"/>
      <c r="O95" s="523"/>
    </row>
    <row r="96" spans="1:15" x14ac:dyDescent="0.2">
      <c r="A96" s="222">
        <f>calculs!A96</f>
        <v>44647</v>
      </c>
      <c r="B96" s="523" t="e">
        <f ca="1">gr('calcul-stats'!AY96)</f>
        <v>#NAME?</v>
      </c>
      <c r="C96" s="523" t="e">
        <f ca="1">gr('calcul-stats'!AZ96)</f>
        <v>#NAME?</v>
      </c>
      <c r="D96" s="523" t="e">
        <f ca="1">gr('calcul-stats'!BA96)</f>
        <v>#NAME?</v>
      </c>
      <c r="E96" s="523" t="e">
        <f ca="1">gr('calcul-stats'!BB96)</f>
        <v>#NAME?</v>
      </c>
      <c r="F96" s="523" t="e">
        <f ca="1">gr('calcul-stats'!BC96)</f>
        <v>#NAME?</v>
      </c>
      <c r="G96" s="524" t="e">
        <f t="shared" ca="1" si="1"/>
        <v>#NAME?</v>
      </c>
      <c r="H96" s="523"/>
      <c r="I96" s="523"/>
      <c r="J96" s="523"/>
      <c r="K96" s="523"/>
      <c r="L96" s="523"/>
      <c r="M96" s="523"/>
      <c r="N96" s="523"/>
      <c r="O96" s="523"/>
    </row>
    <row r="97" spans="1:15" x14ac:dyDescent="0.2">
      <c r="A97" s="222">
        <f>calculs!A97</f>
        <v>44648</v>
      </c>
      <c r="B97" s="523" t="e">
        <f ca="1">gr('calcul-stats'!AY97)</f>
        <v>#NAME?</v>
      </c>
      <c r="C97" s="523" t="e">
        <f ca="1">gr('calcul-stats'!AZ97)</f>
        <v>#NAME?</v>
      </c>
      <c r="D97" s="523" t="e">
        <f ca="1">gr('calcul-stats'!BA97)</f>
        <v>#NAME?</v>
      </c>
      <c r="E97" s="523" t="e">
        <f ca="1">gr('calcul-stats'!BB97)</f>
        <v>#NAME?</v>
      </c>
      <c r="F97" s="523" t="e">
        <f ca="1">gr('calcul-stats'!BC97)</f>
        <v>#NAME?</v>
      </c>
      <c r="G97" s="524" t="e">
        <f t="shared" ca="1" si="1"/>
        <v>#NAME?</v>
      </c>
      <c r="H97" s="523"/>
      <c r="I97" s="523"/>
      <c r="J97" s="523"/>
      <c r="K97" s="523"/>
      <c r="L97" s="523"/>
      <c r="M97" s="523"/>
      <c r="N97" s="523"/>
      <c r="O97" s="523"/>
    </row>
    <row r="98" spans="1:15" x14ac:dyDescent="0.2">
      <c r="A98" s="222">
        <f>calculs!A98</f>
        <v>44649</v>
      </c>
      <c r="B98" s="523" t="e">
        <f ca="1">gr('calcul-stats'!AY98)</f>
        <v>#NAME?</v>
      </c>
      <c r="C98" s="523" t="e">
        <f ca="1">gr('calcul-stats'!AZ98)</f>
        <v>#NAME?</v>
      </c>
      <c r="D98" s="523" t="e">
        <f ca="1">gr('calcul-stats'!BA98)</f>
        <v>#NAME?</v>
      </c>
      <c r="E98" s="523" t="e">
        <f ca="1">gr('calcul-stats'!BB98)</f>
        <v>#NAME?</v>
      </c>
      <c r="F98" s="523" t="e">
        <f ca="1">gr('calcul-stats'!BC98)</f>
        <v>#NAME?</v>
      </c>
      <c r="G98" s="524" t="e">
        <f t="shared" ca="1" si="1"/>
        <v>#NAME?</v>
      </c>
      <c r="H98" s="523"/>
      <c r="I98" s="523"/>
      <c r="J98" s="523"/>
      <c r="K98" s="523"/>
      <c r="L98" s="523"/>
      <c r="M98" s="523"/>
      <c r="N98" s="523"/>
      <c r="O98" s="523"/>
    </row>
    <row r="99" spans="1:15" x14ac:dyDescent="0.2">
      <c r="A99" s="222">
        <f>calculs!A99</f>
        <v>44650</v>
      </c>
      <c r="B99" s="523" t="e">
        <f ca="1">gr('calcul-stats'!AY99)</f>
        <v>#NAME?</v>
      </c>
      <c r="C99" s="523" t="e">
        <f ca="1">gr('calcul-stats'!AZ99)</f>
        <v>#NAME?</v>
      </c>
      <c r="D99" s="523" t="e">
        <f ca="1">gr('calcul-stats'!BA99)</f>
        <v>#NAME?</v>
      </c>
      <c r="E99" s="523" t="e">
        <f ca="1">gr('calcul-stats'!BB99)</f>
        <v>#NAME?</v>
      </c>
      <c r="F99" s="523" t="e">
        <f ca="1">gr('calcul-stats'!BC99)</f>
        <v>#NAME?</v>
      </c>
      <c r="G99" s="524" t="e">
        <f t="shared" ca="1" si="1"/>
        <v>#NAME?</v>
      </c>
      <c r="H99" s="523"/>
      <c r="I99" s="523"/>
      <c r="J99" s="523"/>
      <c r="K99" s="523"/>
      <c r="L99" s="523"/>
      <c r="M99" s="523"/>
      <c r="N99" s="523"/>
      <c r="O99" s="523"/>
    </row>
    <row r="100" spans="1:15" x14ac:dyDescent="0.2">
      <c r="A100" s="222">
        <f>calculs!A100</f>
        <v>44651</v>
      </c>
      <c r="B100" s="523" t="e">
        <f ca="1">gr('calcul-stats'!AY100)</f>
        <v>#NAME?</v>
      </c>
      <c r="C100" s="523" t="e">
        <f ca="1">gr('calcul-stats'!AZ100)</f>
        <v>#NAME?</v>
      </c>
      <c r="D100" s="523" t="e">
        <f ca="1">gr('calcul-stats'!BA100)</f>
        <v>#NAME?</v>
      </c>
      <c r="E100" s="523" t="e">
        <f ca="1">gr('calcul-stats'!BB100)</f>
        <v>#NAME?</v>
      </c>
      <c r="F100" s="523" t="e">
        <f ca="1">gr('calcul-stats'!BC100)</f>
        <v>#NAME?</v>
      </c>
      <c r="G100" s="524" t="e">
        <f t="shared" ca="1" si="1"/>
        <v>#NAME?</v>
      </c>
      <c r="H100" s="523"/>
      <c r="I100" s="523"/>
      <c r="J100" s="523"/>
      <c r="K100" s="523"/>
      <c r="L100" s="523"/>
      <c r="M100" s="523"/>
      <c r="N100" s="523"/>
      <c r="O100" s="523"/>
    </row>
    <row r="101" spans="1:15" x14ac:dyDescent="0.2">
      <c r="A101" s="222">
        <f>calculs!A101</f>
        <v>44652</v>
      </c>
      <c r="B101" s="523" t="e">
        <f ca="1">gr('calcul-stats'!AY101)</f>
        <v>#NAME?</v>
      </c>
      <c r="C101" s="523" t="e">
        <f ca="1">gr('calcul-stats'!AZ101)</f>
        <v>#NAME?</v>
      </c>
      <c r="D101" s="523" t="e">
        <f ca="1">gr('calcul-stats'!BA101)</f>
        <v>#NAME?</v>
      </c>
      <c r="E101" s="523" t="e">
        <f ca="1">gr('calcul-stats'!BB101)</f>
        <v>#NAME?</v>
      </c>
      <c r="F101" s="523" t="e">
        <f ca="1">gr('calcul-stats'!BC101)</f>
        <v>#NAME?</v>
      </c>
      <c r="G101" s="524" t="e">
        <f t="shared" ca="1" si="1"/>
        <v>#NAME?</v>
      </c>
      <c r="H101" s="523"/>
      <c r="I101" s="523"/>
      <c r="J101" s="523"/>
      <c r="K101" s="523"/>
      <c r="L101" s="523"/>
      <c r="M101" s="523"/>
      <c r="N101" s="523"/>
      <c r="O101" s="523"/>
    </row>
    <row r="102" spans="1:15" x14ac:dyDescent="0.2">
      <c r="A102" s="222">
        <f>calculs!A102</f>
        <v>44653</v>
      </c>
      <c r="B102" s="523" t="e">
        <f ca="1">gr('calcul-stats'!AY102)</f>
        <v>#NAME?</v>
      </c>
      <c r="C102" s="523" t="e">
        <f ca="1">gr('calcul-stats'!AZ102)</f>
        <v>#NAME?</v>
      </c>
      <c r="D102" s="523" t="e">
        <f ca="1">gr('calcul-stats'!BA102)</f>
        <v>#NAME?</v>
      </c>
      <c r="E102" s="523" t="e">
        <f ca="1">gr('calcul-stats'!BB102)</f>
        <v>#NAME?</v>
      </c>
      <c r="F102" s="523" t="e">
        <f ca="1">gr('calcul-stats'!BC102)</f>
        <v>#NAME?</v>
      </c>
      <c r="G102" s="524" t="e">
        <f t="shared" ca="1" si="1"/>
        <v>#NAME?</v>
      </c>
      <c r="H102" s="523"/>
      <c r="I102" s="523"/>
      <c r="J102" s="523"/>
      <c r="K102" s="523"/>
      <c r="L102" s="523"/>
      <c r="M102" s="523"/>
      <c r="N102" s="523"/>
      <c r="O102" s="523"/>
    </row>
    <row r="103" spans="1:15" x14ac:dyDescent="0.2">
      <c r="A103" s="222">
        <f>calculs!A103</f>
        <v>44654</v>
      </c>
      <c r="B103" s="523" t="e">
        <f ca="1">gr('calcul-stats'!AY103)</f>
        <v>#NAME?</v>
      </c>
      <c r="C103" s="523" t="e">
        <f ca="1">gr('calcul-stats'!AZ103)</f>
        <v>#NAME?</v>
      </c>
      <c r="D103" s="523" t="e">
        <f ca="1">gr('calcul-stats'!BA103)</f>
        <v>#NAME?</v>
      </c>
      <c r="E103" s="523" t="e">
        <f ca="1">gr('calcul-stats'!BB103)</f>
        <v>#NAME?</v>
      </c>
      <c r="F103" s="523" t="e">
        <f ca="1">gr('calcul-stats'!BC103)</f>
        <v>#NAME?</v>
      </c>
      <c r="G103" s="524" t="e">
        <f t="shared" ca="1" si="1"/>
        <v>#NAME?</v>
      </c>
      <c r="H103" s="523"/>
      <c r="I103" s="523"/>
      <c r="J103" s="523"/>
      <c r="K103" s="523"/>
      <c r="L103" s="523"/>
      <c r="M103" s="523"/>
      <c r="N103" s="523"/>
      <c r="O103" s="523"/>
    </row>
    <row r="104" spans="1:15" x14ac:dyDescent="0.2">
      <c r="A104" s="222">
        <f>calculs!A104</f>
        <v>44655</v>
      </c>
      <c r="B104" s="523" t="e">
        <f ca="1">gr('calcul-stats'!AY104)</f>
        <v>#NAME?</v>
      </c>
      <c r="C104" s="523" t="e">
        <f ca="1">gr('calcul-stats'!AZ104)</f>
        <v>#NAME?</v>
      </c>
      <c r="D104" s="523" t="e">
        <f ca="1">gr('calcul-stats'!BA104)</f>
        <v>#NAME?</v>
      </c>
      <c r="E104" s="523" t="e">
        <f ca="1">gr('calcul-stats'!BB104)</f>
        <v>#NAME?</v>
      </c>
      <c r="F104" s="523" t="e">
        <f ca="1">gr('calcul-stats'!BC104)</f>
        <v>#NAME?</v>
      </c>
      <c r="G104" s="524" t="e">
        <f t="shared" ca="1" si="1"/>
        <v>#NAME?</v>
      </c>
      <c r="H104" s="523"/>
      <c r="I104" s="523"/>
      <c r="J104" s="523"/>
      <c r="K104" s="523"/>
      <c r="L104" s="523"/>
      <c r="M104" s="523"/>
      <c r="N104" s="523"/>
      <c r="O104" s="523"/>
    </row>
    <row r="105" spans="1:15" x14ac:dyDescent="0.2">
      <c r="A105" s="222">
        <f>calculs!A105</f>
        <v>44656</v>
      </c>
      <c r="B105" s="523" t="e">
        <f ca="1">gr('calcul-stats'!AY105)</f>
        <v>#NAME?</v>
      </c>
      <c r="C105" s="523" t="e">
        <f ca="1">gr('calcul-stats'!AZ105)</f>
        <v>#NAME?</v>
      </c>
      <c r="D105" s="523" t="e">
        <f ca="1">gr('calcul-stats'!BA105)</f>
        <v>#NAME?</v>
      </c>
      <c r="E105" s="523" t="e">
        <f ca="1">gr('calcul-stats'!BB105)</f>
        <v>#NAME?</v>
      </c>
      <c r="F105" s="523" t="e">
        <f ca="1">gr('calcul-stats'!BC105)</f>
        <v>#NAME?</v>
      </c>
      <c r="G105" s="524" t="e">
        <f t="shared" ca="1" si="1"/>
        <v>#NAME?</v>
      </c>
      <c r="H105" s="523"/>
      <c r="I105" s="523"/>
      <c r="J105" s="523"/>
      <c r="K105" s="523"/>
      <c r="L105" s="523"/>
      <c r="M105" s="523"/>
      <c r="N105" s="523"/>
      <c r="O105" s="523"/>
    </row>
    <row r="106" spans="1:15" x14ac:dyDescent="0.2">
      <c r="A106" s="222">
        <f>calculs!A106</f>
        <v>44657</v>
      </c>
      <c r="B106" s="523" t="e">
        <f ca="1">gr('calcul-stats'!AY106)</f>
        <v>#NAME?</v>
      </c>
      <c r="C106" s="523" t="e">
        <f ca="1">gr('calcul-stats'!AZ106)</f>
        <v>#NAME?</v>
      </c>
      <c r="D106" s="523" t="e">
        <f ca="1">gr('calcul-stats'!BA106)</f>
        <v>#NAME?</v>
      </c>
      <c r="E106" s="523" t="e">
        <f ca="1">gr('calcul-stats'!BB106)</f>
        <v>#NAME?</v>
      </c>
      <c r="F106" s="523" t="e">
        <f ca="1">gr('calcul-stats'!BC106)</f>
        <v>#NAME?</v>
      </c>
      <c r="G106" s="524" t="e">
        <f t="shared" ca="1" si="1"/>
        <v>#NAME?</v>
      </c>
      <c r="H106" s="523"/>
      <c r="I106" s="523"/>
      <c r="J106" s="523"/>
      <c r="K106" s="523"/>
      <c r="L106" s="523"/>
      <c r="M106" s="523"/>
      <c r="N106" s="523"/>
      <c r="O106" s="523"/>
    </row>
    <row r="107" spans="1:15" x14ac:dyDescent="0.2">
      <c r="A107" s="222">
        <f>calculs!A107</f>
        <v>44658</v>
      </c>
      <c r="B107" s="523" t="e">
        <f ca="1">gr('calcul-stats'!AY107)</f>
        <v>#NAME?</v>
      </c>
      <c r="C107" s="523" t="e">
        <f ca="1">gr('calcul-stats'!AZ107)</f>
        <v>#NAME?</v>
      </c>
      <c r="D107" s="523" t="e">
        <f ca="1">gr('calcul-stats'!BA107)</f>
        <v>#NAME?</v>
      </c>
      <c r="E107" s="523" t="e">
        <f ca="1">gr('calcul-stats'!BB107)</f>
        <v>#NAME?</v>
      </c>
      <c r="F107" s="523" t="e">
        <f ca="1">gr('calcul-stats'!BC107)</f>
        <v>#NAME?</v>
      </c>
      <c r="G107" s="524" t="e">
        <f t="shared" ca="1" si="1"/>
        <v>#NAME?</v>
      </c>
      <c r="H107" s="523"/>
      <c r="I107" s="523"/>
      <c r="J107" s="523"/>
      <c r="K107" s="523"/>
      <c r="L107" s="523"/>
      <c r="M107" s="523"/>
      <c r="N107" s="523"/>
      <c r="O107" s="523"/>
    </row>
    <row r="108" spans="1:15" x14ac:dyDescent="0.2">
      <c r="A108" s="222">
        <f>calculs!A108</f>
        <v>44659</v>
      </c>
      <c r="B108" s="523" t="e">
        <f ca="1">gr('calcul-stats'!AY108)</f>
        <v>#NAME?</v>
      </c>
      <c r="C108" s="523" t="e">
        <f ca="1">gr('calcul-stats'!AZ108)</f>
        <v>#NAME?</v>
      </c>
      <c r="D108" s="523" t="e">
        <f ca="1">gr('calcul-stats'!BA108)</f>
        <v>#NAME?</v>
      </c>
      <c r="E108" s="523" t="e">
        <f ca="1">gr('calcul-stats'!BB108)</f>
        <v>#NAME?</v>
      </c>
      <c r="F108" s="523" t="e">
        <f ca="1">gr('calcul-stats'!BC108)</f>
        <v>#NAME?</v>
      </c>
      <c r="G108" s="524" t="e">
        <f t="shared" ca="1" si="1"/>
        <v>#NAME?</v>
      </c>
      <c r="H108" s="523"/>
      <c r="I108" s="523"/>
      <c r="J108" s="523"/>
      <c r="K108" s="523"/>
      <c r="L108" s="523"/>
      <c r="M108" s="523"/>
      <c r="N108" s="523"/>
      <c r="O108" s="523"/>
    </row>
    <row r="109" spans="1:15" x14ac:dyDescent="0.2">
      <c r="A109" s="222">
        <f>calculs!A109</f>
        <v>44660</v>
      </c>
      <c r="B109" s="523" t="e">
        <f ca="1">gr('calcul-stats'!AY109)</f>
        <v>#NAME?</v>
      </c>
      <c r="C109" s="523" t="e">
        <f ca="1">gr('calcul-stats'!AZ109)</f>
        <v>#NAME?</v>
      </c>
      <c r="D109" s="523" t="e">
        <f ca="1">gr('calcul-stats'!BA109)</f>
        <v>#NAME?</v>
      </c>
      <c r="E109" s="523" t="e">
        <f ca="1">gr('calcul-stats'!BB109)</f>
        <v>#NAME?</v>
      </c>
      <c r="F109" s="523" t="e">
        <f ca="1">gr('calcul-stats'!BC109)</f>
        <v>#NAME?</v>
      </c>
      <c r="G109" s="524" t="e">
        <f t="shared" ca="1" si="1"/>
        <v>#NAME?</v>
      </c>
      <c r="H109" s="523"/>
      <c r="I109" s="523"/>
      <c r="J109" s="523"/>
      <c r="K109" s="523"/>
      <c r="L109" s="523"/>
      <c r="M109" s="523"/>
      <c r="N109" s="523"/>
      <c r="O109" s="523"/>
    </row>
    <row r="110" spans="1:15" x14ac:dyDescent="0.2">
      <c r="A110" s="222">
        <f>calculs!A110</f>
        <v>44661</v>
      </c>
      <c r="B110" s="523" t="e">
        <f ca="1">gr('calcul-stats'!AY110)</f>
        <v>#NAME?</v>
      </c>
      <c r="C110" s="523" t="e">
        <f ca="1">gr('calcul-stats'!AZ110)</f>
        <v>#NAME?</v>
      </c>
      <c r="D110" s="523" t="e">
        <f ca="1">gr('calcul-stats'!BA110)</f>
        <v>#NAME?</v>
      </c>
      <c r="E110" s="523" t="e">
        <f ca="1">gr('calcul-stats'!BB110)</f>
        <v>#NAME?</v>
      </c>
      <c r="F110" s="523" t="e">
        <f ca="1">gr('calcul-stats'!BC110)</f>
        <v>#NAME?</v>
      </c>
      <c r="G110" s="524" t="e">
        <f t="shared" ca="1" si="1"/>
        <v>#NAME?</v>
      </c>
      <c r="H110" s="523"/>
      <c r="I110" s="523"/>
      <c r="J110" s="523"/>
      <c r="K110" s="523"/>
      <c r="L110" s="523"/>
      <c r="M110" s="523"/>
      <c r="N110" s="523"/>
      <c r="O110" s="523"/>
    </row>
    <row r="111" spans="1:15" x14ac:dyDescent="0.2">
      <c r="A111" s="222">
        <f>calculs!A111</f>
        <v>44662</v>
      </c>
      <c r="B111" s="523" t="e">
        <f ca="1">gr('calcul-stats'!AY111)</f>
        <v>#NAME?</v>
      </c>
      <c r="C111" s="523" t="e">
        <f ca="1">gr('calcul-stats'!AZ111)</f>
        <v>#NAME?</v>
      </c>
      <c r="D111" s="523" t="e">
        <f ca="1">gr('calcul-stats'!BA111)</f>
        <v>#NAME?</v>
      </c>
      <c r="E111" s="523" t="e">
        <f ca="1">gr('calcul-stats'!BB111)</f>
        <v>#NAME?</v>
      </c>
      <c r="F111" s="523" t="e">
        <f ca="1">gr('calcul-stats'!BC111)</f>
        <v>#NAME?</v>
      </c>
      <c r="G111" s="524" t="e">
        <f t="shared" ca="1" si="1"/>
        <v>#NAME?</v>
      </c>
      <c r="H111" s="523"/>
      <c r="I111" s="523"/>
      <c r="J111" s="523"/>
      <c r="K111" s="523"/>
      <c r="L111" s="523"/>
      <c r="M111" s="523"/>
      <c r="N111" s="523"/>
      <c r="O111" s="523"/>
    </row>
    <row r="112" spans="1:15" x14ac:dyDescent="0.2">
      <c r="A112" s="222">
        <f>calculs!A112</f>
        <v>44663</v>
      </c>
      <c r="B112" s="523" t="e">
        <f ca="1">gr('calcul-stats'!AY112)</f>
        <v>#NAME?</v>
      </c>
      <c r="C112" s="523" t="e">
        <f ca="1">gr('calcul-stats'!AZ112)</f>
        <v>#NAME?</v>
      </c>
      <c r="D112" s="523" t="e">
        <f ca="1">gr('calcul-stats'!BA112)</f>
        <v>#NAME?</v>
      </c>
      <c r="E112" s="523" t="e">
        <f ca="1">gr('calcul-stats'!BB112)</f>
        <v>#NAME?</v>
      </c>
      <c r="F112" s="523" t="e">
        <f ca="1">gr('calcul-stats'!BC112)</f>
        <v>#NAME?</v>
      </c>
      <c r="G112" s="524" t="e">
        <f t="shared" ca="1" si="1"/>
        <v>#NAME?</v>
      </c>
      <c r="H112" s="523"/>
      <c r="I112" s="523"/>
      <c r="J112" s="523"/>
      <c r="K112" s="523"/>
      <c r="L112" s="523"/>
      <c r="M112" s="523"/>
      <c r="N112" s="523"/>
      <c r="O112" s="523"/>
    </row>
    <row r="113" spans="1:15" x14ac:dyDescent="0.2">
      <c r="A113" s="222">
        <f>calculs!A113</f>
        <v>44664</v>
      </c>
      <c r="B113" s="523" t="e">
        <f ca="1">gr('calcul-stats'!AY113)</f>
        <v>#NAME?</v>
      </c>
      <c r="C113" s="523" t="e">
        <f ca="1">gr('calcul-stats'!AZ113)</f>
        <v>#NAME?</v>
      </c>
      <c r="D113" s="523" t="e">
        <f ca="1">gr('calcul-stats'!BA113)</f>
        <v>#NAME?</v>
      </c>
      <c r="E113" s="523" t="e">
        <f ca="1">gr('calcul-stats'!BB113)</f>
        <v>#NAME?</v>
      </c>
      <c r="F113" s="523" t="e">
        <f ca="1">gr('calcul-stats'!BC113)</f>
        <v>#NAME?</v>
      </c>
      <c r="G113" s="524" t="e">
        <f t="shared" ca="1" si="1"/>
        <v>#NAME?</v>
      </c>
      <c r="H113" s="523"/>
      <c r="I113" s="523"/>
      <c r="J113" s="523"/>
      <c r="K113" s="523"/>
      <c r="L113" s="523"/>
      <c r="M113" s="523"/>
      <c r="N113" s="523"/>
      <c r="O113" s="523"/>
    </row>
    <row r="114" spans="1:15" x14ac:dyDescent="0.2">
      <c r="A114" s="222">
        <f>calculs!A114</f>
        <v>44665</v>
      </c>
      <c r="B114" s="523" t="e">
        <f ca="1">gr('calcul-stats'!AY114)</f>
        <v>#NAME?</v>
      </c>
      <c r="C114" s="523" t="e">
        <f ca="1">gr('calcul-stats'!AZ114)</f>
        <v>#NAME?</v>
      </c>
      <c r="D114" s="523" t="e">
        <f ca="1">gr('calcul-stats'!BA114)</f>
        <v>#NAME?</v>
      </c>
      <c r="E114" s="523" t="e">
        <f ca="1">gr('calcul-stats'!BB114)</f>
        <v>#NAME?</v>
      </c>
      <c r="F114" s="523" t="e">
        <f ca="1">gr('calcul-stats'!BC114)</f>
        <v>#NAME?</v>
      </c>
      <c r="G114" s="524" t="e">
        <f t="shared" ca="1" si="1"/>
        <v>#NAME?</v>
      </c>
      <c r="H114" s="523"/>
      <c r="I114" s="523"/>
      <c r="J114" s="523"/>
      <c r="K114" s="523"/>
      <c r="L114" s="523"/>
      <c r="M114" s="523"/>
      <c r="N114" s="523"/>
      <c r="O114" s="523"/>
    </row>
    <row r="115" spans="1:15" x14ac:dyDescent="0.2">
      <c r="A115" s="222">
        <f>calculs!A115</f>
        <v>44666</v>
      </c>
      <c r="B115" s="523" t="e">
        <f ca="1">gr('calcul-stats'!AY115)</f>
        <v>#NAME?</v>
      </c>
      <c r="C115" s="523" t="e">
        <f ca="1">gr('calcul-stats'!AZ115)</f>
        <v>#NAME?</v>
      </c>
      <c r="D115" s="523" t="e">
        <f ca="1">gr('calcul-stats'!BA115)</f>
        <v>#NAME?</v>
      </c>
      <c r="E115" s="523" t="e">
        <f ca="1">gr('calcul-stats'!BB115)</f>
        <v>#NAME?</v>
      </c>
      <c r="F115" s="523" t="e">
        <f ca="1">gr('calcul-stats'!BC115)</f>
        <v>#NAME?</v>
      </c>
      <c r="G115" s="524" t="e">
        <f t="shared" ca="1" si="1"/>
        <v>#NAME?</v>
      </c>
      <c r="H115" s="523"/>
      <c r="I115" s="523"/>
      <c r="J115" s="523"/>
      <c r="K115" s="523"/>
      <c r="L115" s="523"/>
      <c r="M115" s="523"/>
      <c r="N115" s="523"/>
      <c r="O115" s="523"/>
    </row>
    <row r="116" spans="1:15" x14ac:dyDescent="0.2">
      <c r="A116" s="222">
        <f>calculs!A116</f>
        <v>44667</v>
      </c>
      <c r="B116" s="523" t="e">
        <f ca="1">gr('calcul-stats'!AY116)</f>
        <v>#NAME?</v>
      </c>
      <c r="C116" s="523" t="e">
        <f ca="1">gr('calcul-stats'!AZ116)</f>
        <v>#NAME?</v>
      </c>
      <c r="D116" s="523" t="e">
        <f ca="1">gr('calcul-stats'!BA116)</f>
        <v>#NAME?</v>
      </c>
      <c r="E116" s="523" t="e">
        <f ca="1">gr('calcul-stats'!BB116)</f>
        <v>#NAME?</v>
      </c>
      <c r="F116" s="523" t="e">
        <f ca="1">gr('calcul-stats'!BC116)</f>
        <v>#NAME?</v>
      </c>
      <c r="G116" s="524" t="e">
        <f t="shared" ca="1" si="1"/>
        <v>#NAME?</v>
      </c>
      <c r="H116" s="523"/>
      <c r="I116" s="523"/>
      <c r="J116" s="523"/>
      <c r="K116" s="523"/>
      <c r="L116" s="523"/>
      <c r="M116" s="523"/>
      <c r="N116" s="523"/>
      <c r="O116" s="523"/>
    </row>
    <row r="117" spans="1:15" x14ac:dyDescent="0.2">
      <c r="A117" s="222">
        <f>calculs!A117</f>
        <v>44668</v>
      </c>
      <c r="B117" s="523" t="e">
        <f ca="1">gr('calcul-stats'!AY117)</f>
        <v>#NAME?</v>
      </c>
      <c r="C117" s="523" t="e">
        <f ca="1">gr('calcul-stats'!AZ117)</f>
        <v>#NAME?</v>
      </c>
      <c r="D117" s="523" t="e">
        <f ca="1">gr('calcul-stats'!BA117)</f>
        <v>#NAME?</v>
      </c>
      <c r="E117" s="523" t="e">
        <f ca="1">gr('calcul-stats'!BB117)</f>
        <v>#NAME?</v>
      </c>
      <c r="F117" s="523" t="e">
        <f ca="1">gr('calcul-stats'!BC117)</f>
        <v>#NAME?</v>
      </c>
      <c r="G117" s="524" t="e">
        <f t="shared" ca="1" si="1"/>
        <v>#NAME?</v>
      </c>
      <c r="H117" s="523"/>
      <c r="I117" s="523"/>
      <c r="J117" s="523"/>
      <c r="K117" s="523"/>
      <c r="L117" s="523"/>
      <c r="M117" s="523"/>
      <c r="N117" s="523"/>
      <c r="O117" s="523"/>
    </row>
    <row r="118" spans="1:15" x14ac:dyDescent="0.2">
      <c r="A118" s="222">
        <f>calculs!A118</f>
        <v>44669</v>
      </c>
      <c r="B118" s="523" t="e">
        <f ca="1">gr('calcul-stats'!AY118)</f>
        <v>#NAME?</v>
      </c>
      <c r="C118" s="523" t="e">
        <f ca="1">gr('calcul-stats'!AZ118)</f>
        <v>#NAME?</v>
      </c>
      <c r="D118" s="523" t="e">
        <f ca="1">gr('calcul-stats'!BA118)</f>
        <v>#NAME?</v>
      </c>
      <c r="E118" s="523" t="e">
        <f ca="1">gr('calcul-stats'!BB118)</f>
        <v>#NAME?</v>
      </c>
      <c r="F118" s="523" t="e">
        <f ca="1">gr('calcul-stats'!BC118)</f>
        <v>#NAME?</v>
      </c>
      <c r="G118" s="524" t="e">
        <f t="shared" ca="1" si="1"/>
        <v>#NAME?</v>
      </c>
      <c r="H118" s="523"/>
      <c r="I118" s="523"/>
      <c r="J118" s="523"/>
      <c r="K118" s="523"/>
      <c r="L118" s="523"/>
      <c r="M118" s="523"/>
      <c r="N118" s="523"/>
      <c r="O118" s="523"/>
    </row>
    <row r="119" spans="1:15" x14ac:dyDescent="0.2">
      <c r="A119" s="222">
        <f>calculs!A119</f>
        <v>44670</v>
      </c>
      <c r="B119" s="523" t="e">
        <f ca="1">gr('calcul-stats'!AY119)</f>
        <v>#NAME?</v>
      </c>
      <c r="C119" s="523" t="e">
        <f ca="1">gr('calcul-stats'!AZ119)</f>
        <v>#NAME?</v>
      </c>
      <c r="D119" s="523" t="e">
        <f ca="1">gr('calcul-stats'!BA119)</f>
        <v>#NAME?</v>
      </c>
      <c r="E119" s="523" t="e">
        <f ca="1">gr('calcul-stats'!BB119)</f>
        <v>#NAME?</v>
      </c>
      <c r="F119" s="523" t="e">
        <f ca="1">gr('calcul-stats'!BC119)</f>
        <v>#NAME?</v>
      </c>
      <c r="G119" s="524" t="e">
        <f t="shared" ca="1" si="1"/>
        <v>#NAME?</v>
      </c>
      <c r="H119" s="523"/>
      <c r="I119" s="523"/>
      <c r="J119" s="523"/>
      <c r="K119" s="523"/>
      <c r="L119" s="523"/>
      <c r="M119" s="523"/>
      <c r="N119" s="523"/>
      <c r="O119" s="523"/>
    </row>
    <row r="120" spans="1:15" x14ac:dyDescent="0.2">
      <c r="A120" s="222">
        <f>calculs!A120</f>
        <v>44671</v>
      </c>
      <c r="B120" s="523" t="e">
        <f ca="1">gr('calcul-stats'!AY120)</f>
        <v>#NAME?</v>
      </c>
      <c r="C120" s="523" t="e">
        <f ca="1">gr('calcul-stats'!AZ120)</f>
        <v>#NAME?</v>
      </c>
      <c r="D120" s="523" t="e">
        <f ca="1">gr('calcul-stats'!BA120)</f>
        <v>#NAME?</v>
      </c>
      <c r="E120" s="523" t="e">
        <f ca="1">gr('calcul-stats'!BB120)</f>
        <v>#NAME?</v>
      </c>
      <c r="F120" s="523" t="e">
        <f ca="1">gr('calcul-stats'!BC120)</f>
        <v>#NAME?</v>
      </c>
      <c r="G120" s="524" t="e">
        <f t="shared" ca="1" si="1"/>
        <v>#NAME?</v>
      </c>
      <c r="H120" s="523"/>
      <c r="I120" s="523"/>
      <c r="J120" s="523"/>
      <c r="K120" s="523"/>
      <c r="L120" s="523"/>
      <c r="M120" s="523"/>
      <c r="N120" s="523"/>
      <c r="O120" s="523"/>
    </row>
    <row r="121" spans="1:15" x14ac:dyDescent="0.2">
      <c r="A121" s="222">
        <f>calculs!A121</f>
        <v>44672</v>
      </c>
      <c r="B121" s="523" t="e">
        <f ca="1">gr('calcul-stats'!AY121)</f>
        <v>#NAME?</v>
      </c>
      <c r="C121" s="523" t="e">
        <f ca="1">gr('calcul-stats'!AZ121)</f>
        <v>#NAME?</v>
      </c>
      <c r="D121" s="523" t="e">
        <f ca="1">gr('calcul-stats'!BA121)</f>
        <v>#NAME?</v>
      </c>
      <c r="E121" s="523" t="e">
        <f ca="1">gr('calcul-stats'!BB121)</f>
        <v>#NAME?</v>
      </c>
      <c r="F121" s="523" t="e">
        <f ca="1">gr('calcul-stats'!BC121)</f>
        <v>#NAME?</v>
      </c>
      <c r="G121" s="524" t="e">
        <f t="shared" ca="1" si="1"/>
        <v>#NAME?</v>
      </c>
      <c r="H121" s="523"/>
      <c r="I121" s="523"/>
      <c r="J121" s="523"/>
      <c r="K121" s="523"/>
      <c r="L121" s="523"/>
      <c r="M121" s="523"/>
      <c r="N121" s="523"/>
      <c r="O121" s="523"/>
    </row>
    <row r="122" spans="1:15" x14ac:dyDescent="0.2">
      <c r="A122" s="222">
        <f>calculs!A122</f>
        <v>44673</v>
      </c>
      <c r="B122" s="523" t="e">
        <f ca="1">gr('calcul-stats'!AY122)</f>
        <v>#NAME?</v>
      </c>
      <c r="C122" s="523" t="e">
        <f ca="1">gr('calcul-stats'!AZ122)</f>
        <v>#NAME?</v>
      </c>
      <c r="D122" s="523" t="e">
        <f ca="1">gr('calcul-stats'!BA122)</f>
        <v>#NAME?</v>
      </c>
      <c r="E122" s="523" t="e">
        <f ca="1">gr('calcul-stats'!BB122)</f>
        <v>#NAME?</v>
      </c>
      <c r="F122" s="523" t="e">
        <f ca="1">gr('calcul-stats'!BC122)</f>
        <v>#NAME?</v>
      </c>
      <c r="G122" s="524" t="e">
        <f t="shared" ca="1" si="1"/>
        <v>#NAME?</v>
      </c>
      <c r="H122" s="523"/>
      <c r="I122" s="523"/>
      <c r="J122" s="523"/>
      <c r="K122" s="523"/>
      <c r="L122" s="523"/>
      <c r="M122" s="523"/>
      <c r="N122" s="523"/>
      <c r="O122" s="523"/>
    </row>
    <row r="123" spans="1:15" x14ac:dyDescent="0.2">
      <c r="A123" s="222">
        <f>calculs!A123</f>
        <v>44674</v>
      </c>
      <c r="B123" s="523" t="e">
        <f ca="1">gr('calcul-stats'!AY123)</f>
        <v>#NAME?</v>
      </c>
      <c r="C123" s="523" t="e">
        <f ca="1">gr('calcul-stats'!AZ123)</f>
        <v>#NAME?</v>
      </c>
      <c r="D123" s="523" t="e">
        <f ca="1">gr('calcul-stats'!BA123)</f>
        <v>#NAME?</v>
      </c>
      <c r="E123" s="523" t="e">
        <f ca="1">gr('calcul-stats'!BB123)</f>
        <v>#NAME?</v>
      </c>
      <c r="F123" s="523" t="e">
        <f ca="1">gr('calcul-stats'!BC123)</f>
        <v>#NAME?</v>
      </c>
      <c r="G123" s="524" t="e">
        <f t="shared" ca="1" si="1"/>
        <v>#NAME?</v>
      </c>
      <c r="H123" s="523"/>
      <c r="I123" s="523"/>
      <c r="J123" s="523"/>
      <c r="K123" s="523"/>
      <c r="L123" s="523"/>
      <c r="M123" s="523"/>
      <c r="N123" s="523"/>
      <c r="O123" s="523"/>
    </row>
    <row r="124" spans="1:15" x14ac:dyDescent="0.2">
      <c r="A124" s="222">
        <f>calculs!A124</f>
        <v>44675</v>
      </c>
      <c r="B124" s="523" t="e">
        <f ca="1">gr('calcul-stats'!AY124)</f>
        <v>#NAME?</v>
      </c>
      <c r="C124" s="523" t="e">
        <f ca="1">gr('calcul-stats'!AZ124)</f>
        <v>#NAME?</v>
      </c>
      <c r="D124" s="523" t="e">
        <f ca="1">gr('calcul-stats'!BA124)</f>
        <v>#NAME?</v>
      </c>
      <c r="E124" s="523" t="e">
        <f ca="1">gr('calcul-stats'!BB124)</f>
        <v>#NAME?</v>
      </c>
      <c r="F124" s="523" t="e">
        <f ca="1">gr('calcul-stats'!BC124)</f>
        <v>#NAME?</v>
      </c>
      <c r="G124" s="524" t="e">
        <f t="shared" ca="1" si="1"/>
        <v>#NAME?</v>
      </c>
      <c r="H124" s="523"/>
      <c r="I124" s="523"/>
      <c r="J124" s="523"/>
      <c r="K124" s="523"/>
      <c r="L124" s="523"/>
      <c r="M124" s="523"/>
      <c r="N124" s="523"/>
      <c r="O124" s="523"/>
    </row>
    <row r="125" spans="1:15" x14ac:dyDescent="0.2">
      <c r="A125" s="222">
        <f>calculs!A125</f>
        <v>44676</v>
      </c>
      <c r="B125" s="523" t="e">
        <f ca="1">gr('calcul-stats'!AY125)</f>
        <v>#NAME?</v>
      </c>
      <c r="C125" s="523" t="e">
        <f ca="1">gr('calcul-stats'!AZ125)</f>
        <v>#NAME?</v>
      </c>
      <c r="D125" s="523" t="e">
        <f ca="1">gr('calcul-stats'!BA125)</f>
        <v>#NAME?</v>
      </c>
      <c r="E125" s="523" t="e">
        <f ca="1">gr('calcul-stats'!BB125)</f>
        <v>#NAME?</v>
      </c>
      <c r="F125" s="523" t="e">
        <f ca="1">gr('calcul-stats'!BC125)</f>
        <v>#NAME?</v>
      </c>
      <c r="G125" s="524" t="e">
        <f t="shared" ca="1" si="1"/>
        <v>#NAME?</v>
      </c>
      <c r="H125" s="523"/>
      <c r="I125" s="523"/>
      <c r="J125" s="523"/>
      <c r="K125" s="523"/>
      <c r="L125" s="523"/>
      <c r="M125" s="523"/>
      <c r="N125" s="523"/>
      <c r="O125" s="523"/>
    </row>
    <row r="126" spans="1:15" x14ac:dyDescent="0.2">
      <c r="A126" s="222">
        <f>calculs!A126</f>
        <v>44677</v>
      </c>
      <c r="B126" s="523" t="e">
        <f ca="1">gr('calcul-stats'!AY126)</f>
        <v>#NAME?</v>
      </c>
      <c r="C126" s="523" t="e">
        <f ca="1">gr('calcul-stats'!AZ126)</f>
        <v>#NAME?</v>
      </c>
      <c r="D126" s="523" t="e">
        <f ca="1">gr('calcul-stats'!BA126)</f>
        <v>#NAME?</v>
      </c>
      <c r="E126" s="523" t="e">
        <f ca="1">gr('calcul-stats'!BB126)</f>
        <v>#NAME?</v>
      </c>
      <c r="F126" s="523" t="e">
        <f ca="1">gr('calcul-stats'!BC126)</f>
        <v>#NAME?</v>
      </c>
      <c r="G126" s="524" t="e">
        <f t="shared" ca="1" si="1"/>
        <v>#NAME?</v>
      </c>
      <c r="H126" s="523"/>
      <c r="I126" s="523"/>
      <c r="J126" s="523"/>
      <c r="K126" s="523"/>
      <c r="L126" s="523"/>
      <c r="M126" s="523"/>
      <c r="N126" s="523"/>
      <c r="O126" s="523"/>
    </row>
    <row r="127" spans="1:15" x14ac:dyDescent="0.2">
      <c r="A127" s="222">
        <f>calculs!A127</f>
        <v>44678</v>
      </c>
      <c r="B127" s="523" t="e">
        <f ca="1">gr('calcul-stats'!AY127)</f>
        <v>#NAME?</v>
      </c>
      <c r="C127" s="523" t="e">
        <f ca="1">gr('calcul-stats'!AZ127)</f>
        <v>#NAME?</v>
      </c>
      <c r="D127" s="523" t="e">
        <f ca="1">gr('calcul-stats'!BA127)</f>
        <v>#NAME?</v>
      </c>
      <c r="E127" s="523" t="e">
        <f ca="1">gr('calcul-stats'!BB127)</f>
        <v>#NAME?</v>
      </c>
      <c r="F127" s="523" t="e">
        <f ca="1">gr('calcul-stats'!BC127)</f>
        <v>#NAME?</v>
      </c>
      <c r="G127" s="524" t="e">
        <f t="shared" ca="1" si="1"/>
        <v>#NAME?</v>
      </c>
      <c r="H127" s="523"/>
      <c r="I127" s="523"/>
      <c r="J127" s="523"/>
      <c r="K127" s="523"/>
      <c r="L127" s="523"/>
      <c r="M127" s="523"/>
      <c r="N127" s="523"/>
      <c r="O127" s="523"/>
    </row>
    <row r="128" spans="1:15" x14ac:dyDescent="0.2">
      <c r="A128" s="222">
        <f>calculs!A128</f>
        <v>44679</v>
      </c>
      <c r="B128" s="523" t="e">
        <f ca="1">gr('calcul-stats'!AY128)</f>
        <v>#NAME?</v>
      </c>
      <c r="C128" s="523" t="e">
        <f ca="1">gr('calcul-stats'!AZ128)</f>
        <v>#NAME?</v>
      </c>
      <c r="D128" s="523" t="e">
        <f ca="1">gr('calcul-stats'!BA128)</f>
        <v>#NAME?</v>
      </c>
      <c r="E128" s="523" t="e">
        <f ca="1">gr('calcul-stats'!BB128)</f>
        <v>#NAME?</v>
      </c>
      <c r="F128" s="523" t="e">
        <f ca="1">gr('calcul-stats'!BC128)</f>
        <v>#NAME?</v>
      </c>
      <c r="G128" s="524" t="e">
        <f t="shared" ca="1" si="1"/>
        <v>#NAME?</v>
      </c>
      <c r="H128" s="523"/>
      <c r="I128" s="523"/>
      <c r="J128" s="523"/>
      <c r="K128" s="523"/>
      <c r="L128" s="523"/>
      <c r="M128" s="523"/>
      <c r="N128" s="523"/>
      <c r="O128" s="523"/>
    </row>
    <row r="129" spans="1:15" x14ac:dyDescent="0.2">
      <c r="A129" s="222">
        <f>calculs!A129</f>
        <v>44680</v>
      </c>
      <c r="B129" s="523" t="e">
        <f ca="1">gr('calcul-stats'!AY129)</f>
        <v>#NAME?</v>
      </c>
      <c r="C129" s="523" t="e">
        <f ca="1">gr('calcul-stats'!AZ129)</f>
        <v>#NAME?</v>
      </c>
      <c r="D129" s="523" t="e">
        <f ca="1">gr('calcul-stats'!BA129)</f>
        <v>#NAME?</v>
      </c>
      <c r="E129" s="523" t="e">
        <f ca="1">gr('calcul-stats'!BB129)</f>
        <v>#NAME?</v>
      </c>
      <c r="F129" s="523" t="e">
        <f ca="1">gr('calcul-stats'!BC129)</f>
        <v>#NAME?</v>
      </c>
      <c r="G129" s="524" t="e">
        <f t="shared" ca="1" si="1"/>
        <v>#NAME?</v>
      </c>
      <c r="H129" s="523"/>
      <c r="I129" s="523"/>
      <c r="J129" s="523"/>
      <c r="K129" s="523"/>
      <c r="L129" s="523"/>
      <c r="M129" s="523"/>
      <c r="N129" s="523"/>
      <c r="O129" s="523"/>
    </row>
    <row r="130" spans="1:15" x14ac:dyDescent="0.2">
      <c r="A130" s="222">
        <f>calculs!A130</f>
        <v>44681</v>
      </c>
      <c r="B130" s="523" t="e">
        <f ca="1">gr('calcul-stats'!AY130)</f>
        <v>#NAME?</v>
      </c>
      <c r="C130" s="523" t="e">
        <f ca="1">gr('calcul-stats'!AZ130)</f>
        <v>#NAME?</v>
      </c>
      <c r="D130" s="523" t="e">
        <f ca="1">gr('calcul-stats'!BA130)</f>
        <v>#NAME?</v>
      </c>
      <c r="E130" s="523" t="e">
        <f ca="1">gr('calcul-stats'!BB130)</f>
        <v>#NAME?</v>
      </c>
      <c r="F130" s="523" t="e">
        <f ca="1">gr('calcul-stats'!BC130)</f>
        <v>#NAME?</v>
      </c>
      <c r="G130" s="524" t="e">
        <f t="shared" ca="1" si="1"/>
        <v>#NAME?</v>
      </c>
      <c r="H130" s="523"/>
      <c r="I130" s="523"/>
      <c r="J130" s="523"/>
      <c r="K130" s="523"/>
      <c r="L130" s="523"/>
      <c r="M130" s="523"/>
      <c r="N130" s="523"/>
      <c r="O130" s="523"/>
    </row>
    <row r="131" spans="1:15" x14ac:dyDescent="0.2">
      <c r="A131" s="222">
        <f>calculs!A131</f>
        <v>44682</v>
      </c>
      <c r="B131" s="523" t="e">
        <f ca="1">gr('calcul-stats'!AY131)</f>
        <v>#NAME?</v>
      </c>
      <c r="C131" s="523" t="e">
        <f ca="1">gr('calcul-stats'!AZ131)</f>
        <v>#NAME?</v>
      </c>
      <c r="D131" s="523" t="e">
        <f ca="1">gr('calcul-stats'!BA131)</f>
        <v>#NAME?</v>
      </c>
      <c r="E131" s="523" t="e">
        <f ca="1">gr('calcul-stats'!BB131)</f>
        <v>#NAME?</v>
      </c>
      <c r="F131" s="523" t="e">
        <f ca="1">gr('calcul-stats'!BC131)</f>
        <v>#NAME?</v>
      </c>
      <c r="G131" s="524" t="e">
        <f t="shared" ca="1" si="1"/>
        <v>#NAME?</v>
      </c>
      <c r="H131" s="523"/>
      <c r="I131" s="523"/>
      <c r="J131" s="523"/>
      <c r="K131" s="523"/>
      <c r="L131" s="523"/>
      <c r="M131" s="523"/>
      <c r="N131" s="523"/>
      <c r="O131" s="523"/>
    </row>
    <row r="132" spans="1:15" x14ac:dyDescent="0.2">
      <c r="A132" s="222">
        <f>calculs!A132</f>
        <v>44683</v>
      </c>
      <c r="B132" s="523" t="e">
        <f ca="1">gr('calcul-stats'!AY132)</f>
        <v>#NAME?</v>
      </c>
      <c r="C132" s="523" t="e">
        <f ca="1">gr('calcul-stats'!AZ132)</f>
        <v>#NAME?</v>
      </c>
      <c r="D132" s="523" t="e">
        <f ca="1">gr('calcul-stats'!BA132)</f>
        <v>#NAME?</v>
      </c>
      <c r="E132" s="523" t="e">
        <f ca="1">gr('calcul-stats'!BB132)</f>
        <v>#NAME?</v>
      </c>
      <c r="F132" s="523" t="e">
        <f ca="1">gr('calcul-stats'!BC132)</f>
        <v>#NAME?</v>
      </c>
      <c r="G132" s="524" t="e">
        <f t="shared" ca="1" si="1"/>
        <v>#NAME?</v>
      </c>
      <c r="H132" s="523"/>
      <c r="I132" s="523"/>
      <c r="J132" s="523"/>
      <c r="K132" s="523"/>
      <c r="L132" s="523"/>
      <c r="M132" s="523"/>
      <c r="N132" s="523"/>
      <c r="O132" s="523"/>
    </row>
    <row r="133" spans="1:15" x14ac:dyDescent="0.2">
      <c r="A133" s="222">
        <f>calculs!A133</f>
        <v>44684</v>
      </c>
      <c r="B133" s="523" t="e">
        <f ca="1">gr('calcul-stats'!AY133)</f>
        <v>#NAME?</v>
      </c>
      <c r="C133" s="523" t="e">
        <f ca="1">gr('calcul-stats'!AZ133)</f>
        <v>#NAME?</v>
      </c>
      <c r="D133" s="523" t="e">
        <f ca="1">gr('calcul-stats'!BA133)</f>
        <v>#NAME?</v>
      </c>
      <c r="E133" s="523" t="e">
        <f ca="1">gr('calcul-stats'!BB133)</f>
        <v>#NAME?</v>
      </c>
      <c r="F133" s="523" t="e">
        <f ca="1">gr('calcul-stats'!BC133)</f>
        <v>#NAME?</v>
      </c>
      <c r="G133" s="524" t="e">
        <f t="shared" ca="1" si="1"/>
        <v>#NAME?</v>
      </c>
      <c r="H133" s="523"/>
      <c r="I133" s="523"/>
      <c r="J133" s="523"/>
      <c r="K133" s="523"/>
      <c r="L133" s="523"/>
      <c r="M133" s="523"/>
      <c r="N133" s="523"/>
      <c r="O133" s="523"/>
    </row>
    <row r="134" spans="1:15" x14ac:dyDescent="0.2">
      <c r="A134" s="222">
        <f>calculs!A134</f>
        <v>44685</v>
      </c>
      <c r="B134" s="523" t="e">
        <f ca="1">gr('calcul-stats'!AY134)</f>
        <v>#NAME?</v>
      </c>
      <c r="C134" s="523" t="e">
        <f ca="1">gr('calcul-stats'!AZ134)</f>
        <v>#NAME?</v>
      </c>
      <c r="D134" s="523" t="e">
        <f ca="1">gr('calcul-stats'!BA134)</f>
        <v>#NAME?</v>
      </c>
      <c r="E134" s="523" t="e">
        <f ca="1">gr('calcul-stats'!BB134)</f>
        <v>#NAME?</v>
      </c>
      <c r="F134" s="523" t="e">
        <f ca="1">gr('calcul-stats'!BC134)</f>
        <v>#NAME?</v>
      </c>
      <c r="G134" s="524" t="e">
        <f t="shared" ca="1" si="1"/>
        <v>#NAME?</v>
      </c>
      <c r="H134" s="523"/>
      <c r="I134" s="523"/>
      <c r="J134" s="523"/>
      <c r="K134" s="523"/>
      <c r="L134" s="523"/>
      <c r="M134" s="523"/>
      <c r="N134" s="523"/>
      <c r="O134" s="523"/>
    </row>
    <row r="135" spans="1:15" x14ac:dyDescent="0.2">
      <c r="A135" s="222">
        <f>calculs!A135</f>
        <v>44686</v>
      </c>
      <c r="B135" s="523" t="e">
        <f ca="1">gr('calcul-stats'!AY135)</f>
        <v>#NAME?</v>
      </c>
      <c r="C135" s="523" t="e">
        <f ca="1">gr('calcul-stats'!AZ135)</f>
        <v>#NAME?</v>
      </c>
      <c r="D135" s="523" t="e">
        <f ca="1">gr('calcul-stats'!BA135)</f>
        <v>#NAME?</v>
      </c>
      <c r="E135" s="523" t="e">
        <f ca="1">gr('calcul-stats'!BB135)</f>
        <v>#NAME?</v>
      </c>
      <c r="F135" s="523" t="e">
        <f ca="1">gr('calcul-stats'!BC135)</f>
        <v>#NAME?</v>
      </c>
      <c r="G135" s="524" t="e">
        <f t="shared" ca="1" si="1"/>
        <v>#NAME?</v>
      </c>
      <c r="H135" s="523"/>
      <c r="I135" s="523"/>
      <c r="J135" s="523"/>
      <c r="K135" s="523"/>
      <c r="L135" s="523"/>
      <c r="M135" s="523"/>
      <c r="N135" s="523"/>
      <c r="O135" s="523"/>
    </row>
    <row r="136" spans="1:15" x14ac:dyDescent="0.2">
      <c r="A136" s="222">
        <f>calculs!A136</f>
        <v>44687</v>
      </c>
      <c r="B136" s="523" t="e">
        <f ca="1">gr('calcul-stats'!AY136)</f>
        <v>#NAME?</v>
      </c>
      <c r="C136" s="523" t="e">
        <f ca="1">gr('calcul-stats'!AZ136)</f>
        <v>#NAME?</v>
      </c>
      <c r="D136" s="523" t="e">
        <f ca="1">gr('calcul-stats'!BA136)</f>
        <v>#NAME?</v>
      </c>
      <c r="E136" s="523" t="e">
        <f ca="1">gr('calcul-stats'!BB136)</f>
        <v>#NAME?</v>
      </c>
      <c r="F136" s="523" t="e">
        <f ca="1">gr('calcul-stats'!BC136)</f>
        <v>#NAME?</v>
      </c>
      <c r="G136" s="524" t="e">
        <f t="shared" ca="1" si="1"/>
        <v>#NAME?</v>
      </c>
      <c r="H136" s="523"/>
      <c r="I136" s="523"/>
      <c r="J136" s="523"/>
      <c r="K136" s="523"/>
      <c r="L136" s="523"/>
      <c r="M136" s="523"/>
      <c r="N136" s="523"/>
      <c r="O136" s="523"/>
    </row>
    <row r="137" spans="1:15" x14ac:dyDescent="0.2">
      <c r="A137" s="222">
        <f>calculs!A137</f>
        <v>44688</v>
      </c>
      <c r="B137" s="523" t="e">
        <f ca="1">gr('calcul-stats'!AY137)</f>
        <v>#NAME?</v>
      </c>
      <c r="C137" s="523" t="e">
        <f ca="1">gr('calcul-stats'!AZ137)</f>
        <v>#NAME?</v>
      </c>
      <c r="D137" s="523" t="e">
        <f ca="1">gr('calcul-stats'!BA137)</f>
        <v>#NAME?</v>
      </c>
      <c r="E137" s="523" t="e">
        <f ca="1">gr('calcul-stats'!BB137)</f>
        <v>#NAME?</v>
      </c>
      <c r="F137" s="523" t="e">
        <f ca="1">gr('calcul-stats'!BC137)</f>
        <v>#NAME?</v>
      </c>
      <c r="G137" s="524" t="e">
        <f t="shared" ca="1" si="1"/>
        <v>#NAME?</v>
      </c>
      <c r="H137" s="523"/>
      <c r="I137" s="523"/>
      <c r="J137" s="523"/>
      <c r="K137" s="523"/>
      <c r="L137" s="523"/>
      <c r="M137" s="523"/>
      <c r="N137" s="523"/>
      <c r="O137" s="523"/>
    </row>
    <row r="138" spans="1:15" x14ac:dyDescent="0.2">
      <c r="A138" s="222">
        <f>calculs!A138</f>
        <v>44689</v>
      </c>
      <c r="B138" s="523" t="e">
        <f ca="1">gr('calcul-stats'!AY138)</f>
        <v>#NAME?</v>
      </c>
      <c r="C138" s="523" t="e">
        <f ca="1">gr('calcul-stats'!AZ138)</f>
        <v>#NAME?</v>
      </c>
      <c r="D138" s="523" t="e">
        <f ca="1">gr('calcul-stats'!BA138)</f>
        <v>#NAME?</v>
      </c>
      <c r="E138" s="523" t="e">
        <f ca="1">gr('calcul-stats'!BB138)</f>
        <v>#NAME?</v>
      </c>
      <c r="F138" s="523" t="e">
        <f ca="1">gr('calcul-stats'!BC138)</f>
        <v>#NAME?</v>
      </c>
      <c r="G138" s="524" t="e">
        <f t="shared" ca="1" si="1"/>
        <v>#NAME?</v>
      </c>
      <c r="H138" s="523"/>
      <c r="I138" s="523"/>
      <c r="J138" s="523"/>
      <c r="K138" s="523"/>
      <c r="L138" s="523"/>
      <c r="M138" s="523"/>
      <c r="N138" s="523"/>
      <c r="O138" s="523"/>
    </row>
    <row r="139" spans="1:15" x14ac:dyDescent="0.2">
      <c r="A139" s="222">
        <f>calculs!A139</f>
        <v>44690</v>
      </c>
      <c r="B139" s="523" t="e">
        <f ca="1">gr('calcul-stats'!AY139)</f>
        <v>#NAME?</v>
      </c>
      <c r="C139" s="523" t="e">
        <f ca="1">gr('calcul-stats'!AZ139)</f>
        <v>#NAME?</v>
      </c>
      <c r="D139" s="523" t="e">
        <f ca="1">gr('calcul-stats'!BA139)</f>
        <v>#NAME?</v>
      </c>
      <c r="E139" s="523" t="e">
        <f ca="1">gr('calcul-stats'!BB139)</f>
        <v>#NAME?</v>
      </c>
      <c r="F139" s="523" t="e">
        <f ca="1">gr('calcul-stats'!BC139)</f>
        <v>#NAME?</v>
      </c>
      <c r="G139" s="524" t="e">
        <f t="shared" ca="1" si="1"/>
        <v>#NAME?</v>
      </c>
      <c r="H139" s="523"/>
      <c r="I139" s="523"/>
      <c r="J139" s="523"/>
      <c r="K139" s="523"/>
      <c r="L139" s="523"/>
      <c r="M139" s="523"/>
      <c r="N139" s="523"/>
      <c r="O139" s="523"/>
    </row>
    <row r="140" spans="1:15" x14ac:dyDescent="0.2">
      <c r="A140" s="222">
        <f>calculs!A140</f>
        <v>44691</v>
      </c>
      <c r="B140" s="523" t="e">
        <f ca="1">gr('calcul-stats'!AY140)</f>
        <v>#NAME?</v>
      </c>
      <c r="C140" s="523" t="e">
        <f ca="1">gr('calcul-stats'!AZ140)</f>
        <v>#NAME?</v>
      </c>
      <c r="D140" s="523" t="e">
        <f ca="1">gr('calcul-stats'!BA140)</f>
        <v>#NAME?</v>
      </c>
      <c r="E140" s="523" t="e">
        <f ca="1">gr('calcul-stats'!BB140)</f>
        <v>#NAME?</v>
      </c>
      <c r="F140" s="523" t="e">
        <f ca="1">gr('calcul-stats'!BC140)</f>
        <v>#NAME?</v>
      </c>
      <c r="G140" s="524" t="e">
        <f t="shared" ref="G140:G203" ca="1" si="2">AVERAGE(B140:F140)</f>
        <v>#NAME?</v>
      </c>
      <c r="H140" s="523"/>
      <c r="I140" s="523"/>
      <c r="J140" s="523"/>
      <c r="K140" s="523"/>
      <c r="L140" s="523"/>
      <c r="M140" s="523"/>
      <c r="N140" s="523"/>
      <c r="O140" s="523"/>
    </row>
    <row r="141" spans="1:15" x14ac:dyDescent="0.2">
      <c r="A141" s="222">
        <f>calculs!A141</f>
        <v>44692</v>
      </c>
      <c r="B141" s="523" t="e">
        <f ca="1">gr('calcul-stats'!AY141)</f>
        <v>#NAME?</v>
      </c>
      <c r="C141" s="523" t="e">
        <f ca="1">gr('calcul-stats'!AZ141)</f>
        <v>#NAME?</v>
      </c>
      <c r="D141" s="523" t="e">
        <f ca="1">gr('calcul-stats'!BA141)</f>
        <v>#NAME?</v>
      </c>
      <c r="E141" s="523" t="e">
        <f ca="1">gr('calcul-stats'!BB141)</f>
        <v>#NAME?</v>
      </c>
      <c r="F141" s="523" t="e">
        <f ca="1">gr('calcul-stats'!BC141)</f>
        <v>#NAME?</v>
      </c>
      <c r="G141" s="524" t="e">
        <f t="shared" ca="1" si="2"/>
        <v>#NAME?</v>
      </c>
      <c r="H141" s="523"/>
      <c r="I141" s="523"/>
      <c r="J141" s="523"/>
      <c r="K141" s="523"/>
      <c r="L141" s="523"/>
      <c r="M141" s="523"/>
      <c r="N141" s="523"/>
      <c r="O141" s="523"/>
    </row>
    <row r="142" spans="1:15" x14ac:dyDescent="0.2">
      <c r="A142" s="222">
        <f>calculs!A142</f>
        <v>44693</v>
      </c>
      <c r="B142" s="523" t="e">
        <f ca="1">gr('calcul-stats'!AY142)</f>
        <v>#NAME?</v>
      </c>
      <c r="C142" s="523" t="e">
        <f ca="1">gr('calcul-stats'!AZ142)</f>
        <v>#NAME?</v>
      </c>
      <c r="D142" s="523" t="e">
        <f ca="1">gr('calcul-stats'!BA142)</f>
        <v>#NAME?</v>
      </c>
      <c r="E142" s="523" t="e">
        <f ca="1">gr('calcul-stats'!BB142)</f>
        <v>#NAME?</v>
      </c>
      <c r="F142" s="523" t="e">
        <f ca="1">gr('calcul-stats'!BC142)</f>
        <v>#NAME?</v>
      </c>
      <c r="G142" s="524" t="e">
        <f t="shared" ca="1" si="2"/>
        <v>#NAME?</v>
      </c>
      <c r="H142" s="523"/>
      <c r="I142" s="523"/>
      <c r="J142" s="523"/>
      <c r="K142" s="523"/>
      <c r="L142" s="523"/>
      <c r="M142" s="523"/>
      <c r="N142" s="523"/>
      <c r="O142" s="523"/>
    </row>
    <row r="143" spans="1:15" x14ac:dyDescent="0.2">
      <c r="A143" s="222">
        <f>calculs!A143</f>
        <v>44694</v>
      </c>
      <c r="B143" s="523" t="e">
        <f ca="1">gr('calcul-stats'!AY143)</f>
        <v>#NAME?</v>
      </c>
      <c r="C143" s="523" t="e">
        <f ca="1">gr('calcul-stats'!AZ143)</f>
        <v>#NAME?</v>
      </c>
      <c r="D143" s="523" t="e">
        <f ca="1">gr('calcul-stats'!BA143)</f>
        <v>#NAME?</v>
      </c>
      <c r="E143" s="523" t="e">
        <f ca="1">gr('calcul-stats'!BB143)</f>
        <v>#NAME?</v>
      </c>
      <c r="F143" s="523" t="e">
        <f ca="1">gr('calcul-stats'!BC143)</f>
        <v>#NAME?</v>
      </c>
      <c r="G143" s="524" t="e">
        <f t="shared" ca="1" si="2"/>
        <v>#NAME?</v>
      </c>
      <c r="H143" s="523"/>
      <c r="I143" s="523"/>
      <c r="J143" s="523"/>
      <c r="K143" s="523"/>
      <c r="L143" s="523"/>
      <c r="M143" s="523"/>
      <c r="N143" s="523"/>
      <c r="O143" s="523"/>
    </row>
    <row r="144" spans="1:15" x14ac:dyDescent="0.2">
      <c r="A144" s="222">
        <f>calculs!A144</f>
        <v>44695</v>
      </c>
      <c r="B144" s="523" t="e">
        <f ca="1">gr('calcul-stats'!AY144)</f>
        <v>#NAME?</v>
      </c>
      <c r="C144" s="523" t="e">
        <f ca="1">gr('calcul-stats'!AZ144)</f>
        <v>#NAME?</v>
      </c>
      <c r="D144" s="523" t="e">
        <f ca="1">gr('calcul-stats'!BA144)</f>
        <v>#NAME?</v>
      </c>
      <c r="E144" s="523" t="e">
        <f ca="1">gr('calcul-stats'!BB144)</f>
        <v>#NAME?</v>
      </c>
      <c r="F144" s="523" t="e">
        <f ca="1">gr('calcul-stats'!BC144)</f>
        <v>#NAME?</v>
      </c>
      <c r="G144" s="524" t="e">
        <f t="shared" ca="1" si="2"/>
        <v>#NAME?</v>
      </c>
      <c r="H144" s="523"/>
      <c r="I144" s="523"/>
      <c r="J144" s="523"/>
      <c r="K144" s="523"/>
      <c r="L144" s="523"/>
      <c r="M144" s="523"/>
      <c r="N144" s="523"/>
      <c r="O144" s="523"/>
    </row>
    <row r="145" spans="1:15" x14ac:dyDescent="0.2">
      <c r="A145" s="222">
        <f>calculs!A145</f>
        <v>44696</v>
      </c>
      <c r="B145" s="523" t="e">
        <f ca="1">gr('calcul-stats'!AY145)</f>
        <v>#NAME?</v>
      </c>
      <c r="C145" s="523" t="e">
        <f ca="1">gr('calcul-stats'!AZ145)</f>
        <v>#NAME?</v>
      </c>
      <c r="D145" s="523" t="e">
        <f ca="1">gr('calcul-stats'!BA145)</f>
        <v>#NAME?</v>
      </c>
      <c r="E145" s="523" t="e">
        <f ca="1">gr('calcul-stats'!BB145)</f>
        <v>#NAME?</v>
      </c>
      <c r="F145" s="523" t="e">
        <f ca="1">gr('calcul-stats'!BC145)</f>
        <v>#NAME?</v>
      </c>
      <c r="G145" s="524" t="e">
        <f t="shared" ca="1" si="2"/>
        <v>#NAME?</v>
      </c>
      <c r="H145" s="523"/>
      <c r="I145" s="523"/>
      <c r="J145" s="523"/>
      <c r="K145" s="523"/>
      <c r="L145" s="523"/>
      <c r="M145" s="523"/>
      <c r="N145" s="523"/>
      <c r="O145" s="523"/>
    </row>
    <row r="146" spans="1:15" x14ac:dyDescent="0.2">
      <c r="A146" s="222">
        <f>calculs!A146</f>
        <v>44697</v>
      </c>
      <c r="B146" s="523" t="e">
        <f ca="1">gr('calcul-stats'!AY146)</f>
        <v>#NAME?</v>
      </c>
      <c r="C146" s="523" t="e">
        <f ca="1">gr('calcul-stats'!AZ146)</f>
        <v>#NAME?</v>
      </c>
      <c r="D146" s="523" t="e">
        <f ca="1">gr('calcul-stats'!BA146)</f>
        <v>#NAME?</v>
      </c>
      <c r="E146" s="523" t="e">
        <f ca="1">gr('calcul-stats'!BB146)</f>
        <v>#NAME?</v>
      </c>
      <c r="F146" s="523" t="e">
        <f ca="1">gr('calcul-stats'!BC146)</f>
        <v>#NAME?</v>
      </c>
      <c r="G146" s="524" t="e">
        <f t="shared" ca="1" si="2"/>
        <v>#NAME?</v>
      </c>
      <c r="H146" s="523"/>
      <c r="I146" s="523"/>
      <c r="J146" s="523"/>
      <c r="K146" s="523"/>
      <c r="L146" s="523"/>
      <c r="M146" s="523"/>
      <c r="N146" s="523"/>
      <c r="O146" s="523"/>
    </row>
    <row r="147" spans="1:15" x14ac:dyDescent="0.2">
      <c r="A147" s="222">
        <f>calculs!A147</f>
        <v>44698</v>
      </c>
      <c r="B147" s="523" t="e">
        <f ca="1">gr('calcul-stats'!AY147)</f>
        <v>#NAME?</v>
      </c>
      <c r="C147" s="523" t="e">
        <f ca="1">gr('calcul-stats'!AZ147)</f>
        <v>#NAME?</v>
      </c>
      <c r="D147" s="523" t="e">
        <f ca="1">gr('calcul-stats'!BA147)</f>
        <v>#NAME?</v>
      </c>
      <c r="E147" s="523" t="e">
        <f ca="1">gr('calcul-stats'!BB147)</f>
        <v>#NAME?</v>
      </c>
      <c r="F147" s="523" t="e">
        <f ca="1">gr('calcul-stats'!BC147)</f>
        <v>#NAME?</v>
      </c>
      <c r="G147" s="524" t="e">
        <f t="shared" ca="1" si="2"/>
        <v>#NAME?</v>
      </c>
      <c r="H147" s="523"/>
      <c r="I147" s="523"/>
      <c r="J147" s="523"/>
      <c r="K147" s="523"/>
      <c r="L147" s="523"/>
      <c r="M147" s="523"/>
      <c r="N147" s="523"/>
      <c r="O147" s="523"/>
    </row>
    <row r="148" spans="1:15" x14ac:dyDescent="0.2">
      <c r="A148" s="222">
        <f>calculs!A148</f>
        <v>44699</v>
      </c>
      <c r="B148" s="523" t="e">
        <f ca="1">gr('calcul-stats'!AY148)</f>
        <v>#NAME?</v>
      </c>
      <c r="C148" s="523" t="e">
        <f ca="1">gr('calcul-stats'!AZ148)</f>
        <v>#NAME?</v>
      </c>
      <c r="D148" s="523" t="e">
        <f ca="1">gr('calcul-stats'!BA148)</f>
        <v>#NAME?</v>
      </c>
      <c r="E148" s="523" t="e">
        <f ca="1">gr('calcul-stats'!BB148)</f>
        <v>#NAME?</v>
      </c>
      <c r="F148" s="523" t="e">
        <f ca="1">gr('calcul-stats'!BC148)</f>
        <v>#NAME?</v>
      </c>
      <c r="G148" s="524" t="e">
        <f t="shared" ca="1" si="2"/>
        <v>#NAME?</v>
      </c>
      <c r="H148" s="523"/>
      <c r="I148" s="523"/>
      <c r="J148" s="523"/>
      <c r="K148" s="523"/>
      <c r="L148" s="523"/>
      <c r="M148" s="523"/>
      <c r="N148" s="523"/>
      <c r="O148" s="523"/>
    </row>
    <row r="149" spans="1:15" x14ac:dyDescent="0.2">
      <c r="A149" s="222">
        <f>calculs!A149</f>
        <v>44700</v>
      </c>
      <c r="B149" s="523" t="e">
        <f ca="1">gr('calcul-stats'!AY149)</f>
        <v>#NAME?</v>
      </c>
      <c r="C149" s="523" t="e">
        <f ca="1">gr('calcul-stats'!AZ149)</f>
        <v>#NAME?</v>
      </c>
      <c r="D149" s="523" t="e">
        <f ca="1">gr('calcul-stats'!BA149)</f>
        <v>#NAME?</v>
      </c>
      <c r="E149" s="523" t="e">
        <f ca="1">gr('calcul-stats'!BB149)</f>
        <v>#NAME?</v>
      </c>
      <c r="F149" s="523" t="e">
        <f ca="1">gr('calcul-stats'!BC149)</f>
        <v>#NAME?</v>
      </c>
      <c r="G149" s="524" t="e">
        <f t="shared" ca="1" si="2"/>
        <v>#NAME?</v>
      </c>
      <c r="H149" s="523"/>
      <c r="I149" s="523"/>
      <c r="J149" s="523"/>
      <c r="K149" s="523"/>
      <c r="L149" s="523"/>
      <c r="M149" s="523"/>
      <c r="N149" s="523"/>
      <c r="O149" s="523"/>
    </row>
    <row r="150" spans="1:15" x14ac:dyDescent="0.2">
      <c r="A150" s="222">
        <f>calculs!A150</f>
        <v>44701</v>
      </c>
      <c r="B150" s="523" t="e">
        <f ca="1">gr('calcul-stats'!AY150)</f>
        <v>#NAME?</v>
      </c>
      <c r="C150" s="523" t="e">
        <f ca="1">gr('calcul-stats'!AZ150)</f>
        <v>#NAME?</v>
      </c>
      <c r="D150" s="523" t="e">
        <f ca="1">gr('calcul-stats'!BA150)</f>
        <v>#NAME?</v>
      </c>
      <c r="E150" s="523" t="e">
        <f ca="1">gr('calcul-stats'!BB150)</f>
        <v>#NAME?</v>
      </c>
      <c r="F150" s="523" t="e">
        <f ca="1">gr('calcul-stats'!BC150)</f>
        <v>#NAME?</v>
      </c>
      <c r="G150" s="524" t="e">
        <f t="shared" ca="1" si="2"/>
        <v>#NAME?</v>
      </c>
      <c r="H150" s="523"/>
      <c r="I150" s="523"/>
      <c r="J150" s="523"/>
      <c r="K150" s="523"/>
      <c r="L150" s="523"/>
      <c r="M150" s="523"/>
      <c r="N150" s="523"/>
      <c r="O150" s="523"/>
    </row>
    <row r="151" spans="1:15" x14ac:dyDescent="0.2">
      <c r="A151" s="222">
        <f>calculs!A151</f>
        <v>44702</v>
      </c>
      <c r="B151" s="523" t="e">
        <f ca="1">gr('calcul-stats'!AY151)</f>
        <v>#NAME?</v>
      </c>
      <c r="C151" s="523" t="e">
        <f ca="1">gr('calcul-stats'!AZ151)</f>
        <v>#NAME?</v>
      </c>
      <c r="D151" s="523" t="e">
        <f ca="1">gr('calcul-stats'!BA151)</f>
        <v>#NAME?</v>
      </c>
      <c r="E151" s="523" t="e">
        <f ca="1">gr('calcul-stats'!BB151)</f>
        <v>#NAME?</v>
      </c>
      <c r="F151" s="523" t="e">
        <f ca="1">gr('calcul-stats'!BC151)</f>
        <v>#NAME?</v>
      </c>
      <c r="G151" s="524" t="e">
        <f t="shared" ca="1" si="2"/>
        <v>#NAME?</v>
      </c>
      <c r="H151" s="523"/>
      <c r="I151" s="523"/>
      <c r="J151" s="523"/>
      <c r="K151" s="523"/>
      <c r="L151" s="523"/>
      <c r="M151" s="523"/>
      <c r="N151" s="523"/>
      <c r="O151" s="523"/>
    </row>
    <row r="152" spans="1:15" x14ac:dyDescent="0.2">
      <c r="A152" s="222">
        <f>calculs!A152</f>
        <v>44703</v>
      </c>
      <c r="B152" s="523" t="e">
        <f ca="1">gr('calcul-stats'!AY152)</f>
        <v>#NAME?</v>
      </c>
      <c r="C152" s="523" t="e">
        <f ca="1">gr('calcul-stats'!AZ152)</f>
        <v>#NAME?</v>
      </c>
      <c r="D152" s="523" t="e">
        <f ca="1">gr('calcul-stats'!BA152)</f>
        <v>#NAME?</v>
      </c>
      <c r="E152" s="523" t="e">
        <f ca="1">gr('calcul-stats'!BB152)</f>
        <v>#NAME?</v>
      </c>
      <c r="F152" s="523" t="e">
        <f ca="1">gr('calcul-stats'!BC152)</f>
        <v>#NAME?</v>
      </c>
      <c r="G152" s="524" t="e">
        <f t="shared" ca="1" si="2"/>
        <v>#NAME?</v>
      </c>
      <c r="H152" s="523"/>
      <c r="I152" s="523"/>
      <c r="J152" s="523"/>
      <c r="K152" s="523"/>
      <c r="L152" s="523"/>
      <c r="M152" s="523"/>
      <c r="N152" s="523"/>
      <c r="O152" s="523"/>
    </row>
    <row r="153" spans="1:15" x14ac:dyDescent="0.2">
      <c r="A153" s="222">
        <f>calculs!A153</f>
        <v>44704</v>
      </c>
      <c r="B153" s="523" t="e">
        <f ca="1">gr('calcul-stats'!AY153)</f>
        <v>#NAME?</v>
      </c>
      <c r="C153" s="523" t="e">
        <f ca="1">gr('calcul-stats'!AZ153)</f>
        <v>#NAME?</v>
      </c>
      <c r="D153" s="523" t="e">
        <f ca="1">gr('calcul-stats'!BA153)</f>
        <v>#NAME?</v>
      </c>
      <c r="E153" s="523" t="e">
        <f ca="1">gr('calcul-stats'!BB153)</f>
        <v>#NAME?</v>
      </c>
      <c r="F153" s="523" t="e">
        <f ca="1">gr('calcul-stats'!BC153)</f>
        <v>#NAME?</v>
      </c>
      <c r="G153" s="524" t="e">
        <f t="shared" ca="1" si="2"/>
        <v>#NAME?</v>
      </c>
      <c r="H153" s="523"/>
      <c r="I153" s="523"/>
      <c r="J153" s="523"/>
      <c r="K153" s="523"/>
      <c r="L153" s="523"/>
      <c r="M153" s="523"/>
      <c r="N153" s="523"/>
      <c r="O153" s="523"/>
    </row>
    <row r="154" spans="1:15" x14ac:dyDescent="0.2">
      <c r="A154" s="222">
        <f>calculs!A154</f>
        <v>44705</v>
      </c>
      <c r="B154" s="523" t="e">
        <f ca="1">gr('calcul-stats'!AY154)</f>
        <v>#NAME?</v>
      </c>
      <c r="C154" s="523" t="e">
        <f ca="1">gr('calcul-stats'!AZ154)</f>
        <v>#NAME?</v>
      </c>
      <c r="D154" s="523" t="e">
        <f ca="1">gr('calcul-stats'!BA154)</f>
        <v>#NAME?</v>
      </c>
      <c r="E154" s="523" t="e">
        <f ca="1">gr('calcul-stats'!BB154)</f>
        <v>#NAME?</v>
      </c>
      <c r="F154" s="523" t="e">
        <f ca="1">gr('calcul-stats'!BC154)</f>
        <v>#NAME?</v>
      </c>
      <c r="G154" s="524" t="e">
        <f t="shared" ca="1" si="2"/>
        <v>#NAME?</v>
      </c>
      <c r="H154" s="523"/>
      <c r="I154" s="523"/>
      <c r="J154" s="523"/>
      <c r="K154" s="523"/>
      <c r="L154" s="523"/>
      <c r="M154" s="523"/>
      <c r="N154" s="523"/>
      <c r="O154" s="523"/>
    </row>
    <row r="155" spans="1:15" x14ac:dyDescent="0.2">
      <c r="A155" s="222">
        <f>calculs!A155</f>
        <v>44706</v>
      </c>
      <c r="B155" s="523" t="e">
        <f ca="1">gr('calcul-stats'!AY155)</f>
        <v>#NAME?</v>
      </c>
      <c r="C155" s="523" t="e">
        <f ca="1">gr('calcul-stats'!AZ155)</f>
        <v>#NAME?</v>
      </c>
      <c r="D155" s="523" t="e">
        <f ca="1">gr('calcul-stats'!BA155)</f>
        <v>#NAME?</v>
      </c>
      <c r="E155" s="523" t="e">
        <f ca="1">gr('calcul-stats'!BB155)</f>
        <v>#NAME?</v>
      </c>
      <c r="F155" s="523" t="e">
        <f ca="1">gr('calcul-stats'!BC155)</f>
        <v>#NAME?</v>
      </c>
      <c r="G155" s="524" t="e">
        <f t="shared" ca="1" si="2"/>
        <v>#NAME?</v>
      </c>
      <c r="H155" s="523"/>
      <c r="I155" s="523"/>
      <c r="J155" s="523"/>
      <c r="K155" s="523"/>
      <c r="L155" s="523"/>
      <c r="M155" s="523"/>
      <c r="N155" s="523"/>
      <c r="O155" s="523"/>
    </row>
    <row r="156" spans="1:15" x14ac:dyDescent="0.2">
      <c r="A156" s="222">
        <f>calculs!A156</f>
        <v>44707</v>
      </c>
      <c r="B156" s="523" t="e">
        <f ca="1">gr('calcul-stats'!AY156)</f>
        <v>#NAME?</v>
      </c>
      <c r="C156" s="523" t="e">
        <f ca="1">gr('calcul-stats'!AZ156)</f>
        <v>#NAME?</v>
      </c>
      <c r="D156" s="523" t="e">
        <f ca="1">gr('calcul-stats'!BA156)</f>
        <v>#NAME?</v>
      </c>
      <c r="E156" s="523" t="e">
        <f ca="1">gr('calcul-stats'!BB156)</f>
        <v>#NAME?</v>
      </c>
      <c r="F156" s="523" t="e">
        <f ca="1">gr('calcul-stats'!BC156)</f>
        <v>#NAME?</v>
      </c>
      <c r="G156" s="524" t="e">
        <f t="shared" ca="1" si="2"/>
        <v>#NAME?</v>
      </c>
      <c r="H156" s="523"/>
      <c r="I156" s="523"/>
      <c r="J156" s="523"/>
      <c r="K156" s="523"/>
      <c r="L156" s="523"/>
      <c r="M156" s="523"/>
      <c r="N156" s="523"/>
      <c r="O156" s="523"/>
    </row>
    <row r="157" spans="1:15" x14ac:dyDescent="0.2">
      <c r="A157" s="222">
        <f>calculs!A157</f>
        <v>44708</v>
      </c>
      <c r="B157" s="523" t="e">
        <f ca="1">gr('calcul-stats'!AY157)</f>
        <v>#NAME?</v>
      </c>
      <c r="C157" s="523" t="e">
        <f ca="1">gr('calcul-stats'!AZ157)</f>
        <v>#NAME?</v>
      </c>
      <c r="D157" s="523" t="e">
        <f ca="1">gr('calcul-stats'!BA157)</f>
        <v>#NAME?</v>
      </c>
      <c r="E157" s="523" t="e">
        <f ca="1">gr('calcul-stats'!BB157)</f>
        <v>#NAME?</v>
      </c>
      <c r="F157" s="523" t="e">
        <f ca="1">gr('calcul-stats'!BC157)</f>
        <v>#NAME?</v>
      </c>
      <c r="G157" s="524" t="e">
        <f t="shared" ca="1" si="2"/>
        <v>#NAME?</v>
      </c>
      <c r="H157" s="523"/>
      <c r="I157" s="523"/>
      <c r="J157" s="523"/>
      <c r="K157" s="523"/>
      <c r="L157" s="523"/>
      <c r="M157" s="523"/>
      <c r="N157" s="523"/>
      <c r="O157" s="523"/>
    </row>
    <row r="158" spans="1:15" x14ac:dyDescent="0.2">
      <c r="A158" s="222">
        <f>calculs!A158</f>
        <v>44709</v>
      </c>
      <c r="B158" s="523" t="e">
        <f ca="1">gr('calcul-stats'!AY158)</f>
        <v>#NAME?</v>
      </c>
      <c r="C158" s="523" t="e">
        <f ca="1">gr('calcul-stats'!AZ158)</f>
        <v>#NAME?</v>
      </c>
      <c r="D158" s="523" t="e">
        <f ca="1">gr('calcul-stats'!BA158)</f>
        <v>#NAME?</v>
      </c>
      <c r="E158" s="523" t="e">
        <f ca="1">gr('calcul-stats'!BB158)</f>
        <v>#NAME?</v>
      </c>
      <c r="F158" s="523" t="e">
        <f ca="1">gr('calcul-stats'!BC158)</f>
        <v>#NAME?</v>
      </c>
      <c r="G158" s="524" t="e">
        <f t="shared" ca="1" si="2"/>
        <v>#NAME?</v>
      </c>
      <c r="H158" s="523"/>
      <c r="I158" s="523"/>
      <c r="J158" s="523"/>
      <c r="K158" s="523"/>
      <c r="L158" s="523"/>
      <c r="M158" s="523"/>
      <c r="N158" s="523"/>
      <c r="O158" s="523"/>
    </row>
    <row r="159" spans="1:15" x14ac:dyDescent="0.2">
      <c r="A159" s="222">
        <f>calculs!A159</f>
        <v>44710</v>
      </c>
      <c r="B159" s="523" t="e">
        <f ca="1">gr('calcul-stats'!AY159)</f>
        <v>#NAME?</v>
      </c>
      <c r="C159" s="523" t="e">
        <f ca="1">gr('calcul-stats'!AZ159)</f>
        <v>#NAME?</v>
      </c>
      <c r="D159" s="523" t="e">
        <f ca="1">gr('calcul-stats'!BA159)</f>
        <v>#NAME?</v>
      </c>
      <c r="E159" s="523" t="e">
        <f ca="1">gr('calcul-stats'!BB159)</f>
        <v>#NAME?</v>
      </c>
      <c r="F159" s="523" t="e">
        <f ca="1">gr('calcul-stats'!BC159)</f>
        <v>#NAME?</v>
      </c>
      <c r="G159" s="524" t="e">
        <f t="shared" ca="1" si="2"/>
        <v>#NAME?</v>
      </c>
      <c r="H159" s="523"/>
      <c r="I159" s="523"/>
      <c r="J159" s="523"/>
      <c r="K159" s="523"/>
      <c r="L159" s="523"/>
      <c r="M159" s="523"/>
      <c r="N159" s="523"/>
      <c r="O159" s="523"/>
    </row>
    <row r="160" spans="1:15" x14ac:dyDescent="0.2">
      <c r="A160" s="222">
        <f>calculs!A160</f>
        <v>44711</v>
      </c>
      <c r="B160" s="523" t="e">
        <f ca="1">gr('calcul-stats'!AY160)</f>
        <v>#NAME?</v>
      </c>
      <c r="C160" s="523" t="e">
        <f ca="1">gr('calcul-stats'!AZ160)</f>
        <v>#NAME?</v>
      </c>
      <c r="D160" s="523" t="e">
        <f ca="1">gr('calcul-stats'!BA160)</f>
        <v>#NAME?</v>
      </c>
      <c r="E160" s="523" t="e">
        <f ca="1">gr('calcul-stats'!BB160)</f>
        <v>#NAME?</v>
      </c>
      <c r="F160" s="523" t="e">
        <f ca="1">gr('calcul-stats'!BC160)</f>
        <v>#NAME?</v>
      </c>
      <c r="G160" s="524" t="e">
        <f t="shared" ca="1" si="2"/>
        <v>#NAME?</v>
      </c>
      <c r="H160" s="523"/>
      <c r="I160" s="523"/>
      <c r="J160" s="523"/>
      <c r="K160" s="523"/>
      <c r="L160" s="523"/>
      <c r="M160" s="523"/>
      <c r="N160" s="523"/>
      <c r="O160" s="523"/>
    </row>
    <row r="161" spans="1:15" x14ac:dyDescent="0.2">
      <c r="A161" s="222">
        <f>calculs!A161</f>
        <v>44712</v>
      </c>
      <c r="B161" s="523" t="e">
        <f ca="1">gr('calcul-stats'!AY161)</f>
        <v>#NAME?</v>
      </c>
      <c r="C161" s="523" t="e">
        <f ca="1">gr('calcul-stats'!AZ161)</f>
        <v>#NAME?</v>
      </c>
      <c r="D161" s="523" t="e">
        <f ca="1">gr('calcul-stats'!BA161)</f>
        <v>#NAME?</v>
      </c>
      <c r="E161" s="523" t="e">
        <f ca="1">gr('calcul-stats'!BB161)</f>
        <v>#NAME?</v>
      </c>
      <c r="F161" s="523" t="e">
        <f ca="1">gr('calcul-stats'!BC161)</f>
        <v>#NAME?</v>
      </c>
      <c r="G161" s="524" t="e">
        <f t="shared" ca="1" si="2"/>
        <v>#NAME?</v>
      </c>
      <c r="H161" s="523"/>
      <c r="I161" s="523"/>
      <c r="J161" s="523"/>
      <c r="K161" s="523"/>
      <c r="L161" s="523"/>
      <c r="M161" s="523"/>
      <c r="N161" s="523"/>
      <c r="O161" s="523"/>
    </row>
    <row r="162" spans="1:15" x14ac:dyDescent="0.2">
      <c r="A162" s="222">
        <f>calculs!A162</f>
        <v>44713</v>
      </c>
      <c r="B162" s="523" t="e">
        <f ca="1">gr('calcul-stats'!AY162)</f>
        <v>#NAME?</v>
      </c>
      <c r="C162" s="523" t="e">
        <f ca="1">gr('calcul-stats'!AZ162)</f>
        <v>#NAME?</v>
      </c>
      <c r="D162" s="523" t="e">
        <f ca="1">gr('calcul-stats'!BA162)</f>
        <v>#NAME?</v>
      </c>
      <c r="E162" s="523" t="e">
        <f ca="1">gr('calcul-stats'!BB162)</f>
        <v>#NAME?</v>
      </c>
      <c r="F162" s="523" t="e">
        <f ca="1">gr('calcul-stats'!BC162)</f>
        <v>#NAME?</v>
      </c>
      <c r="G162" s="524" t="e">
        <f t="shared" ca="1" si="2"/>
        <v>#NAME?</v>
      </c>
      <c r="H162" s="523"/>
      <c r="I162" s="523"/>
      <c r="J162" s="523"/>
      <c r="K162" s="523"/>
      <c r="L162" s="523"/>
      <c r="M162" s="523"/>
      <c r="N162" s="523"/>
      <c r="O162" s="523"/>
    </row>
    <row r="163" spans="1:15" x14ac:dyDescent="0.2">
      <c r="A163" s="222">
        <f>calculs!A163</f>
        <v>44714</v>
      </c>
      <c r="B163" s="523" t="e">
        <f ca="1">gr('calcul-stats'!AY163)</f>
        <v>#NAME?</v>
      </c>
      <c r="C163" s="523" t="e">
        <f ca="1">gr('calcul-stats'!AZ163)</f>
        <v>#NAME?</v>
      </c>
      <c r="D163" s="523" t="e">
        <f ca="1">gr('calcul-stats'!BA163)</f>
        <v>#NAME?</v>
      </c>
      <c r="E163" s="523" t="e">
        <f ca="1">gr('calcul-stats'!BB163)</f>
        <v>#NAME?</v>
      </c>
      <c r="F163" s="523" t="e">
        <f ca="1">gr('calcul-stats'!BC163)</f>
        <v>#NAME?</v>
      </c>
      <c r="G163" s="524" t="e">
        <f t="shared" ca="1" si="2"/>
        <v>#NAME?</v>
      </c>
      <c r="H163" s="523"/>
      <c r="I163" s="523"/>
      <c r="J163" s="523"/>
      <c r="K163" s="523"/>
      <c r="L163" s="523"/>
      <c r="M163" s="523"/>
      <c r="N163" s="523"/>
      <c r="O163" s="523"/>
    </row>
    <row r="164" spans="1:15" x14ac:dyDescent="0.2">
      <c r="A164" s="222">
        <f>calculs!A164</f>
        <v>44715</v>
      </c>
      <c r="B164" s="523" t="e">
        <f ca="1">gr('calcul-stats'!AY164)</f>
        <v>#NAME?</v>
      </c>
      <c r="C164" s="523" t="e">
        <f ca="1">gr('calcul-stats'!AZ164)</f>
        <v>#NAME?</v>
      </c>
      <c r="D164" s="523" t="e">
        <f ca="1">gr('calcul-stats'!BA164)</f>
        <v>#NAME?</v>
      </c>
      <c r="E164" s="523" t="e">
        <f ca="1">gr('calcul-stats'!BB164)</f>
        <v>#NAME?</v>
      </c>
      <c r="F164" s="523" t="e">
        <f ca="1">gr('calcul-stats'!BC164)</f>
        <v>#NAME?</v>
      </c>
      <c r="G164" s="524" t="e">
        <f t="shared" ca="1" si="2"/>
        <v>#NAME?</v>
      </c>
      <c r="H164" s="523"/>
      <c r="I164" s="523"/>
      <c r="J164" s="523"/>
      <c r="K164" s="523"/>
      <c r="L164" s="523"/>
      <c r="M164" s="523"/>
      <c r="N164" s="523"/>
      <c r="O164" s="523"/>
    </row>
    <row r="165" spans="1:15" x14ac:dyDescent="0.2">
      <c r="A165" s="222">
        <f>calculs!A165</f>
        <v>44716</v>
      </c>
      <c r="B165" s="523" t="e">
        <f ca="1">gr('calcul-stats'!AY165)</f>
        <v>#NAME?</v>
      </c>
      <c r="C165" s="523" t="e">
        <f ca="1">gr('calcul-stats'!AZ165)</f>
        <v>#NAME?</v>
      </c>
      <c r="D165" s="523" t="e">
        <f ca="1">gr('calcul-stats'!BA165)</f>
        <v>#NAME?</v>
      </c>
      <c r="E165" s="523" t="e">
        <f ca="1">gr('calcul-stats'!BB165)</f>
        <v>#NAME?</v>
      </c>
      <c r="F165" s="523" t="e">
        <f ca="1">gr('calcul-stats'!BC165)</f>
        <v>#NAME?</v>
      </c>
      <c r="G165" s="524" t="e">
        <f t="shared" ca="1" si="2"/>
        <v>#NAME?</v>
      </c>
      <c r="H165" s="523"/>
      <c r="I165" s="523"/>
      <c r="J165" s="523"/>
      <c r="K165" s="523"/>
      <c r="L165" s="523"/>
      <c r="M165" s="523"/>
      <c r="N165" s="523"/>
      <c r="O165" s="523"/>
    </row>
    <row r="166" spans="1:15" x14ac:dyDescent="0.2">
      <c r="A166" s="222">
        <f>calculs!A166</f>
        <v>44717</v>
      </c>
      <c r="B166" s="523" t="e">
        <f ca="1">gr('calcul-stats'!AY166)</f>
        <v>#NAME?</v>
      </c>
      <c r="C166" s="523" t="e">
        <f ca="1">gr('calcul-stats'!AZ166)</f>
        <v>#NAME?</v>
      </c>
      <c r="D166" s="523" t="e">
        <f ca="1">gr('calcul-stats'!BA166)</f>
        <v>#NAME?</v>
      </c>
      <c r="E166" s="523" t="e">
        <f ca="1">gr('calcul-stats'!BB166)</f>
        <v>#NAME?</v>
      </c>
      <c r="F166" s="523" t="e">
        <f ca="1">gr('calcul-stats'!BC166)</f>
        <v>#NAME?</v>
      </c>
      <c r="G166" s="524" t="e">
        <f t="shared" ca="1" si="2"/>
        <v>#NAME?</v>
      </c>
      <c r="H166" s="523"/>
      <c r="I166" s="523"/>
      <c r="J166" s="523"/>
      <c r="K166" s="523"/>
      <c r="L166" s="523"/>
      <c r="M166" s="523"/>
      <c r="N166" s="523"/>
      <c r="O166" s="523"/>
    </row>
    <row r="167" spans="1:15" x14ac:dyDescent="0.2">
      <c r="A167" s="222">
        <f>calculs!A167</f>
        <v>44718</v>
      </c>
      <c r="B167" s="523" t="e">
        <f ca="1">gr('calcul-stats'!AY167)</f>
        <v>#NAME?</v>
      </c>
      <c r="C167" s="523" t="e">
        <f ca="1">gr('calcul-stats'!AZ167)</f>
        <v>#NAME?</v>
      </c>
      <c r="D167" s="523" t="e">
        <f ca="1">gr('calcul-stats'!BA167)</f>
        <v>#NAME?</v>
      </c>
      <c r="E167" s="523" t="e">
        <f ca="1">gr('calcul-stats'!BB167)</f>
        <v>#NAME?</v>
      </c>
      <c r="F167" s="523" t="e">
        <f ca="1">gr('calcul-stats'!BC167)</f>
        <v>#NAME?</v>
      </c>
      <c r="G167" s="524" t="e">
        <f t="shared" ca="1" si="2"/>
        <v>#NAME?</v>
      </c>
      <c r="H167" s="523"/>
      <c r="I167" s="523"/>
      <c r="J167" s="523"/>
      <c r="K167" s="523"/>
      <c r="L167" s="523"/>
      <c r="M167" s="523"/>
      <c r="N167" s="523"/>
      <c r="O167" s="523"/>
    </row>
    <row r="168" spans="1:15" x14ac:dyDescent="0.2">
      <c r="A168" s="222">
        <f>calculs!A168</f>
        <v>44719</v>
      </c>
      <c r="B168" s="523" t="e">
        <f ca="1">gr('calcul-stats'!AY168)</f>
        <v>#NAME?</v>
      </c>
      <c r="C168" s="523" t="e">
        <f ca="1">gr('calcul-stats'!AZ168)</f>
        <v>#NAME?</v>
      </c>
      <c r="D168" s="523" t="e">
        <f ca="1">gr('calcul-stats'!BA168)</f>
        <v>#NAME?</v>
      </c>
      <c r="E168" s="523" t="e">
        <f ca="1">gr('calcul-stats'!BB168)</f>
        <v>#NAME?</v>
      </c>
      <c r="F168" s="523" t="e">
        <f ca="1">gr('calcul-stats'!BC168)</f>
        <v>#NAME?</v>
      </c>
      <c r="G168" s="524" t="e">
        <f t="shared" ca="1" si="2"/>
        <v>#NAME?</v>
      </c>
      <c r="H168" s="523"/>
      <c r="I168" s="523"/>
      <c r="J168" s="523"/>
      <c r="K168" s="523"/>
      <c r="L168" s="523"/>
      <c r="M168" s="523"/>
      <c r="N168" s="523"/>
      <c r="O168" s="523"/>
    </row>
    <row r="169" spans="1:15" x14ac:dyDescent="0.2">
      <c r="A169" s="222">
        <f>calculs!A169</f>
        <v>44720</v>
      </c>
      <c r="B169" s="523" t="e">
        <f ca="1">gr('calcul-stats'!AY169)</f>
        <v>#NAME?</v>
      </c>
      <c r="C169" s="523" t="e">
        <f ca="1">gr('calcul-stats'!AZ169)</f>
        <v>#NAME?</v>
      </c>
      <c r="D169" s="523" t="e">
        <f ca="1">gr('calcul-stats'!BA169)</f>
        <v>#NAME?</v>
      </c>
      <c r="E169" s="523" t="e">
        <f ca="1">gr('calcul-stats'!BB169)</f>
        <v>#NAME?</v>
      </c>
      <c r="F169" s="523" t="e">
        <f ca="1">gr('calcul-stats'!BC169)</f>
        <v>#NAME?</v>
      </c>
      <c r="G169" s="524" t="e">
        <f t="shared" ca="1" si="2"/>
        <v>#NAME?</v>
      </c>
      <c r="H169" s="523"/>
      <c r="I169" s="523"/>
      <c r="J169" s="523"/>
      <c r="K169" s="523"/>
      <c r="L169" s="523"/>
      <c r="M169" s="523"/>
      <c r="N169" s="523"/>
      <c r="O169" s="523"/>
    </row>
    <row r="170" spans="1:15" x14ac:dyDescent="0.2">
      <c r="A170" s="222">
        <f>calculs!A170</f>
        <v>44721</v>
      </c>
      <c r="B170" s="523" t="e">
        <f ca="1">gr('calcul-stats'!AY170)</f>
        <v>#NAME?</v>
      </c>
      <c r="C170" s="523" t="e">
        <f ca="1">gr('calcul-stats'!AZ170)</f>
        <v>#NAME?</v>
      </c>
      <c r="D170" s="523" t="e">
        <f ca="1">gr('calcul-stats'!BA170)</f>
        <v>#NAME?</v>
      </c>
      <c r="E170" s="523" t="e">
        <f ca="1">gr('calcul-stats'!BB170)</f>
        <v>#NAME?</v>
      </c>
      <c r="F170" s="523" t="e">
        <f ca="1">gr('calcul-stats'!BC170)</f>
        <v>#NAME?</v>
      </c>
      <c r="G170" s="524" t="e">
        <f t="shared" ca="1" si="2"/>
        <v>#NAME?</v>
      </c>
      <c r="H170" s="523"/>
      <c r="I170" s="523"/>
      <c r="J170" s="523"/>
      <c r="K170" s="523"/>
      <c r="L170" s="523"/>
      <c r="M170" s="523"/>
      <c r="N170" s="523"/>
      <c r="O170" s="523"/>
    </row>
    <row r="171" spans="1:15" x14ac:dyDescent="0.2">
      <c r="A171" s="222">
        <f>calculs!A171</f>
        <v>44722</v>
      </c>
      <c r="B171" s="523" t="e">
        <f ca="1">gr('calcul-stats'!AY171)</f>
        <v>#NAME?</v>
      </c>
      <c r="C171" s="523" t="e">
        <f ca="1">gr('calcul-stats'!AZ171)</f>
        <v>#NAME?</v>
      </c>
      <c r="D171" s="523" t="e">
        <f ca="1">gr('calcul-stats'!BA171)</f>
        <v>#NAME?</v>
      </c>
      <c r="E171" s="523" t="e">
        <f ca="1">gr('calcul-stats'!BB171)</f>
        <v>#NAME?</v>
      </c>
      <c r="F171" s="523" t="e">
        <f ca="1">gr('calcul-stats'!BC171)</f>
        <v>#NAME?</v>
      </c>
      <c r="G171" s="524" t="e">
        <f t="shared" ca="1" si="2"/>
        <v>#NAME?</v>
      </c>
      <c r="H171" s="523"/>
      <c r="I171" s="523"/>
      <c r="J171" s="523"/>
      <c r="K171" s="523"/>
      <c r="L171" s="523"/>
      <c r="M171" s="523"/>
      <c r="N171" s="523"/>
      <c r="O171" s="523"/>
    </row>
    <row r="172" spans="1:15" x14ac:dyDescent="0.2">
      <c r="A172" s="222">
        <f>calculs!A172</f>
        <v>44723</v>
      </c>
      <c r="B172" s="523" t="e">
        <f ca="1">gr('calcul-stats'!AY172)</f>
        <v>#NAME?</v>
      </c>
      <c r="C172" s="523" t="e">
        <f ca="1">gr('calcul-stats'!AZ172)</f>
        <v>#NAME?</v>
      </c>
      <c r="D172" s="523" t="e">
        <f ca="1">gr('calcul-stats'!BA172)</f>
        <v>#NAME?</v>
      </c>
      <c r="E172" s="523" t="e">
        <f ca="1">gr('calcul-stats'!BB172)</f>
        <v>#NAME?</v>
      </c>
      <c r="F172" s="523" t="e">
        <f ca="1">gr('calcul-stats'!BC172)</f>
        <v>#NAME?</v>
      </c>
      <c r="G172" s="524" t="e">
        <f t="shared" ca="1" si="2"/>
        <v>#NAME?</v>
      </c>
      <c r="H172" s="523"/>
      <c r="I172" s="523"/>
      <c r="J172" s="523"/>
      <c r="K172" s="523"/>
      <c r="L172" s="523"/>
      <c r="M172" s="523"/>
      <c r="N172" s="523"/>
      <c r="O172" s="523"/>
    </row>
    <row r="173" spans="1:15" x14ac:dyDescent="0.2">
      <c r="A173" s="222">
        <f>calculs!A173</f>
        <v>44724</v>
      </c>
      <c r="B173" s="523" t="e">
        <f ca="1">gr('calcul-stats'!AY173)</f>
        <v>#NAME?</v>
      </c>
      <c r="C173" s="523" t="e">
        <f ca="1">gr('calcul-stats'!AZ173)</f>
        <v>#NAME?</v>
      </c>
      <c r="D173" s="523" t="e">
        <f ca="1">gr('calcul-stats'!BA173)</f>
        <v>#NAME?</v>
      </c>
      <c r="E173" s="523" t="e">
        <f ca="1">gr('calcul-stats'!BB173)</f>
        <v>#NAME?</v>
      </c>
      <c r="F173" s="523" t="e">
        <f ca="1">gr('calcul-stats'!BC173)</f>
        <v>#NAME?</v>
      </c>
      <c r="G173" s="524" t="e">
        <f t="shared" ca="1" si="2"/>
        <v>#NAME?</v>
      </c>
      <c r="H173" s="523"/>
      <c r="I173" s="523"/>
      <c r="J173" s="523"/>
      <c r="K173" s="523"/>
      <c r="L173" s="523"/>
      <c r="M173" s="523"/>
      <c r="N173" s="523"/>
      <c r="O173" s="523"/>
    </row>
    <row r="174" spans="1:15" x14ac:dyDescent="0.2">
      <c r="A174" s="222">
        <f>calculs!A174</f>
        <v>44725</v>
      </c>
      <c r="B174" s="523" t="e">
        <f ca="1">gr('calcul-stats'!AY174)</f>
        <v>#NAME?</v>
      </c>
      <c r="C174" s="523" t="e">
        <f ca="1">gr('calcul-stats'!AZ174)</f>
        <v>#NAME?</v>
      </c>
      <c r="D174" s="523" t="e">
        <f ca="1">gr('calcul-stats'!BA174)</f>
        <v>#NAME?</v>
      </c>
      <c r="E174" s="523" t="e">
        <f ca="1">gr('calcul-stats'!BB174)</f>
        <v>#NAME?</v>
      </c>
      <c r="F174" s="523" t="e">
        <f ca="1">gr('calcul-stats'!BC174)</f>
        <v>#NAME?</v>
      </c>
      <c r="G174" s="524" t="e">
        <f t="shared" ca="1" si="2"/>
        <v>#NAME?</v>
      </c>
      <c r="H174" s="523"/>
      <c r="I174" s="523"/>
      <c r="J174" s="523"/>
      <c r="K174" s="523"/>
      <c r="L174" s="523"/>
      <c r="M174" s="523"/>
      <c r="N174" s="523"/>
      <c r="O174" s="523"/>
    </row>
    <row r="175" spans="1:15" x14ac:dyDescent="0.2">
      <c r="A175" s="222">
        <f>calculs!A175</f>
        <v>44726</v>
      </c>
      <c r="B175" s="523" t="e">
        <f ca="1">gr('calcul-stats'!AY175)</f>
        <v>#NAME?</v>
      </c>
      <c r="C175" s="523" t="e">
        <f ca="1">gr('calcul-stats'!AZ175)</f>
        <v>#NAME?</v>
      </c>
      <c r="D175" s="523" t="e">
        <f ca="1">gr('calcul-stats'!BA175)</f>
        <v>#NAME?</v>
      </c>
      <c r="E175" s="523" t="e">
        <f ca="1">gr('calcul-stats'!BB175)</f>
        <v>#NAME?</v>
      </c>
      <c r="F175" s="523" t="e">
        <f ca="1">gr('calcul-stats'!BC175)</f>
        <v>#NAME?</v>
      </c>
      <c r="G175" s="524" t="e">
        <f t="shared" ca="1" si="2"/>
        <v>#NAME?</v>
      </c>
      <c r="H175" s="523"/>
      <c r="I175" s="523"/>
      <c r="J175" s="523"/>
      <c r="K175" s="523"/>
      <c r="L175" s="523"/>
      <c r="M175" s="523"/>
      <c r="N175" s="523"/>
      <c r="O175" s="523"/>
    </row>
    <row r="176" spans="1:15" x14ac:dyDescent="0.2">
      <c r="A176" s="222">
        <f>calculs!A176</f>
        <v>44727</v>
      </c>
      <c r="B176" s="523" t="e">
        <f ca="1">gr('calcul-stats'!AY176)</f>
        <v>#NAME?</v>
      </c>
      <c r="C176" s="523" t="e">
        <f ca="1">gr('calcul-stats'!AZ176)</f>
        <v>#NAME?</v>
      </c>
      <c r="D176" s="523" t="e">
        <f ca="1">gr('calcul-stats'!BA176)</f>
        <v>#NAME?</v>
      </c>
      <c r="E176" s="523" t="e">
        <f ca="1">gr('calcul-stats'!BB176)</f>
        <v>#NAME?</v>
      </c>
      <c r="F176" s="523" t="e">
        <f ca="1">gr('calcul-stats'!BC176)</f>
        <v>#NAME?</v>
      </c>
      <c r="G176" s="524" t="e">
        <f t="shared" ca="1" si="2"/>
        <v>#NAME?</v>
      </c>
      <c r="H176" s="523"/>
      <c r="I176" s="523"/>
      <c r="J176" s="523"/>
      <c r="K176" s="523"/>
      <c r="L176" s="523"/>
      <c r="M176" s="523"/>
      <c r="N176" s="523"/>
      <c r="O176" s="523"/>
    </row>
    <row r="177" spans="1:15" x14ac:dyDescent="0.2">
      <c r="A177" s="222">
        <f>calculs!A177</f>
        <v>44728</v>
      </c>
      <c r="B177" s="523" t="e">
        <f ca="1">gr('calcul-stats'!AY177)</f>
        <v>#NAME?</v>
      </c>
      <c r="C177" s="523" t="e">
        <f ca="1">gr('calcul-stats'!AZ177)</f>
        <v>#NAME?</v>
      </c>
      <c r="D177" s="523" t="e">
        <f ca="1">gr('calcul-stats'!BA177)</f>
        <v>#NAME?</v>
      </c>
      <c r="E177" s="523" t="e">
        <f ca="1">gr('calcul-stats'!BB177)</f>
        <v>#NAME?</v>
      </c>
      <c r="F177" s="523" t="e">
        <f ca="1">gr('calcul-stats'!BC177)</f>
        <v>#NAME?</v>
      </c>
      <c r="G177" s="524" t="e">
        <f t="shared" ca="1" si="2"/>
        <v>#NAME?</v>
      </c>
      <c r="H177" s="523"/>
      <c r="I177" s="523"/>
      <c r="J177" s="523"/>
      <c r="K177" s="523"/>
      <c r="L177" s="523"/>
      <c r="M177" s="523"/>
      <c r="N177" s="523"/>
      <c r="O177" s="523"/>
    </row>
    <row r="178" spans="1:15" x14ac:dyDescent="0.2">
      <c r="A178" s="222">
        <f>calculs!A178</f>
        <v>44729</v>
      </c>
      <c r="B178" s="523" t="e">
        <f ca="1">gr('calcul-stats'!AY178)</f>
        <v>#NAME?</v>
      </c>
      <c r="C178" s="523" t="e">
        <f ca="1">gr('calcul-stats'!AZ178)</f>
        <v>#NAME?</v>
      </c>
      <c r="D178" s="523" t="e">
        <f ca="1">gr('calcul-stats'!BA178)</f>
        <v>#NAME?</v>
      </c>
      <c r="E178" s="523" t="e">
        <f ca="1">gr('calcul-stats'!BB178)</f>
        <v>#NAME?</v>
      </c>
      <c r="F178" s="523" t="e">
        <f ca="1">gr('calcul-stats'!BC178)</f>
        <v>#NAME?</v>
      </c>
      <c r="G178" s="524" t="e">
        <f t="shared" ca="1" si="2"/>
        <v>#NAME?</v>
      </c>
      <c r="H178" s="523"/>
      <c r="I178" s="523"/>
      <c r="J178" s="523"/>
      <c r="K178" s="523"/>
      <c r="L178" s="523"/>
      <c r="M178" s="523"/>
      <c r="N178" s="523"/>
      <c r="O178" s="523"/>
    </row>
    <row r="179" spans="1:15" x14ac:dyDescent="0.2">
      <c r="A179" s="222">
        <f>calculs!A179</f>
        <v>44730</v>
      </c>
      <c r="B179" s="523" t="e">
        <f ca="1">gr('calcul-stats'!AY179)</f>
        <v>#NAME?</v>
      </c>
      <c r="C179" s="523" t="e">
        <f ca="1">gr('calcul-stats'!AZ179)</f>
        <v>#NAME?</v>
      </c>
      <c r="D179" s="523" t="e">
        <f ca="1">gr('calcul-stats'!BA179)</f>
        <v>#NAME?</v>
      </c>
      <c r="E179" s="523" t="e">
        <f ca="1">gr('calcul-stats'!BB179)</f>
        <v>#NAME?</v>
      </c>
      <c r="F179" s="523" t="e">
        <f ca="1">gr('calcul-stats'!BC179)</f>
        <v>#NAME?</v>
      </c>
      <c r="G179" s="524" t="e">
        <f t="shared" ca="1" si="2"/>
        <v>#NAME?</v>
      </c>
      <c r="H179" s="523"/>
      <c r="I179" s="523"/>
      <c r="J179" s="523"/>
      <c r="K179" s="523"/>
      <c r="L179" s="523"/>
      <c r="M179" s="523"/>
      <c r="N179" s="523"/>
      <c r="O179" s="523"/>
    </row>
    <row r="180" spans="1:15" x14ac:dyDescent="0.2">
      <c r="A180" s="222">
        <f>calculs!A180</f>
        <v>44731</v>
      </c>
      <c r="B180" s="523" t="e">
        <f ca="1">gr('calcul-stats'!AY180)</f>
        <v>#NAME?</v>
      </c>
      <c r="C180" s="523" t="e">
        <f ca="1">gr('calcul-stats'!AZ180)</f>
        <v>#NAME?</v>
      </c>
      <c r="D180" s="523" t="e">
        <f ca="1">gr('calcul-stats'!BA180)</f>
        <v>#NAME?</v>
      </c>
      <c r="E180" s="523" t="e">
        <f ca="1">gr('calcul-stats'!BB180)</f>
        <v>#NAME?</v>
      </c>
      <c r="F180" s="523" t="e">
        <f ca="1">gr('calcul-stats'!BC180)</f>
        <v>#NAME?</v>
      </c>
      <c r="G180" s="524" t="e">
        <f t="shared" ca="1" si="2"/>
        <v>#NAME?</v>
      </c>
      <c r="H180" s="523"/>
      <c r="I180" s="523"/>
      <c r="J180" s="523"/>
      <c r="K180" s="523"/>
      <c r="L180" s="523"/>
      <c r="M180" s="523"/>
      <c r="N180" s="523"/>
      <c r="O180" s="523"/>
    </row>
    <row r="181" spans="1:15" x14ac:dyDescent="0.2">
      <c r="A181" s="222">
        <f>calculs!A181</f>
        <v>44732</v>
      </c>
      <c r="B181" s="523" t="e">
        <f ca="1">gr('calcul-stats'!AY181)</f>
        <v>#NAME?</v>
      </c>
      <c r="C181" s="523" t="e">
        <f ca="1">gr('calcul-stats'!AZ181)</f>
        <v>#NAME?</v>
      </c>
      <c r="D181" s="523" t="e">
        <f ca="1">gr('calcul-stats'!BA181)</f>
        <v>#NAME?</v>
      </c>
      <c r="E181" s="523" t="e">
        <f ca="1">gr('calcul-stats'!BB181)</f>
        <v>#NAME?</v>
      </c>
      <c r="F181" s="523" t="e">
        <f ca="1">gr('calcul-stats'!BC181)</f>
        <v>#NAME?</v>
      </c>
      <c r="G181" s="524" t="e">
        <f t="shared" ca="1" si="2"/>
        <v>#NAME?</v>
      </c>
      <c r="H181" s="523"/>
      <c r="I181" s="523"/>
      <c r="J181" s="523"/>
      <c r="K181" s="523"/>
      <c r="L181" s="523"/>
      <c r="M181" s="523"/>
      <c r="N181" s="523"/>
      <c r="O181" s="523"/>
    </row>
    <row r="182" spans="1:15" x14ac:dyDescent="0.2">
      <c r="A182" s="222">
        <f>calculs!A182</f>
        <v>44733</v>
      </c>
      <c r="B182" s="523" t="e">
        <f ca="1">gr('calcul-stats'!AY182)</f>
        <v>#NAME?</v>
      </c>
      <c r="C182" s="523" t="e">
        <f ca="1">gr('calcul-stats'!AZ182)</f>
        <v>#NAME?</v>
      </c>
      <c r="D182" s="523" t="e">
        <f ca="1">gr('calcul-stats'!BA182)</f>
        <v>#NAME?</v>
      </c>
      <c r="E182" s="523" t="e">
        <f ca="1">gr('calcul-stats'!BB182)</f>
        <v>#NAME?</v>
      </c>
      <c r="F182" s="523" t="e">
        <f ca="1">gr('calcul-stats'!BC182)</f>
        <v>#NAME?</v>
      </c>
      <c r="G182" s="524" t="e">
        <f t="shared" ca="1" si="2"/>
        <v>#NAME?</v>
      </c>
      <c r="H182" s="523"/>
      <c r="I182" s="523"/>
      <c r="J182" s="523"/>
      <c r="K182" s="523"/>
      <c r="L182" s="523"/>
      <c r="M182" s="523"/>
      <c r="N182" s="523"/>
      <c r="O182" s="523"/>
    </row>
    <row r="183" spans="1:15" x14ac:dyDescent="0.2">
      <c r="A183" s="222">
        <f>calculs!A183</f>
        <v>44734</v>
      </c>
      <c r="B183" s="523" t="e">
        <f ca="1">gr('calcul-stats'!AY183)</f>
        <v>#NAME?</v>
      </c>
      <c r="C183" s="523" t="e">
        <f ca="1">gr('calcul-stats'!AZ183)</f>
        <v>#NAME?</v>
      </c>
      <c r="D183" s="523" t="e">
        <f ca="1">gr('calcul-stats'!BA183)</f>
        <v>#NAME?</v>
      </c>
      <c r="E183" s="523" t="e">
        <f ca="1">gr('calcul-stats'!BB183)</f>
        <v>#NAME?</v>
      </c>
      <c r="F183" s="523" t="e">
        <f ca="1">gr('calcul-stats'!BC183)</f>
        <v>#NAME?</v>
      </c>
      <c r="G183" s="524" t="e">
        <f t="shared" ca="1" si="2"/>
        <v>#NAME?</v>
      </c>
      <c r="H183" s="523"/>
      <c r="I183" s="523"/>
      <c r="J183" s="523"/>
      <c r="K183" s="523"/>
      <c r="L183" s="523"/>
      <c r="M183" s="523"/>
      <c r="N183" s="523"/>
      <c r="O183" s="523"/>
    </row>
    <row r="184" spans="1:15" x14ac:dyDescent="0.2">
      <c r="A184" s="222">
        <f>calculs!A184</f>
        <v>44735</v>
      </c>
      <c r="B184" s="523" t="e">
        <f ca="1">gr('calcul-stats'!AY184)</f>
        <v>#NAME?</v>
      </c>
      <c r="C184" s="523" t="e">
        <f ca="1">gr('calcul-stats'!AZ184)</f>
        <v>#NAME?</v>
      </c>
      <c r="D184" s="523" t="e">
        <f ca="1">gr('calcul-stats'!BA184)</f>
        <v>#NAME?</v>
      </c>
      <c r="E184" s="523" t="e">
        <f ca="1">gr('calcul-stats'!BB184)</f>
        <v>#NAME?</v>
      </c>
      <c r="F184" s="523" t="e">
        <f ca="1">gr('calcul-stats'!BC184)</f>
        <v>#NAME?</v>
      </c>
      <c r="G184" s="524" t="e">
        <f t="shared" ca="1" si="2"/>
        <v>#NAME?</v>
      </c>
      <c r="H184" s="523"/>
      <c r="I184" s="523"/>
      <c r="J184" s="523"/>
      <c r="K184" s="523"/>
      <c r="L184" s="523"/>
      <c r="M184" s="523"/>
      <c r="N184" s="523"/>
      <c r="O184" s="523"/>
    </row>
    <row r="185" spans="1:15" x14ac:dyDescent="0.2">
      <c r="A185" s="222">
        <f>calculs!A185</f>
        <v>44736</v>
      </c>
      <c r="B185" s="523" t="e">
        <f ca="1">gr('calcul-stats'!AY185)</f>
        <v>#NAME?</v>
      </c>
      <c r="C185" s="523" t="e">
        <f ca="1">gr('calcul-stats'!AZ185)</f>
        <v>#NAME?</v>
      </c>
      <c r="D185" s="523" t="e">
        <f ca="1">gr('calcul-stats'!BA185)</f>
        <v>#NAME?</v>
      </c>
      <c r="E185" s="523" t="e">
        <f ca="1">gr('calcul-stats'!BB185)</f>
        <v>#NAME?</v>
      </c>
      <c r="F185" s="523" t="e">
        <f ca="1">gr('calcul-stats'!BC185)</f>
        <v>#NAME?</v>
      </c>
      <c r="G185" s="524" t="e">
        <f t="shared" ca="1" si="2"/>
        <v>#NAME?</v>
      </c>
      <c r="H185" s="523"/>
      <c r="I185" s="523"/>
      <c r="J185" s="523"/>
      <c r="K185" s="523"/>
      <c r="L185" s="523"/>
      <c r="M185" s="523"/>
      <c r="N185" s="523"/>
      <c r="O185" s="523"/>
    </row>
    <row r="186" spans="1:15" x14ac:dyDescent="0.2">
      <c r="A186" s="222">
        <f>calculs!A186</f>
        <v>44737</v>
      </c>
      <c r="B186" s="523" t="e">
        <f ca="1">gr('calcul-stats'!AY186)</f>
        <v>#NAME?</v>
      </c>
      <c r="C186" s="523" t="e">
        <f ca="1">gr('calcul-stats'!AZ186)</f>
        <v>#NAME?</v>
      </c>
      <c r="D186" s="523" t="e">
        <f ca="1">gr('calcul-stats'!BA186)</f>
        <v>#NAME?</v>
      </c>
      <c r="E186" s="523" t="e">
        <f ca="1">gr('calcul-stats'!BB186)</f>
        <v>#NAME?</v>
      </c>
      <c r="F186" s="523" t="e">
        <f ca="1">gr('calcul-stats'!BC186)</f>
        <v>#NAME?</v>
      </c>
      <c r="G186" s="524" t="e">
        <f t="shared" ca="1" si="2"/>
        <v>#NAME?</v>
      </c>
      <c r="H186" s="523"/>
      <c r="I186" s="523"/>
      <c r="J186" s="523"/>
      <c r="K186" s="523"/>
      <c r="L186" s="523"/>
      <c r="M186" s="523"/>
      <c r="N186" s="523"/>
      <c r="O186" s="523"/>
    </row>
    <row r="187" spans="1:15" x14ac:dyDescent="0.2">
      <c r="A187" s="222">
        <f>calculs!A187</f>
        <v>44738</v>
      </c>
      <c r="B187" s="523" t="e">
        <f ca="1">gr('calcul-stats'!AY187)</f>
        <v>#NAME?</v>
      </c>
      <c r="C187" s="523" t="e">
        <f ca="1">gr('calcul-stats'!AZ187)</f>
        <v>#NAME?</v>
      </c>
      <c r="D187" s="523" t="e">
        <f ca="1">gr('calcul-stats'!BA187)</f>
        <v>#NAME?</v>
      </c>
      <c r="E187" s="523" t="e">
        <f ca="1">gr('calcul-stats'!BB187)</f>
        <v>#NAME?</v>
      </c>
      <c r="F187" s="523" t="e">
        <f ca="1">gr('calcul-stats'!BC187)</f>
        <v>#NAME?</v>
      </c>
      <c r="G187" s="524" t="e">
        <f t="shared" ca="1" si="2"/>
        <v>#NAME?</v>
      </c>
      <c r="H187" s="523"/>
      <c r="I187" s="523"/>
      <c r="J187" s="523"/>
      <c r="K187" s="523"/>
      <c r="L187" s="523"/>
      <c r="M187" s="523"/>
      <c r="N187" s="523"/>
      <c r="O187" s="523"/>
    </row>
    <row r="188" spans="1:15" x14ac:dyDescent="0.2">
      <c r="A188" s="222">
        <f>calculs!A188</f>
        <v>44739</v>
      </c>
      <c r="B188" s="523" t="e">
        <f ca="1">gr('calcul-stats'!AY188)</f>
        <v>#NAME?</v>
      </c>
      <c r="C188" s="523" t="e">
        <f ca="1">gr('calcul-stats'!AZ188)</f>
        <v>#NAME?</v>
      </c>
      <c r="D188" s="523" t="e">
        <f ca="1">gr('calcul-stats'!BA188)</f>
        <v>#NAME?</v>
      </c>
      <c r="E188" s="523" t="e">
        <f ca="1">gr('calcul-stats'!BB188)</f>
        <v>#NAME?</v>
      </c>
      <c r="F188" s="523" t="e">
        <f ca="1">gr('calcul-stats'!BC188)</f>
        <v>#NAME?</v>
      </c>
      <c r="G188" s="524" t="e">
        <f t="shared" ca="1" si="2"/>
        <v>#NAME?</v>
      </c>
      <c r="H188" s="523"/>
      <c r="I188" s="523"/>
      <c r="J188" s="523"/>
      <c r="K188" s="523"/>
      <c r="L188" s="523"/>
      <c r="M188" s="523"/>
      <c r="N188" s="523"/>
      <c r="O188" s="523"/>
    </row>
    <row r="189" spans="1:15" x14ac:dyDescent="0.2">
      <c r="A189" s="222">
        <f>calculs!A189</f>
        <v>44740</v>
      </c>
      <c r="B189" s="523" t="e">
        <f ca="1">gr('calcul-stats'!AY189)</f>
        <v>#NAME?</v>
      </c>
      <c r="C189" s="523" t="e">
        <f ca="1">gr('calcul-stats'!AZ189)</f>
        <v>#NAME?</v>
      </c>
      <c r="D189" s="523" t="e">
        <f ca="1">gr('calcul-stats'!BA189)</f>
        <v>#NAME?</v>
      </c>
      <c r="E189" s="523" t="e">
        <f ca="1">gr('calcul-stats'!BB189)</f>
        <v>#NAME?</v>
      </c>
      <c r="F189" s="523" t="e">
        <f ca="1">gr('calcul-stats'!BC189)</f>
        <v>#NAME?</v>
      </c>
      <c r="G189" s="524" t="e">
        <f t="shared" ca="1" si="2"/>
        <v>#NAME?</v>
      </c>
      <c r="H189" s="523"/>
      <c r="I189" s="523"/>
      <c r="J189" s="523"/>
      <c r="K189" s="523"/>
      <c r="L189" s="523"/>
      <c r="M189" s="523"/>
      <c r="N189" s="523"/>
      <c r="O189" s="523"/>
    </row>
    <row r="190" spans="1:15" x14ac:dyDescent="0.2">
      <c r="A190" s="222">
        <f>calculs!A190</f>
        <v>44741</v>
      </c>
      <c r="B190" s="523" t="e">
        <f ca="1">gr('calcul-stats'!AY190)</f>
        <v>#NAME?</v>
      </c>
      <c r="C190" s="523" t="e">
        <f ca="1">gr('calcul-stats'!AZ190)</f>
        <v>#NAME?</v>
      </c>
      <c r="D190" s="523" t="e">
        <f ca="1">gr('calcul-stats'!BA190)</f>
        <v>#NAME?</v>
      </c>
      <c r="E190" s="523" t="e">
        <f ca="1">gr('calcul-stats'!BB190)</f>
        <v>#NAME?</v>
      </c>
      <c r="F190" s="523" t="e">
        <f ca="1">gr('calcul-stats'!BC190)</f>
        <v>#NAME?</v>
      </c>
      <c r="G190" s="524" t="e">
        <f t="shared" ca="1" si="2"/>
        <v>#NAME?</v>
      </c>
      <c r="H190" s="523"/>
      <c r="I190" s="523"/>
      <c r="J190" s="523"/>
      <c r="K190" s="523"/>
      <c r="L190" s="523"/>
      <c r="M190" s="523"/>
      <c r="N190" s="523"/>
      <c r="O190" s="523"/>
    </row>
    <row r="191" spans="1:15" x14ac:dyDescent="0.2">
      <c r="A191" s="222">
        <f>calculs!A191</f>
        <v>44742</v>
      </c>
      <c r="B191" s="523" t="e">
        <f ca="1">gr('calcul-stats'!AY191)</f>
        <v>#NAME?</v>
      </c>
      <c r="C191" s="523" t="e">
        <f ca="1">gr('calcul-stats'!AZ191)</f>
        <v>#NAME?</v>
      </c>
      <c r="D191" s="523" t="e">
        <f ca="1">gr('calcul-stats'!BA191)</f>
        <v>#NAME?</v>
      </c>
      <c r="E191" s="523" t="e">
        <f ca="1">gr('calcul-stats'!BB191)</f>
        <v>#NAME?</v>
      </c>
      <c r="F191" s="523" t="e">
        <f ca="1">gr('calcul-stats'!BC191)</f>
        <v>#NAME?</v>
      </c>
      <c r="G191" s="524" t="e">
        <f t="shared" ca="1" si="2"/>
        <v>#NAME?</v>
      </c>
      <c r="H191" s="523"/>
      <c r="I191" s="523"/>
      <c r="J191" s="523"/>
      <c r="K191" s="523"/>
      <c r="L191" s="523"/>
      <c r="M191" s="523"/>
      <c r="N191" s="523"/>
      <c r="O191" s="523"/>
    </row>
    <row r="192" spans="1:15" x14ac:dyDescent="0.2">
      <c r="A192" s="222">
        <f>calculs!A192</f>
        <v>44743</v>
      </c>
      <c r="B192" s="523" t="e">
        <f ca="1">gr('calcul-stats'!AY192)</f>
        <v>#NAME?</v>
      </c>
      <c r="C192" s="523" t="e">
        <f ca="1">gr('calcul-stats'!AZ192)</f>
        <v>#NAME?</v>
      </c>
      <c r="D192" s="523" t="e">
        <f ca="1">gr('calcul-stats'!BA192)</f>
        <v>#NAME?</v>
      </c>
      <c r="E192" s="523" t="e">
        <f ca="1">gr('calcul-stats'!BB192)</f>
        <v>#NAME?</v>
      </c>
      <c r="F192" s="523" t="e">
        <f ca="1">gr('calcul-stats'!BC192)</f>
        <v>#NAME?</v>
      </c>
      <c r="G192" s="524" t="e">
        <f t="shared" ca="1" si="2"/>
        <v>#NAME?</v>
      </c>
      <c r="H192" s="523"/>
      <c r="I192" s="523"/>
      <c r="J192" s="523"/>
      <c r="K192" s="523"/>
      <c r="L192" s="523"/>
      <c r="M192" s="523"/>
      <c r="N192" s="523"/>
      <c r="O192" s="523"/>
    </row>
    <row r="193" spans="1:15" x14ac:dyDescent="0.2">
      <c r="A193" s="222">
        <f>calculs!A193</f>
        <v>44744</v>
      </c>
      <c r="B193" s="523" t="e">
        <f ca="1">gr('calcul-stats'!AY193)</f>
        <v>#NAME?</v>
      </c>
      <c r="C193" s="523" t="e">
        <f ca="1">gr('calcul-stats'!AZ193)</f>
        <v>#NAME?</v>
      </c>
      <c r="D193" s="523" t="e">
        <f ca="1">gr('calcul-stats'!BA193)</f>
        <v>#NAME?</v>
      </c>
      <c r="E193" s="523" t="e">
        <f ca="1">gr('calcul-stats'!BB193)</f>
        <v>#NAME?</v>
      </c>
      <c r="F193" s="523" t="e">
        <f ca="1">gr('calcul-stats'!BC193)</f>
        <v>#NAME?</v>
      </c>
      <c r="G193" s="524" t="e">
        <f t="shared" ca="1" si="2"/>
        <v>#NAME?</v>
      </c>
      <c r="H193" s="523"/>
      <c r="I193" s="523"/>
      <c r="J193" s="523"/>
      <c r="K193" s="523"/>
      <c r="L193" s="523"/>
      <c r="M193" s="523"/>
      <c r="N193" s="523"/>
      <c r="O193" s="523"/>
    </row>
    <row r="194" spans="1:15" x14ac:dyDescent="0.2">
      <c r="A194" s="222">
        <f>calculs!A194</f>
        <v>44745</v>
      </c>
      <c r="B194" s="523" t="e">
        <f ca="1">gr('calcul-stats'!AY194)</f>
        <v>#NAME?</v>
      </c>
      <c r="C194" s="523" t="e">
        <f ca="1">gr('calcul-stats'!AZ194)</f>
        <v>#NAME?</v>
      </c>
      <c r="D194" s="523" t="e">
        <f ca="1">gr('calcul-stats'!BA194)</f>
        <v>#NAME?</v>
      </c>
      <c r="E194" s="523" t="e">
        <f ca="1">gr('calcul-stats'!BB194)</f>
        <v>#NAME?</v>
      </c>
      <c r="F194" s="523" t="e">
        <f ca="1">gr('calcul-stats'!BC194)</f>
        <v>#NAME?</v>
      </c>
      <c r="G194" s="524" t="e">
        <f t="shared" ca="1" si="2"/>
        <v>#NAME?</v>
      </c>
      <c r="H194" s="523"/>
      <c r="I194" s="523"/>
      <c r="J194" s="523"/>
      <c r="K194" s="523"/>
      <c r="L194" s="523"/>
      <c r="M194" s="523"/>
      <c r="N194" s="523"/>
      <c r="O194" s="523"/>
    </row>
    <row r="195" spans="1:15" x14ac:dyDescent="0.2">
      <c r="A195" s="222">
        <f>calculs!A195</f>
        <v>44746</v>
      </c>
      <c r="B195" s="523" t="e">
        <f ca="1">gr('calcul-stats'!AY195)</f>
        <v>#NAME?</v>
      </c>
      <c r="C195" s="523" t="e">
        <f ca="1">gr('calcul-stats'!AZ195)</f>
        <v>#NAME?</v>
      </c>
      <c r="D195" s="523" t="e">
        <f ca="1">gr('calcul-stats'!BA195)</f>
        <v>#NAME?</v>
      </c>
      <c r="E195" s="523" t="e">
        <f ca="1">gr('calcul-stats'!BB195)</f>
        <v>#NAME?</v>
      </c>
      <c r="F195" s="523" t="e">
        <f ca="1">gr('calcul-stats'!BC195)</f>
        <v>#NAME?</v>
      </c>
      <c r="G195" s="524" t="e">
        <f t="shared" ca="1" si="2"/>
        <v>#NAME?</v>
      </c>
      <c r="H195" s="523"/>
      <c r="I195" s="523"/>
      <c r="J195" s="523"/>
      <c r="K195" s="523"/>
      <c r="L195" s="523"/>
      <c r="M195" s="523"/>
      <c r="N195" s="523"/>
      <c r="O195" s="523"/>
    </row>
    <row r="196" spans="1:15" x14ac:dyDescent="0.2">
      <c r="A196" s="222">
        <f>calculs!A196</f>
        <v>44747</v>
      </c>
      <c r="B196" s="523" t="e">
        <f ca="1">gr('calcul-stats'!AY196)</f>
        <v>#NAME?</v>
      </c>
      <c r="C196" s="523" t="e">
        <f ca="1">gr('calcul-stats'!AZ196)</f>
        <v>#NAME?</v>
      </c>
      <c r="D196" s="523" t="e">
        <f ca="1">gr('calcul-stats'!BA196)</f>
        <v>#NAME?</v>
      </c>
      <c r="E196" s="523" t="e">
        <f ca="1">gr('calcul-stats'!BB196)</f>
        <v>#NAME?</v>
      </c>
      <c r="F196" s="523" t="e">
        <f ca="1">gr('calcul-stats'!BC196)</f>
        <v>#NAME?</v>
      </c>
      <c r="G196" s="524" t="e">
        <f t="shared" ca="1" si="2"/>
        <v>#NAME?</v>
      </c>
      <c r="H196" s="523"/>
      <c r="I196" s="523"/>
      <c r="J196" s="523"/>
      <c r="K196" s="523"/>
      <c r="L196" s="523"/>
      <c r="M196" s="523"/>
      <c r="N196" s="523"/>
      <c r="O196" s="523"/>
    </row>
    <row r="197" spans="1:15" x14ac:dyDescent="0.2">
      <c r="A197" s="222">
        <f>calculs!A197</f>
        <v>44748</v>
      </c>
      <c r="B197" s="523" t="e">
        <f ca="1">gr('calcul-stats'!AY197)</f>
        <v>#NAME?</v>
      </c>
      <c r="C197" s="523" t="e">
        <f ca="1">gr('calcul-stats'!AZ197)</f>
        <v>#NAME?</v>
      </c>
      <c r="D197" s="523" t="e">
        <f ca="1">gr('calcul-stats'!BA197)</f>
        <v>#NAME?</v>
      </c>
      <c r="E197" s="523" t="e">
        <f ca="1">gr('calcul-stats'!BB197)</f>
        <v>#NAME?</v>
      </c>
      <c r="F197" s="523" t="e">
        <f ca="1">gr('calcul-stats'!BC197)</f>
        <v>#NAME?</v>
      </c>
      <c r="G197" s="524" t="e">
        <f t="shared" ca="1" si="2"/>
        <v>#NAME?</v>
      </c>
      <c r="H197" s="523"/>
      <c r="I197" s="523"/>
      <c r="J197" s="523"/>
      <c r="K197" s="523"/>
      <c r="L197" s="523"/>
      <c r="M197" s="523"/>
      <c r="N197" s="523"/>
      <c r="O197" s="523"/>
    </row>
    <row r="198" spans="1:15" x14ac:dyDescent="0.2">
      <c r="A198" s="222">
        <f>calculs!A198</f>
        <v>44749</v>
      </c>
      <c r="B198" s="523" t="e">
        <f ca="1">gr('calcul-stats'!AY198)</f>
        <v>#NAME?</v>
      </c>
      <c r="C198" s="523" t="e">
        <f ca="1">gr('calcul-stats'!AZ198)</f>
        <v>#NAME?</v>
      </c>
      <c r="D198" s="523" t="e">
        <f ca="1">gr('calcul-stats'!BA198)</f>
        <v>#NAME?</v>
      </c>
      <c r="E198" s="523" t="e">
        <f ca="1">gr('calcul-stats'!BB198)</f>
        <v>#NAME?</v>
      </c>
      <c r="F198" s="523" t="e">
        <f ca="1">gr('calcul-stats'!BC198)</f>
        <v>#NAME?</v>
      </c>
      <c r="G198" s="524" t="e">
        <f t="shared" ca="1" si="2"/>
        <v>#NAME?</v>
      </c>
      <c r="H198" s="523"/>
      <c r="I198" s="523"/>
      <c r="J198" s="523"/>
      <c r="K198" s="523"/>
      <c r="L198" s="523"/>
      <c r="M198" s="523"/>
      <c r="N198" s="523"/>
      <c r="O198" s="523"/>
    </row>
    <row r="199" spans="1:15" x14ac:dyDescent="0.2">
      <c r="A199" s="222">
        <f>calculs!A199</f>
        <v>44750</v>
      </c>
      <c r="B199" s="523" t="e">
        <f ca="1">gr('calcul-stats'!AY199)</f>
        <v>#NAME?</v>
      </c>
      <c r="C199" s="523" t="e">
        <f ca="1">gr('calcul-stats'!AZ199)</f>
        <v>#NAME?</v>
      </c>
      <c r="D199" s="523" t="e">
        <f ca="1">gr('calcul-stats'!BA199)</f>
        <v>#NAME?</v>
      </c>
      <c r="E199" s="523" t="e">
        <f ca="1">gr('calcul-stats'!BB199)</f>
        <v>#NAME?</v>
      </c>
      <c r="F199" s="523" t="e">
        <f ca="1">gr('calcul-stats'!BC199)</f>
        <v>#NAME?</v>
      </c>
      <c r="G199" s="524" t="e">
        <f t="shared" ca="1" si="2"/>
        <v>#NAME?</v>
      </c>
      <c r="H199" s="523"/>
      <c r="I199" s="523"/>
      <c r="J199" s="523"/>
      <c r="K199" s="523"/>
      <c r="L199" s="523"/>
      <c r="M199" s="523"/>
      <c r="N199" s="523"/>
      <c r="O199" s="523"/>
    </row>
    <row r="200" spans="1:15" x14ac:dyDescent="0.2">
      <c r="A200" s="222">
        <f>calculs!A200</f>
        <v>44751</v>
      </c>
      <c r="B200" s="523" t="e">
        <f ca="1">gr('calcul-stats'!AY200)</f>
        <v>#NAME?</v>
      </c>
      <c r="C200" s="523" t="e">
        <f ca="1">gr('calcul-stats'!AZ200)</f>
        <v>#NAME?</v>
      </c>
      <c r="D200" s="523" t="e">
        <f ca="1">gr('calcul-stats'!BA200)</f>
        <v>#NAME?</v>
      </c>
      <c r="E200" s="523" t="e">
        <f ca="1">gr('calcul-stats'!BB200)</f>
        <v>#NAME?</v>
      </c>
      <c r="F200" s="523" t="e">
        <f ca="1">gr('calcul-stats'!BC200)</f>
        <v>#NAME?</v>
      </c>
      <c r="G200" s="524" t="e">
        <f t="shared" ca="1" si="2"/>
        <v>#NAME?</v>
      </c>
      <c r="H200" s="523"/>
      <c r="I200" s="523"/>
      <c r="J200" s="523"/>
      <c r="K200" s="523"/>
      <c r="L200" s="523"/>
      <c r="M200" s="523"/>
      <c r="N200" s="523"/>
      <c r="O200" s="523"/>
    </row>
    <row r="201" spans="1:15" x14ac:dyDescent="0.2">
      <c r="A201" s="222">
        <f>calculs!A201</f>
        <v>44752</v>
      </c>
      <c r="B201" s="523" t="e">
        <f ca="1">gr('calcul-stats'!AY201)</f>
        <v>#NAME?</v>
      </c>
      <c r="C201" s="523" t="e">
        <f ca="1">gr('calcul-stats'!AZ201)</f>
        <v>#NAME?</v>
      </c>
      <c r="D201" s="523" t="e">
        <f ca="1">gr('calcul-stats'!BA201)</f>
        <v>#NAME?</v>
      </c>
      <c r="E201" s="523" t="e">
        <f ca="1">gr('calcul-stats'!BB201)</f>
        <v>#NAME?</v>
      </c>
      <c r="F201" s="523" t="e">
        <f ca="1">gr('calcul-stats'!BC201)</f>
        <v>#NAME?</v>
      </c>
      <c r="G201" s="524" t="e">
        <f t="shared" ca="1" si="2"/>
        <v>#NAME?</v>
      </c>
      <c r="H201" s="523"/>
      <c r="I201" s="523"/>
      <c r="J201" s="523"/>
      <c r="K201" s="523"/>
      <c r="L201" s="523"/>
      <c r="M201" s="523"/>
      <c r="N201" s="523"/>
      <c r="O201" s="523"/>
    </row>
    <row r="202" spans="1:15" x14ac:dyDescent="0.2">
      <c r="A202" s="222">
        <f>calculs!A202</f>
        <v>44753</v>
      </c>
      <c r="B202" s="523" t="e">
        <f ca="1">gr('calcul-stats'!AY202)</f>
        <v>#NAME?</v>
      </c>
      <c r="C202" s="523" t="e">
        <f ca="1">gr('calcul-stats'!AZ202)</f>
        <v>#NAME?</v>
      </c>
      <c r="D202" s="523" t="e">
        <f ca="1">gr('calcul-stats'!BA202)</f>
        <v>#NAME?</v>
      </c>
      <c r="E202" s="523" t="e">
        <f ca="1">gr('calcul-stats'!BB202)</f>
        <v>#NAME?</v>
      </c>
      <c r="F202" s="523" t="e">
        <f ca="1">gr('calcul-stats'!BC202)</f>
        <v>#NAME?</v>
      </c>
      <c r="G202" s="524" t="e">
        <f t="shared" ca="1" si="2"/>
        <v>#NAME?</v>
      </c>
      <c r="H202" s="523"/>
      <c r="I202" s="523"/>
      <c r="J202" s="523"/>
      <c r="K202" s="523"/>
      <c r="L202" s="523"/>
      <c r="M202" s="523"/>
      <c r="N202" s="523"/>
      <c r="O202" s="523"/>
    </row>
    <row r="203" spans="1:15" x14ac:dyDescent="0.2">
      <c r="A203" s="222">
        <f>calculs!A203</f>
        <v>44754</v>
      </c>
      <c r="B203" s="523" t="e">
        <f ca="1">gr('calcul-stats'!AY203)</f>
        <v>#NAME?</v>
      </c>
      <c r="C203" s="523" t="e">
        <f ca="1">gr('calcul-stats'!AZ203)</f>
        <v>#NAME?</v>
      </c>
      <c r="D203" s="523" t="e">
        <f ca="1">gr('calcul-stats'!BA203)</f>
        <v>#NAME?</v>
      </c>
      <c r="E203" s="523" t="e">
        <f ca="1">gr('calcul-stats'!BB203)</f>
        <v>#NAME?</v>
      </c>
      <c r="F203" s="523" t="e">
        <f ca="1">gr('calcul-stats'!BC203)</f>
        <v>#NAME?</v>
      </c>
      <c r="G203" s="524" t="e">
        <f t="shared" ca="1" si="2"/>
        <v>#NAME?</v>
      </c>
      <c r="H203" s="523"/>
      <c r="I203" s="523"/>
      <c r="J203" s="523"/>
      <c r="K203" s="523"/>
      <c r="L203" s="523"/>
      <c r="M203" s="523"/>
      <c r="N203" s="523"/>
      <c r="O203" s="523"/>
    </row>
    <row r="204" spans="1:15" x14ac:dyDescent="0.2">
      <c r="A204" s="222">
        <f>calculs!A204</f>
        <v>44755</v>
      </c>
      <c r="B204" s="523" t="e">
        <f ca="1">gr('calcul-stats'!AY204)</f>
        <v>#NAME?</v>
      </c>
      <c r="C204" s="523" t="e">
        <f ca="1">gr('calcul-stats'!AZ204)</f>
        <v>#NAME?</v>
      </c>
      <c r="D204" s="523" t="e">
        <f ca="1">gr('calcul-stats'!BA204)</f>
        <v>#NAME?</v>
      </c>
      <c r="E204" s="523" t="e">
        <f ca="1">gr('calcul-stats'!BB204)</f>
        <v>#NAME?</v>
      </c>
      <c r="F204" s="523" t="e">
        <f ca="1">gr('calcul-stats'!BC204)</f>
        <v>#NAME?</v>
      </c>
      <c r="G204" s="524" t="e">
        <f t="shared" ref="G204:G267" ca="1" si="3">AVERAGE(B204:F204)</f>
        <v>#NAME?</v>
      </c>
      <c r="H204" s="523"/>
      <c r="I204" s="523"/>
      <c r="J204" s="523"/>
      <c r="K204" s="523"/>
      <c r="L204" s="523"/>
      <c r="M204" s="523"/>
      <c r="N204" s="523"/>
      <c r="O204" s="523"/>
    </row>
    <row r="205" spans="1:15" x14ac:dyDescent="0.2">
      <c r="A205" s="222">
        <f>calculs!A205</f>
        <v>44756</v>
      </c>
      <c r="B205" s="523" t="e">
        <f ca="1">gr('calcul-stats'!AY205)</f>
        <v>#NAME?</v>
      </c>
      <c r="C205" s="523" t="e">
        <f ca="1">gr('calcul-stats'!AZ205)</f>
        <v>#NAME?</v>
      </c>
      <c r="D205" s="523" t="e">
        <f ca="1">gr('calcul-stats'!BA205)</f>
        <v>#NAME?</v>
      </c>
      <c r="E205" s="523" t="e">
        <f ca="1">gr('calcul-stats'!BB205)</f>
        <v>#NAME?</v>
      </c>
      <c r="F205" s="523" t="e">
        <f ca="1">gr('calcul-stats'!BC205)</f>
        <v>#NAME?</v>
      </c>
      <c r="G205" s="524" t="e">
        <f t="shared" ca="1" si="3"/>
        <v>#NAME?</v>
      </c>
      <c r="H205" s="523"/>
      <c r="I205" s="523"/>
      <c r="J205" s="523"/>
      <c r="K205" s="523"/>
      <c r="L205" s="523"/>
      <c r="M205" s="523"/>
      <c r="N205" s="523"/>
      <c r="O205" s="523"/>
    </row>
    <row r="206" spans="1:15" x14ac:dyDescent="0.2">
      <c r="A206" s="222">
        <f>calculs!A206</f>
        <v>44757</v>
      </c>
      <c r="B206" s="523" t="e">
        <f ca="1">gr('calcul-stats'!AY206)</f>
        <v>#NAME?</v>
      </c>
      <c r="C206" s="523" t="e">
        <f ca="1">gr('calcul-stats'!AZ206)</f>
        <v>#NAME?</v>
      </c>
      <c r="D206" s="523" t="e">
        <f ca="1">gr('calcul-stats'!BA206)</f>
        <v>#NAME?</v>
      </c>
      <c r="E206" s="523" t="e">
        <f ca="1">gr('calcul-stats'!BB206)</f>
        <v>#NAME?</v>
      </c>
      <c r="F206" s="523" t="e">
        <f ca="1">gr('calcul-stats'!BC206)</f>
        <v>#NAME?</v>
      </c>
      <c r="G206" s="524" t="e">
        <f t="shared" ca="1" si="3"/>
        <v>#NAME?</v>
      </c>
      <c r="H206" s="523"/>
      <c r="I206" s="523"/>
      <c r="J206" s="523"/>
      <c r="K206" s="523"/>
      <c r="L206" s="523"/>
      <c r="M206" s="523"/>
      <c r="N206" s="523"/>
      <c r="O206" s="523"/>
    </row>
    <row r="207" spans="1:15" x14ac:dyDescent="0.2">
      <c r="A207" s="222">
        <f>calculs!A207</f>
        <v>44758</v>
      </c>
      <c r="B207" s="523" t="e">
        <f ca="1">gr('calcul-stats'!AY207)</f>
        <v>#NAME?</v>
      </c>
      <c r="C207" s="523" t="e">
        <f ca="1">gr('calcul-stats'!AZ207)</f>
        <v>#NAME?</v>
      </c>
      <c r="D207" s="523" t="e">
        <f ca="1">gr('calcul-stats'!BA207)</f>
        <v>#NAME?</v>
      </c>
      <c r="E207" s="523" t="e">
        <f ca="1">gr('calcul-stats'!BB207)</f>
        <v>#NAME?</v>
      </c>
      <c r="F207" s="523" t="e">
        <f ca="1">gr('calcul-stats'!BC207)</f>
        <v>#NAME?</v>
      </c>
      <c r="G207" s="524" t="e">
        <f t="shared" ca="1" si="3"/>
        <v>#NAME?</v>
      </c>
      <c r="H207" s="523"/>
      <c r="I207" s="523"/>
      <c r="J207" s="523"/>
      <c r="K207" s="523"/>
      <c r="L207" s="523"/>
      <c r="M207" s="523"/>
      <c r="N207" s="523"/>
      <c r="O207" s="523"/>
    </row>
    <row r="208" spans="1:15" x14ac:dyDescent="0.2">
      <c r="A208" s="222">
        <f>calculs!A208</f>
        <v>44759</v>
      </c>
      <c r="B208" s="523" t="e">
        <f ca="1">gr('calcul-stats'!AY208)</f>
        <v>#NAME?</v>
      </c>
      <c r="C208" s="523" t="e">
        <f ca="1">gr('calcul-stats'!AZ208)</f>
        <v>#NAME?</v>
      </c>
      <c r="D208" s="523" t="e">
        <f ca="1">gr('calcul-stats'!BA208)</f>
        <v>#NAME?</v>
      </c>
      <c r="E208" s="523" t="e">
        <f ca="1">gr('calcul-stats'!BB208)</f>
        <v>#NAME?</v>
      </c>
      <c r="F208" s="523" t="e">
        <f ca="1">gr('calcul-stats'!BC208)</f>
        <v>#NAME?</v>
      </c>
      <c r="G208" s="524" t="e">
        <f t="shared" ca="1" si="3"/>
        <v>#NAME?</v>
      </c>
      <c r="H208" s="523"/>
      <c r="I208" s="523"/>
      <c r="J208" s="523"/>
      <c r="K208" s="523"/>
      <c r="L208" s="523"/>
      <c r="M208" s="523"/>
      <c r="N208" s="523"/>
      <c r="O208" s="523"/>
    </row>
    <row r="209" spans="1:15" x14ac:dyDescent="0.2">
      <c r="A209" s="222">
        <f>calculs!A209</f>
        <v>44760</v>
      </c>
      <c r="B209" s="523" t="e">
        <f ca="1">gr('calcul-stats'!AY209)</f>
        <v>#NAME?</v>
      </c>
      <c r="C209" s="523" t="e">
        <f ca="1">gr('calcul-stats'!AZ209)</f>
        <v>#NAME?</v>
      </c>
      <c r="D209" s="523" t="e">
        <f ca="1">gr('calcul-stats'!BA209)</f>
        <v>#NAME?</v>
      </c>
      <c r="E209" s="523" t="e">
        <f ca="1">gr('calcul-stats'!BB209)</f>
        <v>#NAME?</v>
      </c>
      <c r="F209" s="523" t="e">
        <f ca="1">gr('calcul-stats'!BC209)</f>
        <v>#NAME?</v>
      </c>
      <c r="G209" s="524" t="e">
        <f t="shared" ca="1" si="3"/>
        <v>#NAME?</v>
      </c>
      <c r="H209" s="523"/>
      <c r="I209" s="523"/>
      <c r="J209" s="523"/>
      <c r="K209" s="523"/>
      <c r="L209" s="523"/>
      <c r="M209" s="523"/>
      <c r="N209" s="523"/>
      <c r="O209" s="523"/>
    </row>
    <row r="210" spans="1:15" x14ac:dyDescent="0.2">
      <c r="A210" s="222">
        <f>calculs!A210</f>
        <v>44761</v>
      </c>
      <c r="B210" s="523" t="e">
        <f ca="1">gr('calcul-stats'!AY210)</f>
        <v>#NAME?</v>
      </c>
      <c r="C210" s="523" t="e">
        <f ca="1">gr('calcul-stats'!AZ210)</f>
        <v>#NAME?</v>
      </c>
      <c r="D210" s="523" t="e">
        <f ca="1">gr('calcul-stats'!BA210)</f>
        <v>#NAME?</v>
      </c>
      <c r="E210" s="523" t="e">
        <f ca="1">gr('calcul-stats'!BB210)</f>
        <v>#NAME?</v>
      </c>
      <c r="F210" s="523" t="e">
        <f ca="1">gr('calcul-stats'!BC210)</f>
        <v>#NAME?</v>
      </c>
      <c r="G210" s="524" t="e">
        <f t="shared" ca="1" si="3"/>
        <v>#NAME?</v>
      </c>
      <c r="H210" s="523"/>
      <c r="I210" s="523"/>
      <c r="J210" s="523"/>
      <c r="K210" s="523"/>
      <c r="L210" s="523"/>
      <c r="M210" s="523"/>
      <c r="N210" s="523"/>
      <c r="O210" s="523"/>
    </row>
    <row r="211" spans="1:15" x14ac:dyDescent="0.2">
      <c r="A211" s="222">
        <f>calculs!A211</f>
        <v>44762</v>
      </c>
      <c r="B211" s="523" t="e">
        <f ca="1">gr('calcul-stats'!AY211)</f>
        <v>#NAME?</v>
      </c>
      <c r="C211" s="523" t="e">
        <f ca="1">gr('calcul-stats'!AZ211)</f>
        <v>#NAME?</v>
      </c>
      <c r="D211" s="523" t="e">
        <f ca="1">gr('calcul-stats'!BA211)</f>
        <v>#NAME?</v>
      </c>
      <c r="E211" s="523" t="e">
        <f ca="1">gr('calcul-stats'!BB211)</f>
        <v>#NAME?</v>
      </c>
      <c r="F211" s="523" t="e">
        <f ca="1">gr('calcul-stats'!BC211)</f>
        <v>#NAME?</v>
      </c>
      <c r="G211" s="524" t="e">
        <f t="shared" ca="1" si="3"/>
        <v>#NAME?</v>
      </c>
      <c r="H211" s="523"/>
      <c r="I211" s="523"/>
      <c r="J211" s="523"/>
      <c r="K211" s="523"/>
      <c r="L211" s="523"/>
      <c r="M211" s="523"/>
      <c r="N211" s="523"/>
      <c r="O211" s="523"/>
    </row>
    <row r="212" spans="1:15" x14ac:dyDescent="0.2">
      <c r="A212" s="222">
        <f>calculs!A212</f>
        <v>44763</v>
      </c>
      <c r="B212" s="523" t="e">
        <f ca="1">gr('calcul-stats'!AY212)</f>
        <v>#NAME?</v>
      </c>
      <c r="C212" s="523" t="e">
        <f ca="1">gr('calcul-stats'!AZ212)</f>
        <v>#NAME?</v>
      </c>
      <c r="D212" s="523" t="e">
        <f ca="1">gr('calcul-stats'!BA212)</f>
        <v>#NAME?</v>
      </c>
      <c r="E212" s="523" t="e">
        <f ca="1">gr('calcul-stats'!BB212)</f>
        <v>#NAME?</v>
      </c>
      <c r="F212" s="523" t="e">
        <f ca="1">gr('calcul-stats'!BC212)</f>
        <v>#NAME?</v>
      </c>
      <c r="G212" s="524" t="e">
        <f t="shared" ca="1" si="3"/>
        <v>#NAME?</v>
      </c>
      <c r="H212" s="523"/>
      <c r="I212" s="523"/>
      <c r="J212" s="523"/>
      <c r="K212" s="523"/>
      <c r="L212" s="523"/>
      <c r="M212" s="523"/>
      <c r="N212" s="523"/>
      <c r="O212" s="523"/>
    </row>
    <row r="213" spans="1:15" x14ac:dyDescent="0.2">
      <c r="A213" s="222">
        <f>calculs!A213</f>
        <v>44764</v>
      </c>
      <c r="B213" s="523" t="e">
        <f ca="1">gr('calcul-stats'!AY213)</f>
        <v>#NAME?</v>
      </c>
      <c r="C213" s="523" t="e">
        <f ca="1">gr('calcul-stats'!AZ213)</f>
        <v>#NAME?</v>
      </c>
      <c r="D213" s="523" t="e">
        <f ca="1">gr('calcul-stats'!BA213)</f>
        <v>#NAME?</v>
      </c>
      <c r="E213" s="523" t="e">
        <f ca="1">gr('calcul-stats'!BB213)</f>
        <v>#NAME?</v>
      </c>
      <c r="F213" s="523" t="e">
        <f ca="1">gr('calcul-stats'!BC213)</f>
        <v>#NAME?</v>
      </c>
      <c r="G213" s="524" t="e">
        <f t="shared" ca="1" si="3"/>
        <v>#NAME?</v>
      </c>
      <c r="H213" s="523"/>
      <c r="I213" s="523"/>
      <c r="J213" s="523"/>
      <c r="K213" s="523"/>
      <c r="L213" s="523"/>
      <c r="M213" s="523"/>
      <c r="N213" s="523"/>
      <c r="O213" s="523"/>
    </row>
    <row r="214" spans="1:15" x14ac:dyDescent="0.2">
      <c r="A214" s="222">
        <f>calculs!A214</f>
        <v>44765</v>
      </c>
      <c r="B214" s="523" t="e">
        <f ca="1">gr('calcul-stats'!AY214)</f>
        <v>#NAME?</v>
      </c>
      <c r="C214" s="523" t="e">
        <f ca="1">gr('calcul-stats'!AZ214)</f>
        <v>#NAME?</v>
      </c>
      <c r="D214" s="523" t="e">
        <f ca="1">gr('calcul-stats'!BA214)</f>
        <v>#NAME?</v>
      </c>
      <c r="E214" s="523" t="e">
        <f ca="1">gr('calcul-stats'!BB214)</f>
        <v>#NAME?</v>
      </c>
      <c r="F214" s="523" t="e">
        <f ca="1">gr('calcul-stats'!BC214)</f>
        <v>#NAME?</v>
      </c>
      <c r="G214" s="524" t="e">
        <f t="shared" ca="1" si="3"/>
        <v>#NAME?</v>
      </c>
      <c r="H214" s="523"/>
      <c r="I214" s="523"/>
      <c r="J214" s="523"/>
      <c r="K214" s="523"/>
      <c r="L214" s="523"/>
      <c r="M214" s="523"/>
      <c r="N214" s="523"/>
      <c r="O214" s="523"/>
    </row>
    <row r="215" spans="1:15" x14ac:dyDescent="0.2">
      <c r="A215" s="222">
        <f>calculs!A215</f>
        <v>44766</v>
      </c>
      <c r="B215" s="523" t="e">
        <f ca="1">gr('calcul-stats'!AY215)</f>
        <v>#NAME?</v>
      </c>
      <c r="C215" s="523" t="e">
        <f ca="1">gr('calcul-stats'!AZ215)</f>
        <v>#NAME?</v>
      </c>
      <c r="D215" s="523" t="e">
        <f ca="1">gr('calcul-stats'!BA215)</f>
        <v>#NAME?</v>
      </c>
      <c r="E215" s="523" t="e">
        <f ca="1">gr('calcul-stats'!BB215)</f>
        <v>#NAME?</v>
      </c>
      <c r="F215" s="523" t="e">
        <f ca="1">gr('calcul-stats'!BC215)</f>
        <v>#NAME?</v>
      </c>
      <c r="G215" s="524" t="e">
        <f t="shared" ca="1" si="3"/>
        <v>#NAME?</v>
      </c>
      <c r="H215" s="523"/>
      <c r="I215" s="523"/>
      <c r="J215" s="523"/>
      <c r="K215" s="523"/>
      <c r="L215" s="523"/>
      <c r="M215" s="523"/>
      <c r="N215" s="523"/>
      <c r="O215" s="523"/>
    </row>
    <row r="216" spans="1:15" x14ac:dyDescent="0.2">
      <c r="A216" s="222">
        <f>calculs!A216</f>
        <v>44767</v>
      </c>
      <c r="B216" s="523" t="e">
        <f ca="1">gr('calcul-stats'!AY216)</f>
        <v>#NAME?</v>
      </c>
      <c r="C216" s="523" t="e">
        <f ca="1">gr('calcul-stats'!AZ216)</f>
        <v>#NAME?</v>
      </c>
      <c r="D216" s="523" t="e">
        <f ca="1">gr('calcul-stats'!BA216)</f>
        <v>#NAME?</v>
      </c>
      <c r="E216" s="523" t="e">
        <f ca="1">gr('calcul-stats'!BB216)</f>
        <v>#NAME?</v>
      </c>
      <c r="F216" s="523" t="e">
        <f ca="1">gr('calcul-stats'!BC216)</f>
        <v>#NAME?</v>
      </c>
      <c r="G216" s="524" t="e">
        <f t="shared" ca="1" si="3"/>
        <v>#NAME?</v>
      </c>
      <c r="H216" s="523"/>
      <c r="I216" s="523"/>
      <c r="J216" s="523"/>
      <c r="K216" s="523"/>
      <c r="L216" s="523"/>
      <c r="M216" s="523"/>
      <c r="N216" s="523"/>
      <c r="O216" s="523"/>
    </row>
    <row r="217" spans="1:15" x14ac:dyDescent="0.2">
      <c r="A217" s="222">
        <f>calculs!A217</f>
        <v>44768</v>
      </c>
      <c r="B217" s="523" t="e">
        <f ca="1">gr('calcul-stats'!AY217)</f>
        <v>#NAME?</v>
      </c>
      <c r="C217" s="523" t="e">
        <f ca="1">gr('calcul-stats'!AZ217)</f>
        <v>#NAME?</v>
      </c>
      <c r="D217" s="523" t="e">
        <f ca="1">gr('calcul-stats'!BA217)</f>
        <v>#NAME?</v>
      </c>
      <c r="E217" s="523" t="e">
        <f ca="1">gr('calcul-stats'!BB217)</f>
        <v>#NAME?</v>
      </c>
      <c r="F217" s="523" t="e">
        <f ca="1">gr('calcul-stats'!BC217)</f>
        <v>#NAME?</v>
      </c>
      <c r="G217" s="524" t="e">
        <f t="shared" ca="1" si="3"/>
        <v>#NAME?</v>
      </c>
      <c r="H217" s="523"/>
      <c r="I217" s="523"/>
      <c r="J217" s="523"/>
      <c r="K217" s="523"/>
      <c r="L217" s="523"/>
      <c r="M217" s="523"/>
      <c r="N217" s="523"/>
      <c r="O217" s="523"/>
    </row>
    <row r="218" spans="1:15" x14ac:dyDescent="0.2">
      <c r="A218" s="222">
        <f>calculs!A218</f>
        <v>44769</v>
      </c>
      <c r="B218" s="523" t="e">
        <f ca="1">gr('calcul-stats'!AY218)</f>
        <v>#NAME?</v>
      </c>
      <c r="C218" s="523" t="e">
        <f ca="1">gr('calcul-stats'!AZ218)</f>
        <v>#NAME?</v>
      </c>
      <c r="D218" s="523" t="e">
        <f ca="1">gr('calcul-stats'!BA218)</f>
        <v>#NAME?</v>
      </c>
      <c r="E218" s="523" t="e">
        <f ca="1">gr('calcul-stats'!BB218)</f>
        <v>#NAME?</v>
      </c>
      <c r="F218" s="523" t="e">
        <f ca="1">gr('calcul-stats'!BC218)</f>
        <v>#NAME?</v>
      </c>
      <c r="G218" s="524" t="e">
        <f t="shared" ca="1" si="3"/>
        <v>#NAME?</v>
      </c>
      <c r="H218" s="523"/>
      <c r="I218" s="523"/>
      <c r="J218" s="523"/>
      <c r="K218" s="523"/>
      <c r="L218" s="523"/>
      <c r="M218" s="523"/>
      <c r="N218" s="523"/>
      <c r="O218" s="523"/>
    </row>
    <row r="219" spans="1:15" x14ac:dyDescent="0.2">
      <c r="A219" s="222">
        <f>calculs!A219</f>
        <v>44770</v>
      </c>
      <c r="B219" s="523" t="e">
        <f ca="1">gr('calcul-stats'!AY219)</f>
        <v>#NAME?</v>
      </c>
      <c r="C219" s="523" t="e">
        <f ca="1">gr('calcul-stats'!AZ219)</f>
        <v>#NAME?</v>
      </c>
      <c r="D219" s="523" t="e">
        <f ca="1">gr('calcul-stats'!BA219)</f>
        <v>#NAME?</v>
      </c>
      <c r="E219" s="523" t="e">
        <f ca="1">gr('calcul-stats'!BB219)</f>
        <v>#NAME?</v>
      </c>
      <c r="F219" s="523" t="e">
        <f ca="1">gr('calcul-stats'!BC219)</f>
        <v>#NAME?</v>
      </c>
      <c r="G219" s="524" t="e">
        <f t="shared" ca="1" si="3"/>
        <v>#NAME?</v>
      </c>
      <c r="H219" s="523"/>
      <c r="I219" s="523"/>
      <c r="J219" s="523"/>
      <c r="K219" s="523"/>
      <c r="L219" s="523"/>
      <c r="M219" s="523"/>
      <c r="N219" s="523"/>
      <c r="O219" s="523"/>
    </row>
    <row r="220" spans="1:15" x14ac:dyDescent="0.2">
      <c r="A220" s="222">
        <f>calculs!A220</f>
        <v>44771</v>
      </c>
      <c r="B220" s="523" t="e">
        <f ca="1">gr('calcul-stats'!AY220)</f>
        <v>#NAME?</v>
      </c>
      <c r="C220" s="523" t="e">
        <f ca="1">gr('calcul-stats'!AZ220)</f>
        <v>#NAME?</v>
      </c>
      <c r="D220" s="523" t="e">
        <f ca="1">gr('calcul-stats'!BA220)</f>
        <v>#NAME?</v>
      </c>
      <c r="E220" s="523" t="e">
        <f ca="1">gr('calcul-stats'!BB220)</f>
        <v>#NAME?</v>
      </c>
      <c r="F220" s="523" t="e">
        <f ca="1">gr('calcul-stats'!BC220)</f>
        <v>#NAME?</v>
      </c>
      <c r="G220" s="524" t="e">
        <f t="shared" ca="1" si="3"/>
        <v>#NAME?</v>
      </c>
      <c r="H220" s="523"/>
      <c r="I220" s="523"/>
      <c r="J220" s="523"/>
      <c r="K220" s="523"/>
      <c r="L220" s="523"/>
      <c r="M220" s="523"/>
      <c r="N220" s="523"/>
      <c r="O220" s="523"/>
    </row>
    <row r="221" spans="1:15" x14ac:dyDescent="0.2">
      <c r="A221" s="222">
        <f>calculs!A221</f>
        <v>44772</v>
      </c>
      <c r="B221" s="523" t="e">
        <f ca="1">gr('calcul-stats'!AY221)</f>
        <v>#NAME?</v>
      </c>
      <c r="C221" s="523" t="e">
        <f ca="1">gr('calcul-stats'!AZ221)</f>
        <v>#NAME?</v>
      </c>
      <c r="D221" s="523" t="e">
        <f ca="1">gr('calcul-stats'!BA221)</f>
        <v>#NAME?</v>
      </c>
      <c r="E221" s="523" t="e">
        <f ca="1">gr('calcul-stats'!BB221)</f>
        <v>#NAME?</v>
      </c>
      <c r="F221" s="523" t="e">
        <f ca="1">gr('calcul-stats'!BC221)</f>
        <v>#NAME?</v>
      </c>
      <c r="G221" s="524" t="e">
        <f t="shared" ca="1" si="3"/>
        <v>#NAME?</v>
      </c>
      <c r="H221" s="523"/>
      <c r="I221" s="523"/>
      <c r="J221" s="523"/>
      <c r="K221" s="523"/>
      <c r="L221" s="523"/>
      <c r="M221" s="523"/>
      <c r="N221" s="523"/>
      <c r="O221" s="523"/>
    </row>
    <row r="222" spans="1:15" x14ac:dyDescent="0.2">
      <c r="A222" s="222">
        <f>calculs!A222</f>
        <v>44773</v>
      </c>
      <c r="B222" s="523" t="e">
        <f ca="1">gr('calcul-stats'!AY222)</f>
        <v>#NAME?</v>
      </c>
      <c r="C222" s="523" t="e">
        <f ca="1">gr('calcul-stats'!AZ222)</f>
        <v>#NAME?</v>
      </c>
      <c r="D222" s="523" t="e">
        <f ca="1">gr('calcul-stats'!BA222)</f>
        <v>#NAME?</v>
      </c>
      <c r="E222" s="523" t="e">
        <f ca="1">gr('calcul-stats'!BB222)</f>
        <v>#NAME?</v>
      </c>
      <c r="F222" s="523" t="e">
        <f ca="1">gr('calcul-stats'!BC222)</f>
        <v>#NAME?</v>
      </c>
      <c r="G222" s="524" t="e">
        <f t="shared" ca="1" si="3"/>
        <v>#NAME?</v>
      </c>
      <c r="H222" s="523"/>
      <c r="I222" s="523"/>
      <c r="J222" s="523"/>
      <c r="K222" s="523"/>
      <c r="L222" s="523"/>
      <c r="M222" s="523"/>
      <c r="N222" s="523"/>
      <c r="O222" s="523"/>
    </row>
    <row r="223" spans="1:15" x14ac:dyDescent="0.2">
      <c r="A223" s="222">
        <f>calculs!A223</f>
        <v>44774</v>
      </c>
      <c r="B223" s="523" t="e">
        <f ca="1">gr('calcul-stats'!AY223)</f>
        <v>#NAME?</v>
      </c>
      <c r="C223" s="523" t="e">
        <f ca="1">gr('calcul-stats'!AZ223)</f>
        <v>#NAME?</v>
      </c>
      <c r="D223" s="523" t="e">
        <f ca="1">gr('calcul-stats'!BA223)</f>
        <v>#NAME?</v>
      </c>
      <c r="E223" s="523" t="e">
        <f ca="1">gr('calcul-stats'!BB223)</f>
        <v>#NAME?</v>
      </c>
      <c r="F223" s="523" t="e">
        <f ca="1">gr('calcul-stats'!BC223)</f>
        <v>#NAME?</v>
      </c>
      <c r="G223" s="524" t="e">
        <f t="shared" ca="1" si="3"/>
        <v>#NAME?</v>
      </c>
      <c r="H223" s="523"/>
      <c r="I223" s="523"/>
      <c r="J223" s="523"/>
      <c r="K223" s="523"/>
      <c r="L223" s="523"/>
      <c r="M223" s="523"/>
      <c r="N223" s="523"/>
      <c r="O223" s="523"/>
    </row>
    <row r="224" spans="1:15" x14ac:dyDescent="0.2">
      <c r="A224" s="222">
        <f>calculs!A224</f>
        <v>44775</v>
      </c>
      <c r="B224" s="523" t="e">
        <f ca="1">gr('calcul-stats'!AY224)</f>
        <v>#NAME?</v>
      </c>
      <c r="C224" s="523" t="e">
        <f ca="1">gr('calcul-stats'!AZ224)</f>
        <v>#NAME?</v>
      </c>
      <c r="D224" s="523" t="e">
        <f ca="1">gr('calcul-stats'!BA224)</f>
        <v>#NAME?</v>
      </c>
      <c r="E224" s="523" t="e">
        <f ca="1">gr('calcul-stats'!BB224)</f>
        <v>#NAME?</v>
      </c>
      <c r="F224" s="523" t="e">
        <f ca="1">gr('calcul-stats'!BC224)</f>
        <v>#NAME?</v>
      </c>
      <c r="G224" s="524" t="e">
        <f t="shared" ca="1" si="3"/>
        <v>#NAME?</v>
      </c>
      <c r="H224" s="523"/>
      <c r="I224" s="523"/>
      <c r="J224" s="523"/>
      <c r="K224" s="523"/>
      <c r="L224" s="523"/>
      <c r="M224" s="523"/>
      <c r="N224" s="523"/>
      <c r="O224" s="523"/>
    </row>
    <row r="225" spans="1:15" x14ac:dyDescent="0.2">
      <c r="A225" s="222">
        <f>calculs!A225</f>
        <v>44776</v>
      </c>
      <c r="B225" s="523" t="e">
        <f ca="1">gr('calcul-stats'!AY225)</f>
        <v>#NAME?</v>
      </c>
      <c r="C225" s="523" t="e">
        <f ca="1">gr('calcul-stats'!AZ225)</f>
        <v>#NAME?</v>
      </c>
      <c r="D225" s="523" t="e">
        <f ca="1">gr('calcul-stats'!BA225)</f>
        <v>#NAME?</v>
      </c>
      <c r="E225" s="523" t="e">
        <f ca="1">gr('calcul-stats'!BB225)</f>
        <v>#NAME?</v>
      </c>
      <c r="F225" s="523" t="e">
        <f ca="1">gr('calcul-stats'!BC225)</f>
        <v>#NAME?</v>
      </c>
      <c r="G225" s="524" t="e">
        <f t="shared" ca="1" si="3"/>
        <v>#NAME?</v>
      </c>
      <c r="H225" s="523"/>
      <c r="I225" s="523"/>
      <c r="J225" s="523"/>
      <c r="K225" s="523"/>
      <c r="L225" s="523"/>
      <c r="M225" s="523"/>
      <c r="N225" s="523"/>
      <c r="O225" s="523"/>
    </row>
    <row r="226" spans="1:15" x14ac:dyDescent="0.2">
      <c r="A226" s="222">
        <f>calculs!A226</f>
        <v>44777</v>
      </c>
      <c r="B226" s="523" t="e">
        <f ca="1">gr('calcul-stats'!AY226)</f>
        <v>#NAME?</v>
      </c>
      <c r="C226" s="523" t="e">
        <f ca="1">gr('calcul-stats'!AZ226)</f>
        <v>#NAME?</v>
      </c>
      <c r="D226" s="523" t="e">
        <f ca="1">gr('calcul-stats'!BA226)</f>
        <v>#NAME?</v>
      </c>
      <c r="E226" s="523" t="e">
        <f ca="1">gr('calcul-stats'!BB226)</f>
        <v>#NAME?</v>
      </c>
      <c r="F226" s="523" t="e">
        <f ca="1">gr('calcul-stats'!BC226)</f>
        <v>#NAME?</v>
      </c>
      <c r="G226" s="524" t="e">
        <f t="shared" ca="1" si="3"/>
        <v>#NAME?</v>
      </c>
      <c r="H226" s="523"/>
      <c r="I226" s="523"/>
      <c r="J226" s="523"/>
      <c r="K226" s="523"/>
      <c r="L226" s="523"/>
      <c r="M226" s="523"/>
      <c r="N226" s="523"/>
      <c r="O226" s="523"/>
    </row>
    <row r="227" spans="1:15" x14ac:dyDescent="0.2">
      <c r="A227" s="222">
        <f>calculs!A227</f>
        <v>44778</v>
      </c>
      <c r="B227" s="523" t="e">
        <f ca="1">gr('calcul-stats'!AY227)</f>
        <v>#NAME?</v>
      </c>
      <c r="C227" s="523" t="e">
        <f ca="1">gr('calcul-stats'!AZ227)</f>
        <v>#NAME?</v>
      </c>
      <c r="D227" s="523" t="e">
        <f ca="1">gr('calcul-stats'!BA227)</f>
        <v>#NAME?</v>
      </c>
      <c r="E227" s="523" t="e">
        <f ca="1">gr('calcul-stats'!BB227)</f>
        <v>#NAME?</v>
      </c>
      <c r="F227" s="523" t="e">
        <f ca="1">gr('calcul-stats'!BC227)</f>
        <v>#NAME?</v>
      </c>
      <c r="G227" s="524" t="e">
        <f t="shared" ca="1" si="3"/>
        <v>#NAME?</v>
      </c>
      <c r="H227" s="523"/>
      <c r="I227" s="523"/>
      <c r="J227" s="523"/>
      <c r="K227" s="523"/>
      <c r="L227" s="523"/>
      <c r="M227" s="523"/>
      <c r="N227" s="523"/>
      <c r="O227" s="523"/>
    </row>
    <row r="228" spans="1:15" x14ac:dyDescent="0.2">
      <c r="A228" s="222">
        <f>calculs!A228</f>
        <v>44779</v>
      </c>
      <c r="B228" s="523" t="e">
        <f ca="1">gr('calcul-stats'!AY228)</f>
        <v>#NAME?</v>
      </c>
      <c r="C228" s="523" t="e">
        <f ca="1">gr('calcul-stats'!AZ228)</f>
        <v>#NAME?</v>
      </c>
      <c r="D228" s="523" t="e">
        <f ca="1">gr('calcul-stats'!BA228)</f>
        <v>#NAME?</v>
      </c>
      <c r="E228" s="523" t="e">
        <f ca="1">gr('calcul-stats'!BB228)</f>
        <v>#NAME?</v>
      </c>
      <c r="F228" s="523" t="e">
        <f ca="1">gr('calcul-stats'!BC228)</f>
        <v>#NAME?</v>
      </c>
      <c r="G228" s="524" t="e">
        <f t="shared" ca="1" si="3"/>
        <v>#NAME?</v>
      </c>
      <c r="H228" s="523"/>
      <c r="I228" s="523"/>
      <c r="J228" s="523"/>
      <c r="K228" s="523"/>
      <c r="L228" s="523"/>
      <c r="M228" s="523"/>
      <c r="N228" s="523"/>
      <c r="O228" s="523"/>
    </row>
    <row r="229" spans="1:15" x14ac:dyDescent="0.2">
      <c r="A229" s="222">
        <f>calculs!A229</f>
        <v>44780</v>
      </c>
      <c r="B229" s="523" t="e">
        <f ca="1">gr('calcul-stats'!AY229)</f>
        <v>#NAME?</v>
      </c>
      <c r="C229" s="523" t="e">
        <f ca="1">gr('calcul-stats'!AZ229)</f>
        <v>#NAME?</v>
      </c>
      <c r="D229" s="523" t="e">
        <f ca="1">gr('calcul-stats'!BA229)</f>
        <v>#NAME?</v>
      </c>
      <c r="E229" s="523" t="e">
        <f ca="1">gr('calcul-stats'!BB229)</f>
        <v>#NAME?</v>
      </c>
      <c r="F229" s="523" t="e">
        <f ca="1">gr('calcul-stats'!BC229)</f>
        <v>#NAME?</v>
      </c>
      <c r="G229" s="524" t="e">
        <f t="shared" ca="1" si="3"/>
        <v>#NAME?</v>
      </c>
      <c r="H229" s="523"/>
      <c r="I229" s="523"/>
      <c r="J229" s="523"/>
      <c r="K229" s="523"/>
      <c r="L229" s="523"/>
      <c r="M229" s="523"/>
      <c r="N229" s="523"/>
      <c r="O229" s="523"/>
    </row>
    <row r="230" spans="1:15" x14ac:dyDescent="0.2">
      <c r="A230" s="222">
        <f>calculs!A230</f>
        <v>44781</v>
      </c>
      <c r="B230" s="523" t="e">
        <f ca="1">gr('calcul-stats'!AY230)</f>
        <v>#NAME?</v>
      </c>
      <c r="C230" s="523" t="e">
        <f ca="1">gr('calcul-stats'!AZ230)</f>
        <v>#NAME?</v>
      </c>
      <c r="D230" s="523" t="e">
        <f ca="1">gr('calcul-stats'!BA230)</f>
        <v>#NAME?</v>
      </c>
      <c r="E230" s="523" t="e">
        <f ca="1">gr('calcul-stats'!BB230)</f>
        <v>#NAME?</v>
      </c>
      <c r="F230" s="523" t="e">
        <f ca="1">gr('calcul-stats'!BC230)</f>
        <v>#NAME?</v>
      </c>
      <c r="G230" s="524" t="e">
        <f t="shared" ca="1" si="3"/>
        <v>#NAME?</v>
      </c>
      <c r="H230" s="523"/>
      <c r="I230" s="523"/>
      <c r="J230" s="523"/>
      <c r="K230" s="523"/>
      <c r="L230" s="523"/>
      <c r="M230" s="523"/>
      <c r="N230" s="523"/>
      <c r="O230" s="523"/>
    </row>
    <row r="231" spans="1:15" x14ac:dyDescent="0.2">
      <c r="A231" s="222">
        <f>calculs!A231</f>
        <v>44782</v>
      </c>
      <c r="B231" s="523" t="e">
        <f ca="1">gr('calcul-stats'!AY231)</f>
        <v>#NAME?</v>
      </c>
      <c r="C231" s="523" t="e">
        <f ca="1">gr('calcul-stats'!AZ231)</f>
        <v>#NAME?</v>
      </c>
      <c r="D231" s="523" t="e">
        <f ca="1">gr('calcul-stats'!BA231)</f>
        <v>#NAME?</v>
      </c>
      <c r="E231" s="523" t="e">
        <f ca="1">gr('calcul-stats'!BB231)</f>
        <v>#NAME?</v>
      </c>
      <c r="F231" s="523" t="e">
        <f ca="1">gr('calcul-stats'!BC231)</f>
        <v>#NAME?</v>
      </c>
      <c r="G231" s="524" t="e">
        <f t="shared" ca="1" si="3"/>
        <v>#NAME?</v>
      </c>
      <c r="H231" s="523"/>
      <c r="I231" s="523"/>
      <c r="J231" s="523"/>
      <c r="K231" s="523"/>
      <c r="L231" s="523"/>
      <c r="M231" s="523"/>
      <c r="N231" s="523"/>
      <c r="O231" s="523"/>
    </row>
    <row r="232" spans="1:15" x14ac:dyDescent="0.2">
      <c r="A232" s="222">
        <f>calculs!A232</f>
        <v>44783</v>
      </c>
      <c r="B232" s="523" t="e">
        <f ca="1">gr('calcul-stats'!AY232)</f>
        <v>#NAME?</v>
      </c>
      <c r="C232" s="523" t="e">
        <f ca="1">gr('calcul-stats'!AZ232)</f>
        <v>#NAME?</v>
      </c>
      <c r="D232" s="523" t="e">
        <f ca="1">gr('calcul-stats'!BA232)</f>
        <v>#NAME?</v>
      </c>
      <c r="E232" s="523" t="e">
        <f ca="1">gr('calcul-stats'!BB232)</f>
        <v>#NAME?</v>
      </c>
      <c r="F232" s="523" t="e">
        <f ca="1">gr('calcul-stats'!BC232)</f>
        <v>#NAME?</v>
      </c>
      <c r="G232" s="524" t="e">
        <f t="shared" ca="1" si="3"/>
        <v>#NAME?</v>
      </c>
      <c r="H232" s="523"/>
      <c r="I232" s="523"/>
      <c r="J232" s="523"/>
      <c r="K232" s="523"/>
      <c r="L232" s="523"/>
      <c r="M232" s="523"/>
      <c r="N232" s="523"/>
      <c r="O232" s="523"/>
    </row>
    <row r="233" spans="1:15" x14ac:dyDescent="0.2">
      <c r="A233" s="222">
        <f>calculs!A233</f>
        <v>44784</v>
      </c>
      <c r="B233" s="523" t="e">
        <f ca="1">gr('calcul-stats'!AY233)</f>
        <v>#NAME?</v>
      </c>
      <c r="C233" s="523" t="e">
        <f ca="1">gr('calcul-stats'!AZ233)</f>
        <v>#NAME?</v>
      </c>
      <c r="D233" s="523" t="e">
        <f ca="1">gr('calcul-stats'!BA233)</f>
        <v>#NAME?</v>
      </c>
      <c r="E233" s="523" t="e">
        <f ca="1">gr('calcul-stats'!BB233)</f>
        <v>#NAME?</v>
      </c>
      <c r="F233" s="523" t="e">
        <f ca="1">gr('calcul-stats'!BC233)</f>
        <v>#NAME?</v>
      </c>
      <c r="G233" s="524" t="e">
        <f t="shared" ca="1" si="3"/>
        <v>#NAME?</v>
      </c>
      <c r="H233" s="523"/>
      <c r="I233" s="523"/>
      <c r="J233" s="523"/>
      <c r="K233" s="523"/>
      <c r="L233" s="523"/>
      <c r="M233" s="523"/>
      <c r="N233" s="523"/>
      <c r="O233" s="523"/>
    </row>
    <row r="234" spans="1:15" x14ac:dyDescent="0.2">
      <c r="A234" s="222">
        <f>calculs!A234</f>
        <v>44785</v>
      </c>
      <c r="B234" s="523" t="e">
        <f ca="1">gr('calcul-stats'!AY234)</f>
        <v>#NAME?</v>
      </c>
      <c r="C234" s="523" t="e">
        <f ca="1">gr('calcul-stats'!AZ234)</f>
        <v>#NAME?</v>
      </c>
      <c r="D234" s="523" t="e">
        <f ca="1">gr('calcul-stats'!BA234)</f>
        <v>#NAME?</v>
      </c>
      <c r="E234" s="523" t="e">
        <f ca="1">gr('calcul-stats'!BB234)</f>
        <v>#NAME?</v>
      </c>
      <c r="F234" s="523" t="e">
        <f ca="1">gr('calcul-stats'!BC234)</f>
        <v>#NAME?</v>
      </c>
      <c r="G234" s="524" t="e">
        <f t="shared" ca="1" si="3"/>
        <v>#NAME?</v>
      </c>
      <c r="H234" s="523"/>
      <c r="I234" s="523"/>
      <c r="J234" s="523"/>
      <c r="K234" s="523"/>
      <c r="L234" s="523"/>
      <c r="M234" s="523"/>
      <c r="N234" s="523"/>
      <c r="O234" s="523"/>
    </row>
    <row r="235" spans="1:15" x14ac:dyDescent="0.2">
      <c r="A235" s="222">
        <f>calculs!A235</f>
        <v>44786</v>
      </c>
      <c r="B235" s="523" t="e">
        <f ca="1">gr('calcul-stats'!AY235)</f>
        <v>#NAME?</v>
      </c>
      <c r="C235" s="523" t="e">
        <f ca="1">gr('calcul-stats'!AZ235)</f>
        <v>#NAME?</v>
      </c>
      <c r="D235" s="523" t="e">
        <f ca="1">gr('calcul-stats'!BA235)</f>
        <v>#NAME?</v>
      </c>
      <c r="E235" s="523" t="e">
        <f ca="1">gr('calcul-stats'!BB235)</f>
        <v>#NAME?</v>
      </c>
      <c r="F235" s="523" t="e">
        <f ca="1">gr('calcul-stats'!BC235)</f>
        <v>#NAME?</v>
      </c>
      <c r="G235" s="524" t="e">
        <f t="shared" ca="1" si="3"/>
        <v>#NAME?</v>
      </c>
      <c r="H235" s="523"/>
      <c r="I235" s="523"/>
      <c r="J235" s="523"/>
      <c r="K235" s="523"/>
      <c r="L235" s="523"/>
      <c r="M235" s="523"/>
      <c r="N235" s="523"/>
      <c r="O235" s="523"/>
    </row>
    <row r="236" spans="1:15" x14ac:dyDescent="0.2">
      <c r="A236" s="222">
        <f>calculs!A236</f>
        <v>44787</v>
      </c>
      <c r="B236" s="523" t="e">
        <f ca="1">gr('calcul-stats'!AY236)</f>
        <v>#NAME?</v>
      </c>
      <c r="C236" s="523" t="e">
        <f ca="1">gr('calcul-stats'!AZ236)</f>
        <v>#NAME?</v>
      </c>
      <c r="D236" s="523" t="e">
        <f ca="1">gr('calcul-stats'!BA236)</f>
        <v>#NAME?</v>
      </c>
      <c r="E236" s="523" t="e">
        <f ca="1">gr('calcul-stats'!BB236)</f>
        <v>#NAME?</v>
      </c>
      <c r="F236" s="523" t="e">
        <f ca="1">gr('calcul-stats'!BC236)</f>
        <v>#NAME?</v>
      </c>
      <c r="G236" s="524" t="e">
        <f t="shared" ca="1" si="3"/>
        <v>#NAME?</v>
      </c>
      <c r="H236" s="523"/>
      <c r="I236" s="523"/>
      <c r="J236" s="523"/>
      <c r="K236" s="523"/>
      <c r="L236" s="523"/>
      <c r="M236" s="523"/>
      <c r="N236" s="523"/>
      <c r="O236" s="523"/>
    </row>
    <row r="237" spans="1:15" x14ac:dyDescent="0.2">
      <c r="A237" s="222">
        <f>calculs!A237</f>
        <v>44788</v>
      </c>
      <c r="B237" s="523" t="e">
        <f ca="1">gr('calcul-stats'!AY237)</f>
        <v>#NAME?</v>
      </c>
      <c r="C237" s="523" t="e">
        <f ca="1">gr('calcul-stats'!AZ237)</f>
        <v>#NAME?</v>
      </c>
      <c r="D237" s="523" t="e">
        <f ca="1">gr('calcul-stats'!BA237)</f>
        <v>#NAME?</v>
      </c>
      <c r="E237" s="523" t="e">
        <f ca="1">gr('calcul-stats'!BB237)</f>
        <v>#NAME?</v>
      </c>
      <c r="F237" s="523" t="e">
        <f ca="1">gr('calcul-stats'!BC237)</f>
        <v>#NAME?</v>
      </c>
      <c r="G237" s="524" t="e">
        <f t="shared" ca="1" si="3"/>
        <v>#NAME?</v>
      </c>
      <c r="H237" s="523"/>
      <c r="I237" s="523"/>
      <c r="J237" s="523"/>
      <c r="K237" s="523"/>
      <c r="L237" s="523"/>
      <c r="M237" s="523"/>
      <c r="N237" s="523"/>
      <c r="O237" s="523"/>
    </row>
    <row r="238" spans="1:15" x14ac:dyDescent="0.2">
      <c r="A238" s="222">
        <f>calculs!A238</f>
        <v>44789</v>
      </c>
      <c r="B238" s="523" t="e">
        <f ca="1">gr('calcul-stats'!AY238)</f>
        <v>#NAME?</v>
      </c>
      <c r="C238" s="523" t="e">
        <f ca="1">gr('calcul-stats'!AZ238)</f>
        <v>#NAME?</v>
      </c>
      <c r="D238" s="523" t="e">
        <f ca="1">gr('calcul-stats'!BA238)</f>
        <v>#NAME?</v>
      </c>
      <c r="E238" s="523" t="e">
        <f ca="1">gr('calcul-stats'!BB238)</f>
        <v>#NAME?</v>
      </c>
      <c r="F238" s="523" t="e">
        <f ca="1">gr('calcul-stats'!BC238)</f>
        <v>#NAME?</v>
      </c>
      <c r="G238" s="524" t="e">
        <f t="shared" ca="1" si="3"/>
        <v>#NAME?</v>
      </c>
      <c r="H238" s="523"/>
      <c r="I238" s="523"/>
      <c r="J238" s="523"/>
      <c r="K238" s="523"/>
      <c r="L238" s="523"/>
      <c r="M238" s="523"/>
      <c r="N238" s="523"/>
      <c r="O238" s="523"/>
    </row>
    <row r="239" spans="1:15" x14ac:dyDescent="0.2">
      <c r="A239" s="222">
        <f>calculs!A239</f>
        <v>44790</v>
      </c>
      <c r="B239" s="523" t="e">
        <f ca="1">gr('calcul-stats'!AY239)</f>
        <v>#NAME?</v>
      </c>
      <c r="C239" s="523" t="e">
        <f ca="1">gr('calcul-stats'!AZ239)</f>
        <v>#NAME?</v>
      </c>
      <c r="D239" s="523" t="e">
        <f ca="1">gr('calcul-stats'!BA239)</f>
        <v>#NAME?</v>
      </c>
      <c r="E239" s="523" t="e">
        <f ca="1">gr('calcul-stats'!BB239)</f>
        <v>#NAME?</v>
      </c>
      <c r="F239" s="523" t="e">
        <f ca="1">gr('calcul-stats'!BC239)</f>
        <v>#NAME?</v>
      </c>
      <c r="G239" s="524" t="e">
        <f t="shared" ca="1" si="3"/>
        <v>#NAME?</v>
      </c>
      <c r="H239" s="523"/>
      <c r="I239" s="523"/>
      <c r="J239" s="523"/>
      <c r="K239" s="523"/>
      <c r="L239" s="523"/>
      <c r="M239" s="523"/>
      <c r="N239" s="523"/>
      <c r="O239" s="523"/>
    </row>
    <row r="240" spans="1:15" x14ac:dyDescent="0.2">
      <c r="A240" s="222">
        <f>calculs!A240</f>
        <v>44791</v>
      </c>
      <c r="B240" s="523" t="e">
        <f ca="1">gr('calcul-stats'!AY240)</f>
        <v>#NAME?</v>
      </c>
      <c r="C240" s="523" t="e">
        <f ca="1">gr('calcul-stats'!AZ240)</f>
        <v>#NAME?</v>
      </c>
      <c r="D240" s="523" t="e">
        <f ca="1">gr('calcul-stats'!BA240)</f>
        <v>#NAME?</v>
      </c>
      <c r="E240" s="523" t="e">
        <f ca="1">gr('calcul-stats'!BB240)</f>
        <v>#NAME?</v>
      </c>
      <c r="F240" s="523" t="e">
        <f ca="1">gr('calcul-stats'!BC240)</f>
        <v>#NAME?</v>
      </c>
      <c r="G240" s="524" t="e">
        <f t="shared" ca="1" si="3"/>
        <v>#NAME?</v>
      </c>
      <c r="H240" s="523"/>
      <c r="I240" s="523"/>
      <c r="J240" s="523"/>
      <c r="K240" s="523"/>
      <c r="L240" s="523"/>
      <c r="M240" s="523"/>
      <c r="N240" s="523"/>
      <c r="O240" s="523"/>
    </row>
    <row r="241" spans="1:15" x14ac:dyDescent="0.2">
      <c r="A241" s="222">
        <f>calculs!A241</f>
        <v>44792</v>
      </c>
      <c r="B241" s="523" t="e">
        <f ca="1">gr('calcul-stats'!AY241)</f>
        <v>#NAME?</v>
      </c>
      <c r="C241" s="523" t="e">
        <f ca="1">gr('calcul-stats'!AZ241)</f>
        <v>#NAME?</v>
      </c>
      <c r="D241" s="523" t="e">
        <f ca="1">gr('calcul-stats'!BA241)</f>
        <v>#NAME?</v>
      </c>
      <c r="E241" s="523" t="e">
        <f ca="1">gr('calcul-stats'!BB241)</f>
        <v>#NAME?</v>
      </c>
      <c r="F241" s="523" t="e">
        <f ca="1">gr('calcul-stats'!BC241)</f>
        <v>#NAME?</v>
      </c>
      <c r="G241" s="524" t="e">
        <f t="shared" ca="1" si="3"/>
        <v>#NAME?</v>
      </c>
      <c r="H241" s="523"/>
      <c r="I241" s="523"/>
      <c r="J241" s="523"/>
      <c r="K241" s="523"/>
      <c r="L241" s="523"/>
      <c r="M241" s="523"/>
      <c r="N241" s="523"/>
      <c r="O241" s="523"/>
    </row>
    <row r="242" spans="1:15" x14ac:dyDescent="0.2">
      <c r="A242" s="222">
        <f>calculs!A242</f>
        <v>44793</v>
      </c>
      <c r="B242" s="523" t="e">
        <f ca="1">gr('calcul-stats'!AY242)</f>
        <v>#NAME?</v>
      </c>
      <c r="C242" s="523" t="e">
        <f ca="1">gr('calcul-stats'!AZ242)</f>
        <v>#NAME?</v>
      </c>
      <c r="D242" s="523" t="e">
        <f ca="1">gr('calcul-stats'!BA242)</f>
        <v>#NAME?</v>
      </c>
      <c r="E242" s="523" t="e">
        <f ca="1">gr('calcul-stats'!BB242)</f>
        <v>#NAME?</v>
      </c>
      <c r="F242" s="523" t="e">
        <f ca="1">gr('calcul-stats'!BC242)</f>
        <v>#NAME?</v>
      </c>
      <c r="G242" s="524" t="e">
        <f t="shared" ca="1" si="3"/>
        <v>#NAME?</v>
      </c>
      <c r="H242" s="523"/>
      <c r="I242" s="523"/>
      <c r="J242" s="523"/>
      <c r="K242" s="523"/>
      <c r="L242" s="523"/>
      <c r="M242" s="523"/>
      <c r="N242" s="523"/>
      <c r="O242" s="523"/>
    </row>
    <row r="243" spans="1:15" x14ac:dyDescent="0.2">
      <c r="A243" s="222">
        <f>calculs!A243</f>
        <v>44794</v>
      </c>
      <c r="B243" s="523" t="e">
        <f ca="1">gr('calcul-stats'!AY243)</f>
        <v>#NAME?</v>
      </c>
      <c r="C243" s="523" t="e">
        <f ca="1">gr('calcul-stats'!AZ243)</f>
        <v>#NAME?</v>
      </c>
      <c r="D243" s="523" t="e">
        <f ca="1">gr('calcul-stats'!BA243)</f>
        <v>#NAME?</v>
      </c>
      <c r="E243" s="523" t="e">
        <f ca="1">gr('calcul-stats'!BB243)</f>
        <v>#NAME?</v>
      </c>
      <c r="F243" s="523" t="e">
        <f ca="1">gr('calcul-stats'!BC243)</f>
        <v>#NAME?</v>
      </c>
      <c r="G243" s="524" t="e">
        <f t="shared" ca="1" si="3"/>
        <v>#NAME?</v>
      </c>
      <c r="H243" s="523"/>
      <c r="I243" s="523"/>
      <c r="J243" s="523"/>
      <c r="K243" s="523"/>
      <c r="L243" s="523"/>
      <c r="M243" s="523"/>
      <c r="N243" s="523"/>
      <c r="O243" s="523"/>
    </row>
    <row r="244" spans="1:15" x14ac:dyDescent="0.2">
      <c r="A244" s="222">
        <f>calculs!A244</f>
        <v>44795</v>
      </c>
      <c r="B244" s="523" t="e">
        <f ca="1">gr('calcul-stats'!AY244)</f>
        <v>#NAME?</v>
      </c>
      <c r="C244" s="523" t="e">
        <f ca="1">gr('calcul-stats'!AZ244)</f>
        <v>#NAME?</v>
      </c>
      <c r="D244" s="523" t="e">
        <f ca="1">gr('calcul-stats'!BA244)</f>
        <v>#NAME?</v>
      </c>
      <c r="E244" s="523" t="e">
        <f ca="1">gr('calcul-stats'!BB244)</f>
        <v>#NAME?</v>
      </c>
      <c r="F244" s="523" t="e">
        <f ca="1">gr('calcul-stats'!BC244)</f>
        <v>#NAME?</v>
      </c>
      <c r="G244" s="524" t="e">
        <f t="shared" ca="1" si="3"/>
        <v>#NAME?</v>
      </c>
      <c r="H244" s="523"/>
      <c r="I244" s="523"/>
      <c r="J244" s="523"/>
      <c r="K244" s="523"/>
      <c r="L244" s="523"/>
      <c r="M244" s="523"/>
      <c r="N244" s="523"/>
      <c r="O244" s="523"/>
    </row>
    <row r="245" spans="1:15" x14ac:dyDescent="0.2">
      <c r="A245" s="222">
        <f>calculs!A245</f>
        <v>44796</v>
      </c>
      <c r="B245" s="523" t="e">
        <f ca="1">gr('calcul-stats'!AY245)</f>
        <v>#NAME?</v>
      </c>
      <c r="C245" s="523" t="e">
        <f ca="1">gr('calcul-stats'!AZ245)</f>
        <v>#NAME?</v>
      </c>
      <c r="D245" s="523" t="e">
        <f ca="1">gr('calcul-stats'!BA245)</f>
        <v>#NAME?</v>
      </c>
      <c r="E245" s="523" t="e">
        <f ca="1">gr('calcul-stats'!BB245)</f>
        <v>#NAME?</v>
      </c>
      <c r="F245" s="523" t="e">
        <f ca="1">gr('calcul-stats'!BC245)</f>
        <v>#NAME?</v>
      </c>
      <c r="G245" s="524" t="e">
        <f t="shared" ca="1" si="3"/>
        <v>#NAME?</v>
      </c>
      <c r="H245" s="523"/>
      <c r="I245" s="523"/>
      <c r="J245" s="523"/>
      <c r="K245" s="523"/>
      <c r="L245" s="523"/>
      <c r="M245" s="523"/>
      <c r="N245" s="523"/>
      <c r="O245" s="523"/>
    </row>
    <row r="246" spans="1:15" x14ac:dyDescent="0.2">
      <c r="A246" s="222">
        <f>calculs!A246</f>
        <v>44797</v>
      </c>
      <c r="B246" s="523" t="e">
        <f ca="1">gr('calcul-stats'!AY246)</f>
        <v>#NAME?</v>
      </c>
      <c r="C246" s="523" t="e">
        <f ca="1">gr('calcul-stats'!AZ246)</f>
        <v>#NAME?</v>
      </c>
      <c r="D246" s="523" t="e">
        <f ca="1">gr('calcul-stats'!BA246)</f>
        <v>#NAME?</v>
      </c>
      <c r="E246" s="523" t="e">
        <f ca="1">gr('calcul-stats'!BB246)</f>
        <v>#NAME?</v>
      </c>
      <c r="F246" s="523" t="e">
        <f ca="1">gr('calcul-stats'!BC246)</f>
        <v>#NAME?</v>
      </c>
      <c r="G246" s="524" t="e">
        <f t="shared" ca="1" si="3"/>
        <v>#NAME?</v>
      </c>
      <c r="H246" s="523"/>
      <c r="I246" s="523"/>
      <c r="J246" s="523"/>
      <c r="K246" s="523"/>
      <c r="L246" s="523"/>
      <c r="M246" s="523"/>
      <c r="N246" s="523"/>
      <c r="O246" s="523"/>
    </row>
    <row r="247" spans="1:15" x14ac:dyDescent="0.2">
      <c r="A247" s="222">
        <f>calculs!A247</f>
        <v>44798</v>
      </c>
      <c r="B247" s="523" t="e">
        <f ca="1">gr('calcul-stats'!AY247)</f>
        <v>#NAME?</v>
      </c>
      <c r="C247" s="523" t="e">
        <f ca="1">gr('calcul-stats'!AZ247)</f>
        <v>#NAME?</v>
      </c>
      <c r="D247" s="523" t="e">
        <f ca="1">gr('calcul-stats'!BA247)</f>
        <v>#NAME?</v>
      </c>
      <c r="E247" s="523" t="e">
        <f ca="1">gr('calcul-stats'!BB247)</f>
        <v>#NAME?</v>
      </c>
      <c r="F247" s="523" t="e">
        <f ca="1">gr('calcul-stats'!BC247)</f>
        <v>#NAME?</v>
      </c>
      <c r="G247" s="524" t="e">
        <f t="shared" ca="1" si="3"/>
        <v>#NAME?</v>
      </c>
      <c r="H247" s="523"/>
      <c r="I247" s="523"/>
      <c r="J247" s="523"/>
      <c r="K247" s="523"/>
      <c r="L247" s="523"/>
      <c r="M247" s="523"/>
      <c r="N247" s="523"/>
      <c r="O247" s="523"/>
    </row>
    <row r="248" spans="1:15" x14ac:dyDescent="0.2">
      <c r="A248" s="222">
        <f>calculs!A248</f>
        <v>44799</v>
      </c>
      <c r="B248" s="523" t="e">
        <f ca="1">gr('calcul-stats'!AY248)</f>
        <v>#NAME?</v>
      </c>
      <c r="C248" s="523" t="e">
        <f ca="1">gr('calcul-stats'!AZ248)</f>
        <v>#NAME?</v>
      </c>
      <c r="D248" s="523" t="e">
        <f ca="1">gr('calcul-stats'!BA248)</f>
        <v>#NAME?</v>
      </c>
      <c r="E248" s="523" t="e">
        <f ca="1">gr('calcul-stats'!BB248)</f>
        <v>#NAME?</v>
      </c>
      <c r="F248" s="523" t="e">
        <f ca="1">gr('calcul-stats'!BC248)</f>
        <v>#NAME?</v>
      </c>
      <c r="G248" s="524" t="e">
        <f t="shared" ca="1" si="3"/>
        <v>#NAME?</v>
      </c>
      <c r="H248" s="523"/>
      <c r="I248" s="523"/>
      <c r="J248" s="523"/>
      <c r="K248" s="523"/>
      <c r="L248" s="523"/>
      <c r="M248" s="523"/>
      <c r="N248" s="523"/>
      <c r="O248" s="523"/>
    </row>
    <row r="249" spans="1:15" x14ac:dyDescent="0.2">
      <c r="A249" s="222">
        <f>calculs!A249</f>
        <v>44800</v>
      </c>
      <c r="B249" s="523" t="e">
        <f ca="1">gr('calcul-stats'!AY249)</f>
        <v>#NAME?</v>
      </c>
      <c r="C249" s="523" t="e">
        <f ca="1">gr('calcul-stats'!AZ249)</f>
        <v>#NAME?</v>
      </c>
      <c r="D249" s="523" t="e">
        <f ca="1">gr('calcul-stats'!BA249)</f>
        <v>#NAME?</v>
      </c>
      <c r="E249" s="523" t="e">
        <f ca="1">gr('calcul-stats'!BB249)</f>
        <v>#NAME?</v>
      </c>
      <c r="F249" s="523" t="e">
        <f ca="1">gr('calcul-stats'!BC249)</f>
        <v>#NAME?</v>
      </c>
      <c r="G249" s="524" t="e">
        <f t="shared" ca="1" si="3"/>
        <v>#NAME?</v>
      </c>
      <c r="H249" s="523"/>
      <c r="I249" s="523"/>
      <c r="J249" s="523"/>
      <c r="K249" s="523"/>
      <c r="L249" s="523"/>
      <c r="M249" s="523"/>
      <c r="N249" s="523"/>
      <c r="O249" s="523"/>
    </row>
    <row r="250" spans="1:15" x14ac:dyDescent="0.2">
      <c r="A250" s="222">
        <f>calculs!A250</f>
        <v>44801</v>
      </c>
      <c r="B250" s="523" t="e">
        <f ca="1">gr('calcul-stats'!AY250)</f>
        <v>#NAME?</v>
      </c>
      <c r="C250" s="523" t="e">
        <f ca="1">gr('calcul-stats'!AZ250)</f>
        <v>#NAME?</v>
      </c>
      <c r="D250" s="523" t="e">
        <f ca="1">gr('calcul-stats'!BA250)</f>
        <v>#NAME?</v>
      </c>
      <c r="E250" s="523" t="e">
        <f ca="1">gr('calcul-stats'!BB250)</f>
        <v>#NAME?</v>
      </c>
      <c r="F250" s="523" t="e">
        <f ca="1">gr('calcul-stats'!BC250)</f>
        <v>#NAME?</v>
      </c>
      <c r="G250" s="524" t="e">
        <f t="shared" ca="1" si="3"/>
        <v>#NAME?</v>
      </c>
      <c r="H250" s="523"/>
      <c r="I250" s="523"/>
      <c r="J250" s="523"/>
      <c r="K250" s="523"/>
      <c r="L250" s="523"/>
      <c r="M250" s="523"/>
      <c r="N250" s="523"/>
      <c r="O250" s="523"/>
    </row>
    <row r="251" spans="1:15" x14ac:dyDescent="0.2">
      <c r="A251" s="222">
        <f>calculs!A251</f>
        <v>44802</v>
      </c>
      <c r="B251" s="523" t="e">
        <f ca="1">gr('calcul-stats'!AY251)</f>
        <v>#NAME?</v>
      </c>
      <c r="C251" s="523" t="e">
        <f ca="1">gr('calcul-stats'!AZ251)</f>
        <v>#NAME?</v>
      </c>
      <c r="D251" s="523" t="e">
        <f ca="1">gr('calcul-stats'!BA251)</f>
        <v>#NAME?</v>
      </c>
      <c r="E251" s="523" t="e">
        <f ca="1">gr('calcul-stats'!BB251)</f>
        <v>#NAME?</v>
      </c>
      <c r="F251" s="523" t="e">
        <f ca="1">gr('calcul-stats'!BC251)</f>
        <v>#NAME?</v>
      </c>
      <c r="G251" s="524" t="e">
        <f t="shared" ca="1" si="3"/>
        <v>#NAME?</v>
      </c>
      <c r="H251" s="523"/>
      <c r="I251" s="523"/>
      <c r="J251" s="523"/>
      <c r="K251" s="523"/>
      <c r="L251" s="523"/>
      <c r="M251" s="523"/>
      <c r="N251" s="523"/>
      <c r="O251" s="523"/>
    </row>
    <row r="252" spans="1:15" x14ac:dyDescent="0.2">
      <c r="A252" s="222">
        <f>calculs!A252</f>
        <v>44803</v>
      </c>
      <c r="B252" s="523" t="e">
        <f ca="1">gr('calcul-stats'!AY252)</f>
        <v>#NAME?</v>
      </c>
      <c r="C252" s="523" t="e">
        <f ca="1">gr('calcul-stats'!AZ252)</f>
        <v>#NAME?</v>
      </c>
      <c r="D252" s="523" t="e">
        <f ca="1">gr('calcul-stats'!BA252)</f>
        <v>#NAME?</v>
      </c>
      <c r="E252" s="523" t="e">
        <f ca="1">gr('calcul-stats'!BB252)</f>
        <v>#NAME?</v>
      </c>
      <c r="F252" s="523" t="e">
        <f ca="1">gr('calcul-stats'!BC252)</f>
        <v>#NAME?</v>
      </c>
      <c r="G252" s="524" t="e">
        <f t="shared" ca="1" si="3"/>
        <v>#NAME?</v>
      </c>
      <c r="H252" s="523"/>
      <c r="I252" s="523"/>
      <c r="J252" s="523"/>
      <c r="K252" s="523"/>
      <c r="L252" s="523"/>
      <c r="M252" s="523"/>
      <c r="N252" s="523"/>
      <c r="O252" s="523"/>
    </row>
    <row r="253" spans="1:15" x14ac:dyDescent="0.2">
      <c r="A253" s="222">
        <f>calculs!A253</f>
        <v>44804</v>
      </c>
      <c r="B253" s="523" t="e">
        <f ca="1">gr('calcul-stats'!AY253)</f>
        <v>#NAME?</v>
      </c>
      <c r="C253" s="523" t="e">
        <f ca="1">gr('calcul-stats'!AZ253)</f>
        <v>#NAME?</v>
      </c>
      <c r="D253" s="523" t="e">
        <f ca="1">gr('calcul-stats'!BA253)</f>
        <v>#NAME?</v>
      </c>
      <c r="E253" s="523" t="e">
        <f ca="1">gr('calcul-stats'!BB253)</f>
        <v>#NAME?</v>
      </c>
      <c r="F253" s="523" t="e">
        <f ca="1">gr('calcul-stats'!BC253)</f>
        <v>#NAME?</v>
      </c>
      <c r="G253" s="524" t="e">
        <f t="shared" ca="1" si="3"/>
        <v>#NAME?</v>
      </c>
      <c r="H253" s="523"/>
      <c r="I253" s="523"/>
      <c r="J253" s="523"/>
      <c r="K253" s="523"/>
      <c r="L253" s="523"/>
      <c r="M253" s="523"/>
      <c r="N253" s="523"/>
      <c r="O253" s="523"/>
    </row>
    <row r="254" spans="1:15" x14ac:dyDescent="0.2">
      <c r="A254" s="222">
        <f>calculs!A254</f>
        <v>44805</v>
      </c>
      <c r="B254" s="523" t="e">
        <f ca="1">gr('calcul-stats'!AY254)</f>
        <v>#NAME?</v>
      </c>
      <c r="C254" s="523" t="e">
        <f ca="1">gr('calcul-stats'!AZ254)</f>
        <v>#NAME?</v>
      </c>
      <c r="D254" s="523" t="e">
        <f ca="1">gr('calcul-stats'!BA254)</f>
        <v>#NAME?</v>
      </c>
      <c r="E254" s="523" t="e">
        <f ca="1">gr('calcul-stats'!BB254)</f>
        <v>#NAME?</v>
      </c>
      <c r="F254" s="523" t="e">
        <f ca="1">gr('calcul-stats'!BC254)</f>
        <v>#NAME?</v>
      </c>
      <c r="G254" s="524" t="e">
        <f t="shared" ca="1" si="3"/>
        <v>#NAME?</v>
      </c>
      <c r="H254" s="523"/>
      <c r="I254" s="523"/>
      <c r="J254" s="523"/>
      <c r="K254" s="523"/>
      <c r="L254" s="523"/>
      <c r="M254" s="523"/>
      <c r="N254" s="523"/>
      <c r="O254" s="523"/>
    </row>
    <row r="255" spans="1:15" x14ac:dyDescent="0.2">
      <c r="A255" s="222">
        <f>calculs!A255</f>
        <v>44806</v>
      </c>
      <c r="B255" s="523" t="e">
        <f ca="1">gr('calcul-stats'!AY255)</f>
        <v>#NAME?</v>
      </c>
      <c r="C255" s="523" t="e">
        <f ca="1">gr('calcul-stats'!AZ255)</f>
        <v>#NAME?</v>
      </c>
      <c r="D255" s="523" t="e">
        <f ca="1">gr('calcul-stats'!BA255)</f>
        <v>#NAME?</v>
      </c>
      <c r="E255" s="523" t="e">
        <f ca="1">gr('calcul-stats'!BB255)</f>
        <v>#NAME?</v>
      </c>
      <c r="F255" s="523" t="e">
        <f ca="1">gr('calcul-stats'!BC255)</f>
        <v>#NAME?</v>
      </c>
      <c r="G255" s="524" t="e">
        <f t="shared" ca="1" si="3"/>
        <v>#NAME?</v>
      </c>
      <c r="H255" s="523"/>
      <c r="I255" s="523"/>
      <c r="J255" s="523"/>
      <c r="K255" s="523"/>
      <c r="L255" s="523"/>
      <c r="M255" s="523"/>
      <c r="N255" s="523"/>
      <c r="O255" s="523"/>
    </row>
    <row r="256" spans="1:15" x14ac:dyDescent="0.2">
      <c r="A256" s="222">
        <f>calculs!A256</f>
        <v>44807</v>
      </c>
      <c r="B256" s="523" t="e">
        <f ca="1">gr('calcul-stats'!AY256)</f>
        <v>#NAME?</v>
      </c>
      <c r="C256" s="523" t="e">
        <f ca="1">gr('calcul-stats'!AZ256)</f>
        <v>#NAME?</v>
      </c>
      <c r="D256" s="523" t="e">
        <f ca="1">gr('calcul-stats'!BA256)</f>
        <v>#NAME?</v>
      </c>
      <c r="E256" s="523" t="e">
        <f ca="1">gr('calcul-stats'!BB256)</f>
        <v>#NAME?</v>
      </c>
      <c r="F256" s="523" t="e">
        <f ca="1">gr('calcul-stats'!BC256)</f>
        <v>#NAME?</v>
      </c>
      <c r="G256" s="524" t="e">
        <f t="shared" ca="1" si="3"/>
        <v>#NAME?</v>
      </c>
      <c r="H256" s="523"/>
      <c r="I256" s="523"/>
      <c r="J256" s="523"/>
      <c r="K256" s="523"/>
      <c r="L256" s="523"/>
      <c r="M256" s="523"/>
      <c r="N256" s="523"/>
      <c r="O256" s="523"/>
    </row>
    <row r="257" spans="1:15" x14ac:dyDescent="0.2">
      <c r="A257" s="222">
        <f>calculs!A257</f>
        <v>44808</v>
      </c>
      <c r="B257" s="523" t="e">
        <f ca="1">gr('calcul-stats'!AY257)</f>
        <v>#NAME?</v>
      </c>
      <c r="C257" s="523" t="e">
        <f ca="1">gr('calcul-stats'!AZ257)</f>
        <v>#NAME?</v>
      </c>
      <c r="D257" s="523" t="e">
        <f ca="1">gr('calcul-stats'!BA257)</f>
        <v>#NAME?</v>
      </c>
      <c r="E257" s="523" t="e">
        <f ca="1">gr('calcul-stats'!BB257)</f>
        <v>#NAME?</v>
      </c>
      <c r="F257" s="523" t="e">
        <f ca="1">gr('calcul-stats'!BC257)</f>
        <v>#NAME?</v>
      </c>
      <c r="G257" s="524" t="e">
        <f t="shared" ca="1" si="3"/>
        <v>#NAME?</v>
      </c>
      <c r="H257" s="523"/>
      <c r="I257" s="523"/>
      <c r="J257" s="523"/>
      <c r="K257" s="523"/>
      <c r="L257" s="523"/>
      <c r="M257" s="523"/>
      <c r="N257" s="523"/>
      <c r="O257" s="523"/>
    </row>
    <row r="258" spans="1:15" x14ac:dyDescent="0.2">
      <c r="A258" s="222">
        <f>calculs!A258</f>
        <v>44809</v>
      </c>
      <c r="B258" s="523" t="e">
        <f ca="1">gr('calcul-stats'!AY258)</f>
        <v>#NAME?</v>
      </c>
      <c r="C258" s="523" t="e">
        <f ca="1">gr('calcul-stats'!AZ258)</f>
        <v>#NAME?</v>
      </c>
      <c r="D258" s="523" t="e">
        <f ca="1">gr('calcul-stats'!BA258)</f>
        <v>#NAME?</v>
      </c>
      <c r="E258" s="523" t="e">
        <f ca="1">gr('calcul-stats'!BB258)</f>
        <v>#NAME?</v>
      </c>
      <c r="F258" s="523" t="e">
        <f ca="1">gr('calcul-stats'!BC258)</f>
        <v>#NAME?</v>
      </c>
      <c r="G258" s="524" t="e">
        <f t="shared" ca="1" si="3"/>
        <v>#NAME?</v>
      </c>
      <c r="H258" s="523"/>
      <c r="I258" s="523"/>
      <c r="J258" s="523"/>
      <c r="K258" s="523"/>
      <c r="L258" s="523"/>
      <c r="M258" s="523"/>
      <c r="N258" s="523"/>
      <c r="O258" s="523"/>
    </row>
    <row r="259" spans="1:15" x14ac:dyDescent="0.2">
      <c r="A259" s="222">
        <f>calculs!A259</f>
        <v>44810</v>
      </c>
      <c r="B259" s="523" t="e">
        <f ca="1">gr('calcul-stats'!AY259)</f>
        <v>#NAME?</v>
      </c>
      <c r="C259" s="523" t="e">
        <f ca="1">gr('calcul-stats'!AZ259)</f>
        <v>#NAME?</v>
      </c>
      <c r="D259" s="523" t="e">
        <f ca="1">gr('calcul-stats'!BA259)</f>
        <v>#NAME?</v>
      </c>
      <c r="E259" s="523" t="e">
        <f ca="1">gr('calcul-stats'!BB259)</f>
        <v>#NAME?</v>
      </c>
      <c r="F259" s="523" t="e">
        <f ca="1">gr('calcul-stats'!BC259)</f>
        <v>#NAME?</v>
      </c>
      <c r="G259" s="524" t="e">
        <f t="shared" ca="1" si="3"/>
        <v>#NAME?</v>
      </c>
      <c r="H259" s="523"/>
      <c r="I259" s="523"/>
      <c r="J259" s="523"/>
      <c r="K259" s="523"/>
      <c r="L259" s="523"/>
      <c r="M259" s="523"/>
      <c r="N259" s="523"/>
      <c r="O259" s="523"/>
    </row>
    <row r="260" spans="1:15" x14ac:dyDescent="0.2">
      <c r="A260" s="222">
        <f>calculs!A260</f>
        <v>44811</v>
      </c>
      <c r="B260" s="523" t="e">
        <f ca="1">gr('calcul-stats'!AY260)</f>
        <v>#NAME?</v>
      </c>
      <c r="C260" s="523" t="e">
        <f ca="1">gr('calcul-stats'!AZ260)</f>
        <v>#NAME?</v>
      </c>
      <c r="D260" s="523" t="e">
        <f ca="1">gr('calcul-stats'!BA260)</f>
        <v>#NAME?</v>
      </c>
      <c r="E260" s="523" t="e">
        <f ca="1">gr('calcul-stats'!BB260)</f>
        <v>#NAME?</v>
      </c>
      <c r="F260" s="523" t="e">
        <f ca="1">gr('calcul-stats'!BC260)</f>
        <v>#NAME?</v>
      </c>
      <c r="G260" s="524" t="e">
        <f t="shared" ca="1" si="3"/>
        <v>#NAME?</v>
      </c>
      <c r="H260" s="523"/>
      <c r="I260" s="523"/>
      <c r="J260" s="523"/>
      <c r="K260" s="523"/>
      <c r="L260" s="523"/>
      <c r="M260" s="523"/>
      <c r="N260" s="523"/>
      <c r="O260" s="523"/>
    </row>
    <row r="261" spans="1:15" x14ac:dyDescent="0.2">
      <c r="A261" s="222">
        <f>calculs!A261</f>
        <v>44812</v>
      </c>
      <c r="B261" s="523" t="e">
        <f ca="1">gr('calcul-stats'!AY261)</f>
        <v>#NAME?</v>
      </c>
      <c r="C261" s="523" t="e">
        <f ca="1">gr('calcul-stats'!AZ261)</f>
        <v>#NAME?</v>
      </c>
      <c r="D261" s="523" t="e">
        <f ca="1">gr('calcul-stats'!BA261)</f>
        <v>#NAME?</v>
      </c>
      <c r="E261" s="523" t="e">
        <f ca="1">gr('calcul-stats'!BB261)</f>
        <v>#NAME?</v>
      </c>
      <c r="F261" s="523" t="e">
        <f ca="1">gr('calcul-stats'!BC261)</f>
        <v>#NAME?</v>
      </c>
      <c r="G261" s="524" t="e">
        <f t="shared" ca="1" si="3"/>
        <v>#NAME?</v>
      </c>
      <c r="H261" s="523"/>
      <c r="I261" s="523"/>
      <c r="J261" s="523"/>
      <c r="K261" s="523"/>
      <c r="L261" s="523"/>
      <c r="M261" s="523"/>
      <c r="N261" s="523"/>
      <c r="O261" s="523"/>
    </row>
    <row r="262" spans="1:15" x14ac:dyDescent="0.2">
      <c r="A262" s="222">
        <f>calculs!A262</f>
        <v>44813</v>
      </c>
      <c r="B262" s="523" t="e">
        <f ca="1">gr('calcul-stats'!AY262)</f>
        <v>#NAME?</v>
      </c>
      <c r="C262" s="523" t="e">
        <f ca="1">gr('calcul-stats'!AZ262)</f>
        <v>#NAME?</v>
      </c>
      <c r="D262" s="523" t="e">
        <f ca="1">gr('calcul-stats'!BA262)</f>
        <v>#NAME?</v>
      </c>
      <c r="E262" s="523" t="e">
        <f ca="1">gr('calcul-stats'!BB262)</f>
        <v>#NAME?</v>
      </c>
      <c r="F262" s="523" t="e">
        <f ca="1">gr('calcul-stats'!BC262)</f>
        <v>#NAME?</v>
      </c>
      <c r="G262" s="524" t="e">
        <f t="shared" ca="1" si="3"/>
        <v>#NAME?</v>
      </c>
      <c r="H262" s="523"/>
      <c r="I262" s="523"/>
      <c r="J262" s="523"/>
      <c r="K262" s="523"/>
      <c r="L262" s="523"/>
      <c r="M262" s="523"/>
      <c r="N262" s="523"/>
      <c r="O262" s="523"/>
    </row>
    <row r="263" spans="1:15" x14ac:dyDescent="0.2">
      <c r="A263" s="222">
        <f>calculs!A263</f>
        <v>44814</v>
      </c>
      <c r="B263" s="523" t="e">
        <f ca="1">gr('calcul-stats'!AY263)</f>
        <v>#NAME?</v>
      </c>
      <c r="C263" s="523" t="e">
        <f ca="1">gr('calcul-stats'!AZ263)</f>
        <v>#NAME?</v>
      </c>
      <c r="D263" s="523" t="e">
        <f ca="1">gr('calcul-stats'!BA263)</f>
        <v>#NAME?</v>
      </c>
      <c r="E263" s="523" t="e">
        <f ca="1">gr('calcul-stats'!BB263)</f>
        <v>#NAME?</v>
      </c>
      <c r="F263" s="523" t="e">
        <f ca="1">gr('calcul-stats'!BC263)</f>
        <v>#NAME?</v>
      </c>
      <c r="G263" s="524" t="e">
        <f t="shared" ca="1" si="3"/>
        <v>#NAME?</v>
      </c>
      <c r="H263" s="523"/>
      <c r="I263" s="523"/>
      <c r="J263" s="523"/>
      <c r="K263" s="523"/>
      <c r="L263" s="523"/>
      <c r="M263" s="523"/>
      <c r="N263" s="523"/>
      <c r="O263" s="523"/>
    </row>
    <row r="264" spans="1:15" x14ac:dyDescent="0.2">
      <c r="A264" s="222">
        <f>calculs!A264</f>
        <v>44815</v>
      </c>
      <c r="B264" s="523" t="e">
        <f ca="1">gr('calcul-stats'!AY264)</f>
        <v>#NAME?</v>
      </c>
      <c r="C264" s="523" t="e">
        <f ca="1">gr('calcul-stats'!AZ264)</f>
        <v>#NAME?</v>
      </c>
      <c r="D264" s="523" t="e">
        <f ca="1">gr('calcul-stats'!BA264)</f>
        <v>#NAME?</v>
      </c>
      <c r="E264" s="523" t="e">
        <f ca="1">gr('calcul-stats'!BB264)</f>
        <v>#NAME?</v>
      </c>
      <c r="F264" s="523" t="e">
        <f ca="1">gr('calcul-stats'!BC264)</f>
        <v>#NAME?</v>
      </c>
      <c r="G264" s="524" t="e">
        <f t="shared" ca="1" si="3"/>
        <v>#NAME?</v>
      </c>
      <c r="H264" s="523"/>
      <c r="I264" s="523"/>
      <c r="J264" s="523"/>
      <c r="K264" s="523"/>
      <c r="L264" s="523"/>
      <c r="M264" s="523"/>
      <c r="N264" s="523"/>
      <c r="O264" s="523"/>
    </row>
    <row r="265" spans="1:15" x14ac:dyDescent="0.2">
      <c r="A265" s="222">
        <f>calculs!A265</f>
        <v>44816</v>
      </c>
      <c r="B265" s="523" t="e">
        <f ca="1">gr('calcul-stats'!AY265)</f>
        <v>#NAME?</v>
      </c>
      <c r="C265" s="523" t="e">
        <f ca="1">gr('calcul-stats'!AZ265)</f>
        <v>#NAME?</v>
      </c>
      <c r="D265" s="523" t="e">
        <f ca="1">gr('calcul-stats'!BA265)</f>
        <v>#NAME?</v>
      </c>
      <c r="E265" s="523" t="e">
        <f ca="1">gr('calcul-stats'!BB265)</f>
        <v>#NAME?</v>
      </c>
      <c r="F265" s="523" t="e">
        <f ca="1">gr('calcul-stats'!BC265)</f>
        <v>#NAME?</v>
      </c>
      <c r="G265" s="524" t="e">
        <f t="shared" ca="1" si="3"/>
        <v>#NAME?</v>
      </c>
      <c r="H265" s="523"/>
      <c r="I265" s="523"/>
      <c r="J265" s="523"/>
      <c r="K265" s="523"/>
      <c r="L265" s="523"/>
      <c r="M265" s="523"/>
      <c r="N265" s="523"/>
      <c r="O265" s="523"/>
    </row>
    <row r="266" spans="1:15" x14ac:dyDescent="0.2">
      <c r="A266" s="222">
        <f>calculs!A266</f>
        <v>44817</v>
      </c>
      <c r="B266" s="523" t="e">
        <f ca="1">gr('calcul-stats'!AY266)</f>
        <v>#NAME?</v>
      </c>
      <c r="C266" s="523" t="e">
        <f ca="1">gr('calcul-stats'!AZ266)</f>
        <v>#NAME?</v>
      </c>
      <c r="D266" s="523" t="e">
        <f ca="1">gr('calcul-stats'!BA266)</f>
        <v>#NAME?</v>
      </c>
      <c r="E266" s="523" t="e">
        <f ca="1">gr('calcul-stats'!BB266)</f>
        <v>#NAME?</v>
      </c>
      <c r="F266" s="523" t="e">
        <f ca="1">gr('calcul-stats'!BC266)</f>
        <v>#NAME?</v>
      </c>
      <c r="G266" s="524" t="e">
        <f t="shared" ca="1" si="3"/>
        <v>#NAME?</v>
      </c>
      <c r="H266" s="523"/>
      <c r="I266" s="523"/>
      <c r="J266" s="523"/>
      <c r="K266" s="523"/>
      <c r="L266" s="523"/>
      <c r="M266" s="523"/>
      <c r="N266" s="523"/>
      <c r="O266" s="523"/>
    </row>
    <row r="267" spans="1:15" x14ac:dyDescent="0.2">
      <c r="A267" s="222">
        <f>calculs!A267</f>
        <v>44818</v>
      </c>
      <c r="B267" s="523" t="e">
        <f ca="1">gr('calcul-stats'!AY267)</f>
        <v>#NAME?</v>
      </c>
      <c r="C267" s="523" t="e">
        <f ca="1">gr('calcul-stats'!AZ267)</f>
        <v>#NAME?</v>
      </c>
      <c r="D267" s="523" t="e">
        <f ca="1">gr('calcul-stats'!BA267)</f>
        <v>#NAME?</v>
      </c>
      <c r="E267" s="523" t="e">
        <f ca="1">gr('calcul-stats'!BB267)</f>
        <v>#NAME?</v>
      </c>
      <c r="F267" s="523" t="e">
        <f ca="1">gr('calcul-stats'!BC267)</f>
        <v>#NAME?</v>
      </c>
      <c r="G267" s="524" t="e">
        <f t="shared" ca="1" si="3"/>
        <v>#NAME?</v>
      </c>
      <c r="H267" s="523"/>
      <c r="I267" s="523"/>
      <c r="J267" s="523"/>
      <c r="K267" s="523"/>
      <c r="L267" s="523"/>
      <c r="M267" s="523"/>
      <c r="N267" s="523"/>
      <c r="O267" s="523"/>
    </row>
    <row r="268" spans="1:15" x14ac:dyDescent="0.2">
      <c r="A268" s="222">
        <f>calculs!A268</f>
        <v>44819</v>
      </c>
      <c r="B268" s="523" t="e">
        <f ca="1">gr('calcul-stats'!AY268)</f>
        <v>#NAME?</v>
      </c>
      <c r="C268" s="523" t="e">
        <f ca="1">gr('calcul-stats'!AZ268)</f>
        <v>#NAME?</v>
      </c>
      <c r="D268" s="523" t="e">
        <f ca="1">gr('calcul-stats'!BA268)</f>
        <v>#NAME?</v>
      </c>
      <c r="E268" s="523" t="e">
        <f ca="1">gr('calcul-stats'!BB268)</f>
        <v>#NAME?</v>
      </c>
      <c r="F268" s="523" t="e">
        <f ca="1">gr('calcul-stats'!BC268)</f>
        <v>#NAME?</v>
      </c>
      <c r="G268" s="524" t="e">
        <f t="shared" ref="G268:G331" ca="1" si="4">AVERAGE(B268:F268)</f>
        <v>#NAME?</v>
      </c>
      <c r="H268" s="523"/>
      <c r="I268" s="523"/>
      <c r="J268" s="523"/>
      <c r="K268" s="523"/>
      <c r="L268" s="523"/>
      <c r="M268" s="523"/>
      <c r="N268" s="523"/>
      <c r="O268" s="523"/>
    </row>
    <row r="269" spans="1:15" x14ac:dyDescent="0.2">
      <c r="A269" s="222">
        <f>calculs!A269</f>
        <v>44820</v>
      </c>
      <c r="B269" s="523" t="e">
        <f ca="1">gr('calcul-stats'!AY269)</f>
        <v>#NAME?</v>
      </c>
      <c r="C269" s="523" t="e">
        <f ca="1">gr('calcul-stats'!AZ269)</f>
        <v>#NAME?</v>
      </c>
      <c r="D269" s="523" t="e">
        <f ca="1">gr('calcul-stats'!BA269)</f>
        <v>#NAME?</v>
      </c>
      <c r="E269" s="523" t="e">
        <f ca="1">gr('calcul-stats'!BB269)</f>
        <v>#NAME?</v>
      </c>
      <c r="F269" s="523" t="e">
        <f ca="1">gr('calcul-stats'!BC269)</f>
        <v>#NAME?</v>
      </c>
      <c r="G269" s="524" t="e">
        <f t="shared" ca="1" si="4"/>
        <v>#NAME?</v>
      </c>
      <c r="H269" s="523"/>
      <c r="I269" s="523"/>
      <c r="J269" s="523"/>
      <c r="K269" s="523"/>
      <c r="L269" s="523"/>
      <c r="M269" s="523"/>
      <c r="N269" s="523"/>
      <c r="O269" s="523"/>
    </row>
    <row r="270" spans="1:15" x14ac:dyDescent="0.2">
      <c r="A270" s="222">
        <f>calculs!A270</f>
        <v>44821</v>
      </c>
      <c r="B270" s="523" t="e">
        <f ca="1">gr('calcul-stats'!AY270)</f>
        <v>#NAME?</v>
      </c>
      <c r="C270" s="523" t="e">
        <f ca="1">gr('calcul-stats'!AZ270)</f>
        <v>#NAME?</v>
      </c>
      <c r="D270" s="523" t="e">
        <f ca="1">gr('calcul-stats'!BA270)</f>
        <v>#NAME?</v>
      </c>
      <c r="E270" s="523" t="e">
        <f ca="1">gr('calcul-stats'!BB270)</f>
        <v>#NAME?</v>
      </c>
      <c r="F270" s="523" t="e">
        <f ca="1">gr('calcul-stats'!BC270)</f>
        <v>#NAME?</v>
      </c>
      <c r="G270" s="524" t="e">
        <f t="shared" ca="1" si="4"/>
        <v>#NAME?</v>
      </c>
      <c r="H270" s="523"/>
      <c r="I270" s="523"/>
      <c r="J270" s="523"/>
      <c r="K270" s="523"/>
      <c r="L270" s="523"/>
      <c r="M270" s="523"/>
      <c r="N270" s="523"/>
      <c r="O270" s="523"/>
    </row>
    <row r="271" spans="1:15" x14ac:dyDescent="0.2">
      <c r="A271" s="222">
        <f>calculs!A271</f>
        <v>44822</v>
      </c>
      <c r="B271" s="523" t="e">
        <f ca="1">gr('calcul-stats'!AY271)</f>
        <v>#NAME?</v>
      </c>
      <c r="C271" s="523" t="e">
        <f ca="1">gr('calcul-stats'!AZ271)</f>
        <v>#NAME?</v>
      </c>
      <c r="D271" s="523" t="e">
        <f ca="1">gr('calcul-stats'!BA271)</f>
        <v>#NAME?</v>
      </c>
      <c r="E271" s="523" t="e">
        <f ca="1">gr('calcul-stats'!BB271)</f>
        <v>#NAME?</v>
      </c>
      <c r="F271" s="523" t="e">
        <f ca="1">gr('calcul-stats'!BC271)</f>
        <v>#NAME?</v>
      </c>
      <c r="G271" s="524" t="e">
        <f t="shared" ca="1" si="4"/>
        <v>#NAME?</v>
      </c>
      <c r="H271" s="523"/>
      <c r="I271" s="523"/>
      <c r="J271" s="523"/>
      <c r="K271" s="523"/>
      <c r="L271" s="523"/>
      <c r="M271" s="523"/>
      <c r="N271" s="523"/>
      <c r="O271" s="523"/>
    </row>
    <row r="272" spans="1:15" x14ac:dyDescent="0.2">
      <c r="A272" s="222">
        <f>calculs!A272</f>
        <v>44823</v>
      </c>
      <c r="B272" s="523" t="e">
        <f ca="1">gr('calcul-stats'!AY272)</f>
        <v>#NAME?</v>
      </c>
      <c r="C272" s="523" t="e">
        <f ca="1">gr('calcul-stats'!AZ272)</f>
        <v>#NAME?</v>
      </c>
      <c r="D272" s="523" t="e">
        <f ca="1">gr('calcul-stats'!BA272)</f>
        <v>#NAME?</v>
      </c>
      <c r="E272" s="523" t="e">
        <f ca="1">gr('calcul-stats'!BB272)</f>
        <v>#NAME?</v>
      </c>
      <c r="F272" s="523" t="e">
        <f ca="1">gr('calcul-stats'!BC272)</f>
        <v>#NAME?</v>
      </c>
      <c r="G272" s="524" t="e">
        <f t="shared" ca="1" si="4"/>
        <v>#NAME?</v>
      </c>
      <c r="H272" s="523"/>
      <c r="I272" s="523"/>
      <c r="J272" s="523"/>
      <c r="K272" s="523"/>
      <c r="L272" s="523"/>
      <c r="M272" s="523"/>
      <c r="N272" s="523"/>
      <c r="O272" s="523"/>
    </row>
    <row r="273" spans="1:15" x14ac:dyDescent="0.2">
      <c r="A273" s="222">
        <f>calculs!A273</f>
        <v>44824</v>
      </c>
      <c r="B273" s="523" t="e">
        <f ca="1">gr('calcul-stats'!AY273)</f>
        <v>#NAME?</v>
      </c>
      <c r="C273" s="523" t="e">
        <f ca="1">gr('calcul-stats'!AZ273)</f>
        <v>#NAME?</v>
      </c>
      <c r="D273" s="523" t="e">
        <f ca="1">gr('calcul-stats'!BA273)</f>
        <v>#NAME?</v>
      </c>
      <c r="E273" s="523" t="e">
        <f ca="1">gr('calcul-stats'!BB273)</f>
        <v>#NAME?</v>
      </c>
      <c r="F273" s="523" t="e">
        <f ca="1">gr('calcul-stats'!BC273)</f>
        <v>#NAME?</v>
      </c>
      <c r="G273" s="524" t="e">
        <f t="shared" ca="1" si="4"/>
        <v>#NAME?</v>
      </c>
      <c r="H273" s="523"/>
      <c r="I273" s="523"/>
      <c r="J273" s="523"/>
      <c r="K273" s="523"/>
      <c r="L273" s="523"/>
      <c r="M273" s="523"/>
      <c r="N273" s="523"/>
      <c r="O273" s="523"/>
    </row>
    <row r="274" spans="1:15" x14ac:dyDescent="0.2">
      <c r="A274" s="222">
        <f>calculs!A274</f>
        <v>44825</v>
      </c>
      <c r="B274" s="523" t="e">
        <f ca="1">gr('calcul-stats'!AY274)</f>
        <v>#NAME?</v>
      </c>
      <c r="C274" s="523" t="e">
        <f ca="1">gr('calcul-stats'!AZ274)</f>
        <v>#NAME?</v>
      </c>
      <c r="D274" s="523" t="e">
        <f ca="1">gr('calcul-stats'!BA274)</f>
        <v>#NAME?</v>
      </c>
      <c r="E274" s="523" t="e">
        <f ca="1">gr('calcul-stats'!BB274)</f>
        <v>#NAME?</v>
      </c>
      <c r="F274" s="523" t="e">
        <f ca="1">gr('calcul-stats'!BC274)</f>
        <v>#NAME?</v>
      </c>
      <c r="G274" s="524" t="e">
        <f t="shared" ca="1" si="4"/>
        <v>#NAME?</v>
      </c>
      <c r="H274" s="523"/>
      <c r="I274" s="523"/>
      <c r="J274" s="523"/>
      <c r="K274" s="523"/>
      <c r="L274" s="523"/>
      <c r="M274" s="523"/>
      <c r="N274" s="523"/>
      <c r="O274" s="523"/>
    </row>
    <row r="275" spans="1:15" x14ac:dyDescent="0.2">
      <c r="A275" s="222">
        <f>calculs!A275</f>
        <v>44826</v>
      </c>
      <c r="B275" s="523" t="e">
        <f ca="1">gr('calcul-stats'!AY275)</f>
        <v>#NAME?</v>
      </c>
      <c r="C275" s="523" t="e">
        <f ca="1">gr('calcul-stats'!AZ275)</f>
        <v>#NAME?</v>
      </c>
      <c r="D275" s="523" t="e">
        <f ca="1">gr('calcul-stats'!BA275)</f>
        <v>#NAME?</v>
      </c>
      <c r="E275" s="523" t="e">
        <f ca="1">gr('calcul-stats'!BB275)</f>
        <v>#NAME?</v>
      </c>
      <c r="F275" s="523" t="e">
        <f ca="1">gr('calcul-stats'!BC275)</f>
        <v>#NAME?</v>
      </c>
      <c r="G275" s="524" t="e">
        <f t="shared" ca="1" si="4"/>
        <v>#NAME?</v>
      </c>
      <c r="H275" s="523"/>
      <c r="I275" s="523"/>
      <c r="J275" s="523"/>
      <c r="K275" s="523"/>
      <c r="L275" s="523"/>
      <c r="M275" s="523"/>
      <c r="N275" s="523"/>
      <c r="O275" s="523"/>
    </row>
    <row r="276" spans="1:15" x14ac:dyDescent="0.2">
      <c r="A276" s="222">
        <f>calculs!A276</f>
        <v>44827</v>
      </c>
      <c r="B276" s="523" t="e">
        <f ca="1">gr('calcul-stats'!AY276)</f>
        <v>#NAME?</v>
      </c>
      <c r="C276" s="523" t="e">
        <f ca="1">gr('calcul-stats'!AZ276)</f>
        <v>#NAME?</v>
      </c>
      <c r="D276" s="523" t="e">
        <f ca="1">gr('calcul-stats'!BA276)</f>
        <v>#NAME?</v>
      </c>
      <c r="E276" s="523" t="e">
        <f ca="1">gr('calcul-stats'!BB276)</f>
        <v>#NAME?</v>
      </c>
      <c r="F276" s="523" t="e">
        <f ca="1">gr('calcul-stats'!BC276)</f>
        <v>#NAME?</v>
      </c>
      <c r="G276" s="524" t="e">
        <f t="shared" ca="1" si="4"/>
        <v>#NAME?</v>
      </c>
      <c r="H276" s="523"/>
      <c r="I276" s="523"/>
      <c r="J276" s="523"/>
      <c r="K276" s="523"/>
      <c r="L276" s="523"/>
      <c r="M276" s="523"/>
      <c r="N276" s="523"/>
      <c r="O276" s="523"/>
    </row>
    <row r="277" spans="1:15" x14ac:dyDescent="0.2">
      <c r="A277" s="222">
        <f>calculs!A277</f>
        <v>44828</v>
      </c>
      <c r="B277" s="523" t="e">
        <f ca="1">gr('calcul-stats'!AY277)</f>
        <v>#NAME?</v>
      </c>
      <c r="C277" s="523" t="e">
        <f ca="1">gr('calcul-stats'!AZ277)</f>
        <v>#NAME?</v>
      </c>
      <c r="D277" s="523" t="e">
        <f ca="1">gr('calcul-stats'!BA277)</f>
        <v>#NAME?</v>
      </c>
      <c r="E277" s="523" t="e">
        <f ca="1">gr('calcul-stats'!BB277)</f>
        <v>#NAME?</v>
      </c>
      <c r="F277" s="523" t="e">
        <f ca="1">gr('calcul-stats'!BC277)</f>
        <v>#NAME?</v>
      </c>
      <c r="G277" s="524" t="e">
        <f t="shared" ca="1" si="4"/>
        <v>#NAME?</v>
      </c>
      <c r="H277" s="523"/>
      <c r="I277" s="523"/>
      <c r="J277" s="523"/>
      <c r="K277" s="523"/>
      <c r="L277" s="523"/>
      <c r="M277" s="523"/>
      <c r="N277" s="523"/>
      <c r="O277" s="523"/>
    </row>
    <row r="278" spans="1:15" x14ac:dyDescent="0.2">
      <c r="A278" s="222">
        <f>calculs!A278</f>
        <v>44829</v>
      </c>
      <c r="B278" s="523" t="e">
        <f ca="1">gr('calcul-stats'!AY278)</f>
        <v>#NAME?</v>
      </c>
      <c r="C278" s="523" t="e">
        <f ca="1">gr('calcul-stats'!AZ278)</f>
        <v>#NAME?</v>
      </c>
      <c r="D278" s="523" t="e">
        <f ca="1">gr('calcul-stats'!BA278)</f>
        <v>#NAME?</v>
      </c>
      <c r="E278" s="523" t="e">
        <f ca="1">gr('calcul-stats'!BB278)</f>
        <v>#NAME?</v>
      </c>
      <c r="F278" s="523" t="e">
        <f ca="1">gr('calcul-stats'!BC278)</f>
        <v>#NAME?</v>
      </c>
      <c r="G278" s="524" t="e">
        <f t="shared" ca="1" si="4"/>
        <v>#NAME?</v>
      </c>
      <c r="H278" s="523"/>
      <c r="I278" s="523"/>
      <c r="J278" s="523"/>
      <c r="K278" s="523"/>
      <c r="L278" s="523"/>
      <c r="M278" s="523"/>
      <c r="N278" s="523"/>
      <c r="O278" s="523"/>
    </row>
    <row r="279" spans="1:15" x14ac:dyDescent="0.2">
      <c r="A279" s="222">
        <f>calculs!A279</f>
        <v>44830</v>
      </c>
      <c r="B279" s="523" t="e">
        <f ca="1">gr('calcul-stats'!AY279)</f>
        <v>#NAME?</v>
      </c>
      <c r="C279" s="523" t="e">
        <f ca="1">gr('calcul-stats'!AZ279)</f>
        <v>#NAME?</v>
      </c>
      <c r="D279" s="523" t="e">
        <f ca="1">gr('calcul-stats'!BA279)</f>
        <v>#NAME?</v>
      </c>
      <c r="E279" s="523" t="e">
        <f ca="1">gr('calcul-stats'!BB279)</f>
        <v>#NAME?</v>
      </c>
      <c r="F279" s="523" t="e">
        <f ca="1">gr('calcul-stats'!BC279)</f>
        <v>#NAME?</v>
      </c>
      <c r="G279" s="524" t="e">
        <f t="shared" ca="1" si="4"/>
        <v>#NAME?</v>
      </c>
      <c r="H279" s="523"/>
      <c r="I279" s="523"/>
      <c r="J279" s="523"/>
      <c r="K279" s="523"/>
      <c r="L279" s="523"/>
      <c r="M279" s="523"/>
      <c r="N279" s="523"/>
      <c r="O279" s="523"/>
    </row>
    <row r="280" spans="1:15" x14ac:dyDescent="0.2">
      <c r="A280" s="222">
        <f>calculs!A280</f>
        <v>44831</v>
      </c>
      <c r="B280" s="523" t="e">
        <f ca="1">gr('calcul-stats'!AY280)</f>
        <v>#NAME?</v>
      </c>
      <c r="C280" s="523" t="e">
        <f ca="1">gr('calcul-stats'!AZ280)</f>
        <v>#NAME?</v>
      </c>
      <c r="D280" s="523" t="e">
        <f ca="1">gr('calcul-stats'!BA280)</f>
        <v>#NAME?</v>
      </c>
      <c r="E280" s="523" t="e">
        <f ca="1">gr('calcul-stats'!BB280)</f>
        <v>#NAME?</v>
      </c>
      <c r="F280" s="523" t="e">
        <f ca="1">gr('calcul-stats'!BC280)</f>
        <v>#NAME?</v>
      </c>
      <c r="G280" s="524" t="e">
        <f t="shared" ca="1" si="4"/>
        <v>#NAME?</v>
      </c>
      <c r="H280" s="523"/>
      <c r="I280" s="523"/>
      <c r="J280" s="523"/>
      <c r="K280" s="523"/>
      <c r="L280" s="523"/>
      <c r="M280" s="523"/>
      <c r="N280" s="523"/>
      <c r="O280" s="523"/>
    </row>
    <row r="281" spans="1:15" x14ac:dyDescent="0.2">
      <c r="A281" s="222">
        <f>calculs!A281</f>
        <v>44832</v>
      </c>
      <c r="B281" s="523" t="e">
        <f ca="1">gr('calcul-stats'!AY281)</f>
        <v>#NAME?</v>
      </c>
      <c r="C281" s="523" t="e">
        <f ca="1">gr('calcul-stats'!AZ281)</f>
        <v>#NAME?</v>
      </c>
      <c r="D281" s="523" t="e">
        <f ca="1">gr('calcul-stats'!BA281)</f>
        <v>#NAME?</v>
      </c>
      <c r="E281" s="523" t="e">
        <f ca="1">gr('calcul-stats'!BB281)</f>
        <v>#NAME?</v>
      </c>
      <c r="F281" s="523" t="e">
        <f ca="1">gr('calcul-stats'!BC281)</f>
        <v>#NAME?</v>
      </c>
      <c r="G281" s="524" t="e">
        <f t="shared" ca="1" si="4"/>
        <v>#NAME?</v>
      </c>
      <c r="H281" s="523"/>
      <c r="I281" s="523"/>
      <c r="J281" s="523"/>
      <c r="K281" s="523"/>
      <c r="L281" s="523"/>
      <c r="M281" s="523"/>
      <c r="N281" s="523"/>
      <c r="O281" s="523"/>
    </row>
    <row r="282" spans="1:15" x14ac:dyDescent="0.2">
      <c r="A282" s="222">
        <f>calculs!A282</f>
        <v>44833</v>
      </c>
      <c r="B282" s="523" t="e">
        <f ca="1">gr('calcul-stats'!AY282)</f>
        <v>#NAME?</v>
      </c>
      <c r="C282" s="523" t="e">
        <f ca="1">gr('calcul-stats'!AZ282)</f>
        <v>#NAME?</v>
      </c>
      <c r="D282" s="523" t="e">
        <f ca="1">gr('calcul-stats'!BA282)</f>
        <v>#NAME?</v>
      </c>
      <c r="E282" s="523" t="e">
        <f ca="1">gr('calcul-stats'!BB282)</f>
        <v>#NAME?</v>
      </c>
      <c r="F282" s="523" t="e">
        <f ca="1">gr('calcul-stats'!BC282)</f>
        <v>#NAME?</v>
      </c>
      <c r="G282" s="524" t="e">
        <f t="shared" ca="1" si="4"/>
        <v>#NAME?</v>
      </c>
      <c r="H282" s="523"/>
      <c r="I282" s="523"/>
      <c r="J282" s="523"/>
      <c r="K282" s="523"/>
      <c r="L282" s="523"/>
      <c r="M282" s="523"/>
      <c r="N282" s="523"/>
      <c r="O282" s="523"/>
    </row>
    <row r="283" spans="1:15" x14ac:dyDescent="0.2">
      <c r="A283" s="222">
        <f>calculs!A283</f>
        <v>44834</v>
      </c>
      <c r="B283" s="523" t="e">
        <f ca="1">gr('calcul-stats'!AY283)</f>
        <v>#NAME?</v>
      </c>
      <c r="C283" s="523" t="e">
        <f ca="1">gr('calcul-stats'!AZ283)</f>
        <v>#NAME?</v>
      </c>
      <c r="D283" s="523" t="e">
        <f ca="1">gr('calcul-stats'!BA283)</f>
        <v>#NAME?</v>
      </c>
      <c r="E283" s="523" t="e">
        <f ca="1">gr('calcul-stats'!BB283)</f>
        <v>#NAME?</v>
      </c>
      <c r="F283" s="523" t="e">
        <f ca="1">gr('calcul-stats'!BC283)</f>
        <v>#NAME?</v>
      </c>
      <c r="G283" s="524" t="e">
        <f t="shared" ca="1" si="4"/>
        <v>#NAME?</v>
      </c>
      <c r="H283" s="523"/>
      <c r="I283" s="523"/>
      <c r="J283" s="523"/>
      <c r="K283" s="523"/>
      <c r="L283" s="523"/>
      <c r="M283" s="523"/>
      <c r="N283" s="523"/>
      <c r="O283" s="523"/>
    </row>
    <row r="284" spans="1:15" x14ac:dyDescent="0.2">
      <c r="A284" s="222">
        <f>calculs!A284</f>
        <v>44835</v>
      </c>
      <c r="B284" s="523" t="e">
        <f ca="1">gr('calcul-stats'!AY284)</f>
        <v>#NAME?</v>
      </c>
      <c r="C284" s="523" t="e">
        <f ca="1">gr('calcul-stats'!AZ284)</f>
        <v>#NAME?</v>
      </c>
      <c r="D284" s="523" t="e">
        <f ca="1">gr('calcul-stats'!BA284)</f>
        <v>#NAME?</v>
      </c>
      <c r="E284" s="523" t="e">
        <f ca="1">gr('calcul-stats'!BB284)</f>
        <v>#NAME?</v>
      </c>
      <c r="F284" s="523" t="e">
        <f ca="1">gr('calcul-stats'!BC284)</f>
        <v>#NAME?</v>
      </c>
      <c r="G284" s="524" t="e">
        <f t="shared" ca="1" si="4"/>
        <v>#NAME?</v>
      </c>
      <c r="H284" s="523"/>
      <c r="I284" s="523"/>
      <c r="J284" s="523"/>
      <c r="K284" s="523"/>
      <c r="L284" s="523"/>
      <c r="M284" s="523"/>
      <c r="N284" s="523"/>
      <c r="O284" s="523"/>
    </row>
    <row r="285" spans="1:15" x14ac:dyDescent="0.2">
      <c r="A285" s="222">
        <f>calculs!A285</f>
        <v>44836</v>
      </c>
      <c r="B285" s="523" t="e">
        <f ca="1">gr('calcul-stats'!AY285)</f>
        <v>#NAME?</v>
      </c>
      <c r="C285" s="523" t="e">
        <f ca="1">gr('calcul-stats'!AZ285)</f>
        <v>#NAME?</v>
      </c>
      <c r="D285" s="523" t="e">
        <f ca="1">gr('calcul-stats'!BA285)</f>
        <v>#NAME?</v>
      </c>
      <c r="E285" s="523" t="e">
        <f ca="1">gr('calcul-stats'!BB285)</f>
        <v>#NAME?</v>
      </c>
      <c r="F285" s="523" t="e">
        <f ca="1">gr('calcul-stats'!BC285)</f>
        <v>#NAME?</v>
      </c>
      <c r="G285" s="524" t="e">
        <f t="shared" ca="1" si="4"/>
        <v>#NAME?</v>
      </c>
      <c r="H285" s="523"/>
      <c r="I285" s="523"/>
      <c r="J285" s="523"/>
      <c r="K285" s="523"/>
      <c r="L285" s="523"/>
      <c r="M285" s="523"/>
      <c r="N285" s="523"/>
      <c r="O285" s="523"/>
    </row>
    <row r="286" spans="1:15" x14ac:dyDescent="0.2">
      <c r="A286" s="222">
        <f>calculs!A286</f>
        <v>44837</v>
      </c>
      <c r="B286" s="523" t="e">
        <f ca="1">gr('calcul-stats'!AY286)</f>
        <v>#NAME?</v>
      </c>
      <c r="C286" s="523" t="e">
        <f ca="1">gr('calcul-stats'!AZ286)</f>
        <v>#NAME?</v>
      </c>
      <c r="D286" s="523" t="e">
        <f ca="1">gr('calcul-stats'!BA286)</f>
        <v>#NAME?</v>
      </c>
      <c r="E286" s="523" t="e">
        <f ca="1">gr('calcul-stats'!BB286)</f>
        <v>#NAME?</v>
      </c>
      <c r="F286" s="523" t="e">
        <f ca="1">gr('calcul-stats'!BC286)</f>
        <v>#NAME?</v>
      </c>
      <c r="G286" s="524" t="e">
        <f t="shared" ca="1" si="4"/>
        <v>#NAME?</v>
      </c>
      <c r="H286" s="523"/>
      <c r="I286" s="523"/>
      <c r="J286" s="523"/>
      <c r="K286" s="523"/>
      <c r="L286" s="523"/>
      <c r="M286" s="523"/>
      <c r="N286" s="523"/>
      <c r="O286" s="523"/>
    </row>
    <row r="287" spans="1:15" x14ac:dyDescent="0.2">
      <c r="A287" s="222">
        <f>calculs!A287</f>
        <v>44838</v>
      </c>
      <c r="B287" s="523" t="e">
        <f ca="1">gr('calcul-stats'!AY287)</f>
        <v>#NAME?</v>
      </c>
      <c r="C287" s="523" t="e">
        <f ca="1">gr('calcul-stats'!AZ287)</f>
        <v>#NAME?</v>
      </c>
      <c r="D287" s="523" t="e">
        <f ca="1">gr('calcul-stats'!BA287)</f>
        <v>#NAME?</v>
      </c>
      <c r="E287" s="523" t="e">
        <f ca="1">gr('calcul-stats'!BB287)</f>
        <v>#NAME?</v>
      </c>
      <c r="F287" s="523" t="e">
        <f ca="1">gr('calcul-stats'!BC287)</f>
        <v>#NAME?</v>
      </c>
      <c r="G287" s="524" t="e">
        <f t="shared" ca="1" si="4"/>
        <v>#NAME?</v>
      </c>
      <c r="H287" s="523"/>
      <c r="I287" s="523"/>
      <c r="J287" s="523"/>
      <c r="K287" s="523"/>
      <c r="L287" s="523"/>
      <c r="M287" s="523"/>
      <c r="N287" s="523"/>
      <c r="O287" s="523"/>
    </row>
    <row r="288" spans="1:15" x14ac:dyDescent="0.2">
      <c r="A288" s="222">
        <f>calculs!A288</f>
        <v>44839</v>
      </c>
      <c r="B288" s="523" t="e">
        <f ca="1">gr('calcul-stats'!AY288)</f>
        <v>#NAME?</v>
      </c>
      <c r="C288" s="523" t="e">
        <f ca="1">gr('calcul-stats'!AZ288)</f>
        <v>#NAME?</v>
      </c>
      <c r="D288" s="523" t="e">
        <f ca="1">gr('calcul-stats'!BA288)</f>
        <v>#NAME?</v>
      </c>
      <c r="E288" s="523" t="e">
        <f ca="1">gr('calcul-stats'!BB288)</f>
        <v>#NAME?</v>
      </c>
      <c r="F288" s="523" t="e">
        <f ca="1">gr('calcul-stats'!BC288)</f>
        <v>#NAME?</v>
      </c>
      <c r="G288" s="524" t="e">
        <f t="shared" ca="1" si="4"/>
        <v>#NAME?</v>
      </c>
      <c r="H288" s="523"/>
      <c r="I288" s="523"/>
      <c r="J288" s="523"/>
      <c r="K288" s="523"/>
      <c r="L288" s="523"/>
      <c r="M288" s="523"/>
      <c r="N288" s="523"/>
      <c r="O288" s="523"/>
    </row>
    <row r="289" spans="1:15" x14ac:dyDescent="0.2">
      <c r="A289" s="222">
        <f>calculs!A289</f>
        <v>44840</v>
      </c>
      <c r="B289" s="523" t="e">
        <f ca="1">gr('calcul-stats'!AY289)</f>
        <v>#NAME?</v>
      </c>
      <c r="C289" s="523" t="e">
        <f ca="1">gr('calcul-stats'!AZ289)</f>
        <v>#NAME?</v>
      </c>
      <c r="D289" s="523" t="e">
        <f ca="1">gr('calcul-stats'!BA289)</f>
        <v>#NAME?</v>
      </c>
      <c r="E289" s="523" t="e">
        <f ca="1">gr('calcul-stats'!BB289)</f>
        <v>#NAME?</v>
      </c>
      <c r="F289" s="523" t="e">
        <f ca="1">gr('calcul-stats'!BC289)</f>
        <v>#NAME?</v>
      </c>
      <c r="G289" s="524" t="e">
        <f t="shared" ca="1" si="4"/>
        <v>#NAME?</v>
      </c>
      <c r="H289" s="523"/>
      <c r="I289" s="523"/>
      <c r="J289" s="523"/>
      <c r="K289" s="523"/>
      <c r="L289" s="523"/>
      <c r="M289" s="523"/>
      <c r="N289" s="523"/>
      <c r="O289" s="523"/>
    </row>
    <row r="290" spans="1:15" x14ac:dyDescent="0.2">
      <c r="A290" s="222">
        <f>calculs!A290</f>
        <v>44841</v>
      </c>
      <c r="B290" s="523" t="e">
        <f ca="1">gr('calcul-stats'!AY290)</f>
        <v>#NAME?</v>
      </c>
      <c r="C290" s="523" t="e">
        <f ca="1">gr('calcul-stats'!AZ290)</f>
        <v>#NAME?</v>
      </c>
      <c r="D290" s="523" t="e">
        <f ca="1">gr('calcul-stats'!BA290)</f>
        <v>#NAME?</v>
      </c>
      <c r="E290" s="523" t="e">
        <f ca="1">gr('calcul-stats'!BB290)</f>
        <v>#NAME?</v>
      </c>
      <c r="F290" s="523" t="e">
        <f ca="1">gr('calcul-stats'!BC290)</f>
        <v>#NAME?</v>
      </c>
      <c r="G290" s="524" t="e">
        <f t="shared" ca="1" si="4"/>
        <v>#NAME?</v>
      </c>
      <c r="H290" s="523"/>
      <c r="I290" s="523"/>
      <c r="J290" s="523"/>
      <c r="K290" s="523"/>
      <c r="L290" s="523"/>
      <c r="M290" s="523"/>
      <c r="N290" s="523"/>
      <c r="O290" s="523"/>
    </row>
    <row r="291" spans="1:15" x14ac:dyDescent="0.2">
      <c r="A291" s="222">
        <f>calculs!A291</f>
        <v>44842</v>
      </c>
      <c r="B291" s="523" t="e">
        <f ca="1">gr('calcul-stats'!AY291)</f>
        <v>#NAME?</v>
      </c>
      <c r="C291" s="523" t="e">
        <f ca="1">gr('calcul-stats'!AZ291)</f>
        <v>#NAME?</v>
      </c>
      <c r="D291" s="523" t="e">
        <f ca="1">gr('calcul-stats'!BA291)</f>
        <v>#NAME?</v>
      </c>
      <c r="E291" s="523" t="e">
        <f ca="1">gr('calcul-stats'!BB291)</f>
        <v>#NAME?</v>
      </c>
      <c r="F291" s="523" t="e">
        <f ca="1">gr('calcul-stats'!BC291)</f>
        <v>#NAME?</v>
      </c>
      <c r="G291" s="524" t="e">
        <f t="shared" ca="1" si="4"/>
        <v>#NAME?</v>
      </c>
      <c r="H291" s="523"/>
      <c r="I291" s="523"/>
      <c r="J291" s="523"/>
      <c r="K291" s="523"/>
      <c r="L291" s="523"/>
      <c r="M291" s="523"/>
      <c r="N291" s="523"/>
      <c r="O291" s="523"/>
    </row>
    <row r="292" spans="1:15" x14ac:dyDescent="0.2">
      <c r="A292" s="222">
        <f>calculs!A292</f>
        <v>44843</v>
      </c>
      <c r="B292" s="523" t="e">
        <f ca="1">gr('calcul-stats'!AY292)</f>
        <v>#NAME?</v>
      </c>
      <c r="C292" s="523" t="e">
        <f ca="1">gr('calcul-stats'!AZ292)</f>
        <v>#NAME?</v>
      </c>
      <c r="D292" s="523" t="e">
        <f ca="1">gr('calcul-stats'!BA292)</f>
        <v>#NAME?</v>
      </c>
      <c r="E292" s="523" t="e">
        <f ca="1">gr('calcul-stats'!BB292)</f>
        <v>#NAME?</v>
      </c>
      <c r="F292" s="523" t="e">
        <f ca="1">gr('calcul-stats'!BC292)</f>
        <v>#NAME?</v>
      </c>
      <c r="G292" s="524" t="e">
        <f t="shared" ca="1" si="4"/>
        <v>#NAME?</v>
      </c>
      <c r="H292" s="523"/>
      <c r="I292" s="523"/>
      <c r="J292" s="523"/>
      <c r="K292" s="523"/>
      <c r="L292" s="523"/>
      <c r="M292" s="523"/>
      <c r="N292" s="523"/>
      <c r="O292" s="523"/>
    </row>
    <row r="293" spans="1:15" x14ac:dyDescent="0.2">
      <c r="A293" s="222">
        <f>calculs!A293</f>
        <v>44844</v>
      </c>
      <c r="B293" s="523" t="e">
        <f ca="1">gr('calcul-stats'!AY293)</f>
        <v>#NAME?</v>
      </c>
      <c r="C293" s="523" t="e">
        <f ca="1">gr('calcul-stats'!AZ293)</f>
        <v>#NAME?</v>
      </c>
      <c r="D293" s="523" t="e">
        <f ca="1">gr('calcul-stats'!BA293)</f>
        <v>#NAME?</v>
      </c>
      <c r="E293" s="523" t="e">
        <f ca="1">gr('calcul-stats'!BB293)</f>
        <v>#NAME?</v>
      </c>
      <c r="F293" s="523" t="e">
        <f ca="1">gr('calcul-stats'!BC293)</f>
        <v>#NAME?</v>
      </c>
      <c r="G293" s="524" t="e">
        <f t="shared" ca="1" si="4"/>
        <v>#NAME?</v>
      </c>
      <c r="H293" s="523"/>
      <c r="I293" s="523"/>
      <c r="J293" s="523"/>
      <c r="K293" s="523"/>
      <c r="L293" s="523"/>
      <c r="M293" s="523"/>
      <c r="N293" s="523"/>
      <c r="O293" s="523"/>
    </row>
    <row r="294" spans="1:15" x14ac:dyDescent="0.2">
      <c r="A294" s="222">
        <f>calculs!A294</f>
        <v>44845</v>
      </c>
      <c r="B294" s="523" t="e">
        <f ca="1">gr('calcul-stats'!AY294)</f>
        <v>#NAME?</v>
      </c>
      <c r="C294" s="523" t="e">
        <f ca="1">gr('calcul-stats'!AZ294)</f>
        <v>#NAME?</v>
      </c>
      <c r="D294" s="523" t="e">
        <f ca="1">gr('calcul-stats'!BA294)</f>
        <v>#NAME?</v>
      </c>
      <c r="E294" s="523" t="e">
        <f ca="1">gr('calcul-stats'!BB294)</f>
        <v>#NAME?</v>
      </c>
      <c r="F294" s="523" t="e">
        <f ca="1">gr('calcul-stats'!BC294)</f>
        <v>#NAME?</v>
      </c>
      <c r="G294" s="524" t="e">
        <f t="shared" ca="1" si="4"/>
        <v>#NAME?</v>
      </c>
      <c r="H294" s="523"/>
      <c r="I294" s="523"/>
      <c r="J294" s="523"/>
      <c r="K294" s="523"/>
      <c r="L294" s="523"/>
      <c r="M294" s="523"/>
      <c r="N294" s="523"/>
      <c r="O294" s="523"/>
    </row>
    <row r="295" spans="1:15" x14ac:dyDescent="0.2">
      <c r="A295" s="222">
        <f>calculs!A295</f>
        <v>44846</v>
      </c>
      <c r="B295" s="523" t="e">
        <f ca="1">gr('calcul-stats'!AY295)</f>
        <v>#NAME?</v>
      </c>
      <c r="C295" s="523" t="e">
        <f ca="1">gr('calcul-stats'!AZ295)</f>
        <v>#NAME?</v>
      </c>
      <c r="D295" s="523" t="e">
        <f ca="1">gr('calcul-stats'!BA295)</f>
        <v>#NAME?</v>
      </c>
      <c r="E295" s="523" t="e">
        <f ca="1">gr('calcul-stats'!BB295)</f>
        <v>#NAME?</v>
      </c>
      <c r="F295" s="523" t="e">
        <f ca="1">gr('calcul-stats'!BC295)</f>
        <v>#NAME?</v>
      </c>
      <c r="G295" s="524" t="e">
        <f t="shared" ca="1" si="4"/>
        <v>#NAME?</v>
      </c>
      <c r="H295" s="523"/>
      <c r="I295" s="523"/>
      <c r="J295" s="523"/>
      <c r="K295" s="523"/>
      <c r="L295" s="523"/>
      <c r="M295" s="523"/>
      <c r="N295" s="523"/>
      <c r="O295" s="523"/>
    </row>
    <row r="296" spans="1:15" x14ac:dyDescent="0.2">
      <c r="A296" s="222">
        <f>calculs!A296</f>
        <v>44847</v>
      </c>
      <c r="B296" s="523" t="e">
        <f ca="1">gr('calcul-stats'!AY296)</f>
        <v>#NAME?</v>
      </c>
      <c r="C296" s="523" t="e">
        <f ca="1">gr('calcul-stats'!AZ296)</f>
        <v>#NAME?</v>
      </c>
      <c r="D296" s="523" t="e">
        <f ca="1">gr('calcul-stats'!BA296)</f>
        <v>#NAME?</v>
      </c>
      <c r="E296" s="523" t="e">
        <f ca="1">gr('calcul-stats'!BB296)</f>
        <v>#NAME?</v>
      </c>
      <c r="F296" s="523" t="e">
        <f ca="1">gr('calcul-stats'!BC296)</f>
        <v>#NAME?</v>
      </c>
      <c r="G296" s="524" t="e">
        <f t="shared" ca="1" si="4"/>
        <v>#NAME?</v>
      </c>
      <c r="H296" s="523"/>
      <c r="I296" s="523"/>
      <c r="J296" s="523"/>
      <c r="K296" s="523"/>
      <c r="L296" s="523"/>
      <c r="M296" s="523"/>
      <c r="N296" s="523"/>
      <c r="O296" s="523"/>
    </row>
    <row r="297" spans="1:15" x14ac:dyDescent="0.2">
      <c r="A297" s="222">
        <f>calculs!A297</f>
        <v>44848</v>
      </c>
      <c r="B297" s="523" t="e">
        <f ca="1">gr('calcul-stats'!AY297)</f>
        <v>#NAME?</v>
      </c>
      <c r="C297" s="523" t="e">
        <f ca="1">gr('calcul-stats'!AZ297)</f>
        <v>#NAME?</v>
      </c>
      <c r="D297" s="523" t="e">
        <f ca="1">gr('calcul-stats'!BA297)</f>
        <v>#NAME?</v>
      </c>
      <c r="E297" s="523" t="e">
        <f ca="1">gr('calcul-stats'!BB297)</f>
        <v>#NAME?</v>
      </c>
      <c r="F297" s="523" t="e">
        <f ca="1">gr('calcul-stats'!BC297)</f>
        <v>#NAME?</v>
      </c>
      <c r="G297" s="524" t="e">
        <f t="shared" ca="1" si="4"/>
        <v>#NAME?</v>
      </c>
      <c r="H297" s="523"/>
      <c r="I297" s="523"/>
      <c r="J297" s="523"/>
      <c r="K297" s="523"/>
      <c r="L297" s="523"/>
      <c r="M297" s="523"/>
      <c r="N297" s="523"/>
      <c r="O297" s="523"/>
    </row>
    <row r="298" spans="1:15" x14ac:dyDescent="0.2">
      <c r="A298" s="222">
        <f>calculs!A298</f>
        <v>44849</v>
      </c>
      <c r="B298" s="523" t="e">
        <f ca="1">gr('calcul-stats'!AY298)</f>
        <v>#NAME?</v>
      </c>
      <c r="C298" s="523" t="e">
        <f ca="1">gr('calcul-stats'!AZ298)</f>
        <v>#NAME?</v>
      </c>
      <c r="D298" s="523" t="e">
        <f ca="1">gr('calcul-stats'!BA298)</f>
        <v>#NAME?</v>
      </c>
      <c r="E298" s="523" t="e">
        <f ca="1">gr('calcul-stats'!BB298)</f>
        <v>#NAME?</v>
      </c>
      <c r="F298" s="523" t="e">
        <f ca="1">gr('calcul-stats'!BC298)</f>
        <v>#NAME?</v>
      </c>
      <c r="G298" s="524" t="e">
        <f t="shared" ca="1" si="4"/>
        <v>#NAME?</v>
      </c>
      <c r="H298" s="523"/>
      <c r="I298" s="523"/>
      <c r="J298" s="523"/>
      <c r="K298" s="523"/>
      <c r="L298" s="523"/>
      <c r="M298" s="523"/>
      <c r="N298" s="523"/>
      <c r="O298" s="523"/>
    </row>
    <row r="299" spans="1:15" x14ac:dyDescent="0.2">
      <c r="A299" s="222">
        <f>calculs!A299</f>
        <v>44850</v>
      </c>
      <c r="B299" s="523" t="e">
        <f ca="1">gr('calcul-stats'!AY299)</f>
        <v>#NAME?</v>
      </c>
      <c r="C299" s="523" t="e">
        <f ca="1">gr('calcul-stats'!AZ299)</f>
        <v>#NAME?</v>
      </c>
      <c r="D299" s="523" t="e">
        <f ca="1">gr('calcul-stats'!BA299)</f>
        <v>#NAME?</v>
      </c>
      <c r="E299" s="523" t="e">
        <f ca="1">gr('calcul-stats'!BB299)</f>
        <v>#NAME?</v>
      </c>
      <c r="F299" s="523" t="e">
        <f ca="1">gr('calcul-stats'!BC299)</f>
        <v>#NAME?</v>
      </c>
      <c r="G299" s="524" t="e">
        <f t="shared" ca="1" si="4"/>
        <v>#NAME?</v>
      </c>
      <c r="H299" s="523"/>
      <c r="I299" s="523"/>
      <c r="J299" s="523"/>
      <c r="K299" s="523"/>
      <c r="L299" s="523"/>
      <c r="M299" s="523"/>
      <c r="N299" s="523"/>
      <c r="O299" s="523"/>
    </row>
    <row r="300" spans="1:15" x14ac:dyDescent="0.2">
      <c r="A300" s="222">
        <f>calculs!A300</f>
        <v>44851</v>
      </c>
      <c r="B300" s="523" t="e">
        <f ca="1">gr('calcul-stats'!AY300)</f>
        <v>#NAME?</v>
      </c>
      <c r="C300" s="523" t="e">
        <f ca="1">gr('calcul-stats'!AZ300)</f>
        <v>#NAME?</v>
      </c>
      <c r="D300" s="523" t="e">
        <f ca="1">gr('calcul-stats'!BA300)</f>
        <v>#NAME?</v>
      </c>
      <c r="E300" s="523" t="e">
        <f ca="1">gr('calcul-stats'!BB300)</f>
        <v>#NAME?</v>
      </c>
      <c r="F300" s="523" t="e">
        <f ca="1">gr('calcul-stats'!BC300)</f>
        <v>#NAME?</v>
      </c>
      <c r="G300" s="524" t="e">
        <f t="shared" ca="1" si="4"/>
        <v>#NAME?</v>
      </c>
      <c r="H300" s="523"/>
      <c r="I300" s="523"/>
      <c r="J300" s="523"/>
      <c r="K300" s="523"/>
      <c r="L300" s="523"/>
      <c r="M300" s="523"/>
      <c r="N300" s="523"/>
      <c r="O300" s="523"/>
    </row>
    <row r="301" spans="1:15" x14ac:dyDescent="0.2">
      <c r="A301" s="222">
        <f>calculs!A301</f>
        <v>44852</v>
      </c>
      <c r="B301" s="523" t="e">
        <f ca="1">gr('calcul-stats'!AY301)</f>
        <v>#NAME?</v>
      </c>
      <c r="C301" s="523" t="e">
        <f ca="1">gr('calcul-stats'!AZ301)</f>
        <v>#NAME?</v>
      </c>
      <c r="D301" s="523" t="e">
        <f ca="1">gr('calcul-stats'!BA301)</f>
        <v>#NAME?</v>
      </c>
      <c r="E301" s="523" t="e">
        <f ca="1">gr('calcul-stats'!BB301)</f>
        <v>#NAME?</v>
      </c>
      <c r="F301" s="523" t="e">
        <f ca="1">gr('calcul-stats'!BC301)</f>
        <v>#NAME?</v>
      </c>
      <c r="G301" s="524" t="e">
        <f t="shared" ca="1" si="4"/>
        <v>#NAME?</v>
      </c>
      <c r="H301" s="523"/>
      <c r="I301" s="523"/>
      <c r="J301" s="523"/>
      <c r="K301" s="523"/>
      <c r="L301" s="523"/>
      <c r="M301" s="523"/>
      <c r="N301" s="523"/>
      <c r="O301" s="523"/>
    </row>
    <row r="302" spans="1:15" x14ac:dyDescent="0.2">
      <c r="A302" s="222">
        <f>calculs!A302</f>
        <v>44853</v>
      </c>
      <c r="B302" s="523" t="e">
        <f ca="1">gr('calcul-stats'!AY302)</f>
        <v>#NAME?</v>
      </c>
      <c r="C302" s="523" t="e">
        <f ca="1">gr('calcul-stats'!AZ302)</f>
        <v>#NAME?</v>
      </c>
      <c r="D302" s="523" t="e">
        <f ca="1">gr('calcul-stats'!BA302)</f>
        <v>#NAME?</v>
      </c>
      <c r="E302" s="523" t="e">
        <f ca="1">gr('calcul-stats'!BB302)</f>
        <v>#NAME?</v>
      </c>
      <c r="F302" s="523" t="e">
        <f ca="1">gr('calcul-stats'!BC302)</f>
        <v>#NAME?</v>
      </c>
      <c r="G302" s="524" t="e">
        <f t="shared" ca="1" si="4"/>
        <v>#NAME?</v>
      </c>
      <c r="H302" s="523"/>
      <c r="I302" s="523"/>
      <c r="J302" s="523"/>
      <c r="K302" s="523"/>
      <c r="L302" s="523"/>
      <c r="M302" s="523"/>
      <c r="N302" s="523"/>
      <c r="O302" s="523"/>
    </row>
    <row r="303" spans="1:15" x14ac:dyDescent="0.2">
      <c r="A303" s="222">
        <f>calculs!A303</f>
        <v>44854</v>
      </c>
      <c r="B303" s="523" t="e">
        <f ca="1">gr('calcul-stats'!AY303)</f>
        <v>#NAME?</v>
      </c>
      <c r="C303" s="523" t="e">
        <f ca="1">gr('calcul-stats'!AZ303)</f>
        <v>#NAME?</v>
      </c>
      <c r="D303" s="523" t="e">
        <f ca="1">gr('calcul-stats'!BA303)</f>
        <v>#NAME?</v>
      </c>
      <c r="E303" s="523" t="e">
        <f ca="1">gr('calcul-stats'!BB303)</f>
        <v>#NAME?</v>
      </c>
      <c r="F303" s="523" t="e">
        <f ca="1">gr('calcul-stats'!BC303)</f>
        <v>#NAME?</v>
      </c>
      <c r="G303" s="524" t="e">
        <f t="shared" ca="1" si="4"/>
        <v>#NAME?</v>
      </c>
      <c r="H303" s="523"/>
      <c r="I303" s="523"/>
      <c r="J303" s="523"/>
      <c r="K303" s="523"/>
      <c r="L303" s="523"/>
      <c r="M303" s="523"/>
      <c r="N303" s="523"/>
      <c r="O303" s="523"/>
    </row>
    <row r="304" spans="1:15" x14ac:dyDescent="0.2">
      <c r="A304" s="222">
        <f>calculs!A304</f>
        <v>44855</v>
      </c>
      <c r="B304" s="523" t="e">
        <f ca="1">gr('calcul-stats'!AY304)</f>
        <v>#NAME?</v>
      </c>
      <c r="C304" s="523" t="e">
        <f ca="1">gr('calcul-stats'!AZ304)</f>
        <v>#NAME?</v>
      </c>
      <c r="D304" s="523" t="e">
        <f ca="1">gr('calcul-stats'!BA304)</f>
        <v>#NAME?</v>
      </c>
      <c r="E304" s="523" t="e">
        <f ca="1">gr('calcul-stats'!BB304)</f>
        <v>#NAME?</v>
      </c>
      <c r="F304" s="523" t="e">
        <f ca="1">gr('calcul-stats'!BC304)</f>
        <v>#NAME?</v>
      </c>
      <c r="G304" s="524" t="e">
        <f t="shared" ca="1" si="4"/>
        <v>#NAME?</v>
      </c>
      <c r="H304" s="523"/>
      <c r="I304" s="523"/>
      <c r="J304" s="523"/>
      <c r="K304" s="523"/>
      <c r="L304" s="523"/>
      <c r="M304" s="523"/>
      <c r="N304" s="523"/>
      <c r="O304" s="523"/>
    </row>
    <row r="305" spans="1:15" x14ac:dyDescent="0.2">
      <c r="A305" s="222">
        <f>calculs!A305</f>
        <v>44856</v>
      </c>
      <c r="B305" s="523" t="e">
        <f ca="1">gr('calcul-stats'!AY305)</f>
        <v>#NAME?</v>
      </c>
      <c r="C305" s="523" t="e">
        <f ca="1">gr('calcul-stats'!AZ305)</f>
        <v>#NAME?</v>
      </c>
      <c r="D305" s="523" t="e">
        <f ca="1">gr('calcul-stats'!BA305)</f>
        <v>#NAME?</v>
      </c>
      <c r="E305" s="523" t="e">
        <f ca="1">gr('calcul-stats'!BB305)</f>
        <v>#NAME?</v>
      </c>
      <c r="F305" s="523" t="e">
        <f ca="1">gr('calcul-stats'!BC305)</f>
        <v>#NAME?</v>
      </c>
      <c r="G305" s="524" t="e">
        <f t="shared" ca="1" si="4"/>
        <v>#NAME?</v>
      </c>
      <c r="H305" s="523"/>
      <c r="I305" s="523"/>
      <c r="J305" s="523"/>
      <c r="K305" s="523"/>
      <c r="L305" s="523"/>
      <c r="M305" s="523"/>
      <c r="N305" s="523"/>
      <c r="O305" s="523"/>
    </row>
    <row r="306" spans="1:15" x14ac:dyDescent="0.2">
      <c r="A306" s="222">
        <f>calculs!A306</f>
        <v>44857</v>
      </c>
      <c r="B306" s="523" t="e">
        <f ca="1">gr('calcul-stats'!AY306)</f>
        <v>#NAME?</v>
      </c>
      <c r="C306" s="523" t="e">
        <f ca="1">gr('calcul-stats'!AZ306)</f>
        <v>#NAME?</v>
      </c>
      <c r="D306" s="523" t="e">
        <f ca="1">gr('calcul-stats'!BA306)</f>
        <v>#NAME?</v>
      </c>
      <c r="E306" s="523" t="e">
        <f ca="1">gr('calcul-stats'!BB306)</f>
        <v>#NAME?</v>
      </c>
      <c r="F306" s="523" t="e">
        <f ca="1">gr('calcul-stats'!BC306)</f>
        <v>#NAME?</v>
      </c>
      <c r="G306" s="524" t="e">
        <f t="shared" ca="1" si="4"/>
        <v>#NAME?</v>
      </c>
      <c r="H306" s="523"/>
      <c r="I306" s="523"/>
      <c r="J306" s="523"/>
      <c r="K306" s="523"/>
      <c r="L306" s="523"/>
      <c r="M306" s="523"/>
      <c r="N306" s="523"/>
      <c r="O306" s="523"/>
    </row>
    <row r="307" spans="1:15" x14ac:dyDescent="0.2">
      <c r="A307" s="222">
        <f>calculs!A307</f>
        <v>44858</v>
      </c>
      <c r="B307" s="523" t="e">
        <f ca="1">gr('calcul-stats'!AY307)</f>
        <v>#NAME?</v>
      </c>
      <c r="C307" s="523" t="e">
        <f ca="1">gr('calcul-stats'!AZ307)</f>
        <v>#NAME?</v>
      </c>
      <c r="D307" s="523" t="e">
        <f ca="1">gr('calcul-stats'!BA307)</f>
        <v>#NAME?</v>
      </c>
      <c r="E307" s="523" t="e">
        <f ca="1">gr('calcul-stats'!BB307)</f>
        <v>#NAME?</v>
      </c>
      <c r="F307" s="523" t="e">
        <f ca="1">gr('calcul-stats'!BC307)</f>
        <v>#NAME?</v>
      </c>
      <c r="G307" s="524" t="e">
        <f t="shared" ca="1" si="4"/>
        <v>#NAME?</v>
      </c>
      <c r="H307" s="523"/>
      <c r="I307" s="523"/>
      <c r="J307" s="523"/>
      <c r="K307" s="523"/>
      <c r="L307" s="523"/>
      <c r="M307" s="523"/>
      <c r="N307" s="523"/>
      <c r="O307" s="523"/>
    </row>
    <row r="308" spans="1:15" x14ac:dyDescent="0.2">
      <c r="A308" s="222">
        <f>calculs!A308</f>
        <v>44859</v>
      </c>
      <c r="B308" s="523" t="e">
        <f ca="1">gr('calcul-stats'!AY308)</f>
        <v>#NAME?</v>
      </c>
      <c r="C308" s="523" t="e">
        <f ca="1">gr('calcul-stats'!AZ308)</f>
        <v>#NAME?</v>
      </c>
      <c r="D308" s="523" t="e">
        <f ca="1">gr('calcul-stats'!BA308)</f>
        <v>#NAME?</v>
      </c>
      <c r="E308" s="523" t="e">
        <f ca="1">gr('calcul-stats'!BB308)</f>
        <v>#NAME?</v>
      </c>
      <c r="F308" s="523" t="e">
        <f ca="1">gr('calcul-stats'!BC308)</f>
        <v>#NAME?</v>
      </c>
      <c r="G308" s="524" t="e">
        <f t="shared" ca="1" si="4"/>
        <v>#NAME?</v>
      </c>
      <c r="H308" s="523"/>
      <c r="I308" s="523"/>
      <c r="J308" s="523"/>
      <c r="K308" s="523"/>
      <c r="L308" s="523"/>
      <c r="M308" s="523"/>
      <c r="N308" s="523"/>
      <c r="O308" s="523"/>
    </row>
    <row r="309" spans="1:15" x14ac:dyDescent="0.2">
      <c r="A309" s="222">
        <f>calculs!A309</f>
        <v>44860</v>
      </c>
      <c r="B309" s="523" t="e">
        <f ca="1">gr('calcul-stats'!AY309)</f>
        <v>#NAME?</v>
      </c>
      <c r="C309" s="523" t="e">
        <f ca="1">gr('calcul-stats'!AZ309)</f>
        <v>#NAME?</v>
      </c>
      <c r="D309" s="523" t="e">
        <f ca="1">gr('calcul-stats'!BA309)</f>
        <v>#NAME?</v>
      </c>
      <c r="E309" s="523" t="e">
        <f ca="1">gr('calcul-stats'!BB309)</f>
        <v>#NAME?</v>
      </c>
      <c r="F309" s="523" t="e">
        <f ca="1">gr('calcul-stats'!BC309)</f>
        <v>#NAME?</v>
      </c>
      <c r="G309" s="524" t="e">
        <f t="shared" ca="1" si="4"/>
        <v>#NAME?</v>
      </c>
      <c r="H309" s="523"/>
      <c r="I309" s="523"/>
      <c r="J309" s="523"/>
      <c r="K309" s="523"/>
      <c r="L309" s="523"/>
      <c r="M309" s="523"/>
      <c r="N309" s="523"/>
      <c r="O309" s="523"/>
    </row>
    <row r="310" spans="1:15" x14ac:dyDescent="0.2">
      <c r="A310" s="222">
        <f>calculs!A310</f>
        <v>44861</v>
      </c>
      <c r="B310" s="523" t="e">
        <f ca="1">gr('calcul-stats'!AY310)</f>
        <v>#NAME?</v>
      </c>
      <c r="C310" s="523" t="e">
        <f ca="1">gr('calcul-stats'!AZ310)</f>
        <v>#NAME?</v>
      </c>
      <c r="D310" s="523" t="e">
        <f ca="1">gr('calcul-stats'!BA310)</f>
        <v>#NAME?</v>
      </c>
      <c r="E310" s="523" t="e">
        <f ca="1">gr('calcul-stats'!BB310)</f>
        <v>#NAME?</v>
      </c>
      <c r="F310" s="523" t="e">
        <f ca="1">gr('calcul-stats'!BC310)</f>
        <v>#NAME?</v>
      </c>
      <c r="G310" s="524" t="e">
        <f t="shared" ca="1" si="4"/>
        <v>#NAME?</v>
      </c>
      <c r="H310" s="523"/>
      <c r="I310" s="523"/>
      <c r="J310" s="523"/>
      <c r="K310" s="523"/>
      <c r="L310" s="523"/>
      <c r="M310" s="523"/>
      <c r="N310" s="523"/>
      <c r="O310" s="523"/>
    </row>
    <row r="311" spans="1:15" x14ac:dyDescent="0.2">
      <c r="A311" s="222">
        <f>calculs!A311</f>
        <v>44862</v>
      </c>
      <c r="B311" s="523" t="e">
        <f ca="1">gr('calcul-stats'!AY311)</f>
        <v>#NAME?</v>
      </c>
      <c r="C311" s="523" t="e">
        <f ca="1">gr('calcul-stats'!AZ311)</f>
        <v>#NAME?</v>
      </c>
      <c r="D311" s="523" t="e">
        <f ca="1">gr('calcul-stats'!BA311)</f>
        <v>#NAME?</v>
      </c>
      <c r="E311" s="523" t="e">
        <f ca="1">gr('calcul-stats'!BB311)</f>
        <v>#NAME?</v>
      </c>
      <c r="F311" s="523" t="e">
        <f ca="1">gr('calcul-stats'!BC311)</f>
        <v>#NAME?</v>
      </c>
      <c r="G311" s="524" t="e">
        <f t="shared" ca="1" si="4"/>
        <v>#NAME?</v>
      </c>
      <c r="H311" s="523"/>
      <c r="I311" s="523"/>
      <c r="J311" s="523"/>
      <c r="K311" s="523"/>
      <c r="L311" s="523"/>
      <c r="M311" s="523"/>
      <c r="N311" s="523"/>
      <c r="O311" s="523"/>
    </row>
    <row r="312" spans="1:15" x14ac:dyDescent="0.2">
      <c r="A312" s="222">
        <f>calculs!A312</f>
        <v>44863</v>
      </c>
      <c r="B312" s="523" t="e">
        <f ca="1">gr('calcul-stats'!AY312)</f>
        <v>#NAME?</v>
      </c>
      <c r="C312" s="523" t="e">
        <f ca="1">gr('calcul-stats'!AZ312)</f>
        <v>#NAME?</v>
      </c>
      <c r="D312" s="523" t="e">
        <f ca="1">gr('calcul-stats'!BA312)</f>
        <v>#NAME?</v>
      </c>
      <c r="E312" s="523" t="e">
        <f ca="1">gr('calcul-stats'!BB312)</f>
        <v>#NAME?</v>
      </c>
      <c r="F312" s="523" t="e">
        <f ca="1">gr('calcul-stats'!BC312)</f>
        <v>#NAME?</v>
      </c>
      <c r="G312" s="524" t="e">
        <f t="shared" ca="1" si="4"/>
        <v>#NAME?</v>
      </c>
      <c r="H312" s="523"/>
      <c r="I312" s="523"/>
      <c r="J312" s="523"/>
      <c r="K312" s="523"/>
      <c r="L312" s="523"/>
      <c r="M312" s="523"/>
      <c r="N312" s="523"/>
      <c r="O312" s="523"/>
    </row>
    <row r="313" spans="1:15" x14ac:dyDescent="0.2">
      <c r="A313" s="222">
        <f>calculs!A313</f>
        <v>44864</v>
      </c>
      <c r="B313" s="523" t="e">
        <f ca="1">gr('calcul-stats'!AY313)</f>
        <v>#NAME?</v>
      </c>
      <c r="C313" s="523" t="e">
        <f ca="1">gr('calcul-stats'!AZ313)</f>
        <v>#NAME?</v>
      </c>
      <c r="D313" s="523" t="e">
        <f ca="1">gr('calcul-stats'!BA313)</f>
        <v>#NAME?</v>
      </c>
      <c r="E313" s="523" t="e">
        <f ca="1">gr('calcul-stats'!BB313)</f>
        <v>#NAME?</v>
      </c>
      <c r="F313" s="523" t="e">
        <f ca="1">gr('calcul-stats'!BC313)</f>
        <v>#NAME?</v>
      </c>
      <c r="G313" s="524" t="e">
        <f t="shared" ca="1" si="4"/>
        <v>#NAME?</v>
      </c>
      <c r="H313" s="523"/>
      <c r="I313" s="523"/>
      <c r="J313" s="523"/>
      <c r="K313" s="523"/>
      <c r="L313" s="523"/>
      <c r="M313" s="523"/>
      <c r="N313" s="523"/>
      <c r="O313" s="523"/>
    </row>
    <row r="314" spans="1:15" x14ac:dyDescent="0.2">
      <c r="A314" s="222">
        <f>calculs!A314</f>
        <v>44865</v>
      </c>
      <c r="B314" s="523" t="e">
        <f ca="1">gr('calcul-stats'!AY314)</f>
        <v>#NAME?</v>
      </c>
      <c r="C314" s="523" t="e">
        <f ca="1">gr('calcul-stats'!AZ314)</f>
        <v>#NAME?</v>
      </c>
      <c r="D314" s="523" t="e">
        <f ca="1">gr('calcul-stats'!BA314)</f>
        <v>#NAME?</v>
      </c>
      <c r="E314" s="523" t="e">
        <f ca="1">gr('calcul-stats'!BB314)</f>
        <v>#NAME?</v>
      </c>
      <c r="F314" s="523" t="e">
        <f ca="1">gr('calcul-stats'!BC314)</f>
        <v>#NAME?</v>
      </c>
      <c r="G314" s="524" t="e">
        <f t="shared" ca="1" si="4"/>
        <v>#NAME?</v>
      </c>
      <c r="H314" s="523"/>
      <c r="I314" s="523"/>
      <c r="J314" s="523"/>
      <c r="K314" s="523"/>
      <c r="L314" s="523"/>
      <c r="M314" s="523"/>
      <c r="N314" s="523"/>
      <c r="O314" s="523"/>
    </row>
    <row r="315" spans="1:15" x14ac:dyDescent="0.2">
      <c r="A315" s="222">
        <f>calculs!A315</f>
        <v>44866</v>
      </c>
      <c r="B315" s="523" t="e">
        <f ca="1">gr('calcul-stats'!AY315)</f>
        <v>#NAME?</v>
      </c>
      <c r="C315" s="523" t="e">
        <f ca="1">gr('calcul-stats'!AZ315)</f>
        <v>#NAME?</v>
      </c>
      <c r="D315" s="523" t="e">
        <f ca="1">gr('calcul-stats'!BA315)</f>
        <v>#NAME?</v>
      </c>
      <c r="E315" s="523" t="e">
        <f ca="1">gr('calcul-stats'!BB315)</f>
        <v>#NAME?</v>
      </c>
      <c r="F315" s="523" t="e">
        <f ca="1">gr('calcul-stats'!BC315)</f>
        <v>#NAME?</v>
      </c>
      <c r="G315" s="524" t="e">
        <f t="shared" ca="1" si="4"/>
        <v>#NAME?</v>
      </c>
      <c r="H315" s="523"/>
      <c r="I315" s="523"/>
      <c r="J315" s="523"/>
      <c r="K315" s="523"/>
      <c r="L315" s="523"/>
      <c r="M315" s="523"/>
      <c r="N315" s="523"/>
      <c r="O315" s="523"/>
    </row>
    <row r="316" spans="1:15" x14ac:dyDescent="0.2">
      <c r="A316" s="222">
        <f>calculs!A316</f>
        <v>44867</v>
      </c>
      <c r="B316" s="523" t="e">
        <f ca="1">gr('calcul-stats'!AY316)</f>
        <v>#NAME?</v>
      </c>
      <c r="C316" s="523" t="e">
        <f ca="1">gr('calcul-stats'!AZ316)</f>
        <v>#NAME?</v>
      </c>
      <c r="D316" s="523" t="e">
        <f ca="1">gr('calcul-stats'!BA316)</f>
        <v>#NAME?</v>
      </c>
      <c r="E316" s="523" t="e">
        <f ca="1">gr('calcul-stats'!BB316)</f>
        <v>#NAME?</v>
      </c>
      <c r="F316" s="523" t="e">
        <f ca="1">gr('calcul-stats'!BC316)</f>
        <v>#NAME?</v>
      </c>
      <c r="G316" s="524" t="e">
        <f t="shared" ca="1" si="4"/>
        <v>#NAME?</v>
      </c>
      <c r="H316" s="523"/>
      <c r="I316" s="523"/>
      <c r="J316" s="523"/>
      <c r="K316" s="523"/>
      <c r="L316" s="523"/>
      <c r="M316" s="523"/>
      <c r="N316" s="523"/>
      <c r="O316" s="523"/>
    </row>
    <row r="317" spans="1:15" x14ac:dyDescent="0.2">
      <c r="A317" s="222">
        <f>calculs!A317</f>
        <v>44868</v>
      </c>
      <c r="B317" s="523" t="e">
        <f ca="1">gr('calcul-stats'!AY317)</f>
        <v>#NAME?</v>
      </c>
      <c r="C317" s="523" t="e">
        <f ca="1">gr('calcul-stats'!AZ317)</f>
        <v>#NAME?</v>
      </c>
      <c r="D317" s="523" t="e">
        <f ca="1">gr('calcul-stats'!BA317)</f>
        <v>#NAME?</v>
      </c>
      <c r="E317" s="523" t="e">
        <f ca="1">gr('calcul-stats'!BB317)</f>
        <v>#NAME?</v>
      </c>
      <c r="F317" s="523" t="e">
        <f ca="1">gr('calcul-stats'!BC317)</f>
        <v>#NAME?</v>
      </c>
      <c r="G317" s="524" t="e">
        <f t="shared" ca="1" si="4"/>
        <v>#NAME?</v>
      </c>
      <c r="H317" s="523"/>
      <c r="I317" s="523"/>
      <c r="J317" s="523"/>
      <c r="K317" s="523"/>
      <c r="L317" s="523"/>
      <c r="M317" s="523"/>
      <c r="N317" s="523"/>
      <c r="O317" s="523"/>
    </row>
    <row r="318" spans="1:15" x14ac:dyDescent="0.2">
      <c r="A318" s="222">
        <f>calculs!A318</f>
        <v>44869</v>
      </c>
      <c r="B318" s="523" t="e">
        <f ca="1">gr('calcul-stats'!AY318)</f>
        <v>#NAME?</v>
      </c>
      <c r="C318" s="523" t="e">
        <f ca="1">gr('calcul-stats'!AZ318)</f>
        <v>#NAME?</v>
      </c>
      <c r="D318" s="523" t="e">
        <f ca="1">gr('calcul-stats'!BA318)</f>
        <v>#NAME?</v>
      </c>
      <c r="E318" s="523" t="e">
        <f ca="1">gr('calcul-stats'!BB318)</f>
        <v>#NAME?</v>
      </c>
      <c r="F318" s="523" t="e">
        <f ca="1">gr('calcul-stats'!BC318)</f>
        <v>#NAME?</v>
      </c>
      <c r="G318" s="524" t="e">
        <f t="shared" ca="1" si="4"/>
        <v>#NAME?</v>
      </c>
      <c r="H318" s="523"/>
      <c r="I318" s="523"/>
      <c r="J318" s="523"/>
      <c r="K318" s="523"/>
      <c r="L318" s="523"/>
      <c r="M318" s="523"/>
      <c r="N318" s="523"/>
      <c r="O318" s="523"/>
    </row>
    <row r="319" spans="1:15" x14ac:dyDescent="0.2">
      <c r="A319" s="222">
        <f>calculs!A319</f>
        <v>44870</v>
      </c>
      <c r="B319" s="523" t="e">
        <f ca="1">gr('calcul-stats'!AY319)</f>
        <v>#NAME?</v>
      </c>
      <c r="C319" s="523" t="e">
        <f ca="1">gr('calcul-stats'!AZ319)</f>
        <v>#NAME?</v>
      </c>
      <c r="D319" s="523" t="e">
        <f ca="1">gr('calcul-stats'!BA319)</f>
        <v>#NAME?</v>
      </c>
      <c r="E319" s="523" t="e">
        <f ca="1">gr('calcul-stats'!BB319)</f>
        <v>#NAME?</v>
      </c>
      <c r="F319" s="523" t="e">
        <f ca="1">gr('calcul-stats'!BC319)</f>
        <v>#NAME?</v>
      </c>
      <c r="G319" s="524" t="e">
        <f t="shared" ca="1" si="4"/>
        <v>#NAME?</v>
      </c>
      <c r="H319" s="523"/>
      <c r="I319" s="523"/>
      <c r="J319" s="523"/>
      <c r="K319" s="523"/>
      <c r="L319" s="523"/>
      <c r="M319" s="523"/>
      <c r="N319" s="523"/>
      <c r="O319" s="523"/>
    </row>
    <row r="320" spans="1:15" x14ac:dyDescent="0.2">
      <c r="A320" s="222">
        <f>calculs!A320</f>
        <v>44871</v>
      </c>
      <c r="B320" s="523" t="e">
        <f ca="1">gr('calcul-stats'!AY320)</f>
        <v>#NAME?</v>
      </c>
      <c r="C320" s="523" t="e">
        <f ca="1">gr('calcul-stats'!AZ320)</f>
        <v>#NAME?</v>
      </c>
      <c r="D320" s="523" t="e">
        <f ca="1">gr('calcul-stats'!BA320)</f>
        <v>#NAME?</v>
      </c>
      <c r="E320" s="523" t="e">
        <f ca="1">gr('calcul-stats'!BB320)</f>
        <v>#NAME?</v>
      </c>
      <c r="F320" s="523" t="e">
        <f ca="1">gr('calcul-stats'!BC320)</f>
        <v>#NAME?</v>
      </c>
      <c r="G320" s="524" t="e">
        <f t="shared" ca="1" si="4"/>
        <v>#NAME?</v>
      </c>
      <c r="H320" s="523"/>
      <c r="I320" s="523"/>
      <c r="J320" s="523"/>
      <c r="K320" s="523"/>
      <c r="L320" s="523"/>
      <c r="M320" s="523"/>
      <c r="N320" s="523"/>
      <c r="O320" s="523"/>
    </row>
    <row r="321" spans="1:15" x14ac:dyDescent="0.2">
      <c r="A321" s="222">
        <f>calculs!A321</f>
        <v>44872</v>
      </c>
      <c r="B321" s="523" t="e">
        <f ca="1">gr('calcul-stats'!AY321)</f>
        <v>#NAME?</v>
      </c>
      <c r="C321" s="523" t="e">
        <f ca="1">gr('calcul-stats'!AZ321)</f>
        <v>#NAME?</v>
      </c>
      <c r="D321" s="523" t="e">
        <f ca="1">gr('calcul-stats'!BA321)</f>
        <v>#NAME?</v>
      </c>
      <c r="E321" s="523" t="e">
        <f ca="1">gr('calcul-stats'!BB321)</f>
        <v>#NAME?</v>
      </c>
      <c r="F321" s="523" t="e">
        <f ca="1">gr('calcul-stats'!BC321)</f>
        <v>#NAME?</v>
      </c>
      <c r="G321" s="524" t="e">
        <f t="shared" ca="1" si="4"/>
        <v>#NAME?</v>
      </c>
      <c r="H321" s="523"/>
      <c r="I321" s="523"/>
      <c r="J321" s="523"/>
      <c r="K321" s="523"/>
      <c r="L321" s="523"/>
      <c r="M321" s="523"/>
      <c r="N321" s="523"/>
      <c r="O321" s="523"/>
    </row>
    <row r="322" spans="1:15" x14ac:dyDescent="0.2">
      <c r="A322" s="222">
        <f>calculs!A322</f>
        <v>44873</v>
      </c>
      <c r="B322" s="523" t="e">
        <f ca="1">gr('calcul-stats'!AY322)</f>
        <v>#NAME?</v>
      </c>
      <c r="C322" s="523" t="e">
        <f ca="1">gr('calcul-stats'!AZ322)</f>
        <v>#NAME?</v>
      </c>
      <c r="D322" s="523" t="e">
        <f ca="1">gr('calcul-stats'!BA322)</f>
        <v>#NAME?</v>
      </c>
      <c r="E322" s="523" t="e">
        <f ca="1">gr('calcul-stats'!BB322)</f>
        <v>#NAME?</v>
      </c>
      <c r="F322" s="523" t="e">
        <f ca="1">gr('calcul-stats'!BC322)</f>
        <v>#NAME?</v>
      </c>
      <c r="G322" s="524" t="e">
        <f t="shared" ca="1" si="4"/>
        <v>#NAME?</v>
      </c>
      <c r="H322" s="523"/>
      <c r="I322" s="523"/>
      <c r="J322" s="523"/>
      <c r="K322" s="523"/>
      <c r="L322" s="523"/>
      <c r="M322" s="523"/>
      <c r="N322" s="523"/>
      <c r="O322" s="523"/>
    </row>
    <row r="323" spans="1:15" x14ac:dyDescent="0.2">
      <c r="A323" s="222">
        <f>calculs!A323</f>
        <v>44874</v>
      </c>
      <c r="B323" s="523" t="e">
        <f ca="1">gr('calcul-stats'!AY323)</f>
        <v>#NAME?</v>
      </c>
      <c r="C323" s="523" t="e">
        <f ca="1">gr('calcul-stats'!AZ323)</f>
        <v>#NAME?</v>
      </c>
      <c r="D323" s="523" t="e">
        <f ca="1">gr('calcul-stats'!BA323)</f>
        <v>#NAME?</v>
      </c>
      <c r="E323" s="523" t="e">
        <f ca="1">gr('calcul-stats'!BB323)</f>
        <v>#NAME?</v>
      </c>
      <c r="F323" s="523" t="e">
        <f ca="1">gr('calcul-stats'!BC323)</f>
        <v>#NAME?</v>
      </c>
      <c r="G323" s="524" t="e">
        <f t="shared" ca="1" si="4"/>
        <v>#NAME?</v>
      </c>
      <c r="H323" s="523"/>
      <c r="I323" s="523"/>
      <c r="J323" s="523"/>
      <c r="K323" s="523"/>
      <c r="L323" s="523"/>
      <c r="M323" s="523"/>
      <c r="N323" s="523"/>
      <c r="O323" s="523"/>
    </row>
    <row r="324" spans="1:15" x14ac:dyDescent="0.2">
      <c r="A324" s="222">
        <f>calculs!A324</f>
        <v>44875</v>
      </c>
      <c r="B324" s="523" t="e">
        <f ca="1">gr('calcul-stats'!AY324)</f>
        <v>#NAME?</v>
      </c>
      <c r="C324" s="523" t="e">
        <f ca="1">gr('calcul-stats'!AZ324)</f>
        <v>#NAME?</v>
      </c>
      <c r="D324" s="523" t="e">
        <f ca="1">gr('calcul-stats'!BA324)</f>
        <v>#NAME?</v>
      </c>
      <c r="E324" s="523" t="e">
        <f ca="1">gr('calcul-stats'!BB324)</f>
        <v>#NAME?</v>
      </c>
      <c r="F324" s="523" t="e">
        <f ca="1">gr('calcul-stats'!BC324)</f>
        <v>#NAME?</v>
      </c>
      <c r="G324" s="524" t="e">
        <f t="shared" ca="1" si="4"/>
        <v>#NAME?</v>
      </c>
      <c r="H324" s="523"/>
      <c r="I324" s="523"/>
      <c r="J324" s="523"/>
      <c r="K324" s="523"/>
      <c r="L324" s="523"/>
      <c r="M324" s="523"/>
      <c r="N324" s="523"/>
      <c r="O324" s="523"/>
    </row>
    <row r="325" spans="1:15" x14ac:dyDescent="0.2">
      <c r="A325" s="222">
        <f>calculs!A325</f>
        <v>44876</v>
      </c>
      <c r="B325" s="523" t="e">
        <f ca="1">gr('calcul-stats'!AY325)</f>
        <v>#NAME?</v>
      </c>
      <c r="C325" s="523" t="e">
        <f ca="1">gr('calcul-stats'!AZ325)</f>
        <v>#NAME?</v>
      </c>
      <c r="D325" s="523" t="e">
        <f ca="1">gr('calcul-stats'!BA325)</f>
        <v>#NAME?</v>
      </c>
      <c r="E325" s="523" t="e">
        <f ca="1">gr('calcul-stats'!BB325)</f>
        <v>#NAME?</v>
      </c>
      <c r="F325" s="523" t="e">
        <f ca="1">gr('calcul-stats'!BC325)</f>
        <v>#NAME?</v>
      </c>
      <c r="G325" s="524" t="e">
        <f t="shared" ca="1" si="4"/>
        <v>#NAME?</v>
      </c>
      <c r="H325" s="523"/>
      <c r="I325" s="523"/>
      <c r="J325" s="523"/>
      <c r="K325" s="523"/>
      <c r="L325" s="523"/>
      <c r="M325" s="523"/>
      <c r="N325" s="523"/>
      <c r="O325" s="523"/>
    </row>
    <row r="326" spans="1:15" x14ac:dyDescent="0.2">
      <c r="A326" s="222">
        <f>calculs!A326</f>
        <v>44877</v>
      </c>
      <c r="B326" s="523" t="e">
        <f ca="1">gr('calcul-stats'!AY326)</f>
        <v>#NAME?</v>
      </c>
      <c r="C326" s="523" t="e">
        <f ca="1">gr('calcul-stats'!AZ326)</f>
        <v>#NAME?</v>
      </c>
      <c r="D326" s="523" t="e">
        <f ca="1">gr('calcul-stats'!BA326)</f>
        <v>#NAME?</v>
      </c>
      <c r="E326" s="523" t="e">
        <f ca="1">gr('calcul-stats'!BB326)</f>
        <v>#NAME?</v>
      </c>
      <c r="F326" s="523" t="e">
        <f ca="1">gr('calcul-stats'!BC326)</f>
        <v>#NAME?</v>
      </c>
      <c r="G326" s="524" t="e">
        <f t="shared" ca="1" si="4"/>
        <v>#NAME?</v>
      </c>
      <c r="H326" s="523"/>
      <c r="I326" s="523"/>
      <c r="J326" s="523"/>
      <c r="K326" s="523"/>
      <c r="L326" s="523"/>
      <c r="M326" s="523"/>
      <c r="N326" s="523"/>
      <c r="O326" s="523"/>
    </row>
    <row r="327" spans="1:15" x14ac:dyDescent="0.2">
      <c r="A327" s="222">
        <f>calculs!A327</f>
        <v>44878</v>
      </c>
      <c r="B327" s="523" t="e">
        <f ca="1">gr('calcul-stats'!AY327)</f>
        <v>#NAME?</v>
      </c>
      <c r="C327" s="523" t="e">
        <f ca="1">gr('calcul-stats'!AZ327)</f>
        <v>#NAME?</v>
      </c>
      <c r="D327" s="523" t="e">
        <f ca="1">gr('calcul-stats'!BA327)</f>
        <v>#NAME?</v>
      </c>
      <c r="E327" s="523" t="e">
        <f ca="1">gr('calcul-stats'!BB327)</f>
        <v>#NAME?</v>
      </c>
      <c r="F327" s="523" t="e">
        <f ca="1">gr('calcul-stats'!BC327)</f>
        <v>#NAME?</v>
      </c>
      <c r="G327" s="524" t="e">
        <f t="shared" ca="1" si="4"/>
        <v>#NAME?</v>
      </c>
      <c r="H327" s="523"/>
      <c r="I327" s="523"/>
      <c r="J327" s="523"/>
      <c r="K327" s="523"/>
      <c r="L327" s="523"/>
      <c r="M327" s="523"/>
      <c r="N327" s="523"/>
      <c r="O327" s="523"/>
    </row>
    <row r="328" spans="1:15" x14ac:dyDescent="0.2">
      <c r="A328" s="222">
        <f>calculs!A328</f>
        <v>44879</v>
      </c>
      <c r="B328" s="523" t="e">
        <f ca="1">gr('calcul-stats'!AY328)</f>
        <v>#NAME?</v>
      </c>
      <c r="C328" s="523" t="e">
        <f ca="1">gr('calcul-stats'!AZ328)</f>
        <v>#NAME?</v>
      </c>
      <c r="D328" s="523" t="e">
        <f ca="1">gr('calcul-stats'!BA328)</f>
        <v>#NAME?</v>
      </c>
      <c r="E328" s="523" t="e">
        <f ca="1">gr('calcul-stats'!BB328)</f>
        <v>#NAME?</v>
      </c>
      <c r="F328" s="523" t="e">
        <f ca="1">gr('calcul-stats'!BC328)</f>
        <v>#NAME?</v>
      </c>
      <c r="G328" s="524" t="e">
        <f t="shared" ca="1" si="4"/>
        <v>#NAME?</v>
      </c>
      <c r="H328" s="523"/>
      <c r="I328" s="523"/>
      <c r="J328" s="523"/>
      <c r="K328" s="523"/>
      <c r="L328" s="523"/>
      <c r="M328" s="523"/>
      <c r="N328" s="523"/>
      <c r="O328" s="523"/>
    </row>
    <row r="329" spans="1:15" x14ac:dyDescent="0.2">
      <c r="A329" s="222">
        <f>calculs!A329</f>
        <v>44880</v>
      </c>
      <c r="B329" s="523" t="e">
        <f ca="1">gr('calcul-stats'!AY329)</f>
        <v>#NAME?</v>
      </c>
      <c r="C329" s="523" t="e">
        <f ca="1">gr('calcul-stats'!AZ329)</f>
        <v>#NAME?</v>
      </c>
      <c r="D329" s="523" t="e">
        <f ca="1">gr('calcul-stats'!BA329)</f>
        <v>#NAME?</v>
      </c>
      <c r="E329" s="523" t="e">
        <f ca="1">gr('calcul-stats'!BB329)</f>
        <v>#NAME?</v>
      </c>
      <c r="F329" s="523" t="e">
        <f ca="1">gr('calcul-stats'!BC329)</f>
        <v>#NAME?</v>
      </c>
      <c r="G329" s="524" t="e">
        <f t="shared" ca="1" si="4"/>
        <v>#NAME?</v>
      </c>
      <c r="H329" s="523"/>
      <c r="I329" s="523"/>
      <c r="J329" s="523"/>
      <c r="K329" s="523"/>
      <c r="L329" s="523"/>
      <c r="M329" s="523"/>
      <c r="N329" s="523"/>
      <c r="O329" s="523"/>
    </row>
    <row r="330" spans="1:15" x14ac:dyDescent="0.2">
      <c r="A330" s="222">
        <f>calculs!A330</f>
        <v>44881</v>
      </c>
      <c r="B330" s="523" t="e">
        <f ca="1">gr('calcul-stats'!AY330)</f>
        <v>#NAME?</v>
      </c>
      <c r="C330" s="523" t="e">
        <f ca="1">gr('calcul-stats'!AZ330)</f>
        <v>#NAME?</v>
      </c>
      <c r="D330" s="523" t="e">
        <f ca="1">gr('calcul-stats'!BA330)</f>
        <v>#NAME?</v>
      </c>
      <c r="E330" s="523" t="e">
        <f ca="1">gr('calcul-stats'!BB330)</f>
        <v>#NAME?</v>
      </c>
      <c r="F330" s="523" t="e">
        <f ca="1">gr('calcul-stats'!BC330)</f>
        <v>#NAME?</v>
      </c>
      <c r="G330" s="524" t="e">
        <f t="shared" ca="1" si="4"/>
        <v>#NAME?</v>
      </c>
      <c r="H330" s="523"/>
      <c r="I330" s="523"/>
      <c r="J330" s="523"/>
      <c r="K330" s="523"/>
      <c r="L330" s="523"/>
      <c r="M330" s="523"/>
      <c r="N330" s="523"/>
      <c r="O330" s="523"/>
    </row>
    <row r="331" spans="1:15" x14ac:dyDescent="0.2">
      <c r="A331" s="222">
        <f>calculs!A331</f>
        <v>44882</v>
      </c>
      <c r="B331" s="523" t="e">
        <f ca="1">gr('calcul-stats'!AY331)</f>
        <v>#NAME?</v>
      </c>
      <c r="C331" s="523" t="e">
        <f ca="1">gr('calcul-stats'!AZ331)</f>
        <v>#NAME?</v>
      </c>
      <c r="D331" s="523" t="e">
        <f ca="1">gr('calcul-stats'!BA331)</f>
        <v>#NAME?</v>
      </c>
      <c r="E331" s="523" t="e">
        <f ca="1">gr('calcul-stats'!BB331)</f>
        <v>#NAME?</v>
      </c>
      <c r="F331" s="523" t="e">
        <f ca="1">gr('calcul-stats'!BC331)</f>
        <v>#NAME?</v>
      </c>
      <c r="G331" s="524" t="e">
        <f t="shared" ca="1" si="4"/>
        <v>#NAME?</v>
      </c>
      <c r="H331" s="523"/>
      <c r="I331" s="523"/>
      <c r="J331" s="523"/>
      <c r="K331" s="523"/>
      <c r="L331" s="523"/>
      <c r="M331" s="523"/>
      <c r="N331" s="523"/>
      <c r="O331" s="523"/>
    </row>
    <row r="332" spans="1:15" x14ac:dyDescent="0.2">
      <c r="A332" s="222">
        <f>calculs!A332</f>
        <v>44883</v>
      </c>
      <c r="B332" s="523" t="e">
        <f ca="1">gr('calcul-stats'!AY332)</f>
        <v>#NAME?</v>
      </c>
      <c r="C332" s="523" t="e">
        <f ca="1">gr('calcul-stats'!AZ332)</f>
        <v>#NAME?</v>
      </c>
      <c r="D332" s="523" t="e">
        <f ca="1">gr('calcul-stats'!BA332)</f>
        <v>#NAME?</v>
      </c>
      <c r="E332" s="523" t="e">
        <f ca="1">gr('calcul-stats'!BB332)</f>
        <v>#NAME?</v>
      </c>
      <c r="F332" s="523" t="e">
        <f ca="1">gr('calcul-stats'!BC332)</f>
        <v>#NAME?</v>
      </c>
      <c r="G332" s="524" t="e">
        <f t="shared" ref="G332:G376" ca="1" si="5">AVERAGE(B332:F332)</f>
        <v>#NAME?</v>
      </c>
      <c r="H332" s="523"/>
      <c r="I332" s="523"/>
      <c r="J332" s="523"/>
      <c r="K332" s="523"/>
      <c r="L332" s="523"/>
      <c r="M332" s="523"/>
      <c r="N332" s="523"/>
      <c r="O332" s="523"/>
    </row>
    <row r="333" spans="1:15" x14ac:dyDescent="0.2">
      <c r="A333" s="222">
        <f>calculs!A333</f>
        <v>44884</v>
      </c>
      <c r="B333" s="523" t="e">
        <f ca="1">gr('calcul-stats'!AY333)</f>
        <v>#NAME?</v>
      </c>
      <c r="C333" s="523" t="e">
        <f ca="1">gr('calcul-stats'!AZ333)</f>
        <v>#NAME?</v>
      </c>
      <c r="D333" s="523" t="e">
        <f ca="1">gr('calcul-stats'!BA333)</f>
        <v>#NAME?</v>
      </c>
      <c r="E333" s="523" t="e">
        <f ca="1">gr('calcul-stats'!BB333)</f>
        <v>#NAME?</v>
      </c>
      <c r="F333" s="523" t="e">
        <f ca="1">gr('calcul-stats'!BC333)</f>
        <v>#NAME?</v>
      </c>
      <c r="G333" s="524" t="e">
        <f t="shared" ca="1" si="5"/>
        <v>#NAME?</v>
      </c>
      <c r="H333" s="523"/>
      <c r="I333" s="523"/>
      <c r="J333" s="523"/>
      <c r="K333" s="523"/>
      <c r="L333" s="523"/>
      <c r="M333" s="523"/>
      <c r="N333" s="523"/>
      <c r="O333" s="523"/>
    </row>
    <row r="334" spans="1:15" x14ac:dyDescent="0.2">
      <c r="A334" s="222">
        <f>calculs!A334</f>
        <v>44885</v>
      </c>
      <c r="B334" s="523" t="e">
        <f ca="1">gr('calcul-stats'!AY334)</f>
        <v>#NAME?</v>
      </c>
      <c r="C334" s="523" t="e">
        <f ca="1">gr('calcul-stats'!AZ334)</f>
        <v>#NAME?</v>
      </c>
      <c r="D334" s="523" t="e">
        <f ca="1">gr('calcul-stats'!BA334)</f>
        <v>#NAME?</v>
      </c>
      <c r="E334" s="523" t="e">
        <f ca="1">gr('calcul-stats'!BB334)</f>
        <v>#NAME?</v>
      </c>
      <c r="F334" s="523" t="e">
        <f ca="1">gr('calcul-stats'!BC334)</f>
        <v>#NAME?</v>
      </c>
      <c r="G334" s="524" t="e">
        <f t="shared" ca="1" si="5"/>
        <v>#NAME?</v>
      </c>
      <c r="H334" s="523"/>
      <c r="I334" s="523"/>
      <c r="J334" s="523"/>
      <c r="K334" s="523"/>
      <c r="L334" s="523"/>
      <c r="M334" s="523"/>
      <c r="N334" s="523"/>
      <c r="O334" s="523"/>
    </row>
    <row r="335" spans="1:15" x14ac:dyDescent="0.2">
      <c r="A335" s="222">
        <f>calculs!A335</f>
        <v>44886</v>
      </c>
      <c r="B335" s="523" t="e">
        <f ca="1">gr('calcul-stats'!AY335)</f>
        <v>#NAME?</v>
      </c>
      <c r="C335" s="523" t="e">
        <f ca="1">gr('calcul-stats'!AZ335)</f>
        <v>#NAME?</v>
      </c>
      <c r="D335" s="523" t="e">
        <f ca="1">gr('calcul-stats'!BA335)</f>
        <v>#NAME?</v>
      </c>
      <c r="E335" s="523" t="e">
        <f ca="1">gr('calcul-stats'!BB335)</f>
        <v>#NAME?</v>
      </c>
      <c r="F335" s="523" t="e">
        <f ca="1">gr('calcul-stats'!BC335)</f>
        <v>#NAME?</v>
      </c>
      <c r="G335" s="524" t="e">
        <f t="shared" ca="1" si="5"/>
        <v>#NAME?</v>
      </c>
      <c r="H335" s="523"/>
      <c r="I335" s="523"/>
      <c r="J335" s="523"/>
      <c r="K335" s="523"/>
      <c r="L335" s="523"/>
      <c r="M335" s="523"/>
      <c r="N335" s="523"/>
      <c r="O335" s="523"/>
    </row>
    <row r="336" spans="1:15" x14ac:dyDescent="0.2">
      <c r="A336" s="222">
        <f>calculs!A336</f>
        <v>44887</v>
      </c>
      <c r="B336" s="523" t="e">
        <f ca="1">gr('calcul-stats'!AY336)</f>
        <v>#NAME?</v>
      </c>
      <c r="C336" s="523" t="e">
        <f ca="1">gr('calcul-stats'!AZ336)</f>
        <v>#NAME?</v>
      </c>
      <c r="D336" s="523" t="e">
        <f ca="1">gr('calcul-stats'!BA336)</f>
        <v>#NAME?</v>
      </c>
      <c r="E336" s="523" t="e">
        <f ca="1">gr('calcul-stats'!BB336)</f>
        <v>#NAME?</v>
      </c>
      <c r="F336" s="523" t="e">
        <f ca="1">gr('calcul-stats'!BC336)</f>
        <v>#NAME?</v>
      </c>
      <c r="G336" s="524" t="e">
        <f t="shared" ca="1" si="5"/>
        <v>#NAME?</v>
      </c>
      <c r="H336" s="523"/>
      <c r="I336" s="523"/>
      <c r="J336" s="523"/>
      <c r="K336" s="523"/>
      <c r="L336" s="523"/>
      <c r="M336" s="523"/>
      <c r="N336" s="523"/>
      <c r="O336" s="523"/>
    </row>
    <row r="337" spans="1:15" x14ac:dyDescent="0.2">
      <c r="A337" s="222">
        <f>calculs!A337</f>
        <v>44888</v>
      </c>
      <c r="B337" s="523" t="e">
        <f ca="1">gr('calcul-stats'!AY337)</f>
        <v>#NAME?</v>
      </c>
      <c r="C337" s="523" t="e">
        <f ca="1">gr('calcul-stats'!AZ337)</f>
        <v>#NAME?</v>
      </c>
      <c r="D337" s="523" t="e">
        <f ca="1">gr('calcul-stats'!BA337)</f>
        <v>#NAME?</v>
      </c>
      <c r="E337" s="523" t="e">
        <f ca="1">gr('calcul-stats'!BB337)</f>
        <v>#NAME?</v>
      </c>
      <c r="F337" s="523" t="e">
        <f ca="1">gr('calcul-stats'!BC337)</f>
        <v>#NAME?</v>
      </c>
      <c r="G337" s="524" t="e">
        <f t="shared" ca="1" si="5"/>
        <v>#NAME?</v>
      </c>
      <c r="H337" s="523"/>
      <c r="I337" s="523"/>
      <c r="J337" s="523"/>
      <c r="K337" s="523"/>
      <c r="L337" s="523"/>
      <c r="M337" s="523"/>
      <c r="N337" s="523"/>
      <c r="O337" s="523"/>
    </row>
    <row r="338" spans="1:15" x14ac:dyDescent="0.2">
      <c r="A338" s="222">
        <f>calculs!A338</f>
        <v>44889</v>
      </c>
      <c r="B338" s="523" t="e">
        <f ca="1">gr('calcul-stats'!AY338)</f>
        <v>#NAME?</v>
      </c>
      <c r="C338" s="523" t="e">
        <f ca="1">gr('calcul-stats'!AZ338)</f>
        <v>#NAME?</v>
      </c>
      <c r="D338" s="523" t="e">
        <f ca="1">gr('calcul-stats'!BA338)</f>
        <v>#NAME?</v>
      </c>
      <c r="E338" s="523" t="e">
        <f ca="1">gr('calcul-stats'!BB338)</f>
        <v>#NAME?</v>
      </c>
      <c r="F338" s="523" t="e">
        <f ca="1">gr('calcul-stats'!BC338)</f>
        <v>#NAME?</v>
      </c>
      <c r="G338" s="524" t="e">
        <f t="shared" ca="1" si="5"/>
        <v>#NAME?</v>
      </c>
      <c r="H338" s="523"/>
      <c r="I338" s="523"/>
      <c r="J338" s="523"/>
      <c r="K338" s="523"/>
      <c r="L338" s="523"/>
      <c r="M338" s="523"/>
      <c r="N338" s="523"/>
      <c r="O338" s="523"/>
    </row>
    <row r="339" spans="1:15" x14ac:dyDescent="0.2">
      <c r="A339" s="222">
        <f>calculs!A339</f>
        <v>44890</v>
      </c>
      <c r="B339" s="523" t="e">
        <f ca="1">gr('calcul-stats'!AY339)</f>
        <v>#NAME?</v>
      </c>
      <c r="C339" s="523" t="e">
        <f ca="1">gr('calcul-stats'!AZ339)</f>
        <v>#NAME?</v>
      </c>
      <c r="D339" s="523" t="e">
        <f ca="1">gr('calcul-stats'!BA339)</f>
        <v>#NAME?</v>
      </c>
      <c r="E339" s="523" t="e">
        <f ca="1">gr('calcul-stats'!BB339)</f>
        <v>#NAME?</v>
      </c>
      <c r="F339" s="523" t="e">
        <f ca="1">gr('calcul-stats'!BC339)</f>
        <v>#NAME?</v>
      </c>
      <c r="G339" s="524" t="e">
        <f t="shared" ca="1" si="5"/>
        <v>#NAME?</v>
      </c>
      <c r="H339" s="523"/>
      <c r="I339" s="523"/>
      <c r="J339" s="523"/>
      <c r="K339" s="523"/>
      <c r="L339" s="523"/>
      <c r="M339" s="523"/>
      <c r="N339" s="523"/>
      <c r="O339" s="523"/>
    </row>
    <row r="340" spans="1:15" x14ac:dyDescent="0.2">
      <c r="A340" s="222">
        <f>calculs!A340</f>
        <v>44891</v>
      </c>
      <c r="B340" s="523" t="e">
        <f ca="1">gr('calcul-stats'!AY340)</f>
        <v>#NAME?</v>
      </c>
      <c r="C340" s="523" t="e">
        <f ca="1">gr('calcul-stats'!AZ340)</f>
        <v>#NAME?</v>
      </c>
      <c r="D340" s="523" t="e">
        <f ca="1">gr('calcul-stats'!BA340)</f>
        <v>#NAME?</v>
      </c>
      <c r="E340" s="523" t="e">
        <f ca="1">gr('calcul-stats'!BB340)</f>
        <v>#NAME?</v>
      </c>
      <c r="F340" s="523" t="e">
        <f ca="1">gr('calcul-stats'!BC340)</f>
        <v>#NAME?</v>
      </c>
      <c r="G340" s="524" t="e">
        <f t="shared" ca="1" si="5"/>
        <v>#NAME?</v>
      </c>
      <c r="H340" s="523"/>
      <c r="I340" s="523"/>
      <c r="J340" s="523"/>
      <c r="K340" s="523"/>
      <c r="L340" s="523"/>
      <c r="M340" s="523"/>
      <c r="N340" s="523"/>
      <c r="O340" s="523"/>
    </row>
    <row r="341" spans="1:15" x14ac:dyDescent="0.2">
      <c r="A341" s="222">
        <f>calculs!A341</f>
        <v>44892</v>
      </c>
      <c r="B341" s="523" t="e">
        <f ca="1">gr('calcul-stats'!AY341)</f>
        <v>#NAME?</v>
      </c>
      <c r="C341" s="523" t="e">
        <f ca="1">gr('calcul-stats'!AZ341)</f>
        <v>#NAME?</v>
      </c>
      <c r="D341" s="523" t="e">
        <f ca="1">gr('calcul-stats'!BA341)</f>
        <v>#NAME?</v>
      </c>
      <c r="E341" s="523" t="e">
        <f ca="1">gr('calcul-stats'!BB341)</f>
        <v>#NAME?</v>
      </c>
      <c r="F341" s="523" t="e">
        <f ca="1">gr('calcul-stats'!BC341)</f>
        <v>#NAME?</v>
      </c>
      <c r="G341" s="524" t="e">
        <f t="shared" ca="1" si="5"/>
        <v>#NAME?</v>
      </c>
      <c r="H341" s="523"/>
      <c r="I341" s="523"/>
      <c r="J341" s="523"/>
      <c r="K341" s="523"/>
      <c r="L341" s="523"/>
      <c r="M341" s="523"/>
      <c r="N341" s="523"/>
      <c r="O341" s="523"/>
    </row>
    <row r="342" spans="1:15" x14ac:dyDescent="0.2">
      <c r="A342" s="222">
        <f>calculs!A342</f>
        <v>44893</v>
      </c>
      <c r="B342" s="523" t="e">
        <f ca="1">gr('calcul-stats'!AY342)</f>
        <v>#NAME?</v>
      </c>
      <c r="C342" s="523" t="e">
        <f ca="1">gr('calcul-stats'!AZ342)</f>
        <v>#NAME?</v>
      </c>
      <c r="D342" s="523" t="e">
        <f ca="1">gr('calcul-stats'!BA342)</f>
        <v>#NAME?</v>
      </c>
      <c r="E342" s="523" t="e">
        <f ca="1">gr('calcul-stats'!BB342)</f>
        <v>#NAME?</v>
      </c>
      <c r="F342" s="523" t="e">
        <f ca="1">gr('calcul-stats'!BC342)</f>
        <v>#NAME?</v>
      </c>
      <c r="G342" s="524" t="e">
        <f t="shared" ca="1" si="5"/>
        <v>#NAME?</v>
      </c>
      <c r="H342" s="523"/>
      <c r="I342" s="523"/>
      <c r="J342" s="523"/>
      <c r="K342" s="523"/>
      <c r="L342" s="523"/>
      <c r="M342" s="523"/>
      <c r="N342" s="523"/>
      <c r="O342" s="523"/>
    </row>
    <row r="343" spans="1:15" x14ac:dyDescent="0.2">
      <c r="A343" s="222">
        <f>calculs!A343</f>
        <v>44894</v>
      </c>
      <c r="B343" s="523" t="e">
        <f ca="1">gr('calcul-stats'!AY343)</f>
        <v>#NAME?</v>
      </c>
      <c r="C343" s="523" t="e">
        <f ca="1">gr('calcul-stats'!AZ343)</f>
        <v>#NAME?</v>
      </c>
      <c r="D343" s="523" t="e">
        <f ca="1">gr('calcul-stats'!BA343)</f>
        <v>#NAME?</v>
      </c>
      <c r="E343" s="523" t="e">
        <f ca="1">gr('calcul-stats'!BB343)</f>
        <v>#NAME?</v>
      </c>
      <c r="F343" s="523" t="e">
        <f ca="1">gr('calcul-stats'!BC343)</f>
        <v>#NAME?</v>
      </c>
      <c r="G343" s="524" t="e">
        <f t="shared" ca="1" si="5"/>
        <v>#NAME?</v>
      </c>
      <c r="H343" s="523"/>
      <c r="I343" s="523"/>
      <c r="J343" s="523"/>
      <c r="K343" s="523"/>
      <c r="L343" s="523"/>
      <c r="M343" s="523"/>
      <c r="N343" s="523"/>
      <c r="O343" s="523"/>
    </row>
    <row r="344" spans="1:15" x14ac:dyDescent="0.2">
      <c r="A344" s="222">
        <f>calculs!A344</f>
        <v>44895</v>
      </c>
      <c r="B344" s="523" t="e">
        <f ca="1">gr('calcul-stats'!AY344)</f>
        <v>#NAME?</v>
      </c>
      <c r="C344" s="523" t="e">
        <f ca="1">gr('calcul-stats'!AZ344)</f>
        <v>#NAME?</v>
      </c>
      <c r="D344" s="523" t="e">
        <f ca="1">gr('calcul-stats'!BA344)</f>
        <v>#NAME?</v>
      </c>
      <c r="E344" s="523" t="e">
        <f ca="1">gr('calcul-stats'!BB344)</f>
        <v>#NAME?</v>
      </c>
      <c r="F344" s="523" t="e">
        <f ca="1">gr('calcul-stats'!BC344)</f>
        <v>#NAME?</v>
      </c>
      <c r="G344" s="524" t="e">
        <f t="shared" ca="1" si="5"/>
        <v>#NAME?</v>
      </c>
      <c r="H344" s="523"/>
      <c r="I344" s="523"/>
      <c r="J344" s="523"/>
      <c r="K344" s="523"/>
      <c r="L344" s="523"/>
      <c r="M344" s="523"/>
      <c r="N344" s="523"/>
      <c r="O344" s="523"/>
    </row>
    <row r="345" spans="1:15" x14ac:dyDescent="0.2">
      <c r="A345" s="222">
        <f>calculs!A345</f>
        <v>44896</v>
      </c>
      <c r="B345" s="523" t="e">
        <f ca="1">gr('calcul-stats'!AY345)</f>
        <v>#NAME?</v>
      </c>
      <c r="C345" s="523" t="e">
        <f ca="1">gr('calcul-stats'!AZ345)</f>
        <v>#NAME?</v>
      </c>
      <c r="D345" s="523" t="e">
        <f ca="1">gr('calcul-stats'!BA345)</f>
        <v>#NAME?</v>
      </c>
      <c r="E345" s="523" t="e">
        <f ca="1">gr('calcul-stats'!BB345)</f>
        <v>#NAME?</v>
      </c>
      <c r="F345" s="523" t="e">
        <f ca="1">gr('calcul-stats'!BC345)</f>
        <v>#NAME?</v>
      </c>
      <c r="G345" s="524" t="e">
        <f t="shared" ca="1" si="5"/>
        <v>#NAME?</v>
      </c>
      <c r="H345" s="523"/>
      <c r="I345" s="523"/>
      <c r="J345" s="523"/>
      <c r="K345" s="523"/>
      <c r="L345" s="523"/>
      <c r="M345" s="523"/>
      <c r="N345" s="523"/>
      <c r="O345" s="523"/>
    </row>
    <row r="346" spans="1:15" x14ac:dyDescent="0.2">
      <c r="A346" s="222">
        <f>calculs!A346</f>
        <v>44897</v>
      </c>
      <c r="B346" s="523" t="e">
        <f ca="1">gr('calcul-stats'!AY346)</f>
        <v>#NAME?</v>
      </c>
      <c r="C346" s="523" t="e">
        <f ca="1">gr('calcul-stats'!AZ346)</f>
        <v>#NAME?</v>
      </c>
      <c r="D346" s="523" t="e">
        <f ca="1">gr('calcul-stats'!BA346)</f>
        <v>#NAME?</v>
      </c>
      <c r="E346" s="523" t="e">
        <f ca="1">gr('calcul-stats'!BB346)</f>
        <v>#NAME?</v>
      </c>
      <c r="F346" s="523" t="e">
        <f ca="1">gr('calcul-stats'!BC346)</f>
        <v>#NAME?</v>
      </c>
      <c r="G346" s="524" t="e">
        <f t="shared" ca="1" si="5"/>
        <v>#NAME?</v>
      </c>
      <c r="H346" s="523"/>
      <c r="I346" s="523"/>
      <c r="J346" s="523"/>
      <c r="K346" s="523"/>
      <c r="L346" s="523"/>
      <c r="M346" s="523"/>
      <c r="N346" s="523"/>
      <c r="O346" s="523"/>
    </row>
    <row r="347" spans="1:15" x14ac:dyDescent="0.2">
      <c r="A347" s="222">
        <f>calculs!A347</f>
        <v>44898</v>
      </c>
      <c r="B347" s="523" t="e">
        <f ca="1">gr('calcul-stats'!AY347)</f>
        <v>#NAME?</v>
      </c>
      <c r="C347" s="523" t="e">
        <f ca="1">gr('calcul-stats'!AZ347)</f>
        <v>#NAME?</v>
      </c>
      <c r="D347" s="523" t="e">
        <f ca="1">gr('calcul-stats'!BA347)</f>
        <v>#NAME?</v>
      </c>
      <c r="E347" s="523" t="e">
        <f ca="1">gr('calcul-stats'!BB347)</f>
        <v>#NAME?</v>
      </c>
      <c r="F347" s="523" t="e">
        <f ca="1">gr('calcul-stats'!BC347)</f>
        <v>#NAME?</v>
      </c>
      <c r="G347" s="524" t="e">
        <f t="shared" ca="1" si="5"/>
        <v>#NAME?</v>
      </c>
      <c r="H347" s="523"/>
      <c r="I347" s="523"/>
      <c r="J347" s="523"/>
      <c r="K347" s="523"/>
      <c r="L347" s="523"/>
      <c r="M347" s="523"/>
      <c r="N347" s="523"/>
      <c r="O347" s="523"/>
    </row>
    <row r="348" spans="1:15" x14ac:dyDescent="0.2">
      <c r="A348" s="222">
        <f>calculs!A348</f>
        <v>44899</v>
      </c>
      <c r="B348" s="523" t="e">
        <f ca="1">gr('calcul-stats'!AY348)</f>
        <v>#NAME?</v>
      </c>
      <c r="C348" s="523" t="e">
        <f ca="1">gr('calcul-stats'!AZ348)</f>
        <v>#NAME?</v>
      </c>
      <c r="D348" s="523" t="e">
        <f ca="1">gr('calcul-stats'!BA348)</f>
        <v>#NAME?</v>
      </c>
      <c r="E348" s="523" t="e">
        <f ca="1">gr('calcul-stats'!BB348)</f>
        <v>#NAME?</v>
      </c>
      <c r="F348" s="523" t="e">
        <f ca="1">gr('calcul-stats'!BC348)</f>
        <v>#NAME?</v>
      </c>
      <c r="G348" s="524" t="e">
        <f t="shared" ca="1" si="5"/>
        <v>#NAME?</v>
      </c>
      <c r="H348" s="523"/>
      <c r="I348" s="523"/>
      <c r="J348" s="523"/>
      <c r="K348" s="523"/>
      <c r="L348" s="523"/>
      <c r="M348" s="523"/>
      <c r="N348" s="523"/>
      <c r="O348" s="523"/>
    </row>
    <row r="349" spans="1:15" x14ac:dyDescent="0.2">
      <c r="A349" s="222">
        <f>calculs!A349</f>
        <v>44900</v>
      </c>
      <c r="B349" s="523" t="e">
        <f ca="1">gr('calcul-stats'!AY349)</f>
        <v>#NAME?</v>
      </c>
      <c r="C349" s="523" t="e">
        <f ca="1">gr('calcul-stats'!AZ349)</f>
        <v>#NAME?</v>
      </c>
      <c r="D349" s="523" t="e">
        <f ca="1">gr('calcul-stats'!BA349)</f>
        <v>#NAME?</v>
      </c>
      <c r="E349" s="523" t="e">
        <f ca="1">gr('calcul-stats'!BB349)</f>
        <v>#NAME?</v>
      </c>
      <c r="F349" s="523" t="e">
        <f ca="1">gr('calcul-stats'!BC349)</f>
        <v>#NAME?</v>
      </c>
      <c r="G349" s="524" t="e">
        <f t="shared" ca="1" si="5"/>
        <v>#NAME?</v>
      </c>
      <c r="H349" s="523"/>
      <c r="I349" s="523"/>
      <c r="J349" s="523"/>
      <c r="K349" s="523"/>
      <c r="L349" s="523"/>
      <c r="M349" s="523"/>
      <c r="N349" s="523"/>
      <c r="O349" s="523"/>
    </row>
    <row r="350" spans="1:15" x14ac:dyDescent="0.2">
      <c r="A350" s="222">
        <f>calculs!A350</f>
        <v>44901</v>
      </c>
      <c r="B350" s="523" t="e">
        <f ca="1">gr('calcul-stats'!AY350)</f>
        <v>#NAME?</v>
      </c>
      <c r="C350" s="523" t="e">
        <f ca="1">gr('calcul-stats'!AZ350)</f>
        <v>#NAME?</v>
      </c>
      <c r="D350" s="523" t="e">
        <f ca="1">gr('calcul-stats'!BA350)</f>
        <v>#NAME?</v>
      </c>
      <c r="E350" s="523" t="e">
        <f ca="1">gr('calcul-stats'!BB350)</f>
        <v>#NAME?</v>
      </c>
      <c r="F350" s="523" t="e">
        <f ca="1">gr('calcul-stats'!BC350)</f>
        <v>#NAME?</v>
      </c>
      <c r="G350" s="524" t="e">
        <f t="shared" ca="1" si="5"/>
        <v>#NAME?</v>
      </c>
      <c r="H350" s="523"/>
      <c r="I350" s="523"/>
      <c r="J350" s="523"/>
      <c r="K350" s="523"/>
      <c r="L350" s="523"/>
      <c r="M350" s="523"/>
      <c r="N350" s="523"/>
      <c r="O350" s="523"/>
    </row>
    <row r="351" spans="1:15" x14ac:dyDescent="0.2">
      <c r="A351" s="222">
        <f>calculs!A351</f>
        <v>44902</v>
      </c>
      <c r="B351" s="523" t="e">
        <f ca="1">gr('calcul-stats'!AY351)</f>
        <v>#NAME?</v>
      </c>
      <c r="C351" s="523" t="e">
        <f ca="1">gr('calcul-stats'!AZ351)</f>
        <v>#NAME?</v>
      </c>
      <c r="D351" s="523" t="e">
        <f ca="1">gr('calcul-stats'!BA351)</f>
        <v>#NAME?</v>
      </c>
      <c r="E351" s="523" t="e">
        <f ca="1">gr('calcul-stats'!BB351)</f>
        <v>#NAME?</v>
      </c>
      <c r="F351" s="523" t="e">
        <f ca="1">gr('calcul-stats'!BC351)</f>
        <v>#NAME?</v>
      </c>
      <c r="G351" s="524" t="e">
        <f t="shared" ca="1" si="5"/>
        <v>#NAME?</v>
      </c>
      <c r="H351" s="523"/>
      <c r="I351" s="523"/>
      <c r="J351" s="523"/>
      <c r="K351" s="523"/>
      <c r="L351" s="523"/>
      <c r="M351" s="523"/>
      <c r="N351" s="523"/>
      <c r="O351" s="523"/>
    </row>
    <row r="352" spans="1:15" x14ac:dyDescent="0.2">
      <c r="A352" s="222">
        <f>calculs!A352</f>
        <v>44903</v>
      </c>
      <c r="B352" s="523" t="e">
        <f ca="1">gr('calcul-stats'!AY352)</f>
        <v>#NAME?</v>
      </c>
      <c r="C352" s="523" t="e">
        <f ca="1">gr('calcul-stats'!AZ352)</f>
        <v>#NAME?</v>
      </c>
      <c r="D352" s="523" t="e">
        <f ca="1">gr('calcul-stats'!BA352)</f>
        <v>#NAME?</v>
      </c>
      <c r="E352" s="523" t="e">
        <f ca="1">gr('calcul-stats'!BB352)</f>
        <v>#NAME?</v>
      </c>
      <c r="F352" s="523" t="e">
        <f ca="1">gr('calcul-stats'!BC352)</f>
        <v>#NAME?</v>
      </c>
      <c r="G352" s="524" t="e">
        <f t="shared" ca="1" si="5"/>
        <v>#NAME?</v>
      </c>
      <c r="H352" s="523"/>
      <c r="I352" s="523"/>
      <c r="J352" s="523"/>
      <c r="K352" s="523"/>
      <c r="L352" s="523"/>
      <c r="M352" s="523"/>
      <c r="N352" s="523"/>
      <c r="O352" s="523"/>
    </row>
    <row r="353" spans="1:15" x14ac:dyDescent="0.2">
      <c r="A353" s="222">
        <f>calculs!A353</f>
        <v>44904</v>
      </c>
      <c r="B353" s="523" t="e">
        <f ca="1">gr('calcul-stats'!AY353)</f>
        <v>#NAME?</v>
      </c>
      <c r="C353" s="523" t="e">
        <f ca="1">gr('calcul-stats'!AZ353)</f>
        <v>#NAME?</v>
      </c>
      <c r="D353" s="523" t="e">
        <f ca="1">gr('calcul-stats'!BA353)</f>
        <v>#NAME?</v>
      </c>
      <c r="E353" s="523" t="e">
        <f ca="1">gr('calcul-stats'!BB353)</f>
        <v>#NAME?</v>
      </c>
      <c r="F353" s="523" t="e">
        <f ca="1">gr('calcul-stats'!BC353)</f>
        <v>#NAME?</v>
      </c>
      <c r="G353" s="524" t="e">
        <f t="shared" ca="1" si="5"/>
        <v>#NAME?</v>
      </c>
      <c r="H353" s="523"/>
      <c r="I353" s="523"/>
      <c r="J353" s="523"/>
      <c r="K353" s="523"/>
      <c r="L353" s="523"/>
      <c r="M353" s="523"/>
      <c r="N353" s="523"/>
      <c r="O353" s="523"/>
    </row>
    <row r="354" spans="1:15" x14ac:dyDescent="0.2">
      <c r="A354" s="222">
        <f>calculs!A354</f>
        <v>44905</v>
      </c>
      <c r="B354" s="523" t="e">
        <f ca="1">gr('calcul-stats'!AY354)</f>
        <v>#NAME?</v>
      </c>
      <c r="C354" s="523" t="e">
        <f ca="1">gr('calcul-stats'!AZ354)</f>
        <v>#NAME?</v>
      </c>
      <c r="D354" s="523" t="e">
        <f ca="1">gr('calcul-stats'!BA354)</f>
        <v>#NAME?</v>
      </c>
      <c r="E354" s="523" t="e">
        <f ca="1">gr('calcul-stats'!BB354)</f>
        <v>#NAME?</v>
      </c>
      <c r="F354" s="523" t="e">
        <f ca="1">gr('calcul-stats'!BC354)</f>
        <v>#NAME?</v>
      </c>
      <c r="G354" s="524" t="e">
        <f t="shared" ca="1" si="5"/>
        <v>#NAME?</v>
      </c>
      <c r="H354" s="523"/>
      <c r="I354" s="523"/>
      <c r="J354" s="523"/>
      <c r="K354" s="523"/>
      <c r="L354" s="523"/>
      <c r="M354" s="523"/>
      <c r="N354" s="523"/>
      <c r="O354" s="523"/>
    </row>
    <row r="355" spans="1:15" x14ac:dyDescent="0.2">
      <c r="A355" s="222">
        <f>calculs!A355</f>
        <v>44906</v>
      </c>
      <c r="B355" s="523" t="e">
        <f ca="1">gr('calcul-stats'!AY355)</f>
        <v>#NAME?</v>
      </c>
      <c r="C355" s="523" t="e">
        <f ca="1">gr('calcul-stats'!AZ355)</f>
        <v>#NAME?</v>
      </c>
      <c r="D355" s="523" t="e">
        <f ca="1">gr('calcul-stats'!BA355)</f>
        <v>#NAME?</v>
      </c>
      <c r="E355" s="523" t="e">
        <f ca="1">gr('calcul-stats'!BB355)</f>
        <v>#NAME?</v>
      </c>
      <c r="F355" s="523" t="e">
        <f ca="1">gr('calcul-stats'!BC355)</f>
        <v>#NAME?</v>
      </c>
      <c r="G355" s="524" t="e">
        <f t="shared" ca="1" si="5"/>
        <v>#NAME?</v>
      </c>
      <c r="H355" s="523"/>
      <c r="I355" s="523"/>
      <c r="J355" s="523"/>
      <c r="K355" s="523"/>
      <c r="L355" s="523"/>
      <c r="M355" s="523"/>
      <c r="N355" s="523"/>
      <c r="O355" s="523"/>
    </row>
    <row r="356" spans="1:15" x14ac:dyDescent="0.2">
      <c r="A356" s="222">
        <f>calculs!A356</f>
        <v>44907</v>
      </c>
      <c r="B356" s="523" t="e">
        <f ca="1">gr('calcul-stats'!AY356)</f>
        <v>#NAME?</v>
      </c>
      <c r="C356" s="523" t="e">
        <f ca="1">gr('calcul-stats'!AZ356)</f>
        <v>#NAME?</v>
      </c>
      <c r="D356" s="523" t="e">
        <f ca="1">gr('calcul-stats'!BA356)</f>
        <v>#NAME?</v>
      </c>
      <c r="E356" s="523" t="e">
        <f ca="1">gr('calcul-stats'!BB356)</f>
        <v>#NAME?</v>
      </c>
      <c r="F356" s="523" t="e">
        <f ca="1">gr('calcul-stats'!BC356)</f>
        <v>#NAME?</v>
      </c>
      <c r="G356" s="524" t="e">
        <f t="shared" ca="1" si="5"/>
        <v>#NAME?</v>
      </c>
      <c r="H356" s="523"/>
      <c r="I356" s="523"/>
      <c r="J356" s="523"/>
      <c r="K356" s="523"/>
      <c r="L356" s="523"/>
      <c r="M356" s="523"/>
      <c r="N356" s="523"/>
      <c r="O356" s="523"/>
    </row>
    <row r="357" spans="1:15" x14ac:dyDescent="0.2">
      <c r="A357" s="222">
        <f>calculs!A357</f>
        <v>44908</v>
      </c>
      <c r="B357" s="523" t="e">
        <f ca="1">gr('calcul-stats'!AY357)</f>
        <v>#NAME?</v>
      </c>
      <c r="C357" s="523" t="e">
        <f ca="1">gr('calcul-stats'!AZ357)</f>
        <v>#NAME?</v>
      </c>
      <c r="D357" s="523" t="e">
        <f ca="1">gr('calcul-stats'!BA357)</f>
        <v>#NAME?</v>
      </c>
      <c r="E357" s="523" t="e">
        <f ca="1">gr('calcul-stats'!BB357)</f>
        <v>#NAME?</v>
      </c>
      <c r="F357" s="523" t="e">
        <f ca="1">gr('calcul-stats'!BC357)</f>
        <v>#NAME?</v>
      </c>
      <c r="G357" s="524" t="e">
        <f t="shared" ca="1" si="5"/>
        <v>#NAME?</v>
      </c>
      <c r="H357" s="523"/>
      <c r="I357" s="523"/>
      <c r="J357" s="523"/>
      <c r="K357" s="523"/>
      <c r="L357" s="523"/>
      <c r="M357" s="523"/>
      <c r="N357" s="523"/>
      <c r="O357" s="523"/>
    </row>
    <row r="358" spans="1:15" x14ac:dyDescent="0.2">
      <c r="A358" s="222">
        <f>calculs!A358</f>
        <v>44909</v>
      </c>
      <c r="B358" s="523" t="e">
        <f ca="1">gr('calcul-stats'!AY358)</f>
        <v>#NAME?</v>
      </c>
      <c r="C358" s="523" t="e">
        <f ca="1">gr('calcul-stats'!AZ358)</f>
        <v>#NAME?</v>
      </c>
      <c r="D358" s="523" t="e">
        <f ca="1">gr('calcul-stats'!BA358)</f>
        <v>#NAME?</v>
      </c>
      <c r="E358" s="523" t="e">
        <f ca="1">gr('calcul-stats'!BB358)</f>
        <v>#NAME?</v>
      </c>
      <c r="F358" s="523" t="e">
        <f ca="1">gr('calcul-stats'!BC358)</f>
        <v>#NAME?</v>
      </c>
      <c r="G358" s="524" t="e">
        <f t="shared" ca="1" si="5"/>
        <v>#NAME?</v>
      </c>
      <c r="H358" s="523"/>
      <c r="I358" s="523"/>
      <c r="J358" s="523"/>
      <c r="K358" s="523"/>
      <c r="L358" s="523"/>
      <c r="M358" s="523"/>
      <c r="N358" s="523"/>
      <c r="O358" s="523"/>
    </row>
    <row r="359" spans="1:15" x14ac:dyDescent="0.2">
      <c r="A359" s="222">
        <f>calculs!A359</f>
        <v>44910</v>
      </c>
      <c r="B359" s="523" t="e">
        <f ca="1">gr('calcul-stats'!AY359)</f>
        <v>#NAME?</v>
      </c>
      <c r="C359" s="523" t="e">
        <f ca="1">gr('calcul-stats'!AZ359)</f>
        <v>#NAME?</v>
      </c>
      <c r="D359" s="523" t="e">
        <f ca="1">gr('calcul-stats'!BA359)</f>
        <v>#NAME?</v>
      </c>
      <c r="E359" s="523" t="e">
        <f ca="1">gr('calcul-stats'!BB359)</f>
        <v>#NAME?</v>
      </c>
      <c r="F359" s="523" t="e">
        <f ca="1">gr('calcul-stats'!BC359)</f>
        <v>#NAME?</v>
      </c>
      <c r="G359" s="524" t="e">
        <f t="shared" ca="1" si="5"/>
        <v>#NAME?</v>
      </c>
      <c r="H359" s="523"/>
      <c r="I359" s="523"/>
      <c r="J359" s="523"/>
      <c r="K359" s="523"/>
      <c r="L359" s="523"/>
      <c r="M359" s="523"/>
      <c r="N359" s="523"/>
      <c r="O359" s="523"/>
    </row>
    <row r="360" spans="1:15" x14ac:dyDescent="0.2">
      <c r="A360" s="222">
        <f>calculs!A360</f>
        <v>44911</v>
      </c>
      <c r="B360" s="523" t="e">
        <f ca="1">gr('calcul-stats'!AY360)</f>
        <v>#NAME?</v>
      </c>
      <c r="C360" s="523" t="e">
        <f ca="1">gr('calcul-stats'!AZ360)</f>
        <v>#NAME?</v>
      </c>
      <c r="D360" s="523" t="e">
        <f ca="1">gr('calcul-stats'!BA360)</f>
        <v>#NAME?</v>
      </c>
      <c r="E360" s="523" t="e">
        <f ca="1">gr('calcul-stats'!BB360)</f>
        <v>#NAME?</v>
      </c>
      <c r="F360" s="523" t="e">
        <f ca="1">gr('calcul-stats'!BC360)</f>
        <v>#NAME?</v>
      </c>
      <c r="G360" s="524" t="e">
        <f t="shared" ca="1" si="5"/>
        <v>#NAME?</v>
      </c>
      <c r="H360" s="523"/>
      <c r="I360" s="523"/>
      <c r="J360" s="523"/>
      <c r="K360" s="523"/>
      <c r="L360" s="523"/>
      <c r="M360" s="523"/>
      <c r="N360" s="523"/>
      <c r="O360" s="523"/>
    </row>
    <row r="361" spans="1:15" x14ac:dyDescent="0.2">
      <c r="A361" s="222">
        <f>calculs!A361</f>
        <v>44912</v>
      </c>
      <c r="B361" s="523" t="e">
        <f ca="1">gr('calcul-stats'!AY361)</f>
        <v>#NAME?</v>
      </c>
      <c r="C361" s="523" t="e">
        <f ca="1">gr('calcul-stats'!AZ361)</f>
        <v>#NAME?</v>
      </c>
      <c r="D361" s="523" t="e">
        <f ca="1">gr('calcul-stats'!BA361)</f>
        <v>#NAME?</v>
      </c>
      <c r="E361" s="523" t="e">
        <f ca="1">gr('calcul-stats'!BB361)</f>
        <v>#NAME?</v>
      </c>
      <c r="F361" s="523" t="e">
        <f ca="1">gr('calcul-stats'!BC361)</f>
        <v>#NAME?</v>
      </c>
      <c r="G361" s="524" t="e">
        <f t="shared" ca="1" si="5"/>
        <v>#NAME?</v>
      </c>
      <c r="H361" s="523"/>
      <c r="I361" s="523"/>
      <c r="J361" s="523"/>
      <c r="K361" s="523"/>
      <c r="L361" s="523"/>
      <c r="M361" s="523"/>
      <c r="N361" s="523"/>
      <c r="O361" s="523"/>
    </row>
    <row r="362" spans="1:15" x14ac:dyDescent="0.2">
      <c r="A362" s="222">
        <f>calculs!A362</f>
        <v>44913</v>
      </c>
      <c r="B362" s="523" t="e">
        <f ca="1">gr('calcul-stats'!AY362)</f>
        <v>#NAME?</v>
      </c>
      <c r="C362" s="523" t="e">
        <f ca="1">gr('calcul-stats'!AZ362)</f>
        <v>#NAME?</v>
      </c>
      <c r="D362" s="523" t="e">
        <f ca="1">gr('calcul-stats'!BA362)</f>
        <v>#NAME?</v>
      </c>
      <c r="E362" s="523" t="e">
        <f ca="1">gr('calcul-stats'!BB362)</f>
        <v>#NAME?</v>
      </c>
      <c r="F362" s="523" t="e">
        <f ca="1">gr('calcul-stats'!BC362)</f>
        <v>#NAME?</v>
      </c>
      <c r="G362" s="524" t="e">
        <f t="shared" ca="1" si="5"/>
        <v>#NAME?</v>
      </c>
      <c r="H362" s="523"/>
      <c r="I362" s="523"/>
      <c r="J362" s="523"/>
      <c r="K362" s="523"/>
      <c r="L362" s="523"/>
      <c r="M362" s="523"/>
      <c r="N362" s="523"/>
      <c r="O362" s="523"/>
    </row>
    <row r="363" spans="1:15" x14ac:dyDescent="0.2">
      <c r="A363" s="222">
        <f>calculs!A363</f>
        <v>44914</v>
      </c>
      <c r="B363" s="523" t="e">
        <f ca="1">gr('calcul-stats'!AY363)</f>
        <v>#NAME?</v>
      </c>
      <c r="C363" s="523" t="e">
        <f ca="1">gr('calcul-stats'!AZ363)</f>
        <v>#NAME?</v>
      </c>
      <c r="D363" s="523" t="e">
        <f ca="1">gr('calcul-stats'!BA363)</f>
        <v>#NAME?</v>
      </c>
      <c r="E363" s="523" t="e">
        <f ca="1">gr('calcul-stats'!BB363)</f>
        <v>#NAME?</v>
      </c>
      <c r="F363" s="523" t="e">
        <f ca="1">gr('calcul-stats'!BC363)</f>
        <v>#NAME?</v>
      </c>
      <c r="G363" s="524" t="e">
        <f t="shared" ca="1" si="5"/>
        <v>#NAME?</v>
      </c>
      <c r="H363" s="523"/>
      <c r="I363" s="523"/>
      <c r="J363" s="523"/>
      <c r="K363" s="523"/>
      <c r="L363" s="523"/>
      <c r="M363" s="523"/>
      <c r="N363" s="523"/>
      <c r="O363" s="523"/>
    </row>
    <row r="364" spans="1:15" x14ac:dyDescent="0.2">
      <c r="A364" s="222">
        <f>calculs!A364</f>
        <v>44915</v>
      </c>
      <c r="B364" s="523" t="e">
        <f ca="1">gr('calcul-stats'!AY364)</f>
        <v>#NAME?</v>
      </c>
      <c r="C364" s="523" t="e">
        <f ca="1">gr('calcul-stats'!AZ364)</f>
        <v>#NAME?</v>
      </c>
      <c r="D364" s="523" t="e">
        <f ca="1">gr('calcul-stats'!BA364)</f>
        <v>#NAME?</v>
      </c>
      <c r="E364" s="523" t="e">
        <f ca="1">gr('calcul-stats'!BB364)</f>
        <v>#NAME?</v>
      </c>
      <c r="F364" s="523" t="e">
        <f ca="1">gr('calcul-stats'!BC364)</f>
        <v>#NAME?</v>
      </c>
      <c r="G364" s="524" t="e">
        <f t="shared" ca="1" si="5"/>
        <v>#NAME?</v>
      </c>
      <c r="H364" s="523"/>
      <c r="I364" s="523"/>
      <c r="J364" s="523"/>
      <c r="K364" s="523"/>
      <c r="L364" s="523"/>
      <c r="M364" s="523"/>
      <c r="N364" s="523"/>
      <c r="O364" s="523"/>
    </row>
    <row r="365" spans="1:15" x14ac:dyDescent="0.2">
      <c r="A365" s="222">
        <f>calculs!A365</f>
        <v>44916</v>
      </c>
      <c r="B365" s="523" t="e">
        <f ca="1">gr('calcul-stats'!AY365)</f>
        <v>#NAME?</v>
      </c>
      <c r="C365" s="523" t="e">
        <f ca="1">gr('calcul-stats'!AZ365)</f>
        <v>#NAME?</v>
      </c>
      <c r="D365" s="523" t="e">
        <f ca="1">gr('calcul-stats'!BA365)</f>
        <v>#NAME?</v>
      </c>
      <c r="E365" s="523" t="e">
        <f ca="1">gr('calcul-stats'!BB365)</f>
        <v>#NAME?</v>
      </c>
      <c r="F365" s="523" t="e">
        <f ca="1">gr('calcul-stats'!BC365)</f>
        <v>#NAME?</v>
      </c>
      <c r="G365" s="524" t="e">
        <f t="shared" ca="1" si="5"/>
        <v>#NAME?</v>
      </c>
      <c r="H365" s="523"/>
      <c r="I365" s="523"/>
      <c r="J365" s="523"/>
      <c r="K365" s="523"/>
      <c r="L365" s="523"/>
      <c r="M365" s="523"/>
      <c r="N365" s="523"/>
      <c r="O365" s="523"/>
    </row>
    <row r="366" spans="1:15" x14ac:dyDescent="0.2">
      <c r="A366" s="222">
        <f>calculs!A366</f>
        <v>44917</v>
      </c>
      <c r="B366" s="523" t="e">
        <f ca="1">gr('calcul-stats'!AY366)</f>
        <v>#NAME?</v>
      </c>
      <c r="C366" s="523" t="e">
        <f ca="1">gr('calcul-stats'!AZ366)</f>
        <v>#NAME?</v>
      </c>
      <c r="D366" s="523" t="e">
        <f ca="1">gr('calcul-stats'!BA366)</f>
        <v>#NAME?</v>
      </c>
      <c r="E366" s="523" t="e">
        <f ca="1">gr('calcul-stats'!BB366)</f>
        <v>#NAME?</v>
      </c>
      <c r="F366" s="523" t="e">
        <f ca="1">gr('calcul-stats'!BC366)</f>
        <v>#NAME?</v>
      </c>
      <c r="G366" s="524" t="e">
        <f t="shared" ca="1" si="5"/>
        <v>#NAME?</v>
      </c>
      <c r="H366" s="523"/>
      <c r="I366" s="523"/>
      <c r="J366" s="523"/>
      <c r="K366" s="523"/>
      <c r="L366" s="523"/>
      <c r="M366" s="523"/>
      <c r="N366" s="523"/>
      <c r="O366" s="523"/>
    </row>
    <row r="367" spans="1:15" x14ac:dyDescent="0.2">
      <c r="A367" s="222">
        <f>calculs!A367</f>
        <v>44918</v>
      </c>
      <c r="B367" s="523" t="e">
        <f ca="1">gr('calcul-stats'!AY367)</f>
        <v>#NAME?</v>
      </c>
      <c r="C367" s="523" t="e">
        <f ca="1">gr('calcul-stats'!AZ367)</f>
        <v>#NAME?</v>
      </c>
      <c r="D367" s="523" t="e">
        <f ca="1">gr('calcul-stats'!BA367)</f>
        <v>#NAME?</v>
      </c>
      <c r="E367" s="523" t="e">
        <f ca="1">gr('calcul-stats'!BB367)</f>
        <v>#NAME?</v>
      </c>
      <c r="F367" s="523" t="e">
        <f ca="1">gr('calcul-stats'!BC367)</f>
        <v>#NAME?</v>
      </c>
      <c r="G367" s="524" t="e">
        <f t="shared" ca="1" si="5"/>
        <v>#NAME?</v>
      </c>
      <c r="H367" s="523"/>
      <c r="I367" s="523"/>
      <c r="J367" s="523"/>
      <c r="K367" s="523"/>
      <c r="L367" s="523"/>
      <c r="M367" s="523"/>
      <c r="N367" s="523"/>
      <c r="O367" s="523"/>
    </row>
    <row r="368" spans="1:15" x14ac:dyDescent="0.2">
      <c r="A368" s="222">
        <f>calculs!A368</f>
        <v>44919</v>
      </c>
      <c r="B368" s="523" t="e">
        <f ca="1">gr('calcul-stats'!AY368)</f>
        <v>#NAME?</v>
      </c>
      <c r="C368" s="523" t="e">
        <f ca="1">gr('calcul-stats'!AZ368)</f>
        <v>#NAME?</v>
      </c>
      <c r="D368" s="523" t="e">
        <f ca="1">gr('calcul-stats'!BA368)</f>
        <v>#NAME?</v>
      </c>
      <c r="E368" s="523" t="e">
        <f ca="1">gr('calcul-stats'!BB368)</f>
        <v>#NAME?</v>
      </c>
      <c r="F368" s="523" t="e">
        <f ca="1">gr('calcul-stats'!BC368)</f>
        <v>#NAME?</v>
      </c>
      <c r="G368" s="524" t="e">
        <f t="shared" ca="1" si="5"/>
        <v>#NAME?</v>
      </c>
      <c r="H368" s="523"/>
      <c r="I368" s="523"/>
      <c r="J368" s="523"/>
      <c r="K368" s="523"/>
      <c r="L368" s="523"/>
      <c r="M368" s="523"/>
      <c r="N368" s="523"/>
      <c r="O368" s="523"/>
    </row>
    <row r="369" spans="1:15" x14ac:dyDescent="0.2">
      <c r="A369" s="222">
        <f>calculs!A369</f>
        <v>44920</v>
      </c>
      <c r="B369" s="523" t="e">
        <f ca="1">gr('calcul-stats'!AY369)</f>
        <v>#NAME?</v>
      </c>
      <c r="C369" s="523" t="e">
        <f ca="1">gr('calcul-stats'!AZ369)</f>
        <v>#NAME?</v>
      </c>
      <c r="D369" s="523" t="e">
        <f ca="1">gr('calcul-stats'!BA369)</f>
        <v>#NAME?</v>
      </c>
      <c r="E369" s="523" t="e">
        <f ca="1">gr('calcul-stats'!BB369)</f>
        <v>#NAME?</v>
      </c>
      <c r="F369" s="523" t="e">
        <f ca="1">gr('calcul-stats'!BC369)</f>
        <v>#NAME?</v>
      </c>
      <c r="G369" s="524" t="e">
        <f t="shared" ca="1" si="5"/>
        <v>#NAME?</v>
      </c>
      <c r="H369" s="523"/>
      <c r="I369" s="523"/>
      <c r="J369" s="523"/>
      <c r="K369" s="523"/>
      <c r="L369" s="523"/>
      <c r="M369" s="523"/>
      <c r="N369" s="523"/>
      <c r="O369" s="523"/>
    </row>
    <row r="370" spans="1:15" x14ac:dyDescent="0.2">
      <c r="A370" s="222">
        <f>calculs!A370</f>
        <v>44921</v>
      </c>
      <c r="B370" s="523" t="e">
        <f ca="1">gr('calcul-stats'!AY370)</f>
        <v>#NAME?</v>
      </c>
      <c r="C370" s="523" t="e">
        <f ca="1">gr('calcul-stats'!AZ370)</f>
        <v>#NAME?</v>
      </c>
      <c r="D370" s="523" t="e">
        <f ca="1">gr('calcul-stats'!BA370)</f>
        <v>#NAME?</v>
      </c>
      <c r="E370" s="523" t="e">
        <f ca="1">gr('calcul-stats'!BB370)</f>
        <v>#NAME?</v>
      </c>
      <c r="F370" s="523" t="e">
        <f ca="1">gr('calcul-stats'!BC370)</f>
        <v>#NAME?</v>
      </c>
      <c r="G370" s="524" t="e">
        <f t="shared" ca="1" si="5"/>
        <v>#NAME?</v>
      </c>
      <c r="H370" s="523"/>
      <c r="I370" s="523"/>
      <c r="J370" s="523"/>
      <c r="K370" s="523"/>
      <c r="L370" s="523"/>
      <c r="M370" s="523"/>
      <c r="N370" s="523"/>
      <c r="O370" s="523"/>
    </row>
    <row r="371" spans="1:15" x14ac:dyDescent="0.2">
      <c r="A371" s="222">
        <f>calculs!A371</f>
        <v>44922</v>
      </c>
      <c r="B371" s="523" t="e">
        <f ca="1">gr('calcul-stats'!AY371)</f>
        <v>#NAME?</v>
      </c>
      <c r="C371" s="523" t="e">
        <f ca="1">gr('calcul-stats'!AZ371)</f>
        <v>#NAME?</v>
      </c>
      <c r="D371" s="523" t="e">
        <f ca="1">gr('calcul-stats'!BA371)</f>
        <v>#NAME?</v>
      </c>
      <c r="E371" s="523" t="e">
        <f ca="1">gr('calcul-stats'!BB371)</f>
        <v>#NAME?</v>
      </c>
      <c r="F371" s="523" t="e">
        <f ca="1">gr('calcul-stats'!BC371)</f>
        <v>#NAME?</v>
      </c>
      <c r="G371" s="524" t="e">
        <f t="shared" ca="1" si="5"/>
        <v>#NAME?</v>
      </c>
      <c r="H371" s="523"/>
      <c r="I371" s="523"/>
      <c r="J371" s="523"/>
      <c r="K371" s="523"/>
      <c r="L371" s="523"/>
      <c r="M371" s="523"/>
      <c r="N371" s="523"/>
      <c r="O371" s="523"/>
    </row>
    <row r="372" spans="1:15" x14ac:dyDescent="0.2">
      <c r="A372" s="222">
        <f>calculs!A372</f>
        <v>44923</v>
      </c>
      <c r="B372" s="523" t="e">
        <f ca="1">gr('calcul-stats'!AY372)</f>
        <v>#NAME?</v>
      </c>
      <c r="C372" s="523" t="e">
        <f ca="1">gr('calcul-stats'!AZ372)</f>
        <v>#NAME?</v>
      </c>
      <c r="D372" s="523" t="e">
        <f ca="1">gr('calcul-stats'!BA372)</f>
        <v>#NAME?</v>
      </c>
      <c r="E372" s="523" t="e">
        <f ca="1">gr('calcul-stats'!BB372)</f>
        <v>#NAME?</v>
      </c>
      <c r="F372" s="523" t="e">
        <f ca="1">gr('calcul-stats'!BC372)</f>
        <v>#NAME?</v>
      </c>
      <c r="G372" s="524" t="e">
        <f t="shared" ca="1" si="5"/>
        <v>#NAME?</v>
      </c>
      <c r="H372" s="523"/>
      <c r="I372" s="523"/>
      <c r="J372" s="523"/>
      <c r="K372" s="523"/>
      <c r="L372" s="523"/>
      <c r="M372" s="523"/>
      <c r="N372" s="523"/>
      <c r="O372" s="523"/>
    </row>
    <row r="373" spans="1:15" x14ac:dyDescent="0.2">
      <c r="A373" s="222">
        <f>calculs!A373</f>
        <v>44924</v>
      </c>
      <c r="B373" s="523" t="e">
        <f ca="1">gr('calcul-stats'!AY373)</f>
        <v>#NAME?</v>
      </c>
      <c r="C373" s="523" t="e">
        <f ca="1">gr('calcul-stats'!AZ373)</f>
        <v>#NAME?</v>
      </c>
      <c r="D373" s="523" t="e">
        <f ca="1">gr('calcul-stats'!BA373)</f>
        <v>#NAME?</v>
      </c>
      <c r="E373" s="523" t="e">
        <f ca="1">gr('calcul-stats'!BB373)</f>
        <v>#NAME?</v>
      </c>
      <c r="F373" s="523" t="e">
        <f ca="1">gr('calcul-stats'!BC373)</f>
        <v>#NAME?</v>
      </c>
      <c r="G373" s="524" t="e">
        <f t="shared" ca="1" si="5"/>
        <v>#NAME?</v>
      </c>
      <c r="H373" s="523"/>
      <c r="I373" s="523"/>
      <c r="J373" s="523"/>
      <c r="K373" s="523"/>
      <c r="L373" s="523"/>
      <c r="M373" s="523"/>
      <c r="N373" s="523"/>
      <c r="O373" s="523"/>
    </row>
    <row r="374" spans="1:15" x14ac:dyDescent="0.2">
      <c r="A374" s="222">
        <f>calculs!A374</f>
        <v>44925</v>
      </c>
      <c r="B374" s="523" t="e">
        <f ca="1">gr('calcul-stats'!AY374)</f>
        <v>#NAME?</v>
      </c>
      <c r="C374" s="523" t="e">
        <f ca="1">gr('calcul-stats'!AZ374)</f>
        <v>#NAME?</v>
      </c>
      <c r="D374" s="523" t="e">
        <f ca="1">gr('calcul-stats'!BA374)</f>
        <v>#NAME?</v>
      </c>
      <c r="E374" s="523" t="e">
        <f ca="1">gr('calcul-stats'!BB374)</f>
        <v>#NAME?</v>
      </c>
      <c r="F374" s="523" t="e">
        <f ca="1">gr('calcul-stats'!BC374)</f>
        <v>#NAME?</v>
      </c>
      <c r="G374" s="524" t="e">
        <f t="shared" ca="1" si="5"/>
        <v>#NAME?</v>
      </c>
      <c r="H374" s="523"/>
      <c r="I374" s="523"/>
      <c r="J374" s="523"/>
      <c r="K374" s="523"/>
      <c r="L374" s="523"/>
      <c r="M374" s="523"/>
      <c r="N374" s="523"/>
      <c r="O374" s="523"/>
    </row>
    <row r="375" spans="1:15" x14ac:dyDescent="0.2">
      <c r="A375" s="222">
        <f>calculs!A375</f>
        <v>44926</v>
      </c>
      <c r="B375" s="523" t="e">
        <f ca="1">gr('calcul-stats'!AY375)</f>
        <v>#NAME?</v>
      </c>
      <c r="C375" s="523" t="e">
        <f ca="1">gr('calcul-stats'!AZ375)</f>
        <v>#NAME?</v>
      </c>
      <c r="D375" s="523" t="e">
        <f ca="1">gr('calcul-stats'!BA375)</f>
        <v>#NAME?</v>
      </c>
      <c r="E375" s="523" t="e">
        <f ca="1">gr('calcul-stats'!BB375)</f>
        <v>#NAME?</v>
      </c>
      <c r="F375" s="523" t="e">
        <f ca="1">gr('calcul-stats'!BC375)</f>
        <v>#NAME?</v>
      </c>
      <c r="G375" s="524" t="e">
        <f t="shared" ca="1" si="5"/>
        <v>#NAME?</v>
      </c>
      <c r="H375" s="523"/>
      <c r="I375" s="523"/>
      <c r="J375" s="523"/>
      <c r="K375" s="523"/>
      <c r="L375" s="523"/>
      <c r="M375" s="523"/>
      <c r="N375" s="523"/>
      <c r="O375" s="523"/>
    </row>
    <row r="376" spans="1:15" x14ac:dyDescent="0.2">
      <c r="A376" s="222">
        <f>calculs!A376</f>
        <v>0</v>
      </c>
      <c r="B376" s="523" t="e">
        <f>gr('calcul-stats'!AY376)</f>
        <v>#N/A</v>
      </c>
      <c r="C376" s="523" t="e">
        <f>gr('calcul-stats'!AZ376)</f>
        <v>#N/A</v>
      </c>
      <c r="D376" s="523" t="e">
        <f>gr('calcul-stats'!BA376)</f>
        <v>#N/A</v>
      </c>
      <c r="E376" s="523" t="e">
        <f>gr('calcul-stats'!BB376)</f>
        <v>#N/A</v>
      </c>
      <c r="F376" s="523" t="e">
        <f>gr('calcul-stats'!BC376)</f>
        <v>#N/A</v>
      </c>
      <c r="G376" s="524" t="e">
        <f t="shared" si="5"/>
        <v>#N/A</v>
      </c>
      <c r="H376" s="523"/>
      <c r="I376" s="523"/>
      <c r="J376" s="523"/>
      <c r="K376" s="523"/>
      <c r="L376" s="523"/>
      <c r="M376" s="523"/>
      <c r="N376" s="523"/>
      <c r="O376" s="523"/>
    </row>
    <row r="377" spans="1:15" s="515" customFormat="1" x14ac:dyDescent="0.2"/>
  </sheetData>
  <mergeCells count="1">
    <mergeCell ref="B9:F9"/>
  </mergeCells>
  <pageMargins left="0.7" right="0.7" top="0.75" bottom="0.75" header="0.3" footer="0.3"/>
  <pageSetup paperSize="301" scale="37" orientation="portrait" r:id="rId1"/>
  <colBreaks count="1" manualBreakCount="1">
    <brk id="21" max="376"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8" tint="0.59999389629810485"/>
  </sheetPr>
  <dimension ref="A1:AD377"/>
  <sheetViews>
    <sheetView topLeftCell="A157" zoomScaleNormal="100" workbookViewId="0">
      <selection activeCell="AA163" sqref="AA163"/>
    </sheetView>
  </sheetViews>
  <sheetFormatPr baseColWidth="10" defaultColWidth="11.42578125" defaultRowHeight="12.75" x14ac:dyDescent="0.2"/>
  <cols>
    <col min="1" max="8" width="11.42578125" style="739"/>
    <col min="9" max="16" width="11.42578125" style="817"/>
    <col min="17" max="16384" width="11.42578125" style="739"/>
  </cols>
  <sheetData>
    <row r="1" spans="1:30" x14ac:dyDescent="0.2">
      <c r="A1" s="739" t="str">
        <f>basis!A1</f>
        <v>ARA Ausserbinn</v>
      </c>
    </row>
    <row r="9" spans="1:30" ht="12.75" customHeight="1" x14ac:dyDescent="0.2">
      <c r="B9" s="1092" t="str">
        <f>A1&amp;" "&amp;Jahr&amp;" - "&amp;IF('liste-STEP'!F95=1,"rapports entrée","Verhältnisse Zulauf")</f>
        <v>ARA Ausserbinn 2022 - Verhältnisse Zulauf</v>
      </c>
      <c r="C9" s="1093"/>
      <c r="D9" s="1093"/>
      <c r="E9" s="1093"/>
      <c r="F9" s="1093"/>
      <c r="G9" s="1093"/>
      <c r="H9" s="1093"/>
      <c r="I9" s="858"/>
      <c r="J9" s="858"/>
      <c r="K9" s="858"/>
      <c r="L9" s="858"/>
      <c r="M9" s="858"/>
      <c r="N9" s="858"/>
      <c r="O9" s="858"/>
      <c r="P9" s="858"/>
    </row>
    <row r="10" spans="1:30" x14ac:dyDescent="0.2">
      <c r="A10" s="502"/>
      <c r="B10" s="651" t="str">
        <f>IF(Langue=1,"DCO/DBO5","CSB/BSB5")</f>
        <v>CSB/BSB5</v>
      </c>
      <c r="C10" s="651" t="str">
        <f>IF(Langue=1,"NH4-N/Ntot","NH4-N/Nges")</f>
        <v>NH4-N/Nges</v>
      </c>
      <c r="D10" s="651" t="str">
        <f>IF(Langue=1,"Ntot/COT","Nges/TOC")</f>
        <v>Nges/TOC</v>
      </c>
      <c r="E10" s="651" t="str">
        <f>IF(Langue=1,"Ptot/COT","Pges/TOC")</f>
        <v>Pges/TOC</v>
      </c>
      <c r="F10" s="651" t="str">
        <f>IF(Langue=1,"DCO/COT","CSB/TOC")</f>
        <v>CSB/TOC</v>
      </c>
      <c r="G10" s="651" t="str">
        <f>IF(Langue=1,"Ntot/DCO","Nges/CSB")</f>
        <v>Nges/CSB</v>
      </c>
      <c r="H10" s="651" t="str">
        <f>IF(Langue=1,"Ptot/DCO","Pges/CSB")</f>
        <v>Pges/CSB</v>
      </c>
      <c r="I10" s="651"/>
      <c r="J10" s="651" t="str">
        <f>IF(Langue=1,"DCO/DBO5","CSB/BSB5")</f>
        <v>CSB/BSB5</v>
      </c>
      <c r="K10" s="651" t="str">
        <f>IF(Langue=1,"NH4-N/Ntot","NH4-N/Nges")</f>
        <v>NH4-N/Nges</v>
      </c>
      <c r="L10" s="651" t="str">
        <f>IF(Langue=1,"Ntot/COT","Nges/TOC")</f>
        <v>Nges/TOC</v>
      </c>
      <c r="M10" s="651" t="str">
        <f>IF(Langue=1,"Ptot/COT","Pges/TOC")</f>
        <v>Pges/TOC</v>
      </c>
      <c r="N10" s="651" t="str">
        <f>IF(Langue=1,"DCO/COT","CSB/TOC")</f>
        <v>CSB/TOC</v>
      </c>
      <c r="O10" s="651" t="str">
        <f>IF(Langue=1,"Ntot/DCO","Nges/CSB")</f>
        <v>Nges/CSB</v>
      </c>
      <c r="P10" s="651" t="str">
        <f>IF(Langue=1,"Ptot/DCO","Pges/CSB")</f>
        <v>Pges/CSB</v>
      </c>
    </row>
    <row r="11" spans="1:30" x14ac:dyDescent="0.2">
      <c r="A11" s="222">
        <f>calculs!A11</f>
        <v>44562</v>
      </c>
      <c r="B11" s="535" t="e">
        <f ca="1">gr(calculs!BL11)</f>
        <v>#NAME?</v>
      </c>
      <c r="C11" s="535" t="e">
        <f ca="1">gr(calculs!BM11)</f>
        <v>#NAME?</v>
      </c>
      <c r="D11" s="535" t="e">
        <f ca="1">gr(calculs!BN11)</f>
        <v>#NAME?</v>
      </c>
      <c r="E11" s="535" t="e">
        <f ca="1">gr(calculs!BO11)</f>
        <v>#NAME?</v>
      </c>
      <c r="F11" s="535" t="e">
        <f ca="1">gr(calculs!BP11)</f>
        <v>#NAME?</v>
      </c>
      <c r="G11" s="535" t="e">
        <f ca="1">gr(calculs!BQ11)</f>
        <v>#NAME?</v>
      </c>
      <c r="H11" s="535" t="e">
        <f ca="1">gr(calculs!BR11)</f>
        <v>#NAME?</v>
      </c>
      <c r="I11" s="535"/>
      <c r="J11" s="535">
        <v>2</v>
      </c>
      <c r="K11" s="535">
        <v>0.64</v>
      </c>
      <c r="L11" s="535">
        <v>0.28999999999999998</v>
      </c>
      <c r="M11" s="535">
        <v>0.05</v>
      </c>
      <c r="N11" s="535">
        <v>3.2</v>
      </c>
      <c r="O11" s="535">
        <v>0.09</v>
      </c>
      <c r="P11" s="535">
        <v>0.01</v>
      </c>
    </row>
    <row r="12" spans="1:30" x14ac:dyDescent="0.2">
      <c r="A12" s="222">
        <f>calculs!A12</f>
        <v>44563</v>
      </c>
      <c r="B12" s="535" t="e">
        <f ca="1">gr(calculs!BL12)</f>
        <v>#NAME?</v>
      </c>
      <c r="C12" s="535" t="e">
        <f ca="1">gr(calculs!BM12)</f>
        <v>#NAME?</v>
      </c>
      <c r="D12" s="535" t="e">
        <f ca="1">gr(calculs!BN12)</f>
        <v>#NAME?</v>
      </c>
      <c r="E12" s="535" t="e">
        <f ca="1">gr(calculs!BO12)</f>
        <v>#NAME?</v>
      </c>
      <c r="F12" s="535" t="e">
        <f ca="1">gr(calculs!BP12)</f>
        <v>#NAME?</v>
      </c>
      <c r="G12" s="535" t="e">
        <f ca="1">gr(calculs!BQ12)</f>
        <v>#NAME?</v>
      </c>
      <c r="H12" s="535" t="e">
        <f ca="1">gr(calculs!BR12)</f>
        <v>#NAME?</v>
      </c>
      <c r="I12" s="535"/>
      <c r="J12" s="535" t="e">
        <f>NA()</f>
        <v>#N/A</v>
      </c>
      <c r="K12" s="535" t="e">
        <f>NA()</f>
        <v>#N/A</v>
      </c>
      <c r="L12" s="535" t="e">
        <f>NA()</f>
        <v>#N/A</v>
      </c>
      <c r="M12" s="535" t="e">
        <f>NA()</f>
        <v>#N/A</v>
      </c>
      <c r="N12" s="535" t="e">
        <f>NA()</f>
        <v>#N/A</v>
      </c>
      <c r="O12" s="535" t="e">
        <f>NA()</f>
        <v>#N/A</v>
      </c>
      <c r="P12" s="535" t="e">
        <f>NA()</f>
        <v>#N/A</v>
      </c>
    </row>
    <row r="13" spans="1:30" x14ac:dyDescent="0.2">
      <c r="A13" s="222">
        <f>calculs!A13</f>
        <v>44564</v>
      </c>
      <c r="B13" s="535" t="e">
        <f ca="1">gr(calculs!BL13)</f>
        <v>#NAME?</v>
      </c>
      <c r="C13" s="535" t="e">
        <f ca="1">gr(calculs!BM13)</f>
        <v>#NAME?</v>
      </c>
      <c r="D13" s="535" t="e">
        <f ca="1">gr(calculs!BN13)</f>
        <v>#NAME?</v>
      </c>
      <c r="E13" s="535" t="e">
        <f ca="1">gr(calculs!BO13)</f>
        <v>#NAME?</v>
      </c>
      <c r="F13" s="535" t="e">
        <f ca="1">gr(calculs!BP13)</f>
        <v>#NAME?</v>
      </c>
      <c r="G13" s="535" t="e">
        <f ca="1">gr(calculs!BQ13)</f>
        <v>#NAME?</v>
      </c>
      <c r="H13" s="535" t="e">
        <f ca="1">gr(calculs!BR13)</f>
        <v>#NAME?</v>
      </c>
      <c r="I13" s="535"/>
      <c r="J13" s="535" t="e">
        <f>NA()</f>
        <v>#N/A</v>
      </c>
      <c r="K13" s="535" t="e">
        <f>NA()</f>
        <v>#N/A</v>
      </c>
      <c r="L13" s="535" t="e">
        <f>NA()</f>
        <v>#N/A</v>
      </c>
      <c r="M13" s="535" t="e">
        <f>NA()</f>
        <v>#N/A</v>
      </c>
      <c r="N13" s="535" t="e">
        <f>NA()</f>
        <v>#N/A</v>
      </c>
      <c r="O13" s="535" t="e">
        <f>NA()</f>
        <v>#N/A</v>
      </c>
      <c r="P13" s="535" t="e">
        <f>NA()</f>
        <v>#N/A</v>
      </c>
    </row>
    <row r="14" spans="1:30" x14ac:dyDescent="0.2">
      <c r="A14" s="222">
        <f>calculs!A14</f>
        <v>44565</v>
      </c>
      <c r="B14" s="535" t="e">
        <f ca="1">gr(calculs!BL14)</f>
        <v>#NAME?</v>
      </c>
      <c r="C14" s="535" t="e">
        <f ca="1">gr(calculs!BM14)</f>
        <v>#NAME?</v>
      </c>
      <c r="D14" s="535" t="e">
        <f ca="1">gr(calculs!BN14)</f>
        <v>#NAME?</v>
      </c>
      <c r="E14" s="535" t="e">
        <f ca="1">gr(calculs!BO14)</f>
        <v>#NAME?</v>
      </c>
      <c r="F14" s="535" t="e">
        <f ca="1">gr(calculs!BP14)</f>
        <v>#NAME?</v>
      </c>
      <c r="G14" s="535" t="e">
        <f ca="1">gr(calculs!BQ14)</f>
        <v>#NAME?</v>
      </c>
      <c r="H14" s="535" t="e">
        <f ca="1">gr(calculs!BR14)</f>
        <v>#NAME?</v>
      </c>
      <c r="I14" s="535"/>
      <c r="J14" s="535" t="e">
        <f>NA()</f>
        <v>#N/A</v>
      </c>
      <c r="K14" s="535" t="e">
        <f>NA()</f>
        <v>#N/A</v>
      </c>
      <c r="L14" s="535" t="e">
        <f>NA()</f>
        <v>#N/A</v>
      </c>
      <c r="M14" s="535" t="e">
        <f>NA()</f>
        <v>#N/A</v>
      </c>
      <c r="N14" s="535" t="e">
        <f>NA()</f>
        <v>#N/A</v>
      </c>
      <c r="O14" s="535" t="e">
        <f>NA()</f>
        <v>#N/A</v>
      </c>
      <c r="P14" s="535" t="e">
        <f>NA()</f>
        <v>#N/A</v>
      </c>
      <c r="AA14" s="739" t="s">
        <v>673</v>
      </c>
    </row>
    <row r="15" spans="1:30" x14ac:dyDescent="0.2">
      <c r="A15" s="222">
        <f>calculs!A15</f>
        <v>44566</v>
      </c>
      <c r="B15" s="535" t="e">
        <f ca="1">gr(calculs!BL15)</f>
        <v>#NAME?</v>
      </c>
      <c r="C15" s="535" t="e">
        <f ca="1">gr(calculs!BM15)</f>
        <v>#NAME?</v>
      </c>
      <c r="D15" s="535" t="e">
        <f ca="1">gr(calculs!BN15)</f>
        <v>#NAME?</v>
      </c>
      <c r="E15" s="535" t="e">
        <f ca="1">gr(calculs!BO15)</f>
        <v>#NAME?</v>
      </c>
      <c r="F15" s="535" t="e">
        <f ca="1">gr(calculs!BP15)</f>
        <v>#NAME?</v>
      </c>
      <c r="G15" s="535" t="e">
        <f ca="1">gr(calculs!BQ15)</f>
        <v>#NAME?</v>
      </c>
      <c r="H15" s="535" t="e">
        <f ca="1">gr(calculs!BR15)</f>
        <v>#NAME?</v>
      </c>
      <c r="I15" s="535"/>
      <c r="J15" s="535" t="e">
        <f>NA()</f>
        <v>#N/A</v>
      </c>
      <c r="K15" s="535" t="e">
        <f>NA()</f>
        <v>#N/A</v>
      </c>
      <c r="L15" s="535" t="e">
        <f>NA()</f>
        <v>#N/A</v>
      </c>
      <c r="M15" s="535" t="e">
        <f>NA()</f>
        <v>#N/A</v>
      </c>
      <c r="N15" s="535" t="e">
        <f>NA()</f>
        <v>#N/A</v>
      </c>
      <c r="O15" s="535" t="e">
        <f>NA()</f>
        <v>#N/A</v>
      </c>
      <c r="P15" s="535" t="e">
        <f>NA()</f>
        <v>#N/A</v>
      </c>
      <c r="AB15" s="739" t="s">
        <v>674</v>
      </c>
      <c r="AC15" s="517">
        <v>1.6</v>
      </c>
      <c r="AD15" s="868">
        <v>1.6</v>
      </c>
    </row>
    <row r="16" spans="1:30" x14ac:dyDescent="0.2">
      <c r="A16" s="222">
        <f>calculs!A16</f>
        <v>44567</v>
      </c>
      <c r="B16" s="535" t="e">
        <f ca="1">gr(calculs!BL16)</f>
        <v>#NAME?</v>
      </c>
      <c r="C16" s="535" t="e">
        <f ca="1">gr(calculs!BM16)</f>
        <v>#NAME?</v>
      </c>
      <c r="D16" s="535" t="e">
        <f ca="1">gr(calculs!BN16)</f>
        <v>#NAME?</v>
      </c>
      <c r="E16" s="535" t="e">
        <f ca="1">gr(calculs!BO16)</f>
        <v>#NAME?</v>
      </c>
      <c r="F16" s="535" t="e">
        <f ca="1">gr(calculs!BP16)</f>
        <v>#NAME?</v>
      </c>
      <c r="G16" s="535" t="e">
        <f ca="1">gr(calculs!BQ16)</f>
        <v>#NAME?</v>
      </c>
      <c r="H16" s="535" t="e">
        <f ca="1">gr(calculs!BR16)</f>
        <v>#NAME?</v>
      </c>
      <c r="I16" s="535"/>
      <c r="J16" s="535" t="e">
        <f>NA()</f>
        <v>#N/A</v>
      </c>
      <c r="K16" s="535" t="e">
        <f>NA()</f>
        <v>#N/A</v>
      </c>
      <c r="L16" s="535" t="e">
        <f>NA()</f>
        <v>#N/A</v>
      </c>
      <c r="M16" s="535" t="e">
        <f>NA()</f>
        <v>#N/A</v>
      </c>
      <c r="N16" s="535" t="e">
        <f>NA()</f>
        <v>#N/A</v>
      </c>
      <c r="O16" s="535" t="e">
        <f>NA()</f>
        <v>#N/A</v>
      </c>
      <c r="P16" s="535" t="e">
        <f>NA()</f>
        <v>#N/A</v>
      </c>
      <c r="AB16" s="739" t="s">
        <v>675</v>
      </c>
      <c r="AC16" s="517">
        <v>2</v>
      </c>
      <c r="AD16" s="868">
        <v>2</v>
      </c>
    </row>
    <row r="17" spans="1:30" x14ac:dyDescent="0.2">
      <c r="A17" s="222">
        <f>calculs!A17</f>
        <v>44568</v>
      </c>
      <c r="B17" s="535" t="e">
        <f ca="1">gr(calculs!BL17)</f>
        <v>#NAME?</v>
      </c>
      <c r="C17" s="535" t="e">
        <f ca="1">gr(calculs!BM17)</f>
        <v>#NAME?</v>
      </c>
      <c r="D17" s="535" t="e">
        <f ca="1">gr(calculs!BN17)</f>
        <v>#NAME?</v>
      </c>
      <c r="E17" s="535" t="e">
        <f ca="1">gr(calculs!BO17)</f>
        <v>#NAME?</v>
      </c>
      <c r="F17" s="535" t="e">
        <f ca="1">gr(calculs!BP17)</f>
        <v>#NAME?</v>
      </c>
      <c r="G17" s="535" t="e">
        <f ca="1">gr(calculs!BQ17)</f>
        <v>#NAME?</v>
      </c>
      <c r="H17" s="535" t="e">
        <f ca="1">gr(calculs!BR17)</f>
        <v>#NAME?</v>
      </c>
      <c r="I17" s="535"/>
      <c r="J17" s="535" t="e">
        <f>NA()</f>
        <v>#N/A</v>
      </c>
      <c r="K17" s="535" t="e">
        <f>NA()</f>
        <v>#N/A</v>
      </c>
      <c r="L17" s="535" t="e">
        <f>NA()</f>
        <v>#N/A</v>
      </c>
      <c r="M17" s="535" t="e">
        <f>NA()</f>
        <v>#N/A</v>
      </c>
      <c r="N17" s="535" t="e">
        <f>NA()</f>
        <v>#N/A</v>
      </c>
      <c r="O17" s="535" t="e">
        <f>NA()</f>
        <v>#N/A</v>
      </c>
      <c r="P17" s="535" t="e">
        <f>NA()</f>
        <v>#N/A</v>
      </c>
      <c r="AB17" s="739" t="s">
        <v>676</v>
      </c>
      <c r="AC17" s="517">
        <v>0.63636363636363635</v>
      </c>
      <c r="AD17" s="868">
        <v>0.63636363636363635</v>
      </c>
    </row>
    <row r="18" spans="1:30" x14ac:dyDescent="0.2">
      <c r="A18" s="222">
        <f>calculs!A18</f>
        <v>44569</v>
      </c>
      <c r="B18" s="535" t="e">
        <f ca="1">gr(calculs!BL18)</f>
        <v>#NAME?</v>
      </c>
      <c r="C18" s="535" t="e">
        <f ca="1">gr(calculs!BM18)</f>
        <v>#NAME?</v>
      </c>
      <c r="D18" s="535" t="e">
        <f ca="1">gr(calculs!BN18)</f>
        <v>#NAME?</v>
      </c>
      <c r="E18" s="535" t="e">
        <f ca="1">gr(calculs!BO18)</f>
        <v>#NAME?</v>
      </c>
      <c r="F18" s="535" t="e">
        <f ca="1">gr(calculs!BP18)</f>
        <v>#NAME?</v>
      </c>
      <c r="G18" s="535" t="e">
        <f ca="1">gr(calculs!BQ18)</f>
        <v>#NAME?</v>
      </c>
      <c r="H18" s="535" t="e">
        <f ca="1">gr(calculs!BR18)</f>
        <v>#NAME?</v>
      </c>
      <c r="I18" s="535"/>
      <c r="J18" s="535" t="e">
        <f>NA()</f>
        <v>#N/A</v>
      </c>
      <c r="K18" s="535" t="e">
        <f>NA()</f>
        <v>#N/A</v>
      </c>
      <c r="L18" s="535" t="e">
        <f>NA()</f>
        <v>#N/A</v>
      </c>
      <c r="M18" s="535" t="e">
        <f>NA()</f>
        <v>#N/A</v>
      </c>
      <c r="N18" s="535" t="e">
        <f>NA()</f>
        <v>#N/A</v>
      </c>
      <c r="O18" s="535" t="e">
        <f>NA()</f>
        <v>#N/A</v>
      </c>
      <c r="P18" s="535" t="e">
        <f>NA()</f>
        <v>#N/A</v>
      </c>
      <c r="AB18" s="739" t="s">
        <v>677</v>
      </c>
      <c r="AC18" s="517">
        <v>0.29333333333333333</v>
      </c>
      <c r="AD18" s="868">
        <v>0.29333333333333333</v>
      </c>
    </row>
    <row r="19" spans="1:30" x14ac:dyDescent="0.2">
      <c r="A19" s="222">
        <f>calculs!A19</f>
        <v>44570</v>
      </c>
      <c r="B19" s="535" t="e">
        <f ca="1">gr(calculs!BL19)</f>
        <v>#NAME?</v>
      </c>
      <c r="C19" s="535" t="e">
        <f ca="1">gr(calculs!BM19)</f>
        <v>#NAME?</v>
      </c>
      <c r="D19" s="535" t="e">
        <f ca="1">gr(calculs!BN19)</f>
        <v>#NAME?</v>
      </c>
      <c r="E19" s="535" t="e">
        <f ca="1">gr(calculs!BO19)</f>
        <v>#NAME?</v>
      </c>
      <c r="F19" s="535" t="e">
        <f ca="1">gr(calculs!BP19)</f>
        <v>#NAME?</v>
      </c>
      <c r="G19" s="535" t="e">
        <f ca="1">gr(calculs!BQ19)</f>
        <v>#NAME?</v>
      </c>
      <c r="H19" s="535" t="e">
        <f ca="1">gr(calculs!BR19)</f>
        <v>#NAME?</v>
      </c>
      <c r="I19" s="535"/>
      <c r="J19" s="535" t="e">
        <f>NA()</f>
        <v>#N/A</v>
      </c>
      <c r="K19" s="535" t="e">
        <f>NA()</f>
        <v>#N/A</v>
      </c>
      <c r="L19" s="535" t="e">
        <f>NA()</f>
        <v>#N/A</v>
      </c>
      <c r="M19" s="535" t="e">
        <f>NA()</f>
        <v>#N/A</v>
      </c>
      <c r="N19" s="535" t="e">
        <f>NA()</f>
        <v>#N/A</v>
      </c>
      <c r="O19" s="535" t="e">
        <f>NA()</f>
        <v>#N/A</v>
      </c>
      <c r="P19" s="535" t="e">
        <f>NA()</f>
        <v>#N/A</v>
      </c>
      <c r="AB19" s="739" t="s">
        <v>678</v>
      </c>
      <c r="AC19" s="517">
        <v>4.533333333333333E-2</v>
      </c>
      <c r="AD19" s="868">
        <v>4.533333333333333E-2</v>
      </c>
    </row>
    <row r="20" spans="1:30" x14ac:dyDescent="0.2">
      <c r="A20" s="222">
        <f>calculs!A20</f>
        <v>44571</v>
      </c>
      <c r="B20" s="535" t="e">
        <f ca="1">gr(calculs!BL20)</f>
        <v>#NAME?</v>
      </c>
      <c r="C20" s="535" t="e">
        <f ca="1">gr(calculs!BM20)</f>
        <v>#NAME?</v>
      </c>
      <c r="D20" s="535" t="e">
        <f ca="1">gr(calculs!BN20)</f>
        <v>#NAME?</v>
      </c>
      <c r="E20" s="535" t="e">
        <f ca="1">gr(calculs!BO20)</f>
        <v>#NAME?</v>
      </c>
      <c r="F20" s="535" t="e">
        <f ca="1">gr(calculs!BP20)</f>
        <v>#NAME?</v>
      </c>
      <c r="G20" s="535" t="e">
        <f ca="1">gr(calculs!BQ20)</f>
        <v>#NAME?</v>
      </c>
      <c r="H20" s="535" t="e">
        <f ca="1">gr(calculs!BR20)</f>
        <v>#NAME?</v>
      </c>
      <c r="I20" s="535"/>
      <c r="J20" s="535" t="e">
        <f>NA()</f>
        <v>#N/A</v>
      </c>
      <c r="K20" s="535" t="e">
        <f>NA()</f>
        <v>#N/A</v>
      </c>
      <c r="L20" s="535" t="e">
        <f>NA()</f>
        <v>#N/A</v>
      </c>
      <c r="M20" s="535" t="e">
        <f>NA()</f>
        <v>#N/A</v>
      </c>
      <c r="N20" s="535" t="e">
        <f>NA()</f>
        <v>#N/A</v>
      </c>
      <c r="O20" s="535" t="e">
        <f>NA()</f>
        <v>#N/A</v>
      </c>
      <c r="P20" s="535" t="e">
        <f>NA()</f>
        <v>#N/A</v>
      </c>
      <c r="AB20" s="739" t="s">
        <v>679</v>
      </c>
      <c r="AC20" s="517">
        <v>3.2</v>
      </c>
      <c r="AD20" s="868">
        <v>3.2</v>
      </c>
    </row>
    <row r="21" spans="1:30" x14ac:dyDescent="0.2">
      <c r="A21" s="222">
        <f>calculs!A21</f>
        <v>44572</v>
      </c>
      <c r="B21" s="535" t="e">
        <f ca="1">gr(calculs!BL21)</f>
        <v>#NAME?</v>
      </c>
      <c r="C21" s="535" t="e">
        <f ca="1">gr(calculs!BM21)</f>
        <v>#NAME?</v>
      </c>
      <c r="D21" s="535" t="e">
        <f ca="1">gr(calculs!BN21)</f>
        <v>#NAME?</v>
      </c>
      <c r="E21" s="535" t="e">
        <f ca="1">gr(calculs!BO21)</f>
        <v>#NAME?</v>
      </c>
      <c r="F21" s="535" t="e">
        <f ca="1">gr(calculs!BP21)</f>
        <v>#NAME?</v>
      </c>
      <c r="G21" s="535" t="e">
        <f ca="1">gr(calculs!BQ21)</f>
        <v>#NAME?</v>
      </c>
      <c r="H21" s="535" t="e">
        <f ca="1">gr(calculs!BR21)</f>
        <v>#NAME?</v>
      </c>
      <c r="I21" s="535"/>
      <c r="J21" s="535" t="e">
        <f>NA()</f>
        <v>#N/A</v>
      </c>
      <c r="K21" s="535" t="e">
        <f>NA()</f>
        <v>#N/A</v>
      </c>
      <c r="L21" s="535" t="e">
        <f>NA()</f>
        <v>#N/A</v>
      </c>
      <c r="M21" s="535" t="e">
        <f>NA()</f>
        <v>#N/A</v>
      </c>
      <c r="N21" s="535" t="e">
        <f>NA()</f>
        <v>#N/A</v>
      </c>
      <c r="O21" s="535" t="e">
        <f>NA()</f>
        <v>#N/A</v>
      </c>
      <c r="P21" s="535" t="e">
        <f>NA()</f>
        <v>#N/A</v>
      </c>
      <c r="AB21" s="739" t="s">
        <v>680</v>
      </c>
      <c r="AC21" s="517">
        <v>9.166666666666666E-2</v>
      </c>
      <c r="AD21" s="868">
        <v>9.166666666666666E-2</v>
      </c>
    </row>
    <row r="22" spans="1:30" x14ac:dyDescent="0.2">
      <c r="A22" s="222">
        <f>calculs!A22</f>
        <v>44573</v>
      </c>
      <c r="B22" s="535" t="e">
        <f ca="1">gr(calculs!BL22)</f>
        <v>#NAME?</v>
      </c>
      <c r="C22" s="535" t="e">
        <f ca="1">gr(calculs!BM22)</f>
        <v>#NAME?</v>
      </c>
      <c r="D22" s="535" t="e">
        <f ca="1">gr(calculs!BN22)</f>
        <v>#NAME?</v>
      </c>
      <c r="E22" s="535" t="e">
        <f ca="1">gr(calculs!BO22)</f>
        <v>#NAME?</v>
      </c>
      <c r="F22" s="535" t="e">
        <f ca="1">gr(calculs!BP22)</f>
        <v>#NAME?</v>
      </c>
      <c r="G22" s="535" t="e">
        <f ca="1">gr(calculs!BQ22)</f>
        <v>#NAME?</v>
      </c>
      <c r="H22" s="535" t="e">
        <f ca="1">gr(calculs!BR22)</f>
        <v>#NAME?</v>
      </c>
      <c r="I22" s="535"/>
      <c r="J22" s="535" t="e">
        <f>NA()</f>
        <v>#N/A</v>
      </c>
      <c r="K22" s="535" t="e">
        <f>NA()</f>
        <v>#N/A</v>
      </c>
      <c r="L22" s="535" t="e">
        <f>NA()</f>
        <v>#N/A</v>
      </c>
      <c r="M22" s="535" t="e">
        <f>NA()</f>
        <v>#N/A</v>
      </c>
      <c r="N22" s="535" t="e">
        <f>NA()</f>
        <v>#N/A</v>
      </c>
      <c r="O22" s="535" t="e">
        <f>NA()</f>
        <v>#N/A</v>
      </c>
      <c r="P22" s="535" t="e">
        <f>NA()</f>
        <v>#N/A</v>
      </c>
      <c r="AB22" s="739" t="s">
        <v>681</v>
      </c>
      <c r="AC22" s="517">
        <v>1.4166666666666666E-2</v>
      </c>
      <c r="AD22" s="868">
        <v>1.4166666666666666E-2</v>
      </c>
    </row>
    <row r="23" spans="1:30" x14ac:dyDescent="0.2">
      <c r="A23" s="222">
        <f>calculs!A23</f>
        <v>44574</v>
      </c>
      <c r="B23" s="535" t="e">
        <f ca="1">gr(calculs!BL23)</f>
        <v>#NAME?</v>
      </c>
      <c r="C23" s="535" t="e">
        <f ca="1">gr(calculs!BM23)</f>
        <v>#NAME?</v>
      </c>
      <c r="D23" s="535" t="e">
        <f ca="1">gr(calculs!BN23)</f>
        <v>#NAME?</v>
      </c>
      <c r="E23" s="535" t="e">
        <f ca="1">gr(calculs!BO23)</f>
        <v>#NAME?</v>
      </c>
      <c r="F23" s="535" t="e">
        <f ca="1">gr(calculs!BP23)</f>
        <v>#NAME?</v>
      </c>
      <c r="G23" s="535" t="e">
        <f ca="1">gr(calculs!BQ23)</f>
        <v>#NAME?</v>
      </c>
      <c r="H23" s="535" t="e">
        <f ca="1">gr(calculs!BR23)</f>
        <v>#NAME?</v>
      </c>
      <c r="I23" s="535"/>
      <c r="J23" s="535" t="e">
        <f>NA()</f>
        <v>#N/A</v>
      </c>
      <c r="K23" s="535" t="e">
        <f>NA()</f>
        <v>#N/A</v>
      </c>
      <c r="L23" s="535" t="e">
        <f>NA()</f>
        <v>#N/A</v>
      </c>
      <c r="M23" s="535" t="e">
        <f>NA()</f>
        <v>#N/A</v>
      </c>
      <c r="N23" s="535" t="e">
        <f>NA()</f>
        <v>#N/A</v>
      </c>
      <c r="O23" s="535" t="e">
        <f>NA()</f>
        <v>#N/A</v>
      </c>
      <c r="P23" s="535" t="e">
        <f>NA()</f>
        <v>#N/A</v>
      </c>
    </row>
    <row r="24" spans="1:30" x14ac:dyDescent="0.2">
      <c r="A24" s="222">
        <f>calculs!A24</f>
        <v>44575</v>
      </c>
      <c r="B24" s="535" t="e">
        <f ca="1">gr(calculs!BL24)</f>
        <v>#NAME?</v>
      </c>
      <c r="C24" s="535" t="e">
        <f ca="1">gr(calculs!BM24)</f>
        <v>#NAME?</v>
      </c>
      <c r="D24" s="535" t="e">
        <f ca="1">gr(calculs!BN24)</f>
        <v>#NAME?</v>
      </c>
      <c r="E24" s="535" t="e">
        <f ca="1">gr(calculs!BO24)</f>
        <v>#NAME?</v>
      </c>
      <c r="F24" s="535" t="e">
        <f ca="1">gr(calculs!BP24)</f>
        <v>#NAME?</v>
      </c>
      <c r="G24" s="535" t="e">
        <f ca="1">gr(calculs!BQ24)</f>
        <v>#NAME?</v>
      </c>
      <c r="H24" s="535" t="e">
        <f ca="1">gr(calculs!BR24)</f>
        <v>#NAME?</v>
      </c>
      <c r="I24" s="535"/>
      <c r="J24" s="535" t="e">
        <f>NA()</f>
        <v>#N/A</v>
      </c>
      <c r="K24" s="535" t="e">
        <f>NA()</f>
        <v>#N/A</v>
      </c>
      <c r="L24" s="535" t="e">
        <f>NA()</f>
        <v>#N/A</v>
      </c>
      <c r="M24" s="535" t="e">
        <f>NA()</f>
        <v>#N/A</v>
      </c>
      <c r="N24" s="535" t="e">
        <f>NA()</f>
        <v>#N/A</v>
      </c>
      <c r="O24" s="535" t="e">
        <f>NA()</f>
        <v>#N/A</v>
      </c>
      <c r="P24" s="535" t="e">
        <f>NA()</f>
        <v>#N/A</v>
      </c>
    </row>
    <row r="25" spans="1:30" x14ac:dyDescent="0.2">
      <c r="A25" s="222">
        <f>calculs!A25</f>
        <v>44576</v>
      </c>
      <c r="B25" s="535" t="e">
        <f ca="1">gr(calculs!BL25)</f>
        <v>#NAME?</v>
      </c>
      <c r="C25" s="535" t="e">
        <f ca="1">gr(calculs!BM25)</f>
        <v>#NAME?</v>
      </c>
      <c r="D25" s="535" t="e">
        <f ca="1">gr(calculs!BN25)</f>
        <v>#NAME?</v>
      </c>
      <c r="E25" s="535" t="e">
        <f ca="1">gr(calculs!BO25)</f>
        <v>#NAME?</v>
      </c>
      <c r="F25" s="535" t="e">
        <f ca="1">gr(calculs!BP25)</f>
        <v>#NAME?</v>
      </c>
      <c r="G25" s="535" t="e">
        <f ca="1">gr(calculs!BQ25)</f>
        <v>#NAME?</v>
      </c>
      <c r="H25" s="535" t="e">
        <f ca="1">gr(calculs!BR25)</f>
        <v>#NAME?</v>
      </c>
      <c r="I25" s="535"/>
      <c r="J25" s="535" t="e">
        <f>NA()</f>
        <v>#N/A</v>
      </c>
      <c r="K25" s="535" t="e">
        <f>NA()</f>
        <v>#N/A</v>
      </c>
      <c r="L25" s="535" t="e">
        <f>NA()</f>
        <v>#N/A</v>
      </c>
      <c r="M25" s="535" t="e">
        <f>NA()</f>
        <v>#N/A</v>
      </c>
      <c r="N25" s="535" t="e">
        <f>NA()</f>
        <v>#N/A</v>
      </c>
      <c r="O25" s="535" t="e">
        <f>NA()</f>
        <v>#N/A</v>
      </c>
      <c r="P25" s="535" t="e">
        <f>NA()</f>
        <v>#N/A</v>
      </c>
    </row>
    <row r="26" spans="1:30" x14ac:dyDescent="0.2">
      <c r="A26" s="222">
        <f>calculs!A26</f>
        <v>44577</v>
      </c>
      <c r="B26" s="535" t="e">
        <f ca="1">gr(calculs!BL26)</f>
        <v>#NAME?</v>
      </c>
      <c r="C26" s="535" t="e">
        <f ca="1">gr(calculs!BM26)</f>
        <v>#NAME?</v>
      </c>
      <c r="D26" s="535" t="e">
        <f ca="1">gr(calculs!BN26)</f>
        <v>#NAME?</v>
      </c>
      <c r="E26" s="535" t="e">
        <f ca="1">gr(calculs!BO26)</f>
        <v>#NAME?</v>
      </c>
      <c r="F26" s="535" t="e">
        <f ca="1">gr(calculs!BP26)</f>
        <v>#NAME?</v>
      </c>
      <c r="G26" s="535" t="e">
        <f ca="1">gr(calculs!BQ26)</f>
        <v>#NAME?</v>
      </c>
      <c r="H26" s="535" t="e">
        <f ca="1">gr(calculs!BR26)</f>
        <v>#NAME?</v>
      </c>
      <c r="I26" s="535"/>
      <c r="J26" s="535" t="e">
        <f>NA()</f>
        <v>#N/A</v>
      </c>
      <c r="K26" s="535" t="e">
        <f>NA()</f>
        <v>#N/A</v>
      </c>
      <c r="L26" s="535" t="e">
        <f>NA()</f>
        <v>#N/A</v>
      </c>
      <c r="M26" s="535" t="e">
        <f>NA()</f>
        <v>#N/A</v>
      </c>
      <c r="N26" s="535" t="e">
        <f>NA()</f>
        <v>#N/A</v>
      </c>
      <c r="O26" s="535" t="e">
        <f>NA()</f>
        <v>#N/A</v>
      </c>
      <c r="P26" s="535" t="e">
        <f>NA()</f>
        <v>#N/A</v>
      </c>
    </row>
    <row r="27" spans="1:30" x14ac:dyDescent="0.2">
      <c r="A27" s="222">
        <f>calculs!A27</f>
        <v>44578</v>
      </c>
      <c r="B27" s="535" t="e">
        <f ca="1">gr(calculs!BL27)</f>
        <v>#NAME?</v>
      </c>
      <c r="C27" s="535" t="e">
        <f ca="1">gr(calculs!BM27)</f>
        <v>#NAME?</v>
      </c>
      <c r="D27" s="535" t="e">
        <f ca="1">gr(calculs!BN27)</f>
        <v>#NAME?</v>
      </c>
      <c r="E27" s="535" t="e">
        <f ca="1">gr(calculs!BO27)</f>
        <v>#NAME?</v>
      </c>
      <c r="F27" s="535" t="e">
        <f ca="1">gr(calculs!BP27)</f>
        <v>#NAME?</v>
      </c>
      <c r="G27" s="535" t="e">
        <f ca="1">gr(calculs!BQ27)</f>
        <v>#NAME?</v>
      </c>
      <c r="H27" s="535" t="e">
        <f ca="1">gr(calculs!BR27)</f>
        <v>#NAME?</v>
      </c>
      <c r="I27" s="535"/>
      <c r="J27" s="535" t="e">
        <f>NA()</f>
        <v>#N/A</v>
      </c>
      <c r="K27" s="535" t="e">
        <f>NA()</f>
        <v>#N/A</v>
      </c>
      <c r="L27" s="535" t="e">
        <f>NA()</f>
        <v>#N/A</v>
      </c>
      <c r="M27" s="535" t="e">
        <f>NA()</f>
        <v>#N/A</v>
      </c>
      <c r="N27" s="535" t="e">
        <f>NA()</f>
        <v>#N/A</v>
      </c>
      <c r="O27" s="535" t="e">
        <f>NA()</f>
        <v>#N/A</v>
      </c>
      <c r="P27" s="535" t="e">
        <f>NA()</f>
        <v>#N/A</v>
      </c>
    </row>
    <row r="28" spans="1:30" x14ac:dyDescent="0.2">
      <c r="A28" s="222">
        <f>calculs!A28</f>
        <v>44579</v>
      </c>
      <c r="B28" s="535" t="e">
        <f ca="1">gr(calculs!BL28)</f>
        <v>#NAME?</v>
      </c>
      <c r="C28" s="535" t="e">
        <f ca="1">gr(calculs!BM28)</f>
        <v>#NAME?</v>
      </c>
      <c r="D28" s="535" t="e">
        <f ca="1">gr(calculs!BN28)</f>
        <v>#NAME?</v>
      </c>
      <c r="E28" s="535" t="e">
        <f ca="1">gr(calculs!BO28)</f>
        <v>#NAME?</v>
      </c>
      <c r="F28" s="535" t="e">
        <f ca="1">gr(calculs!BP28)</f>
        <v>#NAME?</v>
      </c>
      <c r="G28" s="535" t="e">
        <f ca="1">gr(calculs!BQ28)</f>
        <v>#NAME?</v>
      </c>
      <c r="H28" s="535" t="e">
        <f ca="1">gr(calculs!BR28)</f>
        <v>#NAME?</v>
      </c>
      <c r="I28" s="535"/>
      <c r="J28" s="535" t="e">
        <f>NA()</f>
        <v>#N/A</v>
      </c>
      <c r="K28" s="535" t="e">
        <f>NA()</f>
        <v>#N/A</v>
      </c>
      <c r="L28" s="535" t="e">
        <f>NA()</f>
        <v>#N/A</v>
      </c>
      <c r="M28" s="535" t="e">
        <f>NA()</f>
        <v>#N/A</v>
      </c>
      <c r="N28" s="535" t="e">
        <f>NA()</f>
        <v>#N/A</v>
      </c>
      <c r="O28" s="535" t="e">
        <f>NA()</f>
        <v>#N/A</v>
      </c>
      <c r="P28" s="535" t="e">
        <f>NA()</f>
        <v>#N/A</v>
      </c>
    </row>
    <row r="29" spans="1:30" x14ac:dyDescent="0.2">
      <c r="A29" s="222">
        <f>calculs!A29</f>
        <v>44580</v>
      </c>
      <c r="B29" s="535" t="e">
        <f ca="1">gr(calculs!BL29)</f>
        <v>#NAME?</v>
      </c>
      <c r="C29" s="535" t="e">
        <f ca="1">gr(calculs!BM29)</f>
        <v>#NAME?</v>
      </c>
      <c r="D29" s="535" t="e">
        <f ca="1">gr(calculs!BN29)</f>
        <v>#NAME?</v>
      </c>
      <c r="E29" s="535" t="e">
        <f ca="1">gr(calculs!BO29)</f>
        <v>#NAME?</v>
      </c>
      <c r="F29" s="535" t="e">
        <f ca="1">gr(calculs!BP29)</f>
        <v>#NAME?</v>
      </c>
      <c r="G29" s="535" t="e">
        <f ca="1">gr(calculs!BQ29)</f>
        <v>#NAME?</v>
      </c>
      <c r="H29" s="535" t="e">
        <f ca="1">gr(calculs!BR29)</f>
        <v>#NAME?</v>
      </c>
      <c r="I29" s="535"/>
      <c r="J29" s="535" t="e">
        <f>NA()</f>
        <v>#N/A</v>
      </c>
      <c r="K29" s="535" t="e">
        <f>NA()</f>
        <v>#N/A</v>
      </c>
      <c r="L29" s="535" t="e">
        <f>NA()</f>
        <v>#N/A</v>
      </c>
      <c r="M29" s="535" t="e">
        <f>NA()</f>
        <v>#N/A</v>
      </c>
      <c r="N29" s="535" t="e">
        <f>NA()</f>
        <v>#N/A</v>
      </c>
      <c r="O29" s="535" t="e">
        <f>NA()</f>
        <v>#N/A</v>
      </c>
      <c r="P29" s="535" t="e">
        <f>NA()</f>
        <v>#N/A</v>
      </c>
    </row>
    <row r="30" spans="1:30" x14ac:dyDescent="0.2">
      <c r="A30" s="222">
        <f>calculs!A30</f>
        <v>44581</v>
      </c>
      <c r="B30" s="535" t="e">
        <f ca="1">gr(calculs!BL30)</f>
        <v>#NAME?</v>
      </c>
      <c r="C30" s="535" t="e">
        <f ca="1">gr(calculs!BM30)</f>
        <v>#NAME?</v>
      </c>
      <c r="D30" s="535" t="e">
        <f ca="1">gr(calculs!BN30)</f>
        <v>#NAME?</v>
      </c>
      <c r="E30" s="535" t="e">
        <f ca="1">gr(calculs!BO30)</f>
        <v>#NAME?</v>
      </c>
      <c r="F30" s="535" t="e">
        <f ca="1">gr(calculs!BP30)</f>
        <v>#NAME?</v>
      </c>
      <c r="G30" s="535" t="e">
        <f ca="1">gr(calculs!BQ30)</f>
        <v>#NAME?</v>
      </c>
      <c r="H30" s="535" t="e">
        <f ca="1">gr(calculs!BR30)</f>
        <v>#NAME?</v>
      </c>
      <c r="I30" s="535"/>
      <c r="J30" s="535" t="e">
        <f>NA()</f>
        <v>#N/A</v>
      </c>
      <c r="K30" s="535" t="e">
        <f>NA()</f>
        <v>#N/A</v>
      </c>
      <c r="L30" s="535" t="e">
        <f>NA()</f>
        <v>#N/A</v>
      </c>
      <c r="M30" s="535" t="e">
        <f>NA()</f>
        <v>#N/A</v>
      </c>
      <c r="N30" s="535" t="e">
        <f>NA()</f>
        <v>#N/A</v>
      </c>
      <c r="O30" s="535" t="e">
        <f>NA()</f>
        <v>#N/A</v>
      </c>
      <c r="P30" s="535" t="e">
        <f>NA()</f>
        <v>#N/A</v>
      </c>
    </row>
    <row r="31" spans="1:30" x14ac:dyDescent="0.2">
      <c r="A31" s="222">
        <f>calculs!A31</f>
        <v>44582</v>
      </c>
      <c r="B31" s="535" t="e">
        <f ca="1">gr(calculs!BL31)</f>
        <v>#NAME?</v>
      </c>
      <c r="C31" s="535" t="e">
        <f ca="1">gr(calculs!BM31)</f>
        <v>#NAME?</v>
      </c>
      <c r="D31" s="535" t="e">
        <f ca="1">gr(calculs!BN31)</f>
        <v>#NAME?</v>
      </c>
      <c r="E31" s="535" t="e">
        <f ca="1">gr(calculs!BO31)</f>
        <v>#NAME?</v>
      </c>
      <c r="F31" s="535" t="e">
        <f ca="1">gr(calculs!BP31)</f>
        <v>#NAME?</v>
      </c>
      <c r="G31" s="535" t="e">
        <f ca="1">gr(calculs!BQ31)</f>
        <v>#NAME?</v>
      </c>
      <c r="H31" s="535" t="e">
        <f ca="1">gr(calculs!BR31)</f>
        <v>#NAME?</v>
      </c>
      <c r="I31" s="535"/>
      <c r="J31" s="535" t="e">
        <f>NA()</f>
        <v>#N/A</v>
      </c>
      <c r="K31" s="535" t="e">
        <f>NA()</f>
        <v>#N/A</v>
      </c>
      <c r="L31" s="535" t="e">
        <f>NA()</f>
        <v>#N/A</v>
      </c>
      <c r="M31" s="535" t="e">
        <f>NA()</f>
        <v>#N/A</v>
      </c>
      <c r="N31" s="535" t="e">
        <f>NA()</f>
        <v>#N/A</v>
      </c>
      <c r="O31" s="535" t="e">
        <f>NA()</f>
        <v>#N/A</v>
      </c>
      <c r="P31" s="535" t="e">
        <f>NA()</f>
        <v>#N/A</v>
      </c>
    </row>
    <row r="32" spans="1:30" x14ac:dyDescent="0.2">
      <c r="A32" s="222">
        <f>calculs!A32</f>
        <v>44583</v>
      </c>
      <c r="B32" s="535" t="e">
        <f ca="1">gr(calculs!BL32)</f>
        <v>#NAME?</v>
      </c>
      <c r="C32" s="535" t="e">
        <f ca="1">gr(calculs!BM32)</f>
        <v>#NAME?</v>
      </c>
      <c r="D32" s="535" t="e">
        <f ca="1">gr(calculs!BN32)</f>
        <v>#NAME?</v>
      </c>
      <c r="E32" s="535" t="e">
        <f ca="1">gr(calculs!BO32)</f>
        <v>#NAME?</v>
      </c>
      <c r="F32" s="535" t="e">
        <f ca="1">gr(calculs!BP32)</f>
        <v>#NAME?</v>
      </c>
      <c r="G32" s="535" t="e">
        <f ca="1">gr(calculs!BQ32)</f>
        <v>#NAME?</v>
      </c>
      <c r="H32" s="535" t="e">
        <f ca="1">gr(calculs!BR32)</f>
        <v>#NAME?</v>
      </c>
      <c r="I32" s="535"/>
      <c r="J32" s="535" t="e">
        <f>NA()</f>
        <v>#N/A</v>
      </c>
      <c r="K32" s="535" t="e">
        <f>NA()</f>
        <v>#N/A</v>
      </c>
      <c r="L32" s="535" t="e">
        <f>NA()</f>
        <v>#N/A</v>
      </c>
      <c r="M32" s="535" t="e">
        <f>NA()</f>
        <v>#N/A</v>
      </c>
      <c r="N32" s="535" t="e">
        <f>NA()</f>
        <v>#N/A</v>
      </c>
      <c r="O32" s="535" t="e">
        <f>NA()</f>
        <v>#N/A</v>
      </c>
      <c r="P32" s="535" t="e">
        <f>NA()</f>
        <v>#N/A</v>
      </c>
    </row>
    <row r="33" spans="1:16" x14ac:dyDescent="0.2">
      <c r="A33" s="222">
        <f>calculs!A33</f>
        <v>44584</v>
      </c>
      <c r="B33" s="535" t="e">
        <f ca="1">gr(calculs!BL33)</f>
        <v>#NAME?</v>
      </c>
      <c r="C33" s="535" t="e">
        <f ca="1">gr(calculs!BM33)</f>
        <v>#NAME?</v>
      </c>
      <c r="D33" s="535" t="e">
        <f ca="1">gr(calculs!BN33)</f>
        <v>#NAME?</v>
      </c>
      <c r="E33" s="535" t="e">
        <f ca="1">gr(calculs!BO33)</f>
        <v>#NAME?</v>
      </c>
      <c r="F33" s="535" t="e">
        <f ca="1">gr(calculs!BP33)</f>
        <v>#NAME?</v>
      </c>
      <c r="G33" s="535" t="e">
        <f ca="1">gr(calculs!BQ33)</f>
        <v>#NAME?</v>
      </c>
      <c r="H33" s="535" t="e">
        <f ca="1">gr(calculs!BR33)</f>
        <v>#NAME?</v>
      </c>
      <c r="I33" s="535"/>
      <c r="J33" s="535" t="e">
        <f>NA()</f>
        <v>#N/A</v>
      </c>
      <c r="K33" s="535" t="e">
        <f>NA()</f>
        <v>#N/A</v>
      </c>
      <c r="L33" s="535" t="e">
        <f>NA()</f>
        <v>#N/A</v>
      </c>
      <c r="M33" s="535" t="e">
        <f>NA()</f>
        <v>#N/A</v>
      </c>
      <c r="N33" s="535" t="e">
        <f>NA()</f>
        <v>#N/A</v>
      </c>
      <c r="O33" s="535" t="e">
        <f>NA()</f>
        <v>#N/A</v>
      </c>
      <c r="P33" s="535" t="e">
        <f>NA()</f>
        <v>#N/A</v>
      </c>
    </row>
    <row r="34" spans="1:16" x14ac:dyDescent="0.2">
      <c r="A34" s="222">
        <f>calculs!A34</f>
        <v>44585</v>
      </c>
      <c r="B34" s="535" t="e">
        <f ca="1">gr(calculs!BL34)</f>
        <v>#NAME?</v>
      </c>
      <c r="C34" s="535" t="e">
        <f ca="1">gr(calculs!BM34)</f>
        <v>#NAME?</v>
      </c>
      <c r="D34" s="535" t="e">
        <f ca="1">gr(calculs!BN34)</f>
        <v>#NAME?</v>
      </c>
      <c r="E34" s="535" t="e">
        <f ca="1">gr(calculs!BO34)</f>
        <v>#NAME?</v>
      </c>
      <c r="F34" s="535" t="e">
        <f ca="1">gr(calculs!BP34)</f>
        <v>#NAME?</v>
      </c>
      <c r="G34" s="535" t="e">
        <f ca="1">gr(calculs!BQ34)</f>
        <v>#NAME?</v>
      </c>
      <c r="H34" s="535" t="e">
        <f ca="1">gr(calculs!BR34)</f>
        <v>#NAME?</v>
      </c>
      <c r="I34" s="535"/>
      <c r="J34" s="535" t="e">
        <f>NA()</f>
        <v>#N/A</v>
      </c>
      <c r="K34" s="535" t="e">
        <f>NA()</f>
        <v>#N/A</v>
      </c>
      <c r="L34" s="535" t="e">
        <f>NA()</f>
        <v>#N/A</v>
      </c>
      <c r="M34" s="535" t="e">
        <f>NA()</f>
        <v>#N/A</v>
      </c>
      <c r="N34" s="535" t="e">
        <f>NA()</f>
        <v>#N/A</v>
      </c>
      <c r="O34" s="535" t="e">
        <f>NA()</f>
        <v>#N/A</v>
      </c>
      <c r="P34" s="535" t="e">
        <f>NA()</f>
        <v>#N/A</v>
      </c>
    </row>
    <row r="35" spans="1:16" x14ac:dyDescent="0.2">
      <c r="A35" s="222">
        <f>calculs!A35</f>
        <v>44586</v>
      </c>
      <c r="B35" s="535" t="e">
        <f ca="1">gr(calculs!BL35)</f>
        <v>#NAME?</v>
      </c>
      <c r="C35" s="535" t="e">
        <f ca="1">gr(calculs!BM35)</f>
        <v>#NAME?</v>
      </c>
      <c r="D35" s="535" t="e">
        <f ca="1">gr(calculs!BN35)</f>
        <v>#NAME?</v>
      </c>
      <c r="E35" s="535" t="e">
        <f ca="1">gr(calculs!BO35)</f>
        <v>#NAME?</v>
      </c>
      <c r="F35" s="535" t="e">
        <f ca="1">gr(calculs!BP35)</f>
        <v>#NAME?</v>
      </c>
      <c r="G35" s="535" t="e">
        <f ca="1">gr(calculs!BQ35)</f>
        <v>#NAME?</v>
      </c>
      <c r="H35" s="535" t="e">
        <f ca="1">gr(calculs!BR35)</f>
        <v>#NAME?</v>
      </c>
      <c r="I35" s="535"/>
      <c r="J35" s="535" t="e">
        <f>NA()</f>
        <v>#N/A</v>
      </c>
      <c r="K35" s="535" t="e">
        <f>NA()</f>
        <v>#N/A</v>
      </c>
      <c r="L35" s="535" t="e">
        <f>NA()</f>
        <v>#N/A</v>
      </c>
      <c r="M35" s="535" t="e">
        <f>NA()</f>
        <v>#N/A</v>
      </c>
      <c r="N35" s="535" t="e">
        <f>NA()</f>
        <v>#N/A</v>
      </c>
      <c r="O35" s="535" t="e">
        <f>NA()</f>
        <v>#N/A</v>
      </c>
      <c r="P35" s="535" t="e">
        <f>NA()</f>
        <v>#N/A</v>
      </c>
    </row>
    <row r="36" spans="1:16" x14ac:dyDescent="0.2">
      <c r="A36" s="222">
        <f>calculs!A36</f>
        <v>44587</v>
      </c>
      <c r="B36" s="535" t="e">
        <f ca="1">gr(calculs!BL36)</f>
        <v>#NAME?</v>
      </c>
      <c r="C36" s="535" t="e">
        <f ca="1">gr(calculs!BM36)</f>
        <v>#NAME?</v>
      </c>
      <c r="D36" s="535" t="e">
        <f ca="1">gr(calculs!BN36)</f>
        <v>#NAME?</v>
      </c>
      <c r="E36" s="535" t="e">
        <f ca="1">gr(calculs!BO36)</f>
        <v>#NAME?</v>
      </c>
      <c r="F36" s="535" t="e">
        <f ca="1">gr(calculs!BP36)</f>
        <v>#NAME?</v>
      </c>
      <c r="G36" s="535" t="e">
        <f ca="1">gr(calculs!BQ36)</f>
        <v>#NAME?</v>
      </c>
      <c r="H36" s="535" t="e">
        <f ca="1">gr(calculs!BR36)</f>
        <v>#NAME?</v>
      </c>
      <c r="I36" s="535"/>
      <c r="J36" s="535" t="e">
        <f>NA()</f>
        <v>#N/A</v>
      </c>
      <c r="K36" s="535" t="e">
        <f>NA()</f>
        <v>#N/A</v>
      </c>
      <c r="L36" s="535" t="e">
        <f>NA()</f>
        <v>#N/A</v>
      </c>
      <c r="M36" s="535" t="e">
        <f>NA()</f>
        <v>#N/A</v>
      </c>
      <c r="N36" s="535" t="e">
        <f>NA()</f>
        <v>#N/A</v>
      </c>
      <c r="O36" s="535" t="e">
        <f>NA()</f>
        <v>#N/A</v>
      </c>
      <c r="P36" s="535" t="e">
        <f>NA()</f>
        <v>#N/A</v>
      </c>
    </row>
    <row r="37" spans="1:16" x14ac:dyDescent="0.2">
      <c r="A37" s="222">
        <f>calculs!A37</f>
        <v>44588</v>
      </c>
      <c r="B37" s="535" t="e">
        <f ca="1">gr(calculs!BL37)</f>
        <v>#NAME?</v>
      </c>
      <c r="C37" s="535" t="e">
        <f ca="1">gr(calculs!BM37)</f>
        <v>#NAME?</v>
      </c>
      <c r="D37" s="535" t="e">
        <f ca="1">gr(calculs!BN37)</f>
        <v>#NAME?</v>
      </c>
      <c r="E37" s="535" t="e">
        <f ca="1">gr(calculs!BO37)</f>
        <v>#NAME?</v>
      </c>
      <c r="F37" s="535" t="e">
        <f ca="1">gr(calculs!BP37)</f>
        <v>#NAME?</v>
      </c>
      <c r="G37" s="535" t="e">
        <f ca="1">gr(calculs!BQ37)</f>
        <v>#NAME?</v>
      </c>
      <c r="H37" s="535" t="e">
        <f ca="1">gr(calculs!BR37)</f>
        <v>#NAME?</v>
      </c>
      <c r="I37" s="535"/>
      <c r="J37" s="535" t="e">
        <f>NA()</f>
        <v>#N/A</v>
      </c>
      <c r="K37" s="535" t="e">
        <f>NA()</f>
        <v>#N/A</v>
      </c>
      <c r="L37" s="535" t="e">
        <f>NA()</f>
        <v>#N/A</v>
      </c>
      <c r="M37" s="535" t="e">
        <f>NA()</f>
        <v>#N/A</v>
      </c>
      <c r="N37" s="535" t="e">
        <f>NA()</f>
        <v>#N/A</v>
      </c>
      <c r="O37" s="535" t="e">
        <f>NA()</f>
        <v>#N/A</v>
      </c>
      <c r="P37" s="535" t="e">
        <f>NA()</f>
        <v>#N/A</v>
      </c>
    </row>
    <row r="38" spans="1:16" x14ac:dyDescent="0.2">
      <c r="A38" s="222">
        <f>calculs!A38</f>
        <v>44589</v>
      </c>
      <c r="B38" s="535" t="e">
        <f ca="1">gr(calculs!BL38)</f>
        <v>#NAME?</v>
      </c>
      <c r="C38" s="535" t="e">
        <f ca="1">gr(calculs!BM38)</f>
        <v>#NAME?</v>
      </c>
      <c r="D38" s="535" t="e">
        <f ca="1">gr(calculs!BN38)</f>
        <v>#NAME?</v>
      </c>
      <c r="E38" s="535" t="e">
        <f ca="1">gr(calculs!BO38)</f>
        <v>#NAME?</v>
      </c>
      <c r="F38" s="535" t="e">
        <f ca="1">gr(calculs!BP38)</f>
        <v>#NAME?</v>
      </c>
      <c r="G38" s="535" t="e">
        <f ca="1">gr(calculs!BQ38)</f>
        <v>#NAME?</v>
      </c>
      <c r="H38" s="535" t="e">
        <f ca="1">gr(calculs!BR38)</f>
        <v>#NAME?</v>
      </c>
      <c r="I38" s="535"/>
      <c r="J38" s="535" t="e">
        <f>NA()</f>
        <v>#N/A</v>
      </c>
      <c r="K38" s="535" t="e">
        <f>NA()</f>
        <v>#N/A</v>
      </c>
      <c r="L38" s="535" t="e">
        <f>NA()</f>
        <v>#N/A</v>
      </c>
      <c r="M38" s="535" t="e">
        <f>NA()</f>
        <v>#N/A</v>
      </c>
      <c r="N38" s="535" t="e">
        <f>NA()</f>
        <v>#N/A</v>
      </c>
      <c r="O38" s="535" t="e">
        <f>NA()</f>
        <v>#N/A</v>
      </c>
      <c r="P38" s="535" t="e">
        <f>NA()</f>
        <v>#N/A</v>
      </c>
    </row>
    <row r="39" spans="1:16" x14ac:dyDescent="0.2">
      <c r="A39" s="222">
        <f>calculs!A39</f>
        <v>44590</v>
      </c>
      <c r="B39" s="535" t="e">
        <f ca="1">gr(calculs!BL39)</f>
        <v>#NAME?</v>
      </c>
      <c r="C39" s="535" t="e">
        <f ca="1">gr(calculs!BM39)</f>
        <v>#NAME?</v>
      </c>
      <c r="D39" s="535" t="e">
        <f ca="1">gr(calculs!BN39)</f>
        <v>#NAME?</v>
      </c>
      <c r="E39" s="535" t="e">
        <f ca="1">gr(calculs!BO39)</f>
        <v>#NAME?</v>
      </c>
      <c r="F39" s="535" t="e">
        <f ca="1">gr(calculs!BP39)</f>
        <v>#NAME?</v>
      </c>
      <c r="G39" s="535" t="e">
        <f ca="1">gr(calculs!BQ39)</f>
        <v>#NAME?</v>
      </c>
      <c r="H39" s="535" t="e">
        <f ca="1">gr(calculs!BR39)</f>
        <v>#NAME?</v>
      </c>
      <c r="I39" s="535"/>
      <c r="J39" s="535" t="e">
        <f>NA()</f>
        <v>#N/A</v>
      </c>
      <c r="K39" s="535" t="e">
        <f>NA()</f>
        <v>#N/A</v>
      </c>
      <c r="L39" s="535" t="e">
        <f>NA()</f>
        <v>#N/A</v>
      </c>
      <c r="M39" s="535" t="e">
        <f>NA()</f>
        <v>#N/A</v>
      </c>
      <c r="N39" s="535" t="e">
        <f>NA()</f>
        <v>#N/A</v>
      </c>
      <c r="O39" s="535" t="e">
        <f>NA()</f>
        <v>#N/A</v>
      </c>
      <c r="P39" s="535" t="e">
        <f>NA()</f>
        <v>#N/A</v>
      </c>
    </row>
    <row r="40" spans="1:16" x14ac:dyDescent="0.2">
      <c r="A40" s="222">
        <f>calculs!A40</f>
        <v>44591</v>
      </c>
      <c r="B40" s="535" t="e">
        <f ca="1">gr(calculs!BL40)</f>
        <v>#NAME?</v>
      </c>
      <c r="C40" s="535" t="e">
        <f ca="1">gr(calculs!BM40)</f>
        <v>#NAME?</v>
      </c>
      <c r="D40" s="535" t="e">
        <f ca="1">gr(calculs!BN40)</f>
        <v>#NAME?</v>
      </c>
      <c r="E40" s="535" t="e">
        <f ca="1">gr(calculs!BO40)</f>
        <v>#NAME?</v>
      </c>
      <c r="F40" s="535" t="e">
        <f ca="1">gr(calculs!BP40)</f>
        <v>#NAME?</v>
      </c>
      <c r="G40" s="535" t="e">
        <f ca="1">gr(calculs!BQ40)</f>
        <v>#NAME?</v>
      </c>
      <c r="H40" s="535" t="e">
        <f ca="1">gr(calculs!BR40)</f>
        <v>#NAME?</v>
      </c>
      <c r="I40" s="535"/>
      <c r="J40" s="535" t="e">
        <f>NA()</f>
        <v>#N/A</v>
      </c>
      <c r="K40" s="535" t="e">
        <f>NA()</f>
        <v>#N/A</v>
      </c>
      <c r="L40" s="535" t="e">
        <f>NA()</f>
        <v>#N/A</v>
      </c>
      <c r="M40" s="535" t="e">
        <f>NA()</f>
        <v>#N/A</v>
      </c>
      <c r="N40" s="535" t="e">
        <f>NA()</f>
        <v>#N/A</v>
      </c>
      <c r="O40" s="535" t="e">
        <f>NA()</f>
        <v>#N/A</v>
      </c>
      <c r="P40" s="535" t="e">
        <f>NA()</f>
        <v>#N/A</v>
      </c>
    </row>
    <row r="41" spans="1:16" x14ac:dyDescent="0.2">
      <c r="A41" s="222">
        <f>calculs!A41</f>
        <v>44592</v>
      </c>
      <c r="B41" s="535" t="e">
        <f ca="1">gr(calculs!BL41)</f>
        <v>#NAME?</v>
      </c>
      <c r="C41" s="535" t="e">
        <f ca="1">gr(calculs!BM41)</f>
        <v>#NAME?</v>
      </c>
      <c r="D41" s="535" t="e">
        <f ca="1">gr(calculs!BN41)</f>
        <v>#NAME?</v>
      </c>
      <c r="E41" s="535" t="e">
        <f ca="1">gr(calculs!BO41)</f>
        <v>#NAME?</v>
      </c>
      <c r="F41" s="535" t="e">
        <f ca="1">gr(calculs!BP41)</f>
        <v>#NAME?</v>
      </c>
      <c r="G41" s="535" t="e">
        <f ca="1">gr(calculs!BQ41)</f>
        <v>#NAME?</v>
      </c>
      <c r="H41" s="535" t="e">
        <f ca="1">gr(calculs!BR41)</f>
        <v>#NAME?</v>
      </c>
      <c r="I41" s="535"/>
      <c r="J41" s="535" t="e">
        <f>NA()</f>
        <v>#N/A</v>
      </c>
      <c r="K41" s="535" t="e">
        <f>NA()</f>
        <v>#N/A</v>
      </c>
      <c r="L41" s="535" t="e">
        <f>NA()</f>
        <v>#N/A</v>
      </c>
      <c r="M41" s="535" t="e">
        <f>NA()</f>
        <v>#N/A</v>
      </c>
      <c r="N41" s="535" t="e">
        <f>NA()</f>
        <v>#N/A</v>
      </c>
      <c r="O41" s="535" t="e">
        <f>NA()</f>
        <v>#N/A</v>
      </c>
      <c r="P41" s="535" t="e">
        <f>NA()</f>
        <v>#N/A</v>
      </c>
    </row>
    <row r="42" spans="1:16" x14ac:dyDescent="0.2">
      <c r="A42" s="222">
        <f>calculs!A42</f>
        <v>44593</v>
      </c>
      <c r="B42" s="535" t="e">
        <f ca="1">gr(calculs!BL42)</f>
        <v>#NAME?</v>
      </c>
      <c r="C42" s="535" t="e">
        <f ca="1">gr(calculs!BM42)</f>
        <v>#NAME?</v>
      </c>
      <c r="D42" s="535" t="e">
        <f ca="1">gr(calculs!BN42)</f>
        <v>#NAME?</v>
      </c>
      <c r="E42" s="535" t="e">
        <f ca="1">gr(calculs!BO42)</f>
        <v>#NAME?</v>
      </c>
      <c r="F42" s="535" t="e">
        <f ca="1">gr(calculs!BP42)</f>
        <v>#NAME?</v>
      </c>
      <c r="G42" s="535" t="e">
        <f ca="1">gr(calculs!BQ42)</f>
        <v>#NAME?</v>
      </c>
      <c r="H42" s="535" t="e">
        <f ca="1">gr(calculs!BR42)</f>
        <v>#NAME?</v>
      </c>
      <c r="I42" s="535"/>
      <c r="J42" s="535" t="e">
        <f>NA()</f>
        <v>#N/A</v>
      </c>
      <c r="K42" s="535" t="e">
        <f>NA()</f>
        <v>#N/A</v>
      </c>
      <c r="L42" s="535" t="e">
        <f>NA()</f>
        <v>#N/A</v>
      </c>
      <c r="M42" s="535" t="e">
        <f>NA()</f>
        <v>#N/A</v>
      </c>
      <c r="N42" s="535" t="e">
        <f>NA()</f>
        <v>#N/A</v>
      </c>
      <c r="O42" s="535" t="e">
        <f>NA()</f>
        <v>#N/A</v>
      </c>
      <c r="P42" s="535" t="e">
        <f>NA()</f>
        <v>#N/A</v>
      </c>
    </row>
    <row r="43" spans="1:16" x14ac:dyDescent="0.2">
      <c r="A43" s="222">
        <f>calculs!A43</f>
        <v>44594</v>
      </c>
      <c r="B43" s="535" t="e">
        <f ca="1">gr(calculs!BL43)</f>
        <v>#NAME?</v>
      </c>
      <c r="C43" s="535" t="e">
        <f ca="1">gr(calculs!BM43)</f>
        <v>#NAME?</v>
      </c>
      <c r="D43" s="535" t="e">
        <f ca="1">gr(calculs!BN43)</f>
        <v>#NAME?</v>
      </c>
      <c r="E43" s="535" t="e">
        <f ca="1">gr(calculs!BO43)</f>
        <v>#NAME?</v>
      </c>
      <c r="F43" s="535" t="e">
        <f ca="1">gr(calculs!BP43)</f>
        <v>#NAME?</v>
      </c>
      <c r="G43" s="535" t="e">
        <f ca="1">gr(calculs!BQ43)</f>
        <v>#NAME?</v>
      </c>
      <c r="H43" s="535" t="e">
        <f ca="1">gr(calculs!BR43)</f>
        <v>#NAME?</v>
      </c>
      <c r="I43" s="535"/>
      <c r="J43" s="535" t="e">
        <f>NA()</f>
        <v>#N/A</v>
      </c>
      <c r="K43" s="535" t="e">
        <f>NA()</f>
        <v>#N/A</v>
      </c>
      <c r="L43" s="535" t="e">
        <f>NA()</f>
        <v>#N/A</v>
      </c>
      <c r="M43" s="535" t="e">
        <f>NA()</f>
        <v>#N/A</v>
      </c>
      <c r="N43" s="535" t="e">
        <f>NA()</f>
        <v>#N/A</v>
      </c>
      <c r="O43" s="535" t="e">
        <f>NA()</f>
        <v>#N/A</v>
      </c>
      <c r="P43" s="535" t="e">
        <f>NA()</f>
        <v>#N/A</v>
      </c>
    </row>
    <row r="44" spans="1:16" x14ac:dyDescent="0.2">
      <c r="A44" s="222">
        <f>calculs!A44</f>
        <v>44595</v>
      </c>
      <c r="B44" s="535" t="e">
        <f ca="1">gr(calculs!BL44)</f>
        <v>#NAME?</v>
      </c>
      <c r="C44" s="535" t="e">
        <f ca="1">gr(calculs!BM44)</f>
        <v>#NAME?</v>
      </c>
      <c r="D44" s="535" t="e">
        <f ca="1">gr(calculs!BN44)</f>
        <v>#NAME?</v>
      </c>
      <c r="E44" s="535" t="e">
        <f ca="1">gr(calculs!BO44)</f>
        <v>#NAME?</v>
      </c>
      <c r="F44" s="535" t="e">
        <f ca="1">gr(calculs!BP44)</f>
        <v>#NAME?</v>
      </c>
      <c r="G44" s="535" t="e">
        <f ca="1">gr(calculs!BQ44)</f>
        <v>#NAME?</v>
      </c>
      <c r="H44" s="535" t="e">
        <f ca="1">gr(calculs!BR44)</f>
        <v>#NAME?</v>
      </c>
      <c r="I44" s="535"/>
      <c r="J44" s="535" t="e">
        <f>NA()</f>
        <v>#N/A</v>
      </c>
      <c r="K44" s="535" t="e">
        <f>NA()</f>
        <v>#N/A</v>
      </c>
      <c r="L44" s="535" t="e">
        <f>NA()</f>
        <v>#N/A</v>
      </c>
      <c r="M44" s="535" t="e">
        <f>NA()</f>
        <v>#N/A</v>
      </c>
      <c r="N44" s="535" t="e">
        <f>NA()</f>
        <v>#N/A</v>
      </c>
      <c r="O44" s="535" t="e">
        <f>NA()</f>
        <v>#N/A</v>
      </c>
      <c r="P44" s="535" t="e">
        <f>NA()</f>
        <v>#N/A</v>
      </c>
    </row>
    <row r="45" spans="1:16" x14ac:dyDescent="0.2">
      <c r="A45" s="222">
        <f>calculs!A45</f>
        <v>44596</v>
      </c>
      <c r="B45" s="535" t="e">
        <f ca="1">gr(calculs!BL45)</f>
        <v>#NAME?</v>
      </c>
      <c r="C45" s="535" t="e">
        <f ca="1">gr(calculs!BM45)</f>
        <v>#NAME?</v>
      </c>
      <c r="D45" s="535" t="e">
        <f ca="1">gr(calculs!BN45)</f>
        <v>#NAME?</v>
      </c>
      <c r="E45" s="535" t="e">
        <f ca="1">gr(calculs!BO45)</f>
        <v>#NAME?</v>
      </c>
      <c r="F45" s="535" t="e">
        <f ca="1">gr(calculs!BP45)</f>
        <v>#NAME?</v>
      </c>
      <c r="G45" s="535" t="e">
        <f ca="1">gr(calculs!BQ45)</f>
        <v>#NAME?</v>
      </c>
      <c r="H45" s="535" t="e">
        <f ca="1">gr(calculs!BR45)</f>
        <v>#NAME?</v>
      </c>
      <c r="I45" s="535"/>
      <c r="J45" s="535" t="e">
        <f>NA()</f>
        <v>#N/A</v>
      </c>
      <c r="K45" s="535" t="e">
        <f>NA()</f>
        <v>#N/A</v>
      </c>
      <c r="L45" s="535" t="e">
        <f>NA()</f>
        <v>#N/A</v>
      </c>
      <c r="M45" s="535" t="e">
        <f>NA()</f>
        <v>#N/A</v>
      </c>
      <c r="N45" s="535" t="e">
        <f>NA()</f>
        <v>#N/A</v>
      </c>
      <c r="O45" s="535" t="e">
        <f>NA()</f>
        <v>#N/A</v>
      </c>
      <c r="P45" s="535" t="e">
        <f>NA()</f>
        <v>#N/A</v>
      </c>
    </row>
    <row r="46" spans="1:16" x14ac:dyDescent="0.2">
      <c r="A46" s="222">
        <f>calculs!A46</f>
        <v>44597</v>
      </c>
      <c r="B46" s="535" t="e">
        <f ca="1">gr(calculs!BL46)</f>
        <v>#NAME?</v>
      </c>
      <c r="C46" s="535" t="e">
        <f ca="1">gr(calculs!BM46)</f>
        <v>#NAME?</v>
      </c>
      <c r="D46" s="535" t="e">
        <f ca="1">gr(calculs!BN46)</f>
        <v>#NAME?</v>
      </c>
      <c r="E46" s="535" t="e">
        <f ca="1">gr(calculs!BO46)</f>
        <v>#NAME?</v>
      </c>
      <c r="F46" s="535" t="e">
        <f ca="1">gr(calculs!BP46)</f>
        <v>#NAME?</v>
      </c>
      <c r="G46" s="535" t="e">
        <f ca="1">gr(calculs!BQ46)</f>
        <v>#NAME?</v>
      </c>
      <c r="H46" s="535" t="e">
        <f ca="1">gr(calculs!BR46)</f>
        <v>#NAME?</v>
      </c>
      <c r="I46" s="535"/>
      <c r="J46" s="535" t="e">
        <f>NA()</f>
        <v>#N/A</v>
      </c>
      <c r="K46" s="535" t="e">
        <f>NA()</f>
        <v>#N/A</v>
      </c>
      <c r="L46" s="535" t="e">
        <f>NA()</f>
        <v>#N/A</v>
      </c>
      <c r="M46" s="535" t="e">
        <f>NA()</f>
        <v>#N/A</v>
      </c>
      <c r="N46" s="535" t="e">
        <f>NA()</f>
        <v>#N/A</v>
      </c>
      <c r="O46" s="535" t="e">
        <f>NA()</f>
        <v>#N/A</v>
      </c>
      <c r="P46" s="535" t="e">
        <f>NA()</f>
        <v>#N/A</v>
      </c>
    </row>
    <row r="47" spans="1:16" x14ac:dyDescent="0.2">
      <c r="A47" s="222">
        <f>calculs!A47</f>
        <v>44598</v>
      </c>
      <c r="B47" s="535" t="e">
        <f ca="1">gr(calculs!BL47)</f>
        <v>#NAME?</v>
      </c>
      <c r="C47" s="535" t="e">
        <f ca="1">gr(calculs!BM47)</f>
        <v>#NAME?</v>
      </c>
      <c r="D47" s="535" t="e">
        <f ca="1">gr(calculs!BN47)</f>
        <v>#NAME?</v>
      </c>
      <c r="E47" s="535" t="e">
        <f ca="1">gr(calculs!BO47)</f>
        <v>#NAME?</v>
      </c>
      <c r="F47" s="535" t="e">
        <f ca="1">gr(calculs!BP47)</f>
        <v>#NAME?</v>
      </c>
      <c r="G47" s="535" t="e">
        <f ca="1">gr(calculs!BQ47)</f>
        <v>#NAME?</v>
      </c>
      <c r="H47" s="535" t="e">
        <f ca="1">gr(calculs!BR47)</f>
        <v>#NAME?</v>
      </c>
      <c r="I47" s="535"/>
      <c r="J47" s="535" t="e">
        <f>NA()</f>
        <v>#N/A</v>
      </c>
      <c r="K47" s="535" t="e">
        <f>NA()</f>
        <v>#N/A</v>
      </c>
      <c r="L47" s="535" t="e">
        <f>NA()</f>
        <v>#N/A</v>
      </c>
      <c r="M47" s="535" t="e">
        <f>NA()</f>
        <v>#N/A</v>
      </c>
      <c r="N47" s="535" t="e">
        <f>NA()</f>
        <v>#N/A</v>
      </c>
      <c r="O47" s="535" t="e">
        <f>NA()</f>
        <v>#N/A</v>
      </c>
      <c r="P47" s="535" t="e">
        <f>NA()</f>
        <v>#N/A</v>
      </c>
    </row>
    <row r="48" spans="1:16" x14ac:dyDescent="0.2">
      <c r="A48" s="222">
        <f>calculs!A48</f>
        <v>44599</v>
      </c>
      <c r="B48" s="535" t="e">
        <f ca="1">gr(calculs!BL48)</f>
        <v>#NAME?</v>
      </c>
      <c r="C48" s="535" t="e">
        <f ca="1">gr(calculs!BM48)</f>
        <v>#NAME?</v>
      </c>
      <c r="D48" s="535" t="e">
        <f ca="1">gr(calculs!BN48)</f>
        <v>#NAME?</v>
      </c>
      <c r="E48" s="535" t="e">
        <f ca="1">gr(calculs!BO48)</f>
        <v>#NAME?</v>
      </c>
      <c r="F48" s="535" t="e">
        <f ca="1">gr(calculs!BP48)</f>
        <v>#NAME?</v>
      </c>
      <c r="G48" s="535" t="e">
        <f ca="1">gr(calculs!BQ48)</f>
        <v>#NAME?</v>
      </c>
      <c r="H48" s="535" t="e">
        <f ca="1">gr(calculs!BR48)</f>
        <v>#NAME?</v>
      </c>
      <c r="I48" s="535"/>
      <c r="J48" s="535" t="e">
        <f>NA()</f>
        <v>#N/A</v>
      </c>
      <c r="K48" s="535" t="e">
        <f>NA()</f>
        <v>#N/A</v>
      </c>
      <c r="L48" s="535" t="e">
        <f>NA()</f>
        <v>#N/A</v>
      </c>
      <c r="M48" s="535" t="e">
        <f>NA()</f>
        <v>#N/A</v>
      </c>
      <c r="N48" s="535" t="e">
        <f>NA()</f>
        <v>#N/A</v>
      </c>
      <c r="O48" s="535" t="e">
        <f>NA()</f>
        <v>#N/A</v>
      </c>
      <c r="P48" s="535" t="e">
        <f>NA()</f>
        <v>#N/A</v>
      </c>
    </row>
    <row r="49" spans="1:16" x14ac:dyDescent="0.2">
      <c r="A49" s="222">
        <f>calculs!A49</f>
        <v>44600</v>
      </c>
      <c r="B49" s="535" t="e">
        <f ca="1">gr(calculs!BL49)</f>
        <v>#NAME?</v>
      </c>
      <c r="C49" s="535" t="e">
        <f ca="1">gr(calculs!BM49)</f>
        <v>#NAME?</v>
      </c>
      <c r="D49" s="535" t="e">
        <f ca="1">gr(calculs!BN49)</f>
        <v>#NAME?</v>
      </c>
      <c r="E49" s="535" t="e">
        <f ca="1">gr(calculs!BO49)</f>
        <v>#NAME?</v>
      </c>
      <c r="F49" s="535" t="e">
        <f ca="1">gr(calculs!BP49)</f>
        <v>#NAME?</v>
      </c>
      <c r="G49" s="535" t="e">
        <f ca="1">gr(calculs!BQ49)</f>
        <v>#NAME?</v>
      </c>
      <c r="H49" s="535" t="e">
        <f ca="1">gr(calculs!BR49)</f>
        <v>#NAME?</v>
      </c>
      <c r="I49" s="535"/>
      <c r="J49" s="535" t="e">
        <f>NA()</f>
        <v>#N/A</v>
      </c>
      <c r="K49" s="535" t="e">
        <f>NA()</f>
        <v>#N/A</v>
      </c>
      <c r="L49" s="535" t="e">
        <f>NA()</f>
        <v>#N/A</v>
      </c>
      <c r="M49" s="535" t="e">
        <f>NA()</f>
        <v>#N/A</v>
      </c>
      <c r="N49" s="535" t="e">
        <f>NA()</f>
        <v>#N/A</v>
      </c>
      <c r="O49" s="535" t="e">
        <f>NA()</f>
        <v>#N/A</v>
      </c>
      <c r="P49" s="535" t="e">
        <f>NA()</f>
        <v>#N/A</v>
      </c>
    </row>
    <row r="50" spans="1:16" x14ac:dyDescent="0.2">
      <c r="A50" s="222">
        <f>calculs!A50</f>
        <v>44601</v>
      </c>
      <c r="B50" s="535" t="e">
        <f ca="1">gr(calculs!BL50)</f>
        <v>#NAME?</v>
      </c>
      <c r="C50" s="535" t="e">
        <f ca="1">gr(calculs!BM50)</f>
        <v>#NAME?</v>
      </c>
      <c r="D50" s="535" t="e">
        <f ca="1">gr(calculs!BN50)</f>
        <v>#NAME?</v>
      </c>
      <c r="E50" s="535" t="e">
        <f ca="1">gr(calculs!BO50)</f>
        <v>#NAME?</v>
      </c>
      <c r="F50" s="535" t="e">
        <f ca="1">gr(calculs!BP50)</f>
        <v>#NAME?</v>
      </c>
      <c r="G50" s="535" t="e">
        <f ca="1">gr(calculs!BQ50)</f>
        <v>#NAME?</v>
      </c>
      <c r="H50" s="535" t="e">
        <f ca="1">gr(calculs!BR50)</f>
        <v>#NAME?</v>
      </c>
      <c r="I50" s="535"/>
      <c r="J50" s="535" t="e">
        <f>NA()</f>
        <v>#N/A</v>
      </c>
      <c r="K50" s="535" t="e">
        <f>NA()</f>
        <v>#N/A</v>
      </c>
      <c r="L50" s="535" t="e">
        <f>NA()</f>
        <v>#N/A</v>
      </c>
      <c r="M50" s="535" t="e">
        <f>NA()</f>
        <v>#N/A</v>
      </c>
      <c r="N50" s="535" t="e">
        <f>NA()</f>
        <v>#N/A</v>
      </c>
      <c r="O50" s="535" t="e">
        <f>NA()</f>
        <v>#N/A</v>
      </c>
      <c r="P50" s="535" t="e">
        <f>NA()</f>
        <v>#N/A</v>
      </c>
    </row>
    <row r="51" spans="1:16" x14ac:dyDescent="0.2">
      <c r="A51" s="222">
        <f>calculs!A51</f>
        <v>44602</v>
      </c>
      <c r="B51" s="535" t="e">
        <f ca="1">gr(calculs!BL51)</f>
        <v>#NAME?</v>
      </c>
      <c r="C51" s="535" t="e">
        <f ca="1">gr(calculs!BM51)</f>
        <v>#NAME?</v>
      </c>
      <c r="D51" s="535" t="e">
        <f ca="1">gr(calculs!BN51)</f>
        <v>#NAME?</v>
      </c>
      <c r="E51" s="535" t="e">
        <f ca="1">gr(calculs!BO51)</f>
        <v>#NAME?</v>
      </c>
      <c r="F51" s="535" t="e">
        <f ca="1">gr(calculs!BP51)</f>
        <v>#NAME?</v>
      </c>
      <c r="G51" s="535" t="e">
        <f ca="1">gr(calculs!BQ51)</f>
        <v>#NAME?</v>
      </c>
      <c r="H51" s="535" t="e">
        <f ca="1">gr(calculs!BR51)</f>
        <v>#NAME?</v>
      </c>
      <c r="I51" s="535"/>
      <c r="J51" s="535" t="e">
        <f>NA()</f>
        <v>#N/A</v>
      </c>
      <c r="K51" s="535" t="e">
        <f>NA()</f>
        <v>#N/A</v>
      </c>
      <c r="L51" s="535" t="e">
        <f>NA()</f>
        <v>#N/A</v>
      </c>
      <c r="M51" s="535" t="e">
        <f>NA()</f>
        <v>#N/A</v>
      </c>
      <c r="N51" s="535" t="e">
        <f>NA()</f>
        <v>#N/A</v>
      </c>
      <c r="O51" s="535" t="e">
        <f>NA()</f>
        <v>#N/A</v>
      </c>
      <c r="P51" s="535" t="e">
        <f>NA()</f>
        <v>#N/A</v>
      </c>
    </row>
    <row r="52" spans="1:16" x14ac:dyDescent="0.2">
      <c r="A52" s="222">
        <f>calculs!A52</f>
        <v>44603</v>
      </c>
      <c r="B52" s="535" t="e">
        <f ca="1">gr(calculs!BL52)</f>
        <v>#NAME?</v>
      </c>
      <c r="C52" s="535" t="e">
        <f ca="1">gr(calculs!BM52)</f>
        <v>#NAME?</v>
      </c>
      <c r="D52" s="535" t="e">
        <f ca="1">gr(calculs!BN52)</f>
        <v>#NAME?</v>
      </c>
      <c r="E52" s="535" t="e">
        <f ca="1">gr(calculs!BO52)</f>
        <v>#NAME?</v>
      </c>
      <c r="F52" s="535" t="e">
        <f ca="1">gr(calculs!BP52)</f>
        <v>#NAME?</v>
      </c>
      <c r="G52" s="535" t="e">
        <f ca="1">gr(calculs!BQ52)</f>
        <v>#NAME?</v>
      </c>
      <c r="H52" s="535" t="e">
        <f ca="1">gr(calculs!BR52)</f>
        <v>#NAME?</v>
      </c>
      <c r="I52" s="535"/>
      <c r="J52" s="535" t="e">
        <f>NA()</f>
        <v>#N/A</v>
      </c>
      <c r="K52" s="535" t="e">
        <f>NA()</f>
        <v>#N/A</v>
      </c>
      <c r="L52" s="535" t="e">
        <f>NA()</f>
        <v>#N/A</v>
      </c>
      <c r="M52" s="535" t="e">
        <f>NA()</f>
        <v>#N/A</v>
      </c>
      <c r="N52" s="535" t="e">
        <f>NA()</f>
        <v>#N/A</v>
      </c>
      <c r="O52" s="535" t="e">
        <f>NA()</f>
        <v>#N/A</v>
      </c>
      <c r="P52" s="535" t="e">
        <f>NA()</f>
        <v>#N/A</v>
      </c>
    </row>
    <row r="53" spans="1:16" x14ac:dyDescent="0.2">
      <c r="A53" s="222">
        <f>calculs!A53</f>
        <v>44604</v>
      </c>
      <c r="B53" s="535" t="e">
        <f ca="1">gr(calculs!BL53)</f>
        <v>#NAME?</v>
      </c>
      <c r="C53" s="535" t="e">
        <f ca="1">gr(calculs!BM53)</f>
        <v>#NAME?</v>
      </c>
      <c r="D53" s="535" t="e">
        <f ca="1">gr(calculs!BN53)</f>
        <v>#NAME?</v>
      </c>
      <c r="E53" s="535" t="e">
        <f ca="1">gr(calculs!BO53)</f>
        <v>#NAME?</v>
      </c>
      <c r="F53" s="535" t="e">
        <f ca="1">gr(calculs!BP53)</f>
        <v>#NAME?</v>
      </c>
      <c r="G53" s="535" t="e">
        <f ca="1">gr(calculs!BQ53)</f>
        <v>#NAME?</v>
      </c>
      <c r="H53" s="535" t="e">
        <f ca="1">gr(calculs!BR53)</f>
        <v>#NAME?</v>
      </c>
      <c r="I53" s="535"/>
      <c r="J53" s="535" t="e">
        <f>NA()</f>
        <v>#N/A</v>
      </c>
      <c r="K53" s="535" t="e">
        <f>NA()</f>
        <v>#N/A</v>
      </c>
      <c r="L53" s="535" t="e">
        <f>NA()</f>
        <v>#N/A</v>
      </c>
      <c r="M53" s="535" t="e">
        <f>NA()</f>
        <v>#N/A</v>
      </c>
      <c r="N53" s="535" t="e">
        <f>NA()</f>
        <v>#N/A</v>
      </c>
      <c r="O53" s="535" t="e">
        <f>NA()</f>
        <v>#N/A</v>
      </c>
      <c r="P53" s="535" t="e">
        <f>NA()</f>
        <v>#N/A</v>
      </c>
    </row>
    <row r="54" spans="1:16" x14ac:dyDescent="0.2">
      <c r="A54" s="222">
        <f>calculs!A54</f>
        <v>44605</v>
      </c>
      <c r="B54" s="535" t="e">
        <f ca="1">gr(calculs!BL54)</f>
        <v>#NAME?</v>
      </c>
      <c r="C54" s="535" t="e">
        <f ca="1">gr(calculs!BM54)</f>
        <v>#NAME?</v>
      </c>
      <c r="D54" s="535" t="e">
        <f ca="1">gr(calculs!BN54)</f>
        <v>#NAME?</v>
      </c>
      <c r="E54" s="535" t="e">
        <f ca="1">gr(calculs!BO54)</f>
        <v>#NAME?</v>
      </c>
      <c r="F54" s="535" t="e">
        <f ca="1">gr(calculs!BP54)</f>
        <v>#NAME?</v>
      </c>
      <c r="G54" s="535" t="e">
        <f ca="1">gr(calculs!BQ54)</f>
        <v>#NAME?</v>
      </c>
      <c r="H54" s="535" t="e">
        <f ca="1">gr(calculs!BR54)</f>
        <v>#NAME?</v>
      </c>
      <c r="I54" s="535"/>
      <c r="J54" s="535" t="e">
        <f>NA()</f>
        <v>#N/A</v>
      </c>
      <c r="K54" s="535" t="e">
        <f>NA()</f>
        <v>#N/A</v>
      </c>
      <c r="L54" s="535" t="e">
        <f>NA()</f>
        <v>#N/A</v>
      </c>
      <c r="M54" s="535" t="e">
        <f>NA()</f>
        <v>#N/A</v>
      </c>
      <c r="N54" s="535" t="e">
        <f>NA()</f>
        <v>#N/A</v>
      </c>
      <c r="O54" s="535" t="e">
        <f>NA()</f>
        <v>#N/A</v>
      </c>
      <c r="P54" s="535" t="e">
        <f>NA()</f>
        <v>#N/A</v>
      </c>
    </row>
    <row r="55" spans="1:16" x14ac:dyDescent="0.2">
      <c r="A55" s="222">
        <f>calculs!A55</f>
        <v>44606</v>
      </c>
      <c r="B55" s="535" t="e">
        <f ca="1">gr(calculs!BL55)</f>
        <v>#NAME?</v>
      </c>
      <c r="C55" s="535" t="e">
        <f ca="1">gr(calculs!BM55)</f>
        <v>#NAME?</v>
      </c>
      <c r="D55" s="535" t="e">
        <f ca="1">gr(calculs!BN55)</f>
        <v>#NAME?</v>
      </c>
      <c r="E55" s="535" t="e">
        <f ca="1">gr(calculs!BO55)</f>
        <v>#NAME?</v>
      </c>
      <c r="F55" s="535" t="e">
        <f ca="1">gr(calculs!BP55)</f>
        <v>#NAME?</v>
      </c>
      <c r="G55" s="535" t="e">
        <f ca="1">gr(calculs!BQ55)</f>
        <v>#NAME?</v>
      </c>
      <c r="H55" s="535" t="e">
        <f ca="1">gr(calculs!BR55)</f>
        <v>#NAME?</v>
      </c>
      <c r="I55" s="535"/>
      <c r="J55" s="535" t="e">
        <f>NA()</f>
        <v>#N/A</v>
      </c>
      <c r="K55" s="535" t="e">
        <f>NA()</f>
        <v>#N/A</v>
      </c>
      <c r="L55" s="535" t="e">
        <f>NA()</f>
        <v>#N/A</v>
      </c>
      <c r="M55" s="535" t="e">
        <f>NA()</f>
        <v>#N/A</v>
      </c>
      <c r="N55" s="535" t="e">
        <f>NA()</f>
        <v>#N/A</v>
      </c>
      <c r="O55" s="535" t="e">
        <f>NA()</f>
        <v>#N/A</v>
      </c>
      <c r="P55" s="535" t="e">
        <f>NA()</f>
        <v>#N/A</v>
      </c>
    </row>
    <row r="56" spans="1:16" x14ac:dyDescent="0.2">
      <c r="A56" s="222">
        <f>calculs!A56</f>
        <v>44607</v>
      </c>
      <c r="B56" s="535" t="e">
        <f ca="1">gr(calculs!BL56)</f>
        <v>#NAME?</v>
      </c>
      <c r="C56" s="535" t="e">
        <f ca="1">gr(calculs!BM56)</f>
        <v>#NAME?</v>
      </c>
      <c r="D56" s="535" t="e">
        <f ca="1">gr(calculs!BN56)</f>
        <v>#NAME?</v>
      </c>
      <c r="E56" s="535" t="e">
        <f ca="1">gr(calculs!BO56)</f>
        <v>#NAME?</v>
      </c>
      <c r="F56" s="535" t="e">
        <f ca="1">gr(calculs!BP56)</f>
        <v>#NAME?</v>
      </c>
      <c r="G56" s="535" t="e">
        <f ca="1">gr(calculs!BQ56)</f>
        <v>#NAME?</v>
      </c>
      <c r="H56" s="535" t="e">
        <f ca="1">gr(calculs!BR56)</f>
        <v>#NAME?</v>
      </c>
      <c r="I56" s="535"/>
      <c r="J56" s="535" t="e">
        <f>NA()</f>
        <v>#N/A</v>
      </c>
      <c r="K56" s="535" t="e">
        <f>NA()</f>
        <v>#N/A</v>
      </c>
      <c r="L56" s="535" t="e">
        <f>NA()</f>
        <v>#N/A</v>
      </c>
      <c r="M56" s="535" t="e">
        <f>NA()</f>
        <v>#N/A</v>
      </c>
      <c r="N56" s="535" t="e">
        <f>NA()</f>
        <v>#N/A</v>
      </c>
      <c r="O56" s="535" t="e">
        <f>NA()</f>
        <v>#N/A</v>
      </c>
      <c r="P56" s="535" t="e">
        <f>NA()</f>
        <v>#N/A</v>
      </c>
    </row>
    <row r="57" spans="1:16" x14ac:dyDescent="0.2">
      <c r="A57" s="222">
        <f>calculs!A57</f>
        <v>44608</v>
      </c>
      <c r="B57" s="535" t="e">
        <f ca="1">gr(calculs!BL57)</f>
        <v>#NAME?</v>
      </c>
      <c r="C57" s="535" t="e">
        <f ca="1">gr(calculs!BM57)</f>
        <v>#NAME?</v>
      </c>
      <c r="D57" s="535" t="e">
        <f ca="1">gr(calculs!BN57)</f>
        <v>#NAME?</v>
      </c>
      <c r="E57" s="535" t="e">
        <f ca="1">gr(calculs!BO57)</f>
        <v>#NAME?</v>
      </c>
      <c r="F57" s="535" t="e">
        <f ca="1">gr(calculs!BP57)</f>
        <v>#NAME?</v>
      </c>
      <c r="G57" s="535" t="e">
        <f ca="1">gr(calculs!BQ57)</f>
        <v>#NAME?</v>
      </c>
      <c r="H57" s="535" t="e">
        <f ca="1">gr(calculs!BR57)</f>
        <v>#NAME?</v>
      </c>
      <c r="I57" s="535"/>
      <c r="J57" s="535" t="e">
        <f>NA()</f>
        <v>#N/A</v>
      </c>
      <c r="K57" s="535" t="e">
        <f>NA()</f>
        <v>#N/A</v>
      </c>
      <c r="L57" s="535" t="e">
        <f>NA()</f>
        <v>#N/A</v>
      </c>
      <c r="M57" s="535" t="e">
        <f>NA()</f>
        <v>#N/A</v>
      </c>
      <c r="N57" s="535" t="e">
        <f>NA()</f>
        <v>#N/A</v>
      </c>
      <c r="O57" s="535" t="e">
        <f>NA()</f>
        <v>#N/A</v>
      </c>
      <c r="P57" s="535" t="e">
        <f>NA()</f>
        <v>#N/A</v>
      </c>
    </row>
    <row r="58" spans="1:16" x14ac:dyDescent="0.2">
      <c r="A58" s="222">
        <f>calculs!A58</f>
        <v>44609</v>
      </c>
      <c r="B58" s="535" t="e">
        <f ca="1">gr(calculs!BL58)</f>
        <v>#NAME?</v>
      </c>
      <c r="C58" s="535" t="e">
        <f ca="1">gr(calculs!BM58)</f>
        <v>#NAME?</v>
      </c>
      <c r="D58" s="535" t="e">
        <f ca="1">gr(calculs!BN58)</f>
        <v>#NAME?</v>
      </c>
      <c r="E58" s="535" t="e">
        <f ca="1">gr(calculs!BO58)</f>
        <v>#NAME?</v>
      </c>
      <c r="F58" s="535" t="e">
        <f ca="1">gr(calculs!BP58)</f>
        <v>#NAME?</v>
      </c>
      <c r="G58" s="535" t="e">
        <f ca="1">gr(calculs!BQ58)</f>
        <v>#NAME?</v>
      </c>
      <c r="H58" s="535" t="e">
        <f ca="1">gr(calculs!BR58)</f>
        <v>#NAME?</v>
      </c>
      <c r="I58" s="535"/>
      <c r="J58" s="535" t="e">
        <f>NA()</f>
        <v>#N/A</v>
      </c>
      <c r="K58" s="535" t="e">
        <f>NA()</f>
        <v>#N/A</v>
      </c>
      <c r="L58" s="535" t="e">
        <f>NA()</f>
        <v>#N/A</v>
      </c>
      <c r="M58" s="535" t="e">
        <f>NA()</f>
        <v>#N/A</v>
      </c>
      <c r="N58" s="535" t="e">
        <f>NA()</f>
        <v>#N/A</v>
      </c>
      <c r="O58" s="535" t="e">
        <f>NA()</f>
        <v>#N/A</v>
      </c>
      <c r="P58" s="535" t="e">
        <f>NA()</f>
        <v>#N/A</v>
      </c>
    </row>
    <row r="59" spans="1:16" x14ac:dyDescent="0.2">
      <c r="A59" s="222">
        <f>calculs!A59</f>
        <v>44610</v>
      </c>
      <c r="B59" s="535" t="e">
        <f ca="1">gr(calculs!BL59)</f>
        <v>#NAME?</v>
      </c>
      <c r="C59" s="535" t="e">
        <f ca="1">gr(calculs!BM59)</f>
        <v>#NAME?</v>
      </c>
      <c r="D59" s="535" t="e">
        <f ca="1">gr(calculs!BN59)</f>
        <v>#NAME?</v>
      </c>
      <c r="E59" s="535" t="e">
        <f ca="1">gr(calculs!BO59)</f>
        <v>#NAME?</v>
      </c>
      <c r="F59" s="535" t="e">
        <f ca="1">gr(calculs!BP59)</f>
        <v>#NAME?</v>
      </c>
      <c r="G59" s="535" t="e">
        <f ca="1">gr(calculs!BQ59)</f>
        <v>#NAME?</v>
      </c>
      <c r="H59" s="535" t="e">
        <f ca="1">gr(calculs!BR59)</f>
        <v>#NAME?</v>
      </c>
      <c r="I59" s="535"/>
      <c r="J59" s="535" t="e">
        <f>NA()</f>
        <v>#N/A</v>
      </c>
      <c r="K59" s="535" t="e">
        <f>NA()</f>
        <v>#N/A</v>
      </c>
      <c r="L59" s="535" t="e">
        <f>NA()</f>
        <v>#N/A</v>
      </c>
      <c r="M59" s="535" t="e">
        <f>NA()</f>
        <v>#N/A</v>
      </c>
      <c r="N59" s="535" t="e">
        <f>NA()</f>
        <v>#N/A</v>
      </c>
      <c r="O59" s="535" t="e">
        <f>NA()</f>
        <v>#N/A</v>
      </c>
      <c r="P59" s="535" t="e">
        <f>NA()</f>
        <v>#N/A</v>
      </c>
    </row>
    <row r="60" spans="1:16" x14ac:dyDescent="0.2">
      <c r="A60" s="222">
        <f>calculs!A60</f>
        <v>44611</v>
      </c>
      <c r="B60" s="535" t="e">
        <f ca="1">gr(calculs!BL60)</f>
        <v>#NAME?</v>
      </c>
      <c r="C60" s="535" t="e">
        <f ca="1">gr(calculs!BM60)</f>
        <v>#NAME?</v>
      </c>
      <c r="D60" s="535" t="e">
        <f ca="1">gr(calculs!BN60)</f>
        <v>#NAME?</v>
      </c>
      <c r="E60" s="535" t="e">
        <f ca="1">gr(calculs!BO60)</f>
        <v>#NAME?</v>
      </c>
      <c r="F60" s="535" t="e">
        <f ca="1">gr(calculs!BP60)</f>
        <v>#NAME?</v>
      </c>
      <c r="G60" s="535" t="e">
        <f ca="1">gr(calculs!BQ60)</f>
        <v>#NAME?</v>
      </c>
      <c r="H60" s="535" t="e">
        <f ca="1">gr(calculs!BR60)</f>
        <v>#NAME?</v>
      </c>
      <c r="I60" s="535"/>
      <c r="J60" s="535" t="e">
        <f>NA()</f>
        <v>#N/A</v>
      </c>
      <c r="K60" s="535" t="e">
        <f>NA()</f>
        <v>#N/A</v>
      </c>
      <c r="L60" s="535" t="e">
        <f>NA()</f>
        <v>#N/A</v>
      </c>
      <c r="M60" s="535" t="e">
        <f>NA()</f>
        <v>#N/A</v>
      </c>
      <c r="N60" s="535" t="e">
        <f>NA()</f>
        <v>#N/A</v>
      </c>
      <c r="O60" s="535" t="e">
        <f>NA()</f>
        <v>#N/A</v>
      </c>
      <c r="P60" s="535" t="e">
        <f>NA()</f>
        <v>#N/A</v>
      </c>
    </row>
    <row r="61" spans="1:16" x14ac:dyDescent="0.2">
      <c r="A61" s="222">
        <f>calculs!A61</f>
        <v>44612</v>
      </c>
      <c r="B61" s="535" t="e">
        <f ca="1">gr(calculs!BL61)</f>
        <v>#NAME?</v>
      </c>
      <c r="C61" s="535" t="e">
        <f ca="1">gr(calculs!BM61)</f>
        <v>#NAME?</v>
      </c>
      <c r="D61" s="535" t="e">
        <f ca="1">gr(calculs!BN61)</f>
        <v>#NAME?</v>
      </c>
      <c r="E61" s="535" t="e">
        <f ca="1">gr(calculs!BO61)</f>
        <v>#NAME?</v>
      </c>
      <c r="F61" s="535" t="e">
        <f ca="1">gr(calculs!BP61)</f>
        <v>#NAME?</v>
      </c>
      <c r="G61" s="535" t="e">
        <f ca="1">gr(calculs!BQ61)</f>
        <v>#NAME?</v>
      </c>
      <c r="H61" s="535" t="e">
        <f ca="1">gr(calculs!BR61)</f>
        <v>#NAME?</v>
      </c>
      <c r="I61" s="535"/>
      <c r="J61" s="535" t="e">
        <f>NA()</f>
        <v>#N/A</v>
      </c>
      <c r="K61" s="535" t="e">
        <f>NA()</f>
        <v>#N/A</v>
      </c>
      <c r="L61" s="535" t="e">
        <f>NA()</f>
        <v>#N/A</v>
      </c>
      <c r="M61" s="535" t="e">
        <f>NA()</f>
        <v>#N/A</v>
      </c>
      <c r="N61" s="535" t="e">
        <f>NA()</f>
        <v>#N/A</v>
      </c>
      <c r="O61" s="535" t="e">
        <f>NA()</f>
        <v>#N/A</v>
      </c>
      <c r="P61" s="535" t="e">
        <f>NA()</f>
        <v>#N/A</v>
      </c>
    </row>
    <row r="62" spans="1:16" x14ac:dyDescent="0.2">
      <c r="A62" s="222">
        <f>calculs!A62</f>
        <v>44613</v>
      </c>
      <c r="B62" s="535" t="e">
        <f ca="1">gr(calculs!BL62)</f>
        <v>#NAME?</v>
      </c>
      <c r="C62" s="535" t="e">
        <f ca="1">gr(calculs!BM62)</f>
        <v>#NAME?</v>
      </c>
      <c r="D62" s="535" t="e">
        <f ca="1">gr(calculs!BN62)</f>
        <v>#NAME?</v>
      </c>
      <c r="E62" s="535" t="e">
        <f ca="1">gr(calculs!BO62)</f>
        <v>#NAME?</v>
      </c>
      <c r="F62" s="535" t="e">
        <f ca="1">gr(calculs!BP62)</f>
        <v>#NAME?</v>
      </c>
      <c r="G62" s="535" t="e">
        <f ca="1">gr(calculs!BQ62)</f>
        <v>#NAME?</v>
      </c>
      <c r="H62" s="535" t="e">
        <f ca="1">gr(calculs!BR62)</f>
        <v>#NAME?</v>
      </c>
      <c r="I62" s="535"/>
      <c r="J62" s="535" t="e">
        <f>NA()</f>
        <v>#N/A</v>
      </c>
      <c r="K62" s="535" t="e">
        <f>NA()</f>
        <v>#N/A</v>
      </c>
      <c r="L62" s="535" t="e">
        <f>NA()</f>
        <v>#N/A</v>
      </c>
      <c r="M62" s="535" t="e">
        <f>NA()</f>
        <v>#N/A</v>
      </c>
      <c r="N62" s="535" t="e">
        <f>NA()</f>
        <v>#N/A</v>
      </c>
      <c r="O62" s="535" t="e">
        <f>NA()</f>
        <v>#N/A</v>
      </c>
      <c r="P62" s="535" t="e">
        <f>NA()</f>
        <v>#N/A</v>
      </c>
    </row>
    <row r="63" spans="1:16" x14ac:dyDescent="0.2">
      <c r="A63" s="222">
        <f>calculs!A63</f>
        <v>44614</v>
      </c>
      <c r="B63" s="535" t="e">
        <f ca="1">gr(calculs!BL63)</f>
        <v>#NAME?</v>
      </c>
      <c r="C63" s="535" t="e">
        <f ca="1">gr(calculs!BM63)</f>
        <v>#NAME?</v>
      </c>
      <c r="D63" s="535" t="e">
        <f ca="1">gr(calculs!BN63)</f>
        <v>#NAME?</v>
      </c>
      <c r="E63" s="535" t="e">
        <f ca="1">gr(calculs!BO63)</f>
        <v>#NAME?</v>
      </c>
      <c r="F63" s="535" t="e">
        <f ca="1">gr(calculs!BP63)</f>
        <v>#NAME?</v>
      </c>
      <c r="G63" s="535" t="e">
        <f ca="1">gr(calculs!BQ63)</f>
        <v>#NAME?</v>
      </c>
      <c r="H63" s="535" t="e">
        <f ca="1">gr(calculs!BR63)</f>
        <v>#NAME?</v>
      </c>
      <c r="I63" s="535"/>
      <c r="J63" s="535" t="e">
        <f>NA()</f>
        <v>#N/A</v>
      </c>
      <c r="K63" s="535" t="e">
        <f>NA()</f>
        <v>#N/A</v>
      </c>
      <c r="L63" s="535" t="e">
        <f>NA()</f>
        <v>#N/A</v>
      </c>
      <c r="M63" s="535" t="e">
        <f>NA()</f>
        <v>#N/A</v>
      </c>
      <c r="N63" s="535" t="e">
        <f>NA()</f>
        <v>#N/A</v>
      </c>
      <c r="O63" s="535" t="e">
        <f>NA()</f>
        <v>#N/A</v>
      </c>
      <c r="P63" s="535" t="e">
        <f>NA()</f>
        <v>#N/A</v>
      </c>
    </row>
    <row r="64" spans="1:16" x14ac:dyDescent="0.2">
      <c r="A64" s="222">
        <f>calculs!A64</f>
        <v>44615</v>
      </c>
      <c r="B64" s="535" t="e">
        <f ca="1">gr(calculs!BL64)</f>
        <v>#NAME?</v>
      </c>
      <c r="C64" s="535" t="e">
        <f ca="1">gr(calculs!BM64)</f>
        <v>#NAME?</v>
      </c>
      <c r="D64" s="535" t="e">
        <f ca="1">gr(calculs!BN64)</f>
        <v>#NAME?</v>
      </c>
      <c r="E64" s="535" t="e">
        <f ca="1">gr(calculs!BO64)</f>
        <v>#NAME?</v>
      </c>
      <c r="F64" s="535" t="e">
        <f ca="1">gr(calculs!BP64)</f>
        <v>#NAME?</v>
      </c>
      <c r="G64" s="535" t="e">
        <f ca="1">gr(calculs!BQ64)</f>
        <v>#NAME?</v>
      </c>
      <c r="H64" s="535" t="e">
        <f ca="1">gr(calculs!BR64)</f>
        <v>#NAME?</v>
      </c>
      <c r="I64" s="535"/>
      <c r="J64" s="535" t="e">
        <f>NA()</f>
        <v>#N/A</v>
      </c>
      <c r="K64" s="535" t="e">
        <f>NA()</f>
        <v>#N/A</v>
      </c>
      <c r="L64" s="535" t="e">
        <f>NA()</f>
        <v>#N/A</v>
      </c>
      <c r="M64" s="535" t="e">
        <f>NA()</f>
        <v>#N/A</v>
      </c>
      <c r="N64" s="535" t="e">
        <f>NA()</f>
        <v>#N/A</v>
      </c>
      <c r="O64" s="535" t="e">
        <f>NA()</f>
        <v>#N/A</v>
      </c>
      <c r="P64" s="535" t="e">
        <f>NA()</f>
        <v>#N/A</v>
      </c>
    </row>
    <row r="65" spans="1:16" x14ac:dyDescent="0.2">
      <c r="A65" s="222">
        <f>calculs!A65</f>
        <v>44616</v>
      </c>
      <c r="B65" s="535" t="e">
        <f ca="1">gr(calculs!BL65)</f>
        <v>#NAME?</v>
      </c>
      <c r="C65" s="535" t="e">
        <f ca="1">gr(calculs!BM65)</f>
        <v>#NAME?</v>
      </c>
      <c r="D65" s="535" t="e">
        <f ca="1">gr(calculs!BN65)</f>
        <v>#NAME?</v>
      </c>
      <c r="E65" s="535" t="e">
        <f ca="1">gr(calculs!BO65)</f>
        <v>#NAME?</v>
      </c>
      <c r="F65" s="535" t="e">
        <f ca="1">gr(calculs!BP65)</f>
        <v>#NAME?</v>
      </c>
      <c r="G65" s="535" t="e">
        <f ca="1">gr(calculs!BQ65)</f>
        <v>#NAME?</v>
      </c>
      <c r="H65" s="535" t="e">
        <f ca="1">gr(calculs!BR65)</f>
        <v>#NAME?</v>
      </c>
      <c r="I65" s="535"/>
      <c r="J65" s="535" t="e">
        <f>NA()</f>
        <v>#N/A</v>
      </c>
      <c r="K65" s="535" t="e">
        <f>NA()</f>
        <v>#N/A</v>
      </c>
      <c r="L65" s="535" t="e">
        <f>NA()</f>
        <v>#N/A</v>
      </c>
      <c r="M65" s="535" t="e">
        <f>NA()</f>
        <v>#N/A</v>
      </c>
      <c r="N65" s="535" t="e">
        <f>NA()</f>
        <v>#N/A</v>
      </c>
      <c r="O65" s="535" t="e">
        <f>NA()</f>
        <v>#N/A</v>
      </c>
      <c r="P65" s="535" t="e">
        <f>NA()</f>
        <v>#N/A</v>
      </c>
    </row>
    <row r="66" spans="1:16" x14ac:dyDescent="0.2">
      <c r="A66" s="222">
        <f>calculs!A66</f>
        <v>44617</v>
      </c>
      <c r="B66" s="535" t="e">
        <f ca="1">gr(calculs!BL66)</f>
        <v>#NAME?</v>
      </c>
      <c r="C66" s="535" t="e">
        <f ca="1">gr(calculs!BM66)</f>
        <v>#NAME?</v>
      </c>
      <c r="D66" s="535" t="e">
        <f ca="1">gr(calculs!BN66)</f>
        <v>#NAME?</v>
      </c>
      <c r="E66" s="535" t="e">
        <f ca="1">gr(calculs!BO66)</f>
        <v>#NAME?</v>
      </c>
      <c r="F66" s="535" t="e">
        <f ca="1">gr(calculs!BP66)</f>
        <v>#NAME?</v>
      </c>
      <c r="G66" s="535" t="e">
        <f ca="1">gr(calculs!BQ66)</f>
        <v>#NAME?</v>
      </c>
      <c r="H66" s="535" t="e">
        <f ca="1">gr(calculs!BR66)</f>
        <v>#NAME?</v>
      </c>
      <c r="I66" s="535"/>
      <c r="J66" s="535" t="e">
        <f>NA()</f>
        <v>#N/A</v>
      </c>
      <c r="K66" s="535" t="e">
        <f>NA()</f>
        <v>#N/A</v>
      </c>
      <c r="L66" s="535" t="e">
        <f>NA()</f>
        <v>#N/A</v>
      </c>
      <c r="M66" s="535" t="e">
        <f>NA()</f>
        <v>#N/A</v>
      </c>
      <c r="N66" s="535" t="e">
        <f>NA()</f>
        <v>#N/A</v>
      </c>
      <c r="O66" s="535" t="e">
        <f>NA()</f>
        <v>#N/A</v>
      </c>
      <c r="P66" s="535" t="e">
        <f>NA()</f>
        <v>#N/A</v>
      </c>
    </row>
    <row r="67" spans="1:16" x14ac:dyDescent="0.2">
      <c r="A67" s="222">
        <f>calculs!A67</f>
        <v>44618</v>
      </c>
      <c r="B67" s="535" t="e">
        <f ca="1">gr(calculs!BL67)</f>
        <v>#NAME?</v>
      </c>
      <c r="C67" s="535" t="e">
        <f ca="1">gr(calculs!BM67)</f>
        <v>#NAME?</v>
      </c>
      <c r="D67" s="535" t="e">
        <f ca="1">gr(calculs!BN67)</f>
        <v>#NAME?</v>
      </c>
      <c r="E67" s="535" t="e">
        <f ca="1">gr(calculs!BO67)</f>
        <v>#NAME?</v>
      </c>
      <c r="F67" s="535" t="e">
        <f ca="1">gr(calculs!BP67)</f>
        <v>#NAME?</v>
      </c>
      <c r="G67" s="535" t="e">
        <f ca="1">gr(calculs!BQ67)</f>
        <v>#NAME?</v>
      </c>
      <c r="H67" s="535" t="e">
        <f ca="1">gr(calculs!BR67)</f>
        <v>#NAME?</v>
      </c>
      <c r="I67" s="535"/>
      <c r="J67" s="535" t="e">
        <f>NA()</f>
        <v>#N/A</v>
      </c>
      <c r="K67" s="535" t="e">
        <f>NA()</f>
        <v>#N/A</v>
      </c>
      <c r="L67" s="535" t="e">
        <f>NA()</f>
        <v>#N/A</v>
      </c>
      <c r="M67" s="535" t="e">
        <f>NA()</f>
        <v>#N/A</v>
      </c>
      <c r="N67" s="535" t="e">
        <f>NA()</f>
        <v>#N/A</v>
      </c>
      <c r="O67" s="535" t="e">
        <f>NA()</f>
        <v>#N/A</v>
      </c>
      <c r="P67" s="535" t="e">
        <f>NA()</f>
        <v>#N/A</v>
      </c>
    </row>
    <row r="68" spans="1:16" x14ac:dyDescent="0.2">
      <c r="A68" s="222">
        <f>calculs!A68</f>
        <v>44619</v>
      </c>
      <c r="B68" s="535" t="e">
        <f ca="1">gr(calculs!BL68)</f>
        <v>#NAME?</v>
      </c>
      <c r="C68" s="535" t="e">
        <f ca="1">gr(calculs!BM68)</f>
        <v>#NAME?</v>
      </c>
      <c r="D68" s="535" t="e">
        <f ca="1">gr(calculs!BN68)</f>
        <v>#NAME?</v>
      </c>
      <c r="E68" s="535" t="e">
        <f ca="1">gr(calculs!BO68)</f>
        <v>#NAME?</v>
      </c>
      <c r="F68" s="535" t="e">
        <f ca="1">gr(calculs!BP68)</f>
        <v>#NAME?</v>
      </c>
      <c r="G68" s="535" t="e">
        <f ca="1">gr(calculs!BQ68)</f>
        <v>#NAME?</v>
      </c>
      <c r="H68" s="535" t="e">
        <f ca="1">gr(calculs!BR68)</f>
        <v>#NAME?</v>
      </c>
      <c r="I68" s="535"/>
      <c r="J68" s="535" t="e">
        <f>NA()</f>
        <v>#N/A</v>
      </c>
      <c r="K68" s="535" t="e">
        <f>NA()</f>
        <v>#N/A</v>
      </c>
      <c r="L68" s="535" t="e">
        <f>NA()</f>
        <v>#N/A</v>
      </c>
      <c r="M68" s="535" t="e">
        <f>NA()</f>
        <v>#N/A</v>
      </c>
      <c r="N68" s="535" t="e">
        <f>NA()</f>
        <v>#N/A</v>
      </c>
      <c r="O68" s="535" t="e">
        <f>NA()</f>
        <v>#N/A</v>
      </c>
      <c r="P68" s="535" t="e">
        <f>NA()</f>
        <v>#N/A</v>
      </c>
    </row>
    <row r="69" spans="1:16" x14ac:dyDescent="0.2">
      <c r="A69" s="222">
        <f>calculs!A69</f>
        <v>44620</v>
      </c>
      <c r="B69" s="535" t="e">
        <f ca="1">gr(calculs!BL69)</f>
        <v>#NAME?</v>
      </c>
      <c r="C69" s="535" t="e">
        <f ca="1">gr(calculs!BM69)</f>
        <v>#NAME?</v>
      </c>
      <c r="D69" s="535" t="e">
        <f ca="1">gr(calculs!BN69)</f>
        <v>#NAME?</v>
      </c>
      <c r="E69" s="535" t="e">
        <f ca="1">gr(calculs!BO69)</f>
        <v>#NAME?</v>
      </c>
      <c r="F69" s="535" t="e">
        <f ca="1">gr(calculs!BP69)</f>
        <v>#NAME?</v>
      </c>
      <c r="G69" s="535" t="e">
        <f ca="1">gr(calculs!BQ69)</f>
        <v>#NAME?</v>
      </c>
      <c r="H69" s="535" t="e">
        <f ca="1">gr(calculs!BR69)</f>
        <v>#NAME?</v>
      </c>
      <c r="I69" s="535"/>
      <c r="J69" s="535" t="e">
        <f>NA()</f>
        <v>#N/A</v>
      </c>
      <c r="K69" s="535" t="e">
        <f>NA()</f>
        <v>#N/A</v>
      </c>
      <c r="L69" s="535" t="e">
        <f>NA()</f>
        <v>#N/A</v>
      </c>
      <c r="M69" s="535" t="e">
        <f>NA()</f>
        <v>#N/A</v>
      </c>
      <c r="N69" s="535" t="e">
        <f>NA()</f>
        <v>#N/A</v>
      </c>
      <c r="O69" s="535" t="e">
        <f>NA()</f>
        <v>#N/A</v>
      </c>
      <c r="P69" s="535" t="e">
        <f>NA()</f>
        <v>#N/A</v>
      </c>
    </row>
    <row r="70" spans="1:16" x14ac:dyDescent="0.2">
      <c r="A70" s="222">
        <f>calculs!A70</f>
        <v>44621</v>
      </c>
      <c r="B70" s="535" t="e">
        <f ca="1">gr(calculs!BL70)</f>
        <v>#NAME?</v>
      </c>
      <c r="C70" s="535" t="e">
        <f ca="1">gr(calculs!BM70)</f>
        <v>#NAME?</v>
      </c>
      <c r="D70" s="535" t="e">
        <f ca="1">gr(calculs!BN70)</f>
        <v>#NAME?</v>
      </c>
      <c r="E70" s="535" t="e">
        <f ca="1">gr(calculs!BO70)</f>
        <v>#NAME?</v>
      </c>
      <c r="F70" s="535" t="e">
        <f ca="1">gr(calculs!BP70)</f>
        <v>#NAME?</v>
      </c>
      <c r="G70" s="535" t="e">
        <f ca="1">gr(calculs!BQ70)</f>
        <v>#NAME?</v>
      </c>
      <c r="H70" s="535" t="e">
        <f ca="1">gr(calculs!BR70)</f>
        <v>#NAME?</v>
      </c>
      <c r="I70" s="535"/>
      <c r="J70" s="535" t="e">
        <f>NA()</f>
        <v>#N/A</v>
      </c>
      <c r="K70" s="535" t="e">
        <f>NA()</f>
        <v>#N/A</v>
      </c>
      <c r="L70" s="535" t="e">
        <f>NA()</f>
        <v>#N/A</v>
      </c>
      <c r="M70" s="535" t="e">
        <f>NA()</f>
        <v>#N/A</v>
      </c>
      <c r="N70" s="535" t="e">
        <f>NA()</f>
        <v>#N/A</v>
      </c>
      <c r="O70" s="535" t="e">
        <f>NA()</f>
        <v>#N/A</v>
      </c>
      <c r="P70" s="535" t="e">
        <f>NA()</f>
        <v>#N/A</v>
      </c>
    </row>
    <row r="71" spans="1:16" x14ac:dyDescent="0.2">
      <c r="A71" s="222">
        <f>calculs!A71</f>
        <v>44622</v>
      </c>
      <c r="B71" s="535" t="e">
        <f ca="1">gr(calculs!BL71)</f>
        <v>#NAME?</v>
      </c>
      <c r="C71" s="535" t="e">
        <f ca="1">gr(calculs!BM71)</f>
        <v>#NAME?</v>
      </c>
      <c r="D71" s="535" t="e">
        <f ca="1">gr(calculs!BN71)</f>
        <v>#NAME?</v>
      </c>
      <c r="E71" s="535" t="e">
        <f ca="1">gr(calculs!BO71)</f>
        <v>#NAME?</v>
      </c>
      <c r="F71" s="535" t="e">
        <f ca="1">gr(calculs!BP71)</f>
        <v>#NAME?</v>
      </c>
      <c r="G71" s="535" t="e">
        <f ca="1">gr(calculs!BQ71)</f>
        <v>#NAME?</v>
      </c>
      <c r="H71" s="535" t="e">
        <f ca="1">gr(calculs!BR71)</f>
        <v>#NAME?</v>
      </c>
      <c r="I71" s="535"/>
      <c r="J71" s="535" t="e">
        <f>NA()</f>
        <v>#N/A</v>
      </c>
      <c r="K71" s="535" t="e">
        <f>NA()</f>
        <v>#N/A</v>
      </c>
      <c r="L71" s="535" t="e">
        <f>NA()</f>
        <v>#N/A</v>
      </c>
      <c r="M71" s="535" t="e">
        <f>NA()</f>
        <v>#N/A</v>
      </c>
      <c r="N71" s="535" t="e">
        <f>NA()</f>
        <v>#N/A</v>
      </c>
      <c r="O71" s="535" t="e">
        <f>NA()</f>
        <v>#N/A</v>
      </c>
      <c r="P71" s="535" t="e">
        <f>NA()</f>
        <v>#N/A</v>
      </c>
    </row>
    <row r="72" spans="1:16" x14ac:dyDescent="0.2">
      <c r="A72" s="222">
        <f>calculs!A72</f>
        <v>44623</v>
      </c>
      <c r="B72" s="535" t="e">
        <f ca="1">gr(calculs!BL72)</f>
        <v>#NAME?</v>
      </c>
      <c r="C72" s="535" t="e">
        <f ca="1">gr(calculs!BM72)</f>
        <v>#NAME?</v>
      </c>
      <c r="D72" s="535" t="e">
        <f ca="1">gr(calculs!BN72)</f>
        <v>#NAME?</v>
      </c>
      <c r="E72" s="535" t="e">
        <f ca="1">gr(calculs!BO72)</f>
        <v>#NAME?</v>
      </c>
      <c r="F72" s="535" t="e">
        <f ca="1">gr(calculs!BP72)</f>
        <v>#NAME?</v>
      </c>
      <c r="G72" s="535" t="e">
        <f ca="1">gr(calculs!BQ72)</f>
        <v>#NAME?</v>
      </c>
      <c r="H72" s="535" t="e">
        <f ca="1">gr(calculs!BR72)</f>
        <v>#NAME?</v>
      </c>
      <c r="I72" s="535"/>
      <c r="J72" s="535" t="e">
        <f>NA()</f>
        <v>#N/A</v>
      </c>
      <c r="K72" s="535" t="e">
        <f>NA()</f>
        <v>#N/A</v>
      </c>
      <c r="L72" s="535" t="e">
        <f>NA()</f>
        <v>#N/A</v>
      </c>
      <c r="M72" s="535" t="e">
        <f>NA()</f>
        <v>#N/A</v>
      </c>
      <c r="N72" s="535" t="e">
        <f>NA()</f>
        <v>#N/A</v>
      </c>
      <c r="O72" s="535" t="e">
        <f>NA()</f>
        <v>#N/A</v>
      </c>
      <c r="P72" s="535" t="e">
        <f>NA()</f>
        <v>#N/A</v>
      </c>
    </row>
    <row r="73" spans="1:16" x14ac:dyDescent="0.2">
      <c r="A73" s="222">
        <f>calculs!A73</f>
        <v>44624</v>
      </c>
      <c r="B73" s="535" t="e">
        <f ca="1">gr(calculs!BL73)</f>
        <v>#NAME?</v>
      </c>
      <c r="C73" s="535" t="e">
        <f ca="1">gr(calculs!BM73)</f>
        <v>#NAME?</v>
      </c>
      <c r="D73" s="535" t="e">
        <f ca="1">gr(calculs!BN73)</f>
        <v>#NAME?</v>
      </c>
      <c r="E73" s="535" t="e">
        <f ca="1">gr(calculs!BO73)</f>
        <v>#NAME?</v>
      </c>
      <c r="F73" s="535" t="e">
        <f ca="1">gr(calculs!BP73)</f>
        <v>#NAME?</v>
      </c>
      <c r="G73" s="535" t="e">
        <f ca="1">gr(calculs!BQ73)</f>
        <v>#NAME?</v>
      </c>
      <c r="H73" s="535" t="e">
        <f ca="1">gr(calculs!BR73)</f>
        <v>#NAME?</v>
      </c>
      <c r="I73" s="535"/>
      <c r="J73" s="535" t="e">
        <f>NA()</f>
        <v>#N/A</v>
      </c>
      <c r="K73" s="535" t="e">
        <f>NA()</f>
        <v>#N/A</v>
      </c>
      <c r="L73" s="535" t="e">
        <f>NA()</f>
        <v>#N/A</v>
      </c>
      <c r="M73" s="535" t="e">
        <f>NA()</f>
        <v>#N/A</v>
      </c>
      <c r="N73" s="535" t="e">
        <f>NA()</f>
        <v>#N/A</v>
      </c>
      <c r="O73" s="535" t="e">
        <f>NA()</f>
        <v>#N/A</v>
      </c>
      <c r="P73" s="535" t="e">
        <f>NA()</f>
        <v>#N/A</v>
      </c>
    </row>
    <row r="74" spans="1:16" x14ac:dyDescent="0.2">
      <c r="A74" s="222">
        <f>calculs!A74</f>
        <v>44625</v>
      </c>
      <c r="B74" s="535" t="e">
        <f ca="1">gr(calculs!BL74)</f>
        <v>#NAME?</v>
      </c>
      <c r="C74" s="535" t="e">
        <f ca="1">gr(calculs!BM74)</f>
        <v>#NAME?</v>
      </c>
      <c r="D74" s="535" t="e">
        <f ca="1">gr(calculs!BN74)</f>
        <v>#NAME?</v>
      </c>
      <c r="E74" s="535" t="e">
        <f ca="1">gr(calculs!BO74)</f>
        <v>#NAME?</v>
      </c>
      <c r="F74" s="535" t="e">
        <f ca="1">gr(calculs!BP74)</f>
        <v>#NAME?</v>
      </c>
      <c r="G74" s="535" t="e">
        <f ca="1">gr(calculs!BQ74)</f>
        <v>#NAME?</v>
      </c>
      <c r="H74" s="535" t="e">
        <f ca="1">gr(calculs!BR74)</f>
        <v>#NAME?</v>
      </c>
      <c r="I74" s="535"/>
      <c r="J74" s="535" t="e">
        <f>NA()</f>
        <v>#N/A</v>
      </c>
      <c r="K74" s="535" t="e">
        <f>NA()</f>
        <v>#N/A</v>
      </c>
      <c r="L74" s="535" t="e">
        <f>NA()</f>
        <v>#N/A</v>
      </c>
      <c r="M74" s="535" t="e">
        <f>NA()</f>
        <v>#N/A</v>
      </c>
      <c r="N74" s="535" t="e">
        <f>NA()</f>
        <v>#N/A</v>
      </c>
      <c r="O74" s="535" t="e">
        <f>NA()</f>
        <v>#N/A</v>
      </c>
      <c r="P74" s="535" t="e">
        <f>NA()</f>
        <v>#N/A</v>
      </c>
    </row>
    <row r="75" spans="1:16" x14ac:dyDescent="0.2">
      <c r="A75" s="222">
        <f>calculs!A75</f>
        <v>44626</v>
      </c>
      <c r="B75" s="535" t="e">
        <f ca="1">gr(calculs!BL75)</f>
        <v>#NAME?</v>
      </c>
      <c r="C75" s="535" t="e">
        <f ca="1">gr(calculs!BM75)</f>
        <v>#NAME?</v>
      </c>
      <c r="D75" s="535" t="e">
        <f ca="1">gr(calculs!BN75)</f>
        <v>#NAME?</v>
      </c>
      <c r="E75" s="535" t="e">
        <f ca="1">gr(calculs!BO75)</f>
        <v>#NAME?</v>
      </c>
      <c r="F75" s="535" t="e">
        <f ca="1">gr(calculs!BP75)</f>
        <v>#NAME?</v>
      </c>
      <c r="G75" s="535" t="e">
        <f ca="1">gr(calculs!BQ75)</f>
        <v>#NAME?</v>
      </c>
      <c r="H75" s="535" t="e">
        <f ca="1">gr(calculs!BR75)</f>
        <v>#NAME?</v>
      </c>
      <c r="I75" s="535"/>
      <c r="J75" s="535" t="e">
        <f>NA()</f>
        <v>#N/A</v>
      </c>
      <c r="K75" s="535" t="e">
        <f>NA()</f>
        <v>#N/A</v>
      </c>
      <c r="L75" s="535" t="e">
        <f>NA()</f>
        <v>#N/A</v>
      </c>
      <c r="M75" s="535" t="e">
        <f>NA()</f>
        <v>#N/A</v>
      </c>
      <c r="N75" s="535" t="e">
        <f>NA()</f>
        <v>#N/A</v>
      </c>
      <c r="O75" s="535" t="e">
        <f>NA()</f>
        <v>#N/A</v>
      </c>
      <c r="P75" s="535" t="e">
        <f>NA()</f>
        <v>#N/A</v>
      </c>
    </row>
    <row r="76" spans="1:16" x14ac:dyDescent="0.2">
      <c r="A76" s="222">
        <f>calculs!A76</f>
        <v>44627</v>
      </c>
      <c r="B76" s="535" t="e">
        <f ca="1">gr(calculs!BL76)</f>
        <v>#NAME?</v>
      </c>
      <c r="C76" s="535" t="e">
        <f ca="1">gr(calculs!BM76)</f>
        <v>#NAME?</v>
      </c>
      <c r="D76" s="535" t="e">
        <f ca="1">gr(calculs!BN76)</f>
        <v>#NAME?</v>
      </c>
      <c r="E76" s="535" t="e">
        <f ca="1">gr(calculs!BO76)</f>
        <v>#NAME?</v>
      </c>
      <c r="F76" s="535" t="e">
        <f ca="1">gr(calculs!BP76)</f>
        <v>#NAME?</v>
      </c>
      <c r="G76" s="535" t="e">
        <f ca="1">gr(calculs!BQ76)</f>
        <v>#NAME?</v>
      </c>
      <c r="H76" s="535" t="e">
        <f ca="1">gr(calculs!BR76)</f>
        <v>#NAME?</v>
      </c>
      <c r="I76" s="535"/>
      <c r="J76" s="535" t="e">
        <f>NA()</f>
        <v>#N/A</v>
      </c>
      <c r="K76" s="535" t="e">
        <f>NA()</f>
        <v>#N/A</v>
      </c>
      <c r="L76" s="535" t="e">
        <f>NA()</f>
        <v>#N/A</v>
      </c>
      <c r="M76" s="535" t="e">
        <f>NA()</f>
        <v>#N/A</v>
      </c>
      <c r="N76" s="535" t="e">
        <f>NA()</f>
        <v>#N/A</v>
      </c>
      <c r="O76" s="535" t="e">
        <f>NA()</f>
        <v>#N/A</v>
      </c>
      <c r="P76" s="535" t="e">
        <f>NA()</f>
        <v>#N/A</v>
      </c>
    </row>
    <row r="77" spans="1:16" x14ac:dyDescent="0.2">
      <c r="A77" s="222">
        <f>calculs!A77</f>
        <v>44628</v>
      </c>
      <c r="B77" s="535" t="e">
        <f ca="1">gr(calculs!BL77)</f>
        <v>#NAME?</v>
      </c>
      <c r="C77" s="535" t="e">
        <f ca="1">gr(calculs!BM77)</f>
        <v>#NAME?</v>
      </c>
      <c r="D77" s="535" t="e">
        <f ca="1">gr(calculs!BN77)</f>
        <v>#NAME?</v>
      </c>
      <c r="E77" s="535" t="e">
        <f ca="1">gr(calculs!BO77)</f>
        <v>#NAME?</v>
      </c>
      <c r="F77" s="535" t="e">
        <f ca="1">gr(calculs!BP77)</f>
        <v>#NAME?</v>
      </c>
      <c r="G77" s="535" t="e">
        <f ca="1">gr(calculs!BQ77)</f>
        <v>#NAME?</v>
      </c>
      <c r="H77" s="535" t="e">
        <f ca="1">gr(calculs!BR77)</f>
        <v>#NAME?</v>
      </c>
      <c r="I77" s="535"/>
      <c r="J77" s="535" t="e">
        <f>NA()</f>
        <v>#N/A</v>
      </c>
      <c r="K77" s="535" t="e">
        <f>NA()</f>
        <v>#N/A</v>
      </c>
      <c r="L77" s="535" t="e">
        <f>NA()</f>
        <v>#N/A</v>
      </c>
      <c r="M77" s="535" t="e">
        <f>NA()</f>
        <v>#N/A</v>
      </c>
      <c r="N77" s="535" t="e">
        <f>NA()</f>
        <v>#N/A</v>
      </c>
      <c r="O77" s="535" t="e">
        <f>NA()</f>
        <v>#N/A</v>
      </c>
      <c r="P77" s="535" t="e">
        <f>NA()</f>
        <v>#N/A</v>
      </c>
    </row>
    <row r="78" spans="1:16" x14ac:dyDescent="0.2">
      <c r="A78" s="222">
        <f>calculs!A78</f>
        <v>44629</v>
      </c>
      <c r="B78" s="535" t="e">
        <f ca="1">gr(calculs!BL78)</f>
        <v>#NAME?</v>
      </c>
      <c r="C78" s="535" t="e">
        <f ca="1">gr(calculs!BM78)</f>
        <v>#NAME?</v>
      </c>
      <c r="D78" s="535" t="e">
        <f ca="1">gr(calculs!BN78)</f>
        <v>#NAME?</v>
      </c>
      <c r="E78" s="535" t="e">
        <f ca="1">gr(calculs!BO78)</f>
        <v>#NAME?</v>
      </c>
      <c r="F78" s="535" t="e">
        <f ca="1">gr(calculs!BP78)</f>
        <v>#NAME?</v>
      </c>
      <c r="G78" s="535" t="e">
        <f ca="1">gr(calculs!BQ78)</f>
        <v>#NAME?</v>
      </c>
      <c r="H78" s="535" t="e">
        <f ca="1">gr(calculs!BR78)</f>
        <v>#NAME?</v>
      </c>
      <c r="I78" s="535"/>
      <c r="J78" s="535" t="e">
        <f>NA()</f>
        <v>#N/A</v>
      </c>
      <c r="K78" s="535" t="e">
        <f>NA()</f>
        <v>#N/A</v>
      </c>
      <c r="L78" s="535" t="e">
        <f>NA()</f>
        <v>#N/A</v>
      </c>
      <c r="M78" s="535" t="e">
        <f>NA()</f>
        <v>#N/A</v>
      </c>
      <c r="N78" s="535" t="e">
        <f>NA()</f>
        <v>#N/A</v>
      </c>
      <c r="O78" s="535" t="e">
        <f>NA()</f>
        <v>#N/A</v>
      </c>
      <c r="P78" s="535" t="e">
        <f>NA()</f>
        <v>#N/A</v>
      </c>
    </row>
    <row r="79" spans="1:16" x14ac:dyDescent="0.2">
      <c r="A79" s="222">
        <f>calculs!A79</f>
        <v>44630</v>
      </c>
      <c r="B79" s="535" t="e">
        <f ca="1">gr(calculs!BL79)</f>
        <v>#NAME?</v>
      </c>
      <c r="C79" s="535" t="e">
        <f ca="1">gr(calculs!BM79)</f>
        <v>#NAME?</v>
      </c>
      <c r="D79" s="535" t="e">
        <f ca="1">gr(calculs!BN79)</f>
        <v>#NAME?</v>
      </c>
      <c r="E79" s="535" t="e">
        <f ca="1">gr(calculs!BO79)</f>
        <v>#NAME?</v>
      </c>
      <c r="F79" s="535" t="e">
        <f ca="1">gr(calculs!BP79)</f>
        <v>#NAME?</v>
      </c>
      <c r="G79" s="535" t="e">
        <f ca="1">gr(calculs!BQ79)</f>
        <v>#NAME?</v>
      </c>
      <c r="H79" s="535" t="e">
        <f ca="1">gr(calculs!BR79)</f>
        <v>#NAME?</v>
      </c>
      <c r="I79" s="535"/>
      <c r="J79" s="535" t="e">
        <f>NA()</f>
        <v>#N/A</v>
      </c>
      <c r="K79" s="535" t="e">
        <f>NA()</f>
        <v>#N/A</v>
      </c>
      <c r="L79" s="535" t="e">
        <f>NA()</f>
        <v>#N/A</v>
      </c>
      <c r="M79" s="535" t="e">
        <f>NA()</f>
        <v>#N/A</v>
      </c>
      <c r="N79" s="535" t="e">
        <f>NA()</f>
        <v>#N/A</v>
      </c>
      <c r="O79" s="535" t="e">
        <f>NA()</f>
        <v>#N/A</v>
      </c>
      <c r="P79" s="535" t="e">
        <f>NA()</f>
        <v>#N/A</v>
      </c>
    </row>
    <row r="80" spans="1:16" x14ac:dyDescent="0.2">
      <c r="A80" s="222">
        <f>calculs!A80</f>
        <v>44631</v>
      </c>
      <c r="B80" s="535" t="e">
        <f ca="1">gr(calculs!BL80)</f>
        <v>#NAME?</v>
      </c>
      <c r="C80" s="535" t="e">
        <f ca="1">gr(calculs!BM80)</f>
        <v>#NAME?</v>
      </c>
      <c r="D80" s="535" t="e">
        <f ca="1">gr(calculs!BN80)</f>
        <v>#NAME?</v>
      </c>
      <c r="E80" s="535" t="e">
        <f ca="1">gr(calculs!BO80)</f>
        <v>#NAME?</v>
      </c>
      <c r="F80" s="535" t="e">
        <f ca="1">gr(calculs!BP80)</f>
        <v>#NAME?</v>
      </c>
      <c r="G80" s="535" t="e">
        <f ca="1">gr(calculs!BQ80)</f>
        <v>#NAME?</v>
      </c>
      <c r="H80" s="535" t="e">
        <f ca="1">gr(calculs!BR80)</f>
        <v>#NAME?</v>
      </c>
      <c r="I80" s="535"/>
      <c r="J80" s="535" t="e">
        <f>NA()</f>
        <v>#N/A</v>
      </c>
      <c r="K80" s="535" t="e">
        <f>NA()</f>
        <v>#N/A</v>
      </c>
      <c r="L80" s="535" t="e">
        <f>NA()</f>
        <v>#N/A</v>
      </c>
      <c r="M80" s="535" t="e">
        <f>NA()</f>
        <v>#N/A</v>
      </c>
      <c r="N80" s="535" t="e">
        <f>NA()</f>
        <v>#N/A</v>
      </c>
      <c r="O80" s="535" t="e">
        <f>NA()</f>
        <v>#N/A</v>
      </c>
      <c r="P80" s="535" t="e">
        <f>NA()</f>
        <v>#N/A</v>
      </c>
    </row>
    <row r="81" spans="1:16" x14ac:dyDescent="0.2">
      <c r="A81" s="222">
        <f>calculs!A81</f>
        <v>44632</v>
      </c>
      <c r="B81" s="535" t="e">
        <f ca="1">gr(calculs!BL81)</f>
        <v>#NAME?</v>
      </c>
      <c r="C81" s="535" t="e">
        <f ca="1">gr(calculs!BM81)</f>
        <v>#NAME?</v>
      </c>
      <c r="D81" s="535" t="e">
        <f ca="1">gr(calculs!BN81)</f>
        <v>#NAME?</v>
      </c>
      <c r="E81" s="535" t="e">
        <f ca="1">gr(calculs!BO81)</f>
        <v>#NAME?</v>
      </c>
      <c r="F81" s="535" t="e">
        <f ca="1">gr(calculs!BP81)</f>
        <v>#NAME?</v>
      </c>
      <c r="G81" s="535" t="e">
        <f ca="1">gr(calculs!BQ81)</f>
        <v>#NAME?</v>
      </c>
      <c r="H81" s="535" t="e">
        <f ca="1">gr(calculs!BR81)</f>
        <v>#NAME?</v>
      </c>
      <c r="I81" s="535"/>
      <c r="J81" s="535" t="e">
        <f>NA()</f>
        <v>#N/A</v>
      </c>
      <c r="K81" s="535" t="e">
        <f>NA()</f>
        <v>#N/A</v>
      </c>
      <c r="L81" s="535" t="e">
        <f>NA()</f>
        <v>#N/A</v>
      </c>
      <c r="M81" s="535" t="e">
        <f>NA()</f>
        <v>#N/A</v>
      </c>
      <c r="N81" s="535" t="e">
        <f>NA()</f>
        <v>#N/A</v>
      </c>
      <c r="O81" s="535" t="e">
        <f>NA()</f>
        <v>#N/A</v>
      </c>
      <c r="P81" s="535" t="e">
        <f>NA()</f>
        <v>#N/A</v>
      </c>
    </row>
    <row r="82" spans="1:16" x14ac:dyDescent="0.2">
      <c r="A82" s="222">
        <f>calculs!A82</f>
        <v>44633</v>
      </c>
      <c r="B82" s="535" t="e">
        <f ca="1">gr(calculs!BL82)</f>
        <v>#NAME?</v>
      </c>
      <c r="C82" s="535" t="e">
        <f ca="1">gr(calculs!BM82)</f>
        <v>#NAME?</v>
      </c>
      <c r="D82" s="535" t="e">
        <f ca="1">gr(calculs!BN82)</f>
        <v>#NAME?</v>
      </c>
      <c r="E82" s="535" t="e">
        <f ca="1">gr(calculs!BO82)</f>
        <v>#NAME?</v>
      </c>
      <c r="F82" s="535" t="e">
        <f ca="1">gr(calculs!BP82)</f>
        <v>#NAME?</v>
      </c>
      <c r="G82" s="535" t="e">
        <f ca="1">gr(calculs!BQ82)</f>
        <v>#NAME?</v>
      </c>
      <c r="H82" s="535" t="e">
        <f ca="1">gr(calculs!BR82)</f>
        <v>#NAME?</v>
      </c>
      <c r="I82" s="535"/>
      <c r="J82" s="535" t="e">
        <f>NA()</f>
        <v>#N/A</v>
      </c>
      <c r="K82" s="535" t="e">
        <f>NA()</f>
        <v>#N/A</v>
      </c>
      <c r="L82" s="535" t="e">
        <f>NA()</f>
        <v>#N/A</v>
      </c>
      <c r="M82" s="535" t="e">
        <f>NA()</f>
        <v>#N/A</v>
      </c>
      <c r="N82" s="535" t="e">
        <f>NA()</f>
        <v>#N/A</v>
      </c>
      <c r="O82" s="535" t="e">
        <f>NA()</f>
        <v>#N/A</v>
      </c>
      <c r="P82" s="535" t="e">
        <f>NA()</f>
        <v>#N/A</v>
      </c>
    </row>
    <row r="83" spans="1:16" x14ac:dyDescent="0.2">
      <c r="A83" s="222">
        <f>calculs!A83</f>
        <v>44634</v>
      </c>
      <c r="B83" s="535" t="e">
        <f ca="1">gr(calculs!BL83)</f>
        <v>#NAME?</v>
      </c>
      <c r="C83" s="535" t="e">
        <f ca="1">gr(calculs!BM83)</f>
        <v>#NAME?</v>
      </c>
      <c r="D83" s="535" t="e">
        <f ca="1">gr(calculs!BN83)</f>
        <v>#NAME?</v>
      </c>
      <c r="E83" s="535" t="e">
        <f ca="1">gr(calculs!BO83)</f>
        <v>#NAME?</v>
      </c>
      <c r="F83" s="535" t="e">
        <f ca="1">gr(calculs!BP83)</f>
        <v>#NAME?</v>
      </c>
      <c r="G83" s="535" t="e">
        <f ca="1">gr(calculs!BQ83)</f>
        <v>#NAME?</v>
      </c>
      <c r="H83" s="535" t="e">
        <f ca="1">gr(calculs!BR83)</f>
        <v>#NAME?</v>
      </c>
      <c r="I83" s="535"/>
      <c r="J83" s="535" t="e">
        <f>NA()</f>
        <v>#N/A</v>
      </c>
      <c r="K83" s="535" t="e">
        <f>NA()</f>
        <v>#N/A</v>
      </c>
      <c r="L83" s="535" t="e">
        <f>NA()</f>
        <v>#N/A</v>
      </c>
      <c r="M83" s="535" t="e">
        <f>NA()</f>
        <v>#N/A</v>
      </c>
      <c r="N83" s="535" t="e">
        <f>NA()</f>
        <v>#N/A</v>
      </c>
      <c r="O83" s="535" t="e">
        <f>NA()</f>
        <v>#N/A</v>
      </c>
      <c r="P83" s="535" t="e">
        <f>NA()</f>
        <v>#N/A</v>
      </c>
    </row>
    <row r="84" spans="1:16" x14ac:dyDescent="0.2">
      <c r="A84" s="222">
        <f>calculs!A84</f>
        <v>44635</v>
      </c>
      <c r="B84" s="535" t="e">
        <f ca="1">gr(calculs!BL84)</f>
        <v>#NAME?</v>
      </c>
      <c r="C84" s="535" t="e">
        <f ca="1">gr(calculs!BM84)</f>
        <v>#NAME?</v>
      </c>
      <c r="D84" s="535" t="e">
        <f ca="1">gr(calculs!BN84)</f>
        <v>#NAME?</v>
      </c>
      <c r="E84" s="535" t="e">
        <f ca="1">gr(calculs!BO84)</f>
        <v>#NAME?</v>
      </c>
      <c r="F84" s="535" t="e">
        <f ca="1">gr(calculs!BP84)</f>
        <v>#NAME?</v>
      </c>
      <c r="G84" s="535" t="e">
        <f ca="1">gr(calculs!BQ84)</f>
        <v>#NAME?</v>
      </c>
      <c r="H84" s="535" t="e">
        <f ca="1">gr(calculs!BR84)</f>
        <v>#NAME?</v>
      </c>
      <c r="I84" s="535"/>
      <c r="J84" s="535" t="e">
        <f>NA()</f>
        <v>#N/A</v>
      </c>
      <c r="K84" s="535" t="e">
        <f>NA()</f>
        <v>#N/A</v>
      </c>
      <c r="L84" s="535" t="e">
        <f>NA()</f>
        <v>#N/A</v>
      </c>
      <c r="M84" s="535" t="e">
        <f>NA()</f>
        <v>#N/A</v>
      </c>
      <c r="N84" s="535" t="e">
        <f>NA()</f>
        <v>#N/A</v>
      </c>
      <c r="O84" s="535" t="e">
        <f>NA()</f>
        <v>#N/A</v>
      </c>
      <c r="P84" s="535" t="e">
        <f>NA()</f>
        <v>#N/A</v>
      </c>
    </row>
    <row r="85" spans="1:16" x14ac:dyDescent="0.2">
      <c r="A85" s="222">
        <f>calculs!A85</f>
        <v>44636</v>
      </c>
      <c r="B85" s="535" t="e">
        <f ca="1">gr(calculs!BL85)</f>
        <v>#NAME?</v>
      </c>
      <c r="C85" s="535" t="e">
        <f ca="1">gr(calculs!BM85)</f>
        <v>#NAME?</v>
      </c>
      <c r="D85" s="535" t="e">
        <f ca="1">gr(calculs!BN85)</f>
        <v>#NAME?</v>
      </c>
      <c r="E85" s="535" t="e">
        <f ca="1">gr(calculs!BO85)</f>
        <v>#NAME?</v>
      </c>
      <c r="F85" s="535" t="e">
        <f ca="1">gr(calculs!BP85)</f>
        <v>#NAME?</v>
      </c>
      <c r="G85" s="535" t="e">
        <f ca="1">gr(calculs!BQ85)</f>
        <v>#NAME?</v>
      </c>
      <c r="H85" s="535" t="e">
        <f ca="1">gr(calculs!BR85)</f>
        <v>#NAME?</v>
      </c>
      <c r="I85" s="535"/>
      <c r="J85" s="535" t="e">
        <f>NA()</f>
        <v>#N/A</v>
      </c>
      <c r="K85" s="535" t="e">
        <f>NA()</f>
        <v>#N/A</v>
      </c>
      <c r="L85" s="535" t="e">
        <f>NA()</f>
        <v>#N/A</v>
      </c>
      <c r="M85" s="535" t="e">
        <f>NA()</f>
        <v>#N/A</v>
      </c>
      <c r="N85" s="535" t="e">
        <f>NA()</f>
        <v>#N/A</v>
      </c>
      <c r="O85" s="535" t="e">
        <f>NA()</f>
        <v>#N/A</v>
      </c>
      <c r="P85" s="535" t="e">
        <f>NA()</f>
        <v>#N/A</v>
      </c>
    </row>
    <row r="86" spans="1:16" x14ac:dyDescent="0.2">
      <c r="A86" s="222">
        <f>calculs!A86</f>
        <v>44637</v>
      </c>
      <c r="B86" s="535" t="e">
        <f ca="1">gr(calculs!BL86)</f>
        <v>#NAME?</v>
      </c>
      <c r="C86" s="535" t="e">
        <f ca="1">gr(calculs!BM86)</f>
        <v>#NAME?</v>
      </c>
      <c r="D86" s="535" t="e">
        <f ca="1">gr(calculs!BN86)</f>
        <v>#NAME?</v>
      </c>
      <c r="E86" s="535" t="e">
        <f ca="1">gr(calculs!BO86)</f>
        <v>#NAME?</v>
      </c>
      <c r="F86" s="535" t="e">
        <f ca="1">gr(calculs!BP86)</f>
        <v>#NAME?</v>
      </c>
      <c r="G86" s="535" t="e">
        <f ca="1">gr(calculs!BQ86)</f>
        <v>#NAME?</v>
      </c>
      <c r="H86" s="535" t="e">
        <f ca="1">gr(calculs!BR86)</f>
        <v>#NAME?</v>
      </c>
      <c r="I86" s="535"/>
      <c r="J86" s="535" t="e">
        <f>NA()</f>
        <v>#N/A</v>
      </c>
      <c r="K86" s="535" t="e">
        <f>NA()</f>
        <v>#N/A</v>
      </c>
      <c r="L86" s="535" t="e">
        <f>NA()</f>
        <v>#N/A</v>
      </c>
      <c r="M86" s="535" t="e">
        <f>NA()</f>
        <v>#N/A</v>
      </c>
      <c r="N86" s="535" t="e">
        <f>NA()</f>
        <v>#N/A</v>
      </c>
      <c r="O86" s="535" t="e">
        <f>NA()</f>
        <v>#N/A</v>
      </c>
      <c r="P86" s="535" t="e">
        <f>NA()</f>
        <v>#N/A</v>
      </c>
    </row>
    <row r="87" spans="1:16" x14ac:dyDescent="0.2">
      <c r="A87" s="222">
        <f>calculs!A87</f>
        <v>44638</v>
      </c>
      <c r="B87" s="535" t="e">
        <f ca="1">gr(calculs!BL87)</f>
        <v>#NAME?</v>
      </c>
      <c r="C87" s="535" t="e">
        <f ca="1">gr(calculs!BM87)</f>
        <v>#NAME?</v>
      </c>
      <c r="D87" s="535" t="e">
        <f ca="1">gr(calculs!BN87)</f>
        <v>#NAME?</v>
      </c>
      <c r="E87" s="535" t="e">
        <f ca="1">gr(calculs!BO87)</f>
        <v>#NAME?</v>
      </c>
      <c r="F87" s="535" t="e">
        <f ca="1">gr(calculs!BP87)</f>
        <v>#NAME?</v>
      </c>
      <c r="G87" s="535" t="e">
        <f ca="1">gr(calculs!BQ87)</f>
        <v>#NAME?</v>
      </c>
      <c r="H87" s="535" t="e">
        <f ca="1">gr(calculs!BR87)</f>
        <v>#NAME?</v>
      </c>
      <c r="I87" s="535"/>
      <c r="J87" s="535" t="e">
        <f>NA()</f>
        <v>#N/A</v>
      </c>
      <c r="K87" s="535" t="e">
        <f>NA()</f>
        <v>#N/A</v>
      </c>
      <c r="L87" s="535" t="e">
        <f>NA()</f>
        <v>#N/A</v>
      </c>
      <c r="M87" s="535" t="e">
        <f>NA()</f>
        <v>#N/A</v>
      </c>
      <c r="N87" s="535" t="e">
        <f>NA()</f>
        <v>#N/A</v>
      </c>
      <c r="O87" s="535" t="e">
        <f>NA()</f>
        <v>#N/A</v>
      </c>
      <c r="P87" s="535" t="e">
        <f>NA()</f>
        <v>#N/A</v>
      </c>
    </row>
    <row r="88" spans="1:16" x14ac:dyDescent="0.2">
      <c r="A88" s="222">
        <f>calculs!A88</f>
        <v>44639</v>
      </c>
      <c r="B88" s="535" t="e">
        <f ca="1">gr(calculs!BL88)</f>
        <v>#NAME?</v>
      </c>
      <c r="C88" s="535" t="e">
        <f ca="1">gr(calculs!BM88)</f>
        <v>#NAME?</v>
      </c>
      <c r="D88" s="535" t="e">
        <f ca="1">gr(calculs!BN88)</f>
        <v>#NAME?</v>
      </c>
      <c r="E88" s="535" t="e">
        <f ca="1">gr(calculs!BO88)</f>
        <v>#NAME?</v>
      </c>
      <c r="F88" s="535" t="e">
        <f ca="1">gr(calculs!BP88)</f>
        <v>#NAME?</v>
      </c>
      <c r="G88" s="535" t="e">
        <f ca="1">gr(calculs!BQ88)</f>
        <v>#NAME?</v>
      </c>
      <c r="H88" s="535" t="e">
        <f ca="1">gr(calculs!BR88)</f>
        <v>#NAME?</v>
      </c>
      <c r="I88" s="535"/>
      <c r="J88" s="535" t="e">
        <f>NA()</f>
        <v>#N/A</v>
      </c>
      <c r="K88" s="535" t="e">
        <f>NA()</f>
        <v>#N/A</v>
      </c>
      <c r="L88" s="535" t="e">
        <f>NA()</f>
        <v>#N/A</v>
      </c>
      <c r="M88" s="535" t="e">
        <f>NA()</f>
        <v>#N/A</v>
      </c>
      <c r="N88" s="535" t="e">
        <f>NA()</f>
        <v>#N/A</v>
      </c>
      <c r="O88" s="535" t="e">
        <f>NA()</f>
        <v>#N/A</v>
      </c>
      <c r="P88" s="535" t="e">
        <f>NA()</f>
        <v>#N/A</v>
      </c>
    </row>
    <row r="89" spans="1:16" x14ac:dyDescent="0.2">
      <c r="A89" s="222">
        <f>calculs!A89</f>
        <v>44640</v>
      </c>
      <c r="B89" s="535" t="e">
        <f ca="1">gr(calculs!BL89)</f>
        <v>#NAME?</v>
      </c>
      <c r="C89" s="535" t="e">
        <f ca="1">gr(calculs!BM89)</f>
        <v>#NAME?</v>
      </c>
      <c r="D89" s="535" t="e">
        <f ca="1">gr(calculs!BN89)</f>
        <v>#NAME?</v>
      </c>
      <c r="E89" s="535" t="e">
        <f ca="1">gr(calculs!BO89)</f>
        <v>#NAME?</v>
      </c>
      <c r="F89" s="535" t="e">
        <f ca="1">gr(calculs!BP89)</f>
        <v>#NAME?</v>
      </c>
      <c r="G89" s="535" t="e">
        <f ca="1">gr(calculs!BQ89)</f>
        <v>#NAME?</v>
      </c>
      <c r="H89" s="535" t="e">
        <f ca="1">gr(calculs!BR89)</f>
        <v>#NAME?</v>
      </c>
      <c r="I89" s="535"/>
      <c r="J89" s="535" t="e">
        <f>NA()</f>
        <v>#N/A</v>
      </c>
      <c r="K89" s="535" t="e">
        <f>NA()</f>
        <v>#N/A</v>
      </c>
      <c r="L89" s="535" t="e">
        <f>NA()</f>
        <v>#N/A</v>
      </c>
      <c r="M89" s="535" t="e">
        <f>NA()</f>
        <v>#N/A</v>
      </c>
      <c r="N89" s="535" t="e">
        <f>NA()</f>
        <v>#N/A</v>
      </c>
      <c r="O89" s="535" t="e">
        <f>NA()</f>
        <v>#N/A</v>
      </c>
      <c r="P89" s="535" t="e">
        <f>NA()</f>
        <v>#N/A</v>
      </c>
    </row>
    <row r="90" spans="1:16" x14ac:dyDescent="0.2">
      <c r="A90" s="222">
        <f>calculs!A90</f>
        <v>44641</v>
      </c>
      <c r="B90" s="535" t="e">
        <f ca="1">gr(calculs!BL90)</f>
        <v>#NAME?</v>
      </c>
      <c r="C90" s="535" t="e">
        <f ca="1">gr(calculs!BM90)</f>
        <v>#NAME?</v>
      </c>
      <c r="D90" s="535" t="e">
        <f ca="1">gr(calculs!BN90)</f>
        <v>#NAME?</v>
      </c>
      <c r="E90" s="535" t="e">
        <f ca="1">gr(calculs!BO90)</f>
        <v>#NAME?</v>
      </c>
      <c r="F90" s="535" t="e">
        <f ca="1">gr(calculs!BP90)</f>
        <v>#NAME?</v>
      </c>
      <c r="G90" s="535" t="e">
        <f ca="1">gr(calculs!BQ90)</f>
        <v>#NAME?</v>
      </c>
      <c r="H90" s="535" t="e">
        <f ca="1">gr(calculs!BR90)</f>
        <v>#NAME?</v>
      </c>
      <c r="I90" s="535"/>
      <c r="J90" s="535" t="e">
        <f>NA()</f>
        <v>#N/A</v>
      </c>
      <c r="K90" s="535" t="e">
        <f>NA()</f>
        <v>#N/A</v>
      </c>
      <c r="L90" s="535" t="e">
        <f>NA()</f>
        <v>#N/A</v>
      </c>
      <c r="M90" s="535" t="e">
        <f>NA()</f>
        <v>#N/A</v>
      </c>
      <c r="N90" s="535" t="e">
        <f>NA()</f>
        <v>#N/A</v>
      </c>
      <c r="O90" s="535" t="e">
        <f>NA()</f>
        <v>#N/A</v>
      </c>
      <c r="P90" s="535" t="e">
        <f>NA()</f>
        <v>#N/A</v>
      </c>
    </row>
    <row r="91" spans="1:16" x14ac:dyDescent="0.2">
      <c r="A91" s="222">
        <f>calculs!A91</f>
        <v>44642</v>
      </c>
      <c r="B91" s="535" t="e">
        <f ca="1">gr(calculs!BL91)</f>
        <v>#NAME?</v>
      </c>
      <c r="C91" s="535" t="e">
        <f ca="1">gr(calculs!BM91)</f>
        <v>#NAME?</v>
      </c>
      <c r="D91" s="535" t="e">
        <f ca="1">gr(calculs!BN91)</f>
        <v>#NAME?</v>
      </c>
      <c r="E91" s="535" t="e">
        <f ca="1">gr(calculs!BO91)</f>
        <v>#NAME?</v>
      </c>
      <c r="F91" s="535" t="e">
        <f ca="1">gr(calculs!BP91)</f>
        <v>#NAME?</v>
      </c>
      <c r="G91" s="535" t="e">
        <f ca="1">gr(calculs!BQ91)</f>
        <v>#NAME?</v>
      </c>
      <c r="H91" s="535" t="e">
        <f ca="1">gr(calculs!BR91)</f>
        <v>#NAME?</v>
      </c>
      <c r="I91" s="535"/>
      <c r="J91" s="535" t="e">
        <f>NA()</f>
        <v>#N/A</v>
      </c>
      <c r="K91" s="535" t="e">
        <f>NA()</f>
        <v>#N/A</v>
      </c>
      <c r="L91" s="535" t="e">
        <f>NA()</f>
        <v>#N/A</v>
      </c>
      <c r="M91" s="535" t="e">
        <f>NA()</f>
        <v>#N/A</v>
      </c>
      <c r="N91" s="535" t="e">
        <f>NA()</f>
        <v>#N/A</v>
      </c>
      <c r="O91" s="535" t="e">
        <f>NA()</f>
        <v>#N/A</v>
      </c>
      <c r="P91" s="535" t="e">
        <f>NA()</f>
        <v>#N/A</v>
      </c>
    </row>
    <row r="92" spans="1:16" x14ac:dyDescent="0.2">
      <c r="A92" s="222">
        <f>calculs!A92</f>
        <v>44643</v>
      </c>
      <c r="B92" s="535" t="e">
        <f ca="1">gr(calculs!BL92)</f>
        <v>#NAME?</v>
      </c>
      <c r="C92" s="535" t="e">
        <f ca="1">gr(calculs!BM92)</f>
        <v>#NAME?</v>
      </c>
      <c r="D92" s="535" t="e">
        <f ca="1">gr(calculs!BN92)</f>
        <v>#NAME?</v>
      </c>
      <c r="E92" s="535" t="e">
        <f ca="1">gr(calculs!BO92)</f>
        <v>#NAME?</v>
      </c>
      <c r="F92" s="535" t="e">
        <f ca="1">gr(calculs!BP92)</f>
        <v>#NAME?</v>
      </c>
      <c r="G92" s="535" t="e">
        <f ca="1">gr(calculs!BQ92)</f>
        <v>#NAME?</v>
      </c>
      <c r="H92" s="535" t="e">
        <f ca="1">gr(calculs!BR92)</f>
        <v>#NAME?</v>
      </c>
      <c r="I92" s="535"/>
      <c r="J92" s="535" t="e">
        <f>NA()</f>
        <v>#N/A</v>
      </c>
      <c r="K92" s="535" t="e">
        <f>NA()</f>
        <v>#N/A</v>
      </c>
      <c r="L92" s="535" t="e">
        <f>NA()</f>
        <v>#N/A</v>
      </c>
      <c r="M92" s="535" t="e">
        <f>NA()</f>
        <v>#N/A</v>
      </c>
      <c r="N92" s="535" t="e">
        <f>NA()</f>
        <v>#N/A</v>
      </c>
      <c r="O92" s="535" t="e">
        <f>NA()</f>
        <v>#N/A</v>
      </c>
      <c r="P92" s="535" t="e">
        <f>NA()</f>
        <v>#N/A</v>
      </c>
    </row>
    <row r="93" spans="1:16" x14ac:dyDescent="0.2">
      <c r="A93" s="222">
        <f>calculs!A93</f>
        <v>44644</v>
      </c>
      <c r="B93" s="535" t="e">
        <f ca="1">gr(calculs!BL93)</f>
        <v>#NAME?</v>
      </c>
      <c r="C93" s="535" t="e">
        <f ca="1">gr(calculs!BM93)</f>
        <v>#NAME?</v>
      </c>
      <c r="D93" s="535" t="e">
        <f ca="1">gr(calculs!BN93)</f>
        <v>#NAME?</v>
      </c>
      <c r="E93" s="535" t="e">
        <f ca="1">gr(calculs!BO93)</f>
        <v>#NAME?</v>
      </c>
      <c r="F93" s="535" t="e">
        <f ca="1">gr(calculs!BP93)</f>
        <v>#NAME?</v>
      </c>
      <c r="G93" s="535" t="e">
        <f ca="1">gr(calculs!BQ93)</f>
        <v>#NAME?</v>
      </c>
      <c r="H93" s="535" t="e">
        <f ca="1">gr(calculs!BR93)</f>
        <v>#NAME?</v>
      </c>
      <c r="I93" s="535"/>
      <c r="J93" s="535" t="e">
        <f>NA()</f>
        <v>#N/A</v>
      </c>
      <c r="K93" s="535" t="e">
        <f>NA()</f>
        <v>#N/A</v>
      </c>
      <c r="L93" s="535" t="e">
        <f>NA()</f>
        <v>#N/A</v>
      </c>
      <c r="M93" s="535" t="e">
        <f>NA()</f>
        <v>#N/A</v>
      </c>
      <c r="N93" s="535" t="e">
        <f>NA()</f>
        <v>#N/A</v>
      </c>
      <c r="O93" s="535" t="e">
        <f>NA()</f>
        <v>#N/A</v>
      </c>
      <c r="P93" s="535" t="e">
        <f>NA()</f>
        <v>#N/A</v>
      </c>
    </row>
    <row r="94" spans="1:16" x14ac:dyDescent="0.2">
      <c r="A94" s="222">
        <f>calculs!A94</f>
        <v>44645</v>
      </c>
      <c r="B94" s="535" t="e">
        <f ca="1">gr(calculs!BL94)</f>
        <v>#NAME?</v>
      </c>
      <c r="C94" s="535" t="e">
        <f ca="1">gr(calculs!BM94)</f>
        <v>#NAME?</v>
      </c>
      <c r="D94" s="535" t="e">
        <f ca="1">gr(calculs!BN94)</f>
        <v>#NAME?</v>
      </c>
      <c r="E94" s="535" t="e">
        <f ca="1">gr(calculs!BO94)</f>
        <v>#NAME?</v>
      </c>
      <c r="F94" s="535" t="e">
        <f ca="1">gr(calculs!BP94)</f>
        <v>#NAME?</v>
      </c>
      <c r="G94" s="535" t="e">
        <f ca="1">gr(calculs!BQ94)</f>
        <v>#NAME?</v>
      </c>
      <c r="H94" s="535" t="e">
        <f ca="1">gr(calculs!BR94)</f>
        <v>#NAME?</v>
      </c>
      <c r="I94" s="535"/>
      <c r="J94" s="535" t="e">
        <f>NA()</f>
        <v>#N/A</v>
      </c>
      <c r="K94" s="535" t="e">
        <f>NA()</f>
        <v>#N/A</v>
      </c>
      <c r="L94" s="535" t="e">
        <f>NA()</f>
        <v>#N/A</v>
      </c>
      <c r="M94" s="535" t="e">
        <f>NA()</f>
        <v>#N/A</v>
      </c>
      <c r="N94" s="535" t="e">
        <f>NA()</f>
        <v>#N/A</v>
      </c>
      <c r="O94" s="535" t="e">
        <f>NA()</f>
        <v>#N/A</v>
      </c>
      <c r="P94" s="535" t="e">
        <f>NA()</f>
        <v>#N/A</v>
      </c>
    </row>
    <row r="95" spans="1:16" x14ac:dyDescent="0.2">
      <c r="A95" s="222">
        <f>calculs!A95</f>
        <v>44646</v>
      </c>
      <c r="B95" s="535" t="e">
        <f ca="1">gr(calculs!BL95)</f>
        <v>#NAME?</v>
      </c>
      <c r="C95" s="535" t="e">
        <f ca="1">gr(calculs!BM95)</f>
        <v>#NAME?</v>
      </c>
      <c r="D95" s="535" t="e">
        <f ca="1">gr(calculs!BN95)</f>
        <v>#NAME?</v>
      </c>
      <c r="E95" s="535" t="e">
        <f ca="1">gr(calculs!BO95)</f>
        <v>#NAME?</v>
      </c>
      <c r="F95" s="535" t="e">
        <f ca="1">gr(calculs!BP95)</f>
        <v>#NAME?</v>
      </c>
      <c r="G95" s="535" t="e">
        <f ca="1">gr(calculs!BQ95)</f>
        <v>#NAME?</v>
      </c>
      <c r="H95" s="535" t="e">
        <f ca="1">gr(calculs!BR95)</f>
        <v>#NAME?</v>
      </c>
      <c r="I95" s="535"/>
      <c r="J95" s="535" t="e">
        <f>NA()</f>
        <v>#N/A</v>
      </c>
      <c r="K95" s="535" t="e">
        <f>NA()</f>
        <v>#N/A</v>
      </c>
      <c r="L95" s="535" t="e">
        <f>NA()</f>
        <v>#N/A</v>
      </c>
      <c r="M95" s="535" t="e">
        <f>NA()</f>
        <v>#N/A</v>
      </c>
      <c r="N95" s="535" t="e">
        <f>NA()</f>
        <v>#N/A</v>
      </c>
      <c r="O95" s="535" t="e">
        <f>NA()</f>
        <v>#N/A</v>
      </c>
      <c r="P95" s="535" t="e">
        <f>NA()</f>
        <v>#N/A</v>
      </c>
    </row>
    <row r="96" spans="1:16" x14ac:dyDescent="0.2">
      <c r="A96" s="222">
        <f>calculs!A96</f>
        <v>44647</v>
      </c>
      <c r="B96" s="535" t="e">
        <f ca="1">gr(calculs!BL96)</f>
        <v>#NAME?</v>
      </c>
      <c r="C96" s="535" t="e">
        <f ca="1">gr(calculs!BM96)</f>
        <v>#NAME?</v>
      </c>
      <c r="D96" s="535" t="e">
        <f ca="1">gr(calculs!BN96)</f>
        <v>#NAME?</v>
      </c>
      <c r="E96" s="535" t="e">
        <f ca="1">gr(calculs!BO96)</f>
        <v>#NAME?</v>
      </c>
      <c r="F96" s="535" t="e">
        <f ca="1">gr(calculs!BP96)</f>
        <v>#NAME?</v>
      </c>
      <c r="G96" s="535" t="e">
        <f ca="1">gr(calculs!BQ96)</f>
        <v>#NAME?</v>
      </c>
      <c r="H96" s="535" t="e">
        <f ca="1">gr(calculs!BR96)</f>
        <v>#NAME?</v>
      </c>
      <c r="I96" s="535"/>
      <c r="J96" s="535" t="e">
        <f>NA()</f>
        <v>#N/A</v>
      </c>
      <c r="K96" s="535" t="e">
        <f>NA()</f>
        <v>#N/A</v>
      </c>
      <c r="L96" s="535" t="e">
        <f>NA()</f>
        <v>#N/A</v>
      </c>
      <c r="M96" s="535" t="e">
        <f>NA()</f>
        <v>#N/A</v>
      </c>
      <c r="N96" s="535" t="e">
        <f>NA()</f>
        <v>#N/A</v>
      </c>
      <c r="O96" s="535" t="e">
        <f>NA()</f>
        <v>#N/A</v>
      </c>
      <c r="P96" s="535" t="e">
        <f>NA()</f>
        <v>#N/A</v>
      </c>
    </row>
    <row r="97" spans="1:16" x14ac:dyDescent="0.2">
      <c r="A97" s="222">
        <f>calculs!A97</f>
        <v>44648</v>
      </c>
      <c r="B97" s="535" t="e">
        <f ca="1">gr(calculs!BL97)</f>
        <v>#NAME?</v>
      </c>
      <c r="C97" s="535" t="e">
        <f ca="1">gr(calculs!BM97)</f>
        <v>#NAME?</v>
      </c>
      <c r="D97" s="535" t="e">
        <f ca="1">gr(calculs!BN97)</f>
        <v>#NAME?</v>
      </c>
      <c r="E97" s="535" t="e">
        <f ca="1">gr(calculs!BO97)</f>
        <v>#NAME?</v>
      </c>
      <c r="F97" s="535" t="e">
        <f ca="1">gr(calculs!BP97)</f>
        <v>#NAME?</v>
      </c>
      <c r="G97" s="535" t="e">
        <f ca="1">gr(calculs!BQ97)</f>
        <v>#NAME?</v>
      </c>
      <c r="H97" s="535" t="e">
        <f ca="1">gr(calculs!BR97)</f>
        <v>#NAME?</v>
      </c>
      <c r="I97" s="535"/>
      <c r="J97" s="535" t="e">
        <f>NA()</f>
        <v>#N/A</v>
      </c>
      <c r="K97" s="535" t="e">
        <f>NA()</f>
        <v>#N/A</v>
      </c>
      <c r="L97" s="535" t="e">
        <f>NA()</f>
        <v>#N/A</v>
      </c>
      <c r="M97" s="535" t="e">
        <f>NA()</f>
        <v>#N/A</v>
      </c>
      <c r="N97" s="535" t="e">
        <f>NA()</f>
        <v>#N/A</v>
      </c>
      <c r="O97" s="535" t="e">
        <f>NA()</f>
        <v>#N/A</v>
      </c>
      <c r="P97" s="535" t="e">
        <f>NA()</f>
        <v>#N/A</v>
      </c>
    </row>
    <row r="98" spans="1:16" x14ac:dyDescent="0.2">
      <c r="A98" s="222">
        <f>calculs!A98</f>
        <v>44649</v>
      </c>
      <c r="B98" s="535" t="e">
        <f ca="1">gr(calculs!BL98)</f>
        <v>#NAME?</v>
      </c>
      <c r="C98" s="535" t="e">
        <f ca="1">gr(calculs!BM98)</f>
        <v>#NAME?</v>
      </c>
      <c r="D98" s="535" t="e">
        <f ca="1">gr(calculs!BN98)</f>
        <v>#NAME?</v>
      </c>
      <c r="E98" s="535" t="e">
        <f ca="1">gr(calculs!BO98)</f>
        <v>#NAME?</v>
      </c>
      <c r="F98" s="535" t="e">
        <f ca="1">gr(calculs!BP98)</f>
        <v>#NAME?</v>
      </c>
      <c r="G98" s="535" t="e">
        <f ca="1">gr(calculs!BQ98)</f>
        <v>#NAME?</v>
      </c>
      <c r="H98" s="535" t="e">
        <f ca="1">gr(calculs!BR98)</f>
        <v>#NAME?</v>
      </c>
      <c r="I98" s="535"/>
      <c r="J98" s="535" t="e">
        <f>NA()</f>
        <v>#N/A</v>
      </c>
      <c r="K98" s="535" t="e">
        <f>NA()</f>
        <v>#N/A</v>
      </c>
      <c r="L98" s="535" t="e">
        <f>NA()</f>
        <v>#N/A</v>
      </c>
      <c r="M98" s="535" t="e">
        <f>NA()</f>
        <v>#N/A</v>
      </c>
      <c r="N98" s="535" t="e">
        <f>NA()</f>
        <v>#N/A</v>
      </c>
      <c r="O98" s="535" t="e">
        <f>NA()</f>
        <v>#N/A</v>
      </c>
      <c r="P98" s="535" t="e">
        <f>NA()</f>
        <v>#N/A</v>
      </c>
    </row>
    <row r="99" spans="1:16" x14ac:dyDescent="0.2">
      <c r="A99" s="222">
        <f>calculs!A99</f>
        <v>44650</v>
      </c>
      <c r="B99" s="535" t="e">
        <f ca="1">gr(calculs!BL99)</f>
        <v>#NAME?</v>
      </c>
      <c r="C99" s="535" t="e">
        <f ca="1">gr(calculs!BM99)</f>
        <v>#NAME?</v>
      </c>
      <c r="D99" s="535" t="e">
        <f ca="1">gr(calculs!BN99)</f>
        <v>#NAME?</v>
      </c>
      <c r="E99" s="535" t="e">
        <f ca="1">gr(calculs!BO99)</f>
        <v>#NAME?</v>
      </c>
      <c r="F99" s="535" t="e">
        <f ca="1">gr(calculs!BP99)</f>
        <v>#NAME?</v>
      </c>
      <c r="G99" s="535" t="e">
        <f ca="1">gr(calculs!BQ99)</f>
        <v>#NAME?</v>
      </c>
      <c r="H99" s="535" t="e">
        <f ca="1">gr(calculs!BR99)</f>
        <v>#NAME?</v>
      </c>
      <c r="I99" s="535"/>
      <c r="J99" s="535" t="e">
        <f>NA()</f>
        <v>#N/A</v>
      </c>
      <c r="K99" s="535" t="e">
        <f>NA()</f>
        <v>#N/A</v>
      </c>
      <c r="L99" s="535" t="e">
        <f>NA()</f>
        <v>#N/A</v>
      </c>
      <c r="M99" s="535" t="e">
        <f>NA()</f>
        <v>#N/A</v>
      </c>
      <c r="N99" s="535" t="e">
        <f>NA()</f>
        <v>#N/A</v>
      </c>
      <c r="O99" s="535" t="e">
        <f>NA()</f>
        <v>#N/A</v>
      </c>
      <c r="P99" s="535" t="e">
        <f>NA()</f>
        <v>#N/A</v>
      </c>
    </row>
    <row r="100" spans="1:16" x14ac:dyDescent="0.2">
      <c r="A100" s="222">
        <f>calculs!A100</f>
        <v>44651</v>
      </c>
      <c r="B100" s="535" t="e">
        <f ca="1">gr(calculs!BL100)</f>
        <v>#NAME?</v>
      </c>
      <c r="C100" s="535" t="e">
        <f ca="1">gr(calculs!BM100)</f>
        <v>#NAME?</v>
      </c>
      <c r="D100" s="535" t="e">
        <f ca="1">gr(calculs!BN100)</f>
        <v>#NAME?</v>
      </c>
      <c r="E100" s="535" t="e">
        <f ca="1">gr(calculs!BO100)</f>
        <v>#NAME?</v>
      </c>
      <c r="F100" s="535" t="e">
        <f ca="1">gr(calculs!BP100)</f>
        <v>#NAME?</v>
      </c>
      <c r="G100" s="535" t="e">
        <f ca="1">gr(calculs!BQ100)</f>
        <v>#NAME?</v>
      </c>
      <c r="H100" s="535" t="e">
        <f ca="1">gr(calculs!BR100)</f>
        <v>#NAME?</v>
      </c>
      <c r="I100" s="535"/>
      <c r="J100" s="535" t="e">
        <f>NA()</f>
        <v>#N/A</v>
      </c>
      <c r="K100" s="535" t="e">
        <f>NA()</f>
        <v>#N/A</v>
      </c>
      <c r="L100" s="535" t="e">
        <f>NA()</f>
        <v>#N/A</v>
      </c>
      <c r="M100" s="535" t="e">
        <f>NA()</f>
        <v>#N/A</v>
      </c>
      <c r="N100" s="535" t="e">
        <f>NA()</f>
        <v>#N/A</v>
      </c>
      <c r="O100" s="535" t="e">
        <f>NA()</f>
        <v>#N/A</v>
      </c>
      <c r="P100" s="535" t="e">
        <f>NA()</f>
        <v>#N/A</v>
      </c>
    </row>
    <row r="101" spans="1:16" x14ac:dyDescent="0.2">
      <c r="A101" s="222">
        <f>calculs!A101</f>
        <v>44652</v>
      </c>
      <c r="B101" s="535" t="e">
        <f ca="1">gr(calculs!BL101)</f>
        <v>#NAME?</v>
      </c>
      <c r="C101" s="535" t="e">
        <f ca="1">gr(calculs!BM101)</f>
        <v>#NAME?</v>
      </c>
      <c r="D101" s="535" t="e">
        <f ca="1">gr(calculs!BN101)</f>
        <v>#NAME?</v>
      </c>
      <c r="E101" s="535" t="e">
        <f ca="1">gr(calculs!BO101)</f>
        <v>#NAME?</v>
      </c>
      <c r="F101" s="535" t="e">
        <f ca="1">gr(calculs!BP101)</f>
        <v>#NAME?</v>
      </c>
      <c r="G101" s="535" t="e">
        <f ca="1">gr(calculs!BQ101)</f>
        <v>#NAME?</v>
      </c>
      <c r="H101" s="535" t="e">
        <f ca="1">gr(calculs!BR101)</f>
        <v>#NAME?</v>
      </c>
      <c r="I101" s="535"/>
      <c r="J101" s="535" t="e">
        <f>NA()</f>
        <v>#N/A</v>
      </c>
      <c r="K101" s="535" t="e">
        <f>NA()</f>
        <v>#N/A</v>
      </c>
      <c r="L101" s="535" t="e">
        <f>NA()</f>
        <v>#N/A</v>
      </c>
      <c r="M101" s="535" t="e">
        <f>NA()</f>
        <v>#N/A</v>
      </c>
      <c r="N101" s="535" t="e">
        <f>NA()</f>
        <v>#N/A</v>
      </c>
      <c r="O101" s="535" t="e">
        <f>NA()</f>
        <v>#N/A</v>
      </c>
      <c r="P101" s="535" t="e">
        <f>NA()</f>
        <v>#N/A</v>
      </c>
    </row>
    <row r="102" spans="1:16" x14ac:dyDescent="0.2">
      <c r="A102" s="222">
        <f>calculs!A102</f>
        <v>44653</v>
      </c>
      <c r="B102" s="535" t="e">
        <f ca="1">gr(calculs!BL102)</f>
        <v>#NAME?</v>
      </c>
      <c r="C102" s="535" t="e">
        <f ca="1">gr(calculs!BM102)</f>
        <v>#NAME?</v>
      </c>
      <c r="D102" s="535" t="e">
        <f ca="1">gr(calculs!BN102)</f>
        <v>#NAME?</v>
      </c>
      <c r="E102" s="535" t="e">
        <f ca="1">gr(calculs!BO102)</f>
        <v>#NAME?</v>
      </c>
      <c r="F102" s="535" t="e">
        <f ca="1">gr(calculs!BP102)</f>
        <v>#NAME?</v>
      </c>
      <c r="G102" s="535" t="e">
        <f ca="1">gr(calculs!BQ102)</f>
        <v>#NAME?</v>
      </c>
      <c r="H102" s="535" t="e">
        <f ca="1">gr(calculs!BR102)</f>
        <v>#NAME?</v>
      </c>
      <c r="I102" s="535"/>
      <c r="J102" s="535" t="e">
        <f>NA()</f>
        <v>#N/A</v>
      </c>
      <c r="K102" s="535" t="e">
        <f>NA()</f>
        <v>#N/A</v>
      </c>
      <c r="L102" s="535" t="e">
        <f>NA()</f>
        <v>#N/A</v>
      </c>
      <c r="M102" s="535" t="e">
        <f>NA()</f>
        <v>#N/A</v>
      </c>
      <c r="N102" s="535" t="e">
        <f>NA()</f>
        <v>#N/A</v>
      </c>
      <c r="O102" s="535" t="e">
        <f>NA()</f>
        <v>#N/A</v>
      </c>
      <c r="P102" s="535" t="e">
        <f>NA()</f>
        <v>#N/A</v>
      </c>
    </row>
    <row r="103" spans="1:16" x14ac:dyDescent="0.2">
      <c r="A103" s="222">
        <f>calculs!A103</f>
        <v>44654</v>
      </c>
      <c r="B103" s="535" t="e">
        <f ca="1">gr(calculs!BL103)</f>
        <v>#NAME?</v>
      </c>
      <c r="C103" s="535" t="e">
        <f ca="1">gr(calculs!BM103)</f>
        <v>#NAME?</v>
      </c>
      <c r="D103" s="535" t="e">
        <f ca="1">gr(calculs!BN103)</f>
        <v>#NAME?</v>
      </c>
      <c r="E103" s="535" t="e">
        <f ca="1">gr(calculs!BO103)</f>
        <v>#NAME?</v>
      </c>
      <c r="F103" s="535" t="e">
        <f ca="1">gr(calculs!BP103)</f>
        <v>#NAME?</v>
      </c>
      <c r="G103" s="535" t="e">
        <f ca="1">gr(calculs!BQ103)</f>
        <v>#NAME?</v>
      </c>
      <c r="H103" s="535" t="e">
        <f ca="1">gr(calculs!BR103)</f>
        <v>#NAME?</v>
      </c>
      <c r="I103" s="535"/>
      <c r="J103" s="535" t="e">
        <f>NA()</f>
        <v>#N/A</v>
      </c>
      <c r="K103" s="535" t="e">
        <f>NA()</f>
        <v>#N/A</v>
      </c>
      <c r="L103" s="535" t="e">
        <f>NA()</f>
        <v>#N/A</v>
      </c>
      <c r="M103" s="535" t="e">
        <f>NA()</f>
        <v>#N/A</v>
      </c>
      <c r="N103" s="535" t="e">
        <f>NA()</f>
        <v>#N/A</v>
      </c>
      <c r="O103" s="535" t="e">
        <f>NA()</f>
        <v>#N/A</v>
      </c>
      <c r="P103" s="535" t="e">
        <f>NA()</f>
        <v>#N/A</v>
      </c>
    </row>
    <row r="104" spans="1:16" x14ac:dyDescent="0.2">
      <c r="A104" s="222">
        <f>calculs!A104</f>
        <v>44655</v>
      </c>
      <c r="B104" s="535" t="e">
        <f ca="1">gr(calculs!BL104)</f>
        <v>#NAME?</v>
      </c>
      <c r="C104" s="535" t="e">
        <f ca="1">gr(calculs!BM104)</f>
        <v>#NAME?</v>
      </c>
      <c r="D104" s="535" t="e">
        <f ca="1">gr(calculs!BN104)</f>
        <v>#NAME?</v>
      </c>
      <c r="E104" s="535" t="e">
        <f ca="1">gr(calculs!BO104)</f>
        <v>#NAME?</v>
      </c>
      <c r="F104" s="535" t="e">
        <f ca="1">gr(calculs!BP104)</f>
        <v>#NAME?</v>
      </c>
      <c r="G104" s="535" t="e">
        <f ca="1">gr(calculs!BQ104)</f>
        <v>#NAME?</v>
      </c>
      <c r="H104" s="535" t="e">
        <f ca="1">gr(calculs!BR104)</f>
        <v>#NAME?</v>
      </c>
      <c r="I104" s="535"/>
      <c r="J104" s="535" t="e">
        <f>NA()</f>
        <v>#N/A</v>
      </c>
      <c r="K104" s="535" t="e">
        <f>NA()</f>
        <v>#N/A</v>
      </c>
      <c r="L104" s="535" t="e">
        <f>NA()</f>
        <v>#N/A</v>
      </c>
      <c r="M104" s="535" t="e">
        <f>NA()</f>
        <v>#N/A</v>
      </c>
      <c r="N104" s="535" t="e">
        <f>NA()</f>
        <v>#N/A</v>
      </c>
      <c r="O104" s="535" t="e">
        <f>NA()</f>
        <v>#N/A</v>
      </c>
      <c r="P104" s="535" t="e">
        <f>NA()</f>
        <v>#N/A</v>
      </c>
    </row>
    <row r="105" spans="1:16" x14ac:dyDescent="0.2">
      <c r="A105" s="222">
        <f>calculs!A105</f>
        <v>44656</v>
      </c>
      <c r="B105" s="535" t="e">
        <f ca="1">gr(calculs!BL105)</f>
        <v>#NAME?</v>
      </c>
      <c r="C105" s="535" t="e">
        <f ca="1">gr(calculs!BM105)</f>
        <v>#NAME?</v>
      </c>
      <c r="D105" s="535" t="e">
        <f ca="1">gr(calculs!BN105)</f>
        <v>#NAME?</v>
      </c>
      <c r="E105" s="535" t="e">
        <f ca="1">gr(calculs!BO105)</f>
        <v>#NAME?</v>
      </c>
      <c r="F105" s="535" t="e">
        <f ca="1">gr(calculs!BP105)</f>
        <v>#NAME?</v>
      </c>
      <c r="G105" s="535" t="e">
        <f ca="1">gr(calculs!BQ105)</f>
        <v>#NAME?</v>
      </c>
      <c r="H105" s="535" t="e">
        <f ca="1">gr(calculs!BR105)</f>
        <v>#NAME?</v>
      </c>
      <c r="I105" s="535"/>
      <c r="J105" s="535" t="e">
        <f>NA()</f>
        <v>#N/A</v>
      </c>
      <c r="K105" s="535" t="e">
        <f>NA()</f>
        <v>#N/A</v>
      </c>
      <c r="L105" s="535" t="e">
        <f>NA()</f>
        <v>#N/A</v>
      </c>
      <c r="M105" s="535" t="e">
        <f>NA()</f>
        <v>#N/A</v>
      </c>
      <c r="N105" s="535" t="e">
        <f>NA()</f>
        <v>#N/A</v>
      </c>
      <c r="O105" s="535" t="e">
        <f>NA()</f>
        <v>#N/A</v>
      </c>
      <c r="P105" s="535" t="e">
        <f>NA()</f>
        <v>#N/A</v>
      </c>
    </row>
    <row r="106" spans="1:16" x14ac:dyDescent="0.2">
      <c r="A106" s="222">
        <f>calculs!A106</f>
        <v>44657</v>
      </c>
      <c r="B106" s="535" t="e">
        <f ca="1">gr(calculs!BL106)</f>
        <v>#NAME?</v>
      </c>
      <c r="C106" s="535" t="e">
        <f ca="1">gr(calculs!BM106)</f>
        <v>#NAME?</v>
      </c>
      <c r="D106" s="535" t="e">
        <f ca="1">gr(calculs!BN106)</f>
        <v>#NAME?</v>
      </c>
      <c r="E106" s="535" t="e">
        <f ca="1">gr(calculs!BO106)</f>
        <v>#NAME?</v>
      </c>
      <c r="F106" s="535" t="e">
        <f ca="1">gr(calculs!BP106)</f>
        <v>#NAME?</v>
      </c>
      <c r="G106" s="535" t="e">
        <f ca="1">gr(calculs!BQ106)</f>
        <v>#NAME?</v>
      </c>
      <c r="H106" s="535" t="e">
        <f ca="1">gr(calculs!BR106)</f>
        <v>#NAME?</v>
      </c>
      <c r="I106" s="535"/>
      <c r="J106" s="535" t="e">
        <f>NA()</f>
        <v>#N/A</v>
      </c>
      <c r="K106" s="535" t="e">
        <f>NA()</f>
        <v>#N/A</v>
      </c>
      <c r="L106" s="535" t="e">
        <f>NA()</f>
        <v>#N/A</v>
      </c>
      <c r="M106" s="535" t="e">
        <f>NA()</f>
        <v>#N/A</v>
      </c>
      <c r="N106" s="535" t="e">
        <f>NA()</f>
        <v>#N/A</v>
      </c>
      <c r="O106" s="535" t="e">
        <f>NA()</f>
        <v>#N/A</v>
      </c>
      <c r="P106" s="535" t="e">
        <f>NA()</f>
        <v>#N/A</v>
      </c>
    </row>
    <row r="107" spans="1:16" x14ac:dyDescent="0.2">
      <c r="A107" s="222">
        <f>calculs!A107</f>
        <v>44658</v>
      </c>
      <c r="B107" s="535" t="e">
        <f ca="1">gr(calculs!BL107)</f>
        <v>#NAME?</v>
      </c>
      <c r="C107" s="535" t="e">
        <f ca="1">gr(calculs!BM107)</f>
        <v>#NAME?</v>
      </c>
      <c r="D107" s="535" t="e">
        <f ca="1">gr(calculs!BN107)</f>
        <v>#NAME?</v>
      </c>
      <c r="E107" s="535" t="e">
        <f ca="1">gr(calculs!BO107)</f>
        <v>#NAME?</v>
      </c>
      <c r="F107" s="535" t="e">
        <f ca="1">gr(calculs!BP107)</f>
        <v>#NAME?</v>
      </c>
      <c r="G107" s="535" t="e">
        <f ca="1">gr(calculs!BQ107)</f>
        <v>#NAME?</v>
      </c>
      <c r="H107" s="535" t="e">
        <f ca="1">gr(calculs!BR107)</f>
        <v>#NAME?</v>
      </c>
      <c r="I107" s="535"/>
      <c r="J107" s="535" t="e">
        <f>NA()</f>
        <v>#N/A</v>
      </c>
      <c r="K107" s="535" t="e">
        <f>NA()</f>
        <v>#N/A</v>
      </c>
      <c r="L107" s="535" t="e">
        <f>NA()</f>
        <v>#N/A</v>
      </c>
      <c r="M107" s="535" t="e">
        <f>NA()</f>
        <v>#N/A</v>
      </c>
      <c r="N107" s="535" t="e">
        <f>NA()</f>
        <v>#N/A</v>
      </c>
      <c r="O107" s="535" t="e">
        <f>NA()</f>
        <v>#N/A</v>
      </c>
      <c r="P107" s="535" t="e">
        <f>NA()</f>
        <v>#N/A</v>
      </c>
    </row>
    <row r="108" spans="1:16" x14ac:dyDescent="0.2">
      <c r="A108" s="222">
        <f>calculs!A108</f>
        <v>44659</v>
      </c>
      <c r="B108" s="535" t="e">
        <f ca="1">gr(calculs!BL108)</f>
        <v>#NAME?</v>
      </c>
      <c r="C108" s="535" t="e">
        <f ca="1">gr(calculs!BM108)</f>
        <v>#NAME?</v>
      </c>
      <c r="D108" s="535" t="e">
        <f ca="1">gr(calculs!BN108)</f>
        <v>#NAME?</v>
      </c>
      <c r="E108" s="535" t="e">
        <f ca="1">gr(calculs!BO108)</f>
        <v>#NAME?</v>
      </c>
      <c r="F108" s="535" t="e">
        <f ca="1">gr(calculs!BP108)</f>
        <v>#NAME?</v>
      </c>
      <c r="G108" s="535" t="e">
        <f ca="1">gr(calculs!BQ108)</f>
        <v>#NAME?</v>
      </c>
      <c r="H108" s="535" t="e">
        <f ca="1">gr(calculs!BR108)</f>
        <v>#NAME?</v>
      </c>
      <c r="I108" s="535"/>
      <c r="J108" s="535" t="e">
        <f>NA()</f>
        <v>#N/A</v>
      </c>
      <c r="K108" s="535" t="e">
        <f>NA()</f>
        <v>#N/A</v>
      </c>
      <c r="L108" s="535" t="e">
        <f>NA()</f>
        <v>#N/A</v>
      </c>
      <c r="M108" s="535" t="e">
        <f>NA()</f>
        <v>#N/A</v>
      </c>
      <c r="N108" s="535" t="e">
        <f>NA()</f>
        <v>#N/A</v>
      </c>
      <c r="O108" s="535" t="e">
        <f>NA()</f>
        <v>#N/A</v>
      </c>
      <c r="P108" s="535" t="e">
        <f>NA()</f>
        <v>#N/A</v>
      </c>
    </row>
    <row r="109" spans="1:16" x14ac:dyDescent="0.2">
      <c r="A109" s="222">
        <f>calculs!A109</f>
        <v>44660</v>
      </c>
      <c r="B109" s="535" t="e">
        <f ca="1">gr(calculs!BL109)</f>
        <v>#NAME?</v>
      </c>
      <c r="C109" s="535" t="e">
        <f ca="1">gr(calculs!BM109)</f>
        <v>#NAME?</v>
      </c>
      <c r="D109" s="535" t="e">
        <f ca="1">gr(calculs!BN109)</f>
        <v>#NAME?</v>
      </c>
      <c r="E109" s="535" t="e">
        <f ca="1">gr(calculs!BO109)</f>
        <v>#NAME?</v>
      </c>
      <c r="F109" s="535" t="e">
        <f ca="1">gr(calculs!BP109)</f>
        <v>#NAME?</v>
      </c>
      <c r="G109" s="535" t="e">
        <f ca="1">gr(calculs!BQ109)</f>
        <v>#NAME?</v>
      </c>
      <c r="H109" s="535" t="e">
        <f ca="1">gr(calculs!BR109)</f>
        <v>#NAME?</v>
      </c>
      <c r="I109" s="535"/>
      <c r="J109" s="535" t="e">
        <f>NA()</f>
        <v>#N/A</v>
      </c>
      <c r="K109" s="535" t="e">
        <f>NA()</f>
        <v>#N/A</v>
      </c>
      <c r="L109" s="535" t="e">
        <f>NA()</f>
        <v>#N/A</v>
      </c>
      <c r="M109" s="535" t="e">
        <f>NA()</f>
        <v>#N/A</v>
      </c>
      <c r="N109" s="535" t="e">
        <f>NA()</f>
        <v>#N/A</v>
      </c>
      <c r="O109" s="535" t="e">
        <f>NA()</f>
        <v>#N/A</v>
      </c>
      <c r="P109" s="535" t="e">
        <f>NA()</f>
        <v>#N/A</v>
      </c>
    </row>
    <row r="110" spans="1:16" x14ac:dyDescent="0.2">
      <c r="A110" s="222">
        <f>calculs!A110</f>
        <v>44661</v>
      </c>
      <c r="B110" s="535" t="e">
        <f ca="1">gr(calculs!BL110)</f>
        <v>#NAME?</v>
      </c>
      <c r="C110" s="535" t="e">
        <f ca="1">gr(calculs!BM110)</f>
        <v>#NAME?</v>
      </c>
      <c r="D110" s="535" t="e">
        <f ca="1">gr(calculs!BN110)</f>
        <v>#NAME?</v>
      </c>
      <c r="E110" s="535" t="e">
        <f ca="1">gr(calculs!BO110)</f>
        <v>#NAME?</v>
      </c>
      <c r="F110" s="535" t="e">
        <f ca="1">gr(calculs!BP110)</f>
        <v>#NAME?</v>
      </c>
      <c r="G110" s="535" t="e">
        <f ca="1">gr(calculs!BQ110)</f>
        <v>#NAME?</v>
      </c>
      <c r="H110" s="535" t="e">
        <f ca="1">gr(calculs!BR110)</f>
        <v>#NAME?</v>
      </c>
      <c r="I110" s="535"/>
      <c r="J110" s="535" t="e">
        <f>NA()</f>
        <v>#N/A</v>
      </c>
      <c r="K110" s="535" t="e">
        <f>NA()</f>
        <v>#N/A</v>
      </c>
      <c r="L110" s="535" t="e">
        <f>NA()</f>
        <v>#N/A</v>
      </c>
      <c r="M110" s="535" t="e">
        <f>NA()</f>
        <v>#N/A</v>
      </c>
      <c r="N110" s="535" t="e">
        <f>NA()</f>
        <v>#N/A</v>
      </c>
      <c r="O110" s="535" t="e">
        <f>NA()</f>
        <v>#N/A</v>
      </c>
      <c r="P110" s="535" t="e">
        <f>NA()</f>
        <v>#N/A</v>
      </c>
    </row>
    <row r="111" spans="1:16" x14ac:dyDescent="0.2">
      <c r="A111" s="222">
        <f>calculs!A111</f>
        <v>44662</v>
      </c>
      <c r="B111" s="535" t="e">
        <f ca="1">gr(calculs!BL111)</f>
        <v>#NAME?</v>
      </c>
      <c r="C111" s="535" t="e">
        <f ca="1">gr(calculs!BM111)</f>
        <v>#NAME?</v>
      </c>
      <c r="D111" s="535" t="e">
        <f ca="1">gr(calculs!BN111)</f>
        <v>#NAME?</v>
      </c>
      <c r="E111" s="535" t="e">
        <f ca="1">gr(calculs!BO111)</f>
        <v>#NAME?</v>
      </c>
      <c r="F111" s="535" t="e">
        <f ca="1">gr(calculs!BP111)</f>
        <v>#NAME?</v>
      </c>
      <c r="G111" s="535" t="e">
        <f ca="1">gr(calculs!BQ111)</f>
        <v>#NAME?</v>
      </c>
      <c r="H111" s="535" t="e">
        <f ca="1">gr(calculs!BR111)</f>
        <v>#NAME?</v>
      </c>
      <c r="I111" s="535"/>
      <c r="J111" s="535" t="e">
        <f>NA()</f>
        <v>#N/A</v>
      </c>
      <c r="K111" s="535" t="e">
        <f>NA()</f>
        <v>#N/A</v>
      </c>
      <c r="L111" s="535" t="e">
        <f>NA()</f>
        <v>#N/A</v>
      </c>
      <c r="M111" s="535" t="e">
        <f>NA()</f>
        <v>#N/A</v>
      </c>
      <c r="N111" s="535" t="e">
        <f>NA()</f>
        <v>#N/A</v>
      </c>
      <c r="O111" s="535" t="e">
        <f>NA()</f>
        <v>#N/A</v>
      </c>
      <c r="P111" s="535" t="e">
        <f>NA()</f>
        <v>#N/A</v>
      </c>
    </row>
    <row r="112" spans="1:16" x14ac:dyDescent="0.2">
      <c r="A112" s="222">
        <f>calculs!A112</f>
        <v>44663</v>
      </c>
      <c r="B112" s="535" t="e">
        <f ca="1">gr(calculs!BL112)</f>
        <v>#NAME?</v>
      </c>
      <c r="C112" s="535" t="e">
        <f ca="1">gr(calculs!BM112)</f>
        <v>#NAME?</v>
      </c>
      <c r="D112" s="535" t="e">
        <f ca="1">gr(calculs!BN112)</f>
        <v>#NAME?</v>
      </c>
      <c r="E112" s="535" t="e">
        <f ca="1">gr(calculs!BO112)</f>
        <v>#NAME?</v>
      </c>
      <c r="F112" s="535" t="e">
        <f ca="1">gr(calculs!BP112)</f>
        <v>#NAME?</v>
      </c>
      <c r="G112" s="535" t="e">
        <f ca="1">gr(calculs!BQ112)</f>
        <v>#NAME?</v>
      </c>
      <c r="H112" s="535" t="e">
        <f ca="1">gr(calculs!BR112)</f>
        <v>#NAME?</v>
      </c>
      <c r="I112" s="535"/>
      <c r="J112" s="535" t="e">
        <f>NA()</f>
        <v>#N/A</v>
      </c>
      <c r="K112" s="535" t="e">
        <f>NA()</f>
        <v>#N/A</v>
      </c>
      <c r="L112" s="535" t="e">
        <f>NA()</f>
        <v>#N/A</v>
      </c>
      <c r="M112" s="535" t="e">
        <f>NA()</f>
        <v>#N/A</v>
      </c>
      <c r="N112" s="535" t="e">
        <f>NA()</f>
        <v>#N/A</v>
      </c>
      <c r="O112" s="535" t="e">
        <f>NA()</f>
        <v>#N/A</v>
      </c>
      <c r="P112" s="535" t="e">
        <f>NA()</f>
        <v>#N/A</v>
      </c>
    </row>
    <row r="113" spans="1:16" x14ac:dyDescent="0.2">
      <c r="A113" s="222">
        <f>calculs!A113</f>
        <v>44664</v>
      </c>
      <c r="B113" s="535" t="e">
        <f ca="1">gr(calculs!BL113)</f>
        <v>#NAME?</v>
      </c>
      <c r="C113" s="535" t="e">
        <f ca="1">gr(calculs!BM113)</f>
        <v>#NAME?</v>
      </c>
      <c r="D113" s="535" t="e">
        <f ca="1">gr(calculs!BN113)</f>
        <v>#NAME?</v>
      </c>
      <c r="E113" s="535" t="e">
        <f ca="1">gr(calculs!BO113)</f>
        <v>#NAME?</v>
      </c>
      <c r="F113" s="535" t="e">
        <f ca="1">gr(calculs!BP113)</f>
        <v>#NAME?</v>
      </c>
      <c r="G113" s="535" t="e">
        <f ca="1">gr(calculs!BQ113)</f>
        <v>#NAME?</v>
      </c>
      <c r="H113" s="535" t="e">
        <f ca="1">gr(calculs!BR113)</f>
        <v>#NAME?</v>
      </c>
      <c r="I113" s="535"/>
      <c r="J113" s="535" t="e">
        <f>NA()</f>
        <v>#N/A</v>
      </c>
      <c r="K113" s="535" t="e">
        <f>NA()</f>
        <v>#N/A</v>
      </c>
      <c r="L113" s="535" t="e">
        <f>NA()</f>
        <v>#N/A</v>
      </c>
      <c r="M113" s="535" t="e">
        <f>NA()</f>
        <v>#N/A</v>
      </c>
      <c r="N113" s="535" t="e">
        <f>NA()</f>
        <v>#N/A</v>
      </c>
      <c r="O113" s="535" t="e">
        <f>NA()</f>
        <v>#N/A</v>
      </c>
      <c r="P113" s="535" t="e">
        <f>NA()</f>
        <v>#N/A</v>
      </c>
    </row>
    <row r="114" spans="1:16" x14ac:dyDescent="0.2">
      <c r="A114" s="222">
        <f>calculs!A114</f>
        <v>44665</v>
      </c>
      <c r="B114" s="535" t="e">
        <f ca="1">gr(calculs!BL114)</f>
        <v>#NAME?</v>
      </c>
      <c r="C114" s="535" t="e">
        <f ca="1">gr(calculs!BM114)</f>
        <v>#NAME?</v>
      </c>
      <c r="D114" s="535" t="e">
        <f ca="1">gr(calculs!BN114)</f>
        <v>#NAME?</v>
      </c>
      <c r="E114" s="535" t="e">
        <f ca="1">gr(calculs!BO114)</f>
        <v>#NAME?</v>
      </c>
      <c r="F114" s="535" t="e">
        <f ca="1">gr(calculs!BP114)</f>
        <v>#NAME?</v>
      </c>
      <c r="G114" s="535" t="e">
        <f ca="1">gr(calculs!BQ114)</f>
        <v>#NAME?</v>
      </c>
      <c r="H114" s="535" t="e">
        <f ca="1">gr(calculs!BR114)</f>
        <v>#NAME?</v>
      </c>
      <c r="I114" s="535"/>
      <c r="J114" s="535" t="e">
        <f>NA()</f>
        <v>#N/A</v>
      </c>
      <c r="K114" s="535" t="e">
        <f>NA()</f>
        <v>#N/A</v>
      </c>
      <c r="L114" s="535" t="e">
        <f>NA()</f>
        <v>#N/A</v>
      </c>
      <c r="M114" s="535" t="e">
        <f>NA()</f>
        <v>#N/A</v>
      </c>
      <c r="N114" s="535" t="e">
        <f>NA()</f>
        <v>#N/A</v>
      </c>
      <c r="O114" s="535" t="e">
        <f>NA()</f>
        <v>#N/A</v>
      </c>
      <c r="P114" s="535" t="e">
        <f>NA()</f>
        <v>#N/A</v>
      </c>
    </row>
    <row r="115" spans="1:16" x14ac:dyDescent="0.2">
      <c r="A115" s="222">
        <f>calculs!A115</f>
        <v>44666</v>
      </c>
      <c r="B115" s="535" t="e">
        <f ca="1">gr(calculs!BL115)</f>
        <v>#NAME?</v>
      </c>
      <c r="C115" s="535" t="e">
        <f ca="1">gr(calculs!BM115)</f>
        <v>#NAME?</v>
      </c>
      <c r="D115" s="535" t="e">
        <f ca="1">gr(calculs!BN115)</f>
        <v>#NAME?</v>
      </c>
      <c r="E115" s="535" t="e">
        <f ca="1">gr(calculs!BO115)</f>
        <v>#NAME?</v>
      </c>
      <c r="F115" s="535" t="e">
        <f ca="1">gr(calculs!BP115)</f>
        <v>#NAME?</v>
      </c>
      <c r="G115" s="535" t="e">
        <f ca="1">gr(calculs!BQ115)</f>
        <v>#NAME?</v>
      </c>
      <c r="H115" s="535" t="e">
        <f ca="1">gr(calculs!BR115)</f>
        <v>#NAME?</v>
      </c>
      <c r="I115" s="535"/>
      <c r="J115" s="535" t="e">
        <f>NA()</f>
        <v>#N/A</v>
      </c>
      <c r="K115" s="535" t="e">
        <f>NA()</f>
        <v>#N/A</v>
      </c>
      <c r="L115" s="535" t="e">
        <f>NA()</f>
        <v>#N/A</v>
      </c>
      <c r="M115" s="535" t="e">
        <f>NA()</f>
        <v>#N/A</v>
      </c>
      <c r="N115" s="535" t="e">
        <f>NA()</f>
        <v>#N/A</v>
      </c>
      <c r="O115" s="535" t="e">
        <f>NA()</f>
        <v>#N/A</v>
      </c>
      <c r="P115" s="535" t="e">
        <f>NA()</f>
        <v>#N/A</v>
      </c>
    </row>
    <row r="116" spans="1:16" x14ac:dyDescent="0.2">
      <c r="A116" s="222">
        <f>calculs!A116</f>
        <v>44667</v>
      </c>
      <c r="B116" s="535" t="e">
        <f ca="1">gr(calculs!BL116)</f>
        <v>#NAME?</v>
      </c>
      <c r="C116" s="535" t="e">
        <f ca="1">gr(calculs!BM116)</f>
        <v>#NAME?</v>
      </c>
      <c r="D116" s="535" t="e">
        <f ca="1">gr(calculs!BN116)</f>
        <v>#NAME?</v>
      </c>
      <c r="E116" s="535" t="e">
        <f ca="1">gr(calculs!BO116)</f>
        <v>#NAME?</v>
      </c>
      <c r="F116" s="535" t="e">
        <f ca="1">gr(calculs!BP116)</f>
        <v>#NAME?</v>
      </c>
      <c r="G116" s="535" t="e">
        <f ca="1">gr(calculs!BQ116)</f>
        <v>#NAME?</v>
      </c>
      <c r="H116" s="535" t="e">
        <f ca="1">gr(calculs!BR116)</f>
        <v>#NAME?</v>
      </c>
      <c r="I116" s="535"/>
      <c r="J116" s="535" t="e">
        <f>NA()</f>
        <v>#N/A</v>
      </c>
      <c r="K116" s="535" t="e">
        <f>NA()</f>
        <v>#N/A</v>
      </c>
      <c r="L116" s="535" t="e">
        <f>NA()</f>
        <v>#N/A</v>
      </c>
      <c r="M116" s="535" t="e">
        <f>NA()</f>
        <v>#N/A</v>
      </c>
      <c r="N116" s="535" t="e">
        <f>NA()</f>
        <v>#N/A</v>
      </c>
      <c r="O116" s="535" t="e">
        <f>NA()</f>
        <v>#N/A</v>
      </c>
      <c r="P116" s="535" t="e">
        <f>NA()</f>
        <v>#N/A</v>
      </c>
    </row>
    <row r="117" spans="1:16" x14ac:dyDescent="0.2">
      <c r="A117" s="222">
        <f>calculs!A117</f>
        <v>44668</v>
      </c>
      <c r="B117" s="535" t="e">
        <f ca="1">gr(calculs!BL117)</f>
        <v>#NAME?</v>
      </c>
      <c r="C117" s="535" t="e">
        <f ca="1">gr(calculs!BM117)</f>
        <v>#NAME?</v>
      </c>
      <c r="D117" s="535" t="e">
        <f ca="1">gr(calculs!BN117)</f>
        <v>#NAME?</v>
      </c>
      <c r="E117" s="535" t="e">
        <f ca="1">gr(calculs!BO117)</f>
        <v>#NAME?</v>
      </c>
      <c r="F117" s="535" t="e">
        <f ca="1">gr(calculs!BP117)</f>
        <v>#NAME?</v>
      </c>
      <c r="G117" s="535" t="e">
        <f ca="1">gr(calculs!BQ117)</f>
        <v>#NAME?</v>
      </c>
      <c r="H117" s="535" t="e">
        <f ca="1">gr(calculs!BR117)</f>
        <v>#NAME?</v>
      </c>
      <c r="I117" s="535"/>
      <c r="J117" s="535" t="e">
        <f>NA()</f>
        <v>#N/A</v>
      </c>
      <c r="K117" s="535" t="e">
        <f>NA()</f>
        <v>#N/A</v>
      </c>
      <c r="L117" s="535" t="e">
        <f>NA()</f>
        <v>#N/A</v>
      </c>
      <c r="M117" s="535" t="e">
        <f>NA()</f>
        <v>#N/A</v>
      </c>
      <c r="N117" s="535" t="e">
        <f>NA()</f>
        <v>#N/A</v>
      </c>
      <c r="O117" s="535" t="e">
        <f>NA()</f>
        <v>#N/A</v>
      </c>
      <c r="P117" s="535" t="e">
        <f>NA()</f>
        <v>#N/A</v>
      </c>
    </row>
    <row r="118" spans="1:16" x14ac:dyDescent="0.2">
      <c r="A118" s="222">
        <f>calculs!A118</f>
        <v>44669</v>
      </c>
      <c r="B118" s="535" t="e">
        <f ca="1">gr(calculs!BL118)</f>
        <v>#NAME?</v>
      </c>
      <c r="C118" s="535" t="e">
        <f ca="1">gr(calculs!BM118)</f>
        <v>#NAME?</v>
      </c>
      <c r="D118" s="535" t="e">
        <f ca="1">gr(calculs!BN118)</f>
        <v>#NAME?</v>
      </c>
      <c r="E118" s="535" t="e">
        <f ca="1">gr(calculs!BO118)</f>
        <v>#NAME?</v>
      </c>
      <c r="F118" s="535" t="e">
        <f ca="1">gr(calculs!BP118)</f>
        <v>#NAME?</v>
      </c>
      <c r="G118" s="535" t="e">
        <f ca="1">gr(calculs!BQ118)</f>
        <v>#NAME?</v>
      </c>
      <c r="H118" s="535" t="e">
        <f ca="1">gr(calculs!BR118)</f>
        <v>#NAME?</v>
      </c>
      <c r="I118" s="535"/>
      <c r="J118" s="535" t="e">
        <f>NA()</f>
        <v>#N/A</v>
      </c>
      <c r="K118" s="535" t="e">
        <f>NA()</f>
        <v>#N/A</v>
      </c>
      <c r="L118" s="535" t="e">
        <f>NA()</f>
        <v>#N/A</v>
      </c>
      <c r="M118" s="535" t="e">
        <f>NA()</f>
        <v>#N/A</v>
      </c>
      <c r="N118" s="535" t="e">
        <f>NA()</f>
        <v>#N/A</v>
      </c>
      <c r="O118" s="535" t="e">
        <f>NA()</f>
        <v>#N/A</v>
      </c>
      <c r="P118" s="535" t="e">
        <f>NA()</f>
        <v>#N/A</v>
      </c>
    </row>
    <row r="119" spans="1:16" x14ac:dyDescent="0.2">
      <c r="A119" s="222">
        <f>calculs!A119</f>
        <v>44670</v>
      </c>
      <c r="B119" s="535" t="e">
        <f ca="1">gr(calculs!BL119)</f>
        <v>#NAME?</v>
      </c>
      <c r="C119" s="535" t="e">
        <f ca="1">gr(calculs!BM119)</f>
        <v>#NAME?</v>
      </c>
      <c r="D119" s="535" t="e">
        <f ca="1">gr(calculs!BN119)</f>
        <v>#NAME?</v>
      </c>
      <c r="E119" s="535" t="e">
        <f ca="1">gr(calculs!BO119)</f>
        <v>#NAME?</v>
      </c>
      <c r="F119" s="535" t="e">
        <f ca="1">gr(calculs!BP119)</f>
        <v>#NAME?</v>
      </c>
      <c r="G119" s="535" t="e">
        <f ca="1">gr(calculs!BQ119)</f>
        <v>#NAME?</v>
      </c>
      <c r="H119" s="535" t="e">
        <f ca="1">gr(calculs!BR119)</f>
        <v>#NAME?</v>
      </c>
      <c r="I119" s="535"/>
      <c r="J119" s="535" t="e">
        <f>NA()</f>
        <v>#N/A</v>
      </c>
      <c r="K119" s="535" t="e">
        <f>NA()</f>
        <v>#N/A</v>
      </c>
      <c r="L119" s="535" t="e">
        <f>NA()</f>
        <v>#N/A</v>
      </c>
      <c r="M119" s="535" t="e">
        <f>NA()</f>
        <v>#N/A</v>
      </c>
      <c r="N119" s="535" t="e">
        <f>NA()</f>
        <v>#N/A</v>
      </c>
      <c r="O119" s="535" t="e">
        <f>NA()</f>
        <v>#N/A</v>
      </c>
      <c r="P119" s="535" t="e">
        <f>NA()</f>
        <v>#N/A</v>
      </c>
    </row>
    <row r="120" spans="1:16" x14ac:dyDescent="0.2">
      <c r="A120" s="222">
        <f>calculs!A120</f>
        <v>44671</v>
      </c>
      <c r="B120" s="535" t="e">
        <f ca="1">gr(calculs!BL120)</f>
        <v>#NAME?</v>
      </c>
      <c r="C120" s="535" t="e">
        <f ca="1">gr(calculs!BM120)</f>
        <v>#NAME?</v>
      </c>
      <c r="D120" s="535" t="e">
        <f ca="1">gr(calculs!BN120)</f>
        <v>#NAME?</v>
      </c>
      <c r="E120" s="535" t="e">
        <f ca="1">gr(calculs!BO120)</f>
        <v>#NAME?</v>
      </c>
      <c r="F120" s="535" t="e">
        <f ca="1">gr(calculs!BP120)</f>
        <v>#NAME?</v>
      </c>
      <c r="G120" s="535" t="e">
        <f ca="1">gr(calculs!BQ120)</f>
        <v>#NAME?</v>
      </c>
      <c r="H120" s="535" t="e">
        <f ca="1">gr(calculs!BR120)</f>
        <v>#NAME?</v>
      </c>
      <c r="I120" s="535"/>
      <c r="J120" s="535" t="e">
        <f>NA()</f>
        <v>#N/A</v>
      </c>
      <c r="K120" s="535" t="e">
        <f>NA()</f>
        <v>#N/A</v>
      </c>
      <c r="L120" s="535" t="e">
        <f>NA()</f>
        <v>#N/A</v>
      </c>
      <c r="M120" s="535" t="e">
        <f>NA()</f>
        <v>#N/A</v>
      </c>
      <c r="N120" s="535" t="e">
        <f>NA()</f>
        <v>#N/A</v>
      </c>
      <c r="O120" s="535" t="e">
        <f>NA()</f>
        <v>#N/A</v>
      </c>
      <c r="P120" s="535" t="e">
        <f>NA()</f>
        <v>#N/A</v>
      </c>
    </row>
    <row r="121" spans="1:16" x14ac:dyDescent="0.2">
      <c r="A121" s="222">
        <f>calculs!A121</f>
        <v>44672</v>
      </c>
      <c r="B121" s="535" t="e">
        <f ca="1">gr(calculs!BL121)</f>
        <v>#NAME?</v>
      </c>
      <c r="C121" s="535" t="e">
        <f ca="1">gr(calculs!BM121)</f>
        <v>#NAME?</v>
      </c>
      <c r="D121" s="535" t="e">
        <f ca="1">gr(calculs!BN121)</f>
        <v>#NAME?</v>
      </c>
      <c r="E121" s="535" t="e">
        <f ca="1">gr(calculs!BO121)</f>
        <v>#NAME?</v>
      </c>
      <c r="F121" s="535" t="e">
        <f ca="1">gr(calculs!BP121)</f>
        <v>#NAME?</v>
      </c>
      <c r="G121" s="535" t="e">
        <f ca="1">gr(calculs!BQ121)</f>
        <v>#NAME?</v>
      </c>
      <c r="H121" s="535" t="e">
        <f ca="1">gr(calculs!BR121)</f>
        <v>#NAME?</v>
      </c>
      <c r="I121" s="535"/>
      <c r="J121" s="535" t="e">
        <f>NA()</f>
        <v>#N/A</v>
      </c>
      <c r="K121" s="535" t="e">
        <f>NA()</f>
        <v>#N/A</v>
      </c>
      <c r="L121" s="535" t="e">
        <f>NA()</f>
        <v>#N/A</v>
      </c>
      <c r="M121" s="535" t="e">
        <f>NA()</f>
        <v>#N/A</v>
      </c>
      <c r="N121" s="535" t="e">
        <f>NA()</f>
        <v>#N/A</v>
      </c>
      <c r="O121" s="535" t="e">
        <f>NA()</f>
        <v>#N/A</v>
      </c>
      <c r="P121" s="535" t="e">
        <f>NA()</f>
        <v>#N/A</v>
      </c>
    </row>
    <row r="122" spans="1:16" x14ac:dyDescent="0.2">
      <c r="A122" s="222">
        <f>calculs!A122</f>
        <v>44673</v>
      </c>
      <c r="B122" s="535" t="e">
        <f ca="1">gr(calculs!BL122)</f>
        <v>#NAME?</v>
      </c>
      <c r="C122" s="535" t="e">
        <f ca="1">gr(calculs!BM122)</f>
        <v>#NAME?</v>
      </c>
      <c r="D122" s="535" t="e">
        <f ca="1">gr(calculs!BN122)</f>
        <v>#NAME?</v>
      </c>
      <c r="E122" s="535" t="e">
        <f ca="1">gr(calculs!BO122)</f>
        <v>#NAME?</v>
      </c>
      <c r="F122" s="535" t="e">
        <f ca="1">gr(calculs!BP122)</f>
        <v>#NAME?</v>
      </c>
      <c r="G122" s="535" t="e">
        <f ca="1">gr(calculs!BQ122)</f>
        <v>#NAME?</v>
      </c>
      <c r="H122" s="535" t="e">
        <f ca="1">gr(calculs!BR122)</f>
        <v>#NAME?</v>
      </c>
      <c r="I122" s="535"/>
      <c r="J122" s="535" t="e">
        <f>NA()</f>
        <v>#N/A</v>
      </c>
      <c r="K122" s="535" t="e">
        <f>NA()</f>
        <v>#N/A</v>
      </c>
      <c r="L122" s="535" t="e">
        <f>NA()</f>
        <v>#N/A</v>
      </c>
      <c r="M122" s="535" t="e">
        <f>NA()</f>
        <v>#N/A</v>
      </c>
      <c r="N122" s="535" t="e">
        <f>NA()</f>
        <v>#N/A</v>
      </c>
      <c r="O122" s="535" t="e">
        <f>NA()</f>
        <v>#N/A</v>
      </c>
      <c r="P122" s="535" t="e">
        <f>NA()</f>
        <v>#N/A</v>
      </c>
    </row>
    <row r="123" spans="1:16" x14ac:dyDescent="0.2">
      <c r="A123" s="222">
        <f>calculs!A123</f>
        <v>44674</v>
      </c>
      <c r="B123" s="535" t="e">
        <f ca="1">gr(calculs!BL123)</f>
        <v>#NAME?</v>
      </c>
      <c r="C123" s="535" t="e">
        <f ca="1">gr(calculs!BM123)</f>
        <v>#NAME?</v>
      </c>
      <c r="D123" s="535" t="e">
        <f ca="1">gr(calculs!BN123)</f>
        <v>#NAME?</v>
      </c>
      <c r="E123" s="535" t="e">
        <f ca="1">gr(calculs!BO123)</f>
        <v>#NAME?</v>
      </c>
      <c r="F123" s="535" t="e">
        <f ca="1">gr(calculs!BP123)</f>
        <v>#NAME?</v>
      </c>
      <c r="G123" s="535" t="e">
        <f ca="1">gr(calculs!BQ123)</f>
        <v>#NAME?</v>
      </c>
      <c r="H123" s="535" t="e">
        <f ca="1">gr(calculs!BR123)</f>
        <v>#NAME?</v>
      </c>
      <c r="I123" s="535"/>
      <c r="J123" s="535" t="e">
        <f>NA()</f>
        <v>#N/A</v>
      </c>
      <c r="K123" s="535" t="e">
        <f>NA()</f>
        <v>#N/A</v>
      </c>
      <c r="L123" s="535" t="e">
        <f>NA()</f>
        <v>#N/A</v>
      </c>
      <c r="M123" s="535" t="e">
        <f>NA()</f>
        <v>#N/A</v>
      </c>
      <c r="N123" s="535" t="e">
        <f>NA()</f>
        <v>#N/A</v>
      </c>
      <c r="O123" s="535" t="e">
        <f>NA()</f>
        <v>#N/A</v>
      </c>
      <c r="P123" s="535" t="e">
        <f>NA()</f>
        <v>#N/A</v>
      </c>
    </row>
    <row r="124" spans="1:16" x14ac:dyDescent="0.2">
      <c r="A124" s="222">
        <f>calculs!A124</f>
        <v>44675</v>
      </c>
      <c r="B124" s="535" t="e">
        <f ca="1">gr(calculs!BL124)</f>
        <v>#NAME?</v>
      </c>
      <c r="C124" s="535" t="e">
        <f ca="1">gr(calculs!BM124)</f>
        <v>#NAME?</v>
      </c>
      <c r="D124" s="535" t="e">
        <f ca="1">gr(calculs!BN124)</f>
        <v>#NAME?</v>
      </c>
      <c r="E124" s="535" t="e">
        <f ca="1">gr(calculs!BO124)</f>
        <v>#NAME?</v>
      </c>
      <c r="F124" s="535" t="e">
        <f ca="1">gr(calculs!BP124)</f>
        <v>#NAME?</v>
      </c>
      <c r="G124" s="535" t="e">
        <f ca="1">gr(calculs!BQ124)</f>
        <v>#NAME?</v>
      </c>
      <c r="H124" s="535" t="e">
        <f ca="1">gr(calculs!BR124)</f>
        <v>#NAME?</v>
      </c>
      <c r="I124" s="535"/>
      <c r="J124" s="535" t="e">
        <f>NA()</f>
        <v>#N/A</v>
      </c>
      <c r="K124" s="535" t="e">
        <f>NA()</f>
        <v>#N/A</v>
      </c>
      <c r="L124" s="535" t="e">
        <f>NA()</f>
        <v>#N/A</v>
      </c>
      <c r="M124" s="535" t="e">
        <f>NA()</f>
        <v>#N/A</v>
      </c>
      <c r="N124" s="535" t="e">
        <f>NA()</f>
        <v>#N/A</v>
      </c>
      <c r="O124" s="535" t="e">
        <f>NA()</f>
        <v>#N/A</v>
      </c>
      <c r="P124" s="535" t="e">
        <f>NA()</f>
        <v>#N/A</v>
      </c>
    </row>
    <row r="125" spans="1:16" x14ac:dyDescent="0.2">
      <c r="A125" s="222">
        <f>calculs!A125</f>
        <v>44676</v>
      </c>
      <c r="B125" s="535" t="e">
        <f ca="1">gr(calculs!BL125)</f>
        <v>#NAME?</v>
      </c>
      <c r="C125" s="535" t="e">
        <f ca="1">gr(calculs!BM125)</f>
        <v>#NAME?</v>
      </c>
      <c r="D125" s="535" t="e">
        <f ca="1">gr(calculs!BN125)</f>
        <v>#NAME?</v>
      </c>
      <c r="E125" s="535" t="e">
        <f ca="1">gr(calculs!BO125)</f>
        <v>#NAME?</v>
      </c>
      <c r="F125" s="535" t="e">
        <f ca="1">gr(calculs!BP125)</f>
        <v>#NAME?</v>
      </c>
      <c r="G125" s="535" t="e">
        <f ca="1">gr(calculs!BQ125)</f>
        <v>#NAME?</v>
      </c>
      <c r="H125" s="535" t="e">
        <f ca="1">gr(calculs!BR125)</f>
        <v>#NAME?</v>
      </c>
      <c r="I125" s="535"/>
      <c r="J125" s="535" t="e">
        <f>NA()</f>
        <v>#N/A</v>
      </c>
      <c r="K125" s="535" t="e">
        <f>NA()</f>
        <v>#N/A</v>
      </c>
      <c r="L125" s="535" t="e">
        <f>NA()</f>
        <v>#N/A</v>
      </c>
      <c r="M125" s="535" t="e">
        <f>NA()</f>
        <v>#N/A</v>
      </c>
      <c r="N125" s="535" t="e">
        <f>NA()</f>
        <v>#N/A</v>
      </c>
      <c r="O125" s="535" t="e">
        <f>NA()</f>
        <v>#N/A</v>
      </c>
      <c r="P125" s="535" t="e">
        <f>NA()</f>
        <v>#N/A</v>
      </c>
    </row>
    <row r="126" spans="1:16" x14ac:dyDescent="0.2">
      <c r="A126" s="222">
        <f>calculs!A126</f>
        <v>44677</v>
      </c>
      <c r="B126" s="535" t="e">
        <f ca="1">gr(calculs!BL126)</f>
        <v>#NAME?</v>
      </c>
      <c r="C126" s="535" t="e">
        <f ca="1">gr(calculs!BM126)</f>
        <v>#NAME?</v>
      </c>
      <c r="D126" s="535" t="e">
        <f ca="1">gr(calculs!BN126)</f>
        <v>#NAME?</v>
      </c>
      <c r="E126" s="535" t="e">
        <f ca="1">gr(calculs!BO126)</f>
        <v>#NAME?</v>
      </c>
      <c r="F126" s="535" t="e">
        <f ca="1">gr(calculs!BP126)</f>
        <v>#NAME?</v>
      </c>
      <c r="G126" s="535" t="e">
        <f ca="1">gr(calculs!BQ126)</f>
        <v>#NAME?</v>
      </c>
      <c r="H126" s="535" t="e">
        <f ca="1">gr(calculs!BR126)</f>
        <v>#NAME?</v>
      </c>
      <c r="I126" s="535"/>
      <c r="J126" s="535" t="e">
        <f>NA()</f>
        <v>#N/A</v>
      </c>
      <c r="K126" s="535" t="e">
        <f>NA()</f>
        <v>#N/A</v>
      </c>
      <c r="L126" s="535" t="e">
        <f>NA()</f>
        <v>#N/A</v>
      </c>
      <c r="M126" s="535" t="e">
        <f>NA()</f>
        <v>#N/A</v>
      </c>
      <c r="N126" s="535" t="e">
        <f>NA()</f>
        <v>#N/A</v>
      </c>
      <c r="O126" s="535" t="e">
        <f>NA()</f>
        <v>#N/A</v>
      </c>
      <c r="P126" s="535" t="e">
        <f>NA()</f>
        <v>#N/A</v>
      </c>
    </row>
    <row r="127" spans="1:16" x14ac:dyDescent="0.2">
      <c r="A127" s="222">
        <f>calculs!A127</f>
        <v>44678</v>
      </c>
      <c r="B127" s="535" t="e">
        <f ca="1">gr(calculs!BL127)</f>
        <v>#NAME?</v>
      </c>
      <c r="C127" s="535" t="e">
        <f ca="1">gr(calculs!BM127)</f>
        <v>#NAME?</v>
      </c>
      <c r="D127" s="535" t="e">
        <f ca="1">gr(calculs!BN127)</f>
        <v>#NAME?</v>
      </c>
      <c r="E127" s="535" t="e">
        <f ca="1">gr(calculs!BO127)</f>
        <v>#NAME?</v>
      </c>
      <c r="F127" s="535" t="e">
        <f ca="1">gr(calculs!BP127)</f>
        <v>#NAME?</v>
      </c>
      <c r="G127" s="535" t="e">
        <f ca="1">gr(calculs!BQ127)</f>
        <v>#NAME?</v>
      </c>
      <c r="H127" s="535" t="e">
        <f ca="1">gr(calculs!BR127)</f>
        <v>#NAME?</v>
      </c>
      <c r="I127" s="535"/>
      <c r="J127" s="535" t="e">
        <f>NA()</f>
        <v>#N/A</v>
      </c>
      <c r="K127" s="535" t="e">
        <f>NA()</f>
        <v>#N/A</v>
      </c>
      <c r="L127" s="535" t="e">
        <f>NA()</f>
        <v>#N/A</v>
      </c>
      <c r="M127" s="535" t="e">
        <f>NA()</f>
        <v>#N/A</v>
      </c>
      <c r="N127" s="535" t="e">
        <f>NA()</f>
        <v>#N/A</v>
      </c>
      <c r="O127" s="535" t="e">
        <f>NA()</f>
        <v>#N/A</v>
      </c>
      <c r="P127" s="535" t="e">
        <f>NA()</f>
        <v>#N/A</v>
      </c>
    </row>
    <row r="128" spans="1:16" x14ac:dyDescent="0.2">
      <c r="A128" s="222">
        <f>calculs!A128</f>
        <v>44679</v>
      </c>
      <c r="B128" s="535" t="e">
        <f ca="1">gr(calculs!BL128)</f>
        <v>#NAME?</v>
      </c>
      <c r="C128" s="535" t="e">
        <f ca="1">gr(calculs!BM128)</f>
        <v>#NAME?</v>
      </c>
      <c r="D128" s="535" t="e">
        <f ca="1">gr(calculs!BN128)</f>
        <v>#NAME?</v>
      </c>
      <c r="E128" s="535" t="e">
        <f ca="1">gr(calculs!BO128)</f>
        <v>#NAME?</v>
      </c>
      <c r="F128" s="535" t="e">
        <f ca="1">gr(calculs!BP128)</f>
        <v>#NAME?</v>
      </c>
      <c r="G128" s="535" t="e">
        <f ca="1">gr(calculs!BQ128)</f>
        <v>#NAME?</v>
      </c>
      <c r="H128" s="535" t="e">
        <f ca="1">gr(calculs!BR128)</f>
        <v>#NAME?</v>
      </c>
      <c r="I128" s="535"/>
      <c r="J128" s="535" t="e">
        <f>NA()</f>
        <v>#N/A</v>
      </c>
      <c r="K128" s="535" t="e">
        <f>NA()</f>
        <v>#N/A</v>
      </c>
      <c r="L128" s="535" t="e">
        <f>NA()</f>
        <v>#N/A</v>
      </c>
      <c r="M128" s="535" t="e">
        <f>NA()</f>
        <v>#N/A</v>
      </c>
      <c r="N128" s="535" t="e">
        <f>NA()</f>
        <v>#N/A</v>
      </c>
      <c r="O128" s="535" t="e">
        <f>NA()</f>
        <v>#N/A</v>
      </c>
      <c r="P128" s="535" t="e">
        <f>NA()</f>
        <v>#N/A</v>
      </c>
    </row>
    <row r="129" spans="1:16" x14ac:dyDescent="0.2">
      <c r="A129" s="222">
        <f>calculs!A129</f>
        <v>44680</v>
      </c>
      <c r="B129" s="535" t="e">
        <f ca="1">gr(calculs!BL129)</f>
        <v>#NAME?</v>
      </c>
      <c r="C129" s="535" t="e">
        <f ca="1">gr(calculs!BM129)</f>
        <v>#NAME?</v>
      </c>
      <c r="D129" s="535" t="e">
        <f ca="1">gr(calculs!BN129)</f>
        <v>#NAME?</v>
      </c>
      <c r="E129" s="535" t="e">
        <f ca="1">gr(calculs!BO129)</f>
        <v>#NAME?</v>
      </c>
      <c r="F129" s="535" t="e">
        <f ca="1">gr(calculs!BP129)</f>
        <v>#NAME?</v>
      </c>
      <c r="G129" s="535" t="e">
        <f ca="1">gr(calculs!BQ129)</f>
        <v>#NAME?</v>
      </c>
      <c r="H129" s="535" t="e">
        <f ca="1">gr(calculs!BR129)</f>
        <v>#NAME?</v>
      </c>
      <c r="I129" s="535"/>
      <c r="J129" s="535" t="e">
        <f>NA()</f>
        <v>#N/A</v>
      </c>
      <c r="K129" s="535" t="e">
        <f>NA()</f>
        <v>#N/A</v>
      </c>
      <c r="L129" s="535" t="e">
        <f>NA()</f>
        <v>#N/A</v>
      </c>
      <c r="M129" s="535" t="e">
        <f>NA()</f>
        <v>#N/A</v>
      </c>
      <c r="N129" s="535" t="e">
        <f>NA()</f>
        <v>#N/A</v>
      </c>
      <c r="O129" s="535" t="e">
        <f>NA()</f>
        <v>#N/A</v>
      </c>
      <c r="P129" s="535" t="e">
        <f>NA()</f>
        <v>#N/A</v>
      </c>
    </row>
    <row r="130" spans="1:16" x14ac:dyDescent="0.2">
      <c r="A130" s="222">
        <f>calculs!A130</f>
        <v>44681</v>
      </c>
      <c r="B130" s="535" t="e">
        <f ca="1">gr(calculs!BL130)</f>
        <v>#NAME?</v>
      </c>
      <c r="C130" s="535" t="e">
        <f ca="1">gr(calculs!BM130)</f>
        <v>#NAME?</v>
      </c>
      <c r="D130" s="535" t="e">
        <f ca="1">gr(calculs!BN130)</f>
        <v>#NAME?</v>
      </c>
      <c r="E130" s="535" t="e">
        <f ca="1">gr(calculs!BO130)</f>
        <v>#NAME?</v>
      </c>
      <c r="F130" s="535" t="e">
        <f ca="1">gr(calculs!BP130)</f>
        <v>#NAME?</v>
      </c>
      <c r="G130" s="535" t="e">
        <f ca="1">gr(calculs!BQ130)</f>
        <v>#NAME?</v>
      </c>
      <c r="H130" s="535" t="e">
        <f ca="1">gr(calculs!BR130)</f>
        <v>#NAME?</v>
      </c>
      <c r="I130" s="535"/>
      <c r="J130" s="535" t="e">
        <f>NA()</f>
        <v>#N/A</v>
      </c>
      <c r="K130" s="535" t="e">
        <f>NA()</f>
        <v>#N/A</v>
      </c>
      <c r="L130" s="535" t="e">
        <f>NA()</f>
        <v>#N/A</v>
      </c>
      <c r="M130" s="535" t="e">
        <f>NA()</f>
        <v>#N/A</v>
      </c>
      <c r="N130" s="535" t="e">
        <f>NA()</f>
        <v>#N/A</v>
      </c>
      <c r="O130" s="535" t="e">
        <f>NA()</f>
        <v>#N/A</v>
      </c>
      <c r="P130" s="535" t="e">
        <f>NA()</f>
        <v>#N/A</v>
      </c>
    </row>
    <row r="131" spans="1:16" x14ac:dyDescent="0.2">
      <c r="A131" s="222">
        <f>calculs!A131</f>
        <v>44682</v>
      </c>
      <c r="B131" s="535" t="e">
        <f ca="1">gr(calculs!BL131)</f>
        <v>#NAME?</v>
      </c>
      <c r="C131" s="535" t="e">
        <f ca="1">gr(calculs!BM131)</f>
        <v>#NAME?</v>
      </c>
      <c r="D131" s="535" t="e">
        <f ca="1">gr(calculs!BN131)</f>
        <v>#NAME?</v>
      </c>
      <c r="E131" s="535" t="e">
        <f ca="1">gr(calculs!BO131)</f>
        <v>#NAME?</v>
      </c>
      <c r="F131" s="535" t="e">
        <f ca="1">gr(calculs!BP131)</f>
        <v>#NAME?</v>
      </c>
      <c r="G131" s="535" t="e">
        <f ca="1">gr(calculs!BQ131)</f>
        <v>#NAME?</v>
      </c>
      <c r="H131" s="535" t="e">
        <f ca="1">gr(calculs!BR131)</f>
        <v>#NAME?</v>
      </c>
      <c r="I131" s="535"/>
      <c r="J131" s="535" t="e">
        <f>NA()</f>
        <v>#N/A</v>
      </c>
      <c r="K131" s="535" t="e">
        <f>NA()</f>
        <v>#N/A</v>
      </c>
      <c r="L131" s="535" t="e">
        <f>NA()</f>
        <v>#N/A</v>
      </c>
      <c r="M131" s="535" t="e">
        <f>NA()</f>
        <v>#N/A</v>
      </c>
      <c r="N131" s="535" t="e">
        <f>NA()</f>
        <v>#N/A</v>
      </c>
      <c r="O131" s="535" t="e">
        <f>NA()</f>
        <v>#N/A</v>
      </c>
      <c r="P131" s="535" t="e">
        <f>NA()</f>
        <v>#N/A</v>
      </c>
    </row>
    <row r="132" spans="1:16" x14ac:dyDescent="0.2">
      <c r="A132" s="222">
        <f>calculs!A132</f>
        <v>44683</v>
      </c>
      <c r="B132" s="535" t="e">
        <f ca="1">gr(calculs!BL132)</f>
        <v>#NAME?</v>
      </c>
      <c r="C132" s="535" t="e">
        <f ca="1">gr(calculs!BM132)</f>
        <v>#NAME?</v>
      </c>
      <c r="D132" s="535" t="e">
        <f ca="1">gr(calculs!BN132)</f>
        <v>#NAME?</v>
      </c>
      <c r="E132" s="535" t="e">
        <f ca="1">gr(calculs!BO132)</f>
        <v>#NAME?</v>
      </c>
      <c r="F132" s="535" t="e">
        <f ca="1">gr(calculs!BP132)</f>
        <v>#NAME?</v>
      </c>
      <c r="G132" s="535" t="e">
        <f ca="1">gr(calculs!BQ132)</f>
        <v>#NAME?</v>
      </c>
      <c r="H132" s="535" t="e">
        <f ca="1">gr(calculs!BR132)</f>
        <v>#NAME?</v>
      </c>
      <c r="I132" s="535"/>
      <c r="J132" s="535" t="e">
        <f>NA()</f>
        <v>#N/A</v>
      </c>
      <c r="K132" s="535" t="e">
        <f>NA()</f>
        <v>#N/A</v>
      </c>
      <c r="L132" s="535" t="e">
        <f>NA()</f>
        <v>#N/A</v>
      </c>
      <c r="M132" s="535" t="e">
        <f>NA()</f>
        <v>#N/A</v>
      </c>
      <c r="N132" s="535" t="e">
        <f>NA()</f>
        <v>#N/A</v>
      </c>
      <c r="O132" s="535" t="e">
        <f>NA()</f>
        <v>#N/A</v>
      </c>
      <c r="P132" s="535" t="e">
        <f>NA()</f>
        <v>#N/A</v>
      </c>
    </row>
    <row r="133" spans="1:16" x14ac:dyDescent="0.2">
      <c r="A133" s="222">
        <f>calculs!A133</f>
        <v>44684</v>
      </c>
      <c r="B133" s="535" t="e">
        <f ca="1">gr(calculs!BL133)</f>
        <v>#NAME?</v>
      </c>
      <c r="C133" s="535" t="e">
        <f ca="1">gr(calculs!BM133)</f>
        <v>#NAME?</v>
      </c>
      <c r="D133" s="535" t="e">
        <f ca="1">gr(calculs!BN133)</f>
        <v>#NAME?</v>
      </c>
      <c r="E133" s="535" t="e">
        <f ca="1">gr(calculs!BO133)</f>
        <v>#NAME?</v>
      </c>
      <c r="F133" s="535" t="e">
        <f ca="1">gr(calculs!BP133)</f>
        <v>#NAME?</v>
      </c>
      <c r="G133" s="535" t="e">
        <f ca="1">gr(calculs!BQ133)</f>
        <v>#NAME?</v>
      </c>
      <c r="H133" s="535" t="e">
        <f ca="1">gr(calculs!BR133)</f>
        <v>#NAME?</v>
      </c>
      <c r="I133" s="535"/>
      <c r="J133" s="535" t="e">
        <f>NA()</f>
        <v>#N/A</v>
      </c>
      <c r="K133" s="535" t="e">
        <f>NA()</f>
        <v>#N/A</v>
      </c>
      <c r="L133" s="535" t="e">
        <f>NA()</f>
        <v>#N/A</v>
      </c>
      <c r="M133" s="535" t="e">
        <f>NA()</f>
        <v>#N/A</v>
      </c>
      <c r="N133" s="535" t="e">
        <f>NA()</f>
        <v>#N/A</v>
      </c>
      <c r="O133" s="535" t="e">
        <f>NA()</f>
        <v>#N/A</v>
      </c>
      <c r="P133" s="535" t="e">
        <f>NA()</f>
        <v>#N/A</v>
      </c>
    </row>
    <row r="134" spans="1:16" x14ac:dyDescent="0.2">
      <c r="A134" s="222">
        <f>calculs!A134</f>
        <v>44685</v>
      </c>
      <c r="B134" s="535" t="e">
        <f ca="1">gr(calculs!BL134)</f>
        <v>#NAME?</v>
      </c>
      <c r="C134" s="535" t="e">
        <f ca="1">gr(calculs!BM134)</f>
        <v>#NAME?</v>
      </c>
      <c r="D134" s="535" t="e">
        <f ca="1">gr(calculs!BN134)</f>
        <v>#NAME?</v>
      </c>
      <c r="E134" s="535" t="e">
        <f ca="1">gr(calculs!BO134)</f>
        <v>#NAME?</v>
      </c>
      <c r="F134" s="535" t="e">
        <f ca="1">gr(calculs!BP134)</f>
        <v>#NAME?</v>
      </c>
      <c r="G134" s="535" t="e">
        <f ca="1">gr(calculs!BQ134)</f>
        <v>#NAME?</v>
      </c>
      <c r="H134" s="535" t="e">
        <f ca="1">gr(calculs!BR134)</f>
        <v>#NAME?</v>
      </c>
      <c r="I134" s="535"/>
      <c r="J134" s="535" t="e">
        <f>NA()</f>
        <v>#N/A</v>
      </c>
      <c r="K134" s="535" t="e">
        <f>NA()</f>
        <v>#N/A</v>
      </c>
      <c r="L134" s="535" t="e">
        <f>NA()</f>
        <v>#N/A</v>
      </c>
      <c r="M134" s="535" t="e">
        <f>NA()</f>
        <v>#N/A</v>
      </c>
      <c r="N134" s="535" t="e">
        <f>NA()</f>
        <v>#N/A</v>
      </c>
      <c r="O134" s="535" t="e">
        <f>NA()</f>
        <v>#N/A</v>
      </c>
      <c r="P134" s="535" t="e">
        <f>NA()</f>
        <v>#N/A</v>
      </c>
    </row>
    <row r="135" spans="1:16" x14ac:dyDescent="0.2">
      <c r="A135" s="222">
        <f>calculs!A135</f>
        <v>44686</v>
      </c>
      <c r="B135" s="535" t="e">
        <f ca="1">gr(calculs!BL135)</f>
        <v>#NAME?</v>
      </c>
      <c r="C135" s="535" t="e">
        <f ca="1">gr(calculs!BM135)</f>
        <v>#NAME?</v>
      </c>
      <c r="D135" s="535" t="e">
        <f ca="1">gr(calculs!BN135)</f>
        <v>#NAME?</v>
      </c>
      <c r="E135" s="535" t="e">
        <f ca="1">gr(calculs!BO135)</f>
        <v>#NAME?</v>
      </c>
      <c r="F135" s="535" t="e">
        <f ca="1">gr(calculs!BP135)</f>
        <v>#NAME?</v>
      </c>
      <c r="G135" s="535" t="e">
        <f ca="1">gr(calculs!BQ135)</f>
        <v>#NAME?</v>
      </c>
      <c r="H135" s="535" t="e">
        <f ca="1">gr(calculs!BR135)</f>
        <v>#NAME?</v>
      </c>
      <c r="I135" s="535"/>
      <c r="J135" s="535" t="e">
        <f>NA()</f>
        <v>#N/A</v>
      </c>
      <c r="K135" s="535" t="e">
        <f>NA()</f>
        <v>#N/A</v>
      </c>
      <c r="L135" s="535" t="e">
        <f>NA()</f>
        <v>#N/A</v>
      </c>
      <c r="M135" s="535" t="e">
        <f>NA()</f>
        <v>#N/A</v>
      </c>
      <c r="N135" s="535" t="e">
        <f>NA()</f>
        <v>#N/A</v>
      </c>
      <c r="O135" s="535" t="e">
        <f>NA()</f>
        <v>#N/A</v>
      </c>
      <c r="P135" s="535" t="e">
        <f>NA()</f>
        <v>#N/A</v>
      </c>
    </row>
    <row r="136" spans="1:16" x14ac:dyDescent="0.2">
      <c r="A136" s="222">
        <f>calculs!A136</f>
        <v>44687</v>
      </c>
      <c r="B136" s="535" t="e">
        <f ca="1">gr(calculs!BL136)</f>
        <v>#NAME?</v>
      </c>
      <c r="C136" s="535" t="e">
        <f ca="1">gr(calculs!BM136)</f>
        <v>#NAME?</v>
      </c>
      <c r="D136" s="535" t="e">
        <f ca="1">gr(calculs!BN136)</f>
        <v>#NAME?</v>
      </c>
      <c r="E136" s="535" t="e">
        <f ca="1">gr(calculs!BO136)</f>
        <v>#NAME?</v>
      </c>
      <c r="F136" s="535" t="e">
        <f ca="1">gr(calculs!BP136)</f>
        <v>#NAME?</v>
      </c>
      <c r="G136" s="535" t="e">
        <f ca="1">gr(calculs!BQ136)</f>
        <v>#NAME?</v>
      </c>
      <c r="H136" s="535" t="e">
        <f ca="1">gr(calculs!BR136)</f>
        <v>#NAME?</v>
      </c>
      <c r="I136" s="535"/>
      <c r="J136" s="535" t="e">
        <f>NA()</f>
        <v>#N/A</v>
      </c>
      <c r="K136" s="535" t="e">
        <f>NA()</f>
        <v>#N/A</v>
      </c>
      <c r="L136" s="535" t="e">
        <f>NA()</f>
        <v>#N/A</v>
      </c>
      <c r="M136" s="535" t="e">
        <f>NA()</f>
        <v>#N/A</v>
      </c>
      <c r="N136" s="535" t="e">
        <f>NA()</f>
        <v>#N/A</v>
      </c>
      <c r="O136" s="535" t="e">
        <f>NA()</f>
        <v>#N/A</v>
      </c>
      <c r="P136" s="535" t="e">
        <f>NA()</f>
        <v>#N/A</v>
      </c>
    </row>
    <row r="137" spans="1:16" x14ac:dyDescent="0.2">
      <c r="A137" s="222">
        <f>calculs!A137</f>
        <v>44688</v>
      </c>
      <c r="B137" s="535" t="e">
        <f ca="1">gr(calculs!BL137)</f>
        <v>#NAME?</v>
      </c>
      <c r="C137" s="535" t="e">
        <f ca="1">gr(calculs!BM137)</f>
        <v>#NAME?</v>
      </c>
      <c r="D137" s="535" t="e">
        <f ca="1">gr(calculs!BN137)</f>
        <v>#NAME?</v>
      </c>
      <c r="E137" s="535" t="e">
        <f ca="1">gr(calculs!BO137)</f>
        <v>#NAME?</v>
      </c>
      <c r="F137" s="535" t="e">
        <f ca="1">gr(calculs!BP137)</f>
        <v>#NAME?</v>
      </c>
      <c r="G137" s="535" t="e">
        <f ca="1">gr(calculs!BQ137)</f>
        <v>#NAME?</v>
      </c>
      <c r="H137" s="535" t="e">
        <f ca="1">gr(calculs!BR137)</f>
        <v>#NAME?</v>
      </c>
      <c r="I137" s="535"/>
      <c r="J137" s="535" t="e">
        <f>NA()</f>
        <v>#N/A</v>
      </c>
      <c r="K137" s="535" t="e">
        <f>NA()</f>
        <v>#N/A</v>
      </c>
      <c r="L137" s="535" t="e">
        <f>NA()</f>
        <v>#N/A</v>
      </c>
      <c r="M137" s="535" t="e">
        <f>NA()</f>
        <v>#N/A</v>
      </c>
      <c r="N137" s="535" t="e">
        <f>NA()</f>
        <v>#N/A</v>
      </c>
      <c r="O137" s="535" t="e">
        <f>NA()</f>
        <v>#N/A</v>
      </c>
      <c r="P137" s="535" t="e">
        <f>NA()</f>
        <v>#N/A</v>
      </c>
    </row>
    <row r="138" spans="1:16" x14ac:dyDescent="0.2">
      <c r="A138" s="222">
        <f>calculs!A138</f>
        <v>44689</v>
      </c>
      <c r="B138" s="535" t="e">
        <f ca="1">gr(calculs!BL138)</f>
        <v>#NAME?</v>
      </c>
      <c r="C138" s="535" t="e">
        <f ca="1">gr(calculs!BM138)</f>
        <v>#NAME?</v>
      </c>
      <c r="D138" s="535" t="e">
        <f ca="1">gr(calculs!BN138)</f>
        <v>#NAME?</v>
      </c>
      <c r="E138" s="535" t="e">
        <f ca="1">gr(calculs!BO138)</f>
        <v>#NAME?</v>
      </c>
      <c r="F138" s="535" t="e">
        <f ca="1">gr(calculs!BP138)</f>
        <v>#NAME?</v>
      </c>
      <c r="G138" s="535" t="e">
        <f ca="1">gr(calculs!BQ138)</f>
        <v>#NAME?</v>
      </c>
      <c r="H138" s="535" t="e">
        <f ca="1">gr(calculs!BR138)</f>
        <v>#NAME?</v>
      </c>
      <c r="I138" s="535"/>
      <c r="J138" s="535" t="e">
        <f>NA()</f>
        <v>#N/A</v>
      </c>
      <c r="K138" s="535" t="e">
        <f>NA()</f>
        <v>#N/A</v>
      </c>
      <c r="L138" s="535" t="e">
        <f>NA()</f>
        <v>#N/A</v>
      </c>
      <c r="M138" s="535" t="e">
        <f>NA()</f>
        <v>#N/A</v>
      </c>
      <c r="N138" s="535" t="e">
        <f>NA()</f>
        <v>#N/A</v>
      </c>
      <c r="O138" s="535" t="e">
        <f>NA()</f>
        <v>#N/A</v>
      </c>
      <c r="P138" s="535" t="e">
        <f>NA()</f>
        <v>#N/A</v>
      </c>
    </row>
    <row r="139" spans="1:16" x14ac:dyDescent="0.2">
      <c r="A139" s="222">
        <f>calculs!A139</f>
        <v>44690</v>
      </c>
      <c r="B139" s="535" t="e">
        <f ca="1">gr(calculs!BL139)</f>
        <v>#NAME?</v>
      </c>
      <c r="C139" s="535" t="e">
        <f ca="1">gr(calculs!BM139)</f>
        <v>#NAME?</v>
      </c>
      <c r="D139" s="535" t="e">
        <f ca="1">gr(calculs!BN139)</f>
        <v>#NAME?</v>
      </c>
      <c r="E139" s="535" t="e">
        <f ca="1">gr(calculs!BO139)</f>
        <v>#NAME?</v>
      </c>
      <c r="F139" s="535" t="e">
        <f ca="1">gr(calculs!BP139)</f>
        <v>#NAME?</v>
      </c>
      <c r="G139" s="535" t="e">
        <f ca="1">gr(calculs!BQ139)</f>
        <v>#NAME?</v>
      </c>
      <c r="H139" s="535" t="e">
        <f ca="1">gr(calculs!BR139)</f>
        <v>#NAME?</v>
      </c>
      <c r="I139" s="535"/>
      <c r="J139" s="535" t="e">
        <f>NA()</f>
        <v>#N/A</v>
      </c>
      <c r="K139" s="535" t="e">
        <f>NA()</f>
        <v>#N/A</v>
      </c>
      <c r="L139" s="535" t="e">
        <f>NA()</f>
        <v>#N/A</v>
      </c>
      <c r="M139" s="535" t="e">
        <f>NA()</f>
        <v>#N/A</v>
      </c>
      <c r="N139" s="535" t="e">
        <f>NA()</f>
        <v>#N/A</v>
      </c>
      <c r="O139" s="535" t="e">
        <f>NA()</f>
        <v>#N/A</v>
      </c>
      <c r="P139" s="535" t="e">
        <f>NA()</f>
        <v>#N/A</v>
      </c>
    </row>
    <row r="140" spans="1:16" x14ac:dyDescent="0.2">
      <c r="A140" s="222">
        <f>calculs!A140</f>
        <v>44691</v>
      </c>
      <c r="B140" s="535" t="e">
        <f ca="1">gr(calculs!BL140)</f>
        <v>#NAME?</v>
      </c>
      <c r="C140" s="535" t="e">
        <f ca="1">gr(calculs!BM140)</f>
        <v>#NAME?</v>
      </c>
      <c r="D140" s="535" t="e">
        <f ca="1">gr(calculs!BN140)</f>
        <v>#NAME?</v>
      </c>
      <c r="E140" s="535" t="e">
        <f ca="1">gr(calculs!BO140)</f>
        <v>#NAME?</v>
      </c>
      <c r="F140" s="535" t="e">
        <f ca="1">gr(calculs!BP140)</f>
        <v>#NAME?</v>
      </c>
      <c r="G140" s="535" t="e">
        <f ca="1">gr(calculs!BQ140)</f>
        <v>#NAME?</v>
      </c>
      <c r="H140" s="535" t="e">
        <f ca="1">gr(calculs!BR140)</f>
        <v>#NAME?</v>
      </c>
      <c r="I140" s="535"/>
      <c r="J140" s="535" t="e">
        <f>NA()</f>
        <v>#N/A</v>
      </c>
      <c r="K140" s="535" t="e">
        <f>NA()</f>
        <v>#N/A</v>
      </c>
      <c r="L140" s="535" t="e">
        <f>NA()</f>
        <v>#N/A</v>
      </c>
      <c r="M140" s="535" t="e">
        <f>NA()</f>
        <v>#N/A</v>
      </c>
      <c r="N140" s="535" t="e">
        <f>NA()</f>
        <v>#N/A</v>
      </c>
      <c r="O140" s="535" t="e">
        <f>NA()</f>
        <v>#N/A</v>
      </c>
      <c r="P140" s="535" t="e">
        <f>NA()</f>
        <v>#N/A</v>
      </c>
    </row>
    <row r="141" spans="1:16" x14ac:dyDescent="0.2">
      <c r="A141" s="222">
        <f>calculs!A141</f>
        <v>44692</v>
      </c>
      <c r="B141" s="535" t="e">
        <f ca="1">gr(calculs!BL141)</f>
        <v>#NAME?</v>
      </c>
      <c r="C141" s="535" t="e">
        <f ca="1">gr(calculs!BM141)</f>
        <v>#NAME?</v>
      </c>
      <c r="D141" s="535" t="e">
        <f ca="1">gr(calculs!BN141)</f>
        <v>#NAME?</v>
      </c>
      <c r="E141" s="535" t="e">
        <f ca="1">gr(calculs!BO141)</f>
        <v>#NAME?</v>
      </c>
      <c r="F141" s="535" t="e">
        <f ca="1">gr(calculs!BP141)</f>
        <v>#NAME?</v>
      </c>
      <c r="G141" s="535" t="e">
        <f ca="1">gr(calculs!BQ141)</f>
        <v>#NAME?</v>
      </c>
      <c r="H141" s="535" t="e">
        <f ca="1">gr(calculs!BR141)</f>
        <v>#NAME?</v>
      </c>
      <c r="I141" s="535"/>
      <c r="J141" s="535" t="e">
        <f>NA()</f>
        <v>#N/A</v>
      </c>
      <c r="K141" s="535" t="e">
        <f>NA()</f>
        <v>#N/A</v>
      </c>
      <c r="L141" s="535" t="e">
        <f>NA()</f>
        <v>#N/A</v>
      </c>
      <c r="M141" s="535" t="e">
        <f>NA()</f>
        <v>#N/A</v>
      </c>
      <c r="N141" s="535" t="e">
        <f>NA()</f>
        <v>#N/A</v>
      </c>
      <c r="O141" s="535" t="e">
        <f>NA()</f>
        <v>#N/A</v>
      </c>
      <c r="P141" s="535" t="e">
        <f>NA()</f>
        <v>#N/A</v>
      </c>
    </row>
    <row r="142" spans="1:16" x14ac:dyDescent="0.2">
      <c r="A142" s="222">
        <f>calculs!A142</f>
        <v>44693</v>
      </c>
      <c r="B142" s="535" t="e">
        <f ca="1">gr(calculs!BL142)</f>
        <v>#NAME?</v>
      </c>
      <c r="C142" s="535" t="e">
        <f ca="1">gr(calculs!BM142)</f>
        <v>#NAME?</v>
      </c>
      <c r="D142" s="535" t="e">
        <f ca="1">gr(calculs!BN142)</f>
        <v>#NAME?</v>
      </c>
      <c r="E142" s="535" t="e">
        <f ca="1">gr(calculs!BO142)</f>
        <v>#NAME?</v>
      </c>
      <c r="F142" s="535" t="e">
        <f ca="1">gr(calculs!BP142)</f>
        <v>#NAME?</v>
      </c>
      <c r="G142" s="535" t="e">
        <f ca="1">gr(calculs!BQ142)</f>
        <v>#NAME?</v>
      </c>
      <c r="H142" s="535" t="e">
        <f ca="1">gr(calculs!BR142)</f>
        <v>#NAME?</v>
      </c>
      <c r="I142" s="535"/>
      <c r="J142" s="535" t="e">
        <f>NA()</f>
        <v>#N/A</v>
      </c>
      <c r="K142" s="535" t="e">
        <f>NA()</f>
        <v>#N/A</v>
      </c>
      <c r="L142" s="535" t="e">
        <f>NA()</f>
        <v>#N/A</v>
      </c>
      <c r="M142" s="535" t="e">
        <f>NA()</f>
        <v>#N/A</v>
      </c>
      <c r="N142" s="535" t="e">
        <f>NA()</f>
        <v>#N/A</v>
      </c>
      <c r="O142" s="535" t="e">
        <f>NA()</f>
        <v>#N/A</v>
      </c>
      <c r="P142" s="535" t="e">
        <f>NA()</f>
        <v>#N/A</v>
      </c>
    </row>
    <row r="143" spans="1:16" x14ac:dyDescent="0.2">
      <c r="A143" s="222">
        <f>calculs!A143</f>
        <v>44694</v>
      </c>
      <c r="B143" s="535" t="e">
        <f ca="1">gr(calculs!BL143)</f>
        <v>#NAME?</v>
      </c>
      <c r="C143" s="535" t="e">
        <f ca="1">gr(calculs!BM143)</f>
        <v>#NAME?</v>
      </c>
      <c r="D143" s="535" t="e">
        <f ca="1">gr(calculs!BN143)</f>
        <v>#NAME?</v>
      </c>
      <c r="E143" s="535" t="e">
        <f ca="1">gr(calculs!BO143)</f>
        <v>#NAME?</v>
      </c>
      <c r="F143" s="535" t="e">
        <f ca="1">gr(calculs!BP143)</f>
        <v>#NAME?</v>
      </c>
      <c r="G143" s="535" t="e">
        <f ca="1">gr(calculs!BQ143)</f>
        <v>#NAME?</v>
      </c>
      <c r="H143" s="535" t="e">
        <f ca="1">gr(calculs!BR143)</f>
        <v>#NAME?</v>
      </c>
      <c r="I143" s="535"/>
      <c r="J143" s="535" t="e">
        <f>NA()</f>
        <v>#N/A</v>
      </c>
      <c r="K143" s="535" t="e">
        <f>NA()</f>
        <v>#N/A</v>
      </c>
      <c r="L143" s="535" t="e">
        <f>NA()</f>
        <v>#N/A</v>
      </c>
      <c r="M143" s="535" t="e">
        <f>NA()</f>
        <v>#N/A</v>
      </c>
      <c r="N143" s="535" t="e">
        <f>NA()</f>
        <v>#N/A</v>
      </c>
      <c r="O143" s="535" t="e">
        <f>NA()</f>
        <v>#N/A</v>
      </c>
      <c r="P143" s="535" t="e">
        <f>NA()</f>
        <v>#N/A</v>
      </c>
    </row>
    <row r="144" spans="1:16" x14ac:dyDescent="0.2">
      <c r="A144" s="222">
        <f>calculs!A144</f>
        <v>44695</v>
      </c>
      <c r="B144" s="535" t="e">
        <f ca="1">gr(calculs!BL144)</f>
        <v>#NAME?</v>
      </c>
      <c r="C144" s="535" t="e">
        <f ca="1">gr(calculs!BM144)</f>
        <v>#NAME?</v>
      </c>
      <c r="D144" s="535" t="e">
        <f ca="1">gr(calculs!BN144)</f>
        <v>#NAME?</v>
      </c>
      <c r="E144" s="535" t="e">
        <f ca="1">gr(calculs!BO144)</f>
        <v>#NAME?</v>
      </c>
      <c r="F144" s="535" t="e">
        <f ca="1">gr(calculs!BP144)</f>
        <v>#NAME?</v>
      </c>
      <c r="G144" s="535" t="e">
        <f ca="1">gr(calculs!BQ144)</f>
        <v>#NAME?</v>
      </c>
      <c r="H144" s="535" t="e">
        <f ca="1">gr(calculs!BR144)</f>
        <v>#NAME?</v>
      </c>
      <c r="I144" s="535"/>
      <c r="J144" s="535" t="e">
        <f>NA()</f>
        <v>#N/A</v>
      </c>
      <c r="K144" s="535" t="e">
        <f>NA()</f>
        <v>#N/A</v>
      </c>
      <c r="L144" s="535" t="e">
        <f>NA()</f>
        <v>#N/A</v>
      </c>
      <c r="M144" s="535" t="e">
        <f>NA()</f>
        <v>#N/A</v>
      </c>
      <c r="N144" s="535" t="e">
        <f>NA()</f>
        <v>#N/A</v>
      </c>
      <c r="O144" s="535" t="e">
        <f>NA()</f>
        <v>#N/A</v>
      </c>
      <c r="P144" s="535" t="e">
        <f>NA()</f>
        <v>#N/A</v>
      </c>
    </row>
    <row r="145" spans="1:16" x14ac:dyDescent="0.2">
      <c r="A145" s="222">
        <f>calculs!A145</f>
        <v>44696</v>
      </c>
      <c r="B145" s="535" t="e">
        <f ca="1">gr(calculs!BL145)</f>
        <v>#NAME?</v>
      </c>
      <c r="C145" s="535" t="e">
        <f ca="1">gr(calculs!BM145)</f>
        <v>#NAME?</v>
      </c>
      <c r="D145" s="535" t="e">
        <f ca="1">gr(calculs!BN145)</f>
        <v>#NAME?</v>
      </c>
      <c r="E145" s="535" t="e">
        <f ca="1">gr(calculs!BO145)</f>
        <v>#NAME?</v>
      </c>
      <c r="F145" s="535" t="e">
        <f ca="1">gr(calculs!BP145)</f>
        <v>#NAME?</v>
      </c>
      <c r="G145" s="535" t="e">
        <f ca="1">gr(calculs!BQ145)</f>
        <v>#NAME?</v>
      </c>
      <c r="H145" s="535" t="e">
        <f ca="1">gr(calculs!BR145)</f>
        <v>#NAME?</v>
      </c>
      <c r="I145" s="535"/>
      <c r="J145" s="535" t="e">
        <f>NA()</f>
        <v>#N/A</v>
      </c>
      <c r="K145" s="535" t="e">
        <f>NA()</f>
        <v>#N/A</v>
      </c>
      <c r="L145" s="535" t="e">
        <f>NA()</f>
        <v>#N/A</v>
      </c>
      <c r="M145" s="535" t="e">
        <f>NA()</f>
        <v>#N/A</v>
      </c>
      <c r="N145" s="535" t="e">
        <f>NA()</f>
        <v>#N/A</v>
      </c>
      <c r="O145" s="535" t="e">
        <f>NA()</f>
        <v>#N/A</v>
      </c>
      <c r="P145" s="535" t="e">
        <f>NA()</f>
        <v>#N/A</v>
      </c>
    </row>
    <row r="146" spans="1:16" x14ac:dyDescent="0.2">
      <c r="A146" s="222">
        <f>calculs!A146</f>
        <v>44697</v>
      </c>
      <c r="B146" s="535" t="e">
        <f ca="1">gr(calculs!BL146)</f>
        <v>#NAME?</v>
      </c>
      <c r="C146" s="535" t="e">
        <f ca="1">gr(calculs!BM146)</f>
        <v>#NAME?</v>
      </c>
      <c r="D146" s="535" t="e">
        <f ca="1">gr(calculs!BN146)</f>
        <v>#NAME?</v>
      </c>
      <c r="E146" s="535" t="e">
        <f ca="1">gr(calculs!BO146)</f>
        <v>#NAME?</v>
      </c>
      <c r="F146" s="535" t="e">
        <f ca="1">gr(calculs!BP146)</f>
        <v>#NAME?</v>
      </c>
      <c r="G146" s="535" t="e">
        <f ca="1">gr(calculs!BQ146)</f>
        <v>#NAME?</v>
      </c>
      <c r="H146" s="535" t="e">
        <f ca="1">gr(calculs!BR146)</f>
        <v>#NAME?</v>
      </c>
      <c r="I146" s="535"/>
      <c r="J146" s="535" t="e">
        <f>NA()</f>
        <v>#N/A</v>
      </c>
      <c r="K146" s="535" t="e">
        <f>NA()</f>
        <v>#N/A</v>
      </c>
      <c r="L146" s="535" t="e">
        <f>NA()</f>
        <v>#N/A</v>
      </c>
      <c r="M146" s="535" t="e">
        <f>NA()</f>
        <v>#N/A</v>
      </c>
      <c r="N146" s="535" t="e">
        <f>NA()</f>
        <v>#N/A</v>
      </c>
      <c r="O146" s="535" t="e">
        <f>NA()</f>
        <v>#N/A</v>
      </c>
      <c r="P146" s="535" t="e">
        <f>NA()</f>
        <v>#N/A</v>
      </c>
    </row>
    <row r="147" spans="1:16" x14ac:dyDescent="0.2">
      <c r="A147" s="222">
        <f>calculs!A147</f>
        <v>44698</v>
      </c>
      <c r="B147" s="535" t="e">
        <f ca="1">gr(calculs!BL147)</f>
        <v>#NAME?</v>
      </c>
      <c r="C147" s="535" t="e">
        <f ca="1">gr(calculs!BM147)</f>
        <v>#NAME?</v>
      </c>
      <c r="D147" s="535" t="e">
        <f ca="1">gr(calculs!BN147)</f>
        <v>#NAME?</v>
      </c>
      <c r="E147" s="535" t="e">
        <f ca="1">gr(calculs!BO147)</f>
        <v>#NAME?</v>
      </c>
      <c r="F147" s="535" t="e">
        <f ca="1">gr(calculs!BP147)</f>
        <v>#NAME?</v>
      </c>
      <c r="G147" s="535" t="e">
        <f ca="1">gr(calculs!BQ147)</f>
        <v>#NAME?</v>
      </c>
      <c r="H147" s="535" t="e">
        <f ca="1">gr(calculs!BR147)</f>
        <v>#NAME?</v>
      </c>
      <c r="I147" s="535"/>
      <c r="J147" s="535" t="e">
        <f>NA()</f>
        <v>#N/A</v>
      </c>
      <c r="K147" s="535" t="e">
        <f>NA()</f>
        <v>#N/A</v>
      </c>
      <c r="L147" s="535" t="e">
        <f>NA()</f>
        <v>#N/A</v>
      </c>
      <c r="M147" s="535" t="e">
        <f>NA()</f>
        <v>#N/A</v>
      </c>
      <c r="N147" s="535" t="e">
        <f>NA()</f>
        <v>#N/A</v>
      </c>
      <c r="O147" s="535" t="e">
        <f>NA()</f>
        <v>#N/A</v>
      </c>
      <c r="P147" s="535" t="e">
        <f>NA()</f>
        <v>#N/A</v>
      </c>
    </row>
    <row r="148" spans="1:16" x14ac:dyDescent="0.2">
      <c r="A148" s="222">
        <f>calculs!A148</f>
        <v>44699</v>
      </c>
      <c r="B148" s="535" t="e">
        <f ca="1">gr(calculs!BL148)</f>
        <v>#NAME?</v>
      </c>
      <c r="C148" s="535" t="e">
        <f ca="1">gr(calculs!BM148)</f>
        <v>#NAME?</v>
      </c>
      <c r="D148" s="535" t="e">
        <f ca="1">gr(calculs!BN148)</f>
        <v>#NAME?</v>
      </c>
      <c r="E148" s="535" t="e">
        <f ca="1">gr(calculs!BO148)</f>
        <v>#NAME?</v>
      </c>
      <c r="F148" s="535" t="e">
        <f ca="1">gr(calculs!BP148)</f>
        <v>#NAME?</v>
      </c>
      <c r="G148" s="535" t="e">
        <f ca="1">gr(calculs!BQ148)</f>
        <v>#NAME?</v>
      </c>
      <c r="H148" s="535" t="e">
        <f ca="1">gr(calculs!BR148)</f>
        <v>#NAME?</v>
      </c>
      <c r="I148" s="535"/>
      <c r="J148" s="535" t="e">
        <f>NA()</f>
        <v>#N/A</v>
      </c>
      <c r="K148" s="535" t="e">
        <f>NA()</f>
        <v>#N/A</v>
      </c>
      <c r="L148" s="535" t="e">
        <f>NA()</f>
        <v>#N/A</v>
      </c>
      <c r="M148" s="535" t="e">
        <f>NA()</f>
        <v>#N/A</v>
      </c>
      <c r="N148" s="535" t="e">
        <f>NA()</f>
        <v>#N/A</v>
      </c>
      <c r="O148" s="535" t="e">
        <f>NA()</f>
        <v>#N/A</v>
      </c>
      <c r="P148" s="535" t="e">
        <f>NA()</f>
        <v>#N/A</v>
      </c>
    </row>
    <row r="149" spans="1:16" x14ac:dyDescent="0.2">
      <c r="A149" s="222">
        <f>calculs!A149</f>
        <v>44700</v>
      </c>
      <c r="B149" s="535" t="e">
        <f ca="1">gr(calculs!BL149)</f>
        <v>#NAME?</v>
      </c>
      <c r="C149" s="535" t="e">
        <f ca="1">gr(calculs!BM149)</f>
        <v>#NAME?</v>
      </c>
      <c r="D149" s="535" t="e">
        <f ca="1">gr(calculs!BN149)</f>
        <v>#NAME?</v>
      </c>
      <c r="E149" s="535" t="e">
        <f ca="1">gr(calculs!BO149)</f>
        <v>#NAME?</v>
      </c>
      <c r="F149" s="535" t="e">
        <f ca="1">gr(calculs!BP149)</f>
        <v>#NAME?</v>
      </c>
      <c r="G149" s="535" t="e">
        <f ca="1">gr(calculs!BQ149)</f>
        <v>#NAME?</v>
      </c>
      <c r="H149" s="535" t="e">
        <f ca="1">gr(calculs!BR149)</f>
        <v>#NAME?</v>
      </c>
      <c r="I149" s="535"/>
      <c r="J149" s="535" t="e">
        <f>NA()</f>
        <v>#N/A</v>
      </c>
      <c r="K149" s="535" t="e">
        <f>NA()</f>
        <v>#N/A</v>
      </c>
      <c r="L149" s="535" t="e">
        <f>NA()</f>
        <v>#N/A</v>
      </c>
      <c r="M149" s="535" t="e">
        <f>NA()</f>
        <v>#N/A</v>
      </c>
      <c r="N149" s="535" t="e">
        <f>NA()</f>
        <v>#N/A</v>
      </c>
      <c r="O149" s="535" t="e">
        <f>NA()</f>
        <v>#N/A</v>
      </c>
      <c r="P149" s="535" t="e">
        <f>NA()</f>
        <v>#N/A</v>
      </c>
    </row>
    <row r="150" spans="1:16" x14ac:dyDescent="0.2">
      <c r="A150" s="222">
        <f>calculs!A150</f>
        <v>44701</v>
      </c>
      <c r="B150" s="535" t="e">
        <f ca="1">gr(calculs!BL150)</f>
        <v>#NAME?</v>
      </c>
      <c r="C150" s="535" t="e">
        <f ca="1">gr(calculs!BM150)</f>
        <v>#NAME?</v>
      </c>
      <c r="D150" s="535" t="e">
        <f ca="1">gr(calculs!BN150)</f>
        <v>#NAME?</v>
      </c>
      <c r="E150" s="535" t="e">
        <f ca="1">gr(calculs!BO150)</f>
        <v>#NAME?</v>
      </c>
      <c r="F150" s="535" t="e">
        <f ca="1">gr(calculs!BP150)</f>
        <v>#NAME?</v>
      </c>
      <c r="G150" s="535" t="e">
        <f ca="1">gr(calculs!BQ150)</f>
        <v>#NAME?</v>
      </c>
      <c r="H150" s="535" t="e">
        <f ca="1">gr(calculs!BR150)</f>
        <v>#NAME?</v>
      </c>
      <c r="I150" s="535"/>
      <c r="J150" s="535" t="e">
        <f>NA()</f>
        <v>#N/A</v>
      </c>
      <c r="K150" s="535" t="e">
        <f>NA()</f>
        <v>#N/A</v>
      </c>
      <c r="L150" s="535" t="e">
        <f>NA()</f>
        <v>#N/A</v>
      </c>
      <c r="M150" s="535" t="e">
        <f>NA()</f>
        <v>#N/A</v>
      </c>
      <c r="N150" s="535" t="e">
        <f>NA()</f>
        <v>#N/A</v>
      </c>
      <c r="O150" s="535" t="e">
        <f>NA()</f>
        <v>#N/A</v>
      </c>
      <c r="P150" s="535" t="e">
        <f>NA()</f>
        <v>#N/A</v>
      </c>
    </row>
    <row r="151" spans="1:16" x14ac:dyDescent="0.2">
      <c r="A151" s="222">
        <f>calculs!A151</f>
        <v>44702</v>
      </c>
      <c r="B151" s="535" t="e">
        <f ca="1">gr(calculs!BL151)</f>
        <v>#NAME?</v>
      </c>
      <c r="C151" s="535" t="e">
        <f ca="1">gr(calculs!BM151)</f>
        <v>#NAME?</v>
      </c>
      <c r="D151" s="535" t="e">
        <f ca="1">gr(calculs!BN151)</f>
        <v>#NAME?</v>
      </c>
      <c r="E151" s="535" t="e">
        <f ca="1">gr(calculs!BO151)</f>
        <v>#NAME?</v>
      </c>
      <c r="F151" s="535" t="e">
        <f ca="1">gr(calculs!BP151)</f>
        <v>#NAME?</v>
      </c>
      <c r="G151" s="535" t="e">
        <f ca="1">gr(calculs!BQ151)</f>
        <v>#NAME?</v>
      </c>
      <c r="H151" s="535" t="e">
        <f ca="1">gr(calculs!BR151)</f>
        <v>#NAME?</v>
      </c>
      <c r="I151" s="535"/>
      <c r="J151" s="535" t="e">
        <f>NA()</f>
        <v>#N/A</v>
      </c>
      <c r="K151" s="535" t="e">
        <f>NA()</f>
        <v>#N/A</v>
      </c>
      <c r="L151" s="535" t="e">
        <f>NA()</f>
        <v>#N/A</v>
      </c>
      <c r="M151" s="535" t="e">
        <f>NA()</f>
        <v>#N/A</v>
      </c>
      <c r="N151" s="535" t="e">
        <f>NA()</f>
        <v>#N/A</v>
      </c>
      <c r="O151" s="535" t="e">
        <f>NA()</f>
        <v>#N/A</v>
      </c>
      <c r="P151" s="535" t="e">
        <f>NA()</f>
        <v>#N/A</v>
      </c>
    </row>
    <row r="152" spans="1:16" x14ac:dyDescent="0.2">
      <c r="A152" s="222">
        <f>calculs!A152</f>
        <v>44703</v>
      </c>
      <c r="B152" s="535" t="e">
        <f ca="1">gr(calculs!BL152)</f>
        <v>#NAME?</v>
      </c>
      <c r="C152" s="535" t="e">
        <f ca="1">gr(calculs!BM152)</f>
        <v>#NAME?</v>
      </c>
      <c r="D152" s="535" t="e">
        <f ca="1">gr(calculs!BN152)</f>
        <v>#NAME?</v>
      </c>
      <c r="E152" s="535" t="e">
        <f ca="1">gr(calculs!BO152)</f>
        <v>#NAME?</v>
      </c>
      <c r="F152" s="535" t="e">
        <f ca="1">gr(calculs!BP152)</f>
        <v>#NAME?</v>
      </c>
      <c r="G152" s="535" t="e">
        <f ca="1">gr(calculs!BQ152)</f>
        <v>#NAME?</v>
      </c>
      <c r="H152" s="535" t="e">
        <f ca="1">gr(calculs!BR152)</f>
        <v>#NAME?</v>
      </c>
      <c r="I152" s="535"/>
      <c r="J152" s="535" t="e">
        <f>NA()</f>
        <v>#N/A</v>
      </c>
      <c r="K152" s="535" t="e">
        <f>NA()</f>
        <v>#N/A</v>
      </c>
      <c r="L152" s="535" t="e">
        <f>NA()</f>
        <v>#N/A</v>
      </c>
      <c r="M152" s="535" t="e">
        <f>NA()</f>
        <v>#N/A</v>
      </c>
      <c r="N152" s="535" t="e">
        <f>NA()</f>
        <v>#N/A</v>
      </c>
      <c r="O152" s="535" t="e">
        <f>NA()</f>
        <v>#N/A</v>
      </c>
      <c r="P152" s="535" t="e">
        <f>NA()</f>
        <v>#N/A</v>
      </c>
    </row>
    <row r="153" spans="1:16" x14ac:dyDescent="0.2">
      <c r="A153" s="222">
        <f>calculs!A153</f>
        <v>44704</v>
      </c>
      <c r="B153" s="535" t="e">
        <f ca="1">gr(calculs!BL153)</f>
        <v>#NAME?</v>
      </c>
      <c r="C153" s="535" t="e">
        <f ca="1">gr(calculs!BM153)</f>
        <v>#NAME?</v>
      </c>
      <c r="D153" s="535" t="e">
        <f ca="1">gr(calculs!BN153)</f>
        <v>#NAME?</v>
      </c>
      <c r="E153" s="535" t="e">
        <f ca="1">gr(calculs!BO153)</f>
        <v>#NAME?</v>
      </c>
      <c r="F153" s="535" t="e">
        <f ca="1">gr(calculs!BP153)</f>
        <v>#NAME?</v>
      </c>
      <c r="G153" s="535" t="e">
        <f ca="1">gr(calculs!BQ153)</f>
        <v>#NAME?</v>
      </c>
      <c r="H153" s="535" t="e">
        <f ca="1">gr(calculs!BR153)</f>
        <v>#NAME?</v>
      </c>
      <c r="I153" s="535"/>
      <c r="J153" s="535" t="e">
        <f>NA()</f>
        <v>#N/A</v>
      </c>
      <c r="K153" s="535" t="e">
        <f>NA()</f>
        <v>#N/A</v>
      </c>
      <c r="L153" s="535" t="e">
        <f>NA()</f>
        <v>#N/A</v>
      </c>
      <c r="M153" s="535" t="e">
        <f>NA()</f>
        <v>#N/A</v>
      </c>
      <c r="N153" s="535" t="e">
        <f>NA()</f>
        <v>#N/A</v>
      </c>
      <c r="O153" s="535" t="e">
        <f>NA()</f>
        <v>#N/A</v>
      </c>
      <c r="P153" s="535" t="e">
        <f>NA()</f>
        <v>#N/A</v>
      </c>
    </row>
    <row r="154" spans="1:16" x14ac:dyDescent="0.2">
      <c r="A154" s="222">
        <f>calculs!A154</f>
        <v>44705</v>
      </c>
      <c r="B154" s="535" t="e">
        <f ca="1">gr(calculs!BL154)</f>
        <v>#NAME?</v>
      </c>
      <c r="C154" s="535" t="e">
        <f ca="1">gr(calculs!BM154)</f>
        <v>#NAME?</v>
      </c>
      <c r="D154" s="535" t="e">
        <f ca="1">gr(calculs!BN154)</f>
        <v>#NAME?</v>
      </c>
      <c r="E154" s="535" t="e">
        <f ca="1">gr(calculs!BO154)</f>
        <v>#NAME?</v>
      </c>
      <c r="F154" s="535" t="e">
        <f ca="1">gr(calculs!BP154)</f>
        <v>#NAME?</v>
      </c>
      <c r="G154" s="535" t="e">
        <f ca="1">gr(calculs!BQ154)</f>
        <v>#NAME?</v>
      </c>
      <c r="H154" s="535" t="e">
        <f ca="1">gr(calculs!BR154)</f>
        <v>#NAME?</v>
      </c>
      <c r="I154" s="535"/>
      <c r="J154" s="535" t="e">
        <f>NA()</f>
        <v>#N/A</v>
      </c>
      <c r="K154" s="535" t="e">
        <f>NA()</f>
        <v>#N/A</v>
      </c>
      <c r="L154" s="535" t="e">
        <f>NA()</f>
        <v>#N/A</v>
      </c>
      <c r="M154" s="535" t="e">
        <f>NA()</f>
        <v>#N/A</v>
      </c>
      <c r="N154" s="535" t="e">
        <f>NA()</f>
        <v>#N/A</v>
      </c>
      <c r="O154" s="535" t="e">
        <f>NA()</f>
        <v>#N/A</v>
      </c>
      <c r="P154" s="535" t="e">
        <f>NA()</f>
        <v>#N/A</v>
      </c>
    </row>
    <row r="155" spans="1:16" x14ac:dyDescent="0.2">
      <c r="A155" s="222">
        <f>calculs!A155</f>
        <v>44706</v>
      </c>
      <c r="B155" s="535" t="e">
        <f ca="1">gr(calculs!BL155)</f>
        <v>#NAME?</v>
      </c>
      <c r="C155" s="535" t="e">
        <f ca="1">gr(calculs!BM155)</f>
        <v>#NAME?</v>
      </c>
      <c r="D155" s="535" t="e">
        <f ca="1">gr(calculs!BN155)</f>
        <v>#NAME?</v>
      </c>
      <c r="E155" s="535" t="e">
        <f ca="1">gr(calculs!BO155)</f>
        <v>#NAME?</v>
      </c>
      <c r="F155" s="535" t="e">
        <f ca="1">gr(calculs!BP155)</f>
        <v>#NAME?</v>
      </c>
      <c r="G155" s="535" t="e">
        <f ca="1">gr(calculs!BQ155)</f>
        <v>#NAME?</v>
      </c>
      <c r="H155" s="535" t="e">
        <f ca="1">gr(calculs!BR155)</f>
        <v>#NAME?</v>
      </c>
      <c r="I155" s="535"/>
      <c r="J155" s="535" t="e">
        <f>NA()</f>
        <v>#N/A</v>
      </c>
      <c r="K155" s="535" t="e">
        <f>NA()</f>
        <v>#N/A</v>
      </c>
      <c r="L155" s="535" t="e">
        <f>NA()</f>
        <v>#N/A</v>
      </c>
      <c r="M155" s="535" t="e">
        <f>NA()</f>
        <v>#N/A</v>
      </c>
      <c r="N155" s="535" t="e">
        <f>NA()</f>
        <v>#N/A</v>
      </c>
      <c r="O155" s="535" t="e">
        <f>NA()</f>
        <v>#N/A</v>
      </c>
      <c r="P155" s="535" t="e">
        <f>NA()</f>
        <v>#N/A</v>
      </c>
    </row>
    <row r="156" spans="1:16" x14ac:dyDescent="0.2">
      <c r="A156" s="222">
        <f>calculs!A156</f>
        <v>44707</v>
      </c>
      <c r="B156" s="535" t="e">
        <f ca="1">gr(calculs!BL156)</f>
        <v>#NAME?</v>
      </c>
      <c r="C156" s="535" t="e">
        <f ca="1">gr(calculs!BM156)</f>
        <v>#NAME?</v>
      </c>
      <c r="D156" s="535" t="e">
        <f ca="1">gr(calculs!BN156)</f>
        <v>#NAME?</v>
      </c>
      <c r="E156" s="535" t="e">
        <f ca="1">gr(calculs!BO156)</f>
        <v>#NAME?</v>
      </c>
      <c r="F156" s="535" t="e">
        <f ca="1">gr(calculs!BP156)</f>
        <v>#NAME?</v>
      </c>
      <c r="G156" s="535" t="e">
        <f ca="1">gr(calculs!BQ156)</f>
        <v>#NAME?</v>
      </c>
      <c r="H156" s="535" t="e">
        <f ca="1">gr(calculs!BR156)</f>
        <v>#NAME?</v>
      </c>
      <c r="I156" s="535"/>
      <c r="J156" s="535" t="e">
        <f>NA()</f>
        <v>#N/A</v>
      </c>
      <c r="K156" s="535" t="e">
        <f>NA()</f>
        <v>#N/A</v>
      </c>
      <c r="L156" s="535" t="e">
        <f>NA()</f>
        <v>#N/A</v>
      </c>
      <c r="M156" s="535" t="e">
        <f>NA()</f>
        <v>#N/A</v>
      </c>
      <c r="N156" s="535" t="e">
        <f>NA()</f>
        <v>#N/A</v>
      </c>
      <c r="O156" s="535" t="e">
        <f>NA()</f>
        <v>#N/A</v>
      </c>
      <c r="P156" s="535" t="e">
        <f>NA()</f>
        <v>#N/A</v>
      </c>
    </row>
    <row r="157" spans="1:16" x14ac:dyDescent="0.2">
      <c r="A157" s="222">
        <f>calculs!A157</f>
        <v>44708</v>
      </c>
      <c r="B157" s="535" t="e">
        <f ca="1">gr(calculs!BL157)</f>
        <v>#NAME?</v>
      </c>
      <c r="C157" s="535" t="e">
        <f ca="1">gr(calculs!BM157)</f>
        <v>#NAME?</v>
      </c>
      <c r="D157" s="535" t="e">
        <f ca="1">gr(calculs!BN157)</f>
        <v>#NAME?</v>
      </c>
      <c r="E157" s="535" t="e">
        <f ca="1">gr(calculs!BO157)</f>
        <v>#NAME?</v>
      </c>
      <c r="F157" s="535" t="e">
        <f ca="1">gr(calculs!BP157)</f>
        <v>#NAME?</v>
      </c>
      <c r="G157" s="535" t="e">
        <f ca="1">gr(calculs!BQ157)</f>
        <v>#NAME?</v>
      </c>
      <c r="H157" s="535" t="e">
        <f ca="1">gr(calculs!BR157)</f>
        <v>#NAME?</v>
      </c>
      <c r="I157" s="535"/>
      <c r="J157" s="535" t="e">
        <f>NA()</f>
        <v>#N/A</v>
      </c>
      <c r="K157" s="535" t="e">
        <f>NA()</f>
        <v>#N/A</v>
      </c>
      <c r="L157" s="535" t="e">
        <f>NA()</f>
        <v>#N/A</v>
      </c>
      <c r="M157" s="535" t="e">
        <f>NA()</f>
        <v>#N/A</v>
      </c>
      <c r="N157" s="535" t="e">
        <f>NA()</f>
        <v>#N/A</v>
      </c>
      <c r="O157" s="535" t="e">
        <f>NA()</f>
        <v>#N/A</v>
      </c>
      <c r="P157" s="535" t="e">
        <f>NA()</f>
        <v>#N/A</v>
      </c>
    </row>
    <row r="158" spans="1:16" x14ac:dyDescent="0.2">
      <c r="A158" s="222">
        <f>calculs!A158</f>
        <v>44709</v>
      </c>
      <c r="B158" s="535" t="e">
        <f ca="1">gr(calculs!BL158)</f>
        <v>#NAME?</v>
      </c>
      <c r="C158" s="535" t="e">
        <f ca="1">gr(calculs!BM158)</f>
        <v>#NAME?</v>
      </c>
      <c r="D158" s="535" t="e">
        <f ca="1">gr(calculs!BN158)</f>
        <v>#NAME?</v>
      </c>
      <c r="E158" s="535" t="e">
        <f ca="1">gr(calculs!BO158)</f>
        <v>#NAME?</v>
      </c>
      <c r="F158" s="535" t="e">
        <f ca="1">gr(calculs!BP158)</f>
        <v>#NAME?</v>
      </c>
      <c r="G158" s="535" t="e">
        <f ca="1">gr(calculs!BQ158)</f>
        <v>#NAME?</v>
      </c>
      <c r="H158" s="535" t="e">
        <f ca="1">gr(calculs!BR158)</f>
        <v>#NAME?</v>
      </c>
      <c r="I158" s="535"/>
      <c r="J158" s="535" t="e">
        <f>NA()</f>
        <v>#N/A</v>
      </c>
      <c r="K158" s="535" t="e">
        <f>NA()</f>
        <v>#N/A</v>
      </c>
      <c r="L158" s="535" t="e">
        <f>NA()</f>
        <v>#N/A</v>
      </c>
      <c r="M158" s="535" t="e">
        <f>NA()</f>
        <v>#N/A</v>
      </c>
      <c r="N158" s="535" t="e">
        <f>NA()</f>
        <v>#N/A</v>
      </c>
      <c r="O158" s="535" t="e">
        <f>NA()</f>
        <v>#N/A</v>
      </c>
      <c r="P158" s="535" t="e">
        <f>NA()</f>
        <v>#N/A</v>
      </c>
    </row>
    <row r="159" spans="1:16" x14ac:dyDescent="0.2">
      <c r="A159" s="222">
        <f>calculs!A159</f>
        <v>44710</v>
      </c>
      <c r="B159" s="535" t="e">
        <f ca="1">gr(calculs!BL159)</f>
        <v>#NAME?</v>
      </c>
      <c r="C159" s="535" t="e">
        <f ca="1">gr(calculs!BM159)</f>
        <v>#NAME?</v>
      </c>
      <c r="D159" s="535" t="e">
        <f ca="1">gr(calculs!BN159)</f>
        <v>#NAME?</v>
      </c>
      <c r="E159" s="535" t="e">
        <f ca="1">gr(calculs!BO159)</f>
        <v>#NAME?</v>
      </c>
      <c r="F159" s="535" t="e">
        <f ca="1">gr(calculs!BP159)</f>
        <v>#NAME?</v>
      </c>
      <c r="G159" s="535" t="e">
        <f ca="1">gr(calculs!BQ159)</f>
        <v>#NAME?</v>
      </c>
      <c r="H159" s="535" t="e">
        <f ca="1">gr(calculs!BR159)</f>
        <v>#NAME?</v>
      </c>
      <c r="I159" s="535"/>
      <c r="J159" s="535" t="e">
        <f>NA()</f>
        <v>#N/A</v>
      </c>
      <c r="K159" s="535" t="e">
        <f>NA()</f>
        <v>#N/A</v>
      </c>
      <c r="L159" s="535" t="e">
        <f>NA()</f>
        <v>#N/A</v>
      </c>
      <c r="M159" s="535" t="e">
        <f>NA()</f>
        <v>#N/A</v>
      </c>
      <c r="N159" s="535" t="e">
        <f>NA()</f>
        <v>#N/A</v>
      </c>
      <c r="O159" s="535" t="e">
        <f>NA()</f>
        <v>#N/A</v>
      </c>
      <c r="P159" s="535" t="e">
        <f>NA()</f>
        <v>#N/A</v>
      </c>
    </row>
    <row r="160" spans="1:16" x14ac:dyDescent="0.2">
      <c r="A160" s="222">
        <f>calculs!A160</f>
        <v>44711</v>
      </c>
      <c r="B160" s="535" t="e">
        <f ca="1">gr(calculs!BL160)</f>
        <v>#NAME?</v>
      </c>
      <c r="C160" s="535" t="e">
        <f ca="1">gr(calculs!BM160)</f>
        <v>#NAME?</v>
      </c>
      <c r="D160" s="535" t="e">
        <f ca="1">gr(calculs!BN160)</f>
        <v>#NAME?</v>
      </c>
      <c r="E160" s="535" t="e">
        <f ca="1">gr(calculs!BO160)</f>
        <v>#NAME?</v>
      </c>
      <c r="F160" s="535" t="e">
        <f ca="1">gr(calculs!BP160)</f>
        <v>#NAME?</v>
      </c>
      <c r="G160" s="535" t="e">
        <f ca="1">gr(calculs!BQ160)</f>
        <v>#NAME?</v>
      </c>
      <c r="H160" s="535" t="e">
        <f ca="1">gr(calculs!BR160)</f>
        <v>#NAME?</v>
      </c>
      <c r="I160" s="535"/>
      <c r="J160" s="535" t="e">
        <f>NA()</f>
        <v>#N/A</v>
      </c>
      <c r="K160" s="535" t="e">
        <f>NA()</f>
        <v>#N/A</v>
      </c>
      <c r="L160" s="535" t="e">
        <f>NA()</f>
        <v>#N/A</v>
      </c>
      <c r="M160" s="535" t="e">
        <f>NA()</f>
        <v>#N/A</v>
      </c>
      <c r="N160" s="535" t="e">
        <f>NA()</f>
        <v>#N/A</v>
      </c>
      <c r="O160" s="535" t="e">
        <f>NA()</f>
        <v>#N/A</v>
      </c>
      <c r="P160" s="535" t="e">
        <f>NA()</f>
        <v>#N/A</v>
      </c>
    </row>
    <row r="161" spans="1:16" x14ac:dyDescent="0.2">
      <c r="A161" s="222">
        <f>calculs!A161</f>
        <v>44712</v>
      </c>
      <c r="B161" s="535" t="e">
        <f ca="1">gr(calculs!BL161)</f>
        <v>#NAME?</v>
      </c>
      <c r="C161" s="535" t="e">
        <f ca="1">gr(calculs!BM161)</f>
        <v>#NAME?</v>
      </c>
      <c r="D161" s="535" t="e">
        <f ca="1">gr(calculs!BN161)</f>
        <v>#NAME?</v>
      </c>
      <c r="E161" s="535" t="e">
        <f ca="1">gr(calculs!BO161)</f>
        <v>#NAME?</v>
      </c>
      <c r="F161" s="535" t="e">
        <f ca="1">gr(calculs!BP161)</f>
        <v>#NAME?</v>
      </c>
      <c r="G161" s="535" t="e">
        <f ca="1">gr(calculs!BQ161)</f>
        <v>#NAME?</v>
      </c>
      <c r="H161" s="535" t="e">
        <f ca="1">gr(calculs!BR161)</f>
        <v>#NAME?</v>
      </c>
      <c r="I161" s="535"/>
      <c r="J161" s="535" t="e">
        <f>NA()</f>
        <v>#N/A</v>
      </c>
      <c r="K161" s="535" t="e">
        <f>NA()</f>
        <v>#N/A</v>
      </c>
      <c r="L161" s="535" t="e">
        <f>NA()</f>
        <v>#N/A</v>
      </c>
      <c r="M161" s="535" t="e">
        <f>NA()</f>
        <v>#N/A</v>
      </c>
      <c r="N161" s="535" t="e">
        <f>NA()</f>
        <v>#N/A</v>
      </c>
      <c r="O161" s="535" t="e">
        <f>NA()</f>
        <v>#N/A</v>
      </c>
      <c r="P161" s="535" t="e">
        <f>NA()</f>
        <v>#N/A</v>
      </c>
    </row>
    <row r="162" spans="1:16" x14ac:dyDescent="0.2">
      <c r="A162" s="222">
        <f>calculs!A162</f>
        <v>44713</v>
      </c>
      <c r="B162" s="535" t="e">
        <f ca="1">gr(calculs!BL162)</f>
        <v>#NAME?</v>
      </c>
      <c r="C162" s="535" t="e">
        <f ca="1">gr(calculs!BM162)</f>
        <v>#NAME?</v>
      </c>
      <c r="D162" s="535" t="e">
        <f ca="1">gr(calculs!BN162)</f>
        <v>#NAME?</v>
      </c>
      <c r="E162" s="535" t="e">
        <f ca="1">gr(calculs!BO162)</f>
        <v>#NAME?</v>
      </c>
      <c r="F162" s="535" t="e">
        <f ca="1">gr(calculs!BP162)</f>
        <v>#NAME?</v>
      </c>
      <c r="G162" s="535" t="e">
        <f ca="1">gr(calculs!BQ162)</f>
        <v>#NAME?</v>
      </c>
      <c r="H162" s="535" t="e">
        <f ca="1">gr(calculs!BR162)</f>
        <v>#NAME?</v>
      </c>
      <c r="I162" s="535"/>
      <c r="J162" s="535" t="e">
        <f>NA()</f>
        <v>#N/A</v>
      </c>
      <c r="K162" s="535" t="e">
        <f>NA()</f>
        <v>#N/A</v>
      </c>
      <c r="L162" s="535" t="e">
        <f>NA()</f>
        <v>#N/A</v>
      </c>
      <c r="M162" s="535" t="e">
        <f>NA()</f>
        <v>#N/A</v>
      </c>
      <c r="N162" s="535" t="e">
        <f>NA()</f>
        <v>#N/A</v>
      </c>
      <c r="O162" s="535" t="e">
        <f>NA()</f>
        <v>#N/A</v>
      </c>
      <c r="P162" s="535" t="e">
        <f>NA()</f>
        <v>#N/A</v>
      </c>
    </row>
    <row r="163" spans="1:16" x14ac:dyDescent="0.2">
      <c r="A163" s="222">
        <f>calculs!A163</f>
        <v>44714</v>
      </c>
      <c r="B163" s="535" t="e">
        <f ca="1">gr(calculs!BL163)</f>
        <v>#NAME?</v>
      </c>
      <c r="C163" s="535" t="e">
        <f ca="1">gr(calculs!BM163)</f>
        <v>#NAME?</v>
      </c>
      <c r="D163" s="535" t="e">
        <f ca="1">gr(calculs!BN163)</f>
        <v>#NAME?</v>
      </c>
      <c r="E163" s="535" t="e">
        <f ca="1">gr(calculs!BO163)</f>
        <v>#NAME?</v>
      </c>
      <c r="F163" s="535" t="e">
        <f ca="1">gr(calculs!BP163)</f>
        <v>#NAME?</v>
      </c>
      <c r="G163" s="535" t="e">
        <f ca="1">gr(calculs!BQ163)</f>
        <v>#NAME?</v>
      </c>
      <c r="H163" s="535" t="e">
        <f ca="1">gr(calculs!BR163)</f>
        <v>#NAME?</v>
      </c>
      <c r="I163" s="535"/>
      <c r="J163" s="535" t="e">
        <f>NA()</f>
        <v>#N/A</v>
      </c>
      <c r="K163" s="535" t="e">
        <f>NA()</f>
        <v>#N/A</v>
      </c>
      <c r="L163" s="535" t="e">
        <f>NA()</f>
        <v>#N/A</v>
      </c>
      <c r="M163" s="535" t="e">
        <f>NA()</f>
        <v>#N/A</v>
      </c>
      <c r="N163" s="535" t="e">
        <f>NA()</f>
        <v>#N/A</v>
      </c>
      <c r="O163" s="535" t="e">
        <f>NA()</f>
        <v>#N/A</v>
      </c>
      <c r="P163" s="535" t="e">
        <f>NA()</f>
        <v>#N/A</v>
      </c>
    </row>
    <row r="164" spans="1:16" x14ac:dyDescent="0.2">
      <c r="A164" s="222">
        <f>calculs!A164</f>
        <v>44715</v>
      </c>
      <c r="B164" s="535" t="e">
        <f ca="1">gr(calculs!BL164)</f>
        <v>#NAME?</v>
      </c>
      <c r="C164" s="535" t="e">
        <f ca="1">gr(calculs!BM164)</f>
        <v>#NAME?</v>
      </c>
      <c r="D164" s="535" t="e">
        <f ca="1">gr(calculs!BN164)</f>
        <v>#NAME?</v>
      </c>
      <c r="E164" s="535" t="e">
        <f ca="1">gr(calculs!BO164)</f>
        <v>#NAME?</v>
      </c>
      <c r="F164" s="535" t="e">
        <f ca="1">gr(calculs!BP164)</f>
        <v>#NAME?</v>
      </c>
      <c r="G164" s="535" t="e">
        <f ca="1">gr(calculs!BQ164)</f>
        <v>#NAME?</v>
      </c>
      <c r="H164" s="535" t="e">
        <f ca="1">gr(calculs!BR164)</f>
        <v>#NAME?</v>
      </c>
      <c r="I164" s="535"/>
      <c r="J164" s="535" t="e">
        <f>NA()</f>
        <v>#N/A</v>
      </c>
      <c r="K164" s="535" t="e">
        <f>NA()</f>
        <v>#N/A</v>
      </c>
      <c r="L164" s="535" t="e">
        <f>NA()</f>
        <v>#N/A</v>
      </c>
      <c r="M164" s="535" t="e">
        <f>NA()</f>
        <v>#N/A</v>
      </c>
      <c r="N164" s="535" t="e">
        <f>NA()</f>
        <v>#N/A</v>
      </c>
      <c r="O164" s="535" t="e">
        <f>NA()</f>
        <v>#N/A</v>
      </c>
      <c r="P164" s="535" t="e">
        <f>NA()</f>
        <v>#N/A</v>
      </c>
    </row>
    <row r="165" spans="1:16" x14ac:dyDescent="0.2">
      <c r="A165" s="222">
        <f>calculs!A165</f>
        <v>44716</v>
      </c>
      <c r="B165" s="535" t="e">
        <f ca="1">gr(calculs!BL165)</f>
        <v>#NAME?</v>
      </c>
      <c r="C165" s="535" t="e">
        <f ca="1">gr(calculs!BM165)</f>
        <v>#NAME?</v>
      </c>
      <c r="D165" s="535" t="e">
        <f ca="1">gr(calculs!BN165)</f>
        <v>#NAME?</v>
      </c>
      <c r="E165" s="535" t="e">
        <f ca="1">gr(calculs!BO165)</f>
        <v>#NAME?</v>
      </c>
      <c r="F165" s="535" t="e">
        <f ca="1">gr(calculs!BP165)</f>
        <v>#NAME?</v>
      </c>
      <c r="G165" s="535" t="e">
        <f ca="1">gr(calculs!BQ165)</f>
        <v>#NAME?</v>
      </c>
      <c r="H165" s="535" t="e">
        <f ca="1">gr(calculs!BR165)</f>
        <v>#NAME?</v>
      </c>
      <c r="I165" s="535"/>
      <c r="J165" s="535" t="e">
        <f>NA()</f>
        <v>#N/A</v>
      </c>
      <c r="K165" s="535" t="e">
        <f>NA()</f>
        <v>#N/A</v>
      </c>
      <c r="L165" s="535" t="e">
        <f>NA()</f>
        <v>#N/A</v>
      </c>
      <c r="M165" s="535" t="e">
        <f>NA()</f>
        <v>#N/A</v>
      </c>
      <c r="N165" s="535" t="e">
        <f>NA()</f>
        <v>#N/A</v>
      </c>
      <c r="O165" s="535" t="e">
        <f>NA()</f>
        <v>#N/A</v>
      </c>
      <c r="P165" s="535" t="e">
        <f>NA()</f>
        <v>#N/A</v>
      </c>
    </row>
    <row r="166" spans="1:16" x14ac:dyDescent="0.2">
      <c r="A166" s="222">
        <f>calculs!A166</f>
        <v>44717</v>
      </c>
      <c r="B166" s="535" t="e">
        <f ca="1">gr(calculs!BL166)</f>
        <v>#NAME?</v>
      </c>
      <c r="C166" s="535" t="e">
        <f ca="1">gr(calculs!BM166)</f>
        <v>#NAME?</v>
      </c>
      <c r="D166" s="535" t="e">
        <f ca="1">gr(calculs!BN166)</f>
        <v>#NAME?</v>
      </c>
      <c r="E166" s="535" t="e">
        <f ca="1">gr(calculs!BO166)</f>
        <v>#NAME?</v>
      </c>
      <c r="F166" s="535" t="e">
        <f ca="1">gr(calculs!BP166)</f>
        <v>#NAME?</v>
      </c>
      <c r="G166" s="535" t="e">
        <f ca="1">gr(calculs!BQ166)</f>
        <v>#NAME?</v>
      </c>
      <c r="H166" s="535" t="e">
        <f ca="1">gr(calculs!BR166)</f>
        <v>#NAME?</v>
      </c>
      <c r="I166" s="535"/>
      <c r="J166" s="535" t="e">
        <f>NA()</f>
        <v>#N/A</v>
      </c>
      <c r="K166" s="535" t="e">
        <f>NA()</f>
        <v>#N/A</v>
      </c>
      <c r="L166" s="535" t="e">
        <f>NA()</f>
        <v>#N/A</v>
      </c>
      <c r="M166" s="535" t="e">
        <f>NA()</f>
        <v>#N/A</v>
      </c>
      <c r="N166" s="535" t="e">
        <f>NA()</f>
        <v>#N/A</v>
      </c>
      <c r="O166" s="535" t="e">
        <f>NA()</f>
        <v>#N/A</v>
      </c>
      <c r="P166" s="535" t="e">
        <f>NA()</f>
        <v>#N/A</v>
      </c>
    </row>
    <row r="167" spans="1:16" x14ac:dyDescent="0.2">
      <c r="A167" s="222">
        <f>calculs!A167</f>
        <v>44718</v>
      </c>
      <c r="B167" s="535" t="e">
        <f ca="1">gr(calculs!BL167)</f>
        <v>#NAME?</v>
      </c>
      <c r="C167" s="535" t="e">
        <f ca="1">gr(calculs!BM167)</f>
        <v>#NAME?</v>
      </c>
      <c r="D167" s="535" t="e">
        <f ca="1">gr(calculs!BN167)</f>
        <v>#NAME?</v>
      </c>
      <c r="E167" s="535" t="e">
        <f ca="1">gr(calculs!BO167)</f>
        <v>#NAME?</v>
      </c>
      <c r="F167" s="535" t="e">
        <f ca="1">gr(calculs!BP167)</f>
        <v>#NAME?</v>
      </c>
      <c r="G167" s="535" t="e">
        <f ca="1">gr(calculs!BQ167)</f>
        <v>#NAME?</v>
      </c>
      <c r="H167" s="535" t="e">
        <f ca="1">gr(calculs!BR167)</f>
        <v>#NAME?</v>
      </c>
      <c r="I167" s="535"/>
      <c r="J167" s="535" t="e">
        <f>NA()</f>
        <v>#N/A</v>
      </c>
      <c r="K167" s="535" t="e">
        <f>NA()</f>
        <v>#N/A</v>
      </c>
      <c r="L167" s="535" t="e">
        <f>NA()</f>
        <v>#N/A</v>
      </c>
      <c r="M167" s="535" t="e">
        <f>NA()</f>
        <v>#N/A</v>
      </c>
      <c r="N167" s="535" t="e">
        <f>NA()</f>
        <v>#N/A</v>
      </c>
      <c r="O167" s="535" t="e">
        <f>NA()</f>
        <v>#N/A</v>
      </c>
      <c r="P167" s="535" t="e">
        <f>NA()</f>
        <v>#N/A</v>
      </c>
    </row>
    <row r="168" spans="1:16" x14ac:dyDescent="0.2">
      <c r="A168" s="222">
        <f>calculs!A168</f>
        <v>44719</v>
      </c>
      <c r="B168" s="535" t="e">
        <f ca="1">gr(calculs!BL168)</f>
        <v>#NAME?</v>
      </c>
      <c r="C168" s="535" t="e">
        <f ca="1">gr(calculs!BM168)</f>
        <v>#NAME?</v>
      </c>
      <c r="D168" s="535" t="e">
        <f ca="1">gr(calculs!BN168)</f>
        <v>#NAME?</v>
      </c>
      <c r="E168" s="535" t="e">
        <f ca="1">gr(calculs!BO168)</f>
        <v>#NAME?</v>
      </c>
      <c r="F168" s="535" t="e">
        <f ca="1">gr(calculs!BP168)</f>
        <v>#NAME?</v>
      </c>
      <c r="G168" s="535" t="e">
        <f ca="1">gr(calculs!BQ168)</f>
        <v>#NAME?</v>
      </c>
      <c r="H168" s="535" t="e">
        <f ca="1">gr(calculs!BR168)</f>
        <v>#NAME?</v>
      </c>
      <c r="I168" s="535"/>
      <c r="J168" s="535" t="e">
        <f>NA()</f>
        <v>#N/A</v>
      </c>
      <c r="K168" s="535" t="e">
        <f>NA()</f>
        <v>#N/A</v>
      </c>
      <c r="L168" s="535" t="e">
        <f>NA()</f>
        <v>#N/A</v>
      </c>
      <c r="M168" s="535" t="e">
        <f>NA()</f>
        <v>#N/A</v>
      </c>
      <c r="N168" s="535" t="e">
        <f>NA()</f>
        <v>#N/A</v>
      </c>
      <c r="O168" s="535" t="e">
        <f>NA()</f>
        <v>#N/A</v>
      </c>
      <c r="P168" s="535" t="e">
        <f>NA()</f>
        <v>#N/A</v>
      </c>
    </row>
    <row r="169" spans="1:16" x14ac:dyDescent="0.2">
      <c r="A169" s="222">
        <f>calculs!A169</f>
        <v>44720</v>
      </c>
      <c r="B169" s="535" t="e">
        <f ca="1">gr(calculs!BL169)</f>
        <v>#NAME?</v>
      </c>
      <c r="C169" s="535" t="e">
        <f ca="1">gr(calculs!BM169)</f>
        <v>#NAME?</v>
      </c>
      <c r="D169" s="535" t="e">
        <f ca="1">gr(calculs!BN169)</f>
        <v>#NAME?</v>
      </c>
      <c r="E169" s="535" t="e">
        <f ca="1">gr(calculs!BO169)</f>
        <v>#NAME?</v>
      </c>
      <c r="F169" s="535" t="e">
        <f ca="1">gr(calculs!BP169)</f>
        <v>#NAME?</v>
      </c>
      <c r="G169" s="535" t="e">
        <f ca="1">gr(calculs!BQ169)</f>
        <v>#NAME?</v>
      </c>
      <c r="H169" s="535" t="e">
        <f ca="1">gr(calculs!BR169)</f>
        <v>#NAME?</v>
      </c>
      <c r="I169" s="535"/>
      <c r="J169" s="535" t="e">
        <f>NA()</f>
        <v>#N/A</v>
      </c>
      <c r="K169" s="535" t="e">
        <f>NA()</f>
        <v>#N/A</v>
      </c>
      <c r="L169" s="535" t="e">
        <f>NA()</f>
        <v>#N/A</v>
      </c>
      <c r="M169" s="535" t="e">
        <f>NA()</f>
        <v>#N/A</v>
      </c>
      <c r="N169" s="535" t="e">
        <f>NA()</f>
        <v>#N/A</v>
      </c>
      <c r="O169" s="535" t="e">
        <f>NA()</f>
        <v>#N/A</v>
      </c>
      <c r="P169" s="535" t="e">
        <f>NA()</f>
        <v>#N/A</v>
      </c>
    </row>
    <row r="170" spans="1:16" x14ac:dyDescent="0.2">
      <c r="A170" s="222">
        <f>calculs!A170</f>
        <v>44721</v>
      </c>
      <c r="B170" s="535" t="e">
        <f ca="1">gr(calculs!BL170)</f>
        <v>#NAME?</v>
      </c>
      <c r="C170" s="535" t="e">
        <f ca="1">gr(calculs!BM170)</f>
        <v>#NAME?</v>
      </c>
      <c r="D170" s="535" t="e">
        <f ca="1">gr(calculs!BN170)</f>
        <v>#NAME?</v>
      </c>
      <c r="E170" s="535" t="e">
        <f ca="1">gr(calculs!BO170)</f>
        <v>#NAME?</v>
      </c>
      <c r="F170" s="535" t="e">
        <f ca="1">gr(calculs!BP170)</f>
        <v>#NAME?</v>
      </c>
      <c r="G170" s="535" t="e">
        <f ca="1">gr(calculs!BQ170)</f>
        <v>#NAME?</v>
      </c>
      <c r="H170" s="535" t="e">
        <f ca="1">gr(calculs!BR170)</f>
        <v>#NAME?</v>
      </c>
      <c r="I170" s="535"/>
      <c r="J170" s="535" t="e">
        <f>NA()</f>
        <v>#N/A</v>
      </c>
      <c r="K170" s="535" t="e">
        <f>NA()</f>
        <v>#N/A</v>
      </c>
      <c r="L170" s="535" t="e">
        <f>NA()</f>
        <v>#N/A</v>
      </c>
      <c r="M170" s="535" t="e">
        <f>NA()</f>
        <v>#N/A</v>
      </c>
      <c r="N170" s="535" t="e">
        <f>NA()</f>
        <v>#N/A</v>
      </c>
      <c r="O170" s="535" t="e">
        <f>NA()</f>
        <v>#N/A</v>
      </c>
      <c r="P170" s="535" t="e">
        <f>NA()</f>
        <v>#N/A</v>
      </c>
    </row>
    <row r="171" spans="1:16" x14ac:dyDescent="0.2">
      <c r="A171" s="222">
        <f>calculs!A171</f>
        <v>44722</v>
      </c>
      <c r="B171" s="535" t="e">
        <f ca="1">gr(calculs!BL171)</f>
        <v>#NAME?</v>
      </c>
      <c r="C171" s="535" t="e">
        <f ca="1">gr(calculs!BM171)</f>
        <v>#NAME?</v>
      </c>
      <c r="D171" s="535" t="e">
        <f ca="1">gr(calculs!BN171)</f>
        <v>#NAME?</v>
      </c>
      <c r="E171" s="535" t="e">
        <f ca="1">gr(calculs!BO171)</f>
        <v>#NAME?</v>
      </c>
      <c r="F171" s="535" t="e">
        <f ca="1">gr(calculs!BP171)</f>
        <v>#NAME?</v>
      </c>
      <c r="G171" s="535" t="e">
        <f ca="1">gr(calculs!BQ171)</f>
        <v>#NAME?</v>
      </c>
      <c r="H171" s="535" t="e">
        <f ca="1">gr(calculs!BR171)</f>
        <v>#NAME?</v>
      </c>
      <c r="I171" s="535"/>
      <c r="J171" s="535" t="e">
        <f>NA()</f>
        <v>#N/A</v>
      </c>
      <c r="K171" s="535" t="e">
        <f>NA()</f>
        <v>#N/A</v>
      </c>
      <c r="L171" s="535" t="e">
        <f>NA()</f>
        <v>#N/A</v>
      </c>
      <c r="M171" s="535" t="e">
        <f>NA()</f>
        <v>#N/A</v>
      </c>
      <c r="N171" s="535" t="e">
        <f>NA()</f>
        <v>#N/A</v>
      </c>
      <c r="O171" s="535" t="e">
        <f>NA()</f>
        <v>#N/A</v>
      </c>
      <c r="P171" s="535" t="e">
        <f>NA()</f>
        <v>#N/A</v>
      </c>
    </row>
    <row r="172" spans="1:16" x14ac:dyDescent="0.2">
      <c r="A172" s="222">
        <f>calculs!A172</f>
        <v>44723</v>
      </c>
      <c r="B172" s="535" t="e">
        <f ca="1">gr(calculs!BL172)</f>
        <v>#NAME?</v>
      </c>
      <c r="C172" s="535" t="e">
        <f ca="1">gr(calculs!BM172)</f>
        <v>#NAME?</v>
      </c>
      <c r="D172" s="535" t="e">
        <f ca="1">gr(calculs!BN172)</f>
        <v>#NAME?</v>
      </c>
      <c r="E172" s="535" t="e">
        <f ca="1">gr(calculs!BO172)</f>
        <v>#NAME?</v>
      </c>
      <c r="F172" s="535" t="e">
        <f ca="1">gr(calculs!BP172)</f>
        <v>#NAME?</v>
      </c>
      <c r="G172" s="535" t="e">
        <f ca="1">gr(calculs!BQ172)</f>
        <v>#NAME?</v>
      </c>
      <c r="H172" s="535" t="e">
        <f ca="1">gr(calculs!BR172)</f>
        <v>#NAME?</v>
      </c>
      <c r="I172" s="535"/>
      <c r="J172" s="535" t="e">
        <f>NA()</f>
        <v>#N/A</v>
      </c>
      <c r="K172" s="535" t="e">
        <f>NA()</f>
        <v>#N/A</v>
      </c>
      <c r="L172" s="535" t="e">
        <f>NA()</f>
        <v>#N/A</v>
      </c>
      <c r="M172" s="535" t="e">
        <f>NA()</f>
        <v>#N/A</v>
      </c>
      <c r="N172" s="535" t="e">
        <f>NA()</f>
        <v>#N/A</v>
      </c>
      <c r="O172" s="535" t="e">
        <f>NA()</f>
        <v>#N/A</v>
      </c>
      <c r="P172" s="535" t="e">
        <f>NA()</f>
        <v>#N/A</v>
      </c>
    </row>
    <row r="173" spans="1:16" x14ac:dyDescent="0.2">
      <c r="A173" s="222">
        <f>calculs!A173</f>
        <v>44724</v>
      </c>
      <c r="B173" s="535" t="e">
        <f ca="1">gr(calculs!BL173)</f>
        <v>#NAME?</v>
      </c>
      <c r="C173" s="535" t="e">
        <f ca="1">gr(calculs!BM173)</f>
        <v>#NAME?</v>
      </c>
      <c r="D173" s="535" t="e">
        <f ca="1">gr(calculs!BN173)</f>
        <v>#NAME?</v>
      </c>
      <c r="E173" s="535" t="e">
        <f ca="1">gr(calculs!BO173)</f>
        <v>#NAME?</v>
      </c>
      <c r="F173" s="535" t="e">
        <f ca="1">gr(calculs!BP173)</f>
        <v>#NAME?</v>
      </c>
      <c r="G173" s="535" t="e">
        <f ca="1">gr(calculs!BQ173)</f>
        <v>#NAME?</v>
      </c>
      <c r="H173" s="535" t="e">
        <f ca="1">gr(calculs!BR173)</f>
        <v>#NAME?</v>
      </c>
      <c r="I173" s="535"/>
      <c r="J173" s="535" t="e">
        <f>NA()</f>
        <v>#N/A</v>
      </c>
      <c r="K173" s="535" t="e">
        <f>NA()</f>
        <v>#N/A</v>
      </c>
      <c r="L173" s="535" t="e">
        <f>NA()</f>
        <v>#N/A</v>
      </c>
      <c r="M173" s="535" t="e">
        <f>NA()</f>
        <v>#N/A</v>
      </c>
      <c r="N173" s="535" t="e">
        <f>NA()</f>
        <v>#N/A</v>
      </c>
      <c r="O173" s="535" t="e">
        <f>NA()</f>
        <v>#N/A</v>
      </c>
      <c r="P173" s="535" t="e">
        <f>NA()</f>
        <v>#N/A</v>
      </c>
    </row>
    <row r="174" spans="1:16" x14ac:dyDescent="0.2">
      <c r="A174" s="222">
        <f>calculs!A174</f>
        <v>44725</v>
      </c>
      <c r="B174" s="535" t="e">
        <f ca="1">gr(calculs!BL174)</f>
        <v>#NAME?</v>
      </c>
      <c r="C174" s="535" t="e">
        <f ca="1">gr(calculs!BM174)</f>
        <v>#NAME?</v>
      </c>
      <c r="D174" s="535" t="e">
        <f ca="1">gr(calculs!BN174)</f>
        <v>#NAME?</v>
      </c>
      <c r="E174" s="535" t="e">
        <f ca="1">gr(calculs!BO174)</f>
        <v>#NAME?</v>
      </c>
      <c r="F174" s="535" t="e">
        <f ca="1">gr(calculs!BP174)</f>
        <v>#NAME?</v>
      </c>
      <c r="G174" s="535" t="e">
        <f ca="1">gr(calculs!BQ174)</f>
        <v>#NAME?</v>
      </c>
      <c r="H174" s="535" t="e">
        <f ca="1">gr(calculs!BR174)</f>
        <v>#NAME?</v>
      </c>
      <c r="I174" s="535"/>
      <c r="J174" s="535" t="e">
        <f>NA()</f>
        <v>#N/A</v>
      </c>
      <c r="K174" s="535" t="e">
        <f>NA()</f>
        <v>#N/A</v>
      </c>
      <c r="L174" s="535" t="e">
        <f>NA()</f>
        <v>#N/A</v>
      </c>
      <c r="M174" s="535" t="e">
        <f>NA()</f>
        <v>#N/A</v>
      </c>
      <c r="N174" s="535" t="e">
        <f>NA()</f>
        <v>#N/A</v>
      </c>
      <c r="O174" s="535" t="e">
        <f>NA()</f>
        <v>#N/A</v>
      </c>
      <c r="P174" s="535" t="e">
        <f>NA()</f>
        <v>#N/A</v>
      </c>
    </row>
    <row r="175" spans="1:16" x14ac:dyDescent="0.2">
      <c r="A175" s="222">
        <f>calculs!A175</f>
        <v>44726</v>
      </c>
      <c r="B175" s="535" t="e">
        <f ca="1">gr(calculs!BL175)</f>
        <v>#NAME?</v>
      </c>
      <c r="C175" s="535" t="e">
        <f ca="1">gr(calculs!BM175)</f>
        <v>#NAME?</v>
      </c>
      <c r="D175" s="535" t="e">
        <f ca="1">gr(calculs!BN175)</f>
        <v>#NAME?</v>
      </c>
      <c r="E175" s="535" t="e">
        <f ca="1">gr(calculs!BO175)</f>
        <v>#NAME?</v>
      </c>
      <c r="F175" s="535" t="e">
        <f ca="1">gr(calculs!BP175)</f>
        <v>#NAME?</v>
      </c>
      <c r="G175" s="535" t="e">
        <f ca="1">gr(calculs!BQ175)</f>
        <v>#NAME?</v>
      </c>
      <c r="H175" s="535" t="e">
        <f ca="1">gr(calculs!BR175)</f>
        <v>#NAME?</v>
      </c>
      <c r="I175" s="535"/>
      <c r="J175" s="535" t="e">
        <f>NA()</f>
        <v>#N/A</v>
      </c>
      <c r="K175" s="535" t="e">
        <f>NA()</f>
        <v>#N/A</v>
      </c>
      <c r="L175" s="535" t="e">
        <f>NA()</f>
        <v>#N/A</v>
      </c>
      <c r="M175" s="535" t="e">
        <f>NA()</f>
        <v>#N/A</v>
      </c>
      <c r="N175" s="535" t="e">
        <f>NA()</f>
        <v>#N/A</v>
      </c>
      <c r="O175" s="535" t="e">
        <f>NA()</f>
        <v>#N/A</v>
      </c>
      <c r="P175" s="535" t="e">
        <f>NA()</f>
        <v>#N/A</v>
      </c>
    </row>
    <row r="176" spans="1:16" x14ac:dyDescent="0.2">
      <c r="A176" s="222">
        <f>calculs!A176</f>
        <v>44727</v>
      </c>
      <c r="B176" s="535" t="e">
        <f ca="1">gr(calculs!BL176)</f>
        <v>#NAME?</v>
      </c>
      <c r="C176" s="535" t="e">
        <f ca="1">gr(calculs!BM176)</f>
        <v>#NAME?</v>
      </c>
      <c r="D176" s="535" t="e">
        <f ca="1">gr(calculs!BN176)</f>
        <v>#NAME?</v>
      </c>
      <c r="E176" s="535" t="e">
        <f ca="1">gr(calculs!BO176)</f>
        <v>#NAME?</v>
      </c>
      <c r="F176" s="535" t="e">
        <f ca="1">gr(calculs!BP176)</f>
        <v>#NAME?</v>
      </c>
      <c r="G176" s="535" t="e">
        <f ca="1">gr(calculs!BQ176)</f>
        <v>#NAME?</v>
      </c>
      <c r="H176" s="535" t="e">
        <f ca="1">gr(calculs!BR176)</f>
        <v>#NAME?</v>
      </c>
      <c r="I176" s="535"/>
      <c r="J176" s="535" t="e">
        <f>NA()</f>
        <v>#N/A</v>
      </c>
      <c r="K176" s="535" t="e">
        <f>NA()</f>
        <v>#N/A</v>
      </c>
      <c r="L176" s="535" t="e">
        <f>NA()</f>
        <v>#N/A</v>
      </c>
      <c r="M176" s="535" t="e">
        <f>NA()</f>
        <v>#N/A</v>
      </c>
      <c r="N176" s="535" t="e">
        <f>NA()</f>
        <v>#N/A</v>
      </c>
      <c r="O176" s="535" t="e">
        <f>NA()</f>
        <v>#N/A</v>
      </c>
      <c r="P176" s="535" t="e">
        <f>NA()</f>
        <v>#N/A</v>
      </c>
    </row>
    <row r="177" spans="1:16" x14ac:dyDescent="0.2">
      <c r="A177" s="222">
        <f>calculs!A177</f>
        <v>44728</v>
      </c>
      <c r="B177" s="535" t="e">
        <f ca="1">gr(calculs!BL177)</f>
        <v>#NAME?</v>
      </c>
      <c r="C177" s="535" t="e">
        <f ca="1">gr(calculs!BM177)</f>
        <v>#NAME?</v>
      </c>
      <c r="D177" s="535" t="e">
        <f ca="1">gr(calculs!BN177)</f>
        <v>#NAME?</v>
      </c>
      <c r="E177" s="535" t="e">
        <f ca="1">gr(calculs!BO177)</f>
        <v>#NAME?</v>
      </c>
      <c r="F177" s="535" t="e">
        <f ca="1">gr(calculs!BP177)</f>
        <v>#NAME?</v>
      </c>
      <c r="G177" s="535" t="e">
        <f ca="1">gr(calculs!BQ177)</f>
        <v>#NAME?</v>
      </c>
      <c r="H177" s="535" t="e">
        <f ca="1">gr(calculs!BR177)</f>
        <v>#NAME?</v>
      </c>
      <c r="I177" s="535"/>
      <c r="J177" s="535" t="e">
        <f>NA()</f>
        <v>#N/A</v>
      </c>
      <c r="K177" s="535" t="e">
        <f>NA()</f>
        <v>#N/A</v>
      </c>
      <c r="L177" s="535" t="e">
        <f>NA()</f>
        <v>#N/A</v>
      </c>
      <c r="M177" s="535" t="e">
        <f>NA()</f>
        <v>#N/A</v>
      </c>
      <c r="N177" s="535" t="e">
        <f>NA()</f>
        <v>#N/A</v>
      </c>
      <c r="O177" s="535" t="e">
        <f>NA()</f>
        <v>#N/A</v>
      </c>
      <c r="P177" s="535" t="e">
        <f>NA()</f>
        <v>#N/A</v>
      </c>
    </row>
    <row r="178" spans="1:16" x14ac:dyDescent="0.2">
      <c r="A178" s="222">
        <f>calculs!A178</f>
        <v>44729</v>
      </c>
      <c r="B178" s="535" t="e">
        <f ca="1">gr(calculs!BL178)</f>
        <v>#NAME?</v>
      </c>
      <c r="C178" s="535" t="e">
        <f ca="1">gr(calculs!BM178)</f>
        <v>#NAME?</v>
      </c>
      <c r="D178" s="535" t="e">
        <f ca="1">gr(calculs!BN178)</f>
        <v>#NAME?</v>
      </c>
      <c r="E178" s="535" t="e">
        <f ca="1">gr(calculs!BO178)</f>
        <v>#NAME?</v>
      </c>
      <c r="F178" s="535" t="e">
        <f ca="1">gr(calculs!BP178)</f>
        <v>#NAME?</v>
      </c>
      <c r="G178" s="535" t="e">
        <f ca="1">gr(calculs!BQ178)</f>
        <v>#NAME?</v>
      </c>
      <c r="H178" s="535" t="e">
        <f ca="1">gr(calculs!BR178)</f>
        <v>#NAME?</v>
      </c>
      <c r="I178" s="535"/>
      <c r="J178" s="535" t="e">
        <f>NA()</f>
        <v>#N/A</v>
      </c>
      <c r="K178" s="535" t="e">
        <f>NA()</f>
        <v>#N/A</v>
      </c>
      <c r="L178" s="535" t="e">
        <f>NA()</f>
        <v>#N/A</v>
      </c>
      <c r="M178" s="535" t="e">
        <f>NA()</f>
        <v>#N/A</v>
      </c>
      <c r="N178" s="535" t="e">
        <f>NA()</f>
        <v>#N/A</v>
      </c>
      <c r="O178" s="535" t="e">
        <f>NA()</f>
        <v>#N/A</v>
      </c>
      <c r="P178" s="535" t="e">
        <f>NA()</f>
        <v>#N/A</v>
      </c>
    </row>
    <row r="179" spans="1:16" x14ac:dyDescent="0.2">
      <c r="A179" s="222">
        <f>calculs!A179</f>
        <v>44730</v>
      </c>
      <c r="B179" s="535" t="e">
        <f ca="1">gr(calculs!BL179)</f>
        <v>#NAME?</v>
      </c>
      <c r="C179" s="535" t="e">
        <f ca="1">gr(calculs!BM179)</f>
        <v>#NAME?</v>
      </c>
      <c r="D179" s="535" t="e">
        <f ca="1">gr(calculs!BN179)</f>
        <v>#NAME?</v>
      </c>
      <c r="E179" s="535" t="e">
        <f ca="1">gr(calculs!BO179)</f>
        <v>#NAME?</v>
      </c>
      <c r="F179" s="535" t="e">
        <f ca="1">gr(calculs!BP179)</f>
        <v>#NAME?</v>
      </c>
      <c r="G179" s="535" t="e">
        <f ca="1">gr(calculs!BQ179)</f>
        <v>#NAME?</v>
      </c>
      <c r="H179" s="535" t="e">
        <f ca="1">gr(calculs!BR179)</f>
        <v>#NAME?</v>
      </c>
      <c r="I179" s="535"/>
      <c r="J179" s="535" t="e">
        <f>NA()</f>
        <v>#N/A</v>
      </c>
      <c r="K179" s="535" t="e">
        <f>NA()</f>
        <v>#N/A</v>
      </c>
      <c r="L179" s="535" t="e">
        <f>NA()</f>
        <v>#N/A</v>
      </c>
      <c r="M179" s="535" t="e">
        <f>NA()</f>
        <v>#N/A</v>
      </c>
      <c r="N179" s="535" t="e">
        <f>NA()</f>
        <v>#N/A</v>
      </c>
      <c r="O179" s="535" t="e">
        <f>NA()</f>
        <v>#N/A</v>
      </c>
      <c r="P179" s="535" t="e">
        <f>NA()</f>
        <v>#N/A</v>
      </c>
    </row>
    <row r="180" spans="1:16" x14ac:dyDescent="0.2">
      <c r="A180" s="222">
        <f>calculs!A180</f>
        <v>44731</v>
      </c>
      <c r="B180" s="535" t="e">
        <f ca="1">gr(calculs!BL180)</f>
        <v>#NAME?</v>
      </c>
      <c r="C180" s="535" t="e">
        <f ca="1">gr(calculs!BM180)</f>
        <v>#NAME?</v>
      </c>
      <c r="D180" s="535" t="e">
        <f ca="1">gr(calculs!BN180)</f>
        <v>#NAME?</v>
      </c>
      <c r="E180" s="535" t="e">
        <f ca="1">gr(calculs!BO180)</f>
        <v>#NAME?</v>
      </c>
      <c r="F180" s="535" t="e">
        <f ca="1">gr(calculs!BP180)</f>
        <v>#NAME?</v>
      </c>
      <c r="G180" s="535" t="e">
        <f ca="1">gr(calculs!BQ180)</f>
        <v>#NAME?</v>
      </c>
      <c r="H180" s="535" t="e">
        <f ca="1">gr(calculs!BR180)</f>
        <v>#NAME?</v>
      </c>
      <c r="I180" s="535"/>
      <c r="J180" s="535" t="e">
        <f>NA()</f>
        <v>#N/A</v>
      </c>
      <c r="K180" s="535" t="e">
        <f>NA()</f>
        <v>#N/A</v>
      </c>
      <c r="L180" s="535" t="e">
        <f>NA()</f>
        <v>#N/A</v>
      </c>
      <c r="M180" s="535" t="e">
        <f>NA()</f>
        <v>#N/A</v>
      </c>
      <c r="N180" s="535" t="e">
        <f>NA()</f>
        <v>#N/A</v>
      </c>
      <c r="O180" s="535" t="e">
        <f>NA()</f>
        <v>#N/A</v>
      </c>
      <c r="P180" s="535" t="e">
        <f>NA()</f>
        <v>#N/A</v>
      </c>
    </row>
    <row r="181" spans="1:16" x14ac:dyDescent="0.2">
      <c r="A181" s="222">
        <f>calculs!A181</f>
        <v>44732</v>
      </c>
      <c r="B181" s="535" t="e">
        <f ca="1">gr(calculs!BL181)</f>
        <v>#NAME?</v>
      </c>
      <c r="C181" s="535" t="e">
        <f ca="1">gr(calculs!BM181)</f>
        <v>#NAME?</v>
      </c>
      <c r="D181" s="535" t="e">
        <f ca="1">gr(calculs!BN181)</f>
        <v>#NAME?</v>
      </c>
      <c r="E181" s="535" t="e">
        <f ca="1">gr(calculs!BO181)</f>
        <v>#NAME?</v>
      </c>
      <c r="F181" s="535" t="e">
        <f ca="1">gr(calculs!BP181)</f>
        <v>#NAME?</v>
      </c>
      <c r="G181" s="535" t="e">
        <f ca="1">gr(calculs!BQ181)</f>
        <v>#NAME?</v>
      </c>
      <c r="H181" s="535" t="e">
        <f ca="1">gr(calculs!BR181)</f>
        <v>#NAME?</v>
      </c>
      <c r="I181" s="535"/>
      <c r="J181" s="535" t="e">
        <f>NA()</f>
        <v>#N/A</v>
      </c>
      <c r="K181" s="535" t="e">
        <f>NA()</f>
        <v>#N/A</v>
      </c>
      <c r="L181" s="535" t="e">
        <f>NA()</f>
        <v>#N/A</v>
      </c>
      <c r="M181" s="535" t="e">
        <f>NA()</f>
        <v>#N/A</v>
      </c>
      <c r="N181" s="535" t="e">
        <f>NA()</f>
        <v>#N/A</v>
      </c>
      <c r="O181" s="535" t="e">
        <f>NA()</f>
        <v>#N/A</v>
      </c>
      <c r="P181" s="535" t="e">
        <f>NA()</f>
        <v>#N/A</v>
      </c>
    </row>
    <row r="182" spans="1:16" x14ac:dyDescent="0.2">
      <c r="A182" s="222">
        <f>calculs!A182</f>
        <v>44733</v>
      </c>
      <c r="B182" s="535" t="e">
        <f ca="1">gr(calculs!BL182)</f>
        <v>#NAME?</v>
      </c>
      <c r="C182" s="535" t="e">
        <f ca="1">gr(calculs!BM182)</f>
        <v>#NAME?</v>
      </c>
      <c r="D182" s="535" t="e">
        <f ca="1">gr(calculs!BN182)</f>
        <v>#NAME?</v>
      </c>
      <c r="E182" s="535" t="e">
        <f ca="1">gr(calculs!BO182)</f>
        <v>#NAME?</v>
      </c>
      <c r="F182" s="535" t="e">
        <f ca="1">gr(calculs!BP182)</f>
        <v>#NAME?</v>
      </c>
      <c r="G182" s="535" t="e">
        <f ca="1">gr(calculs!BQ182)</f>
        <v>#NAME?</v>
      </c>
      <c r="H182" s="535" t="e">
        <f ca="1">gr(calculs!BR182)</f>
        <v>#NAME?</v>
      </c>
      <c r="I182" s="535"/>
      <c r="J182" s="535" t="e">
        <f>NA()</f>
        <v>#N/A</v>
      </c>
      <c r="K182" s="535" t="e">
        <f>NA()</f>
        <v>#N/A</v>
      </c>
      <c r="L182" s="535" t="e">
        <f>NA()</f>
        <v>#N/A</v>
      </c>
      <c r="M182" s="535" t="e">
        <f>NA()</f>
        <v>#N/A</v>
      </c>
      <c r="N182" s="535" t="e">
        <f>NA()</f>
        <v>#N/A</v>
      </c>
      <c r="O182" s="535" t="e">
        <f>NA()</f>
        <v>#N/A</v>
      </c>
      <c r="P182" s="535" t="e">
        <f>NA()</f>
        <v>#N/A</v>
      </c>
    </row>
    <row r="183" spans="1:16" x14ac:dyDescent="0.2">
      <c r="A183" s="222">
        <f>calculs!A183</f>
        <v>44734</v>
      </c>
      <c r="B183" s="535" t="e">
        <f ca="1">gr(calculs!BL183)</f>
        <v>#NAME?</v>
      </c>
      <c r="C183" s="535" t="e">
        <f ca="1">gr(calculs!BM183)</f>
        <v>#NAME?</v>
      </c>
      <c r="D183" s="535" t="e">
        <f ca="1">gr(calculs!BN183)</f>
        <v>#NAME?</v>
      </c>
      <c r="E183" s="535" t="e">
        <f ca="1">gr(calculs!BO183)</f>
        <v>#NAME?</v>
      </c>
      <c r="F183" s="535" t="e">
        <f ca="1">gr(calculs!BP183)</f>
        <v>#NAME?</v>
      </c>
      <c r="G183" s="535" t="e">
        <f ca="1">gr(calculs!BQ183)</f>
        <v>#NAME?</v>
      </c>
      <c r="H183" s="535" t="e">
        <f ca="1">gr(calculs!BR183)</f>
        <v>#NAME?</v>
      </c>
      <c r="I183" s="535"/>
      <c r="J183" s="535" t="e">
        <f>NA()</f>
        <v>#N/A</v>
      </c>
      <c r="K183" s="535" t="e">
        <f>NA()</f>
        <v>#N/A</v>
      </c>
      <c r="L183" s="535" t="e">
        <f>NA()</f>
        <v>#N/A</v>
      </c>
      <c r="M183" s="535" t="e">
        <f>NA()</f>
        <v>#N/A</v>
      </c>
      <c r="N183" s="535" t="e">
        <f>NA()</f>
        <v>#N/A</v>
      </c>
      <c r="O183" s="535" t="e">
        <f>NA()</f>
        <v>#N/A</v>
      </c>
      <c r="P183" s="535" t="e">
        <f>NA()</f>
        <v>#N/A</v>
      </c>
    </row>
    <row r="184" spans="1:16" x14ac:dyDescent="0.2">
      <c r="A184" s="222">
        <f>calculs!A184</f>
        <v>44735</v>
      </c>
      <c r="B184" s="535" t="e">
        <f ca="1">gr(calculs!BL184)</f>
        <v>#NAME?</v>
      </c>
      <c r="C184" s="535" t="e">
        <f ca="1">gr(calculs!BM184)</f>
        <v>#NAME?</v>
      </c>
      <c r="D184" s="535" t="e">
        <f ca="1">gr(calculs!BN184)</f>
        <v>#NAME?</v>
      </c>
      <c r="E184" s="535" t="e">
        <f ca="1">gr(calculs!BO184)</f>
        <v>#NAME?</v>
      </c>
      <c r="F184" s="535" t="e">
        <f ca="1">gr(calculs!BP184)</f>
        <v>#NAME?</v>
      </c>
      <c r="G184" s="535" t="e">
        <f ca="1">gr(calculs!BQ184)</f>
        <v>#NAME?</v>
      </c>
      <c r="H184" s="535" t="e">
        <f ca="1">gr(calculs!BR184)</f>
        <v>#NAME?</v>
      </c>
      <c r="I184" s="535"/>
      <c r="J184" s="535" t="e">
        <f>NA()</f>
        <v>#N/A</v>
      </c>
      <c r="K184" s="535" t="e">
        <f>NA()</f>
        <v>#N/A</v>
      </c>
      <c r="L184" s="535" t="e">
        <f>NA()</f>
        <v>#N/A</v>
      </c>
      <c r="M184" s="535" t="e">
        <f>NA()</f>
        <v>#N/A</v>
      </c>
      <c r="N184" s="535" t="e">
        <f>NA()</f>
        <v>#N/A</v>
      </c>
      <c r="O184" s="535" t="e">
        <f>NA()</f>
        <v>#N/A</v>
      </c>
      <c r="P184" s="535" t="e">
        <f>NA()</f>
        <v>#N/A</v>
      </c>
    </row>
    <row r="185" spans="1:16" x14ac:dyDescent="0.2">
      <c r="A185" s="222">
        <f>calculs!A185</f>
        <v>44736</v>
      </c>
      <c r="B185" s="535" t="e">
        <f ca="1">gr(calculs!BL185)</f>
        <v>#NAME?</v>
      </c>
      <c r="C185" s="535" t="e">
        <f ca="1">gr(calculs!BM185)</f>
        <v>#NAME?</v>
      </c>
      <c r="D185" s="535" t="e">
        <f ca="1">gr(calculs!BN185)</f>
        <v>#NAME?</v>
      </c>
      <c r="E185" s="535" t="e">
        <f ca="1">gr(calculs!BO185)</f>
        <v>#NAME?</v>
      </c>
      <c r="F185" s="535" t="e">
        <f ca="1">gr(calculs!BP185)</f>
        <v>#NAME?</v>
      </c>
      <c r="G185" s="535" t="e">
        <f ca="1">gr(calculs!BQ185)</f>
        <v>#NAME?</v>
      </c>
      <c r="H185" s="535" t="e">
        <f ca="1">gr(calculs!BR185)</f>
        <v>#NAME?</v>
      </c>
      <c r="I185" s="535"/>
      <c r="J185" s="535" t="e">
        <f>NA()</f>
        <v>#N/A</v>
      </c>
      <c r="K185" s="535" t="e">
        <f>NA()</f>
        <v>#N/A</v>
      </c>
      <c r="L185" s="535" t="e">
        <f>NA()</f>
        <v>#N/A</v>
      </c>
      <c r="M185" s="535" t="e">
        <f>NA()</f>
        <v>#N/A</v>
      </c>
      <c r="N185" s="535" t="e">
        <f>NA()</f>
        <v>#N/A</v>
      </c>
      <c r="O185" s="535" t="e">
        <f>NA()</f>
        <v>#N/A</v>
      </c>
      <c r="P185" s="535" t="e">
        <f>NA()</f>
        <v>#N/A</v>
      </c>
    </row>
    <row r="186" spans="1:16" x14ac:dyDescent="0.2">
      <c r="A186" s="222">
        <f>calculs!A186</f>
        <v>44737</v>
      </c>
      <c r="B186" s="535" t="e">
        <f ca="1">gr(calculs!BL186)</f>
        <v>#NAME?</v>
      </c>
      <c r="C186" s="535" t="e">
        <f ca="1">gr(calculs!BM186)</f>
        <v>#NAME?</v>
      </c>
      <c r="D186" s="535" t="e">
        <f ca="1">gr(calculs!BN186)</f>
        <v>#NAME?</v>
      </c>
      <c r="E186" s="535" t="e">
        <f ca="1">gr(calculs!BO186)</f>
        <v>#NAME?</v>
      </c>
      <c r="F186" s="535" t="e">
        <f ca="1">gr(calculs!BP186)</f>
        <v>#NAME?</v>
      </c>
      <c r="G186" s="535" t="e">
        <f ca="1">gr(calculs!BQ186)</f>
        <v>#NAME?</v>
      </c>
      <c r="H186" s="535" t="e">
        <f ca="1">gr(calculs!BR186)</f>
        <v>#NAME?</v>
      </c>
      <c r="I186" s="535"/>
      <c r="J186" s="535" t="e">
        <f>NA()</f>
        <v>#N/A</v>
      </c>
      <c r="K186" s="535" t="e">
        <f>NA()</f>
        <v>#N/A</v>
      </c>
      <c r="L186" s="535" t="e">
        <f>NA()</f>
        <v>#N/A</v>
      </c>
      <c r="M186" s="535" t="e">
        <f>NA()</f>
        <v>#N/A</v>
      </c>
      <c r="N186" s="535" t="e">
        <f>NA()</f>
        <v>#N/A</v>
      </c>
      <c r="O186" s="535" t="e">
        <f>NA()</f>
        <v>#N/A</v>
      </c>
      <c r="P186" s="535" t="e">
        <f>NA()</f>
        <v>#N/A</v>
      </c>
    </row>
    <row r="187" spans="1:16" x14ac:dyDescent="0.2">
      <c r="A187" s="222">
        <f>calculs!A187</f>
        <v>44738</v>
      </c>
      <c r="B187" s="535" t="e">
        <f ca="1">gr(calculs!BL187)</f>
        <v>#NAME?</v>
      </c>
      <c r="C187" s="535" t="e">
        <f ca="1">gr(calculs!BM187)</f>
        <v>#NAME?</v>
      </c>
      <c r="D187" s="535" t="e">
        <f ca="1">gr(calculs!BN187)</f>
        <v>#NAME?</v>
      </c>
      <c r="E187" s="535" t="e">
        <f ca="1">gr(calculs!BO187)</f>
        <v>#NAME?</v>
      </c>
      <c r="F187" s="535" t="e">
        <f ca="1">gr(calculs!BP187)</f>
        <v>#NAME?</v>
      </c>
      <c r="G187" s="535" t="e">
        <f ca="1">gr(calculs!BQ187)</f>
        <v>#NAME?</v>
      </c>
      <c r="H187" s="535" t="e">
        <f ca="1">gr(calculs!BR187)</f>
        <v>#NAME?</v>
      </c>
      <c r="I187" s="535"/>
      <c r="J187" s="535" t="e">
        <f>NA()</f>
        <v>#N/A</v>
      </c>
      <c r="K187" s="535" t="e">
        <f>NA()</f>
        <v>#N/A</v>
      </c>
      <c r="L187" s="535" t="e">
        <f>NA()</f>
        <v>#N/A</v>
      </c>
      <c r="M187" s="535" t="e">
        <f>NA()</f>
        <v>#N/A</v>
      </c>
      <c r="N187" s="535" t="e">
        <f>NA()</f>
        <v>#N/A</v>
      </c>
      <c r="O187" s="535" t="e">
        <f>NA()</f>
        <v>#N/A</v>
      </c>
      <c r="P187" s="535" t="e">
        <f>NA()</f>
        <v>#N/A</v>
      </c>
    </row>
    <row r="188" spans="1:16" x14ac:dyDescent="0.2">
      <c r="A188" s="222">
        <f>calculs!A188</f>
        <v>44739</v>
      </c>
      <c r="B188" s="535" t="e">
        <f ca="1">gr(calculs!BL188)</f>
        <v>#NAME?</v>
      </c>
      <c r="C188" s="535" t="e">
        <f ca="1">gr(calculs!BM188)</f>
        <v>#NAME?</v>
      </c>
      <c r="D188" s="535" t="e">
        <f ca="1">gr(calculs!BN188)</f>
        <v>#NAME?</v>
      </c>
      <c r="E188" s="535" t="e">
        <f ca="1">gr(calculs!BO188)</f>
        <v>#NAME?</v>
      </c>
      <c r="F188" s="535" t="e">
        <f ca="1">gr(calculs!BP188)</f>
        <v>#NAME?</v>
      </c>
      <c r="G188" s="535" t="e">
        <f ca="1">gr(calculs!BQ188)</f>
        <v>#NAME?</v>
      </c>
      <c r="H188" s="535" t="e">
        <f ca="1">gr(calculs!BR188)</f>
        <v>#NAME?</v>
      </c>
      <c r="I188" s="535"/>
      <c r="J188" s="535" t="e">
        <f>NA()</f>
        <v>#N/A</v>
      </c>
      <c r="K188" s="535" t="e">
        <f>NA()</f>
        <v>#N/A</v>
      </c>
      <c r="L188" s="535" t="e">
        <f>NA()</f>
        <v>#N/A</v>
      </c>
      <c r="M188" s="535" t="e">
        <f>NA()</f>
        <v>#N/A</v>
      </c>
      <c r="N188" s="535" t="e">
        <f>NA()</f>
        <v>#N/A</v>
      </c>
      <c r="O188" s="535" t="e">
        <f>NA()</f>
        <v>#N/A</v>
      </c>
      <c r="P188" s="535" t="e">
        <f>NA()</f>
        <v>#N/A</v>
      </c>
    </row>
    <row r="189" spans="1:16" x14ac:dyDescent="0.2">
      <c r="A189" s="222">
        <f>calculs!A189</f>
        <v>44740</v>
      </c>
      <c r="B189" s="535" t="e">
        <f ca="1">gr(calculs!BL189)</f>
        <v>#NAME?</v>
      </c>
      <c r="C189" s="535" t="e">
        <f ca="1">gr(calculs!BM189)</f>
        <v>#NAME?</v>
      </c>
      <c r="D189" s="535" t="e">
        <f ca="1">gr(calculs!BN189)</f>
        <v>#NAME?</v>
      </c>
      <c r="E189" s="535" t="e">
        <f ca="1">gr(calculs!BO189)</f>
        <v>#NAME?</v>
      </c>
      <c r="F189" s="535" t="e">
        <f ca="1">gr(calculs!BP189)</f>
        <v>#NAME?</v>
      </c>
      <c r="G189" s="535" t="e">
        <f ca="1">gr(calculs!BQ189)</f>
        <v>#NAME?</v>
      </c>
      <c r="H189" s="535" t="e">
        <f ca="1">gr(calculs!BR189)</f>
        <v>#NAME?</v>
      </c>
      <c r="I189" s="535"/>
      <c r="J189" s="535" t="e">
        <f>NA()</f>
        <v>#N/A</v>
      </c>
      <c r="K189" s="535" t="e">
        <f>NA()</f>
        <v>#N/A</v>
      </c>
      <c r="L189" s="535" t="e">
        <f>NA()</f>
        <v>#N/A</v>
      </c>
      <c r="M189" s="535" t="e">
        <f>NA()</f>
        <v>#N/A</v>
      </c>
      <c r="N189" s="535" t="e">
        <f>NA()</f>
        <v>#N/A</v>
      </c>
      <c r="O189" s="535" t="e">
        <f>NA()</f>
        <v>#N/A</v>
      </c>
      <c r="P189" s="535" t="e">
        <f>NA()</f>
        <v>#N/A</v>
      </c>
    </row>
    <row r="190" spans="1:16" x14ac:dyDescent="0.2">
      <c r="A190" s="222">
        <f>calculs!A190</f>
        <v>44741</v>
      </c>
      <c r="B190" s="535" t="e">
        <f ca="1">gr(calculs!BL190)</f>
        <v>#NAME?</v>
      </c>
      <c r="C190" s="535" t="e">
        <f ca="1">gr(calculs!BM190)</f>
        <v>#NAME?</v>
      </c>
      <c r="D190" s="535" t="e">
        <f ca="1">gr(calculs!BN190)</f>
        <v>#NAME?</v>
      </c>
      <c r="E190" s="535" t="e">
        <f ca="1">gr(calculs!BO190)</f>
        <v>#NAME?</v>
      </c>
      <c r="F190" s="535" t="e">
        <f ca="1">gr(calculs!BP190)</f>
        <v>#NAME?</v>
      </c>
      <c r="G190" s="535" t="e">
        <f ca="1">gr(calculs!BQ190)</f>
        <v>#NAME?</v>
      </c>
      <c r="H190" s="535" t="e">
        <f ca="1">gr(calculs!BR190)</f>
        <v>#NAME?</v>
      </c>
      <c r="I190" s="535"/>
      <c r="J190" s="535" t="e">
        <f>NA()</f>
        <v>#N/A</v>
      </c>
      <c r="K190" s="535" t="e">
        <f>NA()</f>
        <v>#N/A</v>
      </c>
      <c r="L190" s="535" t="e">
        <f>NA()</f>
        <v>#N/A</v>
      </c>
      <c r="M190" s="535" t="e">
        <f>NA()</f>
        <v>#N/A</v>
      </c>
      <c r="N190" s="535" t="e">
        <f>NA()</f>
        <v>#N/A</v>
      </c>
      <c r="O190" s="535" t="e">
        <f>NA()</f>
        <v>#N/A</v>
      </c>
      <c r="P190" s="535" t="e">
        <f>NA()</f>
        <v>#N/A</v>
      </c>
    </row>
    <row r="191" spans="1:16" x14ac:dyDescent="0.2">
      <c r="A191" s="222">
        <f>calculs!A191</f>
        <v>44742</v>
      </c>
      <c r="B191" s="535" t="e">
        <f ca="1">gr(calculs!BL191)</f>
        <v>#NAME?</v>
      </c>
      <c r="C191" s="535" t="e">
        <f ca="1">gr(calculs!BM191)</f>
        <v>#NAME?</v>
      </c>
      <c r="D191" s="535" t="e">
        <f ca="1">gr(calculs!BN191)</f>
        <v>#NAME?</v>
      </c>
      <c r="E191" s="535" t="e">
        <f ca="1">gr(calculs!BO191)</f>
        <v>#NAME?</v>
      </c>
      <c r="F191" s="535" t="e">
        <f ca="1">gr(calculs!BP191)</f>
        <v>#NAME?</v>
      </c>
      <c r="G191" s="535" t="e">
        <f ca="1">gr(calculs!BQ191)</f>
        <v>#NAME?</v>
      </c>
      <c r="H191" s="535" t="e">
        <f ca="1">gr(calculs!BR191)</f>
        <v>#NAME?</v>
      </c>
      <c r="I191" s="535"/>
      <c r="J191" s="535" t="e">
        <f>NA()</f>
        <v>#N/A</v>
      </c>
      <c r="K191" s="535" t="e">
        <f>NA()</f>
        <v>#N/A</v>
      </c>
      <c r="L191" s="535" t="e">
        <f>NA()</f>
        <v>#N/A</v>
      </c>
      <c r="M191" s="535" t="e">
        <f>NA()</f>
        <v>#N/A</v>
      </c>
      <c r="N191" s="535" t="e">
        <f>NA()</f>
        <v>#N/A</v>
      </c>
      <c r="O191" s="535" t="e">
        <f>NA()</f>
        <v>#N/A</v>
      </c>
      <c r="P191" s="535" t="e">
        <f>NA()</f>
        <v>#N/A</v>
      </c>
    </row>
    <row r="192" spans="1:16" x14ac:dyDescent="0.2">
      <c r="A192" s="222">
        <f>calculs!A192</f>
        <v>44743</v>
      </c>
      <c r="B192" s="535" t="e">
        <f ca="1">gr(calculs!BL192)</f>
        <v>#NAME?</v>
      </c>
      <c r="C192" s="535" t="e">
        <f ca="1">gr(calculs!BM192)</f>
        <v>#NAME?</v>
      </c>
      <c r="D192" s="535" t="e">
        <f ca="1">gr(calculs!BN192)</f>
        <v>#NAME?</v>
      </c>
      <c r="E192" s="535" t="e">
        <f ca="1">gr(calculs!BO192)</f>
        <v>#NAME?</v>
      </c>
      <c r="F192" s="535" t="e">
        <f ca="1">gr(calculs!BP192)</f>
        <v>#NAME?</v>
      </c>
      <c r="G192" s="535" t="e">
        <f ca="1">gr(calculs!BQ192)</f>
        <v>#NAME?</v>
      </c>
      <c r="H192" s="535" t="e">
        <f ca="1">gr(calculs!BR192)</f>
        <v>#NAME?</v>
      </c>
      <c r="I192" s="535"/>
      <c r="J192" s="535" t="e">
        <f>NA()</f>
        <v>#N/A</v>
      </c>
      <c r="K192" s="535" t="e">
        <f>NA()</f>
        <v>#N/A</v>
      </c>
      <c r="L192" s="535" t="e">
        <f>NA()</f>
        <v>#N/A</v>
      </c>
      <c r="M192" s="535" t="e">
        <f>NA()</f>
        <v>#N/A</v>
      </c>
      <c r="N192" s="535" t="e">
        <f>NA()</f>
        <v>#N/A</v>
      </c>
      <c r="O192" s="535" t="e">
        <f>NA()</f>
        <v>#N/A</v>
      </c>
      <c r="P192" s="535" t="e">
        <f>NA()</f>
        <v>#N/A</v>
      </c>
    </row>
    <row r="193" spans="1:16" x14ac:dyDescent="0.2">
      <c r="A193" s="222">
        <f>calculs!A193</f>
        <v>44744</v>
      </c>
      <c r="B193" s="535" t="e">
        <f ca="1">gr(calculs!BL193)</f>
        <v>#NAME?</v>
      </c>
      <c r="C193" s="535" t="e">
        <f ca="1">gr(calculs!BM193)</f>
        <v>#NAME?</v>
      </c>
      <c r="D193" s="535" t="e">
        <f ca="1">gr(calculs!BN193)</f>
        <v>#NAME?</v>
      </c>
      <c r="E193" s="535" t="e">
        <f ca="1">gr(calculs!BO193)</f>
        <v>#NAME?</v>
      </c>
      <c r="F193" s="535" t="e">
        <f ca="1">gr(calculs!BP193)</f>
        <v>#NAME?</v>
      </c>
      <c r="G193" s="535" t="e">
        <f ca="1">gr(calculs!BQ193)</f>
        <v>#NAME?</v>
      </c>
      <c r="H193" s="535" t="e">
        <f ca="1">gr(calculs!BR193)</f>
        <v>#NAME?</v>
      </c>
      <c r="I193" s="535"/>
      <c r="J193" s="535" t="e">
        <f>NA()</f>
        <v>#N/A</v>
      </c>
      <c r="K193" s="535" t="e">
        <f>NA()</f>
        <v>#N/A</v>
      </c>
      <c r="L193" s="535" t="e">
        <f>NA()</f>
        <v>#N/A</v>
      </c>
      <c r="M193" s="535" t="e">
        <f>NA()</f>
        <v>#N/A</v>
      </c>
      <c r="N193" s="535" t="e">
        <f>NA()</f>
        <v>#N/A</v>
      </c>
      <c r="O193" s="535" t="e">
        <f>NA()</f>
        <v>#N/A</v>
      </c>
      <c r="P193" s="535" t="e">
        <f>NA()</f>
        <v>#N/A</v>
      </c>
    </row>
    <row r="194" spans="1:16" x14ac:dyDescent="0.2">
      <c r="A194" s="222">
        <f>calculs!A194</f>
        <v>44745</v>
      </c>
      <c r="B194" s="535" t="e">
        <f ca="1">gr(calculs!BL194)</f>
        <v>#NAME?</v>
      </c>
      <c r="C194" s="535" t="e">
        <f ca="1">gr(calculs!BM194)</f>
        <v>#NAME?</v>
      </c>
      <c r="D194" s="535" t="e">
        <f ca="1">gr(calculs!BN194)</f>
        <v>#NAME?</v>
      </c>
      <c r="E194" s="535" t="e">
        <f ca="1">gr(calculs!BO194)</f>
        <v>#NAME?</v>
      </c>
      <c r="F194" s="535" t="e">
        <f ca="1">gr(calculs!BP194)</f>
        <v>#NAME?</v>
      </c>
      <c r="G194" s="535" t="e">
        <f ca="1">gr(calculs!BQ194)</f>
        <v>#NAME?</v>
      </c>
      <c r="H194" s="535" t="e">
        <f ca="1">gr(calculs!BR194)</f>
        <v>#NAME?</v>
      </c>
      <c r="I194" s="535"/>
      <c r="J194" s="535" t="e">
        <f>NA()</f>
        <v>#N/A</v>
      </c>
      <c r="K194" s="535" t="e">
        <f>NA()</f>
        <v>#N/A</v>
      </c>
      <c r="L194" s="535" t="e">
        <f>NA()</f>
        <v>#N/A</v>
      </c>
      <c r="M194" s="535" t="e">
        <f>NA()</f>
        <v>#N/A</v>
      </c>
      <c r="N194" s="535" t="e">
        <f>NA()</f>
        <v>#N/A</v>
      </c>
      <c r="O194" s="535" t="e">
        <f>NA()</f>
        <v>#N/A</v>
      </c>
      <c r="P194" s="535" t="e">
        <f>NA()</f>
        <v>#N/A</v>
      </c>
    </row>
    <row r="195" spans="1:16" x14ac:dyDescent="0.2">
      <c r="A195" s="222">
        <f>calculs!A195</f>
        <v>44746</v>
      </c>
      <c r="B195" s="535" t="e">
        <f ca="1">gr(calculs!BL195)</f>
        <v>#NAME?</v>
      </c>
      <c r="C195" s="535" t="e">
        <f ca="1">gr(calculs!BM195)</f>
        <v>#NAME?</v>
      </c>
      <c r="D195" s="535" t="e">
        <f ca="1">gr(calculs!BN195)</f>
        <v>#NAME?</v>
      </c>
      <c r="E195" s="535" t="e">
        <f ca="1">gr(calculs!BO195)</f>
        <v>#NAME?</v>
      </c>
      <c r="F195" s="535" t="e">
        <f ca="1">gr(calculs!BP195)</f>
        <v>#NAME?</v>
      </c>
      <c r="G195" s="535" t="e">
        <f ca="1">gr(calculs!BQ195)</f>
        <v>#NAME?</v>
      </c>
      <c r="H195" s="535" t="e">
        <f ca="1">gr(calculs!BR195)</f>
        <v>#NAME?</v>
      </c>
      <c r="I195" s="535"/>
      <c r="J195" s="535" t="e">
        <f>NA()</f>
        <v>#N/A</v>
      </c>
      <c r="K195" s="535" t="e">
        <f>NA()</f>
        <v>#N/A</v>
      </c>
      <c r="L195" s="535" t="e">
        <f>NA()</f>
        <v>#N/A</v>
      </c>
      <c r="M195" s="535" t="e">
        <f>NA()</f>
        <v>#N/A</v>
      </c>
      <c r="N195" s="535" t="e">
        <f>NA()</f>
        <v>#N/A</v>
      </c>
      <c r="O195" s="535" t="e">
        <f>NA()</f>
        <v>#N/A</v>
      </c>
      <c r="P195" s="535" t="e">
        <f>NA()</f>
        <v>#N/A</v>
      </c>
    </row>
    <row r="196" spans="1:16" x14ac:dyDescent="0.2">
      <c r="A196" s="222">
        <f>calculs!A196</f>
        <v>44747</v>
      </c>
      <c r="B196" s="535" t="e">
        <f ca="1">gr(calculs!BL196)</f>
        <v>#NAME?</v>
      </c>
      <c r="C196" s="535" t="e">
        <f ca="1">gr(calculs!BM196)</f>
        <v>#NAME?</v>
      </c>
      <c r="D196" s="535" t="e">
        <f ca="1">gr(calculs!BN196)</f>
        <v>#NAME?</v>
      </c>
      <c r="E196" s="535" t="e">
        <f ca="1">gr(calculs!BO196)</f>
        <v>#NAME?</v>
      </c>
      <c r="F196" s="535" t="e">
        <f ca="1">gr(calculs!BP196)</f>
        <v>#NAME?</v>
      </c>
      <c r="G196" s="535" t="e">
        <f ca="1">gr(calculs!BQ196)</f>
        <v>#NAME?</v>
      </c>
      <c r="H196" s="535" t="e">
        <f ca="1">gr(calculs!BR196)</f>
        <v>#NAME?</v>
      </c>
      <c r="I196" s="535"/>
      <c r="J196" s="535" t="e">
        <f>NA()</f>
        <v>#N/A</v>
      </c>
      <c r="K196" s="535" t="e">
        <f>NA()</f>
        <v>#N/A</v>
      </c>
      <c r="L196" s="535" t="e">
        <f>NA()</f>
        <v>#N/A</v>
      </c>
      <c r="M196" s="535" t="e">
        <f>NA()</f>
        <v>#N/A</v>
      </c>
      <c r="N196" s="535" t="e">
        <f>NA()</f>
        <v>#N/A</v>
      </c>
      <c r="O196" s="535" t="e">
        <f>NA()</f>
        <v>#N/A</v>
      </c>
      <c r="P196" s="535" t="e">
        <f>NA()</f>
        <v>#N/A</v>
      </c>
    </row>
    <row r="197" spans="1:16" x14ac:dyDescent="0.2">
      <c r="A197" s="222">
        <f>calculs!A197</f>
        <v>44748</v>
      </c>
      <c r="B197" s="535" t="e">
        <f ca="1">gr(calculs!BL197)</f>
        <v>#NAME?</v>
      </c>
      <c r="C197" s="535" t="e">
        <f ca="1">gr(calculs!BM197)</f>
        <v>#NAME?</v>
      </c>
      <c r="D197" s="535" t="e">
        <f ca="1">gr(calculs!BN197)</f>
        <v>#NAME?</v>
      </c>
      <c r="E197" s="535" t="e">
        <f ca="1">gr(calculs!BO197)</f>
        <v>#NAME?</v>
      </c>
      <c r="F197" s="535" t="e">
        <f ca="1">gr(calculs!BP197)</f>
        <v>#NAME?</v>
      </c>
      <c r="G197" s="535" t="e">
        <f ca="1">gr(calculs!BQ197)</f>
        <v>#NAME?</v>
      </c>
      <c r="H197" s="535" t="e">
        <f ca="1">gr(calculs!BR197)</f>
        <v>#NAME?</v>
      </c>
      <c r="I197" s="535"/>
      <c r="J197" s="535" t="e">
        <f>NA()</f>
        <v>#N/A</v>
      </c>
      <c r="K197" s="535" t="e">
        <f>NA()</f>
        <v>#N/A</v>
      </c>
      <c r="L197" s="535" t="e">
        <f>NA()</f>
        <v>#N/A</v>
      </c>
      <c r="M197" s="535" t="e">
        <f>NA()</f>
        <v>#N/A</v>
      </c>
      <c r="N197" s="535" t="e">
        <f>NA()</f>
        <v>#N/A</v>
      </c>
      <c r="O197" s="535" t="e">
        <f>NA()</f>
        <v>#N/A</v>
      </c>
      <c r="P197" s="535" t="e">
        <f>NA()</f>
        <v>#N/A</v>
      </c>
    </row>
    <row r="198" spans="1:16" x14ac:dyDescent="0.2">
      <c r="A198" s="222">
        <f>calculs!A198</f>
        <v>44749</v>
      </c>
      <c r="B198" s="535" t="e">
        <f ca="1">gr(calculs!BL198)</f>
        <v>#NAME?</v>
      </c>
      <c r="C198" s="535" t="e">
        <f ca="1">gr(calculs!BM198)</f>
        <v>#NAME?</v>
      </c>
      <c r="D198" s="535" t="e">
        <f ca="1">gr(calculs!BN198)</f>
        <v>#NAME?</v>
      </c>
      <c r="E198" s="535" t="e">
        <f ca="1">gr(calculs!BO198)</f>
        <v>#NAME?</v>
      </c>
      <c r="F198" s="535" t="e">
        <f ca="1">gr(calculs!BP198)</f>
        <v>#NAME?</v>
      </c>
      <c r="G198" s="535" t="e">
        <f ca="1">gr(calculs!BQ198)</f>
        <v>#NAME?</v>
      </c>
      <c r="H198" s="535" t="e">
        <f ca="1">gr(calculs!BR198)</f>
        <v>#NAME?</v>
      </c>
      <c r="I198" s="535"/>
      <c r="J198" s="535" t="e">
        <f>NA()</f>
        <v>#N/A</v>
      </c>
      <c r="K198" s="535" t="e">
        <f>NA()</f>
        <v>#N/A</v>
      </c>
      <c r="L198" s="535" t="e">
        <f>NA()</f>
        <v>#N/A</v>
      </c>
      <c r="M198" s="535" t="e">
        <f>NA()</f>
        <v>#N/A</v>
      </c>
      <c r="N198" s="535" t="e">
        <f>NA()</f>
        <v>#N/A</v>
      </c>
      <c r="O198" s="535" t="e">
        <f>NA()</f>
        <v>#N/A</v>
      </c>
      <c r="P198" s="535" t="e">
        <f>NA()</f>
        <v>#N/A</v>
      </c>
    </row>
    <row r="199" spans="1:16" x14ac:dyDescent="0.2">
      <c r="A199" s="222">
        <f>calculs!A199</f>
        <v>44750</v>
      </c>
      <c r="B199" s="535" t="e">
        <f ca="1">gr(calculs!BL199)</f>
        <v>#NAME?</v>
      </c>
      <c r="C199" s="535" t="e">
        <f ca="1">gr(calculs!BM199)</f>
        <v>#NAME?</v>
      </c>
      <c r="D199" s="535" t="e">
        <f ca="1">gr(calculs!BN199)</f>
        <v>#NAME?</v>
      </c>
      <c r="E199" s="535" t="e">
        <f ca="1">gr(calculs!BO199)</f>
        <v>#NAME?</v>
      </c>
      <c r="F199" s="535" t="e">
        <f ca="1">gr(calculs!BP199)</f>
        <v>#NAME?</v>
      </c>
      <c r="G199" s="535" t="e">
        <f ca="1">gr(calculs!BQ199)</f>
        <v>#NAME?</v>
      </c>
      <c r="H199" s="535" t="e">
        <f ca="1">gr(calculs!BR199)</f>
        <v>#NAME?</v>
      </c>
      <c r="I199" s="535"/>
      <c r="J199" s="535" t="e">
        <f>NA()</f>
        <v>#N/A</v>
      </c>
      <c r="K199" s="535" t="e">
        <f>NA()</f>
        <v>#N/A</v>
      </c>
      <c r="L199" s="535" t="e">
        <f>NA()</f>
        <v>#N/A</v>
      </c>
      <c r="M199" s="535" t="e">
        <f>NA()</f>
        <v>#N/A</v>
      </c>
      <c r="N199" s="535" t="e">
        <f>NA()</f>
        <v>#N/A</v>
      </c>
      <c r="O199" s="535" t="e">
        <f>NA()</f>
        <v>#N/A</v>
      </c>
      <c r="P199" s="535" t="e">
        <f>NA()</f>
        <v>#N/A</v>
      </c>
    </row>
    <row r="200" spans="1:16" x14ac:dyDescent="0.2">
      <c r="A200" s="222">
        <f>calculs!A200</f>
        <v>44751</v>
      </c>
      <c r="B200" s="535" t="e">
        <f ca="1">gr(calculs!BL200)</f>
        <v>#NAME?</v>
      </c>
      <c r="C200" s="535" t="e">
        <f ca="1">gr(calculs!BM200)</f>
        <v>#NAME?</v>
      </c>
      <c r="D200" s="535" t="e">
        <f ca="1">gr(calculs!BN200)</f>
        <v>#NAME?</v>
      </c>
      <c r="E200" s="535" t="e">
        <f ca="1">gr(calculs!BO200)</f>
        <v>#NAME?</v>
      </c>
      <c r="F200" s="535" t="e">
        <f ca="1">gr(calculs!BP200)</f>
        <v>#NAME?</v>
      </c>
      <c r="G200" s="535" t="e">
        <f ca="1">gr(calculs!BQ200)</f>
        <v>#NAME?</v>
      </c>
      <c r="H200" s="535" t="e">
        <f ca="1">gr(calculs!BR200)</f>
        <v>#NAME?</v>
      </c>
      <c r="I200" s="535"/>
      <c r="J200" s="535" t="e">
        <f>NA()</f>
        <v>#N/A</v>
      </c>
      <c r="K200" s="535" t="e">
        <f>NA()</f>
        <v>#N/A</v>
      </c>
      <c r="L200" s="535" t="e">
        <f>NA()</f>
        <v>#N/A</v>
      </c>
      <c r="M200" s="535" t="e">
        <f>NA()</f>
        <v>#N/A</v>
      </c>
      <c r="N200" s="535" t="e">
        <f>NA()</f>
        <v>#N/A</v>
      </c>
      <c r="O200" s="535" t="e">
        <f>NA()</f>
        <v>#N/A</v>
      </c>
      <c r="P200" s="535" t="e">
        <f>NA()</f>
        <v>#N/A</v>
      </c>
    </row>
    <row r="201" spans="1:16" x14ac:dyDescent="0.2">
      <c r="A201" s="222">
        <f>calculs!A201</f>
        <v>44752</v>
      </c>
      <c r="B201" s="535" t="e">
        <f ca="1">gr(calculs!BL201)</f>
        <v>#NAME?</v>
      </c>
      <c r="C201" s="535" t="e">
        <f ca="1">gr(calculs!BM201)</f>
        <v>#NAME?</v>
      </c>
      <c r="D201" s="535" t="e">
        <f ca="1">gr(calculs!BN201)</f>
        <v>#NAME?</v>
      </c>
      <c r="E201" s="535" t="e">
        <f ca="1">gr(calculs!BO201)</f>
        <v>#NAME?</v>
      </c>
      <c r="F201" s="535" t="e">
        <f ca="1">gr(calculs!BP201)</f>
        <v>#NAME?</v>
      </c>
      <c r="G201" s="535" t="e">
        <f ca="1">gr(calculs!BQ201)</f>
        <v>#NAME?</v>
      </c>
      <c r="H201" s="535" t="e">
        <f ca="1">gr(calculs!BR201)</f>
        <v>#NAME?</v>
      </c>
      <c r="I201" s="535"/>
      <c r="J201" s="535" t="e">
        <f>NA()</f>
        <v>#N/A</v>
      </c>
      <c r="K201" s="535" t="e">
        <f>NA()</f>
        <v>#N/A</v>
      </c>
      <c r="L201" s="535" t="e">
        <f>NA()</f>
        <v>#N/A</v>
      </c>
      <c r="M201" s="535" t="e">
        <f>NA()</f>
        <v>#N/A</v>
      </c>
      <c r="N201" s="535" t="e">
        <f>NA()</f>
        <v>#N/A</v>
      </c>
      <c r="O201" s="535" t="e">
        <f>NA()</f>
        <v>#N/A</v>
      </c>
      <c r="P201" s="535" t="e">
        <f>NA()</f>
        <v>#N/A</v>
      </c>
    </row>
    <row r="202" spans="1:16" x14ac:dyDescent="0.2">
      <c r="A202" s="222">
        <f>calculs!A202</f>
        <v>44753</v>
      </c>
      <c r="B202" s="535" t="e">
        <f ca="1">gr(calculs!BL202)</f>
        <v>#NAME?</v>
      </c>
      <c r="C202" s="535" t="e">
        <f ca="1">gr(calculs!BM202)</f>
        <v>#NAME?</v>
      </c>
      <c r="D202" s="535" t="e">
        <f ca="1">gr(calculs!BN202)</f>
        <v>#NAME?</v>
      </c>
      <c r="E202" s="535" t="e">
        <f ca="1">gr(calculs!BO202)</f>
        <v>#NAME?</v>
      </c>
      <c r="F202" s="535" t="e">
        <f ca="1">gr(calculs!BP202)</f>
        <v>#NAME?</v>
      </c>
      <c r="G202" s="535" t="e">
        <f ca="1">gr(calculs!BQ202)</f>
        <v>#NAME?</v>
      </c>
      <c r="H202" s="535" t="e">
        <f ca="1">gr(calculs!BR202)</f>
        <v>#NAME?</v>
      </c>
      <c r="I202" s="535"/>
      <c r="J202" s="535" t="e">
        <f>NA()</f>
        <v>#N/A</v>
      </c>
      <c r="K202" s="535" t="e">
        <f>NA()</f>
        <v>#N/A</v>
      </c>
      <c r="L202" s="535" t="e">
        <f>NA()</f>
        <v>#N/A</v>
      </c>
      <c r="M202" s="535" t="e">
        <f>NA()</f>
        <v>#N/A</v>
      </c>
      <c r="N202" s="535" t="e">
        <f>NA()</f>
        <v>#N/A</v>
      </c>
      <c r="O202" s="535" t="e">
        <f>NA()</f>
        <v>#N/A</v>
      </c>
      <c r="P202" s="535" t="e">
        <f>NA()</f>
        <v>#N/A</v>
      </c>
    </row>
    <row r="203" spans="1:16" x14ac:dyDescent="0.2">
      <c r="A203" s="222">
        <f>calculs!A203</f>
        <v>44754</v>
      </c>
      <c r="B203" s="535" t="e">
        <f ca="1">gr(calculs!BL203)</f>
        <v>#NAME?</v>
      </c>
      <c r="C203" s="535" t="e">
        <f ca="1">gr(calculs!BM203)</f>
        <v>#NAME?</v>
      </c>
      <c r="D203" s="535" t="e">
        <f ca="1">gr(calculs!BN203)</f>
        <v>#NAME?</v>
      </c>
      <c r="E203" s="535" t="e">
        <f ca="1">gr(calculs!BO203)</f>
        <v>#NAME?</v>
      </c>
      <c r="F203" s="535" t="e">
        <f ca="1">gr(calculs!BP203)</f>
        <v>#NAME?</v>
      </c>
      <c r="G203" s="535" t="e">
        <f ca="1">gr(calculs!BQ203)</f>
        <v>#NAME?</v>
      </c>
      <c r="H203" s="535" t="e">
        <f ca="1">gr(calculs!BR203)</f>
        <v>#NAME?</v>
      </c>
      <c r="I203" s="535"/>
      <c r="J203" s="535" t="e">
        <f>NA()</f>
        <v>#N/A</v>
      </c>
      <c r="K203" s="535" t="e">
        <f>NA()</f>
        <v>#N/A</v>
      </c>
      <c r="L203" s="535" t="e">
        <f>NA()</f>
        <v>#N/A</v>
      </c>
      <c r="M203" s="535" t="e">
        <f>NA()</f>
        <v>#N/A</v>
      </c>
      <c r="N203" s="535" t="e">
        <f>NA()</f>
        <v>#N/A</v>
      </c>
      <c r="O203" s="535" t="e">
        <f>NA()</f>
        <v>#N/A</v>
      </c>
      <c r="P203" s="535" t="e">
        <f>NA()</f>
        <v>#N/A</v>
      </c>
    </row>
    <row r="204" spans="1:16" x14ac:dyDescent="0.2">
      <c r="A204" s="222">
        <f>calculs!A204</f>
        <v>44755</v>
      </c>
      <c r="B204" s="535" t="e">
        <f ca="1">gr(calculs!BL204)</f>
        <v>#NAME?</v>
      </c>
      <c r="C204" s="535" t="e">
        <f ca="1">gr(calculs!BM204)</f>
        <v>#NAME?</v>
      </c>
      <c r="D204" s="535" t="e">
        <f ca="1">gr(calculs!BN204)</f>
        <v>#NAME?</v>
      </c>
      <c r="E204" s="535" t="e">
        <f ca="1">gr(calculs!BO204)</f>
        <v>#NAME?</v>
      </c>
      <c r="F204" s="535" t="e">
        <f ca="1">gr(calculs!BP204)</f>
        <v>#NAME?</v>
      </c>
      <c r="G204" s="535" t="e">
        <f ca="1">gr(calculs!BQ204)</f>
        <v>#NAME?</v>
      </c>
      <c r="H204" s="535" t="e">
        <f ca="1">gr(calculs!BR204)</f>
        <v>#NAME?</v>
      </c>
      <c r="I204" s="535"/>
      <c r="J204" s="535" t="e">
        <f>NA()</f>
        <v>#N/A</v>
      </c>
      <c r="K204" s="535" t="e">
        <f>NA()</f>
        <v>#N/A</v>
      </c>
      <c r="L204" s="535" t="e">
        <f>NA()</f>
        <v>#N/A</v>
      </c>
      <c r="M204" s="535" t="e">
        <f>NA()</f>
        <v>#N/A</v>
      </c>
      <c r="N204" s="535" t="e">
        <f>NA()</f>
        <v>#N/A</v>
      </c>
      <c r="O204" s="535" t="e">
        <f>NA()</f>
        <v>#N/A</v>
      </c>
      <c r="P204" s="535" t="e">
        <f>NA()</f>
        <v>#N/A</v>
      </c>
    </row>
    <row r="205" spans="1:16" x14ac:dyDescent="0.2">
      <c r="A205" s="222">
        <f>calculs!A205</f>
        <v>44756</v>
      </c>
      <c r="B205" s="535" t="e">
        <f ca="1">gr(calculs!BL205)</f>
        <v>#NAME?</v>
      </c>
      <c r="C205" s="535" t="e">
        <f ca="1">gr(calculs!BM205)</f>
        <v>#NAME?</v>
      </c>
      <c r="D205" s="535" t="e">
        <f ca="1">gr(calculs!BN205)</f>
        <v>#NAME?</v>
      </c>
      <c r="E205" s="535" t="e">
        <f ca="1">gr(calculs!BO205)</f>
        <v>#NAME?</v>
      </c>
      <c r="F205" s="535" t="e">
        <f ca="1">gr(calculs!BP205)</f>
        <v>#NAME?</v>
      </c>
      <c r="G205" s="535" t="e">
        <f ca="1">gr(calculs!BQ205)</f>
        <v>#NAME?</v>
      </c>
      <c r="H205" s="535" t="e">
        <f ca="1">gr(calculs!BR205)</f>
        <v>#NAME?</v>
      </c>
      <c r="I205" s="535"/>
      <c r="J205" s="535" t="e">
        <f>NA()</f>
        <v>#N/A</v>
      </c>
      <c r="K205" s="535" t="e">
        <f>NA()</f>
        <v>#N/A</v>
      </c>
      <c r="L205" s="535" t="e">
        <f>NA()</f>
        <v>#N/A</v>
      </c>
      <c r="M205" s="535" t="e">
        <f>NA()</f>
        <v>#N/A</v>
      </c>
      <c r="N205" s="535" t="e">
        <f>NA()</f>
        <v>#N/A</v>
      </c>
      <c r="O205" s="535" t="e">
        <f>NA()</f>
        <v>#N/A</v>
      </c>
      <c r="P205" s="535" t="e">
        <f>NA()</f>
        <v>#N/A</v>
      </c>
    </row>
    <row r="206" spans="1:16" x14ac:dyDescent="0.2">
      <c r="A206" s="222">
        <f>calculs!A206</f>
        <v>44757</v>
      </c>
      <c r="B206" s="535" t="e">
        <f ca="1">gr(calculs!BL206)</f>
        <v>#NAME?</v>
      </c>
      <c r="C206" s="535" t="e">
        <f ca="1">gr(calculs!BM206)</f>
        <v>#NAME?</v>
      </c>
      <c r="D206" s="535" t="e">
        <f ca="1">gr(calculs!BN206)</f>
        <v>#NAME?</v>
      </c>
      <c r="E206" s="535" t="e">
        <f ca="1">gr(calculs!BO206)</f>
        <v>#NAME?</v>
      </c>
      <c r="F206" s="535" t="e">
        <f ca="1">gr(calculs!BP206)</f>
        <v>#NAME?</v>
      </c>
      <c r="G206" s="535" t="e">
        <f ca="1">gr(calculs!BQ206)</f>
        <v>#NAME?</v>
      </c>
      <c r="H206" s="535" t="e">
        <f ca="1">gr(calculs!BR206)</f>
        <v>#NAME?</v>
      </c>
      <c r="I206" s="535"/>
      <c r="J206" s="535" t="e">
        <f>NA()</f>
        <v>#N/A</v>
      </c>
      <c r="K206" s="535" t="e">
        <f>NA()</f>
        <v>#N/A</v>
      </c>
      <c r="L206" s="535" t="e">
        <f>NA()</f>
        <v>#N/A</v>
      </c>
      <c r="M206" s="535" t="e">
        <f>NA()</f>
        <v>#N/A</v>
      </c>
      <c r="N206" s="535" t="e">
        <f>NA()</f>
        <v>#N/A</v>
      </c>
      <c r="O206" s="535" t="e">
        <f>NA()</f>
        <v>#N/A</v>
      </c>
      <c r="P206" s="535" t="e">
        <f>NA()</f>
        <v>#N/A</v>
      </c>
    </row>
    <row r="207" spans="1:16" x14ac:dyDescent="0.2">
      <c r="A207" s="222">
        <f>calculs!A207</f>
        <v>44758</v>
      </c>
      <c r="B207" s="535" t="e">
        <f ca="1">gr(calculs!BL207)</f>
        <v>#NAME?</v>
      </c>
      <c r="C207" s="535" t="e">
        <f ca="1">gr(calculs!BM207)</f>
        <v>#NAME?</v>
      </c>
      <c r="D207" s="535" t="e">
        <f ca="1">gr(calculs!BN207)</f>
        <v>#NAME?</v>
      </c>
      <c r="E207" s="535" t="e">
        <f ca="1">gr(calculs!BO207)</f>
        <v>#NAME?</v>
      </c>
      <c r="F207" s="535" t="e">
        <f ca="1">gr(calculs!BP207)</f>
        <v>#NAME?</v>
      </c>
      <c r="G207" s="535" t="e">
        <f ca="1">gr(calculs!BQ207)</f>
        <v>#NAME?</v>
      </c>
      <c r="H207" s="535" t="e">
        <f ca="1">gr(calculs!BR207)</f>
        <v>#NAME?</v>
      </c>
      <c r="I207" s="535"/>
      <c r="J207" s="535" t="e">
        <f>NA()</f>
        <v>#N/A</v>
      </c>
      <c r="K207" s="535" t="e">
        <f>NA()</f>
        <v>#N/A</v>
      </c>
      <c r="L207" s="535" t="e">
        <f>NA()</f>
        <v>#N/A</v>
      </c>
      <c r="M207" s="535" t="e">
        <f>NA()</f>
        <v>#N/A</v>
      </c>
      <c r="N207" s="535" t="e">
        <f>NA()</f>
        <v>#N/A</v>
      </c>
      <c r="O207" s="535" t="e">
        <f>NA()</f>
        <v>#N/A</v>
      </c>
      <c r="P207" s="535" t="e">
        <f>NA()</f>
        <v>#N/A</v>
      </c>
    </row>
    <row r="208" spans="1:16" x14ac:dyDescent="0.2">
      <c r="A208" s="222">
        <f>calculs!A208</f>
        <v>44759</v>
      </c>
      <c r="B208" s="535" t="e">
        <f ca="1">gr(calculs!BL208)</f>
        <v>#NAME?</v>
      </c>
      <c r="C208" s="535" t="e">
        <f ca="1">gr(calculs!BM208)</f>
        <v>#NAME?</v>
      </c>
      <c r="D208" s="535" t="e">
        <f ca="1">gr(calculs!BN208)</f>
        <v>#NAME?</v>
      </c>
      <c r="E208" s="535" t="e">
        <f ca="1">gr(calculs!BO208)</f>
        <v>#NAME?</v>
      </c>
      <c r="F208" s="535" t="e">
        <f ca="1">gr(calculs!BP208)</f>
        <v>#NAME?</v>
      </c>
      <c r="G208" s="535" t="e">
        <f ca="1">gr(calculs!BQ208)</f>
        <v>#NAME?</v>
      </c>
      <c r="H208" s="535" t="e">
        <f ca="1">gr(calculs!BR208)</f>
        <v>#NAME?</v>
      </c>
      <c r="I208" s="535"/>
      <c r="J208" s="535" t="e">
        <f>NA()</f>
        <v>#N/A</v>
      </c>
      <c r="K208" s="535" t="e">
        <f>NA()</f>
        <v>#N/A</v>
      </c>
      <c r="L208" s="535" t="e">
        <f>NA()</f>
        <v>#N/A</v>
      </c>
      <c r="M208" s="535" t="e">
        <f>NA()</f>
        <v>#N/A</v>
      </c>
      <c r="N208" s="535" t="e">
        <f>NA()</f>
        <v>#N/A</v>
      </c>
      <c r="O208" s="535" t="e">
        <f>NA()</f>
        <v>#N/A</v>
      </c>
      <c r="P208" s="535" t="e">
        <f>NA()</f>
        <v>#N/A</v>
      </c>
    </row>
    <row r="209" spans="1:16" x14ac:dyDescent="0.2">
      <c r="A209" s="222">
        <f>calculs!A209</f>
        <v>44760</v>
      </c>
      <c r="B209" s="535" t="e">
        <f ca="1">gr(calculs!BL209)</f>
        <v>#NAME?</v>
      </c>
      <c r="C209" s="535" t="e">
        <f ca="1">gr(calculs!BM209)</f>
        <v>#NAME?</v>
      </c>
      <c r="D209" s="535" t="e">
        <f ca="1">gr(calculs!BN209)</f>
        <v>#NAME?</v>
      </c>
      <c r="E209" s="535" t="e">
        <f ca="1">gr(calculs!BO209)</f>
        <v>#NAME?</v>
      </c>
      <c r="F209" s="535" t="e">
        <f ca="1">gr(calculs!BP209)</f>
        <v>#NAME?</v>
      </c>
      <c r="G209" s="535" t="e">
        <f ca="1">gr(calculs!BQ209)</f>
        <v>#NAME?</v>
      </c>
      <c r="H209" s="535" t="e">
        <f ca="1">gr(calculs!BR209)</f>
        <v>#NAME?</v>
      </c>
      <c r="I209" s="535"/>
      <c r="J209" s="535" t="e">
        <f>NA()</f>
        <v>#N/A</v>
      </c>
      <c r="K209" s="535" t="e">
        <f>NA()</f>
        <v>#N/A</v>
      </c>
      <c r="L209" s="535" t="e">
        <f>NA()</f>
        <v>#N/A</v>
      </c>
      <c r="M209" s="535" t="e">
        <f>NA()</f>
        <v>#N/A</v>
      </c>
      <c r="N209" s="535" t="e">
        <f>NA()</f>
        <v>#N/A</v>
      </c>
      <c r="O209" s="535" t="e">
        <f>NA()</f>
        <v>#N/A</v>
      </c>
      <c r="P209" s="535" t="e">
        <f>NA()</f>
        <v>#N/A</v>
      </c>
    </row>
    <row r="210" spans="1:16" x14ac:dyDescent="0.2">
      <c r="A210" s="222">
        <f>calculs!A210</f>
        <v>44761</v>
      </c>
      <c r="B210" s="535" t="e">
        <f ca="1">gr(calculs!BL210)</f>
        <v>#NAME?</v>
      </c>
      <c r="C210" s="535" t="e">
        <f ca="1">gr(calculs!BM210)</f>
        <v>#NAME?</v>
      </c>
      <c r="D210" s="535" t="e">
        <f ca="1">gr(calculs!BN210)</f>
        <v>#NAME?</v>
      </c>
      <c r="E210" s="535" t="e">
        <f ca="1">gr(calculs!BO210)</f>
        <v>#NAME?</v>
      </c>
      <c r="F210" s="535" t="e">
        <f ca="1">gr(calculs!BP210)</f>
        <v>#NAME?</v>
      </c>
      <c r="G210" s="535" t="e">
        <f ca="1">gr(calculs!BQ210)</f>
        <v>#NAME?</v>
      </c>
      <c r="H210" s="535" t="e">
        <f ca="1">gr(calculs!BR210)</f>
        <v>#NAME?</v>
      </c>
      <c r="I210" s="535"/>
      <c r="J210" s="535" t="e">
        <f>NA()</f>
        <v>#N/A</v>
      </c>
      <c r="K210" s="535" t="e">
        <f>NA()</f>
        <v>#N/A</v>
      </c>
      <c r="L210" s="535" t="e">
        <f>NA()</f>
        <v>#N/A</v>
      </c>
      <c r="M210" s="535" t="e">
        <f>NA()</f>
        <v>#N/A</v>
      </c>
      <c r="N210" s="535" t="e">
        <f>NA()</f>
        <v>#N/A</v>
      </c>
      <c r="O210" s="535" t="e">
        <f>NA()</f>
        <v>#N/A</v>
      </c>
      <c r="P210" s="535" t="e">
        <f>NA()</f>
        <v>#N/A</v>
      </c>
    </row>
    <row r="211" spans="1:16" x14ac:dyDescent="0.2">
      <c r="A211" s="222">
        <f>calculs!A211</f>
        <v>44762</v>
      </c>
      <c r="B211" s="535" t="e">
        <f ca="1">gr(calculs!BL211)</f>
        <v>#NAME?</v>
      </c>
      <c r="C211" s="535" t="e">
        <f ca="1">gr(calculs!BM211)</f>
        <v>#NAME?</v>
      </c>
      <c r="D211" s="535" t="e">
        <f ca="1">gr(calculs!BN211)</f>
        <v>#NAME?</v>
      </c>
      <c r="E211" s="535" t="e">
        <f ca="1">gr(calculs!BO211)</f>
        <v>#NAME?</v>
      </c>
      <c r="F211" s="535" t="e">
        <f ca="1">gr(calculs!BP211)</f>
        <v>#NAME?</v>
      </c>
      <c r="G211" s="535" t="e">
        <f ca="1">gr(calculs!BQ211)</f>
        <v>#NAME?</v>
      </c>
      <c r="H211" s="535" t="e">
        <f ca="1">gr(calculs!BR211)</f>
        <v>#NAME?</v>
      </c>
      <c r="I211" s="535"/>
      <c r="J211" s="535" t="e">
        <f>NA()</f>
        <v>#N/A</v>
      </c>
      <c r="K211" s="535" t="e">
        <f>NA()</f>
        <v>#N/A</v>
      </c>
      <c r="L211" s="535" t="e">
        <f>NA()</f>
        <v>#N/A</v>
      </c>
      <c r="M211" s="535" t="e">
        <f>NA()</f>
        <v>#N/A</v>
      </c>
      <c r="N211" s="535" t="e">
        <f>NA()</f>
        <v>#N/A</v>
      </c>
      <c r="O211" s="535" t="e">
        <f>NA()</f>
        <v>#N/A</v>
      </c>
      <c r="P211" s="535" t="e">
        <f>NA()</f>
        <v>#N/A</v>
      </c>
    </row>
    <row r="212" spans="1:16" x14ac:dyDescent="0.2">
      <c r="A212" s="222">
        <f>calculs!A212</f>
        <v>44763</v>
      </c>
      <c r="B212" s="535" t="e">
        <f ca="1">gr(calculs!BL212)</f>
        <v>#NAME?</v>
      </c>
      <c r="C212" s="535" t="e">
        <f ca="1">gr(calculs!BM212)</f>
        <v>#NAME?</v>
      </c>
      <c r="D212" s="535" t="e">
        <f ca="1">gr(calculs!BN212)</f>
        <v>#NAME?</v>
      </c>
      <c r="E212" s="535" t="e">
        <f ca="1">gr(calculs!BO212)</f>
        <v>#NAME?</v>
      </c>
      <c r="F212" s="535" t="e">
        <f ca="1">gr(calculs!BP212)</f>
        <v>#NAME?</v>
      </c>
      <c r="G212" s="535" t="e">
        <f ca="1">gr(calculs!BQ212)</f>
        <v>#NAME?</v>
      </c>
      <c r="H212" s="535" t="e">
        <f ca="1">gr(calculs!BR212)</f>
        <v>#NAME?</v>
      </c>
      <c r="I212" s="535"/>
      <c r="J212" s="535" t="e">
        <f>NA()</f>
        <v>#N/A</v>
      </c>
      <c r="K212" s="535" t="e">
        <f>NA()</f>
        <v>#N/A</v>
      </c>
      <c r="L212" s="535" t="e">
        <f>NA()</f>
        <v>#N/A</v>
      </c>
      <c r="M212" s="535" t="e">
        <f>NA()</f>
        <v>#N/A</v>
      </c>
      <c r="N212" s="535" t="e">
        <f>NA()</f>
        <v>#N/A</v>
      </c>
      <c r="O212" s="535" t="e">
        <f>NA()</f>
        <v>#N/A</v>
      </c>
      <c r="P212" s="535" t="e">
        <f>NA()</f>
        <v>#N/A</v>
      </c>
    </row>
    <row r="213" spans="1:16" x14ac:dyDescent="0.2">
      <c r="A213" s="222">
        <f>calculs!A213</f>
        <v>44764</v>
      </c>
      <c r="B213" s="535" t="e">
        <f ca="1">gr(calculs!BL213)</f>
        <v>#NAME?</v>
      </c>
      <c r="C213" s="535" t="e">
        <f ca="1">gr(calculs!BM213)</f>
        <v>#NAME?</v>
      </c>
      <c r="D213" s="535" t="e">
        <f ca="1">gr(calculs!BN213)</f>
        <v>#NAME?</v>
      </c>
      <c r="E213" s="535" t="e">
        <f ca="1">gr(calculs!BO213)</f>
        <v>#NAME?</v>
      </c>
      <c r="F213" s="535" t="e">
        <f ca="1">gr(calculs!BP213)</f>
        <v>#NAME?</v>
      </c>
      <c r="G213" s="535" t="e">
        <f ca="1">gr(calculs!BQ213)</f>
        <v>#NAME?</v>
      </c>
      <c r="H213" s="535" t="e">
        <f ca="1">gr(calculs!BR213)</f>
        <v>#NAME?</v>
      </c>
      <c r="I213" s="535"/>
      <c r="J213" s="535" t="e">
        <f>NA()</f>
        <v>#N/A</v>
      </c>
      <c r="K213" s="535" t="e">
        <f>NA()</f>
        <v>#N/A</v>
      </c>
      <c r="L213" s="535" t="e">
        <f>NA()</f>
        <v>#N/A</v>
      </c>
      <c r="M213" s="535" t="e">
        <f>NA()</f>
        <v>#N/A</v>
      </c>
      <c r="N213" s="535" t="e">
        <f>NA()</f>
        <v>#N/A</v>
      </c>
      <c r="O213" s="535" t="e">
        <f>NA()</f>
        <v>#N/A</v>
      </c>
      <c r="P213" s="535" t="e">
        <f>NA()</f>
        <v>#N/A</v>
      </c>
    </row>
    <row r="214" spans="1:16" x14ac:dyDescent="0.2">
      <c r="A214" s="222">
        <f>calculs!A214</f>
        <v>44765</v>
      </c>
      <c r="B214" s="535" t="e">
        <f ca="1">gr(calculs!BL214)</f>
        <v>#NAME?</v>
      </c>
      <c r="C214" s="535" t="e">
        <f ca="1">gr(calculs!BM214)</f>
        <v>#NAME?</v>
      </c>
      <c r="D214" s="535" t="e">
        <f ca="1">gr(calculs!BN214)</f>
        <v>#NAME?</v>
      </c>
      <c r="E214" s="535" t="e">
        <f ca="1">gr(calculs!BO214)</f>
        <v>#NAME?</v>
      </c>
      <c r="F214" s="535" t="e">
        <f ca="1">gr(calculs!BP214)</f>
        <v>#NAME?</v>
      </c>
      <c r="G214" s="535" t="e">
        <f ca="1">gr(calculs!BQ214)</f>
        <v>#NAME?</v>
      </c>
      <c r="H214" s="535" t="e">
        <f ca="1">gr(calculs!BR214)</f>
        <v>#NAME?</v>
      </c>
      <c r="I214" s="535"/>
      <c r="J214" s="535" t="e">
        <f>NA()</f>
        <v>#N/A</v>
      </c>
      <c r="K214" s="535" t="e">
        <f>NA()</f>
        <v>#N/A</v>
      </c>
      <c r="L214" s="535" t="e">
        <f>NA()</f>
        <v>#N/A</v>
      </c>
      <c r="M214" s="535" t="e">
        <f>NA()</f>
        <v>#N/A</v>
      </c>
      <c r="N214" s="535" t="e">
        <f>NA()</f>
        <v>#N/A</v>
      </c>
      <c r="O214" s="535" t="e">
        <f>NA()</f>
        <v>#N/A</v>
      </c>
      <c r="P214" s="535" t="e">
        <f>NA()</f>
        <v>#N/A</v>
      </c>
    </row>
    <row r="215" spans="1:16" x14ac:dyDescent="0.2">
      <c r="A215" s="222">
        <f>calculs!A215</f>
        <v>44766</v>
      </c>
      <c r="B215" s="535" t="e">
        <f ca="1">gr(calculs!BL215)</f>
        <v>#NAME?</v>
      </c>
      <c r="C215" s="535" t="e">
        <f ca="1">gr(calculs!BM215)</f>
        <v>#NAME?</v>
      </c>
      <c r="D215" s="535" t="e">
        <f ca="1">gr(calculs!BN215)</f>
        <v>#NAME?</v>
      </c>
      <c r="E215" s="535" t="e">
        <f ca="1">gr(calculs!BO215)</f>
        <v>#NAME?</v>
      </c>
      <c r="F215" s="535" t="e">
        <f ca="1">gr(calculs!BP215)</f>
        <v>#NAME?</v>
      </c>
      <c r="G215" s="535" t="e">
        <f ca="1">gr(calculs!BQ215)</f>
        <v>#NAME?</v>
      </c>
      <c r="H215" s="535" t="e">
        <f ca="1">gr(calculs!BR215)</f>
        <v>#NAME?</v>
      </c>
      <c r="I215" s="535"/>
      <c r="J215" s="535" t="e">
        <f>NA()</f>
        <v>#N/A</v>
      </c>
      <c r="K215" s="535" t="e">
        <f>NA()</f>
        <v>#N/A</v>
      </c>
      <c r="L215" s="535" t="e">
        <f>NA()</f>
        <v>#N/A</v>
      </c>
      <c r="M215" s="535" t="e">
        <f>NA()</f>
        <v>#N/A</v>
      </c>
      <c r="N215" s="535" t="e">
        <f>NA()</f>
        <v>#N/A</v>
      </c>
      <c r="O215" s="535" t="e">
        <f>NA()</f>
        <v>#N/A</v>
      </c>
      <c r="P215" s="535" t="e">
        <f>NA()</f>
        <v>#N/A</v>
      </c>
    </row>
    <row r="216" spans="1:16" x14ac:dyDescent="0.2">
      <c r="A216" s="222">
        <f>calculs!A216</f>
        <v>44767</v>
      </c>
      <c r="B216" s="535" t="e">
        <f ca="1">gr(calculs!BL216)</f>
        <v>#NAME?</v>
      </c>
      <c r="C216" s="535" t="e">
        <f ca="1">gr(calculs!BM216)</f>
        <v>#NAME?</v>
      </c>
      <c r="D216" s="535" t="e">
        <f ca="1">gr(calculs!BN216)</f>
        <v>#NAME?</v>
      </c>
      <c r="E216" s="535" t="e">
        <f ca="1">gr(calculs!BO216)</f>
        <v>#NAME?</v>
      </c>
      <c r="F216" s="535" t="e">
        <f ca="1">gr(calculs!BP216)</f>
        <v>#NAME?</v>
      </c>
      <c r="G216" s="535" t="e">
        <f ca="1">gr(calculs!BQ216)</f>
        <v>#NAME?</v>
      </c>
      <c r="H216" s="535" t="e">
        <f ca="1">gr(calculs!BR216)</f>
        <v>#NAME?</v>
      </c>
      <c r="I216" s="535"/>
      <c r="J216" s="535" t="e">
        <f>NA()</f>
        <v>#N/A</v>
      </c>
      <c r="K216" s="535" t="e">
        <f>NA()</f>
        <v>#N/A</v>
      </c>
      <c r="L216" s="535" t="e">
        <f>NA()</f>
        <v>#N/A</v>
      </c>
      <c r="M216" s="535" t="e">
        <f>NA()</f>
        <v>#N/A</v>
      </c>
      <c r="N216" s="535" t="e">
        <f>NA()</f>
        <v>#N/A</v>
      </c>
      <c r="O216" s="535" t="e">
        <f>NA()</f>
        <v>#N/A</v>
      </c>
      <c r="P216" s="535" t="e">
        <f>NA()</f>
        <v>#N/A</v>
      </c>
    </row>
    <row r="217" spans="1:16" x14ac:dyDescent="0.2">
      <c r="A217" s="222">
        <f>calculs!A217</f>
        <v>44768</v>
      </c>
      <c r="B217" s="535" t="e">
        <f ca="1">gr(calculs!BL217)</f>
        <v>#NAME?</v>
      </c>
      <c r="C217" s="535" t="e">
        <f ca="1">gr(calculs!BM217)</f>
        <v>#NAME?</v>
      </c>
      <c r="D217" s="535" t="e">
        <f ca="1">gr(calculs!BN217)</f>
        <v>#NAME?</v>
      </c>
      <c r="E217" s="535" t="e">
        <f ca="1">gr(calculs!BO217)</f>
        <v>#NAME?</v>
      </c>
      <c r="F217" s="535" t="e">
        <f ca="1">gr(calculs!BP217)</f>
        <v>#NAME?</v>
      </c>
      <c r="G217" s="535" t="e">
        <f ca="1">gr(calculs!BQ217)</f>
        <v>#NAME?</v>
      </c>
      <c r="H217" s="535" t="e">
        <f ca="1">gr(calculs!BR217)</f>
        <v>#NAME?</v>
      </c>
      <c r="I217" s="535"/>
      <c r="J217" s="535" t="e">
        <f>NA()</f>
        <v>#N/A</v>
      </c>
      <c r="K217" s="535" t="e">
        <f>NA()</f>
        <v>#N/A</v>
      </c>
      <c r="L217" s="535" t="e">
        <f>NA()</f>
        <v>#N/A</v>
      </c>
      <c r="M217" s="535" t="e">
        <f>NA()</f>
        <v>#N/A</v>
      </c>
      <c r="N217" s="535" t="e">
        <f>NA()</f>
        <v>#N/A</v>
      </c>
      <c r="O217" s="535" t="e">
        <f>NA()</f>
        <v>#N/A</v>
      </c>
      <c r="P217" s="535" t="e">
        <f>NA()</f>
        <v>#N/A</v>
      </c>
    </row>
    <row r="218" spans="1:16" x14ac:dyDescent="0.2">
      <c r="A218" s="222">
        <f>calculs!A218</f>
        <v>44769</v>
      </c>
      <c r="B218" s="535" t="e">
        <f ca="1">gr(calculs!BL218)</f>
        <v>#NAME?</v>
      </c>
      <c r="C218" s="535" t="e">
        <f ca="1">gr(calculs!BM218)</f>
        <v>#NAME?</v>
      </c>
      <c r="D218" s="535" t="e">
        <f ca="1">gr(calculs!BN218)</f>
        <v>#NAME?</v>
      </c>
      <c r="E218" s="535" t="e">
        <f ca="1">gr(calculs!BO218)</f>
        <v>#NAME?</v>
      </c>
      <c r="F218" s="535" t="e">
        <f ca="1">gr(calculs!BP218)</f>
        <v>#NAME?</v>
      </c>
      <c r="G218" s="535" t="e">
        <f ca="1">gr(calculs!BQ218)</f>
        <v>#NAME?</v>
      </c>
      <c r="H218" s="535" t="e">
        <f ca="1">gr(calculs!BR218)</f>
        <v>#NAME?</v>
      </c>
      <c r="I218" s="535"/>
      <c r="J218" s="535" t="e">
        <f>NA()</f>
        <v>#N/A</v>
      </c>
      <c r="K218" s="535" t="e">
        <f>NA()</f>
        <v>#N/A</v>
      </c>
      <c r="L218" s="535" t="e">
        <f>NA()</f>
        <v>#N/A</v>
      </c>
      <c r="M218" s="535" t="e">
        <f>NA()</f>
        <v>#N/A</v>
      </c>
      <c r="N218" s="535" t="e">
        <f>NA()</f>
        <v>#N/A</v>
      </c>
      <c r="O218" s="535" t="e">
        <f>NA()</f>
        <v>#N/A</v>
      </c>
      <c r="P218" s="535" t="e">
        <f>NA()</f>
        <v>#N/A</v>
      </c>
    </row>
    <row r="219" spans="1:16" x14ac:dyDescent="0.2">
      <c r="A219" s="222">
        <f>calculs!A219</f>
        <v>44770</v>
      </c>
      <c r="B219" s="535" t="e">
        <f ca="1">gr(calculs!BL219)</f>
        <v>#NAME?</v>
      </c>
      <c r="C219" s="535" t="e">
        <f ca="1">gr(calculs!BM219)</f>
        <v>#NAME?</v>
      </c>
      <c r="D219" s="535" t="e">
        <f ca="1">gr(calculs!BN219)</f>
        <v>#NAME?</v>
      </c>
      <c r="E219" s="535" t="e">
        <f ca="1">gr(calculs!BO219)</f>
        <v>#NAME?</v>
      </c>
      <c r="F219" s="535" t="e">
        <f ca="1">gr(calculs!BP219)</f>
        <v>#NAME?</v>
      </c>
      <c r="G219" s="535" t="e">
        <f ca="1">gr(calculs!BQ219)</f>
        <v>#NAME?</v>
      </c>
      <c r="H219" s="535" t="e">
        <f ca="1">gr(calculs!BR219)</f>
        <v>#NAME?</v>
      </c>
      <c r="I219" s="535"/>
      <c r="J219" s="535" t="e">
        <f>NA()</f>
        <v>#N/A</v>
      </c>
      <c r="K219" s="535" t="e">
        <f>NA()</f>
        <v>#N/A</v>
      </c>
      <c r="L219" s="535" t="e">
        <f>NA()</f>
        <v>#N/A</v>
      </c>
      <c r="M219" s="535" t="e">
        <f>NA()</f>
        <v>#N/A</v>
      </c>
      <c r="N219" s="535" t="e">
        <f>NA()</f>
        <v>#N/A</v>
      </c>
      <c r="O219" s="535" t="e">
        <f>NA()</f>
        <v>#N/A</v>
      </c>
      <c r="P219" s="535" t="e">
        <f>NA()</f>
        <v>#N/A</v>
      </c>
    </row>
    <row r="220" spans="1:16" x14ac:dyDescent="0.2">
      <c r="A220" s="222">
        <f>calculs!A220</f>
        <v>44771</v>
      </c>
      <c r="B220" s="535" t="e">
        <f ca="1">gr(calculs!BL220)</f>
        <v>#NAME?</v>
      </c>
      <c r="C220" s="535" t="e">
        <f ca="1">gr(calculs!BM220)</f>
        <v>#NAME?</v>
      </c>
      <c r="D220" s="535" t="e">
        <f ca="1">gr(calculs!BN220)</f>
        <v>#NAME?</v>
      </c>
      <c r="E220" s="535" t="e">
        <f ca="1">gr(calculs!BO220)</f>
        <v>#NAME?</v>
      </c>
      <c r="F220" s="535" t="e">
        <f ca="1">gr(calculs!BP220)</f>
        <v>#NAME?</v>
      </c>
      <c r="G220" s="535" t="e">
        <f ca="1">gr(calculs!BQ220)</f>
        <v>#NAME?</v>
      </c>
      <c r="H220" s="535" t="e">
        <f ca="1">gr(calculs!BR220)</f>
        <v>#NAME?</v>
      </c>
      <c r="I220" s="535"/>
      <c r="J220" s="535" t="e">
        <f>NA()</f>
        <v>#N/A</v>
      </c>
      <c r="K220" s="535" t="e">
        <f>NA()</f>
        <v>#N/A</v>
      </c>
      <c r="L220" s="535" t="e">
        <f>NA()</f>
        <v>#N/A</v>
      </c>
      <c r="M220" s="535" t="e">
        <f>NA()</f>
        <v>#N/A</v>
      </c>
      <c r="N220" s="535" t="e">
        <f>NA()</f>
        <v>#N/A</v>
      </c>
      <c r="O220" s="535" t="e">
        <f>NA()</f>
        <v>#N/A</v>
      </c>
      <c r="P220" s="535" t="e">
        <f>NA()</f>
        <v>#N/A</v>
      </c>
    </row>
    <row r="221" spans="1:16" x14ac:dyDescent="0.2">
      <c r="A221" s="222">
        <f>calculs!A221</f>
        <v>44772</v>
      </c>
      <c r="B221" s="535" t="e">
        <f ca="1">gr(calculs!BL221)</f>
        <v>#NAME?</v>
      </c>
      <c r="C221" s="535" t="e">
        <f ca="1">gr(calculs!BM221)</f>
        <v>#NAME?</v>
      </c>
      <c r="D221" s="535" t="e">
        <f ca="1">gr(calculs!BN221)</f>
        <v>#NAME?</v>
      </c>
      <c r="E221" s="535" t="e">
        <f ca="1">gr(calculs!BO221)</f>
        <v>#NAME?</v>
      </c>
      <c r="F221" s="535" t="e">
        <f ca="1">gr(calculs!BP221)</f>
        <v>#NAME?</v>
      </c>
      <c r="G221" s="535" t="e">
        <f ca="1">gr(calculs!BQ221)</f>
        <v>#NAME?</v>
      </c>
      <c r="H221" s="535" t="e">
        <f ca="1">gr(calculs!BR221)</f>
        <v>#NAME?</v>
      </c>
      <c r="I221" s="535"/>
      <c r="J221" s="535" t="e">
        <f>NA()</f>
        <v>#N/A</v>
      </c>
      <c r="K221" s="535" t="e">
        <f>NA()</f>
        <v>#N/A</v>
      </c>
      <c r="L221" s="535" t="e">
        <f>NA()</f>
        <v>#N/A</v>
      </c>
      <c r="M221" s="535" t="e">
        <f>NA()</f>
        <v>#N/A</v>
      </c>
      <c r="N221" s="535" t="e">
        <f>NA()</f>
        <v>#N/A</v>
      </c>
      <c r="O221" s="535" t="e">
        <f>NA()</f>
        <v>#N/A</v>
      </c>
      <c r="P221" s="535" t="e">
        <f>NA()</f>
        <v>#N/A</v>
      </c>
    </row>
    <row r="222" spans="1:16" x14ac:dyDescent="0.2">
      <c r="A222" s="222">
        <f>calculs!A222</f>
        <v>44773</v>
      </c>
      <c r="B222" s="535" t="e">
        <f ca="1">gr(calculs!BL222)</f>
        <v>#NAME?</v>
      </c>
      <c r="C222" s="535" t="e">
        <f ca="1">gr(calculs!BM222)</f>
        <v>#NAME?</v>
      </c>
      <c r="D222" s="535" t="e">
        <f ca="1">gr(calculs!BN222)</f>
        <v>#NAME?</v>
      </c>
      <c r="E222" s="535" t="e">
        <f ca="1">gr(calculs!BO222)</f>
        <v>#NAME?</v>
      </c>
      <c r="F222" s="535" t="e">
        <f ca="1">gr(calculs!BP222)</f>
        <v>#NAME?</v>
      </c>
      <c r="G222" s="535" t="e">
        <f ca="1">gr(calculs!BQ222)</f>
        <v>#NAME?</v>
      </c>
      <c r="H222" s="535" t="e">
        <f ca="1">gr(calculs!BR222)</f>
        <v>#NAME?</v>
      </c>
      <c r="I222" s="535"/>
      <c r="J222" s="535" t="e">
        <f>NA()</f>
        <v>#N/A</v>
      </c>
      <c r="K222" s="535" t="e">
        <f>NA()</f>
        <v>#N/A</v>
      </c>
      <c r="L222" s="535" t="e">
        <f>NA()</f>
        <v>#N/A</v>
      </c>
      <c r="M222" s="535" t="e">
        <f>NA()</f>
        <v>#N/A</v>
      </c>
      <c r="N222" s="535" t="e">
        <f>NA()</f>
        <v>#N/A</v>
      </c>
      <c r="O222" s="535" t="e">
        <f>NA()</f>
        <v>#N/A</v>
      </c>
      <c r="P222" s="535" t="e">
        <f>NA()</f>
        <v>#N/A</v>
      </c>
    </row>
    <row r="223" spans="1:16" x14ac:dyDescent="0.2">
      <c r="A223" s="222">
        <f>calculs!A223</f>
        <v>44774</v>
      </c>
      <c r="B223" s="535" t="e">
        <f ca="1">gr(calculs!BL223)</f>
        <v>#NAME?</v>
      </c>
      <c r="C223" s="535" t="e">
        <f ca="1">gr(calculs!BM223)</f>
        <v>#NAME?</v>
      </c>
      <c r="D223" s="535" t="e">
        <f ca="1">gr(calculs!BN223)</f>
        <v>#NAME?</v>
      </c>
      <c r="E223" s="535" t="e">
        <f ca="1">gr(calculs!BO223)</f>
        <v>#NAME?</v>
      </c>
      <c r="F223" s="535" t="e">
        <f ca="1">gr(calculs!BP223)</f>
        <v>#NAME?</v>
      </c>
      <c r="G223" s="535" t="e">
        <f ca="1">gr(calculs!BQ223)</f>
        <v>#NAME?</v>
      </c>
      <c r="H223" s="535" t="e">
        <f ca="1">gr(calculs!BR223)</f>
        <v>#NAME?</v>
      </c>
      <c r="I223" s="535"/>
      <c r="J223" s="535" t="e">
        <f>NA()</f>
        <v>#N/A</v>
      </c>
      <c r="K223" s="535" t="e">
        <f>NA()</f>
        <v>#N/A</v>
      </c>
      <c r="L223" s="535" t="e">
        <f>NA()</f>
        <v>#N/A</v>
      </c>
      <c r="M223" s="535" t="e">
        <f>NA()</f>
        <v>#N/A</v>
      </c>
      <c r="N223" s="535" t="e">
        <f>NA()</f>
        <v>#N/A</v>
      </c>
      <c r="O223" s="535" t="e">
        <f>NA()</f>
        <v>#N/A</v>
      </c>
      <c r="P223" s="535" t="e">
        <f>NA()</f>
        <v>#N/A</v>
      </c>
    </row>
    <row r="224" spans="1:16" x14ac:dyDescent="0.2">
      <c r="A224" s="222">
        <f>calculs!A224</f>
        <v>44775</v>
      </c>
      <c r="B224" s="535" t="e">
        <f ca="1">gr(calculs!BL224)</f>
        <v>#NAME?</v>
      </c>
      <c r="C224" s="535" t="e">
        <f ca="1">gr(calculs!BM224)</f>
        <v>#NAME?</v>
      </c>
      <c r="D224" s="535" t="e">
        <f ca="1">gr(calculs!BN224)</f>
        <v>#NAME?</v>
      </c>
      <c r="E224" s="535" t="e">
        <f ca="1">gr(calculs!BO224)</f>
        <v>#NAME?</v>
      </c>
      <c r="F224" s="535" t="e">
        <f ca="1">gr(calculs!BP224)</f>
        <v>#NAME?</v>
      </c>
      <c r="G224" s="535" t="e">
        <f ca="1">gr(calculs!BQ224)</f>
        <v>#NAME?</v>
      </c>
      <c r="H224" s="535" t="e">
        <f ca="1">gr(calculs!BR224)</f>
        <v>#NAME?</v>
      </c>
      <c r="I224" s="535"/>
      <c r="J224" s="535" t="e">
        <f>NA()</f>
        <v>#N/A</v>
      </c>
      <c r="K224" s="535" t="e">
        <f>NA()</f>
        <v>#N/A</v>
      </c>
      <c r="L224" s="535" t="e">
        <f>NA()</f>
        <v>#N/A</v>
      </c>
      <c r="M224" s="535" t="e">
        <f>NA()</f>
        <v>#N/A</v>
      </c>
      <c r="N224" s="535" t="e">
        <f>NA()</f>
        <v>#N/A</v>
      </c>
      <c r="O224" s="535" t="e">
        <f>NA()</f>
        <v>#N/A</v>
      </c>
      <c r="P224" s="535" t="e">
        <f>NA()</f>
        <v>#N/A</v>
      </c>
    </row>
    <row r="225" spans="1:16" x14ac:dyDescent="0.2">
      <c r="A225" s="222">
        <f>calculs!A225</f>
        <v>44776</v>
      </c>
      <c r="B225" s="535" t="e">
        <f ca="1">gr(calculs!BL225)</f>
        <v>#NAME?</v>
      </c>
      <c r="C225" s="535" t="e">
        <f ca="1">gr(calculs!BM225)</f>
        <v>#NAME?</v>
      </c>
      <c r="D225" s="535" t="e">
        <f ca="1">gr(calculs!BN225)</f>
        <v>#NAME?</v>
      </c>
      <c r="E225" s="535" t="e">
        <f ca="1">gr(calculs!BO225)</f>
        <v>#NAME?</v>
      </c>
      <c r="F225" s="535" t="e">
        <f ca="1">gr(calculs!BP225)</f>
        <v>#NAME?</v>
      </c>
      <c r="G225" s="535" t="e">
        <f ca="1">gr(calculs!BQ225)</f>
        <v>#NAME?</v>
      </c>
      <c r="H225" s="535" t="e">
        <f ca="1">gr(calculs!BR225)</f>
        <v>#NAME?</v>
      </c>
      <c r="I225" s="535"/>
      <c r="J225" s="535" t="e">
        <f>NA()</f>
        <v>#N/A</v>
      </c>
      <c r="K225" s="535" t="e">
        <f>NA()</f>
        <v>#N/A</v>
      </c>
      <c r="L225" s="535" t="e">
        <f>NA()</f>
        <v>#N/A</v>
      </c>
      <c r="M225" s="535" t="e">
        <f>NA()</f>
        <v>#N/A</v>
      </c>
      <c r="N225" s="535" t="e">
        <f>NA()</f>
        <v>#N/A</v>
      </c>
      <c r="O225" s="535" t="e">
        <f>NA()</f>
        <v>#N/A</v>
      </c>
      <c r="P225" s="535" t="e">
        <f>NA()</f>
        <v>#N/A</v>
      </c>
    </row>
    <row r="226" spans="1:16" x14ac:dyDescent="0.2">
      <c r="A226" s="222">
        <f>calculs!A226</f>
        <v>44777</v>
      </c>
      <c r="B226" s="535" t="e">
        <f ca="1">gr(calculs!BL226)</f>
        <v>#NAME?</v>
      </c>
      <c r="C226" s="535" t="e">
        <f ca="1">gr(calculs!BM226)</f>
        <v>#NAME?</v>
      </c>
      <c r="D226" s="535" t="e">
        <f ca="1">gr(calculs!BN226)</f>
        <v>#NAME?</v>
      </c>
      <c r="E226" s="535" t="e">
        <f ca="1">gr(calculs!BO226)</f>
        <v>#NAME?</v>
      </c>
      <c r="F226" s="535" t="e">
        <f ca="1">gr(calculs!BP226)</f>
        <v>#NAME?</v>
      </c>
      <c r="G226" s="535" t="e">
        <f ca="1">gr(calculs!BQ226)</f>
        <v>#NAME?</v>
      </c>
      <c r="H226" s="535" t="e">
        <f ca="1">gr(calculs!BR226)</f>
        <v>#NAME?</v>
      </c>
      <c r="I226" s="535"/>
      <c r="J226" s="535" t="e">
        <f>NA()</f>
        <v>#N/A</v>
      </c>
      <c r="K226" s="535" t="e">
        <f>NA()</f>
        <v>#N/A</v>
      </c>
      <c r="L226" s="535" t="e">
        <f>NA()</f>
        <v>#N/A</v>
      </c>
      <c r="M226" s="535" t="e">
        <f>NA()</f>
        <v>#N/A</v>
      </c>
      <c r="N226" s="535" t="e">
        <f>NA()</f>
        <v>#N/A</v>
      </c>
      <c r="O226" s="535" t="e">
        <f>NA()</f>
        <v>#N/A</v>
      </c>
      <c r="P226" s="535" t="e">
        <f>NA()</f>
        <v>#N/A</v>
      </c>
    </row>
    <row r="227" spans="1:16" x14ac:dyDescent="0.2">
      <c r="A227" s="222">
        <f>calculs!A227</f>
        <v>44778</v>
      </c>
      <c r="B227" s="535" t="e">
        <f ca="1">gr(calculs!BL227)</f>
        <v>#NAME?</v>
      </c>
      <c r="C227" s="535" t="e">
        <f ca="1">gr(calculs!BM227)</f>
        <v>#NAME?</v>
      </c>
      <c r="D227" s="535" t="e">
        <f ca="1">gr(calculs!BN227)</f>
        <v>#NAME?</v>
      </c>
      <c r="E227" s="535" t="e">
        <f ca="1">gr(calculs!BO227)</f>
        <v>#NAME?</v>
      </c>
      <c r="F227" s="535" t="e">
        <f ca="1">gr(calculs!BP227)</f>
        <v>#NAME?</v>
      </c>
      <c r="G227" s="535" t="e">
        <f ca="1">gr(calculs!BQ227)</f>
        <v>#NAME?</v>
      </c>
      <c r="H227" s="535" t="e">
        <f ca="1">gr(calculs!BR227)</f>
        <v>#NAME?</v>
      </c>
      <c r="I227" s="535"/>
      <c r="J227" s="535" t="e">
        <f>NA()</f>
        <v>#N/A</v>
      </c>
      <c r="K227" s="535" t="e">
        <f>NA()</f>
        <v>#N/A</v>
      </c>
      <c r="L227" s="535" t="e">
        <f>NA()</f>
        <v>#N/A</v>
      </c>
      <c r="M227" s="535" t="e">
        <f>NA()</f>
        <v>#N/A</v>
      </c>
      <c r="N227" s="535" t="e">
        <f>NA()</f>
        <v>#N/A</v>
      </c>
      <c r="O227" s="535" t="e">
        <f>NA()</f>
        <v>#N/A</v>
      </c>
      <c r="P227" s="535" t="e">
        <f>NA()</f>
        <v>#N/A</v>
      </c>
    </row>
    <row r="228" spans="1:16" x14ac:dyDescent="0.2">
      <c r="A228" s="222">
        <f>calculs!A228</f>
        <v>44779</v>
      </c>
      <c r="B228" s="535" t="e">
        <f ca="1">gr(calculs!BL228)</f>
        <v>#NAME?</v>
      </c>
      <c r="C228" s="535" t="e">
        <f ca="1">gr(calculs!BM228)</f>
        <v>#NAME?</v>
      </c>
      <c r="D228" s="535" t="e">
        <f ca="1">gr(calculs!BN228)</f>
        <v>#NAME?</v>
      </c>
      <c r="E228" s="535" t="e">
        <f ca="1">gr(calculs!BO228)</f>
        <v>#NAME?</v>
      </c>
      <c r="F228" s="535" t="e">
        <f ca="1">gr(calculs!BP228)</f>
        <v>#NAME?</v>
      </c>
      <c r="G228" s="535" t="e">
        <f ca="1">gr(calculs!BQ228)</f>
        <v>#NAME?</v>
      </c>
      <c r="H228" s="535" t="e">
        <f ca="1">gr(calculs!BR228)</f>
        <v>#NAME?</v>
      </c>
      <c r="I228" s="535"/>
      <c r="J228" s="535" t="e">
        <f>NA()</f>
        <v>#N/A</v>
      </c>
      <c r="K228" s="535" t="e">
        <f>NA()</f>
        <v>#N/A</v>
      </c>
      <c r="L228" s="535" t="e">
        <f>NA()</f>
        <v>#N/A</v>
      </c>
      <c r="M228" s="535" t="e">
        <f>NA()</f>
        <v>#N/A</v>
      </c>
      <c r="N228" s="535" t="e">
        <f>NA()</f>
        <v>#N/A</v>
      </c>
      <c r="O228" s="535" t="e">
        <f>NA()</f>
        <v>#N/A</v>
      </c>
      <c r="P228" s="535" t="e">
        <f>NA()</f>
        <v>#N/A</v>
      </c>
    </row>
    <row r="229" spans="1:16" x14ac:dyDescent="0.2">
      <c r="A229" s="222">
        <f>calculs!A229</f>
        <v>44780</v>
      </c>
      <c r="B229" s="535" t="e">
        <f ca="1">gr(calculs!BL229)</f>
        <v>#NAME?</v>
      </c>
      <c r="C229" s="535" t="e">
        <f ca="1">gr(calculs!BM229)</f>
        <v>#NAME?</v>
      </c>
      <c r="D229" s="535" t="e">
        <f ca="1">gr(calculs!BN229)</f>
        <v>#NAME?</v>
      </c>
      <c r="E229" s="535" t="e">
        <f ca="1">gr(calculs!BO229)</f>
        <v>#NAME?</v>
      </c>
      <c r="F229" s="535" t="e">
        <f ca="1">gr(calculs!BP229)</f>
        <v>#NAME?</v>
      </c>
      <c r="G229" s="535" t="e">
        <f ca="1">gr(calculs!BQ229)</f>
        <v>#NAME?</v>
      </c>
      <c r="H229" s="535" t="e">
        <f ca="1">gr(calculs!BR229)</f>
        <v>#NAME?</v>
      </c>
      <c r="I229" s="535"/>
      <c r="J229" s="535" t="e">
        <f>NA()</f>
        <v>#N/A</v>
      </c>
      <c r="K229" s="535" t="e">
        <f>NA()</f>
        <v>#N/A</v>
      </c>
      <c r="L229" s="535" t="e">
        <f>NA()</f>
        <v>#N/A</v>
      </c>
      <c r="M229" s="535" t="e">
        <f>NA()</f>
        <v>#N/A</v>
      </c>
      <c r="N229" s="535" t="e">
        <f>NA()</f>
        <v>#N/A</v>
      </c>
      <c r="O229" s="535" t="e">
        <f>NA()</f>
        <v>#N/A</v>
      </c>
      <c r="P229" s="535" t="e">
        <f>NA()</f>
        <v>#N/A</v>
      </c>
    </row>
    <row r="230" spans="1:16" x14ac:dyDescent="0.2">
      <c r="A230" s="222">
        <f>calculs!A230</f>
        <v>44781</v>
      </c>
      <c r="B230" s="535" t="e">
        <f ca="1">gr(calculs!BL230)</f>
        <v>#NAME?</v>
      </c>
      <c r="C230" s="535" t="e">
        <f ca="1">gr(calculs!BM230)</f>
        <v>#NAME?</v>
      </c>
      <c r="D230" s="535" t="e">
        <f ca="1">gr(calculs!BN230)</f>
        <v>#NAME?</v>
      </c>
      <c r="E230" s="535" t="e">
        <f ca="1">gr(calculs!BO230)</f>
        <v>#NAME?</v>
      </c>
      <c r="F230" s="535" t="e">
        <f ca="1">gr(calculs!BP230)</f>
        <v>#NAME?</v>
      </c>
      <c r="G230" s="535" t="e">
        <f ca="1">gr(calculs!BQ230)</f>
        <v>#NAME?</v>
      </c>
      <c r="H230" s="535" t="e">
        <f ca="1">gr(calculs!BR230)</f>
        <v>#NAME?</v>
      </c>
      <c r="I230" s="535"/>
      <c r="J230" s="535" t="e">
        <f>NA()</f>
        <v>#N/A</v>
      </c>
      <c r="K230" s="535" t="e">
        <f>NA()</f>
        <v>#N/A</v>
      </c>
      <c r="L230" s="535" t="e">
        <f>NA()</f>
        <v>#N/A</v>
      </c>
      <c r="M230" s="535" t="e">
        <f>NA()</f>
        <v>#N/A</v>
      </c>
      <c r="N230" s="535" t="e">
        <f>NA()</f>
        <v>#N/A</v>
      </c>
      <c r="O230" s="535" t="e">
        <f>NA()</f>
        <v>#N/A</v>
      </c>
      <c r="P230" s="535" t="e">
        <f>NA()</f>
        <v>#N/A</v>
      </c>
    </row>
    <row r="231" spans="1:16" x14ac:dyDescent="0.2">
      <c r="A231" s="222">
        <f>calculs!A231</f>
        <v>44782</v>
      </c>
      <c r="B231" s="535" t="e">
        <f ca="1">gr(calculs!BL231)</f>
        <v>#NAME?</v>
      </c>
      <c r="C231" s="535" t="e">
        <f ca="1">gr(calculs!BM231)</f>
        <v>#NAME?</v>
      </c>
      <c r="D231" s="535" t="e">
        <f ca="1">gr(calculs!BN231)</f>
        <v>#NAME?</v>
      </c>
      <c r="E231" s="535" t="e">
        <f ca="1">gr(calculs!BO231)</f>
        <v>#NAME?</v>
      </c>
      <c r="F231" s="535" t="e">
        <f ca="1">gr(calculs!BP231)</f>
        <v>#NAME?</v>
      </c>
      <c r="G231" s="535" t="e">
        <f ca="1">gr(calculs!BQ231)</f>
        <v>#NAME?</v>
      </c>
      <c r="H231" s="535" t="e">
        <f ca="1">gr(calculs!BR231)</f>
        <v>#NAME?</v>
      </c>
      <c r="I231" s="535"/>
      <c r="J231" s="535" t="e">
        <f>NA()</f>
        <v>#N/A</v>
      </c>
      <c r="K231" s="535" t="e">
        <f>NA()</f>
        <v>#N/A</v>
      </c>
      <c r="L231" s="535" t="e">
        <f>NA()</f>
        <v>#N/A</v>
      </c>
      <c r="M231" s="535" t="e">
        <f>NA()</f>
        <v>#N/A</v>
      </c>
      <c r="N231" s="535" t="e">
        <f>NA()</f>
        <v>#N/A</v>
      </c>
      <c r="O231" s="535" t="e">
        <f>NA()</f>
        <v>#N/A</v>
      </c>
      <c r="P231" s="535" t="e">
        <f>NA()</f>
        <v>#N/A</v>
      </c>
    </row>
    <row r="232" spans="1:16" x14ac:dyDescent="0.2">
      <c r="A232" s="222">
        <f>calculs!A232</f>
        <v>44783</v>
      </c>
      <c r="B232" s="535" t="e">
        <f ca="1">gr(calculs!BL232)</f>
        <v>#NAME?</v>
      </c>
      <c r="C232" s="535" t="e">
        <f ca="1">gr(calculs!BM232)</f>
        <v>#NAME?</v>
      </c>
      <c r="D232" s="535" t="e">
        <f ca="1">gr(calculs!BN232)</f>
        <v>#NAME?</v>
      </c>
      <c r="E232" s="535" t="e">
        <f ca="1">gr(calculs!BO232)</f>
        <v>#NAME?</v>
      </c>
      <c r="F232" s="535" t="e">
        <f ca="1">gr(calculs!BP232)</f>
        <v>#NAME?</v>
      </c>
      <c r="G232" s="535" t="e">
        <f ca="1">gr(calculs!BQ232)</f>
        <v>#NAME?</v>
      </c>
      <c r="H232" s="535" t="e">
        <f ca="1">gr(calculs!BR232)</f>
        <v>#NAME?</v>
      </c>
      <c r="I232" s="535"/>
      <c r="J232" s="535" t="e">
        <f>NA()</f>
        <v>#N/A</v>
      </c>
      <c r="K232" s="535" t="e">
        <f>NA()</f>
        <v>#N/A</v>
      </c>
      <c r="L232" s="535" t="e">
        <f>NA()</f>
        <v>#N/A</v>
      </c>
      <c r="M232" s="535" t="e">
        <f>NA()</f>
        <v>#N/A</v>
      </c>
      <c r="N232" s="535" t="e">
        <f>NA()</f>
        <v>#N/A</v>
      </c>
      <c r="O232" s="535" t="e">
        <f>NA()</f>
        <v>#N/A</v>
      </c>
      <c r="P232" s="535" t="e">
        <f>NA()</f>
        <v>#N/A</v>
      </c>
    </row>
    <row r="233" spans="1:16" x14ac:dyDescent="0.2">
      <c r="A233" s="222">
        <f>calculs!A233</f>
        <v>44784</v>
      </c>
      <c r="B233" s="535" t="e">
        <f ca="1">gr(calculs!BL233)</f>
        <v>#NAME?</v>
      </c>
      <c r="C233" s="535" t="e">
        <f ca="1">gr(calculs!BM233)</f>
        <v>#NAME?</v>
      </c>
      <c r="D233" s="535" t="e">
        <f ca="1">gr(calculs!BN233)</f>
        <v>#NAME?</v>
      </c>
      <c r="E233" s="535" t="e">
        <f ca="1">gr(calculs!BO233)</f>
        <v>#NAME?</v>
      </c>
      <c r="F233" s="535" t="e">
        <f ca="1">gr(calculs!BP233)</f>
        <v>#NAME?</v>
      </c>
      <c r="G233" s="535" t="e">
        <f ca="1">gr(calculs!BQ233)</f>
        <v>#NAME?</v>
      </c>
      <c r="H233" s="535" t="e">
        <f ca="1">gr(calculs!BR233)</f>
        <v>#NAME?</v>
      </c>
      <c r="I233" s="535"/>
      <c r="J233" s="535" t="e">
        <f>NA()</f>
        <v>#N/A</v>
      </c>
      <c r="K233" s="535" t="e">
        <f>NA()</f>
        <v>#N/A</v>
      </c>
      <c r="L233" s="535" t="e">
        <f>NA()</f>
        <v>#N/A</v>
      </c>
      <c r="M233" s="535" t="e">
        <f>NA()</f>
        <v>#N/A</v>
      </c>
      <c r="N233" s="535" t="e">
        <f>NA()</f>
        <v>#N/A</v>
      </c>
      <c r="O233" s="535" t="e">
        <f>NA()</f>
        <v>#N/A</v>
      </c>
      <c r="P233" s="535" t="e">
        <f>NA()</f>
        <v>#N/A</v>
      </c>
    </row>
    <row r="234" spans="1:16" x14ac:dyDescent="0.2">
      <c r="A234" s="222">
        <f>calculs!A234</f>
        <v>44785</v>
      </c>
      <c r="B234" s="535" t="e">
        <f ca="1">gr(calculs!BL234)</f>
        <v>#NAME?</v>
      </c>
      <c r="C234" s="535" t="e">
        <f ca="1">gr(calculs!BM234)</f>
        <v>#NAME?</v>
      </c>
      <c r="D234" s="535" t="e">
        <f ca="1">gr(calculs!BN234)</f>
        <v>#NAME?</v>
      </c>
      <c r="E234" s="535" t="e">
        <f ca="1">gr(calculs!BO234)</f>
        <v>#NAME?</v>
      </c>
      <c r="F234" s="535" t="e">
        <f ca="1">gr(calculs!BP234)</f>
        <v>#NAME?</v>
      </c>
      <c r="G234" s="535" t="e">
        <f ca="1">gr(calculs!BQ234)</f>
        <v>#NAME?</v>
      </c>
      <c r="H234" s="535" t="e">
        <f ca="1">gr(calculs!BR234)</f>
        <v>#NAME?</v>
      </c>
      <c r="I234" s="535"/>
      <c r="J234" s="535" t="e">
        <f>NA()</f>
        <v>#N/A</v>
      </c>
      <c r="K234" s="535" t="e">
        <f>NA()</f>
        <v>#N/A</v>
      </c>
      <c r="L234" s="535" t="e">
        <f>NA()</f>
        <v>#N/A</v>
      </c>
      <c r="M234" s="535" t="e">
        <f>NA()</f>
        <v>#N/A</v>
      </c>
      <c r="N234" s="535" t="e">
        <f>NA()</f>
        <v>#N/A</v>
      </c>
      <c r="O234" s="535" t="e">
        <f>NA()</f>
        <v>#N/A</v>
      </c>
      <c r="P234" s="535" t="e">
        <f>NA()</f>
        <v>#N/A</v>
      </c>
    </row>
    <row r="235" spans="1:16" x14ac:dyDescent="0.2">
      <c r="A235" s="222">
        <f>calculs!A235</f>
        <v>44786</v>
      </c>
      <c r="B235" s="535" t="e">
        <f ca="1">gr(calculs!BL235)</f>
        <v>#NAME?</v>
      </c>
      <c r="C235" s="535" t="e">
        <f ca="1">gr(calculs!BM235)</f>
        <v>#NAME?</v>
      </c>
      <c r="D235" s="535" t="e">
        <f ca="1">gr(calculs!BN235)</f>
        <v>#NAME?</v>
      </c>
      <c r="E235" s="535" t="e">
        <f ca="1">gr(calculs!BO235)</f>
        <v>#NAME?</v>
      </c>
      <c r="F235" s="535" t="e">
        <f ca="1">gr(calculs!BP235)</f>
        <v>#NAME?</v>
      </c>
      <c r="G235" s="535" t="e">
        <f ca="1">gr(calculs!BQ235)</f>
        <v>#NAME?</v>
      </c>
      <c r="H235" s="535" t="e">
        <f ca="1">gr(calculs!BR235)</f>
        <v>#NAME?</v>
      </c>
      <c r="I235" s="535"/>
      <c r="J235" s="535" t="e">
        <f>NA()</f>
        <v>#N/A</v>
      </c>
      <c r="K235" s="535" t="e">
        <f>NA()</f>
        <v>#N/A</v>
      </c>
      <c r="L235" s="535" t="e">
        <f>NA()</f>
        <v>#N/A</v>
      </c>
      <c r="M235" s="535" t="e">
        <f>NA()</f>
        <v>#N/A</v>
      </c>
      <c r="N235" s="535" t="e">
        <f>NA()</f>
        <v>#N/A</v>
      </c>
      <c r="O235" s="535" t="e">
        <f>NA()</f>
        <v>#N/A</v>
      </c>
      <c r="P235" s="535" t="e">
        <f>NA()</f>
        <v>#N/A</v>
      </c>
    </row>
    <row r="236" spans="1:16" x14ac:dyDescent="0.2">
      <c r="A236" s="222">
        <f>calculs!A236</f>
        <v>44787</v>
      </c>
      <c r="B236" s="535" t="e">
        <f ca="1">gr(calculs!BL236)</f>
        <v>#NAME?</v>
      </c>
      <c r="C236" s="535" t="e">
        <f ca="1">gr(calculs!BM236)</f>
        <v>#NAME?</v>
      </c>
      <c r="D236" s="535" t="e">
        <f ca="1">gr(calculs!BN236)</f>
        <v>#NAME?</v>
      </c>
      <c r="E236" s="535" t="e">
        <f ca="1">gr(calculs!BO236)</f>
        <v>#NAME?</v>
      </c>
      <c r="F236" s="535" t="e">
        <f ca="1">gr(calculs!BP236)</f>
        <v>#NAME?</v>
      </c>
      <c r="G236" s="535" t="e">
        <f ca="1">gr(calculs!BQ236)</f>
        <v>#NAME?</v>
      </c>
      <c r="H236" s="535" t="e">
        <f ca="1">gr(calculs!BR236)</f>
        <v>#NAME?</v>
      </c>
      <c r="I236" s="535"/>
      <c r="J236" s="535" t="e">
        <f>NA()</f>
        <v>#N/A</v>
      </c>
      <c r="K236" s="535" t="e">
        <f>NA()</f>
        <v>#N/A</v>
      </c>
      <c r="L236" s="535" t="e">
        <f>NA()</f>
        <v>#N/A</v>
      </c>
      <c r="M236" s="535" t="e">
        <f>NA()</f>
        <v>#N/A</v>
      </c>
      <c r="N236" s="535" t="e">
        <f>NA()</f>
        <v>#N/A</v>
      </c>
      <c r="O236" s="535" t="e">
        <f>NA()</f>
        <v>#N/A</v>
      </c>
      <c r="P236" s="535" t="e">
        <f>NA()</f>
        <v>#N/A</v>
      </c>
    </row>
    <row r="237" spans="1:16" x14ac:dyDescent="0.2">
      <c r="A237" s="222">
        <f>calculs!A237</f>
        <v>44788</v>
      </c>
      <c r="B237" s="535" t="e">
        <f ca="1">gr(calculs!BL237)</f>
        <v>#NAME?</v>
      </c>
      <c r="C237" s="535" t="e">
        <f ca="1">gr(calculs!BM237)</f>
        <v>#NAME?</v>
      </c>
      <c r="D237" s="535" t="e">
        <f ca="1">gr(calculs!BN237)</f>
        <v>#NAME?</v>
      </c>
      <c r="E237" s="535" t="e">
        <f ca="1">gr(calculs!BO237)</f>
        <v>#NAME?</v>
      </c>
      <c r="F237" s="535" t="e">
        <f ca="1">gr(calculs!BP237)</f>
        <v>#NAME?</v>
      </c>
      <c r="G237" s="535" t="e">
        <f ca="1">gr(calculs!BQ237)</f>
        <v>#NAME?</v>
      </c>
      <c r="H237" s="535" t="e">
        <f ca="1">gr(calculs!BR237)</f>
        <v>#NAME?</v>
      </c>
      <c r="I237" s="535"/>
      <c r="J237" s="535" t="e">
        <f>NA()</f>
        <v>#N/A</v>
      </c>
      <c r="K237" s="535" t="e">
        <f>NA()</f>
        <v>#N/A</v>
      </c>
      <c r="L237" s="535" t="e">
        <f>NA()</f>
        <v>#N/A</v>
      </c>
      <c r="M237" s="535" t="e">
        <f>NA()</f>
        <v>#N/A</v>
      </c>
      <c r="N237" s="535" t="e">
        <f>NA()</f>
        <v>#N/A</v>
      </c>
      <c r="O237" s="535" t="e">
        <f>NA()</f>
        <v>#N/A</v>
      </c>
      <c r="P237" s="535" t="e">
        <f>NA()</f>
        <v>#N/A</v>
      </c>
    </row>
    <row r="238" spans="1:16" x14ac:dyDescent="0.2">
      <c r="A238" s="222">
        <f>calculs!A238</f>
        <v>44789</v>
      </c>
      <c r="B238" s="535" t="e">
        <f ca="1">gr(calculs!BL238)</f>
        <v>#NAME?</v>
      </c>
      <c r="C238" s="535" t="e">
        <f ca="1">gr(calculs!BM238)</f>
        <v>#NAME?</v>
      </c>
      <c r="D238" s="535" t="e">
        <f ca="1">gr(calculs!BN238)</f>
        <v>#NAME?</v>
      </c>
      <c r="E238" s="535" t="e">
        <f ca="1">gr(calculs!BO238)</f>
        <v>#NAME?</v>
      </c>
      <c r="F238" s="535" t="e">
        <f ca="1">gr(calculs!BP238)</f>
        <v>#NAME?</v>
      </c>
      <c r="G238" s="535" t="e">
        <f ca="1">gr(calculs!BQ238)</f>
        <v>#NAME?</v>
      </c>
      <c r="H238" s="535" t="e">
        <f ca="1">gr(calculs!BR238)</f>
        <v>#NAME?</v>
      </c>
      <c r="I238" s="535"/>
      <c r="J238" s="535" t="e">
        <f>NA()</f>
        <v>#N/A</v>
      </c>
      <c r="K238" s="535" t="e">
        <f>NA()</f>
        <v>#N/A</v>
      </c>
      <c r="L238" s="535" t="e">
        <f>NA()</f>
        <v>#N/A</v>
      </c>
      <c r="M238" s="535" t="e">
        <f>NA()</f>
        <v>#N/A</v>
      </c>
      <c r="N238" s="535" t="e">
        <f>NA()</f>
        <v>#N/A</v>
      </c>
      <c r="O238" s="535" t="e">
        <f>NA()</f>
        <v>#N/A</v>
      </c>
      <c r="P238" s="535" t="e">
        <f>NA()</f>
        <v>#N/A</v>
      </c>
    </row>
    <row r="239" spans="1:16" x14ac:dyDescent="0.2">
      <c r="A239" s="222">
        <f>calculs!A239</f>
        <v>44790</v>
      </c>
      <c r="B239" s="535" t="e">
        <f ca="1">gr(calculs!BL239)</f>
        <v>#NAME?</v>
      </c>
      <c r="C239" s="535" t="e">
        <f ca="1">gr(calculs!BM239)</f>
        <v>#NAME?</v>
      </c>
      <c r="D239" s="535" t="e">
        <f ca="1">gr(calculs!BN239)</f>
        <v>#NAME?</v>
      </c>
      <c r="E239" s="535" t="e">
        <f ca="1">gr(calculs!BO239)</f>
        <v>#NAME?</v>
      </c>
      <c r="F239" s="535" t="e">
        <f ca="1">gr(calculs!BP239)</f>
        <v>#NAME?</v>
      </c>
      <c r="G239" s="535" t="e">
        <f ca="1">gr(calculs!BQ239)</f>
        <v>#NAME?</v>
      </c>
      <c r="H239" s="535" t="e">
        <f ca="1">gr(calculs!BR239)</f>
        <v>#NAME?</v>
      </c>
      <c r="I239" s="535"/>
      <c r="J239" s="535" t="e">
        <f>NA()</f>
        <v>#N/A</v>
      </c>
      <c r="K239" s="535" t="e">
        <f>NA()</f>
        <v>#N/A</v>
      </c>
      <c r="L239" s="535" t="e">
        <f>NA()</f>
        <v>#N/A</v>
      </c>
      <c r="M239" s="535" t="e">
        <f>NA()</f>
        <v>#N/A</v>
      </c>
      <c r="N239" s="535" t="e">
        <f>NA()</f>
        <v>#N/A</v>
      </c>
      <c r="O239" s="535" t="e">
        <f>NA()</f>
        <v>#N/A</v>
      </c>
      <c r="P239" s="535" t="e">
        <f>NA()</f>
        <v>#N/A</v>
      </c>
    </row>
    <row r="240" spans="1:16" x14ac:dyDescent="0.2">
      <c r="A240" s="222">
        <f>calculs!A240</f>
        <v>44791</v>
      </c>
      <c r="B240" s="535" t="e">
        <f ca="1">gr(calculs!BL240)</f>
        <v>#NAME?</v>
      </c>
      <c r="C240" s="535" t="e">
        <f ca="1">gr(calculs!BM240)</f>
        <v>#NAME?</v>
      </c>
      <c r="D240" s="535" t="e">
        <f ca="1">gr(calculs!BN240)</f>
        <v>#NAME?</v>
      </c>
      <c r="E240" s="535" t="e">
        <f ca="1">gr(calculs!BO240)</f>
        <v>#NAME?</v>
      </c>
      <c r="F240" s="535" t="e">
        <f ca="1">gr(calculs!BP240)</f>
        <v>#NAME?</v>
      </c>
      <c r="G240" s="535" t="e">
        <f ca="1">gr(calculs!BQ240)</f>
        <v>#NAME?</v>
      </c>
      <c r="H240" s="535" t="e">
        <f ca="1">gr(calculs!BR240)</f>
        <v>#NAME?</v>
      </c>
      <c r="I240" s="535"/>
      <c r="J240" s="535" t="e">
        <f>NA()</f>
        <v>#N/A</v>
      </c>
      <c r="K240" s="535" t="e">
        <f>NA()</f>
        <v>#N/A</v>
      </c>
      <c r="L240" s="535" t="e">
        <f>NA()</f>
        <v>#N/A</v>
      </c>
      <c r="M240" s="535" t="e">
        <f>NA()</f>
        <v>#N/A</v>
      </c>
      <c r="N240" s="535" t="e">
        <f>NA()</f>
        <v>#N/A</v>
      </c>
      <c r="O240" s="535" t="e">
        <f>NA()</f>
        <v>#N/A</v>
      </c>
      <c r="P240" s="535" t="e">
        <f>NA()</f>
        <v>#N/A</v>
      </c>
    </row>
    <row r="241" spans="1:16" x14ac:dyDescent="0.2">
      <c r="A241" s="222">
        <f>calculs!A241</f>
        <v>44792</v>
      </c>
      <c r="B241" s="535" t="e">
        <f ca="1">gr(calculs!BL241)</f>
        <v>#NAME?</v>
      </c>
      <c r="C241" s="535" t="e">
        <f ca="1">gr(calculs!BM241)</f>
        <v>#NAME?</v>
      </c>
      <c r="D241" s="535" t="e">
        <f ca="1">gr(calculs!BN241)</f>
        <v>#NAME?</v>
      </c>
      <c r="E241" s="535" t="e">
        <f ca="1">gr(calculs!BO241)</f>
        <v>#NAME?</v>
      </c>
      <c r="F241" s="535" t="e">
        <f ca="1">gr(calculs!BP241)</f>
        <v>#NAME?</v>
      </c>
      <c r="G241" s="535" t="e">
        <f ca="1">gr(calculs!BQ241)</f>
        <v>#NAME?</v>
      </c>
      <c r="H241" s="535" t="e">
        <f ca="1">gr(calculs!BR241)</f>
        <v>#NAME?</v>
      </c>
      <c r="I241" s="535"/>
      <c r="J241" s="535" t="e">
        <f>NA()</f>
        <v>#N/A</v>
      </c>
      <c r="K241" s="535" t="e">
        <f>NA()</f>
        <v>#N/A</v>
      </c>
      <c r="L241" s="535" t="e">
        <f>NA()</f>
        <v>#N/A</v>
      </c>
      <c r="M241" s="535" t="e">
        <f>NA()</f>
        <v>#N/A</v>
      </c>
      <c r="N241" s="535" t="e">
        <f>NA()</f>
        <v>#N/A</v>
      </c>
      <c r="O241" s="535" t="e">
        <f>NA()</f>
        <v>#N/A</v>
      </c>
      <c r="P241" s="535" t="e">
        <f>NA()</f>
        <v>#N/A</v>
      </c>
    </row>
    <row r="242" spans="1:16" x14ac:dyDescent="0.2">
      <c r="A242" s="222">
        <f>calculs!A242</f>
        <v>44793</v>
      </c>
      <c r="B242" s="535" t="e">
        <f ca="1">gr(calculs!BL242)</f>
        <v>#NAME?</v>
      </c>
      <c r="C242" s="535" t="e">
        <f ca="1">gr(calculs!BM242)</f>
        <v>#NAME?</v>
      </c>
      <c r="D242" s="535" t="e">
        <f ca="1">gr(calculs!BN242)</f>
        <v>#NAME?</v>
      </c>
      <c r="E242" s="535" t="e">
        <f ca="1">gr(calculs!BO242)</f>
        <v>#NAME?</v>
      </c>
      <c r="F242" s="535" t="e">
        <f ca="1">gr(calculs!BP242)</f>
        <v>#NAME?</v>
      </c>
      <c r="G242" s="535" t="e">
        <f ca="1">gr(calculs!BQ242)</f>
        <v>#NAME?</v>
      </c>
      <c r="H242" s="535" t="e">
        <f ca="1">gr(calculs!BR242)</f>
        <v>#NAME?</v>
      </c>
      <c r="I242" s="535"/>
      <c r="J242" s="535" t="e">
        <f>NA()</f>
        <v>#N/A</v>
      </c>
      <c r="K242" s="535" t="e">
        <f>NA()</f>
        <v>#N/A</v>
      </c>
      <c r="L242" s="535" t="e">
        <f>NA()</f>
        <v>#N/A</v>
      </c>
      <c r="M242" s="535" t="e">
        <f>NA()</f>
        <v>#N/A</v>
      </c>
      <c r="N242" s="535" t="e">
        <f>NA()</f>
        <v>#N/A</v>
      </c>
      <c r="O242" s="535" t="e">
        <f>NA()</f>
        <v>#N/A</v>
      </c>
      <c r="P242" s="535" t="e">
        <f>NA()</f>
        <v>#N/A</v>
      </c>
    </row>
    <row r="243" spans="1:16" x14ac:dyDescent="0.2">
      <c r="A243" s="222">
        <f>calculs!A243</f>
        <v>44794</v>
      </c>
      <c r="B243" s="535" t="e">
        <f ca="1">gr(calculs!BL243)</f>
        <v>#NAME?</v>
      </c>
      <c r="C243" s="535" t="e">
        <f ca="1">gr(calculs!BM243)</f>
        <v>#NAME?</v>
      </c>
      <c r="D243" s="535" t="e">
        <f ca="1">gr(calculs!BN243)</f>
        <v>#NAME?</v>
      </c>
      <c r="E243" s="535" t="e">
        <f ca="1">gr(calculs!BO243)</f>
        <v>#NAME?</v>
      </c>
      <c r="F243" s="535" t="e">
        <f ca="1">gr(calculs!BP243)</f>
        <v>#NAME?</v>
      </c>
      <c r="G243" s="535" t="e">
        <f ca="1">gr(calculs!BQ243)</f>
        <v>#NAME?</v>
      </c>
      <c r="H243" s="535" t="e">
        <f ca="1">gr(calculs!BR243)</f>
        <v>#NAME?</v>
      </c>
      <c r="I243" s="535"/>
      <c r="J243" s="535" t="e">
        <f>NA()</f>
        <v>#N/A</v>
      </c>
      <c r="K243" s="535" t="e">
        <f>NA()</f>
        <v>#N/A</v>
      </c>
      <c r="L243" s="535" t="e">
        <f>NA()</f>
        <v>#N/A</v>
      </c>
      <c r="M243" s="535" t="e">
        <f>NA()</f>
        <v>#N/A</v>
      </c>
      <c r="N243" s="535" t="e">
        <f>NA()</f>
        <v>#N/A</v>
      </c>
      <c r="O243" s="535" t="e">
        <f>NA()</f>
        <v>#N/A</v>
      </c>
      <c r="P243" s="535" t="e">
        <f>NA()</f>
        <v>#N/A</v>
      </c>
    </row>
    <row r="244" spans="1:16" x14ac:dyDescent="0.2">
      <c r="A244" s="222">
        <f>calculs!A244</f>
        <v>44795</v>
      </c>
      <c r="B244" s="535" t="e">
        <f ca="1">gr(calculs!BL244)</f>
        <v>#NAME?</v>
      </c>
      <c r="C244" s="535" t="e">
        <f ca="1">gr(calculs!BM244)</f>
        <v>#NAME?</v>
      </c>
      <c r="D244" s="535" t="e">
        <f ca="1">gr(calculs!BN244)</f>
        <v>#NAME?</v>
      </c>
      <c r="E244" s="535" t="e">
        <f ca="1">gr(calculs!BO244)</f>
        <v>#NAME?</v>
      </c>
      <c r="F244" s="535" t="e">
        <f ca="1">gr(calculs!BP244)</f>
        <v>#NAME?</v>
      </c>
      <c r="G244" s="535" t="e">
        <f ca="1">gr(calculs!BQ244)</f>
        <v>#NAME?</v>
      </c>
      <c r="H244" s="535" t="e">
        <f ca="1">gr(calculs!BR244)</f>
        <v>#NAME?</v>
      </c>
      <c r="I244" s="535"/>
      <c r="J244" s="535" t="e">
        <f>NA()</f>
        <v>#N/A</v>
      </c>
      <c r="K244" s="535" t="e">
        <f>NA()</f>
        <v>#N/A</v>
      </c>
      <c r="L244" s="535" t="e">
        <f>NA()</f>
        <v>#N/A</v>
      </c>
      <c r="M244" s="535" t="e">
        <f>NA()</f>
        <v>#N/A</v>
      </c>
      <c r="N244" s="535" t="e">
        <f>NA()</f>
        <v>#N/A</v>
      </c>
      <c r="O244" s="535" t="e">
        <f>NA()</f>
        <v>#N/A</v>
      </c>
      <c r="P244" s="535" t="e">
        <f>NA()</f>
        <v>#N/A</v>
      </c>
    </row>
    <row r="245" spans="1:16" x14ac:dyDescent="0.2">
      <c r="A245" s="222">
        <f>calculs!A245</f>
        <v>44796</v>
      </c>
      <c r="B245" s="535" t="e">
        <f ca="1">gr(calculs!BL245)</f>
        <v>#NAME?</v>
      </c>
      <c r="C245" s="535" t="e">
        <f ca="1">gr(calculs!BM245)</f>
        <v>#NAME?</v>
      </c>
      <c r="D245" s="535" t="e">
        <f ca="1">gr(calculs!BN245)</f>
        <v>#NAME?</v>
      </c>
      <c r="E245" s="535" t="e">
        <f ca="1">gr(calculs!BO245)</f>
        <v>#NAME?</v>
      </c>
      <c r="F245" s="535" t="e">
        <f ca="1">gr(calculs!BP245)</f>
        <v>#NAME?</v>
      </c>
      <c r="G245" s="535" t="e">
        <f ca="1">gr(calculs!BQ245)</f>
        <v>#NAME?</v>
      </c>
      <c r="H245" s="535" t="e">
        <f ca="1">gr(calculs!BR245)</f>
        <v>#NAME?</v>
      </c>
      <c r="I245" s="535"/>
      <c r="J245" s="535" t="e">
        <f>NA()</f>
        <v>#N/A</v>
      </c>
      <c r="K245" s="535" t="e">
        <f>NA()</f>
        <v>#N/A</v>
      </c>
      <c r="L245" s="535" t="e">
        <f>NA()</f>
        <v>#N/A</v>
      </c>
      <c r="M245" s="535" t="e">
        <f>NA()</f>
        <v>#N/A</v>
      </c>
      <c r="N245" s="535" t="e">
        <f>NA()</f>
        <v>#N/A</v>
      </c>
      <c r="O245" s="535" t="e">
        <f>NA()</f>
        <v>#N/A</v>
      </c>
      <c r="P245" s="535" t="e">
        <f>NA()</f>
        <v>#N/A</v>
      </c>
    </row>
    <row r="246" spans="1:16" x14ac:dyDescent="0.2">
      <c r="A246" s="222">
        <f>calculs!A246</f>
        <v>44797</v>
      </c>
      <c r="B246" s="535" t="e">
        <f ca="1">gr(calculs!BL246)</f>
        <v>#NAME?</v>
      </c>
      <c r="C246" s="535" t="e">
        <f ca="1">gr(calculs!BM246)</f>
        <v>#NAME?</v>
      </c>
      <c r="D246" s="535" t="e">
        <f ca="1">gr(calculs!BN246)</f>
        <v>#NAME?</v>
      </c>
      <c r="E246" s="535" t="e">
        <f ca="1">gr(calculs!BO246)</f>
        <v>#NAME?</v>
      </c>
      <c r="F246" s="535" t="e">
        <f ca="1">gr(calculs!BP246)</f>
        <v>#NAME?</v>
      </c>
      <c r="G246" s="535" t="e">
        <f ca="1">gr(calculs!BQ246)</f>
        <v>#NAME?</v>
      </c>
      <c r="H246" s="535" t="e">
        <f ca="1">gr(calculs!BR246)</f>
        <v>#NAME?</v>
      </c>
      <c r="I246" s="535"/>
      <c r="J246" s="535" t="e">
        <f>NA()</f>
        <v>#N/A</v>
      </c>
      <c r="K246" s="535" t="e">
        <f>NA()</f>
        <v>#N/A</v>
      </c>
      <c r="L246" s="535" t="e">
        <f>NA()</f>
        <v>#N/A</v>
      </c>
      <c r="M246" s="535" t="e">
        <f>NA()</f>
        <v>#N/A</v>
      </c>
      <c r="N246" s="535" t="e">
        <f>NA()</f>
        <v>#N/A</v>
      </c>
      <c r="O246" s="535" t="e">
        <f>NA()</f>
        <v>#N/A</v>
      </c>
      <c r="P246" s="535" t="e">
        <f>NA()</f>
        <v>#N/A</v>
      </c>
    </row>
    <row r="247" spans="1:16" x14ac:dyDescent="0.2">
      <c r="A247" s="222">
        <f>calculs!A247</f>
        <v>44798</v>
      </c>
      <c r="B247" s="535" t="e">
        <f ca="1">gr(calculs!BL247)</f>
        <v>#NAME?</v>
      </c>
      <c r="C247" s="535" t="e">
        <f ca="1">gr(calculs!BM247)</f>
        <v>#NAME?</v>
      </c>
      <c r="D247" s="535" t="e">
        <f ca="1">gr(calculs!BN247)</f>
        <v>#NAME?</v>
      </c>
      <c r="E247" s="535" t="e">
        <f ca="1">gr(calculs!BO247)</f>
        <v>#NAME?</v>
      </c>
      <c r="F247" s="535" t="e">
        <f ca="1">gr(calculs!BP247)</f>
        <v>#NAME?</v>
      </c>
      <c r="G247" s="535" t="e">
        <f ca="1">gr(calculs!BQ247)</f>
        <v>#NAME?</v>
      </c>
      <c r="H247" s="535" t="e">
        <f ca="1">gr(calculs!BR247)</f>
        <v>#NAME?</v>
      </c>
      <c r="I247" s="535"/>
      <c r="J247" s="535" t="e">
        <f>NA()</f>
        <v>#N/A</v>
      </c>
      <c r="K247" s="535" t="e">
        <f>NA()</f>
        <v>#N/A</v>
      </c>
      <c r="L247" s="535" t="e">
        <f>NA()</f>
        <v>#N/A</v>
      </c>
      <c r="M247" s="535" t="e">
        <f>NA()</f>
        <v>#N/A</v>
      </c>
      <c r="N247" s="535" t="e">
        <f>NA()</f>
        <v>#N/A</v>
      </c>
      <c r="O247" s="535" t="e">
        <f>NA()</f>
        <v>#N/A</v>
      </c>
      <c r="P247" s="535" t="e">
        <f>NA()</f>
        <v>#N/A</v>
      </c>
    </row>
    <row r="248" spans="1:16" x14ac:dyDescent="0.2">
      <c r="A248" s="222">
        <f>calculs!A248</f>
        <v>44799</v>
      </c>
      <c r="B248" s="535" t="e">
        <f ca="1">gr(calculs!BL248)</f>
        <v>#NAME?</v>
      </c>
      <c r="C248" s="535" t="e">
        <f ca="1">gr(calculs!BM248)</f>
        <v>#NAME?</v>
      </c>
      <c r="D248" s="535" t="e">
        <f ca="1">gr(calculs!BN248)</f>
        <v>#NAME?</v>
      </c>
      <c r="E248" s="535" t="e">
        <f ca="1">gr(calculs!BO248)</f>
        <v>#NAME?</v>
      </c>
      <c r="F248" s="535" t="e">
        <f ca="1">gr(calculs!BP248)</f>
        <v>#NAME?</v>
      </c>
      <c r="G248" s="535" t="e">
        <f ca="1">gr(calculs!BQ248)</f>
        <v>#NAME?</v>
      </c>
      <c r="H248" s="535" t="e">
        <f ca="1">gr(calculs!BR248)</f>
        <v>#NAME?</v>
      </c>
      <c r="I248" s="535"/>
      <c r="J248" s="535" t="e">
        <f>NA()</f>
        <v>#N/A</v>
      </c>
      <c r="K248" s="535" t="e">
        <f>NA()</f>
        <v>#N/A</v>
      </c>
      <c r="L248" s="535" t="e">
        <f>NA()</f>
        <v>#N/A</v>
      </c>
      <c r="M248" s="535" t="e">
        <f>NA()</f>
        <v>#N/A</v>
      </c>
      <c r="N248" s="535" t="e">
        <f>NA()</f>
        <v>#N/A</v>
      </c>
      <c r="O248" s="535" t="e">
        <f>NA()</f>
        <v>#N/A</v>
      </c>
      <c r="P248" s="535" t="e">
        <f>NA()</f>
        <v>#N/A</v>
      </c>
    </row>
    <row r="249" spans="1:16" x14ac:dyDescent="0.2">
      <c r="A249" s="222">
        <f>calculs!A249</f>
        <v>44800</v>
      </c>
      <c r="B249" s="535" t="e">
        <f ca="1">gr(calculs!BL249)</f>
        <v>#NAME?</v>
      </c>
      <c r="C249" s="535" t="e">
        <f ca="1">gr(calculs!BM249)</f>
        <v>#NAME?</v>
      </c>
      <c r="D249" s="535" t="e">
        <f ca="1">gr(calculs!BN249)</f>
        <v>#NAME?</v>
      </c>
      <c r="E249" s="535" t="e">
        <f ca="1">gr(calculs!BO249)</f>
        <v>#NAME?</v>
      </c>
      <c r="F249" s="535" t="e">
        <f ca="1">gr(calculs!BP249)</f>
        <v>#NAME?</v>
      </c>
      <c r="G249" s="535" t="e">
        <f ca="1">gr(calculs!BQ249)</f>
        <v>#NAME?</v>
      </c>
      <c r="H249" s="535" t="e">
        <f ca="1">gr(calculs!BR249)</f>
        <v>#NAME?</v>
      </c>
      <c r="I249" s="535"/>
      <c r="J249" s="535" t="e">
        <f>NA()</f>
        <v>#N/A</v>
      </c>
      <c r="K249" s="535" t="e">
        <f>NA()</f>
        <v>#N/A</v>
      </c>
      <c r="L249" s="535" t="e">
        <f>NA()</f>
        <v>#N/A</v>
      </c>
      <c r="M249" s="535" t="e">
        <f>NA()</f>
        <v>#N/A</v>
      </c>
      <c r="N249" s="535" t="e">
        <f>NA()</f>
        <v>#N/A</v>
      </c>
      <c r="O249" s="535" t="e">
        <f>NA()</f>
        <v>#N/A</v>
      </c>
      <c r="P249" s="535" t="e">
        <f>NA()</f>
        <v>#N/A</v>
      </c>
    </row>
    <row r="250" spans="1:16" x14ac:dyDescent="0.2">
      <c r="A250" s="222">
        <f>calculs!A250</f>
        <v>44801</v>
      </c>
      <c r="B250" s="535" t="e">
        <f ca="1">gr(calculs!BL250)</f>
        <v>#NAME?</v>
      </c>
      <c r="C250" s="535" t="e">
        <f ca="1">gr(calculs!BM250)</f>
        <v>#NAME?</v>
      </c>
      <c r="D250" s="535" t="e">
        <f ca="1">gr(calculs!BN250)</f>
        <v>#NAME?</v>
      </c>
      <c r="E250" s="535" t="e">
        <f ca="1">gr(calculs!BO250)</f>
        <v>#NAME?</v>
      </c>
      <c r="F250" s="535" t="e">
        <f ca="1">gr(calculs!BP250)</f>
        <v>#NAME?</v>
      </c>
      <c r="G250" s="535" t="e">
        <f ca="1">gr(calculs!BQ250)</f>
        <v>#NAME?</v>
      </c>
      <c r="H250" s="535" t="e">
        <f ca="1">gr(calculs!BR250)</f>
        <v>#NAME?</v>
      </c>
      <c r="I250" s="535"/>
      <c r="J250" s="535" t="e">
        <f>NA()</f>
        <v>#N/A</v>
      </c>
      <c r="K250" s="535" t="e">
        <f>NA()</f>
        <v>#N/A</v>
      </c>
      <c r="L250" s="535" t="e">
        <f>NA()</f>
        <v>#N/A</v>
      </c>
      <c r="M250" s="535" t="e">
        <f>NA()</f>
        <v>#N/A</v>
      </c>
      <c r="N250" s="535" t="e">
        <f>NA()</f>
        <v>#N/A</v>
      </c>
      <c r="O250" s="535" t="e">
        <f>NA()</f>
        <v>#N/A</v>
      </c>
      <c r="P250" s="535" t="e">
        <f>NA()</f>
        <v>#N/A</v>
      </c>
    </row>
    <row r="251" spans="1:16" x14ac:dyDescent="0.2">
      <c r="A251" s="222">
        <f>calculs!A251</f>
        <v>44802</v>
      </c>
      <c r="B251" s="535" t="e">
        <f ca="1">gr(calculs!BL251)</f>
        <v>#NAME?</v>
      </c>
      <c r="C251" s="535" t="e">
        <f ca="1">gr(calculs!BM251)</f>
        <v>#NAME?</v>
      </c>
      <c r="D251" s="535" t="e">
        <f ca="1">gr(calculs!BN251)</f>
        <v>#NAME?</v>
      </c>
      <c r="E251" s="535" t="e">
        <f ca="1">gr(calculs!BO251)</f>
        <v>#NAME?</v>
      </c>
      <c r="F251" s="535" t="e">
        <f ca="1">gr(calculs!BP251)</f>
        <v>#NAME?</v>
      </c>
      <c r="G251" s="535" t="e">
        <f ca="1">gr(calculs!BQ251)</f>
        <v>#NAME?</v>
      </c>
      <c r="H251" s="535" t="e">
        <f ca="1">gr(calculs!BR251)</f>
        <v>#NAME?</v>
      </c>
      <c r="I251" s="535"/>
      <c r="J251" s="535" t="e">
        <f>NA()</f>
        <v>#N/A</v>
      </c>
      <c r="K251" s="535" t="e">
        <f>NA()</f>
        <v>#N/A</v>
      </c>
      <c r="L251" s="535" t="e">
        <f>NA()</f>
        <v>#N/A</v>
      </c>
      <c r="M251" s="535" t="e">
        <f>NA()</f>
        <v>#N/A</v>
      </c>
      <c r="N251" s="535" t="e">
        <f>NA()</f>
        <v>#N/A</v>
      </c>
      <c r="O251" s="535" t="e">
        <f>NA()</f>
        <v>#N/A</v>
      </c>
      <c r="P251" s="535" t="e">
        <f>NA()</f>
        <v>#N/A</v>
      </c>
    </row>
    <row r="252" spans="1:16" x14ac:dyDescent="0.2">
      <c r="A252" s="222">
        <f>calculs!A252</f>
        <v>44803</v>
      </c>
      <c r="B252" s="535" t="e">
        <f ca="1">gr(calculs!BL252)</f>
        <v>#NAME?</v>
      </c>
      <c r="C252" s="535" t="e">
        <f ca="1">gr(calculs!BM252)</f>
        <v>#NAME?</v>
      </c>
      <c r="D252" s="535" t="e">
        <f ca="1">gr(calculs!BN252)</f>
        <v>#NAME?</v>
      </c>
      <c r="E252" s="535" t="e">
        <f ca="1">gr(calculs!BO252)</f>
        <v>#NAME?</v>
      </c>
      <c r="F252" s="535" t="e">
        <f ca="1">gr(calculs!BP252)</f>
        <v>#NAME?</v>
      </c>
      <c r="G252" s="535" t="e">
        <f ca="1">gr(calculs!BQ252)</f>
        <v>#NAME?</v>
      </c>
      <c r="H252" s="535" t="e">
        <f ca="1">gr(calculs!BR252)</f>
        <v>#NAME?</v>
      </c>
      <c r="I252" s="535"/>
      <c r="J252" s="535" t="e">
        <f>NA()</f>
        <v>#N/A</v>
      </c>
      <c r="K252" s="535" t="e">
        <f>NA()</f>
        <v>#N/A</v>
      </c>
      <c r="L252" s="535" t="e">
        <f>NA()</f>
        <v>#N/A</v>
      </c>
      <c r="M252" s="535" t="e">
        <f>NA()</f>
        <v>#N/A</v>
      </c>
      <c r="N252" s="535" t="e">
        <f>NA()</f>
        <v>#N/A</v>
      </c>
      <c r="O252" s="535" t="e">
        <f>NA()</f>
        <v>#N/A</v>
      </c>
      <c r="P252" s="535" t="e">
        <f>NA()</f>
        <v>#N/A</v>
      </c>
    </row>
    <row r="253" spans="1:16" x14ac:dyDescent="0.2">
      <c r="A253" s="222">
        <f>calculs!A253</f>
        <v>44804</v>
      </c>
      <c r="B253" s="535" t="e">
        <f ca="1">gr(calculs!BL253)</f>
        <v>#NAME?</v>
      </c>
      <c r="C253" s="535" t="e">
        <f ca="1">gr(calculs!BM253)</f>
        <v>#NAME?</v>
      </c>
      <c r="D253" s="535" t="e">
        <f ca="1">gr(calculs!BN253)</f>
        <v>#NAME?</v>
      </c>
      <c r="E253" s="535" t="e">
        <f ca="1">gr(calculs!BO253)</f>
        <v>#NAME?</v>
      </c>
      <c r="F253" s="535" t="e">
        <f ca="1">gr(calculs!BP253)</f>
        <v>#NAME?</v>
      </c>
      <c r="G253" s="535" t="e">
        <f ca="1">gr(calculs!BQ253)</f>
        <v>#NAME?</v>
      </c>
      <c r="H253" s="535" t="e">
        <f ca="1">gr(calculs!BR253)</f>
        <v>#NAME?</v>
      </c>
      <c r="I253" s="535"/>
      <c r="J253" s="535" t="e">
        <f>NA()</f>
        <v>#N/A</v>
      </c>
      <c r="K253" s="535" t="e">
        <f>NA()</f>
        <v>#N/A</v>
      </c>
      <c r="L253" s="535" t="e">
        <f>NA()</f>
        <v>#N/A</v>
      </c>
      <c r="M253" s="535" t="e">
        <f>NA()</f>
        <v>#N/A</v>
      </c>
      <c r="N253" s="535" t="e">
        <f>NA()</f>
        <v>#N/A</v>
      </c>
      <c r="O253" s="535" t="e">
        <f>NA()</f>
        <v>#N/A</v>
      </c>
      <c r="P253" s="535" t="e">
        <f>NA()</f>
        <v>#N/A</v>
      </c>
    </row>
    <row r="254" spans="1:16" x14ac:dyDescent="0.2">
      <c r="A254" s="222">
        <f>calculs!A254</f>
        <v>44805</v>
      </c>
      <c r="B254" s="535" t="e">
        <f ca="1">gr(calculs!BL254)</f>
        <v>#NAME?</v>
      </c>
      <c r="C254" s="535" t="e">
        <f ca="1">gr(calculs!BM254)</f>
        <v>#NAME?</v>
      </c>
      <c r="D254" s="535" t="e">
        <f ca="1">gr(calculs!BN254)</f>
        <v>#NAME?</v>
      </c>
      <c r="E254" s="535" t="e">
        <f ca="1">gr(calculs!BO254)</f>
        <v>#NAME?</v>
      </c>
      <c r="F254" s="535" t="e">
        <f ca="1">gr(calculs!BP254)</f>
        <v>#NAME?</v>
      </c>
      <c r="G254" s="535" t="e">
        <f ca="1">gr(calculs!BQ254)</f>
        <v>#NAME?</v>
      </c>
      <c r="H254" s="535" t="e">
        <f ca="1">gr(calculs!BR254)</f>
        <v>#NAME?</v>
      </c>
      <c r="I254" s="535"/>
      <c r="J254" s="535" t="e">
        <f>NA()</f>
        <v>#N/A</v>
      </c>
      <c r="K254" s="535" t="e">
        <f>NA()</f>
        <v>#N/A</v>
      </c>
      <c r="L254" s="535" t="e">
        <f>NA()</f>
        <v>#N/A</v>
      </c>
      <c r="M254" s="535" t="e">
        <f>NA()</f>
        <v>#N/A</v>
      </c>
      <c r="N254" s="535" t="e">
        <f>NA()</f>
        <v>#N/A</v>
      </c>
      <c r="O254" s="535" t="e">
        <f>NA()</f>
        <v>#N/A</v>
      </c>
      <c r="P254" s="535" t="e">
        <f>NA()</f>
        <v>#N/A</v>
      </c>
    </row>
    <row r="255" spans="1:16" x14ac:dyDescent="0.2">
      <c r="A255" s="222">
        <f>calculs!A255</f>
        <v>44806</v>
      </c>
      <c r="B255" s="535" t="e">
        <f ca="1">gr(calculs!BL255)</f>
        <v>#NAME?</v>
      </c>
      <c r="C255" s="535" t="e">
        <f ca="1">gr(calculs!BM255)</f>
        <v>#NAME?</v>
      </c>
      <c r="D255" s="535" t="e">
        <f ca="1">gr(calculs!BN255)</f>
        <v>#NAME?</v>
      </c>
      <c r="E255" s="535" t="e">
        <f ca="1">gr(calculs!BO255)</f>
        <v>#NAME?</v>
      </c>
      <c r="F255" s="535" t="e">
        <f ca="1">gr(calculs!BP255)</f>
        <v>#NAME?</v>
      </c>
      <c r="G255" s="535" t="e">
        <f ca="1">gr(calculs!BQ255)</f>
        <v>#NAME?</v>
      </c>
      <c r="H255" s="535" t="e">
        <f ca="1">gr(calculs!BR255)</f>
        <v>#NAME?</v>
      </c>
      <c r="I255" s="535"/>
      <c r="J255" s="535" t="e">
        <f>NA()</f>
        <v>#N/A</v>
      </c>
      <c r="K255" s="535" t="e">
        <f>NA()</f>
        <v>#N/A</v>
      </c>
      <c r="L255" s="535" t="e">
        <f>NA()</f>
        <v>#N/A</v>
      </c>
      <c r="M255" s="535" t="e">
        <f>NA()</f>
        <v>#N/A</v>
      </c>
      <c r="N255" s="535" t="e">
        <f>NA()</f>
        <v>#N/A</v>
      </c>
      <c r="O255" s="535" t="e">
        <f>NA()</f>
        <v>#N/A</v>
      </c>
      <c r="P255" s="535" t="e">
        <f>NA()</f>
        <v>#N/A</v>
      </c>
    </row>
    <row r="256" spans="1:16" x14ac:dyDescent="0.2">
      <c r="A256" s="222">
        <f>calculs!A256</f>
        <v>44807</v>
      </c>
      <c r="B256" s="535" t="e">
        <f ca="1">gr(calculs!BL256)</f>
        <v>#NAME?</v>
      </c>
      <c r="C256" s="535" t="e">
        <f ca="1">gr(calculs!BM256)</f>
        <v>#NAME?</v>
      </c>
      <c r="D256" s="535" t="e">
        <f ca="1">gr(calculs!BN256)</f>
        <v>#NAME?</v>
      </c>
      <c r="E256" s="535" t="e">
        <f ca="1">gr(calculs!BO256)</f>
        <v>#NAME?</v>
      </c>
      <c r="F256" s="535" t="e">
        <f ca="1">gr(calculs!BP256)</f>
        <v>#NAME?</v>
      </c>
      <c r="G256" s="535" t="e">
        <f ca="1">gr(calculs!BQ256)</f>
        <v>#NAME?</v>
      </c>
      <c r="H256" s="535" t="e">
        <f ca="1">gr(calculs!BR256)</f>
        <v>#NAME?</v>
      </c>
      <c r="I256" s="535"/>
      <c r="J256" s="535" t="e">
        <f>NA()</f>
        <v>#N/A</v>
      </c>
      <c r="K256" s="535" t="e">
        <f>NA()</f>
        <v>#N/A</v>
      </c>
      <c r="L256" s="535" t="e">
        <f>NA()</f>
        <v>#N/A</v>
      </c>
      <c r="M256" s="535" t="e">
        <f>NA()</f>
        <v>#N/A</v>
      </c>
      <c r="N256" s="535" t="e">
        <f>NA()</f>
        <v>#N/A</v>
      </c>
      <c r="O256" s="535" t="e">
        <f>NA()</f>
        <v>#N/A</v>
      </c>
      <c r="P256" s="535" t="e">
        <f>NA()</f>
        <v>#N/A</v>
      </c>
    </row>
    <row r="257" spans="1:16" x14ac:dyDescent="0.2">
      <c r="A257" s="222">
        <f>calculs!A257</f>
        <v>44808</v>
      </c>
      <c r="B257" s="535" t="e">
        <f ca="1">gr(calculs!BL257)</f>
        <v>#NAME?</v>
      </c>
      <c r="C257" s="535" t="e">
        <f ca="1">gr(calculs!BM257)</f>
        <v>#NAME?</v>
      </c>
      <c r="D257" s="535" t="e">
        <f ca="1">gr(calculs!BN257)</f>
        <v>#NAME?</v>
      </c>
      <c r="E257" s="535" t="e">
        <f ca="1">gr(calculs!BO257)</f>
        <v>#NAME?</v>
      </c>
      <c r="F257" s="535" t="e">
        <f ca="1">gr(calculs!BP257)</f>
        <v>#NAME?</v>
      </c>
      <c r="G257" s="535" t="e">
        <f ca="1">gr(calculs!BQ257)</f>
        <v>#NAME?</v>
      </c>
      <c r="H257" s="535" t="e">
        <f ca="1">gr(calculs!BR257)</f>
        <v>#NAME?</v>
      </c>
      <c r="I257" s="535"/>
      <c r="J257" s="535" t="e">
        <f>NA()</f>
        <v>#N/A</v>
      </c>
      <c r="K257" s="535" t="e">
        <f>NA()</f>
        <v>#N/A</v>
      </c>
      <c r="L257" s="535" t="e">
        <f>NA()</f>
        <v>#N/A</v>
      </c>
      <c r="M257" s="535" t="e">
        <f>NA()</f>
        <v>#N/A</v>
      </c>
      <c r="N257" s="535" t="e">
        <f>NA()</f>
        <v>#N/A</v>
      </c>
      <c r="O257" s="535" t="e">
        <f>NA()</f>
        <v>#N/A</v>
      </c>
      <c r="P257" s="535" t="e">
        <f>NA()</f>
        <v>#N/A</v>
      </c>
    </row>
    <row r="258" spans="1:16" x14ac:dyDescent="0.2">
      <c r="A258" s="222">
        <f>calculs!A258</f>
        <v>44809</v>
      </c>
      <c r="B258" s="535" t="e">
        <f ca="1">gr(calculs!BL258)</f>
        <v>#NAME?</v>
      </c>
      <c r="C258" s="535" t="e">
        <f ca="1">gr(calculs!BM258)</f>
        <v>#NAME?</v>
      </c>
      <c r="D258" s="535" t="e">
        <f ca="1">gr(calculs!BN258)</f>
        <v>#NAME?</v>
      </c>
      <c r="E258" s="535" t="e">
        <f ca="1">gr(calculs!BO258)</f>
        <v>#NAME?</v>
      </c>
      <c r="F258" s="535" t="e">
        <f ca="1">gr(calculs!BP258)</f>
        <v>#NAME?</v>
      </c>
      <c r="G258" s="535" t="e">
        <f ca="1">gr(calculs!BQ258)</f>
        <v>#NAME?</v>
      </c>
      <c r="H258" s="535" t="e">
        <f ca="1">gr(calculs!BR258)</f>
        <v>#NAME?</v>
      </c>
      <c r="I258" s="535"/>
      <c r="J258" s="535" t="e">
        <f>NA()</f>
        <v>#N/A</v>
      </c>
      <c r="K258" s="535" t="e">
        <f>NA()</f>
        <v>#N/A</v>
      </c>
      <c r="L258" s="535" t="e">
        <f>NA()</f>
        <v>#N/A</v>
      </c>
      <c r="M258" s="535" t="e">
        <f>NA()</f>
        <v>#N/A</v>
      </c>
      <c r="N258" s="535" t="e">
        <f>NA()</f>
        <v>#N/A</v>
      </c>
      <c r="O258" s="535" t="e">
        <f>NA()</f>
        <v>#N/A</v>
      </c>
      <c r="P258" s="535" t="e">
        <f>NA()</f>
        <v>#N/A</v>
      </c>
    </row>
    <row r="259" spans="1:16" x14ac:dyDescent="0.2">
      <c r="A259" s="222">
        <f>calculs!A259</f>
        <v>44810</v>
      </c>
      <c r="B259" s="535" t="e">
        <f ca="1">gr(calculs!BL259)</f>
        <v>#NAME?</v>
      </c>
      <c r="C259" s="535" t="e">
        <f ca="1">gr(calculs!BM259)</f>
        <v>#NAME?</v>
      </c>
      <c r="D259" s="535" t="e">
        <f ca="1">gr(calculs!BN259)</f>
        <v>#NAME?</v>
      </c>
      <c r="E259" s="535" t="e">
        <f ca="1">gr(calculs!BO259)</f>
        <v>#NAME?</v>
      </c>
      <c r="F259" s="535" t="e">
        <f ca="1">gr(calculs!BP259)</f>
        <v>#NAME?</v>
      </c>
      <c r="G259" s="535" t="e">
        <f ca="1">gr(calculs!BQ259)</f>
        <v>#NAME?</v>
      </c>
      <c r="H259" s="535" t="e">
        <f ca="1">gr(calculs!BR259)</f>
        <v>#NAME?</v>
      </c>
      <c r="I259" s="535"/>
      <c r="J259" s="535" t="e">
        <f>NA()</f>
        <v>#N/A</v>
      </c>
      <c r="K259" s="535" t="e">
        <f>NA()</f>
        <v>#N/A</v>
      </c>
      <c r="L259" s="535" t="e">
        <f>NA()</f>
        <v>#N/A</v>
      </c>
      <c r="M259" s="535" t="e">
        <f>NA()</f>
        <v>#N/A</v>
      </c>
      <c r="N259" s="535" t="e">
        <f>NA()</f>
        <v>#N/A</v>
      </c>
      <c r="O259" s="535" t="e">
        <f>NA()</f>
        <v>#N/A</v>
      </c>
      <c r="P259" s="535" t="e">
        <f>NA()</f>
        <v>#N/A</v>
      </c>
    </row>
    <row r="260" spans="1:16" x14ac:dyDescent="0.2">
      <c r="A260" s="222">
        <f>calculs!A260</f>
        <v>44811</v>
      </c>
      <c r="B260" s="535" t="e">
        <f ca="1">gr(calculs!BL260)</f>
        <v>#NAME?</v>
      </c>
      <c r="C260" s="535" t="e">
        <f ca="1">gr(calculs!BM260)</f>
        <v>#NAME?</v>
      </c>
      <c r="D260" s="535" t="e">
        <f ca="1">gr(calculs!BN260)</f>
        <v>#NAME?</v>
      </c>
      <c r="E260" s="535" t="e">
        <f ca="1">gr(calculs!BO260)</f>
        <v>#NAME?</v>
      </c>
      <c r="F260" s="535" t="e">
        <f ca="1">gr(calculs!BP260)</f>
        <v>#NAME?</v>
      </c>
      <c r="G260" s="535" t="e">
        <f ca="1">gr(calculs!BQ260)</f>
        <v>#NAME?</v>
      </c>
      <c r="H260" s="535" t="e">
        <f ca="1">gr(calculs!BR260)</f>
        <v>#NAME?</v>
      </c>
      <c r="I260" s="535"/>
      <c r="J260" s="535" t="e">
        <f>NA()</f>
        <v>#N/A</v>
      </c>
      <c r="K260" s="535" t="e">
        <f>NA()</f>
        <v>#N/A</v>
      </c>
      <c r="L260" s="535" t="e">
        <f>NA()</f>
        <v>#N/A</v>
      </c>
      <c r="M260" s="535" t="e">
        <f>NA()</f>
        <v>#N/A</v>
      </c>
      <c r="N260" s="535" t="e">
        <f>NA()</f>
        <v>#N/A</v>
      </c>
      <c r="O260" s="535" t="e">
        <f>NA()</f>
        <v>#N/A</v>
      </c>
      <c r="P260" s="535" t="e">
        <f>NA()</f>
        <v>#N/A</v>
      </c>
    </row>
    <row r="261" spans="1:16" x14ac:dyDescent="0.2">
      <c r="A261" s="222">
        <f>calculs!A261</f>
        <v>44812</v>
      </c>
      <c r="B261" s="535" t="e">
        <f ca="1">gr(calculs!BL261)</f>
        <v>#NAME?</v>
      </c>
      <c r="C261" s="535" t="e">
        <f ca="1">gr(calculs!BM261)</f>
        <v>#NAME?</v>
      </c>
      <c r="D261" s="535" t="e">
        <f ca="1">gr(calculs!BN261)</f>
        <v>#NAME?</v>
      </c>
      <c r="E261" s="535" t="e">
        <f ca="1">gr(calculs!BO261)</f>
        <v>#NAME?</v>
      </c>
      <c r="F261" s="535" t="e">
        <f ca="1">gr(calculs!BP261)</f>
        <v>#NAME?</v>
      </c>
      <c r="G261" s="535" t="e">
        <f ca="1">gr(calculs!BQ261)</f>
        <v>#NAME?</v>
      </c>
      <c r="H261" s="535" t="e">
        <f ca="1">gr(calculs!BR261)</f>
        <v>#NAME?</v>
      </c>
      <c r="I261" s="535"/>
      <c r="J261" s="535" t="e">
        <f>NA()</f>
        <v>#N/A</v>
      </c>
      <c r="K261" s="535" t="e">
        <f>NA()</f>
        <v>#N/A</v>
      </c>
      <c r="L261" s="535" t="e">
        <f>NA()</f>
        <v>#N/A</v>
      </c>
      <c r="M261" s="535" t="e">
        <f>NA()</f>
        <v>#N/A</v>
      </c>
      <c r="N261" s="535" t="e">
        <f>NA()</f>
        <v>#N/A</v>
      </c>
      <c r="O261" s="535" t="e">
        <f>NA()</f>
        <v>#N/A</v>
      </c>
      <c r="P261" s="535" t="e">
        <f>NA()</f>
        <v>#N/A</v>
      </c>
    </row>
    <row r="262" spans="1:16" x14ac:dyDescent="0.2">
      <c r="A262" s="222">
        <f>calculs!A262</f>
        <v>44813</v>
      </c>
      <c r="B262" s="535" t="e">
        <f ca="1">gr(calculs!BL262)</f>
        <v>#NAME?</v>
      </c>
      <c r="C262" s="535" t="e">
        <f ca="1">gr(calculs!BM262)</f>
        <v>#NAME?</v>
      </c>
      <c r="D262" s="535" t="e">
        <f ca="1">gr(calculs!BN262)</f>
        <v>#NAME?</v>
      </c>
      <c r="E262" s="535" t="e">
        <f ca="1">gr(calculs!BO262)</f>
        <v>#NAME?</v>
      </c>
      <c r="F262" s="535" t="e">
        <f ca="1">gr(calculs!BP262)</f>
        <v>#NAME?</v>
      </c>
      <c r="G262" s="535" t="e">
        <f ca="1">gr(calculs!BQ262)</f>
        <v>#NAME?</v>
      </c>
      <c r="H262" s="535" t="e">
        <f ca="1">gr(calculs!BR262)</f>
        <v>#NAME?</v>
      </c>
      <c r="I262" s="535"/>
      <c r="J262" s="535" t="e">
        <f>NA()</f>
        <v>#N/A</v>
      </c>
      <c r="K262" s="535" t="e">
        <f>NA()</f>
        <v>#N/A</v>
      </c>
      <c r="L262" s="535" t="e">
        <f>NA()</f>
        <v>#N/A</v>
      </c>
      <c r="M262" s="535" t="e">
        <f>NA()</f>
        <v>#N/A</v>
      </c>
      <c r="N262" s="535" t="e">
        <f>NA()</f>
        <v>#N/A</v>
      </c>
      <c r="O262" s="535" t="e">
        <f>NA()</f>
        <v>#N/A</v>
      </c>
      <c r="P262" s="535" t="e">
        <f>NA()</f>
        <v>#N/A</v>
      </c>
    </row>
    <row r="263" spans="1:16" x14ac:dyDescent="0.2">
      <c r="A263" s="222">
        <f>calculs!A263</f>
        <v>44814</v>
      </c>
      <c r="B263" s="535" t="e">
        <f ca="1">gr(calculs!BL263)</f>
        <v>#NAME?</v>
      </c>
      <c r="C263" s="535" t="e">
        <f ca="1">gr(calculs!BM263)</f>
        <v>#NAME?</v>
      </c>
      <c r="D263" s="535" t="e">
        <f ca="1">gr(calculs!BN263)</f>
        <v>#NAME?</v>
      </c>
      <c r="E263" s="535" t="e">
        <f ca="1">gr(calculs!BO263)</f>
        <v>#NAME?</v>
      </c>
      <c r="F263" s="535" t="e">
        <f ca="1">gr(calculs!BP263)</f>
        <v>#NAME?</v>
      </c>
      <c r="G263" s="535" t="e">
        <f ca="1">gr(calculs!BQ263)</f>
        <v>#NAME?</v>
      </c>
      <c r="H263" s="535" t="e">
        <f ca="1">gr(calculs!BR263)</f>
        <v>#NAME?</v>
      </c>
      <c r="I263" s="535"/>
      <c r="J263" s="535" t="e">
        <f>NA()</f>
        <v>#N/A</v>
      </c>
      <c r="K263" s="535" t="e">
        <f>NA()</f>
        <v>#N/A</v>
      </c>
      <c r="L263" s="535" t="e">
        <f>NA()</f>
        <v>#N/A</v>
      </c>
      <c r="M263" s="535" t="e">
        <f>NA()</f>
        <v>#N/A</v>
      </c>
      <c r="N263" s="535" t="e">
        <f>NA()</f>
        <v>#N/A</v>
      </c>
      <c r="O263" s="535" t="e">
        <f>NA()</f>
        <v>#N/A</v>
      </c>
      <c r="P263" s="535" t="e">
        <f>NA()</f>
        <v>#N/A</v>
      </c>
    </row>
    <row r="264" spans="1:16" x14ac:dyDescent="0.2">
      <c r="A264" s="222">
        <f>calculs!A264</f>
        <v>44815</v>
      </c>
      <c r="B264" s="535" t="e">
        <f ca="1">gr(calculs!BL264)</f>
        <v>#NAME?</v>
      </c>
      <c r="C264" s="535" t="e">
        <f ca="1">gr(calculs!BM264)</f>
        <v>#NAME?</v>
      </c>
      <c r="D264" s="535" t="e">
        <f ca="1">gr(calculs!BN264)</f>
        <v>#NAME?</v>
      </c>
      <c r="E264" s="535" t="e">
        <f ca="1">gr(calculs!BO264)</f>
        <v>#NAME?</v>
      </c>
      <c r="F264" s="535" t="e">
        <f ca="1">gr(calculs!BP264)</f>
        <v>#NAME?</v>
      </c>
      <c r="G264" s="535" t="e">
        <f ca="1">gr(calculs!BQ264)</f>
        <v>#NAME?</v>
      </c>
      <c r="H264" s="535" t="e">
        <f ca="1">gr(calculs!BR264)</f>
        <v>#NAME?</v>
      </c>
      <c r="I264" s="535"/>
      <c r="J264" s="535" t="e">
        <f>NA()</f>
        <v>#N/A</v>
      </c>
      <c r="K264" s="535" t="e">
        <f>NA()</f>
        <v>#N/A</v>
      </c>
      <c r="L264" s="535" t="e">
        <f>NA()</f>
        <v>#N/A</v>
      </c>
      <c r="M264" s="535" t="e">
        <f>NA()</f>
        <v>#N/A</v>
      </c>
      <c r="N264" s="535" t="e">
        <f>NA()</f>
        <v>#N/A</v>
      </c>
      <c r="O264" s="535" t="e">
        <f>NA()</f>
        <v>#N/A</v>
      </c>
      <c r="P264" s="535" t="e">
        <f>NA()</f>
        <v>#N/A</v>
      </c>
    </row>
    <row r="265" spans="1:16" x14ac:dyDescent="0.2">
      <c r="A265" s="222">
        <f>calculs!A265</f>
        <v>44816</v>
      </c>
      <c r="B265" s="535" t="e">
        <f ca="1">gr(calculs!BL265)</f>
        <v>#NAME?</v>
      </c>
      <c r="C265" s="535" t="e">
        <f ca="1">gr(calculs!BM265)</f>
        <v>#NAME?</v>
      </c>
      <c r="D265" s="535" t="e">
        <f ca="1">gr(calculs!BN265)</f>
        <v>#NAME?</v>
      </c>
      <c r="E265" s="535" t="e">
        <f ca="1">gr(calculs!BO265)</f>
        <v>#NAME?</v>
      </c>
      <c r="F265" s="535" t="e">
        <f ca="1">gr(calculs!BP265)</f>
        <v>#NAME?</v>
      </c>
      <c r="G265" s="535" t="e">
        <f ca="1">gr(calculs!BQ265)</f>
        <v>#NAME?</v>
      </c>
      <c r="H265" s="535" t="e">
        <f ca="1">gr(calculs!BR265)</f>
        <v>#NAME?</v>
      </c>
      <c r="I265" s="535"/>
      <c r="J265" s="535" t="e">
        <f>NA()</f>
        <v>#N/A</v>
      </c>
      <c r="K265" s="535" t="e">
        <f>NA()</f>
        <v>#N/A</v>
      </c>
      <c r="L265" s="535" t="e">
        <f>NA()</f>
        <v>#N/A</v>
      </c>
      <c r="M265" s="535" t="e">
        <f>NA()</f>
        <v>#N/A</v>
      </c>
      <c r="N265" s="535" t="e">
        <f>NA()</f>
        <v>#N/A</v>
      </c>
      <c r="O265" s="535" t="e">
        <f>NA()</f>
        <v>#N/A</v>
      </c>
      <c r="P265" s="535" t="e">
        <f>NA()</f>
        <v>#N/A</v>
      </c>
    </row>
    <row r="266" spans="1:16" x14ac:dyDescent="0.2">
      <c r="A266" s="222">
        <f>calculs!A266</f>
        <v>44817</v>
      </c>
      <c r="B266" s="535" t="e">
        <f ca="1">gr(calculs!BL266)</f>
        <v>#NAME?</v>
      </c>
      <c r="C266" s="535" t="e">
        <f ca="1">gr(calculs!BM266)</f>
        <v>#NAME?</v>
      </c>
      <c r="D266" s="535" t="e">
        <f ca="1">gr(calculs!BN266)</f>
        <v>#NAME?</v>
      </c>
      <c r="E266" s="535" t="e">
        <f ca="1">gr(calculs!BO266)</f>
        <v>#NAME?</v>
      </c>
      <c r="F266" s="535" t="e">
        <f ca="1">gr(calculs!BP266)</f>
        <v>#NAME?</v>
      </c>
      <c r="G266" s="535" t="e">
        <f ca="1">gr(calculs!BQ266)</f>
        <v>#NAME?</v>
      </c>
      <c r="H266" s="535" t="e">
        <f ca="1">gr(calculs!BR266)</f>
        <v>#NAME?</v>
      </c>
      <c r="I266" s="535"/>
      <c r="J266" s="535" t="e">
        <f>NA()</f>
        <v>#N/A</v>
      </c>
      <c r="K266" s="535" t="e">
        <f>NA()</f>
        <v>#N/A</v>
      </c>
      <c r="L266" s="535" t="e">
        <f>NA()</f>
        <v>#N/A</v>
      </c>
      <c r="M266" s="535" t="e">
        <f>NA()</f>
        <v>#N/A</v>
      </c>
      <c r="N266" s="535" t="e">
        <f>NA()</f>
        <v>#N/A</v>
      </c>
      <c r="O266" s="535" t="e">
        <f>NA()</f>
        <v>#N/A</v>
      </c>
      <c r="P266" s="535" t="e">
        <f>NA()</f>
        <v>#N/A</v>
      </c>
    </row>
    <row r="267" spans="1:16" x14ac:dyDescent="0.2">
      <c r="A267" s="222">
        <f>calculs!A267</f>
        <v>44818</v>
      </c>
      <c r="B267" s="535" t="e">
        <f ca="1">gr(calculs!BL267)</f>
        <v>#NAME?</v>
      </c>
      <c r="C267" s="535" t="e">
        <f ca="1">gr(calculs!BM267)</f>
        <v>#NAME?</v>
      </c>
      <c r="D267" s="535" t="e">
        <f ca="1">gr(calculs!BN267)</f>
        <v>#NAME?</v>
      </c>
      <c r="E267" s="535" t="e">
        <f ca="1">gr(calculs!BO267)</f>
        <v>#NAME?</v>
      </c>
      <c r="F267" s="535" t="e">
        <f ca="1">gr(calculs!BP267)</f>
        <v>#NAME?</v>
      </c>
      <c r="G267" s="535" t="e">
        <f ca="1">gr(calculs!BQ267)</f>
        <v>#NAME?</v>
      </c>
      <c r="H267" s="535" t="e">
        <f ca="1">gr(calculs!BR267)</f>
        <v>#NAME?</v>
      </c>
      <c r="I267" s="535"/>
      <c r="J267" s="535" t="e">
        <f>NA()</f>
        <v>#N/A</v>
      </c>
      <c r="K267" s="535" t="e">
        <f>NA()</f>
        <v>#N/A</v>
      </c>
      <c r="L267" s="535" t="e">
        <f>NA()</f>
        <v>#N/A</v>
      </c>
      <c r="M267" s="535" t="e">
        <f>NA()</f>
        <v>#N/A</v>
      </c>
      <c r="N267" s="535" t="e">
        <f>NA()</f>
        <v>#N/A</v>
      </c>
      <c r="O267" s="535" t="e">
        <f>NA()</f>
        <v>#N/A</v>
      </c>
      <c r="P267" s="535" t="e">
        <f>NA()</f>
        <v>#N/A</v>
      </c>
    </row>
    <row r="268" spans="1:16" x14ac:dyDescent="0.2">
      <c r="A268" s="222">
        <f>calculs!A268</f>
        <v>44819</v>
      </c>
      <c r="B268" s="535" t="e">
        <f ca="1">gr(calculs!BL268)</f>
        <v>#NAME?</v>
      </c>
      <c r="C268" s="535" t="e">
        <f ca="1">gr(calculs!BM268)</f>
        <v>#NAME?</v>
      </c>
      <c r="D268" s="535" t="e">
        <f ca="1">gr(calculs!BN268)</f>
        <v>#NAME?</v>
      </c>
      <c r="E268" s="535" t="e">
        <f ca="1">gr(calculs!BO268)</f>
        <v>#NAME?</v>
      </c>
      <c r="F268" s="535" t="e">
        <f ca="1">gr(calculs!BP268)</f>
        <v>#NAME?</v>
      </c>
      <c r="G268" s="535" t="e">
        <f ca="1">gr(calculs!BQ268)</f>
        <v>#NAME?</v>
      </c>
      <c r="H268" s="535" t="e">
        <f ca="1">gr(calculs!BR268)</f>
        <v>#NAME?</v>
      </c>
      <c r="I268" s="535"/>
      <c r="J268" s="535" t="e">
        <f>NA()</f>
        <v>#N/A</v>
      </c>
      <c r="K268" s="535" t="e">
        <f>NA()</f>
        <v>#N/A</v>
      </c>
      <c r="L268" s="535" t="e">
        <f>NA()</f>
        <v>#N/A</v>
      </c>
      <c r="M268" s="535" t="e">
        <f>NA()</f>
        <v>#N/A</v>
      </c>
      <c r="N268" s="535" t="e">
        <f>NA()</f>
        <v>#N/A</v>
      </c>
      <c r="O268" s="535" t="e">
        <f>NA()</f>
        <v>#N/A</v>
      </c>
      <c r="P268" s="535" t="e">
        <f>NA()</f>
        <v>#N/A</v>
      </c>
    </row>
    <row r="269" spans="1:16" x14ac:dyDescent="0.2">
      <c r="A269" s="222">
        <f>calculs!A269</f>
        <v>44820</v>
      </c>
      <c r="B269" s="535" t="e">
        <f ca="1">gr(calculs!BL269)</f>
        <v>#NAME?</v>
      </c>
      <c r="C269" s="535" t="e">
        <f ca="1">gr(calculs!BM269)</f>
        <v>#NAME?</v>
      </c>
      <c r="D269" s="535" t="e">
        <f ca="1">gr(calculs!BN269)</f>
        <v>#NAME?</v>
      </c>
      <c r="E269" s="535" t="e">
        <f ca="1">gr(calculs!BO269)</f>
        <v>#NAME?</v>
      </c>
      <c r="F269" s="535" t="e">
        <f ca="1">gr(calculs!BP269)</f>
        <v>#NAME?</v>
      </c>
      <c r="G269" s="535" t="e">
        <f ca="1">gr(calculs!BQ269)</f>
        <v>#NAME?</v>
      </c>
      <c r="H269" s="535" t="e">
        <f ca="1">gr(calculs!BR269)</f>
        <v>#NAME?</v>
      </c>
      <c r="I269" s="535"/>
      <c r="J269" s="535" t="e">
        <f>NA()</f>
        <v>#N/A</v>
      </c>
      <c r="K269" s="535" t="e">
        <f>NA()</f>
        <v>#N/A</v>
      </c>
      <c r="L269" s="535" t="e">
        <f>NA()</f>
        <v>#N/A</v>
      </c>
      <c r="M269" s="535" t="e">
        <f>NA()</f>
        <v>#N/A</v>
      </c>
      <c r="N269" s="535" t="e">
        <f>NA()</f>
        <v>#N/A</v>
      </c>
      <c r="O269" s="535" t="e">
        <f>NA()</f>
        <v>#N/A</v>
      </c>
      <c r="P269" s="535" t="e">
        <f>NA()</f>
        <v>#N/A</v>
      </c>
    </row>
    <row r="270" spans="1:16" x14ac:dyDescent="0.2">
      <c r="A270" s="222">
        <f>calculs!A270</f>
        <v>44821</v>
      </c>
      <c r="B270" s="535" t="e">
        <f ca="1">gr(calculs!BL270)</f>
        <v>#NAME?</v>
      </c>
      <c r="C270" s="535" t="e">
        <f ca="1">gr(calculs!BM270)</f>
        <v>#NAME?</v>
      </c>
      <c r="D270" s="535" t="e">
        <f ca="1">gr(calculs!BN270)</f>
        <v>#NAME?</v>
      </c>
      <c r="E270" s="535" t="e">
        <f ca="1">gr(calculs!BO270)</f>
        <v>#NAME?</v>
      </c>
      <c r="F270" s="535" t="e">
        <f ca="1">gr(calculs!BP270)</f>
        <v>#NAME?</v>
      </c>
      <c r="G270" s="535" t="e">
        <f ca="1">gr(calculs!BQ270)</f>
        <v>#NAME?</v>
      </c>
      <c r="H270" s="535" t="e">
        <f ca="1">gr(calculs!BR270)</f>
        <v>#NAME?</v>
      </c>
      <c r="I270" s="535"/>
      <c r="J270" s="535" t="e">
        <f>NA()</f>
        <v>#N/A</v>
      </c>
      <c r="K270" s="535" t="e">
        <f>NA()</f>
        <v>#N/A</v>
      </c>
      <c r="L270" s="535" t="e">
        <f>NA()</f>
        <v>#N/A</v>
      </c>
      <c r="M270" s="535" t="e">
        <f>NA()</f>
        <v>#N/A</v>
      </c>
      <c r="N270" s="535" t="e">
        <f>NA()</f>
        <v>#N/A</v>
      </c>
      <c r="O270" s="535" t="e">
        <f>NA()</f>
        <v>#N/A</v>
      </c>
      <c r="P270" s="535" t="e">
        <f>NA()</f>
        <v>#N/A</v>
      </c>
    </row>
    <row r="271" spans="1:16" x14ac:dyDescent="0.2">
      <c r="A271" s="222">
        <f>calculs!A271</f>
        <v>44822</v>
      </c>
      <c r="B271" s="535" t="e">
        <f ca="1">gr(calculs!BL271)</f>
        <v>#NAME?</v>
      </c>
      <c r="C271" s="535" t="e">
        <f ca="1">gr(calculs!BM271)</f>
        <v>#NAME?</v>
      </c>
      <c r="D271" s="535" t="e">
        <f ca="1">gr(calculs!BN271)</f>
        <v>#NAME?</v>
      </c>
      <c r="E271" s="535" t="e">
        <f ca="1">gr(calculs!BO271)</f>
        <v>#NAME?</v>
      </c>
      <c r="F271" s="535" t="e">
        <f ca="1">gr(calculs!BP271)</f>
        <v>#NAME?</v>
      </c>
      <c r="G271" s="535" t="e">
        <f ca="1">gr(calculs!BQ271)</f>
        <v>#NAME?</v>
      </c>
      <c r="H271" s="535" t="e">
        <f ca="1">gr(calculs!BR271)</f>
        <v>#NAME?</v>
      </c>
      <c r="I271" s="535"/>
      <c r="J271" s="535" t="e">
        <f>NA()</f>
        <v>#N/A</v>
      </c>
      <c r="K271" s="535" t="e">
        <f>NA()</f>
        <v>#N/A</v>
      </c>
      <c r="L271" s="535" t="e">
        <f>NA()</f>
        <v>#N/A</v>
      </c>
      <c r="M271" s="535" t="e">
        <f>NA()</f>
        <v>#N/A</v>
      </c>
      <c r="N271" s="535" t="e">
        <f>NA()</f>
        <v>#N/A</v>
      </c>
      <c r="O271" s="535" t="e">
        <f>NA()</f>
        <v>#N/A</v>
      </c>
      <c r="P271" s="535" t="e">
        <f>NA()</f>
        <v>#N/A</v>
      </c>
    </row>
    <row r="272" spans="1:16" x14ac:dyDescent="0.2">
      <c r="A272" s="222">
        <f>calculs!A272</f>
        <v>44823</v>
      </c>
      <c r="B272" s="535" t="e">
        <f ca="1">gr(calculs!BL272)</f>
        <v>#NAME?</v>
      </c>
      <c r="C272" s="535" t="e">
        <f ca="1">gr(calculs!BM272)</f>
        <v>#NAME?</v>
      </c>
      <c r="D272" s="535" t="e">
        <f ca="1">gr(calculs!BN272)</f>
        <v>#NAME?</v>
      </c>
      <c r="E272" s="535" t="e">
        <f ca="1">gr(calculs!BO272)</f>
        <v>#NAME?</v>
      </c>
      <c r="F272" s="535" t="e">
        <f ca="1">gr(calculs!BP272)</f>
        <v>#NAME?</v>
      </c>
      <c r="G272" s="535" t="e">
        <f ca="1">gr(calculs!BQ272)</f>
        <v>#NAME?</v>
      </c>
      <c r="H272" s="535" t="e">
        <f ca="1">gr(calculs!BR272)</f>
        <v>#NAME?</v>
      </c>
      <c r="I272" s="535"/>
      <c r="J272" s="535" t="e">
        <f>NA()</f>
        <v>#N/A</v>
      </c>
      <c r="K272" s="535" t="e">
        <f>NA()</f>
        <v>#N/A</v>
      </c>
      <c r="L272" s="535" t="e">
        <f>NA()</f>
        <v>#N/A</v>
      </c>
      <c r="M272" s="535" t="e">
        <f>NA()</f>
        <v>#N/A</v>
      </c>
      <c r="N272" s="535" t="e">
        <f>NA()</f>
        <v>#N/A</v>
      </c>
      <c r="O272" s="535" t="e">
        <f>NA()</f>
        <v>#N/A</v>
      </c>
      <c r="P272" s="535" t="e">
        <f>NA()</f>
        <v>#N/A</v>
      </c>
    </row>
    <row r="273" spans="1:16" x14ac:dyDescent="0.2">
      <c r="A273" s="222">
        <f>calculs!A273</f>
        <v>44824</v>
      </c>
      <c r="B273" s="535" t="e">
        <f ca="1">gr(calculs!BL273)</f>
        <v>#NAME?</v>
      </c>
      <c r="C273" s="535" t="e">
        <f ca="1">gr(calculs!BM273)</f>
        <v>#NAME?</v>
      </c>
      <c r="D273" s="535" t="e">
        <f ca="1">gr(calculs!BN273)</f>
        <v>#NAME?</v>
      </c>
      <c r="E273" s="535" t="e">
        <f ca="1">gr(calculs!BO273)</f>
        <v>#NAME?</v>
      </c>
      <c r="F273" s="535" t="e">
        <f ca="1">gr(calculs!BP273)</f>
        <v>#NAME?</v>
      </c>
      <c r="G273" s="535" t="e">
        <f ca="1">gr(calculs!BQ273)</f>
        <v>#NAME?</v>
      </c>
      <c r="H273" s="535" t="e">
        <f ca="1">gr(calculs!BR273)</f>
        <v>#NAME?</v>
      </c>
      <c r="I273" s="535"/>
      <c r="J273" s="535" t="e">
        <f>NA()</f>
        <v>#N/A</v>
      </c>
      <c r="K273" s="535" t="e">
        <f>NA()</f>
        <v>#N/A</v>
      </c>
      <c r="L273" s="535" t="e">
        <f>NA()</f>
        <v>#N/A</v>
      </c>
      <c r="M273" s="535" t="e">
        <f>NA()</f>
        <v>#N/A</v>
      </c>
      <c r="N273" s="535" t="e">
        <f>NA()</f>
        <v>#N/A</v>
      </c>
      <c r="O273" s="535" t="e">
        <f>NA()</f>
        <v>#N/A</v>
      </c>
      <c r="P273" s="535" t="e">
        <f>NA()</f>
        <v>#N/A</v>
      </c>
    </row>
    <row r="274" spans="1:16" x14ac:dyDescent="0.2">
      <c r="A274" s="222">
        <f>calculs!A274</f>
        <v>44825</v>
      </c>
      <c r="B274" s="535" t="e">
        <f ca="1">gr(calculs!BL274)</f>
        <v>#NAME?</v>
      </c>
      <c r="C274" s="535" t="e">
        <f ca="1">gr(calculs!BM274)</f>
        <v>#NAME?</v>
      </c>
      <c r="D274" s="535" t="e">
        <f ca="1">gr(calculs!BN274)</f>
        <v>#NAME?</v>
      </c>
      <c r="E274" s="535" t="e">
        <f ca="1">gr(calculs!BO274)</f>
        <v>#NAME?</v>
      </c>
      <c r="F274" s="535" t="e">
        <f ca="1">gr(calculs!BP274)</f>
        <v>#NAME?</v>
      </c>
      <c r="G274" s="535" t="e">
        <f ca="1">gr(calculs!BQ274)</f>
        <v>#NAME?</v>
      </c>
      <c r="H274" s="535" t="e">
        <f ca="1">gr(calculs!BR274)</f>
        <v>#NAME?</v>
      </c>
      <c r="I274" s="535"/>
      <c r="J274" s="535" t="e">
        <f>NA()</f>
        <v>#N/A</v>
      </c>
      <c r="K274" s="535" t="e">
        <f>NA()</f>
        <v>#N/A</v>
      </c>
      <c r="L274" s="535" t="e">
        <f>NA()</f>
        <v>#N/A</v>
      </c>
      <c r="M274" s="535" t="e">
        <f>NA()</f>
        <v>#N/A</v>
      </c>
      <c r="N274" s="535" t="e">
        <f>NA()</f>
        <v>#N/A</v>
      </c>
      <c r="O274" s="535" t="e">
        <f>NA()</f>
        <v>#N/A</v>
      </c>
      <c r="P274" s="535" t="e">
        <f>NA()</f>
        <v>#N/A</v>
      </c>
    </row>
    <row r="275" spans="1:16" x14ac:dyDescent="0.2">
      <c r="A275" s="222">
        <f>calculs!A275</f>
        <v>44826</v>
      </c>
      <c r="B275" s="535" t="e">
        <f ca="1">gr(calculs!BL275)</f>
        <v>#NAME?</v>
      </c>
      <c r="C275" s="535" t="e">
        <f ca="1">gr(calculs!BM275)</f>
        <v>#NAME?</v>
      </c>
      <c r="D275" s="535" t="e">
        <f ca="1">gr(calculs!BN275)</f>
        <v>#NAME?</v>
      </c>
      <c r="E275" s="535" t="e">
        <f ca="1">gr(calculs!BO275)</f>
        <v>#NAME?</v>
      </c>
      <c r="F275" s="535" t="e">
        <f ca="1">gr(calculs!BP275)</f>
        <v>#NAME?</v>
      </c>
      <c r="G275" s="535" t="e">
        <f ca="1">gr(calculs!BQ275)</f>
        <v>#NAME?</v>
      </c>
      <c r="H275" s="535" t="e">
        <f ca="1">gr(calculs!BR275)</f>
        <v>#NAME?</v>
      </c>
      <c r="I275" s="535"/>
      <c r="J275" s="535" t="e">
        <f>NA()</f>
        <v>#N/A</v>
      </c>
      <c r="K275" s="535" t="e">
        <f>NA()</f>
        <v>#N/A</v>
      </c>
      <c r="L275" s="535" t="e">
        <f>NA()</f>
        <v>#N/A</v>
      </c>
      <c r="M275" s="535" t="e">
        <f>NA()</f>
        <v>#N/A</v>
      </c>
      <c r="N275" s="535" t="e">
        <f>NA()</f>
        <v>#N/A</v>
      </c>
      <c r="O275" s="535" t="e">
        <f>NA()</f>
        <v>#N/A</v>
      </c>
      <c r="P275" s="535" t="e">
        <f>NA()</f>
        <v>#N/A</v>
      </c>
    </row>
    <row r="276" spans="1:16" x14ac:dyDescent="0.2">
      <c r="A276" s="222">
        <f>calculs!A276</f>
        <v>44827</v>
      </c>
      <c r="B276" s="535" t="e">
        <f ca="1">gr(calculs!BL276)</f>
        <v>#NAME?</v>
      </c>
      <c r="C276" s="535" t="e">
        <f ca="1">gr(calculs!BM276)</f>
        <v>#NAME?</v>
      </c>
      <c r="D276" s="535" t="e">
        <f ca="1">gr(calculs!BN276)</f>
        <v>#NAME?</v>
      </c>
      <c r="E276" s="535" t="e">
        <f ca="1">gr(calculs!BO276)</f>
        <v>#NAME?</v>
      </c>
      <c r="F276" s="535" t="e">
        <f ca="1">gr(calculs!BP276)</f>
        <v>#NAME?</v>
      </c>
      <c r="G276" s="535" t="e">
        <f ca="1">gr(calculs!BQ276)</f>
        <v>#NAME?</v>
      </c>
      <c r="H276" s="535" t="e">
        <f ca="1">gr(calculs!BR276)</f>
        <v>#NAME?</v>
      </c>
      <c r="I276" s="535"/>
      <c r="J276" s="535" t="e">
        <f>NA()</f>
        <v>#N/A</v>
      </c>
      <c r="K276" s="535" t="e">
        <f>NA()</f>
        <v>#N/A</v>
      </c>
      <c r="L276" s="535" t="e">
        <f>NA()</f>
        <v>#N/A</v>
      </c>
      <c r="M276" s="535" t="e">
        <f>NA()</f>
        <v>#N/A</v>
      </c>
      <c r="N276" s="535" t="e">
        <f>NA()</f>
        <v>#N/A</v>
      </c>
      <c r="O276" s="535" t="e">
        <f>NA()</f>
        <v>#N/A</v>
      </c>
      <c r="P276" s="535" t="e">
        <f>NA()</f>
        <v>#N/A</v>
      </c>
    </row>
    <row r="277" spans="1:16" x14ac:dyDescent="0.2">
      <c r="A277" s="222">
        <f>calculs!A277</f>
        <v>44828</v>
      </c>
      <c r="B277" s="535" t="e">
        <f ca="1">gr(calculs!BL277)</f>
        <v>#NAME?</v>
      </c>
      <c r="C277" s="535" t="e">
        <f ca="1">gr(calculs!BM277)</f>
        <v>#NAME?</v>
      </c>
      <c r="D277" s="535" t="e">
        <f ca="1">gr(calculs!BN277)</f>
        <v>#NAME?</v>
      </c>
      <c r="E277" s="535" t="e">
        <f ca="1">gr(calculs!BO277)</f>
        <v>#NAME?</v>
      </c>
      <c r="F277" s="535" t="e">
        <f ca="1">gr(calculs!BP277)</f>
        <v>#NAME?</v>
      </c>
      <c r="G277" s="535" t="e">
        <f ca="1">gr(calculs!BQ277)</f>
        <v>#NAME?</v>
      </c>
      <c r="H277" s="535" t="e">
        <f ca="1">gr(calculs!BR277)</f>
        <v>#NAME?</v>
      </c>
      <c r="I277" s="535"/>
      <c r="J277" s="535" t="e">
        <f>NA()</f>
        <v>#N/A</v>
      </c>
      <c r="K277" s="535" t="e">
        <f>NA()</f>
        <v>#N/A</v>
      </c>
      <c r="L277" s="535" t="e">
        <f>NA()</f>
        <v>#N/A</v>
      </c>
      <c r="M277" s="535" t="e">
        <f>NA()</f>
        <v>#N/A</v>
      </c>
      <c r="N277" s="535" t="e">
        <f>NA()</f>
        <v>#N/A</v>
      </c>
      <c r="O277" s="535" t="e">
        <f>NA()</f>
        <v>#N/A</v>
      </c>
      <c r="P277" s="535" t="e">
        <f>NA()</f>
        <v>#N/A</v>
      </c>
    </row>
    <row r="278" spans="1:16" x14ac:dyDescent="0.2">
      <c r="A278" s="222">
        <f>calculs!A278</f>
        <v>44829</v>
      </c>
      <c r="B278" s="535" t="e">
        <f ca="1">gr(calculs!BL278)</f>
        <v>#NAME?</v>
      </c>
      <c r="C278" s="535" t="e">
        <f ca="1">gr(calculs!BM278)</f>
        <v>#NAME?</v>
      </c>
      <c r="D278" s="535" t="e">
        <f ca="1">gr(calculs!BN278)</f>
        <v>#NAME?</v>
      </c>
      <c r="E278" s="535" t="e">
        <f ca="1">gr(calculs!BO278)</f>
        <v>#NAME?</v>
      </c>
      <c r="F278" s="535" t="e">
        <f ca="1">gr(calculs!BP278)</f>
        <v>#NAME?</v>
      </c>
      <c r="G278" s="535" t="e">
        <f ca="1">gr(calculs!BQ278)</f>
        <v>#NAME?</v>
      </c>
      <c r="H278" s="535" t="e">
        <f ca="1">gr(calculs!BR278)</f>
        <v>#NAME?</v>
      </c>
      <c r="I278" s="535"/>
      <c r="J278" s="535" t="e">
        <f>NA()</f>
        <v>#N/A</v>
      </c>
      <c r="K278" s="535" t="e">
        <f>NA()</f>
        <v>#N/A</v>
      </c>
      <c r="L278" s="535" t="e">
        <f>NA()</f>
        <v>#N/A</v>
      </c>
      <c r="M278" s="535" t="e">
        <f>NA()</f>
        <v>#N/A</v>
      </c>
      <c r="N278" s="535" t="e">
        <f>NA()</f>
        <v>#N/A</v>
      </c>
      <c r="O278" s="535" t="e">
        <f>NA()</f>
        <v>#N/A</v>
      </c>
      <c r="P278" s="535" t="e">
        <f>NA()</f>
        <v>#N/A</v>
      </c>
    </row>
    <row r="279" spans="1:16" x14ac:dyDescent="0.2">
      <c r="A279" s="222">
        <f>calculs!A279</f>
        <v>44830</v>
      </c>
      <c r="B279" s="535" t="e">
        <f ca="1">gr(calculs!BL279)</f>
        <v>#NAME?</v>
      </c>
      <c r="C279" s="535" t="e">
        <f ca="1">gr(calculs!BM279)</f>
        <v>#NAME?</v>
      </c>
      <c r="D279" s="535" t="e">
        <f ca="1">gr(calculs!BN279)</f>
        <v>#NAME?</v>
      </c>
      <c r="E279" s="535" t="e">
        <f ca="1">gr(calculs!BO279)</f>
        <v>#NAME?</v>
      </c>
      <c r="F279" s="535" t="e">
        <f ca="1">gr(calculs!BP279)</f>
        <v>#NAME?</v>
      </c>
      <c r="G279" s="535" t="e">
        <f ca="1">gr(calculs!BQ279)</f>
        <v>#NAME?</v>
      </c>
      <c r="H279" s="535" t="e">
        <f ca="1">gr(calculs!BR279)</f>
        <v>#NAME?</v>
      </c>
      <c r="I279" s="535"/>
      <c r="J279" s="535" t="e">
        <f>NA()</f>
        <v>#N/A</v>
      </c>
      <c r="K279" s="535" t="e">
        <f>NA()</f>
        <v>#N/A</v>
      </c>
      <c r="L279" s="535" t="e">
        <f>NA()</f>
        <v>#N/A</v>
      </c>
      <c r="M279" s="535" t="e">
        <f>NA()</f>
        <v>#N/A</v>
      </c>
      <c r="N279" s="535" t="e">
        <f>NA()</f>
        <v>#N/A</v>
      </c>
      <c r="O279" s="535" t="e">
        <f>NA()</f>
        <v>#N/A</v>
      </c>
      <c r="P279" s="535" t="e">
        <f>NA()</f>
        <v>#N/A</v>
      </c>
    </row>
    <row r="280" spans="1:16" x14ac:dyDescent="0.2">
      <c r="A280" s="222">
        <f>calculs!A280</f>
        <v>44831</v>
      </c>
      <c r="B280" s="535" t="e">
        <f ca="1">gr(calculs!BL280)</f>
        <v>#NAME?</v>
      </c>
      <c r="C280" s="535" t="e">
        <f ca="1">gr(calculs!BM280)</f>
        <v>#NAME?</v>
      </c>
      <c r="D280" s="535" t="e">
        <f ca="1">gr(calculs!BN280)</f>
        <v>#NAME?</v>
      </c>
      <c r="E280" s="535" t="e">
        <f ca="1">gr(calculs!BO280)</f>
        <v>#NAME?</v>
      </c>
      <c r="F280" s="535" t="e">
        <f ca="1">gr(calculs!BP280)</f>
        <v>#NAME?</v>
      </c>
      <c r="G280" s="535" t="e">
        <f ca="1">gr(calculs!BQ280)</f>
        <v>#NAME?</v>
      </c>
      <c r="H280" s="535" t="e">
        <f ca="1">gr(calculs!BR280)</f>
        <v>#NAME?</v>
      </c>
      <c r="I280" s="535"/>
      <c r="J280" s="535" t="e">
        <f>NA()</f>
        <v>#N/A</v>
      </c>
      <c r="K280" s="535" t="e">
        <f>NA()</f>
        <v>#N/A</v>
      </c>
      <c r="L280" s="535" t="e">
        <f>NA()</f>
        <v>#N/A</v>
      </c>
      <c r="M280" s="535" t="e">
        <f>NA()</f>
        <v>#N/A</v>
      </c>
      <c r="N280" s="535" t="e">
        <f>NA()</f>
        <v>#N/A</v>
      </c>
      <c r="O280" s="535" t="e">
        <f>NA()</f>
        <v>#N/A</v>
      </c>
      <c r="P280" s="535" t="e">
        <f>NA()</f>
        <v>#N/A</v>
      </c>
    </row>
    <row r="281" spans="1:16" x14ac:dyDescent="0.2">
      <c r="A281" s="222">
        <f>calculs!A281</f>
        <v>44832</v>
      </c>
      <c r="B281" s="535" t="e">
        <f ca="1">gr(calculs!BL281)</f>
        <v>#NAME?</v>
      </c>
      <c r="C281" s="535" t="e">
        <f ca="1">gr(calculs!BM281)</f>
        <v>#NAME?</v>
      </c>
      <c r="D281" s="535" t="e">
        <f ca="1">gr(calculs!BN281)</f>
        <v>#NAME?</v>
      </c>
      <c r="E281" s="535" t="e">
        <f ca="1">gr(calculs!BO281)</f>
        <v>#NAME?</v>
      </c>
      <c r="F281" s="535" t="e">
        <f ca="1">gr(calculs!BP281)</f>
        <v>#NAME?</v>
      </c>
      <c r="G281" s="535" t="e">
        <f ca="1">gr(calculs!BQ281)</f>
        <v>#NAME?</v>
      </c>
      <c r="H281" s="535" t="e">
        <f ca="1">gr(calculs!BR281)</f>
        <v>#NAME?</v>
      </c>
      <c r="I281" s="535"/>
      <c r="J281" s="535" t="e">
        <f>NA()</f>
        <v>#N/A</v>
      </c>
      <c r="K281" s="535" t="e">
        <f>NA()</f>
        <v>#N/A</v>
      </c>
      <c r="L281" s="535" t="e">
        <f>NA()</f>
        <v>#N/A</v>
      </c>
      <c r="M281" s="535" t="e">
        <f>NA()</f>
        <v>#N/A</v>
      </c>
      <c r="N281" s="535" t="e">
        <f>NA()</f>
        <v>#N/A</v>
      </c>
      <c r="O281" s="535" t="e">
        <f>NA()</f>
        <v>#N/A</v>
      </c>
      <c r="P281" s="535" t="e">
        <f>NA()</f>
        <v>#N/A</v>
      </c>
    </row>
    <row r="282" spans="1:16" x14ac:dyDescent="0.2">
      <c r="A282" s="222">
        <f>calculs!A282</f>
        <v>44833</v>
      </c>
      <c r="B282" s="535" t="e">
        <f ca="1">gr(calculs!BL282)</f>
        <v>#NAME?</v>
      </c>
      <c r="C282" s="535" t="e">
        <f ca="1">gr(calculs!BM282)</f>
        <v>#NAME?</v>
      </c>
      <c r="D282" s="535" t="e">
        <f ca="1">gr(calculs!BN282)</f>
        <v>#NAME?</v>
      </c>
      <c r="E282" s="535" t="e">
        <f ca="1">gr(calculs!BO282)</f>
        <v>#NAME?</v>
      </c>
      <c r="F282" s="535" t="e">
        <f ca="1">gr(calculs!BP282)</f>
        <v>#NAME?</v>
      </c>
      <c r="G282" s="535" t="e">
        <f ca="1">gr(calculs!BQ282)</f>
        <v>#NAME?</v>
      </c>
      <c r="H282" s="535" t="e">
        <f ca="1">gr(calculs!BR282)</f>
        <v>#NAME?</v>
      </c>
      <c r="I282" s="535"/>
      <c r="J282" s="535" t="e">
        <f>NA()</f>
        <v>#N/A</v>
      </c>
      <c r="K282" s="535" t="e">
        <f>NA()</f>
        <v>#N/A</v>
      </c>
      <c r="L282" s="535" t="e">
        <f>NA()</f>
        <v>#N/A</v>
      </c>
      <c r="M282" s="535" t="e">
        <f>NA()</f>
        <v>#N/A</v>
      </c>
      <c r="N282" s="535" t="e">
        <f>NA()</f>
        <v>#N/A</v>
      </c>
      <c r="O282" s="535" t="e">
        <f>NA()</f>
        <v>#N/A</v>
      </c>
      <c r="P282" s="535" t="e">
        <f>NA()</f>
        <v>#N/A</v>
      </c>
    </row>
    <row r="283" spans="1:16" x14ac:dyDescent="0.2">
      <c r="A283" s="222">
        <f>calculs!A283</f>
        <v>44834</v>
      </c>
      <c r="B283" s="535" t="e">
        <f ca="1">gr(calculs!BL283)</f>
        <v>#NAME?</v>
      </c>
      <c r="C283" s="535" t="e">
        <f ca="1">gr(calculs!BM283)</f>
        <v>#NAME?</v>
      </c>
      <c r="D283" s="535" t="e">
        <f ca="1">gr(calculs!BN283)</f>
        <v>#NAME?</v>
      </c>
      <c r="E283" s="535" t="e">
        <f ca="1">gr(calculs!BO283)</f>
        <v>#NAME?</v>
      </c>
      <c r="F283" s="535" t="e">
        <f ca="1">gr(calculs!BP283)</f>
        <v>#NAME?</v>
      </c>
      <c r="G283" s="535" t="e">
        <f ca="1">gr(calculs!BQ283)</f>
        <v>#NAME?</v>
      </c>
      <c r="H283" s="535" t="e">
        <f ca="1">gr(calculs!BR283)</f>
        <v>#NAME?</v>
      </c>
      <c r="I283" s="535"/>
      <c r="J283" s="535" t="e">
        <f>NA()</f>
        <v>#N/A</v>
      </c>
      <c r="K283" s="535" t="e">
        <f>NA()</f>
        <v>#N/A</v>
      </c>
      <c r="L283" s="535" t="e">
        <f>NA()</f>
        <v>#N/A</v>
      </c>
      <c r="M283" s="535" t="e">
        <f>NA()</f>
        <v>#N/A</v>
      </c>
      <c r="N283" s="535" t="e">
        <f>NA()</f>
        <v>#N/A</v>
      </c>
      <c r="O283" s="535" t="e">
        <f>NA()</f>
        <v>#N/A</v>
      </c>
      <c r="P283" s="535" t="e">
        <f>NA()</f>
        <v>#N/A</v>
      </c>
    </row>
    <row r="284" spans="1:16" x14ac:dyDescent="0.2">
      <c r="A284" s="222">
        <f>calculs!A284</f>
        <v>44835</v>
      </c>
      <c r="B284" s="535" t="e">
        <f ca="1">gr(calculs!BL284)</f>
        <v>#NAME?</v>
      </c>
      <c r="C284" s="535" t="e">
        <f ca="1">gr(calculs!BM284)</f>
        <v>#NAME?</v>
      </c>
      <c r="D284" s="535" t="e">
        <f ca="1">gr(calculs!BN284)</f>
        <v>#NAME?</v>
      </c>
      <c r="E284" s="535" t="e">
        <f ca="1">gr(calculs!BO284)</f>
        <v>#NAME?</v>
      </c>
      <c r="F284" s="535" t="e">
        <f ca="1">gr(calculs!BP284)</f>
        <v>#NAME?</v>
      </c>
      <c r="G284" s="535" t="e">
        <f ca="1">gr(calculs!BQ284)</f>
        <v>#NAME?</v>
      </c>
      <c r="H284" s="535" t="e">
        <f ca="1">gr(calculs!BR284)</f>
        <v>#NAME?</v>
      </c>
      <c r="I284" s="535"/>
      <c r="J284" s="535" t="e">
        <f>NA()</f>
        <v>#N/A</v>
      </c>
      <c r="K284" s="535" t="e">
        <f>NA()</f>
        <v>#N/A</v>
      </c>
      <c r="L284" s="535" t="e">
        <f>NA()</f>
        <v>#N/A</v>
      </c>
      <c r="M284" s="535" t="e">
        <f>NA()</f>
        <v>#N/A</v>
      </c>
      <c r="N284" s="535" t="e">
        <f>NA()</f>
        <v>#N/A</v>
      </c>
      <c r="O284" s="535" t="e">
        <f>NA()</f>
        <v>#N/A</v>
      </c>
      <c r="P284" s="535" t="e">
        <f>NA()</f>
        <v>#N/A</v>
      </c>
    </row>
    <row r="285" spans="1:16" x14ac:dyDescent="0.2">
      <c r="A285" s="222">
        <f>calculs!A285</f>
        <v>44836</v>
      </c>
      <c r="B285" s="535" t="e">
        <f ca="1">gr(calculs!BL285)</f>
        <v>#NAME?</v>
      </c>
      <c r="C285" s="535" t="e">
        <f ca="1">gr(calculs!BM285)</f>
        <v>#NAME?</v>
      </c>
      <c r="D285" s="535" t="e">
        <f ca="1">gr(calculs!BN285)</f>
        <v>#NAME?</v>
      </c>
      <c r="E285" s="535" t="e">
        <f ca="1">gr(calculs!BO285)</f>
        <v>#NAME?</v>
      </c>
      <c r="F285" s="535" t="e">
        <f ca="1">gr(calculs!BP285)</f>
        <v>#NAME?</v>
      </c>
      <c r="G285" s="535" t="e">
        <f ca="1">gr(calculs!BQ285)</f>
        <v>#NAME?</v>
      </c>
      <c r="H285" s="535" t="e">
        <f ca="1">gr(calculs!BR285)</f>
        <v>#NAME?</v>
      </c>
      <c r="I285" s="535"/>
      <c r="J285" s="535" t="e">
        <f>NA()</f>
        <v>#N/A</v>
      </c>
      <c r="K285" s="535" t="e">
        <f>NA()</f>
        <v>#N/A</v>
      </c>
      <c r="L285" s="535" t="e">
        <f>NA()</f>
        <v>#N/A</v>
      </c>
      <c r="M285" s="535" t="e">
        <f>NA()</f>
        <v>#N/A</v>
      </c>
      <c r="N285" s="535" t="e">
        <f>NA()</f>
        <v>#N/A</v>
      </c>
      <c r="O285" s="535" t="e">
        <f>NA()</f>
        <v>#N/A</v>
      </c>
      <c r="P285" s="535" t="e">
        <f>NA()</f>
        <v>#N/A</v>
      </c>
    </row>
    <row r="286" spans="1:16" x14ac:dyDescent="0.2">
      <c r="A286" s="222">
        <f>calculs!A286</f>
        <v>44837</v>
      </c>
      <c r="B286" s="535" t="e">
        <f ca="1">gr(calculs!BL286)</f>
        <v>#NAME?</v>
      </c>
      <c r="C286" s="535" t="e">
        <f ca="1">gr(calculs!BM286)</f>
        <v>#NAME?</v>
      </c>
      <c r="D286" s="535" t="e">
        <f ca="1">gr(calculs!BN286)</f>
        <v>#NAME?</v>
      </c>
      <c r="E286" s="535" t="e">
        <f ca="1">gr(calculs!BO286)</f>
        <v>#NAME?</v>
      </c>
      <c r="F286" s="535" t="e">
        <f ca="1">gr(calculs!BP286)</f>
        <v>#NAME?</v>
      </c>
      <c r="G286" s="535" t="e">
        <f ca="1">gr(calculs!BQ286)</f>
        <v>#NAME?</v>
      </c>
      <c r="H286" s="535" t="e">
        <f ca="1">gr(calculs!BR286)</f>
        <v>#NAME?</v>
      </c>
      <c r="I286" s="535"/>
      <c r="J286" s="535" t="e">
        <f>NA()</f>
        <v>#N/A</v>
      </c>
      <c r="K286" s="535" t="e">
        <f>NA()</f>
        <v>#N/A</v>
      </c>
      <c r="L286" s="535" t="e">
        <f>NA()</f>
        <v>#N/A</v>
      </c>
      <c r="M286" s="535" t="e">
        <f>NA()</f>
        <v>#N/A</v>
      </c>
      <c r="N286" s="535" t="e">
        <f>NA()</f>
        <v>#N/A</v>
      </c>
      <c r="O286" s="535" t="e">
        <f>NA()</f>
        <v>#N/A</v>
      </c>
      <c r="P286" s="535" t="e">
        <f>NA()</f>
        <v>#N/A</v>
      </c>
    </row>
    <row r="287" spans="1:16" x14ac:dyDescent="0.2">
      <c r="A287" s="222">
        <f>calculs!A287</f>
        <v>44838</v>
      </c>
      <c r="B287" s="535" t="e">
        <f ca="1">gr(calculs!BL287)</f>
        <v>#NAME?</v>
      </c>
      <c r="C287" s="535" t="e">
        <f ca="1">gr(calculs!BM287)</f>
        <v>#NAME?</v>
      </c>
      <c r="D287" s="535" t="e">
        <f ca="1">gr(calculs!BN287)</f>
        <v>#NAME?</v>
      </c>
      <c r="E287" s="535" t="e">
        <f ca="1">gr(calculs!BO287)</f>
        <v>#NAME?</v>
      </c>
      <c r="F287" s="535" t="e">
        <f ca="1">gr(calculs!BP287)</f>
        <v>#NAME?</v>
      </c>
      <c r="G287" s="535" t="e">
        <f ca="1">gr(calculs!BQ287)</f>
        <v>#NAME?</v>
      </c>
      <c r="H287" s="535" t="e">
        <f ca="1">gr(calculs!BR287)</f>
        <v>#NAME?</v>
      </c>
      <c r="I287" s="535"/>
      <c r="J287" s="535" t="e">
        <f>NA()</f>
        <v>#N/A</v>
      </c>
      <c r="K287" s="535" t="e">
        <f>NA()</f>
        <v>#N/A</v>
      </c>
      <c r="L287" s="535" t="e">
        <f>NA()</f>
        <v>#N/A</v>
      </c>
      <c r="M287" s="535" t="e">
        <f>NA()</f>
        <v>#N/A</v>
      </c>
      <c r="N287" s="535" t="e">
        <f>NA()</f>
        <v>#N/A</v>
      </c>
      <c r="O287" s="535" t="e">
        <f>NA()</f>
        <v>#N/A</v>
      </c>
      <c r="P287" s="535" t="e">
        <f>NA()</f>
        <v>#N/A</v>
      </c>
    </row>
    <row r="288" spans="1:16" x14ac:dyDescent="0.2">
      <c r="A288" s="222">
        <f>calculs!A288</f>
        <v>44839</v>
      </c>
      <c r="B288" s="535" t="e">
        <f ca="1">gr(calculs!BL288)</f>
        <v>#NAME?</v>
      </c>
      <c r="C288" s="535" t="e">
        <f ca="1">gr(calculs!BM288)</f>
        <v>#NAME?</v>
      </c>
      <c r="D288" s="535" t="e">
        <f ca="1">gr(calculs!BN288)</f>
        <v>#NAME?</v>
      </c>
      <c r="E288" s="535" t="e">
        <f ca="1">gr(calculs!BO288)</f>
        <v>#NAME?</v>
      </c>
      <c r="F288" s="535" t="e">
        <f ca="1">gr(calculs!BP288)</f>
        <v>#NAME?</v>
      </c>
      <c r="G288" s="535" t="e">
        <f ca="1">gr(calculs!BQ288)</f>
        <v>#NAME?</v>
      </c>
      <c r="H288" s="535" t="e">
        <f ca="1">gr(calculs!BR288)</f>
        <v>#NAME?</v>
      </c>
      <c r="I288" s="535"/>
      <c r="J288" s="535" t="e">
        <f>NA()</f>
        <v>#N/A</v>
      </c>
      <c r="K288" s="535" t="e">
        <f>NA()</f>
        <v>#N/A</v>
      </c>
      <c r="L288" s="535" t="e">
        <f>NA()</f>
        <v>#N/A</v>
      </c>
      <c r="M288" s="535" t="e">
        <f>NA()</f>
        <v>#N/A</v>
      </c>
      <c r="N288" s="535" t="e">
        <f>NA()</f>
        <v>#N/A</v>
      </c>
      <c r="O288" s="535" t="e">
        <f>NA()</f>
        <v>#N/A</v>
      </c>
      <c r="P288" s="535" t="e">
        <f>NA()</f>
        <v>#N/A</v>
      </c>
    </row>
    <row r="289" spans="1:16" x14ac:dyDescent="0.2">
      <c r="A289" s="222">
        <f>calculs!A289</f>
        <v>44840</v>
      </c>
      <c r="B289" s="535" t="e">
        <f ca="1">gr(calculs!BL289)</f>
        <v>#NAME?</v>
      </c>
      <c r="C289" s="535" t="e">
        <f ca="1">gr(calculs!BM289)</f>
        <v>#NAME?</v>
      </c>
      <c r="D289" s="535" t="e">
        <f ca="1">gr(calculs!BN289)</f>
        <v>#NAME?</v>
      </c>
      <c r="E289" s="535" t="e">
        <f ca="1">gr(calculs!BO289)</f>
        <v>#NAME?</v>
      </c>
      <c r="F289" s="535" t="e">
        <f ca="1">gr(calculs!BP289)</f>
        <v>#NAME?</v>
      </c>
      <c r="G289" s="535" t="e">
        <f ca="1">gr(calculs!BQ289)</f>
        <v>#NAME?</v>
      </c>
      <c r="H289" s="535" t="e">
        <f ca="1">gr(calculs!BR289)</f>
        <v>#NAME?</v>
      </c>
      <c r="I289" s="535"/>
      <c r="J289" s="535" t="e">
        <f>NA()</f>
        <v>#N/A</v>
      </c>
      <c r="K289" s="535" t="e">
        <f>NA()</f>
        <v>#N/A</v>
      </c>
      <c r="L289" s="535" t="e">
        <f>NA()</f>
        <v>#N/A</v>
      </c>
      <c r="M289" s="535" t="e">
        <f>NA()</f>
        <v>#N/A</v>
      </c>
      <c r="N289" s="535" t="e">
        <f>NA()</f>
        <v>#N/A</v>
      </c>
      <c r="O289" s="535" t="e">
        <f>NA()</f>
        <v>#N/A</v>
      </c>
      <c r="P289" s="535" t="e">
        <f>NA()</f>
        <v>#N/A</v>
      </c>
    </row>
    <row r="290" spans="1:16" x14ac:dyDescent="0.2">
      <c r="A290" s="222">
        <f>calculs!A290</f>
        <v>44841</v>
      </c>
      <c r="B290" s="535" t="e">
        <f ca="1">gr(calculs!BL290)</f>
        <v>#NAME?</v>
      </c>
      <c r="C290" s="535" t="e">
        <f ca="1">gr(calculs!BM290)</f>
        <v>#NAME?</v>
      </c>
      <c r="D290" s="535" t="e">
        <f ca="1">gr(calculs!BN290)</f>
        <v>#NAME?</v>
      </c>
      <c r="E290" s="535" t="e">
        <f ca="1">gr(calculs!BO290)</f>
        <v>#NAME?</v>
      </c>
      <c r="F290" s="535" t="e">
        <f ca="1">gr(calculs!BP290)</f>
        <v>#NAME?</v>
      </c>
      <c r="G290" s="535" t="e">
        <f ca="1">gr(calculs!BQ290)</f>
        <v>#NAME?</v>
      </c>
      <c r="H290" s="535" t="e">
        <f ca="1">gr(calculs!BR290)</f>
        <v>#NAME?</v>
      </c>
      <c r="I290" s="535"/>
      <c r="J290" s="535" t="e">
        <f>NA()</f>
        <v>#N/A</v>
      </c>
      <c r="K290" s="535" t="e">
        <f>NA()</f>
        <v>#N/A</v>
      </c>
      <c r="L290" s="535" t="e">
        <f>NA()</f>
        <v>#N/A</v>
      </c>
      <c r="M290" s="535" t="e">
        <f>NA()</f>
        <v>#N/A</v>
      </c>
      <c r="N290" s="535" t="e">
        <f>NA()</f>
        <v>#N/A</v>
      </c>
      <c r="O290" s="535" t="e">
        <f>NA()</f>
        <v>#N/A</v>
      </c>
      <c r="P290" s="535" t="e">
        <f>NA()</f>
        <v>#N/A</v>
      </c>
    </row>
    <row r="291" spans="1:16" x14ac:dyDescent="0.2">
      <c r="A291" s="222">
        <f>calculs!A291</f>
        <v>44842</v>
      </c>
      <c r="B291" s="535" t="e">
        <f ca="1">gr(calculs!BL291)</f>
        <v>#NAME?</v>
      </c>
      <c r="C291" s="535" t="e">
        <f ca="1">gr(calculs!BM291)</f>
        <v>#NAME?</v>
      </c>
      <c r="D291" s="535" t="e">
        <f ca="1">gr(calculs!BN291)</f>
        <v>#NAME?</v>
      </c>
      <c r="E291" s="535" t="e">
        <f ca="1">gr(calculs!BO291)</f>
        <v>#NAME?</v>
      </c>
      <c r="F291" s="535" t="e">
        <f ca="1">gr(calculs!BP291)</f>
        <v>#NAME?</v>
      </c>
      <c r="G291" s="535" t="e">
        <f ca="1">gr(calculs!BQ291)</f>
        <v>#NAME?</v>
      </c>
      <c r="H291" s="535" t="e">
        <f ca="1">gr(calculs!BR291)</f>
        <v>#NAME?</v>
      </c>
      <c r="I291" s="535"/>
      <c r="J291" s="535" t="e">
        <f>NA()</f>
        <v>#N/A</v>
      </c>
      <c r="K291" s="535" t="e">
        <f>NA()</f>
        <v>#N/A</v>
      </c>
      <c r="L291" s="535" t="e">
        <f>NA()</f>
        <v>#N/A</v>
      </c>
      <c r="M291" s="535" t="e">
        <f>NA()</f>
        <v>#N/A</v>
      </c>
      <c r="N291" s="535" t="e">
        <f>NA()</f>
        <v>#N/A</v>
      </c>
      <c r="O291" s="535" t="e">
        <f>NA()</f>
        <v>#N/A</v>
      </c>
      <c r="P291" s="535" t="e">
        <f>NA()</f>
        <v>#N/A</v>
      </c>
    </row>
    <row r="292" spans="1:16" x14ac:dyDescent="0.2">
      <c r="A292" s="222">
        <f>calculs!A292</f>
        <v>44843</v>
      </c>
      <c r="B292" s="535" t="e">
        <f ca="1">gr(calculs!BL292)</f>
        <v>#NAME?</v>
      </c>
      <c r="C292" s="535" t="e">
        <f ca="1">gr(calculs!BM292)</f>
        <v>#NAME?</v>
      </c>
      <c r="D292" s="535" t="e">
        <f ca="1">gr(calculs!BN292)</f>
        <v>#NAME?</v>
      </c>
      <c r="E292" s="535" t="e">
        <f ca="1">gr(calculs!BO292)</f>
        <v>#NAME?</v>
      </c>
      <c r="F292" s="535" t="e">
        <f ca="1">gr(calculs!BP292)</f>
        <v>#NAME?</v>
      </c>
      <c r="G292" s="535" t="e">
        <f ca="1">gr(calculs!BQ292)</f>
        <v>#NAME?</v>
      </c>
      <c r="H292" s="535" t="e">
        <f ca="1">gr(calculs!BR292)</f>
        <v>#NAME?</v>
      </c>
      <c r="I292" s="535"/>
      <c r="J292" s="535" t="e">
        <f>NA()</f>
        <v>#N/A</v>
      </c>
      <c r="K292" s="535" t="e">
        <f>NA()</f>
        <v>#N/A</v>
      </c>
      <c r="L292" s="535" t="e">
        <f>NA()</f>
        <v>#N/A</v>
      </c>
      <c r="M292" s="535" t="e">
        <f>NA()</f>
        <v>#N/A</v>
      </c>
      <c r="N292" s="535" t="e">
        <f>NA()</f>
        <v>#N/A</v>
      </c>
      <c r="O292" s="535" t="e">
        <f>NA()</f>
        <v>#N/A</v>
      </c>
      <c r="P292" s="535" t="e">
        <f>NA()</f>
        <v>#N/A</v>
      </c>
    </row>
    <row r="293" spans="1:16" x14ac:dyDescent="0.2">
      <c r="A293" s="222">
        <f>calculs!A293</f>
        <v>44844</v>
      </c>
      <c r="B293" s="535" t="e">
        <f ca="1">gr(calculs!BL293)</f>
        <v>#NAME?</v>
      </c>
      <c r="C293" s="535" t="e">
        <f ca="1">gr(calculs!BM293)</f>
        <v>#NAME?</v>
      </c>
      <c r="D293" s="535" t="e">
        <f ca="1">gr(calculs!BN293)</f>
        <v>#NAME?</v>
      </c>
      <c r="E293" s="535" t="e">
        <f ca="1">gr(calculs!BO293)</f>
        <v>#NAME?</v>
      </c>
      <c r="F293" s="535" t="e">
        <f ca="1">gr(calculs!BP293)</f>
        <v>#NAME?</v>
      </c>
      <c r="G293" s="535" t="e">
        <f ca="1">gr(calculs!BQ293)</f>
        <v>#NAME?</v>
      </c>
      <c r="H293" s="535" t="e">
        <f ca="1">gr(calculs!BR293)</f>
        <v>#NAME?</v>
      </c>
      <c r="I293" s="535"/>
      <c r="J293" s="535" t="e">
        <f>NA()</f>
        <v>#N/A</v>
      </c>
      <c r="K293" s="535" t="e">
        <f>NA()</f>
        <v>#N/A</v>
      </c>
      <c r="L293" s="535" t="e">
        <f>NA()</f>
        <v>#N/A</v>
      </c>
      <c r="M293" s="535" t="e">
        <f>NA()</f>
        <v>#N/A</v>
      </c>
      <c r="N293" s="535" t="e">
        <f>NA()</f>
        <v>#N/A</v>
      </c>
      <c r="O293" s="535" t="e">
        <f>NA()</f>
        <v>#N/A</v>
      </c>
      <c r="P293" s="535" t="e">
        <f>NA()</f>
        <v>#N/A</v>
      </c>
    </row>
    <row r="294" spans="1:16" x14ac:dyDescent="0.2">
      <c r="A294" s="222">
        <f>calculs!A294</f>
        <v>44845</v>
      </c>
      <c r="B294" s="535" t="e">
        <f ca="1">gr(calculs!BL294)</f>
        <v>#NAME?</v>
      </c>
      <c r="C294" s="535" t="e">
        <f ca="1">gr(calculs!BM294)</f>
        <v>#NAME?</v>
      </c>
      <c r="D294" s="535" t="e">
        <f ca="1">gr(calculs!BN294)</f>
        <v>#NAME?</v>
      </c>
      <c r="E294" s="535" t="e">
        <f ca="1">gr(calculs!BO294)</f>
        <v>#NAME?</v>
      </c>
      <c r="F294" s="535" t="e">
        <f ca="1">gr(calculs!BP294)</f>
        <v>#NAME?</v>
      </c>
      <c r="G294" s="535" t="e">
        <f ca="1">gr(calculs!BQ294)</f>
        <v>#NAME?</v>
      </c>
      <c r="H294" s="535" t="e">
        <f ca="1">gr(calculs!BR294)</f>
        <v>#NAME?</v>
      </c>
      <c r="I294" s="535"/>
      <c r="J294" s="535" t="e">
        <f>NA()</f>
        <v>#N/A</v>
      </c>
      <c r="K294" s="535" t="e">
        <f>NA()</f>
        <v>#N/A</v>
      </c>
      <c r="L294" s="535" t="e">
        <f>NA()</f>
        <v>#N/A</v>
      </c>
      <c r="M294" s="535" t="e">
        <f>NA()</f>
        <v>#N/A</v>
      </c>
      <c r="N294" s="535" t="e">
        <f>NA()</f>
        <v>#N/A</v>
      </c>
      <c r="O294" s="535" t="e">
        <f>NA()</f>
        <v>#N/A</v>
      </c>
      <c r="P294" s="535" t="e">
        <f>NA()</f>
        <v>#N/A</v>
      </c>
    </row>
    <row r="295" spans="1:16" x14ac:dyDescent="0.2">
      <c r="A295" s="222">
        <f>calculs!A295</f>
        <v>44846</v>
      </c>
      <c r="B295" s="535" t="e">
        <f ca="1">gr(calculs!BL295)</f>
        <v>#NAME?</v>
      </c>
      <c r="C295" s="535" t="e">
        <f ca="1">gr(calculs!BM295)</f>
        <v>#NAME?</v>
      </c>
      <c r="D295" s="535" t="e">
        <f ca="1">gr(calculs!BN295)</f>
        <v>#NAME?</v>
      </c>
      <c r="E295" s="535" t="e">
        <f ca="1">gr(calculs!BO295)</f>
        <v>#NAME?</v>
      </c>
      <c r="F295" s="535" t="e">
        <f ca="1">gr(calculs!BP295)</f>
        <v>#NAME?</v>
      </c>
      <c r="G295" s="535" t="e">
        <f ca="1">gr(calculs!BQ295)</f>
        <v>#NAME?</v>
      </c>
      <c r="H295" s="535" t="e">
        <f ca="1">gr(calculs!BR295)</f>
        <v>#NAME?</v>
      </c>
      <c r="I295" s="535"/>
      <c r="J295" s="535" t="e">
        <f>NA()</f>
        <v>#N/A</v>
      </c>
      <c r="K295" s="535" t="e">
        <f>NA()</f>
        <v>#N/A</v>
      </c>
      <c r="L295" s="535" t="e">
        <f>NA()</f>
        <v>#N/A</v>
      </c>
      <c r="M295" s="535" t="e">
        <f>NA()</f>
        <v>#N/A</v>
      </c>
      <c r="N295" s="535" t="e">
        <f>NA()</f>
        <v>#N/A</v>
      </c>
      <c r="O295" s="535" t="e">
        <f>NA()</f>
        <v>#N/A</v>
      </c>
      <c r="P295" s="535" t="e">
        <f>NA()</f>
        <v>#N/A</v>
      </c>
    </row>
    <row r="296" spans="1:16" x14ac:dyDescent="0.2">
      <c r="A296" s="222">
        <f>calculs!A296</f>
        <v>44847</v>
      </c>
      <c r="B296" s="535" t="e">
        <f ca="1">gr(calculs!BL296)</f>
        <v>#NAME?</v>
      </c>
      <c r="C296" s="535" t="e">
        <f ca="1">gr(calculs!BM296)</f>
        <v>#NAME?</v>
      </c>
      <c r="D296" s="535" t="e">
        <f ca="1">gr(calculs!BN296)</f>
        <v>#NAME?</v>
      </c>
      <c r="E296" s="535" t="e">
        <f ca="1">gr(calculs!BO296)</f>
        <v>#NAME?</v>
      </c>
      <c r="F296" s="535" t="e">
        <f ca="1">gr(calculs!BP296)</f>
        <v>#NAME?</v>
      </c>
      <c r="G296" s="535" t="e">
        <f ca="1">gr(calculs!BQ296)</f>
        <v>#NAME?</v>
      </c>
      <c r="H296" s="535" t="e">
        <f ca="1">gr(calculs!BR296)</f>
        <v>#NAME?</v>
      </c>
      <c r="I296" s="535"/>
      <c r="J296" s="535" t="e">
        <f>NA()</f>
        <v>#N/A</v>
      </c>
      <c r="K296" s="535" t="e">
        <f>NA()</f>
        <v>#N/A</v>
      </c>
      <c r="L296" s="535" t="e">
        <f>NA()</f>
        <v>#N/A</v>
      </c>
      <c r="M296" s="535" t="e">
        <f>NA()</f>
        <v>#N/A</v>
      </c>
      <c r="N296" s="535" t="e">
        <f>NA()</f>
        <v>#N/A</v>
      </c>
      <c r="O296" s="535" t="e">
        <f>NA()</f>
        <v>#N/A</v>
      </c>
      <c r="P296" s="535" t="e">
        <f>NA()</f>
        <v>#N/A</v>
      </c>
    </row>
    <row r="297" spans="1:16" x14ac:dyDescent="0.2">
      <c r="A297" s="222">
        <f>calculs!A297</f>
        <v>44848</v>
      </c>
      <c r="B297" s="535" t="e">
        <f ca="1">gr(calculs!BL297)</f>
        <v>#NAME?</v>
      </c>
      <c r="C297" s="535" t="e">
        <f ca="1">gr(calculs!BM297)</f>
        <v>#NAME?</v>
      </c>
      <c r="D297" s="535" t="e">
        <f ca="1">gr(calculs!BN297)</f>
        <v>#NAME?</v>
      </c>
      <c r="E297" s="535" t="e">
        <f ca="1">gr(calculs!BO297)</f>
        <v>#NAME?</v>
      </c>
      <c r="F297" s="535" t="e">
        <f ca="1">gr(calculs!BP297)</f>
        <v>#NAME?</v>
      </c>
      <c r="G297" s="535" t="e">
        <f ca="1">gr(calculs!BQ297)</f>
        <v>#NAME?</v>
      </c>
      <c r="H297" s="535" t="e">
        <f ca="1">gr(calculs!BR297)</f>
        <v>#NAME?</v>
      </c>
      <c r="I297" s="535"/>
      <c r="J297" s="535" t="e">
        <f>NA()</f>
        <v>#N/A</v>
      </c>
      <c r="K297" s="535" t="e">
        <f>NA()</f>
        <v>#N/A</v>
      </c>
      <c r="L297" s="535" t="e">
        <f>NA()</f>
        <v>#N/A</v>
      </c>
      <c r="M297" s="535" t="e">
        <f>NA()</f>
        <v>#N/A</v>
      </c>
      <c r="N297" s="535" t="e">
        <f>NA()</f>
        <v>#N/A</v>
      </c>
      <c r="O297" s="535" t="e">
        <f>NA()</f>
        <v>#N/A</v>
      </c>
      <c r="P297" s="535" t="e">
        <f>NA()</f>
        <v>#N/A</v>
      </c>
    </row>
    <row r="298" spans="1:16" x14ac:dyDescent="0.2">
      <c r="A298" s="222">
        <f>calculs!A298</f>
        <v>44849</v>
      </c>
      <c r="B298" s="535" t="e">
        <f ca="1">gr(calculs!BL298)</f>
        <v>#NAME?</v>
      </c>
      <c r="C298" s="535" t="e">
        <f ca="1">gr(calculs!BM298)</f>
        <v>#NAME?</v>
      </c>
      <c r="D298" s="535" t="e">
        <f ca="1">gr(calculs!BN298)</f>
        <v>#NAME?</v>
      </c>
      <c r="E298" s="535" t="e">
        <f ca="1">gr(calculs!BO298)</f>
        <v>#NAME?</v>
      </c>
      <c r="F298" s="535" t="e">
        <f ca="1">gr(calculs!BP298)</f>
        <v>#NAME?</v>
      </c>
      <c r="G298" s="535" t="e">
        <f ca="1">gr(calculs!BQ298)</f>
        <v>#NAME?</v>
      </c>
      <c r="H298" s="535" t="e">
        <f ca="1">gr(calculs!BR298)</f>
        <v>#NAME?</v>
      </c>
      <c r="I298" s="535"/>
      <c r="J298" s="535" t="e">
        <f>NA()</f>
        <v>#N/A</v>
      </c>
      <c r="K298" s="535" t="e">
        <f>NA()</f>
        <v>#N/A</v>
      </c>
      <c r="L298" s="535" t="e">
        <f>NA()</f>
        <v>#N/A</v>
      </c>
      <c r="M298" s="535" t="e">
        <f>NA()</f>
        <v>#N/A</v>
      </c>
      <c r="N298" s="535" t="e">
        <f>NA()</f>
        <v>#N/A</v>
      </c>
      <c r="O298" s="535" t="e">
        <f>NA()</f>
        <v>#N/A</v>
      </c>
      <c r="P298" s="535" t="e">
        <f>NA()</f>
        <v>#N/A</v>
      </c>
    </row>
    <row r="299" spans="1:16" x14ac:dyDescent="0.2">
      <c r="A299" s="222">
        <f>calculs!A299</f>
        <v>44850</v>
      </c>
      <c r="B299" s="535" t="e">
        <f ca="1">gr(calculs!BL299)</f>
        <v>#NAME?</v>
      </c>
      <c r="C299" s="535" t="e">
        <f ca="1">gr(calculs!BM299)</f>
        <v>#NAME?</v>
      </c>
      <c r="D299" s="535" t="e">
        <f ca="1">gr(calculs!BN299)</f>
        <v>#NAME?</v>
      </c>
      <c r="E299" s="535" t="e">
        <f ca="1">gr(calculs!BO299)</f>
        <v>#NAME?</v>
      </c>
      <c r="F299" s="535" t="e">
        <f ca="1">gr(calculs!BP299)</f>
        <v>#NAME?</v>
      </c>
      <c r="G299" s="535" t="e">
        <f ca="1">gr(calculs!BQ299)</f>
        <v>#NAME?</v>
      </c>
      <c r="H299" s="535" t="e">
        <f ca="1">gr(calculs!BR299)</f>
        <v>#NAME?</v>
      </c>
      <c r="I299" s="535"/>
      <c r="J299" s="535" t="e">
        <f>NA()</f>
        <v>#N/A</v>
      </c>
      <c r="K299" s="535" t="e">
        <f>NA()</f>
        <v>#N/A</v>
      </c>
      <c r="L299" s="535" t="e">
        <f>NA()</f>
        <v>#N/A</v>
      </c>
      <c r="M299" s="535" t="e">
        <f>NA()</f>
        <v>#N/A</v>
      </c>
      <c r="N299" s="535" t="e">
        <f>NA()</f>
        <v>#N/A</v>
      </c>
      <c r="O299" s="535" t="e">
        <f>NA()</f>
        <v>#N/A</v>
      </c>
      <c r="P299" s="535" t="e">
        <f>NA()</f>
        <v>#N/A</v>
      </c>
    </row>
    <row r="300" spans="1:16" x14ac:dyDescent="0.2">
      <c r="A300" s="222">
        <f>calculs!A300</f>
        <v>44851</v>
      </c>
      <c r="B300" s="535" t="e">
        <f ca="1">gr(calculs!BL300)</f>
        <v>#NAME?</v>
      </c>
      <c r="C300" s="535" t="e">
        <f ca="1">gr(calculs!BM300)</f>
        <v>#NAME?</v>
      </c>
      <c r="D300" s="535" t="e">
        <f ca="1">gr(calculs!BN300)</f>
        <v>#NAME?</v>
      </c>
      <c r="E300" s="535" t="e">
        <f ca="1">gr(calculs!BO300)</f>
        <v>#NAME?</v>
      </c>
      <c r="F300" s="535" t="e">
        <f ca="1">gr(calculs!BP300)</f>
        <v>#NAME?</v>
      </c>
      <c r="G300" s="535" t="e">
        <f ca="1">gr(calculs!BQ300)</f>
        <v>#NAME?</v>
      </c>
      <c r="H300" s="535" t="e">
        <f ca="1">gr(calculs!BR300)</f>
        <v>#NAME?</v>
      </c>
      <c r="I300" s="535"/>
      <c r="J300" s="535" t="e">
        <f>NA()</f>
        <v>#N/A</v>
      </c>
      <c r="K300" s="535" t="e">
        <f>NA()</f>
        <v>#N/A</v>
      </c>
      <c r="L300" s="535" t="e">
        <f>NA()</f>
        <v>#N/A</v>
      </c>
      <c r="M300" s="535" t="e">
        <f>NA()</f>
        <v>#N/A</v>
      </c>
      <c r="N300" s="535" t="e">
        <f>NA()</f>
        <v>#N/A</v>
      </c>
      <c r="O300" s="535" t="e">
        <f>NA()</f>
        <v>#N/A</v>
      </c>
      <c r="P300" s="535" t="e">
        <f>NA()</f>
        <v>#N/A</v>
      </c>
    </row>
    <row r="301" spans="1:16" x14ac:dyDescent="0.2">
      <c r="A301" s="222">
        <f>calculs!A301</f>
        <v>44852</v>
      </c>
      <c r="B301" s="535" t="e">
        <f ca="1">gr(calculs!BL301)</f>
        <v>#NAME?</v>
      </c>
      <c r="C301" s="535" t="e">
        <f ca="1">gr(calculs!BM301)</f>
        <v>#NAME?</v>
      </c>
      <c r="D301" s="535" t="e">
        <f ca="1">gr(calculs!BN301)</f>
        <v>#NAME?</v>
      </c>
      <c r="E301" s="535" t="e">
        <f ca="1">gr(calculs!BO301)</f>
        <v>#NAME?</v>
      </c>
      <c r="F301" s="535" t="e">
        <f ca="1">gr(calculs!BP301)</f>
        <v>#NAME?</v>
      </c>
      <c r="G301" s="535" t="e">
        <f ca="1">gr(calculs!BQ301)</f>
        <v>#NAME?</v>
      </c>
      <c r="H301" s="535" t="e">
        <f ca="1">gr(calculs!BR301)</f>
        <v>#NAME?</v>
      </c>
      <c r="I301" s="535"/>
      <c r="J301" s="535" t="e">
        <f>NA()</f>
        <v>#N/A</v>
      </c>
      <c r="K301" s="535" t="e">
        <f>NA()</f>
        <v>#N/A</v>
      </c>
      <c r="L301" s="535" t="e">
        <f>NA()</f>
        <v>#N/A</v>
      </c>
      <c r="M301" s="535" t="e">
        <f>NA()</f>
        <v>#N/A</v>
      </c>
      <c r="N301" s="535" t="e">
        <f>NA()</f>
        <v>#N/A</v>
      </c>
      <c r="O301" s="535" t="e">
        <f>NA()</f>
        <v>#N/A</v>
      </c>
      <c r="P301" s="535" t="e">
        <f>NA()</f>
        <v>#N/A</v>
      </c>
    </row>
    <row r="302" spans="1:16" x14ac:dyDescent="0.2">
      <c r="A302" s="222">
        <f>calculs!A302</f>
        <v>44853</v>
      </c>
      <c r="B302" s="535" t="e">
        <f ca="1">gr(calculs!BL302)</f>
        <v>#NAME?</v>
      </c>
      <c r="C302" s="535" t="e">
        <f ca="1">gr(calculs!BM302)</f>
        <v>#NAME?</v>
      </c>
      <c r="D302" s="535" t="e">
        <f ca="1">gr(calculs!BN302)</f>
        <v>#NAME?</v>
      </c>
      <c r="E302" s="535" t="e">
        <f ca="1">gr(calculs!BO302)</f>
        <v>#NAME?</v>
      </c>
      <c r="F302" s="535" t="e">
        <f ca="1">gr(calculs!BP302)</f>
        <v>#NAME?</v>
      </c>
      <c r="G302" s="535" t="e">
        <f ca="1">gr(calculs!BQ302)</f>
        <v>#NAME?</v>
      </c>
      <c r="H302" s="535" t="e">
        <f ca="1">gr(calculs!BR302)</f>
        <v>#NAME?</v>
      </c>
      <c r="I302" s="535"/>
      <c r="J302" s="535" t="e">
        <f>NA()</f>
        <v>#N/A</v>
      </c>
      <c r="K302" s="535" t="e">
        <f>NA()</f>
        <v>#N/A</v>
      </c>
      <c r="L302" s="535" t="e">
        <f>NA()</f>
        <v>#N/A</v>
      </c>
      <c r="M302" s="535" t="e">
        <f>NA()</f>
        <v>#N/A</v>
      </c>
      <c r="N302" s="535" t="e">
        <f>NA()</f>
        <v>#N/A</v>
      </c>
      <c r="O302" s="535" t="e">
        <f>NA()</f>
        <v>#N/A</v>
      </c>
      <c r="P302" s="535" t="e">
        <f>NA()</f>
        <v>#N/A</v>
      </c>
    </row>
    <row r="303" spans="1:16" x14ac:dyDescent="0.2">
      <c r="A303" s="222">
        <f>calculs!A303</f>
        <v>44854</v>
      </c>
      <c r="B303" s="535" t="e">
        <f ca="1">gr(calculs!BL303)</f>
        <v>#NAME?</v>
      </c>
      <c r="C303" s="535" t="e">
        <f ca="1">gr(calculs!BM303)</f>
        <v>#NAME?</v>
      </c>
      <c r="D303" s="535" t="e">
        <f ca="1">gr(calculs!BN303)</f>
        <v>#NAME?</v>
      </c>
      <c r="E303" s="535" t="e">
        <f ca="1">gr(calculs!BO303)</f>
        <v>#NAME?</v>
      </c>
      <c r="F303" s="535" t="e">
        <f ca="1">gr(calculs!BP303)</f>
        <v>#NAME?</v>
      </c>
      <c r="G303" s="535" t="e">
        <f ca="1">gr(calculs!BQ303)</f>
        <v>#NAME?</v>
      </c>
      <c r="H303" s="535" t="e">
        <f ca="1">gr(calculs!BR303)</f>
        <v>#NAME?</v>
      </c>
      <c r="I303" s="535"/>
      <c r="J303" s="535" t="e">
        <f>NA()</f>
        <v>#N/A</v>
      </c>
      <c r="K303" s="535" t="e">
        <f>NA()</f>
        <v>#N/A</v>
      </c>
      <c r="L303" s="535" t="e">
        <f>NA()</f>
        <v>#N/A</v>
      </c>
      <c r="M303" s="535" t="e">
        <f>NA()</f>
        <v>#N/A</v>
      </c>
      <c r="N303" s="535" t="e">
        <f>NA()</f>
        <v>#N/A</v>
      </c>
      <c r="O303" s="535" t="e">
        <f>NA()</f>
        <v>#N/A</v>
      </c>
      <c r="P303" s="535" t="e">
        <f>NA()</f>
        <v>#N/A</v>
      </c>
    </row>
    <row r="304" spans="1:16" x14ac:dyDescent="0.2">
      <c r="A304" s="222">
        <f>calculs!A304</f>
        <v>44855</v>
      </c>
      <c r="B304" s="535" t="e">
        <f ca="1">gr(calculs!BL304)</f>
        <v>#NAME?</v>
      </c>
      <c r="C304" s="535" t="e">
        <f ca="1">gr(calculs!BM304)</f>
        <v>#NAME?</v>
      </c>
      <c r="D304" s="535" t="e">
        <f ca="1">gr(calculs!BN304)</f>
        <v>#NAME?</v>
      </c>
      <c r="E304" s="535" t="e">
        <f ca="1">gr(calculs!BO304)</f>
        <v>#NAME?</v>
      </c>
      <c r="F304" s="535" t="e">
        <f ca="1">gr(calculs!BP304)</f>
        <v>#NAME?</v>
      </c>
      <c r="G304" s="535" t="e">
        <f ca="1">gr(calculs!BQ304)</f>
        <v>#NAME?</v>
      </c>
      <c r="H304" s="535" t="e">
        <f ca="1">gr(calculs!BR304)</f>
        <v>#NAME?</v>
      </c>
      <c r="I304" s="535"/>
      <c r="J304" s="535" t="e">
        <f>NA()</f>
        <v>#N/A</v>
      </c>
      <c r="K304" s="535" t="e">
        <f>NA()</f>
        <v>#N/A</v>
      </c>
      <c r="L304" s="535" t="e">
        <f>NA()</f>
        <v>#N/A</v>
      </c>
      <c r="M304" s="535" t="e">
        <f>NA()</f>
        <v>#N/A</v>
      </c>
      <c r="N304" s="535" t="e">
        <f>NA()</f>
        <v>#N/A</v>
      </c>
      <c r="O304" s="535" t="e">
        <f>NA()</f>
        <v>#N/A</v>
      </c>
      <c r="P304" s="535" t="e">
        <f>NA()</f>
        <v>#N/A</v>
      </c>
    </row>
    <row r="305" spans="1:16" x14ac:dyDescent="0.2">
      <c r="A305" s="222">
        <f>calculs!A305</f>
        <v>44856</v>
      </c>
      <c r="B305" s="535" t="e">
        <f ca="1">gr(calculs!BL305)</f>
        <v>#NAME?</v>
      </c>
      <c r="C305" s="535" t="e">
        <f ca="1">gr(calculs!BM305)</f>
        <v>#NAME?</v>
      </c>
      <c r="D305" s="535" t="e">
        <f ca="1">gr(calculs!BN305)</f>
        <v>#NAME?</v>
      </c>
      <c r="E305" s="535" t="e">
        <f ca="1">gr(calculs!BO305)</f>
        <v>#NAME?</v>
      </c>
      <c r="F305" s="535" t="e">
        <f ca="1">gr(calculs!BP305)</f>
        <v>#NAME?</v>
      </c>
      <c r="G305" s="535" t="e">
        <f ca="1">gr(calculs!BQ305)</f>
        <v>#NAME?</v>
      </c>
      <c r="H305" s="535" t="e">
        <f ca="1">gr(calculs!BR305)</f>
        <v>#NAME?</v>
      </c>
      <c r="I305" s="535"/>
      <c r="J305" s="535" t="e">
        <f>NA()</f>
        <v>#N/A</v>
      </c>
      <c r="K305" s="535" t="e">
        <f>NA()</f>
        <v>#N/A</v>
      </c>
      <c r="L305" s="535" t="e">
        <f>NA()</f>
        <v>#N/A</v>
      </c>
      <c r="M305" s="535" t="e">
        <f>NA()</f>
        <v>#N/A</v>
      </c>
      <c r="N305" s="535" t="e">
        <f>NA()</f>
        <v>#N/A</v>
      </c>
      <c r="O305" s="535" t="e">
        <f>NA()</f>
        <v>#N/A</v>
      </c>
      <c r="P305" s="535" t="e">
        <f>NA()</f>
        <v>#N/A</v>
      </c>
    </row>
    <row r="306" spans="1:16" x14ac:dyDescent="0.2">
      <c r="A306" s="222">
        <f>calculs!A306</f>
        <v>44857</v>
      </c>
      <c r="B306" s="535" t="e">
        <f ca="1">gr(calculs!BL306)</f>
        <v>#NAME?</v>
      </c>
      <c r="C306" s="535" t="e">
        <f ca="1">gr(calculs!BM306)</f>
        <v>#NAME?</v>
      </c>
      <c r="D306" s="535" t="e">
        <f ca="1">gr(calculs!BN306)</f>
        <v>#NAME?</v>
      </c>
      <c r="E306" s="535" t="e">
        <f ca="1">gr(calculs!BO306)</f>
        <v>#NAME?</v>
      </c>
      <c r="F306" s="535" t="e">
        <f ca="1">gr(calculs!BP306)</f>
        <v>#NAME?</v>
      </c>
      <c r="G306" s="535" t="e">
        <f ca="1">gr(calculs!BQ306)</f>
        <v>#NAME?</v>
      </c>
      <c r="H306" s="535" t="e">
        <f ca="1">gr(calculs!BR306)</f>
        <v>#NAME?</v>
      </c>
      <c r="I306" s="535"/>
      <c r="J306" s="535" t="e">
        <f>NA()</f>
        <v>#N/A</v>
      </c>
      <c r="K306" s="535" t="e">
        <f>NA()</f>
        <v>#N/A</v>
      </c>
      <c r="L306" s="535" t="e">
        <f>NA()</f>
        <v>#N/A</v>
      </c>
      <c r="M306" s="535" t="e">
        <f>NA()</f>
        <v>#N/A</v>
      </c>
      <c r="N306" s="535" t="e">
        <f>NA()</f>
        <v>#N/A</v>
      </c>
      <c r="O306" s="535" t="e">
        <f>NA()</f>
        <v>#N/A</v>
      </c>
      <c r="P306" s="535" t="e">
        <f>NA()</f>
        <v>#N/A</v>
      </c>
    </row>
    <row r="307" spans="1:16" x14ac:dyDescent="0.2">
      <c r="A307" s="222">
        <f>calculs!A307</f>
        <v>44858</v>
      </c>
      <c r="B307" s="535" t="e">
        <f ca="1">gr(calculs!BL307)</f>
        <v>#NAME?</v>
      </c>
      <c r="C307" s="535" t="e">
        <f ca="1">gr(calculs!BM307)</f>
        <v>#NAME?</v>
      </c>
      <c r="D307" s="535" t="e">
        <f ca="1">gr(calculs!BN307)</f>
        <v>#NAME?</v>
      </c>
      <c r="E307" s="535" t="e">
        <f ca="1">gr(calculs!BO307)</f>
        <v>#NAME?</v>
      </c>
      <c r="F307" s="535" t="e">
        <f ca="1">gr(calculs!BP307)</f>
        <v>#NAME?</v>
      </c>
      <c r="G307" s="535" t="e">
        <f ca="1">gr(calculs!BQ307)</f>
        <v>#NAME?</v>
      </c>
      <c r="H307" s="535" t="e">
        <f ca="1">gr(calculs!BR307)</f>
        <v>#NAME?</v>
      </c>
      <c r="I307" s="535"/>
      <c r="J307" s="535" t="e">
        <f>NA()</f>
        <v>#N/A</v>
      </c>
      <c r="K307" s="535" t="e">
        <f>NA()</f>
        <v>#N/A</v>
      </c>
      <c r="L307" s="535" t="e">
        <f>NA()</f>
        <v>#N/A</v>
      </c>
      <c r="M307" s="535" t="e">
        <f>NA()</f>
        <v>#N/A</v>
      </c>
      <c r="N307" s="535" t="e">
        <f>NA()</f>
        <v>#N/A</v>
      </c>
      <c r="O307" s="535" t="e">
        <f>NA()</f>
        <v>#N/A</v>
      </c>
      <c r="P307" s="535" t="e">
        <f>NA()</f>
        <v>#N/A</v>
      </c>
    </row>
    <row r="308" spans="1:16" x14ac:dyDescent="0.2">
      <c r="A308" s="222">
        <f>calculs!A308</f>
        <v>44859</v>
      </c>
      <c r="B308" s="535" t="e">
        <f ca="1">gr(calculs!BL308)</f>
        <v>#NAME?</v>
      </c>
      <c r="C308" s="535" t="e">
        <f ca="1">gr(calculs!BM308)</f>
        <v>#NAME?</v>
      </c>
      <c r="D308" s="535" t="e">
        <f ca="1">gr(calculs!BN308)</f>
        <v>#NAME?</v>
      </c>
      <c r="E308" s="535" t="e">
        <f ca="1">gr(calculs!BO308)</f>
        <v>#NAME?</v>
      </c>
      <c r="F308" s="535" t="e">
        <f ca="1">gr(calculs!BP308)</f>
        <v>#NAME?</v>
      </c>
      <c r="G308" s="535" t="e">
        <f ca="1">gr(calculs!BQ308)</f>
        <v>#NAME?</v>
      </c>
      <c r="H308" s="535" t="e">
        <f ca="1">gr(calculs!BR308)</f>
        <v>#NAME?</v>
      </c>
      <c r="I308" s="535"/>
      <c r="J308" s="535" t="e">
        <f>NA()</f>
        <v>#N/A</v>
      </c>
      <c r="K308" s="535" t="e">
        <f>NA()</f>
        <v>#N/A</v>
      </c>
      <c r="L308" s="535" t="e">
        <f>NA()</f>
        <v>#N/A</v>
      </c>
      <c r="M308" s="535" t="e">
        <f>NA()</f>
        <v>#N/A</v>
      </c>
      <c r="N308" s="535" t="e">
        <f>NA()</f>
        <v>#N/A</v>
      </c>
      <c r="O308" s="535" t="e">
        <f>NA()</f>
        <v>#N/A</v>
      </c>
      <c r="P308" s="535" t="e">
        <f>NA()</f>
        <v>#N/A</v>
      </c>
    </row>
    <row r="309" spans="1:16" x14ac:dyDescent="0.2">
      <c r="A309" s="222">
        <f>calculs!A309</f>
        <v>44860</v>
      </c>
      <c r="B309" s="535" t="e">
        <f ca="1">gr(calculs!BL309)</f>
        <v>#NAME?</v>
      </c>
      <c r="C309" s="535" t="e">
        <f ca="1">gr(calculs!BM309)</f>
        <v>#NAME?</v>
      </c>
      <c r="D309" s="535" t="e">
        <f ca="1">gr(calculs!BN309)</f>
        <v>#NAME?</v>
      </c>
      <c r="E309" s="535" t="e">
        <f ca="1">gr(calculs!BO309)</f>
        <v>#NAME?</v>
      </c>
      <c r="F309" s="535" t="e">
        <f ca="1">gr(calculs!BP309)</f>
        <v>#NAME?</v>
      </c>
      <c r="G309" s="535" t="e">
        <f ca="1">gr(calculs!BQ309)</f>
        <v>#NAME?</v>
      </c>
      <c r="H309" s="535" t="e">
        <f ca="1">gr(calculs!BR309)</f>
        <v>#NAME?</v>
      </c>
      <c r="I309" s="535"/>
      <c r="J309" s="535" t="e">
        <f>NA()</f>
        <v>#N/A</v>
      </c>
      <c r="K309" s="535" t="e">
        <f>NA()</f>
        <v>#N/A</v>
      </c>
      <c r="L309" s="535" t="e">
        <f>NA()</f>
        <v>#N/A</v>
      </c>
      <c r="M309" s="535" t="e">
        <f>NA()</f>
        <v>#N/A</v>
      </c>
      <c r="N309" s="535" t="e">
        <f>NA()</f>
        <v>#N/A</v>
      </c>
      <c r="O309" s="535" t="e">
        <f>NA()</f>
        <v>#N/A</v>
      </c>
      <c r="P309" s="535" t="e">
        <f>NA()</f>
        <v>#N/A</v>
      </c>
    </row>
    <row r="310" spans="1:16" x14ac:dyDescent="0.2">
      <c r="A310" s="222">
        <f>calculs!A310</f>
        <v>44861</v>
      </c>
      <c r="B310" s="535" t="e">
        <f ca="1">gr(calculs!BL310)</f>
        <v>#NAME?</v>
      </c>
      <c r="C310" s="535" t="e">
        <f ca="1">gr(calculs!BM310)</f>
        <v>#NAME?</v>
      </c>
      <c r="D310" s="535" t="e">
        <f ca="1">gr(calculs!BN310)</f>
        <v>#NAME?</v>
      </c>
      <c r="E310" s="535" t="e">
        <f ca="1">gr(calculs!BO310)</f>
        <v>#NAME?</v>
      </c>
      <c r="F310" s="535" t="e">
        <f ca="1">gr(calculs!BP310)</f>
        <v>#NAME?</v>
      </c>
      <c r="G310" s="535" t="e">
        <f ca="1">gr(calculs!BQ310)</f>
        <v>#NAME?</v>
      </c>
      <c r="H310" s="535" t="e">
        <f ca="1">gr(calculs!BR310)</f>
        <v>#NAME?</v>
      </c>
      <c r="I310" s="535"/>
      <c r="J310" s="535" t="e">
        <f>NA()</f>
        <v>#N/A</v>
      </c>
      <c r="K310" s="535" t="e">
        <f>NA()</f>
        <v>#N/A</v>
      </c>
      <c r="L310" s="535" t="e">
        <f>NA()</f>
        <v>#N/A</v>
      </c>
      <c r="M310" s="535" t="e">
        <f>NA()</f>
        <v>#N/A</v>
      </c>
      <c r="N310" s="535" t="e">
        <f>NA()</f>
        <v>#N/A</v>
      </c>
      <c r="O310" s="535" t="e">
        <f>NA()</f>
        <v>#N/A</v>
      </c>
      <c r="P310" s="535" t="e">
        <f>NA()</f>
        <v>#N/A</v>
      </c>
    </row>
    <row r="311" spans="1:16" x14ac:dyDescent="0.2">
      <c r="A311" s="222">
        <f>calculs!A311</f>
        <v>44862</v>
      </c>
      <c r="B311" s="535" t="e">
        <f ca="1">gr(calculs!BL311)</f>
        <v>#NAME?</v>
      </c>
      <c r="C311" s="535" t="e">
        <f ca="1">gr(calculs!BM311)</f>
        <v>#NAME?</v>
      </c>
      <c r="D311" s="535" t="e">
        <f ca="1">gr(calculs!BN311)</f>
        <v>#NAME?</v>
      </c>
      <c r="E311" s="535" t="e">
        <f ca="1">gr(calculs!BO311)</f>
        <v>#NAME?</v>
      </c>
      <c r="F311" s="535" t="e">
        <f ca="1">gr(calculs!BP311)</f>
        <v>#NAME?</v>
      </c>
      <c r="G311" s="535" t="e">
        <f ca="1">gr(calculs!BQ311)</f>
        <v>#NAME?</v>
      </c>
      <c r="H311" s="535" t="e">
        <f ca="1">gr(calculs!BR311)</f>
        <v>#NAME?</v>
      </c>
      <c r="I311" s="535"/>
      <c r="J311" s="535" t="e">
        <f>NA()</f>
        <v>#N/A</v>
      </c>
      <c r="K311" s="535" t="e">
        <f>NA()</f>
        <v>#N/A</v>
      </c>
      <c r="L311" s="535" t="e">
        <f>NA()</f>
        <v>#N/A</v>
      </c>
      <c r="M311" s="535" t="e">
        <f>NA()</f>
        <v>#N/A</v>
      </c>
      <c r="N311" s="535" t="e">
        <f>NA()</f>
        <v>#N/A</v>
      </c>
      <c r="O311" s="535" t="e">
        <f>NA()</f>
        <v>#N/A</v>
      </c>
      <c r="P311" s="535" t="e">
        <f>NA()</f>
        <v>#N/A</v>
      </c>
    </row>
    <row r="312" spans="1:16" x14ac:dyDescent="0.2">
      <c r="A312" s="222">
        <f>calculs!A312</f>
        <v>44863</v>
      </c>
      <c r="B312" s="535" t="e">
        <f ca="1">gr(calculs!BL312)</f>
        <v>#NAME?</v>
      </c>
      <c r="C312" s="535" t="e">
        <f ca="1">gr(calculs!BM312)</f>
        <v>#NAME?</v>
      </c>
      <c r="D312" s="535" t="e">
        <f ca="1">gr(calculs!BN312)</f>
        <v>#NAME?</v>
      </c>
      <c r="E312" s="535" t="e">
        <f ca="1">gr(calculs!BO312)</f>
        <v>#NAME?</v>
      </c>
      <c r="F312" s="535" t="e">
        <f ca="1">gr(calculs!BP312)</f>
        <v>#NAME?</v>
      </c>
      <c r="G312" s="535" t="e">
        <f ca="1">gr(calculs!BQ312)</f>
        <v>#NAME?</v>
      </c>
      <c r="H312" s="535" t="e">
        <f ca="1">gr(calculs!BR312)</f>
        <v>#NAME?</v>
      </c>
      <c r="I312" s="535"/>
      <c r="J312" s="535" t="e">
        <f>NA()</f>
        <v>#N/A</v>
      </c>
      <c r="K312" s="535" t="e">
        <f>NA()</f>
        <v>#N/A</v>
      </c>
      <c r="L312" s="535" t="e">
        <f>NA()</f>
        <v>#N/A</v>
      </c>
      <c r="M312" s="535" t="e">
        <f>NA()</f>
        <v>#N/A</v>
      </c>
      <c r="N312" s="535" t="e">
        <f>NA()</f>
        <v>#N/A</v>
      </c>
      <c r="O312" s="535" t="e">
        <f>NA()</f>
        <v>#N/A</v>
      </c>
      <c r="P312" s="535" t="e">
        <f>NA()</f>
        <v>#N/A</v>
      </c>
    </row>
    <row r="313" spans="1:16" x14ac:dyDescent="0.2">
      <c r="A313" s="222">
        <f>calculs!A313</f>
        <v>44864</v>
      </c>
      <c r="B313" s="535" t="e">
        <f ca="1">gr(calculs!BL313)</f>
        <v>#NAME?</v>
      </c>
      <c r="C313" s="535" t="e">
        <f ca="1">gr(calculs!BM313)</f>
        <v>#NAME?</v>
      </c>
      <c r="D313" s="535" t="e">
        <f ca="1">gr(calculs!BN313)</f>
        <v>#NAME?</v>
      </c>
      <c r="E313" s="535" t="e">
        <f ca="1">gr(calculs!BO313)</f>
        <v>#NAME?</v>
      </c>
      <c r="F313" s="535" t="e">
        <f ca="1">gr(calculs!BP313)</f>
        <v>#NAME?</v>
      </c>
      <c r="G313" s="535" t="e">
        <f ca="1">gr(calculs!BQ313)</f>
        <v>#NAME?</v>
      </c>
      <c r="H313" s="535" t="e">
        <f ca="1">gr(calculs!BR313)</f>
        <v>#NAME?</v>
      </c>
      <c r="I313" s="535"/>
      <c r="J313" s="535" t="e">
        <f>NA()</f>
        <v>#N/A</v>
      </c>
      <c r="K313" s="535" t="e">
        <f>NA()</f>
        <v>#N/A</v>
      </c>
      <c r="L313" s="535" t="e">
        <f>NA()</f>
        <v>#N/A</v>
      </c>
      <c r="M313" s="535" t="e">
        <f>NA()</f>
        <v>#N/A</v>
      </c>
      <c r="N313" s="535" t="e">
        <f>NA()</f>
        <v>#N/A</v>
      </c>
      <c r="O313" s="535" t="e">
        <f>NA()</f>
        <v>#N/A</v>
      </c>
      <c r="P313" s="535" t="e">
        <f>NA()</f>
        <v>#N/A</v>
      </c>
    </row>
    <row r="314" spans="1:16" x14ac:dyDescent="0.2">
      <c r="A314" s="222">
        <f>calculs!A314</f>
        <v>44865</v>
      </c>
      <c r="B314" s="535" t="e">
        <f ca="1">gr(calculs!BL314)</f>
        <v>#NAME?</v>
      </c>
      <c r="C314" s="535" t="e">
        <f ca="1">gr(calculs!BM314)</f>
        <v>#NAME?</v>
      </c>
      <c r="D314" s="535" t="e">
        <f ca="1">gr(calculs!BN314)</f>
        <v>#NAME?</v>
      </c>
      <c r="E314" s="535" t="e">
        <f ca="1">gr(calculs!BO314)</f>
        <v>#NAME?</v>
      </c>
      <c r="F314" s="535" t="e">
        <f ca="1">gr(calculs!BP314)</f>
        <v>#NAME?</v>
      </c>
      <c r="G314" s="535" t="e">
        <f ca="1">gr(calculs!BQ314)</f>
        <v>#NAME?</v>
      </c>
      <c r="H314" s="535" t="e">
        <f ca="1">gr(calculs!BR314)</f>
        <v>#NAME?</v>
      </c>
      <c r="I314" s="535"/>
      <c r="J314" s="535" t="e">
        <f>NA()</f>
        <v>#N/A</v>
      </c>
      <c r="K314" s="535" t="e">
        <f>NA()</f>
        <v>#N/A</v>
      </c>
      <c r="L314" s="535" t="e">
        <f>NA()</f>
        <v>#N/A</v>
      </c>
      <c r="M314" s="535" t="e">
        <f>NA()</f>
        <v>#N/A</v>
      </c>
      <c r="N314" s="535" t="e">
        <f>NA()</f>
        <v>#N/A</v>
      </c>
      <c r="O314" s="535" t="e">
        <f>NA()</f>
        <v>#N/A</v>
      </c>
      <c r="P314" s="535" t="e">
        <f>NA()</f>
        <v>#N/A</v>
      </c>
    </row>
    <row r="315" spans="1:16" x14ac:dyDescent="0.2">
      <c r="A315" s="222">
        <f>calculs!A315</f>
        <v>44866</v>
      </c>
      <c r="B315" s="535" t="e">
        <f ca="1">gr(calculs!BL315)</f>
        <v>#NAME?</v>
      </c>
      <c r="C315" s="535" t="e">
        <f ca="1">gr(calculs!BM315)</f>
        <v>#NAME?</v>
      </c>
      <c r="D315" s="535" t="e">
        <f ca="1">gr(calculs!BN315)</f>
        <v>#NAME?</v>
      </c>
      <c r="E315" s="535" t="e">
        <f ca="1">gr(calculs!BO315)</f>
        <v>#NAME?</v>
      </c>
      <c r="F315" s="535" t="e">
        <f ca="1">gr(calculs!BP315)</f>
        <v>#NAME?</v>
      </c>
      <c r="G315" s="535" t="e">
        <f ca="1">gr(calculs!BQ315)</f>
        <v>#NAME?</v>
      </c>
      <c r="H315" s="535" t="e">
        <f ca="1">gr(calculs!BR315)</f>
        <v>#NAME?</v>
      </c>
      <c r="I315" s="535"/>
      <c r="J315" s="535" t="e">
        <f>NA()</f>
        <v>#N/A</v>
      </c>
      <c r="K315" s="535" t="e">
        <f>NA()</f>
        <v>#N/A</v>
      </c>
      <c r="L315" s="535" t="e">
        <f>NA()</f>
        <v>#N/A</v>
      </c>
      <c r="M315" s="535" t="e">
        <f>NA()</f>
        <v>#N/A</v>
      </c>
      <c r="N315" s="535" t="e">
        <f>NA()</f>
        <v>#N/A</v>
      </c>
      <c r="O315" s="535" t="e">
        <f>NA()</f>
        <v>#N/A</v>
      </c>
      <c r="P315" s="535" t="e">
        <f>NA()</f>
        <v>#N/A</v>
      </c>
    </row>
    <row r="316" spans="1:16" x14ac:dyDescent="0.2">
      <c r="A316" s="222">
        <f>calculs!A316</f>
        <v>44867</v>
      </c>
      <c r="B316" s="535" t="e">
        <f ca="1">gr(calculs!BL316)</f>
        <v>#NAME?</v>
      </c>
      <c r="C316" s="535" t="e">
        <f ca="1">gr(calculs!BM316)</f>
        <v>#NAME?</v>
      </c>
      <c r="D316" s="535" t="e">
        <f ca="1">gr(calculs!BN316)</f>
        <v>#NAME?</v>
      </c>
      <c r="E316" s="535" t="e">
        <f ca="1">gr(calculs!BO316)</f>
        <v>#NAME?</v>
      </c>
      <c r="F316" s="535" t="e">
        <f ca="1">gr(calculs!BP316)</f>
        <v>#NAME?</v>
      </c>
      <c r="G316" s="535" t="e">
        <f ca="1">gr(calculs!BQ316)</f>
        <v>#NAME?</v>
      </c>
      <c r="H316" s="535" t="e">
        <f ca="1">gr(calculs!BR316)</f>
        <v>#NAME?</v>
      </c>
      <c r="I316" s="535"/>
      <c r="J316" s="535" t="e">
        <f>NA()</f>
        <v>#N/A</v>
      </c>
      <c r="K316" s="535" t="e">
        <f>NA()</f>
        <v>#N/A</v>
      </c>
      <c r="L316" s="535" t="e">
        <f>NA()</f>
        <v>#N/A</v>
      </c>
      <c r="M316" s="535" t="e">
        <f>NA()</f>
        <v>#N/A</v>
      </c>
      <c r="N316" s="535" t="e">
        <f>NA()</f>
        <v>#N/A</v>
      </c>
      <c r="O316" s="535" t="e">
        <f>NA()</f>
        <v>#N/A</v>
      </c>
      <c r="P316" s="535" t="e">
        <f>NA()</f>
        <v>#N/A</v>
      </c>
    </row>
    <row r="317" spans="1:16" x14ac:dyDescent="0.2">
      <c r="A317" s="222">
        <f>calculs!A317</f>
        <v>44868</v>
      </c>
      <c r="B317" s="535" t="e">
        <f ca="1">gr(calculs!BL317)</f>
        <v>#NAME?</v>
      </c>
      <c r="C317" s="535" t="e">
        <f ca="1">gr(calculs!BM317)</f>
        <v>#NAME?</v>
      </c>
      <c r="D317" s="535" t="e">
        <f ca="1">gr(calculs!BN317)</f>
        <v>#NAME?</v>
      </c>
      <c r="E317" s="535" t="e">
        <f ca="1">gr(calculs!BO317)</f>
        <v>#NAME?</v>
      </c>
      <c r="F317" s="535" t="e">
        <f ca="1">gr(calculs!BP317)</f>
        <v>#NAME?</v>
      </c>
      <c r="G317" s="535" t="e">
        <f ca="1">gr(calculs!BQ317)</f>
        <v>#NAME?</v>
      </c>
      <c r="H317" s="535" t="e">
        <f ca="1">gr(calculs!BR317)</f>
        <v>#NAME?</v>
      </c>
      <c r="I317" s="535"/>
      <c r="J317" s="535" t="e">
        <f>NA()</f>
        <v>#N/A</v>
      </c>
      <c r="K317" s="535" t="e">
        <f>NA()</f>
        <v>#N/A</v>
      </c>
      <c r="L317" s="535" t="e">
        <f>NA()</f>
        <v>#N/A</v>
      </c>
      <c r="M317" s="535" t="e">
        <f>NA()</f>
        <v>#N/A</v>
      </c>
      <c r="N317" s="535" t="e">
        <f>NA()</f>
        <v>#N/A</v>
      </c>
      <c r="O317" s="535" t="e">
        <f>NA()</f>
        <v>#N/A</v>
      </c>
      <c r="P317" s="535" t="e">
        <f>NA()</f>
        <v>#N/A</v>
      </c>
    </row>
    <row r="318" spans="1:16" x14ac:dyDescent="0.2">
      <c r="A318" s="222">
        <f>calculs!A318</f>
        <v>44869</v>
      </c>
      <c r="B318" s="535" t="e">
        <f ca="1">gr(calculs!BL318)</f>
        <v>#NAME?</v>
      </c>
      <c r="C318" s="535" t="e">
        <f ca="1">gr(calculs!BM318)</f>
        <v>#NAME?</v>
      </c>
      <c r="D318" s="535" t="e">
        <f ca="1">gr(calculs!BN318)</f>
        <v>#NAME?</v>
      </c>
      <c r="E318" s="535" t="e">
        <f ca="1">gr(calculs!BO318)</f>
        <v>#NAME?</v>
      </c>
      <c r="F318" s="535" t="e">
        <f ca="1">gr(calculs!BP318)</f>
        <v>#NAME?</v>
      </c>
      <c r="G318" s="535" t="e">
        <f ca="1">gr(calculs!BQ318)</f>
        <v>#NAME?</v>
      </c>
      <c r="H318" s="535" t="e">
        <f ca="1">gr(calculs!BR318)</f>
        <v>#NAME?</v>
      </c>
      <c r="I318" s="535"/>
      <c r="J318" s="535" t="e">
        <f>NA()</f>
        <v>#N/A</v>
      </c>
      <c r="K318" s="535" t="e">
        <f>NA()</f>
        <v>#N/A</v>
      </c>
      <c r="L318" s="535" t="e">
        <f>NA()</f>
        <v>#N/A</v>
      </c>
      <c r="M318" s="535" t="e">
        <f>NA()</f>
        <v>#N/A</v>
      </c>
      <c r="N318" s="535" t="e">
        <f>NA()</f>
        <v>#N/A</v>
      </c>
      <c r="O318" s="535" t="e">
        <f>NA()</f>
        <v>#N/A</v>
      </c>
      <c r="P318" s="535" t="e">
        <f>NA()</f>
        <v>#N/A</v>
      </c>
    </row>
    <row r="319" spans="1:16" x14ac:dyDescent="0.2">
      <c r="A319" s="222">
        <f>calculs!A319</f>
        <v>44870</v>
      </c>
      <c r="B319" s="535" t="e">
        <f ca="1">gr(calculs!BL319)</f>
        <v>#NAME?</v>
      </c>
      <c r="C319" s="535" t="e">
        <f ca="1">gr(calculs!BM319)</f>
        <v>#NAME?</v>
      </c>
      <c r="D319" s="535" t="e">
        <f ca="1">gr(calculs!BN319)</f>
        <v>#NAME?</v>
      </c>
      <c r="E319" s="535" t="e">
        <f ca="1">gr(calculs!BO319)</f>
        <v>#NAME?</v>
      </c>
      <c r="F319" s="535" t="e">
        <f ca="1">gr(calculs!BP319)</f>
        <v>#NAME?</v>
      </c>
      <c r="G319" s="535" t="e">
        <f ca="1">gr(calculs!BQ319)</f>
        <v>#NAME?</v>
      </c>
      <c r="H319" s="535" t="e">
        <f ca="1">gr(calculs!BR319)</f>
        <v>#NAME?</v>
      </c>
      <c r="I319" s="535"/>
      <c r="J319" s="535" t="e">
        <f>NA()</f>
        <v>#N/A</v>
      </c>
      <c r="K319" s="535" t="e">
        <f>NA()</f>
        <v>#N/A</v>
      </c>
      <c r="L319" s="535" t="e">
        <f>NA()</f>
        <v>#N/A</v>
      </c>
      <c r="M319" s="535" t="e">
        <f>NA()</f>
        <v>#N/A</v>
      </c>
      <c r="N319" s="535" t="e">
        <f>NA()</f>
        <v>#N/A</v>
      </c>
      <c r="O319" s="535" t="e">
        <f>NA()</f>
        <v>#N/A</v>
      </c>
      <c r="P319" s="535" t="e">
        <f>NA()</f>
        <v>#N/A</v>
      </c>
    </row>
    <row r="320" spans="1:16" x14ac:dyDescent="0.2">
      <c r="A320" s="222">
        <f>calculs!A320</f>
        <v>44871</v>
      </c>
      <c r="B320" s="535" t="e">
        <f ca="1">gr(calculs!BL320)</f>
        <v>#NAME?</v>
      </c>
      <c r="C320" s="535" t="e">
        <f ca="1">gr(calculs!BM320)</f>
        <v>#NAME?</v>
      </c>
      <c r="D320" s="535" t="e">
        <f ca="1">gr(calculs!BN320)</f>
        <v>#NAME?</v>
      </c>
      <c r="E320" s="535" t="e">
        <f ca="1">gr(calculs!BO320)</f>
        <v>#NAME?</v>
      </c>
      <c r="F320" s="535" t="e">
        <f ca="1">gr(calculs!BP320)</f>
        <v>#NAME?</v>
      </c>
      <c r="G320" s="535" t="e">
        <f ca="1">gr(calculs!BQ320)</f>
        <v>#NAME?</v>
      </c>
      <c r="H320" s="535" t="e">
        <f ca="1">gr(calculs!BR320)</f>
        <v>#NAME?</v>
      </c>
      <c r="I320" s="535"/>
      <c r="J320" s="535" t="e">
        <f>NA()</f>
        <v>#N/A</v>
      </c>
      <c r="K320" s="535" t="e">
        <f>NA()</f>
        <v>#N/A</v>
      </c>
      <c r="L320" s="535" t="e">
        <f>NA()</f>
        <v>#N/A</v>
      </c>
      <c r="M320" s="535" t="e">
        <f>NA()</f>
        <v>#N/A</v>
      </c>
      <c r="N320" s="535" t="e">
        <f>NA()</f>
        <v>#N/A</v>
      </c>
      <c r="O320" s="535" t="e">
        <f>NA()</f>
        <v>#N/A</v>
      </c>
      <c r="P320" s="535" t="e">
        <f>NA()</f>
        <v>#N/A</v>
      </c>
    </row>
    <row r="321" spans="1:16" x14ac:dyDescent="0.2">
      <c r="A321" s="222">
        <f>calculs!A321</f>
        <v>44872</v>
      </c>
      <c r="B321" s="535" t="e">
        <f ca="1">gr(calculs!BL321)</f>
        <v>#NAME?</v>
      </c>
      <c r="C321" s="535" t="e">
        <f ca="1">gr(calculs!BM321)</f>
        <v>#NAME?</v>
      </c>
      <c r="D321" s="535" t="e">
        <f ca="1">gr(calculs!BN321)</f>
        <v>#NAME?</v>
      </c>
      <c r="E321" s="535" t="e">
        <f ca="1">gr(calculs!BO321)</f>
        <v>#NAME?</v>
      </c>
      <c r="F321" s="535" t="e">
        <f ca="1">gr(calculs!BP321)</f>
        <v>#NAME?</v>
      </c>
      <c r="G321" s="535" t="e">
        <f ca="1">gr(calculs!BQ321)</f>
        <v>#NAME?</v>
      </c>
      <c r="H321" s="535" t="e">
        <f ca="1">gr(calculs!BR321)</f>
        <v>#NAME?</v>
      </c>
      <c r="I321" s="535"/>
      <c r="J321" s="535" t="e">
        <f>NA()</f>
        <v>#N/A</v>
      </c>
      <c r="K321" s="535" t="e">
        <f>NA()</f>
        <v>#N/A</v>
      </c>
      <c r="L321" s="535" t="e">
        <f>NA()</f>
        <v>#N/A</v>
      </c>
      <c r="M321" s="535" t="e">
        <f>NA()</f>
        <v>#N/A</v>
      </c>
      <c r="N321" s="535" t="e">
        <f>NA()</f>
        <v>#N/A</v>
      </c>
      <c r="O321" s="535" t="e">
        <f>NA()</f>
        <v>#N/A</v>
      </c>
      <c r="P321" s="535" t="e">
        <f>NA()</f>
        <v>#N/A</v>
      </c>
    </row>
    <row r="322" spans="1:16" x14ac:dyDescent="0.2">
      <c r="A322" s="222">
        <f>calculs!A322</f>
        <v>44873</v>
      </c>
      <c r="B322" s="535" t="e">
        <f ca="1">gr(calculs!BL322)</f>
        <v>#NAME?</v>
      </c>
      <c r="C322" s="535" t="e">
        <f ca="1">gr(calculs!BM322)</f>
        <v>#NAME?</v>
      </c>
      <c r="D322" s="535" t="e">
        <f ca="1">gr(calculs!BN322)</f>
        <v>#NAME?</v>
      </c>
      <c r="E322" s="535" t="e">
        <f ca="1">gr(calculs!BO322)</f>
        <v>#NAME?</v>
      </c>
      <c r="F322" s="535" t="e">
        <f ca="1">gr(calculs!BP322)</f>
        <v>#NAME?</v>
      </c>
      <c r="G322" s="535" t="e">
        <f ca="1">gr(calculs!BQ322)</f>
        <v>#NAME?</v>
      </c>
      <c r="H322" s="535" t="e">
        <f ca="1">gr(calculs!BR322)</f>
        <v>#NAME?</v>
      </c>
      <c r="I322" s="535"/>
      <c r="J322" s="535" t="e">
        <f>NA()</f>
        <v>#N/A</v>
      </c>
      <c r="K322" s="535" t="e">
        <f>NA()</f>
        <v>#N/A</v>
      </c>
      <c r="L322" s="535" t="e">
        <f>NA()</f>
        <v>#N/A</v>
      </c>
      <c r="M322" s="535" t="e">
        <f>NA()</f>
        <v>#N/A</v>
      </c>
      <c r="N322" s="535" t="e">
        <f>NA()</f>
        <v>#N/A</v>
      </c>
      <c r="O322" s="535" t="e">
        <f>NA()</f>
        <v>#N/A</v>
      </c>
      <c r="P322" s="535" t="e">
        <f>NA()</f>
        <v>#N/A</v>
      </c>
    </row>
    <row r="323" spans="1:16" x14ac:dyDescent="0.2">
      <c r="A323" s="222">
        <f>calculs!A323</f>
        <v>44874</v>
      </c>
      <c r="B323" s="535" t="e">
        <f ca="1">gr(calculs!BL323)</f>
        <v>#NAME?</v>
      </c>
      <c r="C323" s="535" t="e">
        <f ca="1">gr(calculs!BM323)</f>
        <v>#NAME?</v>
      </c>
      <c r="D323" s="535" t="e">
        <f ca="1">gr(calculs!BN323)</f>
        <v>#NAME?</v>
      </c>
      <c r="E323" s="535" t="e">
        <f ca="1">gr(calculs!BO323)</f>
        <v>#NAME?</v>
      </c>
      <c r="F323" s="535" t="e">
        <f ca="1">gr(calculs!BP323)</f>
        <v>#NAME?</v>
      </c>
      <c r="G323" s="535" t="e">
        <f ca="1">gr(calculs!BQ323)</f>
        <v>#NAME?</v>
      </c>
      <c r="H323" s="535" t="e">
        <f ca="1">gr(calculs!BR323)</f>
        <v>#NAME?</v>
      </c>
      <c r="I323" s="535"/>
      <c r="J323" s="535" t="e">
        <f>NA()</f>
        <v>#N/A</v>
      </c>
      <c r="K323" s="535" t="e">
        <f>NA()</f>
        <v>#N/A</v>
      </c>
      <c r="L323" s="535" t="e">
        <f>NA()</f>
        <v>#N/A</v>
      </c>
      <c r="M323" s="535" t="e">
        <f>NA()</f>
        <v>#N/A</v>
      </c>
      <c r="N323" s="535" t="e">
        <f>NA()</f>
        <v>#N/A</v>
      </c>
      <c r="O323" s="535" t="e">
        <f>NA()</f>
        <v>#N/A</v>
      </c>
      <c r="P323" s="535" t="e">
        <f>NA()</f>
        <v>#N/A</v>
      </c>
    </row>
    <row r="324" spans="1:16" x14ac:dyDescent="0.2">
      <c r="A324" s="222">
        <f>calculs!A324</f>
        <v>44875</v>
      </c>
      <c r="B324" s="535" t="e">
        <f ca="1">gr(calculs!BL324)</f>
        <v>#NAME?</v>
      </c>
      <c r="C324" s="535" t="e">
        <f ca="1">gr(calculs!BM324)</f>
        <v>#NAME?</v>
      </c>
      <c r="D324" s="535" t="e">
        <f ca="1">gr(calculs!BN324)</f>
        <v>#NAME?</v>
      </c>
      <c r="E324" s="535" t="e">
        <f ca="1">gr(calculs!BO324)</f>
        <v>#NAME?</v>
      </c>
      <c r="F324" s="535" t="e">
        <f ca="1">gr(calculs!BP324)</f>
        <v>#NAME?</v>
      </c>
      <c r="G324" s="535" t="e">
        <f ca="1">gr(calculs!BQ324)</f>
        <v>#NAME?</v>
      </c>
      <c r="H324" s="535" t="e">
        <f ca="1">gr(calculs!BR324)</f>
        <v>#NAME?</v>
      </c>
      <c r="I324" s="535"/>
      <c r="J324" s="535" t="e">
        <f>NA()</f>
        <v>#N/A</v>
      </c>
      <c r="K324" s="535" t="e">
        <f>NA()</f>
        <v>#N/A</v>
      </c>
      <c r="L324" s="535" t="e">
        <f>NA()</f>
        <v>#N/A</v>
      </c>
      <c r="M324" s="535" t="e">
        <f>NA()</f>
        <v>#N/A</v>
      </c>
      <c r="N324" s="535" t="e">
        <f>NA()</f>
        <v>#N/A</v>
      </c>
      <c r="O324" s="535" t="e">
        <f>NA()</f>
        <v>#N/A</v>
      </c>
      <c r="P324" s="535" t="e">
        <f>NA()</f>
        <v>#N/A</v>
      </c>
    </row>
    <row r="325" spans="1:16" x14ac:dyDescent="0.2">
      <c r="A325" s="222">
        <f>calculs!A325</f>
        <v>44876</v>
      </c>
      <c r="B325" s="535" t="e">
        <f ca="1">gr(calculs!BL325)</f>
        <v>#NAME?</v>
      </c>
      <c r="C325" s="535" t="e">
        <f ca="1">gr(calculs!BM325)</f>
        <v>#NAME?</v>
      </c>
      <c r="D325" s="535" t="e">
        <f ca="1">gr(calculs!BN325)</f>
        <v>#NAME?</v>
      </c>
      <c r="E325" s="535" t="e">
        <f ca="1">gr(calculs!BO325)</f>
        <v>#NAME?</v>
      </c>
      <c r="F325" s="535" t="e">
        <f ca="1">gr(calculs!BP325)</f>
        <v>#NAME?</v>
      </c>
      <c r="G325" s="535" t="e">
        <f ca="1">gr(calculs!BQ325)</f>
        <v>#NAME?</v>
      </c>
      <c r="H325" s="535" t="e">
        <f ca="1">gr(calculs!BR325)</f>
        <v>#NAME?</v>
      </c>
      <c r="I325" s="535"/>
      <c r="J325" s="535" t="e">
        <f>NA()</f>
        <v>#N/A</v>
      </c>
      <c r="K325" s="535" t="e">
        <f>NA()</f>
        <v>#N/A</v>
      </c>
      <c r="L325" s="535" t="e">
        <f>NA()</f>
        <v>#N/A</v>
      </c>
      <c r="M325" s="535" t="e">
        <f>NA()</f>
        <v>#N/A</v>
      </c>
      <c r="N325" s="535" t="e">
        <f>NA()</f>
        <v>#N/A</v>
      </c>
      <c r="O325" s="535" t="e">
        <f>NA()</f>
        <v>#N/A</v>
      </c>
      <c r="P325" s="535" t="e">
        <f>NA()</f>
        <v>#N/A</v>
      </c>
    </row>
    <row r="326" spans="1:16" x14ac:dyDescent="0.2">
      <c r="A326" s="222">
        <f>calculs!A326</f>
        <v>44877</v>
      </c>
      <c r="B326" s="535" t="e">
        <f ca="1">gr(calculs!BL326)</f>
        <v>#NAME?</v>
      </c>
      <c r="C326" s="535" t="e">
        <f ca="1">gr(calculs!BM326)</f>
        <v>#NAME?</v>
      </c>
      <c r="D326" s="535" t="e">
        <f ca="1">gr(calculs!BN326)</f>
        <v>#NAME?</v>
      </c>
      <c r="E326" s="535" t="e">
        <f ca="1">gr(calculs!BO326)</f>
        <v>#NAME?</v>
      </c>
      <c r="F326" s="535" t="e">
        <f ca="1">gr(calculs!BP326)</f>
        <v>#NAME?</v>
      </c>
      <c r="G326" s="535" t="e">
        <f ca="1">gr(calculs!BQ326)</f>
        <v>#NAME?</v>
      </c>
      <c r="H326" s="535" t="e">
        <f ca="1">gr(calculs!BR326)</f>
        <v>#NAME?</v>
      </c>
      <c r="I326" s="535"/>
      <c r="J326" s="535" t="e">
        <f>NA()</f>
        <v>#N/A</v>
      </c>
      <c r="K326" s="535" t="e">
        <f>NA()</f>
        <v>#N/A</v>
      </c>
      <c r="L326" s="535" t="e">
        <f>NA()</f>
        <v>#N/A</v>
      </c>
      <c r="M326" s="535" t="e">
        <f>NA()</f>
        <v>#N/A</v>
      </c>
      <c r="N326" s="535" t="e">
        <f>NA()</f>
        <v>#N/A</v>
      </c>
      <c r="O326" s="535" t="e">
        <f>NA()</f>
        <v>#N/A</v>
      </c>
      <c r="P326" s="535" t="e">
        <f>NA()</f>
        <v>#N/A</v>
      </c>
    </row>
    <row r="327" spans="1:16" x14ac:dyDescent="0.2">
      <c r="A327" s="222">
        <f>calculs!A327</f>
        <v>44878</v>
      </c>
      <c r="B327" s="535" t="e">
        <f ca="1">gr(calculs!BL327)</f>
        <v>#NAME?</v>
      </c>
      <c r="C327" s="535" t="e">
        <f ca="1">gr(calculs!BM327)</f>
        <v>#NAME?</v>
      </c>
      <c r="D327" s="535" t="e">
        <f ca="1">gr(calculs!BN327)</f>
        <v>#NAME?</v>
      </c>
      <c r="E327" s="535" t="e">
        <f ca="1">gr(calculs!BO327)</f>
        <v>#NAME?</v>
      </c>
      <c r="F327" s="535" t="e">
        <f ca="1">gr(calculs!BP327)</f>
        <v>#NAME?</v>
      </c>
      <c r="G327" s="535" t="e">
        <f ca="1">gr(calculs!BQ327)</f>
        <v>#NAME?</v>
      </c>
      <c r="H327" s="535" t="e">
        <f ca="1">gr(calculs!BR327)</f>
        <v>#NAME?</v>
      </c>
      <c r="I327" s="535"/>
      <c r="J327" s="535" t="e">
        <f>NA()</f>
        <v>#N/A</v>
      </c>
      <c r="K327" s="535" t="e">
        <f>NA()</f>
        <v>#N/A</v>
      </c>
      <c r="L327" s="535" t="e">
        <f>NA()</f>
        <v>#N/A</v>
      </c>
      <c r="M327" s="535" t="e">
        <f>NA()</f>
        <v>#N/A</v>
      </c>
      <c r="N327" s="535" t="e">
        <f>NA()</f>
        <v>#N/A</v>
      </c>
      <c r="O327" s="535" t="e">
        <f>NA()</f>
        <v>#N/A</v>
      </c>
      <c r="P327" s="535" t="e">
        <f>NA()</f>
        <v>#N/A</v>
      </c>
    </row>
    <row r="328" spans="1:16" x14ac:dyDescent="0.2">
      <c r="A328" s="222">
        <f>calculs!A328</f>
        <v>44879</v>
      </c>
      <c r="B328" s="535" t="e">
        <f ca="1">gr(calculs!BL328)</f>
        <v>#NAME?</v>
      </c>
      <c r="C328" s="535" t="e">
        <f ca="1">gr(calculs!BM328)</f>
        <v>#NAME?</v>
      </c>
      <c r="D328" s="535" t="e">
        <f ca="1">gr(calculs!BN328)</f>
        <v>#NAME?</v>
      </c>
      <c r="E328" s="535" t="e">
        <f ca="1">gr(calculs!BO328)</f>
        <v>#NAME?</v>
      </c>
      <c r="F328" s="535" t="e">
        <f ca="1">gr(calculs!BP328)</f>
        <v>#NAME?</v>
      </c>
      <c r="G328" s="535" t="e">
        <f ca="1">gr(calculs!BQ328)</f>
        <v>#NAME?</v>
      </c>
      <c r="H328" s="535" t="e">
        <f ca="1">gr(calculs!BR328)</f>
        <v>#NAME?</v>
      </c>
      <c r="I328" s="535"/>
      <c r="J328" s="535" t="e">
        <f>NA()</f>
        <v>#N/A</v>
      </c>
      <c r="K328" s="535" t="e">
        <f>NA()</f>
        <v>#N/A</v>
      </c>
      <c r="L328" s="535" t="e">
        <f>NA()</f>
        <v>#N/A</v>
      </c>
      <c r="M328" s="535" t="e">
        <f>NA()</f>
        <v>#N/A</v>
      </c>
      <c r="N328" s="535" t="e">
        <f>NA()</f>
        <v>#N/A</v>
      </c>
      <c r="O328" s="535" t="e">
        <f>NA()</f>
        <v>#N/A</v>
      </c>
      <c r="P328" s="535" t="e">
        <f>NA()</f>
        <v>#N/A</v>
      </c>
    </row>
    <row r="329" spans="1:16" x14ac:dyDescent="0.2">
      <c r="A329" s="222">
        <f>calculs!A329</f>
        <v>44880</v>
      </c>
      <c r="B329" s="535" t="e">
        <f ca="1">gr(calculs!BL329)</f>
        <v>#NAME?</v>
      </c>
      <c r="C329" s="535" t="e">
        <f ca="1">gr(calculs!BM329)</f>
        <v>#NAME?</v>
      </c>
      <c r="D329" s="535" t="e">
        <f ca="1">gr(calculs!BN329)</f>
        <v>#NAME?</v>
      </c>
      <c r="E329" s="535" t="e">
        <f ca="1">gr(calculs!BO329)</f>
        <v>#NAME?</v>
      </c>
      <c r="F329" s="535" t="e">
        <f ca="1">gr(calculs!BP329)</f>
        <v>#NAME?</v>
      </c>
      <c r="G329" s="535" t="e">
        <f ca="1">gr(calculs!BQ329)</f>
        <v>#NAME?</v>
      </c>
      <c r="H329" s="535" t="e">
        <f ca="1">gr(calculs!BR329)</f>
        <v>#NAME?</v>
      </c>
      <c r="I329" s="535"/>
      <c r="J329" s="535" t="e">
        <f>NA()</f>
        <v>#N/A</v>
      </c>
      <c r="K329" s="535" t="e">
        <f>NA()</f>
        <v>#N/A</v>
      </c>
      <c r="L329" s="535" t="e">
        <f>NA()</f>
        <v>#N/A</v>
      </c>
      <c r="M329" s="535" t="e">
        <f>NA()</f>
        <v>#N/A</v>
      </c>
      <c r="N329" s="535" t="e">
        <f>NA()</f>
        <v>#N/A</v>
      </c>
      <c r="O329" s="535" t="e">
        <f>NA()</f>
        <v>#N/A</v>
      </c>
      <c r="P329" s="535" t="e">
        <f>NA()</f>
        <v>#N/A</v>
      </c>
    </row>
    <row r="330" spans="1:16" x14ac:dyDescent="0.2">
      <c r="A330" s="222">
        <f>calculs!A330</f>
        <v>44881</v>
      </c>
      <c r="B330" s="535" t="e">
        <f ca="1">gr(calculs!BL330)</f>
        <v>#NAME?</v>
      </c>
      <c r="C330" s="535" t="e">
        <f ca="1">gr(calculs!BM330)</f>
        <v>#NAME?</v>
      </c>
      <c r="D330" s="535" t="e">
        <f ca="1">gr(calculs!BN330)</f>
        <v>#NAME?</v>
      </c>
      <c r="E330" s="535" t="e">
        <f ca="1">gr(calculs!BO330)</f>
        <v>#NAME?</v>
      </c>
      <c r="F330" s="535" t="e">
        <f ca="1">gr(calculs!BP330)</f>
        <v>#NAME?</v>
      </c>
      <c r="G330" s="535" t="e">
        <f ca="1">gr(calculs!BQ330)</f>
        <v>#NAME?</v>
      </c>
      <c r="H330" s="535" t="e">
        <f ca="1">gr(calculs!BR330)</f>
        <v>#NAME?</v>
      </c>
      <c r="I330" s="535"/>
      <c r="J330" s="535" t="e">
        <f>NA()</f>
        <v>#N/A</v>
      </c>
      <c r="K330" s="535" t="e">
        <f>NA()</f>
        <v>#N/A</v>
      </c>
      <c r="L330" s="535" t="e">
        <f>NA()</f>
        <v>#N/A</v>
      </c>
      <c r="M330" s="535" t="e">
        <f>NA()</f>
        <v>#N/A</v>
      </c>
      <c r="N330" s="535" t="e">
        <f>NA()</f>
        <v>#N/A</v>
      </c>
      <c r="O330" s="535" t="e">
        <f>NA()</f>
        <v>#N/A</v>
      </c>
      <c r="P330" s="535" t="e">
        <f>NA()</f>
        <v>#N/A</v>
      </c>
    </row>
    <row r="331" spans="1:16" x14ac:dyDescent="0.2">
      <c r="A331" s="222">
        <f>calculs!A331</f>
        <v>44882</v>
      </c>
      <c r="B331" s="535" t="e">
        <f ca="1">gr(calculs!BL331)</f>
        <v>#NAME?</v>
      </c>
      <c r="C331" s="535" t="e">
        <f ca="1">gr(calculs!BM331)</f>
        <v>#NAME?</v>
      </c>
      <c r="D331" s="535" t="e">
        <f ca="1">gr(calculs!BN331)</f>
        <v>#NAME?</v>
      </c>
      <c r="E331" s="535" t="e">
        <f ca="1">gr(calculs!BO331)</f>
        <v>#NAME?</v>
      </c>
      <c r="F331" s="535" t="e">
        <f ca="1">gr(calculs!BP331)</f>
        <v>#NAME?</v>
      </c>
      <c r="G331" s="535" t="e">
        <f ca="1">gr(calculs!BQ331)</f>
        <v>#NAME?</v>
      </c>
      <c r="H331" s="535" t="e">
        <f ca="1">gr(calculs!BR331)</f>
        <v>#NAME?</v>
      </c>
      <c r="I331" s="535"/>
      <c r="J331" s="535" t="e">
        <f>NA()</f>
        <v>#N/A</v>
      </c>
      <c r="K331" s="535" t="e">
        <f>NA()</f>
        <v>#N/A</v>
      </c>
      <c r="L331" s="535" t="e">
        <f>NA()</f>
        <v>#N/A</v>
      </c>
      <c r="M331" s="535" t="e">
        <f>NA()</f>
        <v>#N/A</v>
      </c>
      <c r="N331" s="535" t="e">
        <f>NA()</f>
        <v>#N/A</v>
      </c>
      <c r="O331" s="535" t="e">
        <f>NA()</f>
        <v>#N/A</v>
      </c>
      <c r="P331" s="535" t="e">
        <f>NA()</f>
        <v>#N/A</v>
      </c>
    </row>
    <row r="332" spans="1:16" x14ac:dyDescent="0.2">
      <c r="A332" s="222">
        <f>calculs!A332</f>
        <v>44883</v>
      </c>
      <c r="B332" s="535" t="e">
        <f ca="1">gr(calculs!BL332)</f>
        <v>#NAME?</v>
      </c>
      <c r="C332" s="535" t="e">
        <f ca="1">gr(calculs!BM332)</f>
        <v>#NAME?</v>
      </c>
      <c r="D332" s="535" t="e">
        <f ca="1">gr(calculs!BN332)</f>
        <v>#NAME?</v>
      </c>
      <c r="E332" s="535" t="e">
        <f ca="1">gr(calculs!BO332)</f>
        <v>#NAME?</v>
      </c>
      <c r="F332" s="535" t="e">
        <f ca="1">gr(calculs!BP332)</f>
        <v>#NAME?</v>
      </c>
      <c r="G332" s="535" t="e">
        <f ca="1">gr(calculs!BQ332)</f>
        <v>#NAME?</v>
      </c>
      <c r="H332" s="535" t="e">
        <f ca="1">gr(calculs!BR332)</f>
        <v>#NAME?</v>
      </c>
      <c r="I332" s="535"/>
      <c r="J332" s="535" t="e">
        <f>NA()</f>
        <v>#N/A</v>
      </c>
      <c r="K332" s="535" t="e">
        <f>NA()</f>
        <v>#N/A</v>
      </c>
      <c r="L332" s="535" t="e">
        <f>NA()</f>
        <v>#N/A</v>
      </c>
      <c r="M332" s="535" t="e">
        <f>NA()</f>
        <v>#N/A</v>
      </c>
      <c r="N332" s="535" t="e">
        <f>NA()</f>
        <v>#N/A</v>
      </c>
      <c r="O332" s="535" t="e">
        <f>NA()</f>
        <v>#N/A</v>
      </c>
      <c r="P332" s="535" t="e">
        <f>NA()</f>
        <v>#N/A</v>
      </c>
    </row>
    <row r="333" spans="1:16" x14ac:dyDescent="0.2">
      <c r="A333" s="222">
        <f>calculs!A333</f>
        <v>44884</v>
      </c>
      <c r="B333" s="535" t="e">
        <f ca="1">gr(calculs!BL333)</f>
        <v>#NAME?</v>
      </c>
      <c r="C333" s="535" t="e">
        <f ca="1">gr(calculs!BM333)</f>
        <v>#NAME?</v>
      </c>
      <c r="D333" s="535" t="e">
        <f ca="1">gr(calculs!BN333)</f>
        <v>#NAME?</v>
      </c>
      <c r="E333" s="535" t="e">
        <f ca="1">gr(calculs!BO333)</f>
        <v>#NAME?</v>
      </c>
      <c r="F333" s="535" t="e">
        <f ca="1">gr(calculs!BP333)</f>
        <v>#NAME?</v>
      </c>
      <c r="G333" s="535" t="e">
        <f ca="1">gr(calculs!BQ333)</f>
        <v>#NAME?</v>
      </c>
      <c r="H333" s="535" t="e">
        <f ca="1">gr(calculs!BR333)</f>
        <v>#NAME?</v>
      </c>
      <c r="I333" s="535"/>
      <c r="J333" s="535" t="e">
        <f>NA()</f>
        <v>#N/A</v>
      </c>
      <c r="K333" s="535" t="e">
        <f>NA()</f>
        <v>#N/A</v>
      </c>
      <c r="L333" s="535" t="e">
        <f>NA()</f>
        <v>#N/A</v>
      </c>
      <c r="M333" s="535" t="e">
        <f>NA()</f>
        <v>#N/A</v>
      </c>
      <c r="N333" s="535" t="e">
        <f>NA()</f>
        <v>#N/A</v>
      </c>
      <c r="O333" s="535" t="e">
        <f>NA()</f>
        <v>#N/A</v>
      </c>
      <c r="P333" s="535" t="e">
        <f>NA()</f>
        <v>#N/A</v>
      </c>
    </row>
    <row r="334" spans="1:16" x14ac:dyDescent="0.2">
      <c r="A334" s="222">
        <f>calculs!A334</f>
        <v>44885</v>
      </c>
      <c r="B334" s="535" t="e">
        <f ca="1">gr(calculs!BL334)</f>
        <v>#NAME?</v>
      </c>
      <c r="C334" s="535" t="e">
        <f ca="1">gr(calculs!BM334)</f>
        <v>#NAME?</v>
      </c>
      <c r="D334" s="535" t="e">
        <f ca="1">gr(calculs!BN334)</f>
        <v>#NAME?</v>
      </c>
      <c r="E334" s="535" t="e">
        <f ca="1">gr(calculs!BO334)</f>
        <v>#NAME?</v>
      </c>
      <c r="F334" s="535" t="e">
        <f ca="1">gr(calculs!BP334)</f>
        <v>#NAME?</v>
      </c>
      <c r="G334" s="535" t="e">
        <f ca="1">gr(calculs!BQ334)</f>
        <v>#NAME?</v>
      </c>
      <c r="H334" s="535" t="e">
        <f ca="1">gr(calculs!BR334)</f>
        <v>#NAME?</v>
      </c>
      <c r="I334" s="535"/>
      <c r="J334" s="535" t="e">
        <f>NA()</f>
        <v>#N/A</v>
      </c>
      <c r="K334" s="535" t="e">
        <f>NA()</f>
        <v>#N/A</v>
      </c>
      <c r="L334" s="535" t="e">
        <f>NA()</f>
        <v>#N/A</v>
      </c>
      <c r="M334" s="535" t="e">
        <f>NA()</f>
        <v>#N/A</v>
      </c>
      <c r="N334" s="535" t="e">
        <f>NA()</f>
        <v>#N/A</v>
      </c>
      <c r="O334" s="535" t="e">
        <f>NA()</f>
        <v>#N/A</v>
      </c>
      <c r="P334" s="535" t="e">
        <f>NA()</f>
        <v>#N/A</v>
      </c>
    </row>
    <row r="335" spans="1:16" x14ac:dyDescent="0.2">
      <c r="A335" s="222">
        <f>calculs!A335</f>
        <v>44886</v>
      </c>
      <c r="B335" s="535" t="e">
        <f ca="1">gr(calculs!BL335)</f>
        <v>#NAME?</v>
      </c>
      <c r="C335" s="535" t="e">
        <f ca="1">gr(calculs!BM335)</f>
        <v>#NAME?</v>
      </c>
      <c r="D335" s="535" t="e">
        <f ca="1">gr(calculs!BN335)</f>
        <v>#NAME?</v>
      </c>
      <c r="E335" s="535" t="e">
        <f ca="1">gr(calculs!BO335)</f>
        <v>#NAME?</v>
      </c>
      <c r="F335" s="535" t="e">
        <f ca="1">gr(calculs!BP335)</f>
        <v>#NAME?</v>
      </c>
      <c r="G335" s="535" t="e">
        <f ca="1">gr(calculs!BQ335)</f>
        <v>#NAME?</v>
      </c>
      <c r="H335" s="535" t="e">
        <f ca="1">gr(calculs!BR335)</f>
        <v>#NAME?</v>
      </c>
      <c r="I335" s="535"/>
      <c r="J335" s="535" t="e">
        <f>NA()</f>
        <v>#N/A</v>
      </c>
      <c r="K335" s="535" t="e">
        <f>NA()</f>
        <v>#N/A</v>
      </c>
      <c r="L335" s="535" t="e">
        <f>NA()</f>
        <v>#N/A</v>
      </c>
      <c r="M335" s="535" t="e">
        <f>NA()</f>
        <v>#N/A</v>
      </c>
      <c r="N335" s="535" t="e">
        <f>NA()</f>
        <v>#N/A</v>
      </c>
      <c r="O335" s="535" t="e">
        <f>NA()</f>
        <v>#N/A</v>
      </c>
      <c r="P335" s="535" t="e">
        <f>NA()</f>
        <v>#N/A</v>
      </c>
    </row>
    <row r="336" spans="1:16" x14ac:dyDescent="0.2">
      <c r="A336" s="222">
        <f>calculs!A336</f>
        <v>44887</v>
      </c>
      <c r="B336" s="535" t="e">
        <f ca="1">gr(calculs!BL336)</f>
        <v>#NAME?</v>
      </c>
      <c r="C336" s="535" t="e">
        <f ca="1">gr(calculs!BM336)</f>
        <v>#NAME?</v>
      </c>
      <c r="D336" s="535" t="e">
        <f ca="1">gr(calculs!BN336)</f>
        <v>#NAME?</v>
      </c>
      <c r="E336" s="535" t="e">
        <f ca="1">gr(calculs!BO336)</f>
        <v>#NAME?</v>
      </c>
      <c r="F336" s="535" t="e">
        <f ca="1">gr(calculs!BP336)</f>
        <v>#NAME?</v>
      </c>
      <c r="G336" s="535" t="e">
        <f ca="1">gr(calculs!BQ336)</f>
        <v>#NAME?</v>
      </c>
      <c r="H336" s="535" t="e">
        <f ca="1">gr(calculs!BR336)</f>
        <v>#NAME?</v>
      </c>
      <c r="I336" s="535"/>
      <c r="J336" s="535" t="e">
        <f>NA()</f>
        <v>#N/A</v>
      </c>
      <c r="K336" s="535" t="e">
        <f>NA()</f>
        <v>#N/A</v>
      </c>
      <c r="L336" s="535" t="e">
        <f>NA()</f>
        <v>#N/A</v>
      </c>
      <c r="M336" s="535" t="e">
        <f>NA()</f>
        <v>#N/A</v>
      </c>
      <c r="N336" s="535" t="e">
        <f>NA()</f>
        <v>#N/A</v>
      </c>
      <c r="O336" s="535" t="e">
        <f>NA()</f>
        <v>#N/A</v>
      </c>
      <c r="P336" s="535" t="e">
        <f>NA()</f>
        <v>#N/A</v>
      </c>
    </row>
    <row r="337" spans="1:16" x14ac:dyDescent="0.2">
      <c r="A337" s="222">
        <f>calculs!A337</f>
        <v>44888</v>
      </c>
      <c r="B337" s="535" t="e">
        <f ca="1">gr(calculs!BL337)</f>
        <v>#NAME?</v>
      </c>
      <c r="C337" s="535" t="e">
        <f ca="1">gr(calculs!BM337)</f>
        <v>#NAME?</v>
      </c>
      <c r="D337" s="535" t="e">
        <f ca="1">gr(calculs!BN337)</f>
        <v>#NAME?</v>
      </c>
      <c r="E337" s="535" t="e">
        <f ca="1">gr(calculs!BO337)</f>
        <v>#NAME?</v>
      </c>
      <c r="F337" s="535" t="e">
        <f ca="1">gr(calculs!BP337)</f>
        <v>#NAME?</v>
      </c>
      <c r="G337" s="535" t="e">
        <f ca="1">gr(calculs!BQ337)</f>
        <v>#NAME?</v>
      </c>
      <c r="H337" s="535" t="e">
        <f ca="1">gr(calculs!BR337)</f>
        <v>#NAME?</v>
      </c>
      <c r="I337" s="535"/>
      <c r="J337" s="535" t="e">
        <f>NA()</f>
        <v>#N/A</v>
      </c>
      <c r="K337" s="535" t="e">
        <f>NA()</f>
        <v>#N/A</v>
      </c>
      <c r="L337" s="535" t="e">
        <f>NA()</f>
        <v>#N/A</v>
      </c>
      <c r="M337" s="535" t="e">
        <f>NA()</f>
        <v>#N/A</v>
      </c>
      <c r="N337" s="535" t="e">
        <f>NA()</f>
        <v>#N/A</v>
      </c>
      <c r="O337" s="535" t="e">
        <f>NA()</f>
        <v>#N/A</v>
      </c>
      <c r="P337" s="535" t="e">
        <f>NA()</f>
        <v>#N/A</v>
      </c>
    </row>
    <row r="338" spans="1:16" x14ac:dyDescent="0.2">
      <c r="A338" s="222">
        <f>calculs!A338</f>
        <v>44889</v>
      </c>
      <c r="B338" s="535" t="e">
        <f ca="1">gr(calculs!BL338)</f>
        <v>#NAME?</v>
      </c>
      <c r="C338" s="535" t="e">
        <f ca="1">gr(calculs!BM338)</f>
        <v>#NAME?</v>
      </c>
      <c r="D338" s="535" t="e">
        <f ca="1">gr(calculs!BN338)</f>
        <v>#NAME?</v>
      </c>
      <c r="E338" s="535" t="e">
        <f ca="1">gr(calculs!BO338)</f>
        <v>#NAME?</v>
      </c>
      <c r="F338" s="535" t="e">
        <f ca="1">gr(calculs!BP338)</f>
        <v>#NAME?</v>
      </c>
      <c r="G338" s="535" t="e">
        <f ca="1">gr(calculs!BQ338)</f>
        <v>#NAME?</v>
      </c>
      <c r="H338" s="535" t="e">
        <f ca="1">gr(calculs!BR338)</f>
        <v>#NAME?</v>
      </c>
      <c r="I338" s="535"/>
      <c r="J338" s="535" t="e">
        <f>NA()</f>
        <v>#N/A</v>
      </c>
      <c r="K338" s="535" t="e">
        <f>NA()</f>
        <v>#N/A</v>
      </c>
      <c r="L338" s="535" t="e">
        <f>NA()</f>
        <v>#N/A</v>
      </c>
      <c r="M338" s="535" t="e">
        <f>NA()</f>
        <v>#N/A</v>
      </c>
      <c r="N338" s="535" t="e">
        <f>NA()</f>
        <v>#N/A</v>
      </c>
      <c r="O338" s="535" t="e">
        <f>NA()</f>
        <v>#N/A</v>
      </c>
      <c r="P338" s="535" t="e">
        <f>NA()</f>
        <v>#N/A</v>
      </c>
    </row>
    <row r="339" spans="1:16" x14ac:dyDescent="0.2">
      <c r="A339" s="222">
        <f>calculs!A339</f>
        <v>44890</v>
      </c>
      <c r="B339" s="535" t="e">
        <f ca="1">gr(calculs!BL339)</f>
        <v>#NAME?</v>
      </c>
      <c r="C339" s="535" t="e">
        <f ca="1">gr(calculs!BM339)</f>
        <v>#NAME?</v>
      </c>
      <c r="D339" s="535" t="e">
        <f ca="1">gr(calculs!BN339)</f>
        <v>#NAME?</v>
      </c>
      <c r="E339" s="535" t="e">
        <f ca="1">gr(calculs!BO339)</f>
        <v>#NAME?</v>
      </c>
      <c r="F339" s="535" t="e">
        <f ca="1">gr(calculs!BP339)</f>
        <v>#NAME?</v>
      </c>
      <c r="G339" s="535" t="e">
        <f ca="1">gr(calculs!BQ339)</f>
        <v>#NAME?</v>
      </c>
      <c r="H339" s="535" t="e">
        <f ca="1">gr(calculs!BR339)</f>
        <v>#NAME?</v>
      </c>
      <c r="I339" s="535"/>
      <c r="J339" s="535" t="e">
        <f>NA()</f>
        <v>#N/A</v>
      </c>
      <c r="K339" s="535" t="e">
        <f>NA()</f>
        <v>#N/A</v>
      </c>
      <c r="L339" s="535" t="e">
        <f>NA()</f>
        <v>#N/A</v>
      </c>
      <c r="M339" s="535" t="e">
        <f>NA()</f>
        <v>#N/A</v>
      </c>
      <c r="N339" s="535" t="e">
        <f>NA()</f>
        <v>#N/A</v>
      </c>
      <c r="O339" s="535" t="e">
        <f>NA()</f>
        <v>#N/A</v>
      </c>
      <c r="P339" s="535" t="e">
        <f>NA()</f>
        <v>#N/A</v>
      </c>
    </row>
    <row r="340" spans="1:16" x14ac:dyDescent="0.2">
      <c r="A340" s="222">
        <f>calculs!A340</f>
        <v>44891</v>
      </c>
      <c r="B340" s="535" t="e">
        <f ca="1">gr(calculs!BL340)</f>
        <v>#NAME?</v>
      </c>
      <c r="C340" s="535" t="e">
        <f ca="1">gr(calculs!BM340)</f>
        <v>#NAME?</v>
      </c>
      <c r="D340" s="535" t="e">
        <f ca="1">gr(calculs!BN340)</f>
        <v>#NAME?</v>
      </c>
      <c r="E340" s="535" t="e">
        <f ca="1">gr(calculs!BO340)</f>
        <v>#NAME?</v>
      </c>
      <c r="F340" s="535" t="e">
        <f ca="1">gr(calculs!BP340)</f>
        <v>#NAME?</v>
      </c>
      <c r="G340" s="535" t="e">
        <f ca="1">gr(calculs!BQ340)</f>
        <v>#NAME?</v>
      </c>
      <c r="H340" s="535" t="e">
        <f ca="1">gr(calculs!BR340)</f>
        <v>#NAME?</v>
      </c>
      <c r="I340" s="535"/>
      <c r="J340" s="535" t="e">
        <f>NA()</f>
        <v>#N/A</v>
      </c>
      <c r="K340" s="535" t="e">
        <f>NA()</f>
        <v>#N/A</v>
      </c>
      <c r="L340" s="535" t="e">
        <f>NA()</f>
        <v>#N/A</v>
      </c>
      <c r="M340" s="535" t="e">
        <f>NA()</f>
        <v>#N/A</v>
      </c>
      <c r="N340" s="535" t="e">
        <f>NA()</f>
        <v>#N/A</v>
      </c>
      <c r="O340" s="535" t="e">
        <f>NA()</f>
        <v>#N/A</v>
      </c>
      <c r="P340" s="535" t="e">
        <f>NA()</f>
        <v>#N/A</v>
      </c>
    </row>
    <row r="341" spans="1:16" x14ac:dyDescent="0.2">
      <c r="A341" s="222">
        <f>calculs!A341</f>
        <v>44892</v>
      </c>
      <c r="B341" s="535" t="e">
        <f ca="1">gr(calculs!BL341)</f>
        <v>#NAME?</v>
      </c>
      <c r="C341" s="535" t="e">
        <f ca="1">gr(calculs!BM341)</f>
        <v>#NAME?</v>
      </c>
      <c r="D341" s="535" t="e">
        <f ca="1">gr(calculs!BN341)</f>
        <v>#NAME?</v>
      </c>
      <c r="E341" s="535" t="e">
        <f ca="1">gr(calculs!BO341)</f>
        <v>#NAME?</v>
      </c>
      <c r="F341" s="535" t="e">
        <f ca="1">gr(calculs!BP341)</f>
        <v>#NAME?</v>
      </c>
      <c r="G341" s="535" t="e">
        <f ca="1">gr(calculs!BQ341)</f>
        <v>#NAME?</v>
      </c>
      <c r="H341" s="535" t="e">
        <f ca="1">gr(calculs!BR341)</f>
        <v>#NAME?</v>
      </c>
      <c r="I341" s="535"/>
      <c r="J341" s="535" t="e">
        <f>NA()</f>
        <v>#N/A</v>
      </c>
      <c r="K341" s="535" t="e">
        <f>NA()</f>
        <v>#N/A</v>
      </c>
      <c r="L341" s="535" t="e">
        <f>NA()</f>
        <v>#N/A</v>
      </c>
      <c r="M341" s="535" t="e">
        <f>NA()</f>
        <v>#N/A</v>
      </c>
      <c r="N341" s="535" t="e">
        <f>NA()</f>
        <v>#N/A</v>
      </c>
      <c r="O341" s="535" t="e">
        <f>NA()</f>
        <v>#N/A</v>
      </c>
      <c r="P341" s="535" t="e">
        <f>NA()</f>
        <v>#N/A</v>
      </c>
    </row>
    <row r="342" spans="1:16" x14ac:dyDescent="0.2">
      <c r="A342" s="222">
        <f>calculs!A342</f>
        <v>44893</v>
      </c>
      <c r="B342" s="535" t="e">
        <f ca="1">gr(calculs!BL342)</f>
        <v>#NAME?</v>
      </c>
      <c r="C342" s="535" t="e">
        <f ca="1">gr(calculs!BM342)</f>
        <v>#NAME?</v>
      </c>
      <c r="D342" s="535" t="e">
        <f ca="1">gr(calculs!BN342)</f>
        <v>#NAME?</v>
      </c>
      <c r="E342" s="535" t="e">
        <f ca="1">gr(calculs!BO342)</f>
        <v>#NAME?</v>
      </c>
      <c r="F342" s="535" t="e">
        <f ca="1">gr(calculs!BP342)</f>
        <v>#NAME?</v>
      </c>
      <c r="G342" s="535" t="e">
        <f ca="1">gr(calculs!BQ342)</f>
        <v>#NAME?</v>
      </c>
      <c r="H342" s="535" t="e">
        <f ca="1">gr(calculs!BR342)</f>
        <v>#NAME?</v>
      </c>
      <c r="I342" s="535"/>
      <c r="J342" s="535" t="e">
        <f>NA()</f>
        <v>#N/A</v>
      </c>
      <c r="K342" s="535" t="e">
        <f>NA()</f>
        <v>#N/A</v>
      </c>
      <c r="L342" s="535" t="e">
        <f>NA()</f>
        <v>#N/A</v>
      </c>
      <c r="M342" s="535" t="e">
        <f>NA()</f>
        <v>#N/A</v>
      </c>
      <c r="N342" s="535" t="e">
        <f>NA()</f>
        <v>#N/A</v>
      </c>
      <c r="O342" s="535" t="e">
        <f>NA()</f>
        <v>#N/A</v>
      </c>
      <c r="P342" s="535" t="e">
        <f>NA()</f>
        <v>#N/A</v>
      </c>
    </row>
    <row r="343" spans="1:16" x14ac:dyDescent="0.2">
      <c r="A343" s="222">
        <f>calculs!A343</f>
        <v>44894</v>
      </c>
      <c r="B343" s="535" t="e">
        <f ca="1">gr(calculs!BL343)</f>
        <v>#NAME?</v>
      </c>
      <c r="C343" s="535" t="e">
        <f ca="1">gr(calculs!BM343)</f>
        <v>#NAME?</v>
      </c>
      <c r="D343" s="535" t="e">
        <f ca="1">gr(calculs!BN343)</f>
        <v>#NAME?</v>
      </c>
      <c r="E343" s="535" t="e">
        <f ca="1">gr(calculs!BO343)</f>
        <v>#NAME?</v>
      </c>
      <c r="F343" s="535" t="e">
        <f ca="1">gr(calculs!BP343)</f>
        <v>#NAME?</v>
      </c>
      <c r="G343" s="535" t="e">
        <f ca="1">gr(calculs!BQ343)</f>
        <v>#NAME?</v>
      </c>
      <c r="H343" s="535" t="e">
        <f ca="1">gr(calculs!BR343)</f>
        <v>#NAME?</v>
      </c>
      <c r="I343" s="535"/>
      <c r="J343" s="535" t="e">
        <f>NA()</f>
        <v>#N/A</v>
      </c>
      <c r="K343" s="535" t="e">
        <f>NA()</f>
        <v>#N/A</v>
      </c>
      <c r="L343" s="535" t="e">
        <f>NA()</f>
        <v>#N/A</v>
      </c>
      <c r="M343" s="535" t="e">
        <f>NA()</f>
        <v>#N/A</v>
      </c>
      <c r="N343" s="535" t="e">
        <f>NA()</f>
        <v>#N/A</v>
      </c>
      <c r="O343" s="535" t="e">
        <f>NA()</f>
        <v>#N/A</v>
      </c>
      <c r="P343" s="535" t="e">
        <f>NA()</f>
        <v>#N/A</v>
      </c>
    </row>
    <row r="344" spans="1:16" x14ac:dyDescent="0.2">
      <c r="A344" s="222">
        <f>calculs!A344</f>
        <v>44895</v>
      </c>
      <c r="B344" s="535" t="e">
        <f ca="1">gr(calculs!BL344)</f>
        <v>#NAME?</v>
      </c>
      <c r="C344" s="535" t="e">
        <f ca="1">gr(calculs!BM344)</f>
        <v>#NAME?</v>
      </c>
      <c r="D344" s="535" t="e">
        <f ca="1">gr(calculs!BN344)</f>
        <v>#NAME?</v>
      </c>
      <c r="E344" s="535" t="e">
        <f ca="1">gr(calculs!BO344)</f>
        <v>#NAME?</v>
      </c>
      <c r="F344" s="535" t="e">
        <f ca="1">gr(calculs!BP344)</f>
        <v>#NAME?</v>
      </c>
      <c r="G344" s="535" t="e">
        <f ca="1">gr(calculs!BQ344)</f>
        <v>#NAME?</v>
      </c>
      <c r="H344" s="535" t="e">
        <f ca="1">gr(calculs!BR344)</f>
        <v>#NAME?</v>
      </c>
      <c r="I344" s="535"/>
      <c r="J344" s="535" t="e">
        <f>NA()</f>
        <v>#N/A</v>
      </c>
      <c r="K344" s="535" t="e">
        <f>NA()</f>
        <v>#N/A</v>
      </c>
      <c r="L344" s="535" t="e">
        <f>NA()</f>
        <v>#N/A</v>
      </c>
      <c r="M344" s="535" t="e">
        <f>NA()</f>
        <v>#N/A</v>
      </c>
      <c r="N344" s="535" t="e">
        <f>NA()</f>
        <v>#N/A</v>
      </c>
      <c r="O344" s="535" t="e">
        <f>NA()</f>
        <v>#N/A</v>
      </c>
      <c r="P344" s="535" t="e">
        <f>NA()</f>
        <v>#N/A</v>
      </c>
    </row>
    <row r="345" spans="1:16" x14ac:dyDescent="0.2">
      <c r="A345" s="222">
        <f>calculs!A345</f>
        <v>44896</v>
      </c>
      <c r="B345" s="535" t="e">
        <f ca="1">gr(calculs!BL345)</f>
        <v>#NAME?</v>
      </c>
      <c r="C345" s="535" t="e">
        <f ca="1">gr(calculs!BM345)</f>
        <v>#NAME?</v>
      </c>
      <c r="D345" s="535" t="e">
        <f ca="1">gr(calculs!BN345)</f>
        <v>#NAME?</v>
      </c>
      <c r="E345" s="535" t="e">
        <f ca="1">gr(calculs!BO345)</f>
        <v>#NAME?</v>
      </c>
      <c r="F345" s="535" t="e">
        <f ca="1">gr(calculs!BP345)</f>
        <v>#NAME?</v>
      </c>
      <c r="G345" s="535" t="e">
        <f ca="1">gr(calculs!BQ345)</f>
        <v>#NAME?</v>
      </c>
      <c r="H345" s="535" t="e">
        <f ca="1">gr(calculs!BR345)</f>
        <v>#NAME?</v>
      </c>
      <c r="I345" s="535"/>
      <c r="J345" s="535" t="e">
        <f>NA()</f>
        <v>#N/A</v>
      </c>
      <c r="K345" s="535" t="e">
        <f>NA()</f>
        <v>#N/A</v>
      </c>
      <c r="L345" s="535" t="e">
        <f>NA()</f>
        <v>#N/A</v>
      </c>
      <c r="M345" s="535" t="e">
        <f>NA()</f>
        <v>#N/A</v>
      </c>
      <c r="N345" s="535" t="e">
        <f>NA()</f>
        <v>#N/A</v>
      </c>
      <c r="O345" s="535" t="e">
        <f>NA()</f>
        <v>#N/A</v>
      </c>
      <c r="P345" s="535" t="e">
        <f>NA()</f>
        <v>#N/A</v>
      </c>
    </row>
    <row r="346" spans="1:16" x14ac:dyDescent="0.2">
      <c r="A346" s="222">
        <f>calculs!A346</f>
        <v>44897</v>
      </c>
      <c r="B346" s="535" t="e">
        <f ca="1">gr(calculs!BL346)</f>
        <v>#NAME?</v>
      </c>
      <c r="C346" s="535" t="e">
        <f ca="1">gr(calculs!BM346)</f>
        <v>#NAME?</v>
      </c>
      <c r="D346" s="535" t="e">
        <f ca="1">gr(calculs!BN346)</f>
        <v>#NAME?</v>
      </c>
      <c r="E346" s="535" t="e">
        <f ca="1">gr(calculs!BO346)</f>
        <v>#NAME?</v>
      </c>
      <c r="F346" s="535" t="e">
        <f ca="1">gr(calculs!BP346)</f>
        <v>#NAME?</v>
      </c>
      <c r="G346" s="535" t="e">
        <f ca="1">gr(calculs!BQ346)</f>
        <v>#NAME?</v>
      </c>
      <c r="H346" s="535" t="e">
        <f ca="1">gr(calculs!BR346)</f>
        <v>#NAME?</v>
      </c>
      <c r="I346" s="535"/>
      <c r="J346" s="535" t="e">
        <f>NA()</f>
        <v>#N/A</v>
      </c>
      <c r="K346" s="535" t="e">
        <f>NA()</f>
        <v>#N/A</v>
      </c>
      <c r="L346" s="535" t="e">
        <f>NA()</f>
        <v>#N/A</v>
      </c>
      <c r="M346" s="535" t="e">
        <f>NA()</f>
        <v>#N/A</v>
      </c>
      <c r="N346" s="535" t="e">
        <f>NA()</f>
        <v>#N/A</v>
      </c>
      <c r="O346" s="535" t="e">
        <f>NA()</f>
        <v>#N/A</v>
      </c>
      <c r="P346" s="535" t="e">
        <f>NA()</f>
        <v>#N/A</v>
      </c>
    </row>
    <row r="347" spans="1:16" x14ac:dyDescent="0.2">
      <c r="A347" s="222">
        <f>calculs!A347</f>
        <v>44898</v>
      </c>
      <c r="B347" s="535" t="e">
        <f ca="1">gr(calculs!BL347)</f>
        <v>#NAME?</v>
      </c>
      <c r="C347" s="535" t="e">
        <f ca="1">gr(calculs!BM347)</f>
        <v>#NAME?</v>
      </c>
      <c r="D347" s="535" t="e">
        <f ca="1">gr(calculs!BN347)</f>
        <v>#NAME?</v>
      </c>
      <c r="E347" s="535" t="e">
        <f ca="1">gr(calculs!BO347)</f>
        <v>#NAME?</v>
      </c>
      <c r="F347" s="535" t="e">
        <f ca="1">gr(calculs!BP347)</f>
        <v>#NAME?</v>
      </c>
      <c r="G347" s="535" t="e">
        <f ca="1">gr(calculs!BQ347)</f>
        <v>#NAME?</v>
      </c>
      <c r="H347" s="535" t="e">
        <f ca="1">gr(calculs!BR347)</f>
        <v>#NAME?</v>
      </c>
      <c r="I347" s="535"/>
      <c r="J347" s="535" t="e">
        <f>NA()</f>
        <v>#N/A</v>
      </c>
      <c r="K347" s="535" t="e">
        <f>NA()</f>
        <v>#N/A</v>
      </c>
      <c r="L347" s="535" t="e">
        <f>NA()</f>
        <v>#N/A</v>
      </c>
      <c r="M347" s="535" t="e">
        <f>NA()</f>
        <v>#N/A</v>
      </c>
      <c r="N347" s="535" t="e">
        <f>NA()</f>
        <v>#N/A</v>
      </c>
      <c r="O347" s="535" t="e">
        <f>NA()</f>
        <v>#N/A</v>
      </c>
      <c r="P347" s="535" t="e">
        <f>NA()</f>
        <v>#N/A</v>
      </c>
    </row>
    <row r="348" spans="1:16" x14ac:dyDescent="0.2">
      <c r="A348" s="222">
        <f>calculs!A348</f>
        <v>44899</v>
      </c>
      <c r="B348" s="535" t="e">
        <f ca="1">gr(calculs!BL348)</f>
        <v>#NAME?</v>
      </c>
      <c r="C348" s="535" t="e">
        <f ca="1">gr(calculs!BM348)</f>
        <v>#NAME?</v>
      </c>
      <c r="D348" s="535" t="e">
        <f ca="1">gr(calculs!BN348)</f>
        <v>#NAME?</v>
      </c>
      <c r="E348" s="535" t="e">
        <f ca="1">gr(calculs!BO348)</f>
        <v>#NAME?</v>
      </c>
      <c r="F348" s="535" t="e">
        <f ca="1">gr(calculs!BP348)</f>
        <v>#NAME?</v>
      </c>
      <c r="G348" s="535" t="e">
        <f ca="1">gr(calculs!BQ348)</f>
        <v>#NAME?</v>
      </c>
      <c r="H348" s="535" t="e">
        <f ca="1">gr(calculs!BR348)</f>
        <v>#NAME?</v>
      </c>
      <c r="I348" s="535"/>
      <c r="J348" s="535" t="e">
        <f>NA()</f>
        <v>#N/A</v>
      </c>
      <c r="K348" s="535" t="e">
        <f>NA()</f>
        <v>#N/A</v>
      </c>
      <c r="L348" s="535" t="e">
        <f>NA()</f>
        <v>#N/A</v>
      </c>
      <c r="M348" s="535" t="e">
        <f>NA()</f>
        <v>#N/A</v>
      </c>
      <c r="N348" s="535" t="e">
        <f>NA()</f>
        <v>#N/A</v>
      </c>
      <c r="O348" s="535" t="e">
        <f>NA()</f>
        <v>#N/A</v>
      </c>
      <c r="P348" s="535" t="e">
        <f>NA()</f>
        <v>#N/A</v>
      </c>
    </row>
    <row r="349" spans="1:16" x14ac:dyDescent="0.2">
      <c r="A349" s="222">
        <f>calculs!A349</f>
        <v>44900</v>
      </c>
      <c r="B349" s="535" t="e">
        <f ca="1">gr(calculs!BL349)</f>
        <v>#NAME?</v>
      </c>
      <c r="C349" s="535" t="e">
        <f ca="1">gr(calculs!BM349)</f>
        <v>#NAME?</v>
      </c>
      <c r="D349" s="535" t="e">
        <f ca="1">gr(calculs!BN349)</f>
        <v>#NAME?</v>
      </c>
      <c r="E349" s="535" t="e">
        <f ca="1">gr(calculs!BO349)</f>
        <v>#NAME?</v>
      </c>
      <c r="F349" s="535" t="e">
        <f ca="1">gr(calculs!BP349)</f>
        <v>#NAME?</v>
      </c>
      <c r="G349" s="535" t="e">
        <f ca="1">gr(calculs!BQ349)</f>
        <v>#NAME?</v>
      </c>
      <c r="H349" s="535" t="e">
        <f ca="1">gr(calculs!BR349)</f>
        <v>#NAME?</v>
      </c>
      <c r="I349" s="535"/>
      <c r="J349" s="535" t="e">
        <f>NA()</f>
        <v>#N/A</v>
      </c>
      <c r="K349" s="535" t="e">
        <f>NA()</f>
        <v>#N/A</v>
      </c>
      <c r="L349" s="535" t="e">
        <f>NA()</f>
        <v>#N/A</v>
      </c>
      <c r="M349" s="535" t="e">
        <f>NA()</f>
        <v>#N/A</v>
      </c>
      <c r="N349" s="535" t="e">
        <f>NA()</f>
        <v>#N/A</v>
      </c>
      <c r="O349" s="535" t="e">
        <f>NA()</f>
        <v>#N/A</v>
      </c>
      <c r="P349" s="535" t="e">
        <f>NA()</f>
        <v>#N/A</v>
      </c>
    </row>
    <row r="350" spans="1:16" x14ac:dyDescent="0.2">
      <c r="A350" s="222">
        <f>calculs!A350</f>
        <v>44901</v>
      </c>
      <c r="B350" s="535" t="e">
        <f ca="1">gr(calculs!BL350)</f>
        <v>#NAME?</v>
      </c>
      <c r="C350" s="535" t="e">
        <f ca="1">gr(calculs!BM350)</f>
        <v>#NAME?</v>
      </c>
      <c r="D350" s="535" t="e">
        <f ca="1">gr(calculs!BN350)</f>
        <v>#NAME?</v>
      </c>
      <c r="E350" s="535" t="e">
        <f ca="1">gr(calculs!BO350)</f>
        <v>#NAME?</v>
      </c>
      <c r="F350" s="535" t="e">
        <f ca="1">gr(calculs!BP350)</f>
        <v>#NAME?</v>
      </c>
      <c r="G350" s="535" t="e">
        <f ca="1">gr(calculs!BQ350)</f>
        <v>#NAME?</v>
      </c>
      <c r="H350" s="535" t="e">
        <f ca="1">gr(calculs!BR350)</f>
        <v>#NAME?</v>
      </c>
      <c r="I350" s="535"/>
      <c r="J350" s="535" t="e">
        <f>NA()</f>
        <v>#N/A</v>
      </c>
      <c r="K350" s="535" t="e">
        <f>NA()</f>
        <v>#N/A</v>
      </c>
      <c r="L350" s="535" t="e">
        <f>NA()</f>
        <v>#N/A</v>
      </c>
      <c r="M350" s="535" t="e">
        <f>NA()</f>
        <v>#N/A</v>
      </c>
      <c r="N350" s="535" t="e">
        <f>NA()</f>
        <v>#N/A</v>
      </c>
      <c r="O350" s="535" t="e">
        <f>NA()</f>
        <v>#N/A</v>
      </c>
      <c r="P350" s="535" t="e">
        <f>NA()</f>
        <v>#N/A</v>
      </c>
    </row>
    <row r="351" spans="1:16" x14ac:dyDescent="0.2">
      <c r="A351" s="222">
        <f>calculs!A351</f>
        <v>44902</v>
      </c>
      <c r="B351" s="535" t="e">
        <f ca="1">gr(calculs!BL351)</f>
        <v>#NAME?</v>
      </c>
      <c r="C351" s="535" t="e">
        <f ca="1">gr(calculs!BM351)</f>
        <v>#NAME?</v>
      </c>
      <c r="D351" s="535" t="e">
        <f ca="1">gr(calculs!BN351)</f>
        <v>#NAME?</v>
      </c>
      <c r="E351" s="535" t="e">
        <f ca="1">gr(calculs!BO351)</f>
        <v>#NAME?</v>
      </c>
      <c r="F351" s="535" t="e">
        <f ca="1">gr(calculs!BP351)</f>
        <v>#NAME?</v>
      </c>
      <c r="G351" s="535" t="e">
        <f ca="1">gr(calculs!BQ351)</f>
        <v>#NAME?</v>
      </c>
      <c r="H351" s="535" t="e">
        <f ca="1">gr(calculs!BR351)</f>
        <v>#NAME?</v>
      </c>
      <c r="I351" s="535"/>
      <c r="J351" s="535" t="e">
        <f>NA()</f>
        <v>#N/A</v>
      </c>
      <c r="K351" s="535" t="e">
        <f>NA()</f>
        <v>#N/A</v>
      </c>
      <c r="L351" s="535" t="e">
        <f>NA()</f>
        <v>#N/A</v>
      </c>
      <c r="M351" s="535" t="e">
        <f>NA()</f>
        <v>#N/A</v>
      </c>
      <c r="N351" s="535" t="e">
        <f>NA()</f>
        <v>#N/A</v>
      </c>
      <c r="O351" s="535" t="e">
        <f>NA()</f>
        <v>#N/A</v>
      </c>
      <c r="P351" s="535" t="e">
        <f>NA()</f>
        <v>#N/A</v>
      </c>
    </row>
    <row r="352" spans="1:16" x14ac:dyDescent="0.2">
      <c r="A352" s="222">
        <f>calculs!A352</f>
        <v>44903</v>
      </c>
      <c r="B352" s="535" t="e">
        <f ca="1">gr(calculs!BL352)</f>
        <v>#NAME?</v>
      </c>
      <c r="C352" s="535" t="e">
        <f ca="1">gr(calculs!BM352)</f>
        <v>#NAME?</v>
      </c>
      <c r="D352" s="535" t="e">
        <f ca="1">gr(calculs!BN352)</f>
        <v>#NAME?</v>
      </c>
      <c r="E352" s="535" t="e">
        <f ca="1">gr(calculs!BO352)</f>
        <v>#NAME?</v>
      </c>
      <c r="F352" s="535" t="e">
        <f ca="1">gr(calculs!BP352)</f>
        <v>#NAME?</v>
      </c>
      <c r="G352" s="535" t="e">
        <f ca="1">gr(calculs!BQ352)</f>
        <v>#NAME?</v>
      </c>
      <c r="H352" s="535" t="e">
        <f ca="1">gr(calculs!BR352)</f>
        <v>#NAME?</v>
      </c>
      <c r="I352" s="535"/>
      <c r="J352" s="535" t="e">
        <f>NA()</f>
        <v>#N/A</v>
      </c>
      <c r="K352" s="535" t="e">
        <f>NA()</f>
        <v>#N/A</v>
      </c>
      <c r="L352" s="535" t="e">
        <f>NA()</f>
        <v>#N/A</v>
      </c>
      <c r="M352" s="535" t="e">
        <f>NA()</f>
        <v>#N/A</v>
      </c>
      <c r="N352" s="535" t="e">
        <f>NA()</f>
        <v>#N/A</v>
      </c>
      <c r="O352" s="535" t="e">
        <f>NA()</f>
        <v>#N/A</v>
      </c>
      <c r="P352" s="535" t="e">
        <f>NA()</f>
        <v>#N/A</v>
      </c>
    </row>
    <row r="353" spans="1:16" x14ac:dyDescent="0.2">
      <c r="A353" s="222">
        <f>calculs!A353</f>
        <v>44904</v>
      </c>
      <c r="B353" s="535" t="e">
        <f ca="1">gr(calculs!BL353)</f>
        <v>#NAME?</v>
      </c>
      <c r="C353" s="535" t="e">
        <f ca="1">gr(calculs!BM353)</f>
        <v>#NAME?</v>
      </c>
      <c r="D353" s="535" t="e">
        <f ca="1">gr(calculs!BN353)</f>
        <v>#NAME?</v>
      </c>
      <c r="E353" s="535" t="e">
        <f ca="1">gr(calculs!BO353)</f>
        <v>#NAME?</v>
      </c>
      <c r="F353" s="535" t="e">
        <f ca="1">gr(calculs!BP353)</f>
        <v>#NAME?</v>
      </c>
      <c r="G353" s="535" t="e">
        <f ca="1">gr(calculs!BQ353)</f>
        <v>#NAME?</v>
      </c>
      <c r="H353" s="535" t="e">
        <f ca="1">gr(calculs!BR353)</f>
        <v>#NAME?</v>
      </c>
      <c r="I353" s="535"/>
      <c r="J353" s="535" t="e">
        <f>NA()</f>
        <v>#N/A</v>
      </c>
      <c r="K353" s="535" t="e">
        <f>NA()</f>
        <v>#N/A</v>
      </c>
      <c r="L353" s="535" t="e">
        <f>NA()</f>
        <v>#N/A</v>
      </c>
      <c r="M353" s="535" t="e">
        <f>NA()</f>
        <v>#N/A</v>
      </c>
      <c r="N353" s="535" t="e">
        <f>NA()</f>
        <v>#N/A</v>
      </c>
      <c r="O353" s="535" t="e">
        <f>NA()</f>
        <v>#N/A</v>
      </c>
      <c r="P353" s="535" t="e">
        <f>NA()</f>
        <v>#N/A</v>
      </c>
    </row>
    <row r="354" spans="1:16" x14ac:dyDescent="0.2">
      <c r="A354" s="222">
        <f>calculs!A354</f>
        <v>44905</v>
      </c>
      <c r="B354" s="535" t="e">
        <f ca="1">gr(calculs!BL354)</f>
        <v>#NAME?</v>
      </c>
      <c r="C354" s="535" t="e">
        <f ca="1">gr(calculs!BM354)</f>
        <v>#NAME?</v>
      </c>
      <c r="D354" s="535" t="e">
        <f ca="1">gr(calculs!BN354)</f>
        <v>#NAME?</v>
      </c>
      <c r="E354" s="535" t="e">
        <f ca="1">gr(calculs!BO354)</f>
        <v>#NAME?</v>
      </c>
      <c r="F354" s="535" t="e">
        <f ca="1">gr(calculs!BP354)</f>
        <v>#NAME?</v>
      </c>
      <c r="G354" s="535" t="e">
        <f ca="1">gr(calculs!BQ354)</f>
        <v>#NAME?</v>
      </c>
      <c r="H354" s="535" t="e">
        <f ca="1">gr(calculs!BR354)</f>
        <v>#NAME?</v>
      </c>
      <c r="I354" s="535"/>
      <c r="J354" s="535" t="e">
        <f>NA()</f>
        <v>#N/A</v>
      </c>
      <c r="K354" s="535" t="e">
        <f>NA()</f>
        <v>#N/A</v>
      </c>
      <c r="L354" s="535" t="e">
        <f>NA()</f>
        <v>#N/A</v>
      </c>
      <c r="M354" s="535" t="e">
        <f>NA()</f>
        <v>#N/A</v>
      </c>
      <c r="N354" s="535" t="e">
        <f>NA()</f>
        <v>#N/A</v>
      </c>
      <c r="O354" s="535" t="e">
        <f>NA()</f>
        <v>#N/A</v>
      </c>
      <c r="P354" s="535" t="e">
        <f>NA()</f>
        <v>#N/A</v>
      </c>
    </row>
    <row r="355" spans="1:16" x14ac:dyDescent="0.2">
      <c r="A355" s="222">
        <f>calculs!A355</f>
        <v>44906</v>
      </c>
      <c r="B355" s="535" t="e">
        <f ca="1">gr(calculs!BL355)</f>
        <v>#NAME?</v>
      </c>
      <c r="C355" s="535" t="e">
        <f ca="1">gr(calculs!BM355)</f>
        <v>#NAME?</v>
      </c>
      <c r="D355" s="535" t="e">
        <f ca="1">gr(calculs!BN355)</f>
        <v>#NAME?</v>
      </c>
      <c r="E355" s="535" t="e">
        <f ca="1">gr(calculs!BO355)</f>
        <v>#NAME?</v>
      </c>
      <c r="F355" s="535" t="e">
        <f ca="1">gr(calculs!BP355)</f>
        <v>#NAME?</v>
      </c>
      <c r="G355" s="535" t="e">
        <f ca="1">gr(calculs!BQ355)</f>
        <v>#NAME?</v>
      </c>
      <c r="H355" s="535" t="e">
        <f ca="1">gr(calculs!BR355)</f>
        <v>#NAME?</v>
      </c>
      <c r="I355" s="535"/>
      <c r="J355" s="535" t="e">
        <f>NA()</f>
        <v>#N/A</v>
      </c>
      <c r="K355" s="535" t="e">
        <f>NA()</f>
        <v>#N/A</v>
      </c>
      <c r="L355" s="535" t="e">
        <f>NA()</f>
        <v>#N/A</v>
      </c>
      <c r="M355" s="535" t="e">
        <f>NA()</f>
        <v>#N/A</v>
      </c>
      <c r="N355" s="535" t="e">
        <f>NA()</f>
        <v>#N/A</v>
      </c>
      <c r="O355" s="535" t="e">
        <f>NA()</f>
        <v>#N/A</v>
      </c>
      <c r="P355" s="535" t="e">
        <f>NA()</f>
        <v>#N/A</v>
      </c>
    </row>
    <row r="356" spans="1:16" x14ac:dyDescent="0.2">
      <c r="A356" s="222">
        <f>calculs!A356</f>
        <v>44907</v>
      </c>
      <c r="B356" s="535" t="e">
        <f ca="1">gr(calculs!BL356)</f>
        <v>#NAME?</v>
      </c>
      <c r="C356" s="535" t="e">
        <f ca="1">gr(calculs!BM356)</f>
        <v>#NAME?</v>
      </c>
      <c r="D356" s="535" t="e">
        <f ca="1">gr(calculs!BN356)</f>
        <v>#NAME?</v>
      </c>
      <c r="E356" s="535" t="e">
        <f ca="1">gr(calculs!BO356)</f>
        <v>#NAME?</v>
      </c>
      <c r="F356" s="535" t="e">
        <f ca="1">gr(calculs!BP356)</f>
        <v>#NAME?</v>
      </c>
      <c r="G356" s="535" t="e">
        <f ca="1">gr(calculs!BQ356)</f>
        <v>#NAME?</v>
      </c>
      <c r="H356" s="535" t="e">
        <f ca="1">gr(calculs!BR356)</f>
        <v>#NAME?</v>
      </c>
      <c r="I356" s="535"/>
      <c r="J356" s="535" t="e">
        <f>NA()</f>
        <v>#N/A</v>
      </c>
      <c r="K356" s="535" t="e">
        <f>NA()</f>
        <v>#N/A</v>
      </c>
      <c r="L356" s="535" t="e">
        <f>NA()</f>
        <v>#N/A</v>
      </c>
      <c r="M356" s="535" t="e">
        <f>NA()</f>
        <v>#N/A</v>
      </c>
      <c r="N356" s="535" t="e">
        <f>NA()</f>
        <v>#N/A</v>
      </c>
      <c r="O356" s="535" t="e">
        <f>NA()</f>
        <v>#N/A</v>
      </c>
      <c r="P356" s="535" t="e">
        <f>NA()</f>
        <v>#N/A</v>
      </c>
    </row>
    <row r="357" spans="1:16" x14ac:dyDescent="0.2">
      <c r="A357" s="222">
        <f>calculs!A357</f>
        <v>44908</v>
      </c>
      <c r="B357" s="535" t="e">
        <f ca="1">gr(calculs!BL357)</f>
        <v>#NAME?</v>
      </c>
      <c r="C357" s="535" t="e">
        <f ca="1">gr(calculs!BM357)</f>
        <v>#NAME?</v>
      </c>
      <c r="D357" s="535" t="e">
        <f ca="1">gr(calculs!BN357)</f>
        <v>#NAME?</v>
      </c>
      <c r="E357" s="535" t="e">
        <f ca="1">gr(calculs!BO357)</f>
        <v>#NAME?</v>
      </c>
      <c r="F357" s="535" t="e">
        <f ca="1">gr(calculs!BP357)</f>
        <v>#NAME?</v>
      </c>
      <c r="G357" s="535" t="e">
        <f ca="1">gr(calculs!BQ357)</f>
        <v>#NAME?</v>
      </c>
      <c r="H357" s="535" t="e">
        <f ca="1">gr(calculs!BR357)</f>
        <v>#NAME?</v>
      </c>
      <c r="I357" s="535"/>
      <c r="J357" s="535" t="e">
        <f>NA()</f>
        <v>#N/A</v>
      </c>
      <c r="K357" s="535" t="e">
        <f>NA()</f>
        <v>#N/A</v>
      </c>
      <c r="L357" s="535" t="e">
        <f>NA()</f>
        <v>#N/A</v>
      </c>
      <c r="M357" s="535" t="e">
        <f>NA()</f>
        <v>#N/A</v>
      </c>
      <c r="N357" s="535" t="e">
        <f>NA()</f>
        <v>#N/A</v>
      </c>
      <c r="O357" s="535" t="e">
        <f>NA()</f>
        <v>#N/A</v>
      </c>
      <c r="P357" s="535" t="e">
        <f>NA()</f>
        <v>#N/A</v>
      </c>
    </row>
    <row r="358" spans="1:16" x14ac:dyDescent="0.2">
      <c r="A358" s="222">
        <f>calculs!A358</f>
        <v>44909</v>
      </c>
      <c r="B358" s="535" t="e">
        <f ca="1">gr(calculs!BL358)</f>
        <v>#NAME?</v>
      </c>
      <c r="C358" s="535" t="e">
        <f ca="1">gr(calculs!BM358)</f>
        <v>#NAME?</v>
      </c>
      <c r="D358" s="535" t="e">
        <f ca="1">gr(calculs!BN358)</f>
        <v>#NAME?</v>
      </c>
      <c r="E358" s="535" t="e">
        <f ca="1">gr(calculs!BO358)</f>
        <v>#NAME?</v>
      </c>
      <c r="F358" s="535" t="e">
        <f ca="1">gr(calculs!BP358)</f>
        <v>#NAME?</v>
      </c>
      <c r="G358" s="535" t="e">
        <f ca="1">gr(calculs!BQ358)</f>
        <v>#NAME?</v>
      </c>
      <c r="H358" s="535" t="e">
        <f ca="1">gr(calculs!BR358)</f>
        <v>#NAME?</v>
      </c>
      <c r="I358" s="535"/>
      <c r="J358" s="535" t="e">
        <f>NA()</f>
        <v>#N/A</v>
      </c>
      <c r="K358" s="535" t="e">
        <f>NA()</f>
        <v>#N/A</v>
      </c>
      <c r="L358" s="535" t="e">
        <f>NA()</f>
        <v>#N/A</v>
      </c>
      <c r="M358" s="535" t="e">
        <f>NA()</f>
        <v>#N/A</v>
      </c>
      <c r="N358" s="535" t="e">
        <f>NA()</f>
        <v>#N/A</v>
      </c>
      <c r="O358" s="535" t="e">
        <f>NA()</f>
        <v>#N/A</v>
      </c>
      <c r="P358" s="535" t="e">
        <f>NA()</f>
        <v>#N/A</v>
      </c>
    </row>
    <row r="359" spans="1:16" x14ac:dyDescent="0.2">
      <c r="A359" s="222">
        <f>calculs!A359</f>
        <v>44910</v>
      </c>
      <c r="B359" s="535" t="e">
        <f ca="1">gr(calculs!BL359)</f>
        <v>#NAME?</v>
      </c>
      <c r="C359" s="535" t="e">
        <f ca="1">gr(calculs!BM359)</f>
        <v>#NAME?</v>
      </c>
      <c r="D359" s="535" t="e">
        <f ca="1">gr(calculs!BN359)</f>
        <v>#NAME?</v>
      </c>
      <c r="E359" s="535" t="e">
        <f ca="1">gr(calculs!BO359)</f>
        <v>#NAME?</v>
      </c>
      <c r="F359" s="535" t="e">
        <f ca="1">gr(calculs!BP359)</f>
        <v>#NAME?</v>
      </c>
      <c r="G359" s="535" t="e">
        <f ca="1">gr(calculs!BQ359)</f>
        <v>#NAME?</v>
      </c>
      <c r="H359" s="535" t="e">
        <f ca="1">gr(calculs!BR359)</f>
        <v>#NAME?</v>
      </c>
      <c r="I359" s="535"/>
      <c r="J359" s="535" t="e">
        <f>NA()</f>
        <v>#N/A</v>
      </c>
      <c r="K359" s="535" t="e">
        <f>NA()</f>
        <v>#N/A</v>
      </c>
      <c r="L359" s="535" t="e">
        <f>NA()</f>
        <v>#N/A</v>
      </c>
      <c r="M359" s="535" t="e">
        <f>NA()</f>
        <v>#N/A</v>
      </c>
      <c r="N359" s="535" t="e">
        <f>NA()</f>
        <v>#N/A</v>
      </c>
      <c r="O359" s="535" t="e">
        <f>NA()</f>
        <v>#N/A</v>
      </c>
      <c r="P359" s="535" t="e">
        <f>NA()</f>
        <v>#N/A</v>
      </c>
    </row>
    <row r="360" spans="1:16" x14ac:dyDescent="0.2">
      <c r="A360" s="222">
        <f>calculs!A360</f>
        <v>44911</v>
      </c>
      <c r="B360" s="535" t="e">
        <f ca="1">gr(calculs!BL360)</f>
        <v>#NAME?</v>
      </c>
      <c r="C360" s="535" t="e">
        <f ca="1">gr(calculs!BM360)</f>
        <v>#NAME?</v>
      </c>
      <c r="D360" s="535" t="e">
        <f ca="1">gr(calculs!BN360)</f>
        <v>#NAME?</v>
      </c>
      <c r="E360" s="535" t="e">
        <f ca="1">gr(calculs!BO360)</f>
        <v>#NAME?</v>
      </c>
      <c r="F360" s="535" t="e">
        <f ca="1">gr(calculs!BP360)</f>
        <v>#NAME?</v>
      </c>
      <c r="G360" s="535" t="e">
        <f ca="1">gr(calculs!BQ360)</f>
        <v>#NAME?</v>
      </c>
      <c r="H360" s="535" t="e">
        <f ca="1">gr(calculs!BR360)</f>
        <v>#NAME?</v>
      </c>
      <c r="I360" s="535"/>
      <c r="J360" s="535" t="e">
        <f>NA()</f>
        <v>#N/A</v>
      </c>
      <c r="K360" s="535" t="e">
        <f>NA()</f>
        <v>#N/A</v>
      </c>
      <c r="L360" s="535" t="e">
        <f>NA()</f>
        <v>#N/A</v>
      </c>
      <c r="M360" s="535" t="e">
        <f>NA()</f>
        <v>#N/A</v>
      </c>
      <c r="N360" s="535" t="e">
        <f>NA()</f>
        <v>#N/A</v>
      </c>
      <c r="O360" s="535" t="e">
        <f>NA()</f>
        <v>#N/A</v>
      </c>
      <c r="P360" s="535" t="e">
        <f>NA()</f>
        <v>#N/A</v>
      </c>
    </row>
    <row r="361" spans="1:16" x14ac:dyDescent="0.2">
      <c r="A361" s="222">
        <f>calculs!A361</f>
        <v>44912</v>
      </c>
      <c r="B361" s="535" t="e">
        <f ca="1">gr(calculs!BL361)</f>
        <v>#NAME?</v>
      </c>
      <c r="C361" s="535" t="e">
        <f ca="1">gr(calculs!BM361)</f>
        <v>#NAME?</v>
      </c>
      <c r="D361" s="535" t="e">
        <f ca="1">gr(calculs!BN361)</f>
        <v>#NAME?</v>
      </c>
      <c r="E361" s="535" t="e">
        <f ca="1">gr(calculs!BO361)</f>
        <v>#NAME?</v>
      </c>
      <c r="F361" s="535" t="e">
        <f ca="1">gr(calculs!BP361)</f>
        <v>#NAME?</v>
      </c>
      <c r="G361" s="535" t="e">
        <f ca="1">gr(calculs!BQ361)</f>
        <v>#NAME?</v>
      </c>
      <c r="H361" s="535" t="e">
        <f ca="1">gr(calculs!BR361)</f>
        <v>#NAME?</v>
      </c>
      <c r="I361" s="535"/>
      <c r="J361" s="535" t="e">
        <f>NA()</f>
        <v>#N/A</v>
      </c>
      <c r="K361" s="535" t="e">
        <f>NA()</f>
        <v>#N/A</v>
      </c>
      <c r="L361" s="535" t="e">
        <f>NA()</f>
        <v>#N/A</v>
      </c>
      <c r="M361" s="535" t="e">
        <f>NA()</f>
        <v>#N/A</v>
      </c>
      <c r="N361" s="535" t="e">
        <f>NA()</f>
        <v>#N/A</v>
      </c>
      <c r="O361" s="535" t="e">
        <f>NA()</f>
        <v>#N/A</v>
      </c>
      <c r="P361" s="535" t="e">
        <f>NA()</f>
        <v>#N/A</v>
      </c>
    </row>
    <row r="362" spans="1:16" x14ac:dyDescent="0.2">
      <c r="A362" s="222">
        <f>calculs!A362</f>
        <v>44913</v>
      </c>
      <c r="B362" s="535" t="e">
        <f ca="1">gr(calculs!BL362)</f>
        <v>#NAME?</v>
      </c>
      <c r="C362" s="535" t="e">
        <f ca="1">gr(calculs!BM362)</f>
        <v>#NAME?</v>
      </c>
      <c r="D362" s="535" t="e">
        <f ca="1">gr(calculs!BN362)</f>
        <v>#NAME?</v>
      </c>
      <c r="E362" s="535" t="e">
        <f ca="1">gr(calculs!BO362)</f>
        <v>#NAME?</v>
      </c>
      <c r="F362" s="535" t="e">
        <f ca="1">gr(calculs!BP362)</f>
        <v>#NAME?</v>
      </c>
      <c r="G362" s="535" t="e">
        <f ca="1">gr(calculs!BQ362)</f>
        <v>#NAME?</v>
      </c>
      <c r="H362" s="535" t="e">
        <f ca="1">gr(calculs!BR362)</f>
        <v>#NAME?</v>
      </c>
      <c r="I362" s="535"/>
      <c r="J362" s="535" t="e">
        <f>NA()</f>
        <v>#N/A</v>
      </c>
      <c r="K362" s="535" t="e">
        <f>NA()</f>
        <v>#N/A</v>
      </c>
      <c r="L362" s="535" t="e">
        <f>NA()</f>
        <v>#N/A</v>
      </c>
      <c r="M362" s="535" t="e">
        <f>NA()</f>
        <v>#N/A</v>
      </c>
      <c r="N362" s="535" t="e">
        <f>NA()</f>
        <v>#N/A</v>
      </c>
      <c r="O362" s="535" t="e">
        <f>NA()</f>
        <v>#N/A</v>
      </c>
      <c r="P362" s="535" t="e">
        <f>NA()</f>
        <v>#N/A</v>
      </c>
    </row>
    <row r="363" spans="1:16" x14ac:dyDescent="0.2">
      <c r="A363" s="222">
        <f>calculs!A363</f>
        <v>44914</v>
      </c>
      <c r="B363" s="535" t="e">
        <f ca="1">gr(calculs!BL363)</f>
        <v>#NAME?</v>
      </c>
      <c r="C363" s="535" t="e">
        <f ca="1">gr(calculs!BM363)</f>
        <v>#NAME?</v>
      </c>
      <c r="D363" s="535" t="e">
        <f ca="1">gr(calculs!BN363)</f>
        <v>#NAME?</v>
      </c>
      <c r="E363" s="535" t="e">
        <f ca="1">gr(calculs!BO363)</f>
        <v>#NAME?</v>
      </c>
      <c r="F363" s="535" t="e">
        <f ca="1">gr(calculs!BP363)</f>
        <v>#NAME?</v>
      </c>
      <c r="G363" s="535" t="e">
        <f ca="1">gr(calculs!BQ363)</f>
        <v>#NAME?</v>
      </c>
      <c r="H363" s="535" t="e">
        <f ca="1">gr(calculs!BR363)</f>
        <v>#NAME?</v>
      </c>
      <c r="I363" s="535"/>
      <c r="J363" s="535" t="e">
        <f>NA()</f>
        <v>#N/A</v>
      </c>
      <c r="K363" s="535" t="e">
        <f>NA()</f>
        <v>#N/A</v>
      </c>
      <c r="L363" s="535" t="e">
        <f>NA()</f>
        <v>#N/A</v>
      </c>
      <c r="M363" s="535" t="e">
        <f>NA()</f>
        <v>#N/A</v>
      </c>
      <c r="N363" s="535" t="e">
        <f>NA()</f>
        <v>#N/A</v>
      </c>
      <c r="O363" s="535" t="e">
        <f>NA()</f>
        <v>#N/A</v>
      </c>
      <c r="P363" s="535" t="e">
        <f>NA()</f>
        <v>#N/A</v>
      </c>
    </row>
    <row r="364" spans="1:16" x14ac:dyDescent="0.2">
      <c r="A364" s="222">
        <f>calculs!A364</f>
        <v>44915</v>
      </c>
      <c r="B364" s="535" t="e">
        <f ca="1">gr(calculs!BL364)</f>
        <v>#NAME?</v>
      </c>
      <c r="C364" s="535" t="e">
        <f ca="1">gr(calculs!BM364)</f>
        <v>#NAME?</v>
      </c>
      <c r="D364" s="535" t="e">
        <f ca="1">gr(calculs!BN364)</f>
        <v>#NAME?</v>
      </c>
      <c r="E364" s="535" t="e">
        <f ca="1">gr(calculs!BO364)</f>
        <v>#NAME?</v>
      </c>
      <c r="F364" s="535" t="e">
        <f ca="1">gr(calculs!BP364)</f>
        <v>#NAME?</v>
      </c>
      <c r="G364" s="535" t="e">
        <f ca="1">gr(calculs!BQ364)</f>
        <v>#NAME?</v>
      </c>
      <c r="H364" s="535" t="e">
        <f ca="1">gr(calculs!BR364)</f>
        <v>#NAME?</v>
      </c>
      <c r="I364" s="535"/>
      <c r="J364" s="535" t="e">
        <f>NA()</f>
        <v>#N/A</v>
      </c>
      <c r="K364" s="535" t="e">
        <f>NA()</f>
        <v>#N/A</v>
      </c>
      <c r="L364" s="535" t="e">
        <f>NA()</f>
        <v>#N/A</v>
      </c>
      <c r="M364" s="535" t="e">
        <f>NA()</f>
        <v>#N/A</v>
      </c>
      <c r="N364" s="535" t="e">
        <f>NA()</f>
        <v>#N/A</v>
      </c>
      <c r="O364" s="535" t="e">
        <f>NA()</f>
        <v>#N/A</v>
      </c>
      <c r="P364" s="535" t="e">
        <f>NA()</f>
        <v>#N/A</v>
      </c>
    </row>
    <row r="365" spans="1:16" x14ac:dyDescent="0.2">
      <c r="A365" s="222">
        <f>calculs!A365</f>
        <v>44916</v>
      </c>
      <c r="B365" s="535" t="e">
        <f ca="1">gr(calculs!BL365)</f>
        <v>#NAME?</v>
      </c>
      <c r="C365" s="535" t="e">
        <f ca="1">gr(calculs!BM365)</f>
        <v>#NAME?</v>
      </c>
      <c r="D365" s="535" t="e">
        <f ca="1">gr(calculs!BN365)</f>
        <v>#NAME?</v>
      </c>
      <c r="E365" s="535" t="e">
        <f ca="1">gr(calculs!BO365)</f>
        <v>#NAME?</v>
      </c>
      <c r="F365" s="535" t="e">
        <f ca="1">gr(calculs!BP365)</f>
        <v>#NAME?</v>
      </c>
      <c r="G365" s="535" t="e">
        <f ca="1">gr(calculs!BQ365)</f>
        <v>#NAME?</v>
      </c>
      <c r="H365" s="535" t="e">
        <f ca="1">gr(calculs!BR365)</f>
        <v>#NAME?</v>
      </c>
      <c r="I365" s="535"/>
      <c r="J365" s="535" t="e">
        <f>NA()</f>
        <v>#N/A</v>
      </c>
      <c r="K365" s="535" t="e">
        <f>NA()</f>
        <v>#N/A</v>
      </c>
      <c r="L365" s="535" t="e">
        <f>NA()</f>
        <v>#N/A</v>
      </c>
      <c r="M365" s="535" t="e">
        <f>NA()</f>
        <v>#N/A</v>
      </c>
      <c r="N365" s="535" t="e">
        <f>NA()</f>
        <v>#N/A</v>
      </c>
      <c r="O365" s="535" t="e">
        <f>NA()</f>
        <v>#N/A</v>
      </c>
      <c r="P365" s="535" t="e">
        <f>NA()</f>
        <v>#N/A</v>
      </c>
    </row>
    <row r="366" spans="1:16" x14ac:dyDescent="0.2">
      <c r="A366" s="222">
        <f>calculs!A366</f>
        <v>44917</v>
      </c>
      <c r="B366" s="535" t="e">
        <f ca="1">gr(calculs!BL366)</f>
        <v>#NAME?</v>
      </c>
      <c r="C366" s="535" t="e">
        <f ca="1">gr(calculs!BM366)</f>
        <v>#NAME?</v>
      </c>
      <c r="D366" s="535" t="e">
        <f ca="1">gr(calculs!BN366)</f>
        <v>#NAME?</v>
      </c>
      <c r="E366" s="535" t="e">
        <f ca="1">gr(calculs!BO366)</f>
        <v>#NAME?</v>
      </c>
      <c r="F366" s="535" t="e">
        <f ca="1">gr(calculs!BP366)</f>
        <v>#NAME?</v>
      </c>
      <c r="G366" s="535" t="e">
        <f ca="1">gr(calculs!BQ366)</f>
        <v>#NAME?</v>
      </c>
      <c r="H366" s="535" t="e">
        <f ca="1">gr(calculs!BR366)</f>
        <v>#NAME?</v>
      </c>
      <c r="I366" s="535"/>
      <c r="J366" s="535" t="e">
        <f>NA()</f>
        <v>#N/A</v>
      </c>
      <c r="K366" s="535" t="e">
        <f>NA()</f>
        <v>#N/A</v>
      </c>
      <c r="L366" s="535" t="e">
        <f>NA()</f>
        <v>#N/A</v>
      </c>
      <c r="M366" s="535" t="e">
        <f>NA()</f>
        <v>#N/A</v>
      </c>
      <c r="N366" s="535" t="e">
        <f>NA()</f>
        <v>#N/A</v>
      </c>
      <c r="O366" s="535" t="e">
        <f>NA()</f>
        <v>#N/A</v>
      </c>
      <c r="P366" s="535" t="e">
        <f>NA()</f>
        <v>#N/A</v>
      </c>
    </row>
    <row r="367" spans="1:16" x14ac:dyDescent="0.2">
      <c r="A367" s="222">
        <f>calculs!A367</f>
        <v>44918</v>
      </c>
      <c r="B367" s="535" t="e">
        <f ca="1">gr(calculs!BL367)</f>
        <v>#NAME?</v>
      </c>
      <c r="C367" s="535" t="e">
        <f ca="1">gr(calculs!BM367)</f>
        <v>#NAME?</v>
      </c>
      <c r="D367" s="535" t="e">
        <f ca="1">gr(calculs!BN367)</f>
        <v>#NAME?</v>
      </c>
      <c r="E367" s="535" t="e">
        <f ca="1">gr(calculs!BO367)</f>
        <v>#NAME?</v>
      </c>
      <c r="F367" s="535" t="e">
        <f ca="1">gr(calculs!BP367)</f>
        <v>#NAME?</v>
      </c>
      <c r="G367" s="535" t="e">
        <f ca="1">gr(calculs!BQ367)</f>
        <v>#NAME?</v>
      </c>
      <c r="H367" s="535" t="e">
        <f ca="1">gr(calculs!BR367)</f>
        <v>#NAME?</v>
      </c>
      <c r="I367" s="535"/>
      <c r="J367" s="535" t="e">
        <f>NA()</f>
        <v>#N/A</v>
      </c>
      <c r="K367" s="535" t="e">
        <f>NA()</f>
        <v>#N/A</v>
      </c>
      <c r="L367" s="535" t="e">
        <f>NA()</f>
        <v>#N/A</v>
      </c>
      <c r="M367" s="535" t="e">
        <f>NA()</f>
        <v>#N/A</v>
      </c>
      <c r="N367" s="535" t="e">
        <f>NA()</f>
        <v>#N/A</v>
      </c>
      <c r="O367" s="535" t="e">
        <f>NA()</f>
        <v>#N/A</v>
      </c>
      <c r="P367" s="535" t="e">
        <f>NA()</f>
        <v>#N/A</v>
      </c>
    </row>
    <row r="368" spans="1:16" x14ac:dyDescent="0.2">
      <c r="A368" s="222">
        <f>calculs!A368</f>
        <v>44919</v>
      </c>
      <c r="B368" s="535" t="e">
        <f ca="1">gr(calculs!BL368)</f>
        <v>#NAME?</v>
      </c>
      <c r="C368" s="535" t="e">
        <f ca="1">gr(calculs!BM368)</f>
        <v>#NAME?</v>
      </c>
      <c r="D368" s="535" t="e">
        <f ca="1">gr(calculs!BN368)</f>
        <v>#NAME?</v>
      </c>
      <c r="E368" s="535" t="e">
        <f ca="1">gr(calculs!BO368)</f>
        <v>#NAME?</v>
      </c>
      <c r="F368" s="535" t="e">
        <f ca="1">gr(calculs!BP368)</f>
        <v>#NAME?</v>
      </c>
      <c r="G368" s="535" t="e">
        <f ca="1">gr(calculs!BQ368)</f>
        <v>#NAME?</v>
      </c>
      <c r="H368" s="535" t="e">
        <f ca="1">gr(calculs!BR368)</f>
        <v>#NAME?</v>
      </c>
      <c r="I368" s="535"/>
      <c r="J368" s="535" t="e">
        <f>NA()</f>
        <v>#N/A</v>
      </c>
      <c r="K368" s="535" t="e">
        <f>NA()</f>
        <v>#N/A</v>
      </c>
      <c r="L368" s="535" t="e">
        <f>NA()</f>
        <v>#N/A</v>
      </c>
      <c r="M368" s="535" t="e">
        <f>NA()</f>
        <v>#N/A</v>
      </c>
      <c r="N368" s="535" t="e">
        <f>NA()</f>
        <v>#N/A</v>
      </c>
      <c r="O368" s="535" t="e">
        <f>NA()</f>
        <v>#N/A</v>
      </c>
      <c r="P368" s="535" t="e">
        <f>NA()</f>
        <v>#N/A</v>
      </c>
    </row>
    <row r="369" spans="1:16" x14ac:dyDescent="0.2">
      <c r="A369" s="222">
        <f>calculs!A369</f>
        <v>44920</v>
      </c>
      <c r="B369" s="535" t="e">
        <f ca="1">gr(calculs!BL369)</f>
        <v>#NAME?</v>
      </c>
      <c r="C369" s="535" t="e">
        <f ca="1">gr(calculs!BM369)</f>
        <v>#NAME?</v>
      </c>
      <c r="D369" s="535" t="e">
        <f ca="1">gr(calculs!BN369)</f>
        <v>#NAME?</v>
      </c>
      <c r="E369" s="535" t="e">
        <f ca="1">gr(calculs!BO369)</f>
        <v>#NAME?</v>
      </c>
      <c r="F369" s="535" t="e">
        <f ca="1">gr(calculs!BP369)</f>
        <v>#NAME?</v>
      </c>
      <c r="G369" s="535" t="e">
        <f ca="1">gr(calculs!BQ369)</f>
        <v>#NAME?</v>
      </c>
      <c r="H369" s="535" t="e">
        <f ca="1">gr(calculs!BR369)</f>
        <v>#NAME?</v>
      </c>
      <c r="I369" s="535"/>
      <c r="J369" s="535" t="e">
        <f>NA()</f>
        <v>#N/A</v>
      </c>
      <c r="K369" s="535" t="e">
        <f>NA()</f>
        <v>#N/A</v>
      </c>
      <c r="L369" s="535" t="e">
        <f>NA()</f>
        <v>#N/A</v>
      </c>
      <c r="M369" s="535" t="e">
        <f>NA()</f>
        <v>#N/A</v>
      </c>
      <c r="N369" s="535" t="e">
        <f>NA()</f>
        <v>#N/A</v>
      </c>
      <c r="O369" s="535" t="e">
        <f>NA()</f>
        <v>#N/A</v>
      </c>
      <c r="P369" s="535" t="e">
        <f>NA()</f>
        <v>#N/A</v>
      </c>
    </row>
    <row r="370" spans="1:16" x14ac:dyDescent="0.2">
      <c r="A370" s="222">
        <f>calculs!A370</f>
        <v>44921</v>
      </c>
      <c r="B370" s="535" t="e">
        <f ca="1">gr(calculs!BL370)</f>
        <v>#NAME?</v>
      </c>
      <c r="C370" s="535" t="e">
        <f ca="1">gr(calculs!BM370)</f>
        <v>#NAME?</v>
      </c>
      <c r="D370" s="535" t="e">
        <f ca="1">gr(calculs!BN370)</f>
        <v>#NAME?</v>
      </c>
      <c r="E370" s="535" t="e">
        <f ca="1">gr(calculs!BO370)</f>
        <v>#NAME?</v>
      </c>
      <c r="F370" s="535" t="e">
        <f ca="1">gr(calculs!BP370)</f>
        <v>#NAME?</v>
      </c>
      <c r="G370" s="535" t="e">
        <f ca="1">gr(calculs!BQ370)</f>
        <v>#NAME?</v>
      </c>
      <c r="H370" s="535" t="e">
        <f ca="1">gr(calculs!BR370)</f>
        <v>#NAME?</v>
      </c>
      <c r="I370" s="535"/>
      <c r="J370" s="535" t="e">
        <f>NA()</f>
        <v>#N/A</v>
      </c>
      <c r="K370" s="535" t="e">
        <f>NA()</f>
        <v>#N/A</v>
      </c>
      <c r="L370" s="535" t="e">
        <f>NA()</f>
        <v>#N/A</v>
      </c>
      <c r="M370" s="535" t="e">
        <f>NA()</f>
        <v>#N/A</v>
      </c>
      <c r="N370" s="535" t="e">
        <f>NA()</f>
        <v>#N/A</v>
      </c>
      <c r="O370" s="535" t="e">
        <f>NA()</f>
        <v>#N/A</v>
      </c>
      <c r="P370" s="535" t="e">
        <f>NA()</f>
        <v>#N/A</v>
      </c>
    </row>
    <row r="371" spans="1:16" x14ac:dyDescent="0.2">
      <c r="A371" s="222">
        <f>calculs!A371</f>
        <v>44922</v>
      </c>
      <c r="B371" s="535" t="e">
        <f ca="1">gr(calculs!BL371)</f>
        <v>#NAME?</v>
      </c>
      <c r="C371" s="535" t="e">
        <f ca="1">gr(calculs!BM371)</f>
        <v>#NAME?</v>
      </c>
      <c r="D371" s="535" t="e">
        <f ca="1">gr(calculs!BN371)</f>
        <v>#NAME?</v>
      </c>
      <c r="E371" s="535" t="e">
        <f ca="1">gr(calculs!BO371)</f>
        <v>#NAME?</v>
      </c>
      <c r="F371" s="535" t="e">
        <f ca="1">gr(calculs!BP371)</f>
        <v>#NAME?</v>
      </c>
      <c r="G371" s="535" t="e">
        <f ca="1">gr(calculs!BQ371)</f>
        <v>#NAME?</v>
      </c>
      <c r="H371" s="535" t="e">
        <f ca="1">gr(calculs!BR371)</f>
        <v>#NAME?</v>
      </c>
      <c r="I371" s="535"/>
      <c r="J371" s="535" t="e">
        <f>NA()</f>
        <v>#N/A</v>
      </c>
      <c r="K371" s="535" t="e">
        <f>NA()</f>
        <v>#N/A</v>
      </c>
      <c r="L371" s="535" t="e">
        <f>NA()</f>
        <v>#N/A</v>
      </c>
      <c r="M371" s="535" t="e">
        <f>NA()</f>
        <v>#N/A</v>
      </c>
      <c r="N371" s="535" t="e">
        <f>NA()</f>
        <v>#N/A</v>
      </c>
      <c r="O371" s="535" t="e">
        <f>NA()</f>
        <v>#N/A</v>
      </c>
      <c r="P371" s="535" t="e">
        <f>NA()</f>
        <v>#N/A</v>
      </c>
    </row>
    <row r="372" spans="1:16" x14ac:dyDescent="0.2">
      <c r="A372" s="222">
        <f>calculs!A372</f>
        <v>44923</v>
      </c>
      <c r="B372" s="535" t="e">
        <f ca="1">gr(calculs!BL372)</f>
        <v>#NAME?</v>
      </c>
      <c r="C372" s="535" t="e">
        <f ca="1">gr(calculs!BM372)</f>
        <v>#NAME?</v>
      </c>
      <c r="D372" s="535" t="e">
        <f ca="1">gr(calculs!BN372)</f>
        <v>#NAME?</v>
      </c>
      <c r="E372" s="535" t="e">
        <f ca="1">gr(calculs!BO372)</f>
        <v>#NAME?</v>
      </c>
      <c r="F372" s="535" t="e">
        <f ca="1">gr(calculs!BP372)</f>
        <v>#NAME?</v>
      </c>
      <c r="G372" s="535" t="e">
        <f ca="1">gr(calculs!BQ372)</f>
        <v>#NAME?</v>
      </c>
      <c r="H372" s="535" t="e">
        <f ca="1">gr(calculs!BR372)</f>
        <v>#NAME?</v>
      </c>
      <c r="I372" s="535"/>
      <c r="J372" s="535" t="e">
        <f>NA()</f>
        <v>#N/A</v>
      </c>
      <c r="K372" s="535" t="e">
        <f>NA()</f>
        <v>#N/A</v>
      </c>
      <c r="L372" s="535" t="e">
        <f>NA()</f>
        <v>#N/A</v>
      </c>
      <c r="M372" s="535" t="e">
        <f>NA()</f>
        <v>#N/A</v>
      </c>
      <c r="N372" s="535" t="e">
        <f>NA()</f>
        <v>#N/A</v>
      </c>
      <c r="O372" s="535" t="e">
        <f>NA()</f>
        <v>#N/A</v>
      </c>
      <c r="P372" s="535" t="e">
        <f>NA()</f>
        <v>#N/A</v>
      </c>
    </row>
    <row r="373" spans="1:16" x14ac:dyDescent="0.2">
      <c r="A373" s="222">
        <f>calculs!A373</f>
        <v>44924</v>
      </c>
      <c r="B373" s="535" t="e">
        <f ca="1">gr(calculs!BL373)</f>
        <v>#NAME?</v>
      </c>
      <c r="C373" s="535" t="e">
        <f ca="1">gr(calculs!BM373)</f>
        <v>#NAME?</v>
      </c>
      <c r="D373" s="535" t="e">
        <f ca="1">gr(calculs!BN373)</f>
        <v>#NAME?</v>
      </c>
      <c r="E373" s="535" t="e">
        <f ca="1">gr(calculs!BO373)</f>
        <v>#NAME?</v>
      </c>
      <c r="F373" s="535" t="e">
        <f ca="1">gr(calculs!BP373)</f>
        <v>#NAME?</v>
      </c>
      <c r="G373" s="535" t="e">
        <f ca="1">gr(calculs!BQ373)</f>
        <v>#NAME?</v>
      </c>
      <c r="H373" s="535" t="e">
        <f ca="1">gr(calculs!BR373)</f>
        <v>#NAME?</v>
      </c>
      <c r="I373" s="535"/>
      <c r="J373" s="535" t="e">
        <f>NA()</f>
        <v>#N/A</v>
      </c>
      <c r="K373" s="535" t="e">
        <f>NA()</f>
        <v>#N/A</v>
      </c>
      <c r="L373" s="535" t="e">
        <f>NA()</f>
        <v>#N/A</v>
      </c>
      <c r="M373" s="535" t="e">
        <f>NA()</f>
        <v>#N/A</v>
      </c>
      <c r="N373" s="535" t="e">
        <f>NA()</f>
        <v>#N/A</v>
      </c>
      <c r="O373" s="535" t="e">
        <f>NA()</f>
        <v>#N/A</v>
      </c>
      <c r="P373" s="535" t="e">
        <f>NA()</f>
        <v>#N/A</v>
      </c>
    </row>
    <row r="374" spans="1:16" x14ac:dyDescent="0.2">
      <c r="A374" s="222">
        <f>calculs!A374</f>
        <v>44925</v>
      </c>
      <c r="B374" s="535" t="e">
        <f ca="1">gr(calculs!BL374)</f>
        <v>#NAME?</v>
      </c>
      <c r="C374" s="535" t="e">
        <f ca="1">gr(calculs!BM374)</f>
        <v>#NAME?</v>
      </c>
      <c r="D374" s="535" t="e">
        <f ca="1">gr(calculs!BN374)</f>
        <v>#NAME?</v>
      </c>
      <c r="E374" s="535" t="e">
        <f ca="1">gr(calculs!BO374)</f>
        <v>#NAME?</v>
      </c>
      <c r="F374" s="535" t="e">
        <f ca="1">gr(calculs!BP374)</f>
        <v>#NAME?</v>
      </c>
      <c r="G374" s="535" t="e">
        <f ca="1">gr(calculs!BQ374)</f>
        <v>#NAME?</v>
      </c>
      <c r="H374" s="535" t="e">
        <f ca="1">gr(calculs!BR374)</f>
        <v>#NAME?</v>
      </c>
      <c r="I374" s="535"/>
      <c r="J374" s="535" t="e">
        <f>NA()</f>
        <v>#N/A</v>
      </c>
      <c r="K374" s="535" t="e">
        <f>NA()</f>
        <v>#N/A</v>
      </c>
      <c r="L374" s="535" t="e">
        <f>NA()</f>
        <v>#N/A</v>
      </c>
      <c r="M374" s="535" t="e">
        <f>NA()</f>
        <v>#N/A</v>
      </c>
      <c r="N374" s="535" t="e">
        <f>NA()</f>
        <v>#N/A</v>
      </c>
      <c r="O374" s="535" t="e">
        <f>NA()</f>
        <v>#N/A</v>
      </c>
      <c r="P374" s="535" t="e">
        <f>NA()</f>
        <v>#N/A</v>
      </c>
    </row>
    <row r="375" spans="1:16" x14ac:dyDescent="0.2">
      <c r="A375" s="222">
        <f>calculs!A375</f>
        <v>44926</v>
      </c>
      <c r="B375" s="535" t="e">
        <f ca="1">gr(calculs!BL375)</f>
        <v>#NAME?</v>
      </c>
      <c r="C375" s="535" t="e">
        <f ca="1">gr(calculs!BM375)</f>
        <v>#NAME?</v>
      </c>
      <c r="D375" s="535" t="e">
        <f ca="1">gr(calculs!BN375)</f>
        <v>#NAME?</v>
      </c>
      <c r="E375" s="535" t="e">
        <f ca="1">gr(calculs!BO375)</f>
        <v>#NAME?</v>
      </c>
      <c r="F375" s="535" t="e">
        <f ca="1">gr(calculs!BP375)</f>
        <v>#NAME?</v>
      </c>
      <c r="G375" s="535" t="e">
        <f ca="1">gr(calculs!BQ375)</f>
        <v>#NAME?</v>
      </c>
      <c r="H375" s="535" t="e">
        <f ca="1">gr(calculs!BR375)</f>
        <v>#NAME?</v>
      </c>
      <c r="I375" s="535"/>
      <c r="J375" s="535">
        <v>2</v>
      </c>
      <c r="K375" s="535">
        <v>0.64</v>
      </c>
      <c r="L375" s="535">
        <v>0.28999999999999998</v>
      </c>
      <c r="M375" s="535">
        <v>0.05</v>
      </c>
      <c r="N375" s="535">
        <v>3.2</v>
      </c>
      <c r="O375" s="535">
        <v>0.09</v>
      </c>
      <c r="P375" s="535">
        <v>0.01</v>
      </c>
    </row>
    <row r="376" spans="1:16" x14ac:dyDescent="0.2">
      <c r="A376" s="222">
        <f>calculs!A376</f>
        <v>0</v>
      </c>
      <c r="B376" s="535" t="e">
        <f ca="1">gr(calculs!BL376)</f>
        <v>#NAME?</v>
      </c>
      <c r="C376" s="535" t="e">
        <f ca="1">gr(calculs!BM376)</f>
        <v>#NAME?</v>
      </c>
      <c r="D376" s="535" t="e">
        <f ca="1">gr(calculs!BN376)</f>
        <v>#NAME?</v>
      </c>
      <c r="E376" s="535" t="e">
        <f ca="1">gr(calculs!BO376)</f>
        <v>#NAME?</v>
      </c>
      <c r="F376" s="535" t="e">
        <f ca="1">gr(calculs!BP376)</f>
        <v>#NAME?</v>
      </c>
      <c r="G376" s="535" t="e">
        <f ca="1">gr(calculs!BQ376)</f>
        <v>#NAME?</v>
      </c>
      <c r="H376" s="535" t="e">
        <f ca="1">gr(calculs!BR376)</f>
        <v>#NAME?</v>
      </c>
      <c r="I376" s="535"/>
      <c r="J376" s="535">
        <f>J11</f>
        <v>2</v>
      </c>
      <c r="K376" s="535">
        <f t="shared" ref="K376:P376" si="0">K11</f>
        <v>0.64</v>
      </c>
      <c r="L376" s="535">
        <f t="shared" si="0"/>
        <v>0.28999999999999998</v>
      </c>
      <c r="M376" s="535">
        <f t="shared" si="0"/>
        <v>0.05</v>
      </c>
      <c r="N376" s="535">
        <f t="shared" si="0"/>
        <v>3.2</v>
      </c>
      <c r="O376" s="535">
        <f t="shared" si="0"/>
        <v>0.09</v>
      </c>
      <c r="P376" s="535">
        <f t="shared" si="0"/>
        <v>0.01</v>
      </c>
    </row>
    <row r="377" spans="1:16" s="515" customFormat="1" x14ac:dyDescent="0.2"/>
  </sheetData>
  <mergeCells count="1">
    <mergeCell ref="B9:H9"/>
  </mergeCells>
  <pageMargins left="0.7" right="0.7" top="0.75" bottom="0.75" header="0.3" footer="0.3"/>
  <pageSetup paperSize="301" scale="4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8" tint="0.59999389629810485"/>
  </sheetPr>
  <dimension ref="A1:H377"/>
  <sheetViews>
    <sheetView zoomScale="85" zoomScaleNormal="85" workbookViewId="0">
      <selection activeCell="D38" sqref="D38"/>
    </sheetView>
  </sheetViews>
  <sheetFormatPr baseColWidth="10" defaultColWidth="11.42578125" defaultRowHeight="12.75" x14ac:dyDescent="0.2"/>
  <cols>
    <col min="1" max="16384" width="11.42578125" style="501"/>
  </cols>
  <sheetData>
    <row r="1" spans="1:8" x14ac:dyDescent="0.2">
      <c r="A1" s="501" t="str">
        <f>basis!A1</f>
        <v>ARA Ausserbinn</v>
      </c>
    </row>
    <row r="9" spans="1:8" x14ac:dyDescent="0.2">
      <c r="B9" s="1094" t="str">
        <f>A1&amp;" "&amp;Jahr&amp;" - "&amp;IF('liste-STEP'!F95=1,"débits","Durchflusse")</f>
        <v>ARA Ausserbinn 2022 - Durchflusse</v>
      </c>
      <c r="C9" s="1095"/>
      <c r="D9" s="1095"/>
      <c r="E9" s="1095"/>
      <c r="F9" s="1095"/>
      <c r="G9" s="1096"/>
      <c r="H9" s="533" t="str">
        <f>A1&amp;" "&amp;Jahr&amp;" - "&amp;IF('liste-STEP'!F95=1,"Pluvio","Niederschlag")</f>
        <v>ARA Ausserbinn 2022 - Niederschlag</v>
      </c>
    </row>
    <row r="10" spans="1:8" ht="51" x14ac:dyDescent="0.2">
      <c r="A10" s="502"/>
      <c r="B10" s="505" t="str">
        <f>analyses!E5</f>
        <v>Q Bypass Zulauf  ARA</v>
      </c>
      <c r="C10" s="505" t="str">
        <f>analyses!F5</f>
        <v>Q Zulauf ARA</v>
      </c>
      <c r="D10" s="505" t="str">
        <f>analyses!G5</f>
        <v>Q Bypass Ablauf Vorklärung</v>
      </c>
      <c r="E10" s="505" t="str">
        <f>analyses!H5</f>
        <v>Q Ablauf ARA (behandelt)</v>
      </c>
      <c r="F10" s="505" t="str">
        <f>analyses!I5</f>
        <v>Q Min (Zu- oder Ablauf ARA)</v>
      </c>
      <c r="G10" s="505" t="str">
        <f>analyses!J5</f>
        <v>Q Max (Zu- oder Ablauf ARA)</v>
      </c>
      <c r="H10" s="534" t="str">
        <f>analyses!AP5</f>
        <v>l/m2/d  resp. mm/d</v>
      </c>
    </row>
    <row r="11" spans="1:8" x14ac:dyDescent="0.2">
      <c r="A11" s="222">
        <f>calculs!A11</f>
        <v>44562</v>
      </c>
      <c r="B11" s="523" t="e">
        <f ca="1">gr(données_step[[#This Row],[D_QDEVE]])</f>
        <v>#NAME?</v>
      </c>
      <c r="C11" s="523" t="e">
        <f ca="1">gr(données_step[[#This Row],[D_QTRAI]])</f>
        <v>#NAME?</v>
      </c>
      <c r="D11" s="523" t="e">
        <f ca="1">gr(données_step[[#This Row],[D_QDEVDP]])</f>
        <v>#NAME?</v>
      </c>
      <c r="E11" s="523" t="e">
        <f ca="1">gr(données_step[[#This Row],[D_QTRAI2]])</f>
        <v>#NAME?</v>
      </c>
      <c r="F11" s="523" t="e">
        <f ca="1">gr(données_step[[#This Row],[D_QMIN]])</f>
        <v>#NAME?</v>
      </c>
      <c r="G11" s="523" t="e">
        <f ca="1">gr(données_step[[#This Row],[D_QMAX]])</f>
        <v>#NAME?</v>
      </c>
      <c r="H11" s="501" t="e">
        <f ca="1">gr(données_step[[#This Row],[D_PLUIE]])</f>
        <v>#NAME?</v>
      </c>
    </row>
    <row r="12" spans="1:8" x14ac:dyDescent="0.2">
      <c r="A12" s="222">
        <f>calculs!A12</f>
        <v>44563</v>
      </c>
      <c r="B12" s="523" t="e">
        <f ca="1">gr(données_step[[#This Row],[D_QDEVE]])</f>
        <v>#NAME?</v>
      </c>
      <c r="C12" s="523" t="e">
        <f ca="1">gr(données_step[[#This Row],[D_QTRAI]])</f>
        <v>#NAME?</v>
      </c>
      <c r="D12" s="523" t="e">
        <f ca="1">gr(données_step[[#This Row],[D_QDEVDP]])</f>
        <v>#NAME?</v>
      </c>
      <c r="E12" s="523" t="e">
        <f ca="1">gr(données_step[[#This Row],[D_QTRAI2]])</f>
        <v>#NAME?</v>
      </c>
      <c r="F12" s="523" t="e">
        <f ca="1">gr(données_step[[#This Row],[D_QMIN]])</f>
        <v>#NAME?</v>
      </c>
      <c r="G12" s="523" t="e">
        <f ca="1">gr(données_step[[#This Row],[D_QMAX]])</f>
        <v>#NAME?</v>
      </c>
      <c r="H12" s="501" t="e">
        <f ca="1">gr(données_step[[#This Row],[D_PLUIE]])</f>
        <v>#NAME?</v>
      </c>
    </row>
    <row r="13" spans="1:8" x14ac:dyDescent="0.2">
      <c r="A13" s="222">
        <f>calculs!A13</f>
        <v>44564</v>
      </c>
      <c r="B13" s="523" t="e">
        <f ca="1">gr(données_step[[#This Row],[D_QDEVE]])</f>
        <v>#NAME?</v>
      </c>
      <c r="C13" s="523" t="e">
        <f ca="1">gr(données_step[[#This Row],[D_QTRAI]])</f>
        <v>#NAME?</v>
      </c>
      <c r="D13" s="523" t="e">
        <f ca="1">gr(données_step[[#This Row],[D_QDEVDP]])</f>
        <v>#NAME?</v>
      </c>
      <c r="E13" s="523" t="e">
        <f ca="1">gr(données_step[[#This Row],[D_QTRAI2]])</f>
        <v>#NAME?</v>
      </c>
      <c r="F13" s="523" t="e">
        <f ca="1">gr(données_step[[#This Row],[D_QMIN]])</f>
        <v>#NAME?</v>
      </c>
      <c r="G13" s="523" t="e">
        <f ca="1">gr(données_step[[#This Row],[D_QMAX]])</f>
        <v>#NAME?</v>
      </c>
      <c r="H13" s="501" t="e">
        <f ca="1">gr(données_step[[#This Row],[D_PLUIE]])</f>
        <v>#NAME?</v>
      </c>
    </row>
    <row r="14" spans="1:8" x14ac:dyDescent="0.2">
      <c r="A14" s="222">
        <f>calculs!A14</f>
        <v>44565</v>
      </c>
      <c r="B14" s="523" t="e">
        <f ca="1">gr(données_step[[#This Row],[D_QDEVE]])</f>
        <v>#NAME?</v>
      </c>
      <c r="C14" s="523" t="e">
        <f ca="1">gr(données_step[[#This Row],[D_QTRAI]])</f>
        <v>#NAME?</v>
      </c>
      <c r="D14" s="523" t="e">
        <f ca="1">gr(données_step[[#This Row],[D_QDEVDP]])</f>
        <v>#NAME?</v>
      </c>
      <c r="E14" s="523" t="e">
        <f ca="1">gr(données_step[[#This Row],[D_QTRAI2]])</f>
        <v>#NAME?</v>
      </c>
      <c r="F14" s="523" t="e">
        <f ca="1">gr(données_step[[#This Row],[D_QMIN]])</f>
        <v>#NAME?</v>
      </c>
      <c r="G14" s="523" t="e">
        <f ca="1">gr(données_step[[#This Row],[D_QMAX]])</f>
        <v>#NAME?</v>
      </c>
      <c r="H14" s="501" t="e">
        <f ca="1">gr(données_step[[#This Row],[D_PLUIE]])</f>
        <v>#NAME?</v>
      </c>
    </row>
    <row r="15" spans="1:8" x14ac:dyDescent="0.2">
      <c r="A15" s="222">
        <f>calculs!A15</f>
        <v>44566</v>
      </c>
      <c r="B15" s="523" t="e">
        <f ca="1">gr(données_step[[#This Row],[D_QDEVE]])</f>
        <v>#NAME?</v>
      </c>
      <c r="C15" s="523" t="e">
        <f ca="1">gr(données_step[[#This Row],[D_QTRAI]])</f>
        <v>#NAME?</v>
      </c>
      <c r="D15" s="523" t="e">
        <f ca="1">gr(données_step[[#This Row],[D_QDEVDP]])</f>
        <v>#NAME?</v>
      </c>
      <c r="E15" s="523" t="e">
        <f ca="1">gr(données_step[[#This Row],[D_QTRAI2]])</f>
        <v>#NAME?</v>
      </c>
      <c r="F15" s="523" t="e">
        <f ca="1">gr(données_step[[#This Row],[D_QMIN]])</f>
        <v>#NAME?</v>
      </c>
      <c r="G15" s="523" t="e">
        <f ca="1">gr(données_step[[#This Row],[D_QMAX]])</f>
        <v>#NAME?</v>
      </c>
      <c r="H15" s="501" t="e">
        <f ca="1">gr(données_step[[#This Row],[D_PLUIE]])</f>
        <v>#NAME?</v>
      </c>
    </row>
    <row r="16" spans="1:8" x14ac:dyDescent="0.2">
      <c r="A16" s="222">
        <f>calculs!A16</f>
        <v>44567</v>
      </c>
      <c r="B16" s="523" t="e">
        <f ca="1">gr(données_step[[#This Row],[D_QDEVE]])</f>
        <v>#NAME?</v>
      </c>
      <c r="C16" s="523" t="e">
        <f ca="1">gr(données_step[[#This Row],[D_QTRAI]])</f>
        <v>#NAME?</v>
      </c>
      <c r="D16" s="523" t="e">
        <f ca="1">gr(données_step[[#This Row],[D_QDEVDP]])</f>
        <v>#NAME?</v>
      </c>
      <c r="E16" s="523" t="e">
        <f ca="1">gr(données_step[[#This Row],[D_QTRAI2]])</f>
        <v>#NAME?</v>
      </c>
      <c r="F16" s="523" t="e">
        <f ca="1">gr(données_step[[#This Row],[D_QMIN]])</f>
        <v>#NAME?</v>
      </c>
      <c r="G16" s="523" t="e">
        <f ca="1">gr(données_step[[#This Row],[D_QMAX]])</f>
        <v>#NAME?</v>
      </c>
      <c r="H16" s="501" t="e">
        <f ca="1">gr(données_step[[#This Row],[D_PLUIE]])</f>
        <v>#NAME?</v>
      </c>
    </row>
    <row r="17" spans="1:8" x14ac:dyDescent="0.2">
      <c r="A17" s="222">
        <f>calculs!A17</f>
        <v>44568</v>
      </c>
      <c r="B17" s="523" t="e">
        <f ca="1">gr(données_step[[#This Row],[D_QDEVE]])</f>
        <v>#NAME?</v>
      </c>
      <c r="C17" s="523" t="e">
        <f ca="1">gr(données_step[[#This Row],[D_QTRAI]])</f>
        <v>#NAME?</v>
      </c>
      <c r="D17" s="523" t="e">
        <f ca="1">gr(données_step[[#This Row],[D_QDEVDP]])</f>
        <v>#NAME?</v>
      </c>
      <c r="E17" s="523" t="e">
        <f ca="1">gr(données_step[[#This Row],[D_QTRAI2]])</f>
        <v>#NAME?</v>
      </c>
      <c r="F17" s="523" t="e">
        <f ca="1">gr(données_step[[#This Row],[D_QMIN]])</f>
        <v>#NAME?</v>
      </c>
      <c r="G17" s="523" t="e">
        <f ca="1">gr(données_step[[#This Row],[D_QMAX]])</f>
        <v>#NAME?</v>
      </c>
      <c r="H17" s="501" t="e">
        <f ca="1">gr(données_step[[#This Row],[D_PLUIE]])</f>
        <v>#NAME?</v>
      </c>
    </row>
    <row r="18" spans="1:8" x14ac:dyDescent="0.2">
      <c r="A18" s="222">
        <f>calculs!A18</f>
        <v>44569</v>
      </c>
      <c r="B18" s="523" t="e">
        <f ca="1">gr(données_step[[#This Row],[D_QDEVE]])</f>
        <v>#NAME?</v>
      </c>
      <c r="C18" s="523" t="e">
        <f ca="1">gr(données_step[[#This Row],[D_QTRAI]])</f>
        <v>#NAME?</v>
      </c>
      <c r="D18" s="523" t="e">
        <f ca="1">gr(données_step[[#This Row],[D_QDEVDP]])</f>
        <v>#NAME?</v>
      </c>
      <c r="E18" s="523" t="e">
        <f ca="1">gr(données_step[[#This Row],[D_QTRAI2]])</f>
        <v>#NAME?</v>
      </c>
      <c r="F18" s="523" t="e">
        <f ca="1">gr(données_step[[#This Row],[D_QMIN]])</f>
        <v>#NAME?</v>
      </c>
      <c r="G18" s="523" t="e">
        <f ca="1">gr(données_step[[#This Row],[D_QMAX]])</f>
        <v>#NAME?</v>
      </c>
      <c r="H18" s="501" t="e">
        <f ca="1">gr(données_step[[#This Row],[D_PLUIE]])</f>
        <v>#NAME?</v>
      </c>
    </row>
    <row r="19" spans="1:8" x14ac:dyDescent="0.2">
      <c r="A19" s="222">
        <f>calculs!A19</f>
        <v>44570</v>
      </c>
      <c r="B19" s="523" t="e">
        <f ca="1">gr(données_step[[#This Row],[D_QDEVE]])</f>
        <v>#NAME?</v>
      </c>
      <c r="C19" s="523" t="e">
        <f ca="1">gr(données_step[[#This Row],[D_QTRAI]])</f>
        <v>#NAME?</v>
      </c>
      <c r="D19" s="523" t="e">
        <f ca="1">gr(données_step[[#This Row],[D_QDEVDP]])</f>
        <v>#NAME?</v>
      </c>
      <c r="E19" s="523" t="e">
        <f ca="1">gr(données_step[[#This Row],[D_QTRAI2]])</f>
        <v>#NAME?</v>
      </c>
      <c r="F19" s="523" t="e">
        <f ca="1">gr(données_step[[#This Row],[D_QMIN]])</f>
        <v>#NAME?</v>
      </c>
      <c r="G19" s="523" t="e">
        <f ca="1">gr(données_step[[#This Row],[D_QMAX]])</f>
        <v>#NAME?</v>
      </c>
      <c r="H19" s="501" t="e">
        <f ca="1">gr(données_step[[#This Row],[D_PLUIE]])</f>
        <v>#NAME?</v>
      </c>
    </row>
    <row r="20" spans="1:8" x14ac:dyDescent="0.2">
      <c r="A20" s="222">
        <f>calculs!A20</f>
        <v>44571</v>
      </c>
      <c r="B20" s="523" t="e">
        <f ca="1">gr(données_step[[#This Row],[D_QDEVE]])</f>
        <v>#NAME?</v>
      </c>
      <c r="C20" s="523" t="e">
        <f ca="1">gr(données_step[[#This Row],[D_QTRAI]])</f>
        <v>#NAME?</v>
      </c>
      <c r="D20" s="523" t="e">
        <f ca="1">gr(données_step[[#This Row],[D_QDEVDP]])</f>
        <v>#NAME?</v>
      </c>
      <c r="E20" s="523" t="e">
        <f ca="1">gr(données_step[[#This Row],[D_QTRAI2]])</f>
        <v>#NAME?</v>
      </c>
      <c r="F20" s="523" t="e">
        <f ca="1">gr(données_step[[#This Row],[D_QMIN]])</f>
        <v>#NAME?</v>
      </c>
      <c r="G20" s="523" t="e">
        <f ca="1">gr(données_step[[#This Row],[D_QMAX]])</f>
        <v>#NAME?</v>
      </c>
      <c r="H20" s="501" t="e">
        <f ca="1">gr(données_step[[#This Row],[D_PLUIE]])</f>
        <v>#NAME?</v>
      </c>
    </row>
    <row r="21" spans="1:8" x14ac:dyDescent="0.2">
      <c r="A21" s="222">
        <f>calculs!A21</f>
        <v>44572</v>
      </c>
      <c r="B21" s="523" t="e">
        <f ca="1">gr(données_step[[#This Row],[D_QDEVE]])</f>
        <v>#NAME?</v>
      </c>
      <c r="C21" s="523" t="e">
        <f ca="1">gr(données_step[[#This Row],[D_QTRAI]])</f>
        <v>#NAME?</v>
      </c>
      <c r="D21" s="523" t="e">
        <f ca="1">gr(données_step[[#This Row],[D_QDEVDP]])</f>
        <v>#NAME?</v>
      </c>
      <c r="E21" s="523" t="e">
        <f ca="1">gr(données_step[[#This Row],[D_QTRAI2]])</f>
        <v>#NAME?</v>
      </c>
      <c r="F21" s="523" t="e">
        <f ca="1">gr(données_step[[#This Row],[D_QMIN]])</f>
        <v>#NAME?</v>
      </c>
      <c r="G21" s="523" t="e">
        <f ca="1">gr(données_step[[#This Row],[D_QMAX]])</f>
        <v>#NAME?</v>
      </c>
      <c r="H21" s="501" t="e">
        <f ca="1">gr(données_step[[#This Row],[D_PLUIE]])</f>
        <v>#NAME?</v>
      </c>
    </row>
    <row r="22" spans="1:8" x14ac:dyDescent="0.2">
      <c r="A22" s="222">
        <f>calculs!A22</f>
        <v>44573</v>
      </c>
      <c r="B22" s="523" t="e">
        <f ca="1">gr(données_step[[#This Row],[D_QDEVE]])</f>
        <v>#NAME?</v>
      </c>
      <c r="C22" s="523" t="e">
        <f ca="1">gr(données_step[[#This Row],[D_QTRAI]])</f>
        <v>#NAME?</v>
      </c>
      <c r="D22" s="523" t="e">
        <f ca="1">gr(données_step[[#This Row],[D_QDEVDP]])</f>
        <v>#NAME?</v>
      </c>
      <c r="E22" s="523" t="e">
        <f ca="1">gr(données_step[[#This Row],[D_QTRAI2]])</f>
        <v>#NAME?</v>
      </c>
      <c r="F22" s="523" t="e">
        <f ca="1">gr(données_step[[#This Row],[D_QMIN]])</f>
        <v>#NAME?</v>
      </c>
      <c r="G22" s="523" t="e">
        <f ca="1">gr(données_step[[#This Row],[D_QMAX]])</f>
        <v>#NAME?</v>
      </c>
      <c r="H22" s="501" t="e">
        <f ca="1">gr(données_step[[#This Row],[D_PLUIE]])</f>
        <v>#NAME?</v>
      </c>
    </row>
    <row r="23" spans="1:8" x14ac:dyDescent="0.2">
      <c r="A23" s="222">
        <f>calculs!A23</f>
        <v>44574</v>
      </c>
      <c r="B23" s="523" t="e">
        <f ca="1">gr(données_step[[#This Row],[D_QDEVE]])</f>
        <v>#NAME?</v>
      </c>
      <c r="C23" s="523" t="e">
        <f ca="1">gr(données_step[[#This Row],[D_QTRAI]])</f>
        <v>#NAME?</v>
      </c>
      <c r="D23" s="523" t="e">
        <f ca="1">gr(données_step[[#This Row],[D_QDEVDP]])</f>
        <v>#NAME?</v>
      </c>
      <c r="E23" s="523" t="e">
        <f ca="1">gr(données_step[[#This Row],[D_QTRAI2]])</f>
        <v>#NAME?</v>
      </c>
      <c r="F23" s="523" t="e">
        <f ca="1">gr(données_step[[#This Row],[D_QMIN]])</f>
        <v>#NAME?</v>
      </c>
      <c r="G23" s="523" t="e">
        <f ca="1">gr(données_step[[#This Row],[D_QMAX]])</f>
        <v>#NAME?</v>
      </c>
      <c r="H23" s="501" t="e">
        <f ca="1">gr(données_step[[#This Row],[D_PLUIE]])</f>
        <v>#NAME?</v>
      </c>
    </row>
    <row r="24" spans="1:8" x14ac:dyDescent="0.2">
      <c r="A24" s="222">
        <f>calculs!A24</f>
        <v>44575</v>
      </c>
      <c r="B24" s="523" t="e">
        <f ca="1">gr(données_step[[#This Row],[D_QDEVE]])</f>
        <v>#NAME?</v>
      </c>
      <c r="C24" s="523" t="e">
        <f ca="1">gr(données_step[[#This Row],[D_QTRAI]])</f>
        <v>#NAME?</v>
      </c>
      <c r="D24" s="523" t="e">
        <f ca="1">gr(données_step[[#This Row],[D_QDEVDP]])</f>
        <v>#NAME?</v>
      </c>
      <c r="E24" s="523" t="e">
        <f ca="1">gr(données_step[[#This Row],[D_QTRAI2]])</f>
        <v>#NAME?</v>
      </c>
      <c r="F24" s="523" t="e">
        <f ca="1">gr(données_step[[#This Row],[D_QMIN]])</f>
        <v>#NAME?</v>
      </c>
      <c r="G24" s="523" t="e">
        <f ca="1">gr(données_step[[#This Row],[D_QMAX]])</f>
        <v>#NAME?</v>
      </c>
      <c r="H24" s="501" t="e">
        <f ca="1">gr(données_step[[#This Row],[D_PLUIE]])</f>
        <v>#NAME?</v>
      </c>
    </row>
    <row r="25" spans="1:8" x14ac:dyDescent="0.2">
      <c r="A25" s="222">
        <f>calculs!A25</f>
        <v>44576</v>
      </c>
      <c r="B25" s="523" t="e">
        <f ca="1">gr(données_step[[#This Row],[D_QDEVE]])</f>
        <v>#NAME?</v>
      </c>
      <c r="C25" s="523" t="e">
        <f ca="1">gr(données_step[[#This Row],[D_QTRAI]])</f>
        <v>#NAME?</v>
      </c>
      <c r="D25" s="523" t="e">
        <f ca="1">gr(données_step[[#This Row],[D_QDEVDP]])</f>
        <v>#NAME?</v>
      </c>
      <c r="E25" s="523" t="e">
        <f ca="1">gr(données_step[[#This Row],[D_QTRAI2]])</f>
        <v>#NAME?</v>
      </c>
      <c r="F25" s="523" t="e">
        <f ca="1">gr(données_step[[#This Row],[D_QMIN]])</f>
        <v>#NAME?</v>
      </c>
      <c r="G25" s="523" t="e">
        <f ca="1">gr(données_step[[#This Row],[D_QMAX]])</f>
        <v>#NAME?</v>
      </c>
      <c r="H25" s="501" t="e">
        <f ca="1">gr(données_step[[#This Row],[D_PLUIE]])</f>
        <v>#NAME?</v>
      </c>
    </row>
    <row r="26" spans="1:8" x14ac:dyDescent="0.2">
      <c r="A26" s="222">
        <f>calculs!A26</f>
        <v>44577</v>
      </c>
      <c r="B26" s="523" t="e">
        <f ca="1">gr(données_step[[#This Row],[D_QDEVE]])</f>
        <v>#NAME?</v>
      </c>
      <c r="C26" s="523" t="e">
        <f ca="1">gr(données_step[[#This Row],[D_QTRAI]])</f>
        <v>#NAME?</v>
      </c>
      <c r="D26" s="523" t="e">
        <f ca="1">gr(données_step[[#This Row],[D_QDEVDP]])</f>
        <v>#NAME?</v>
      </c>
      <c r="E26" s="523" t="e">
        <f ca="1">gr(données_step[[#This Row],[D_QTRAI2]])</f>
        <v>#NAME?</v>
      </c>
      <c r="F26" s="523" t="e">
        <f ca="1">gr(données_step[[#This Row],[D_QMIN]])</f>
        <v>#NAME?</v>
      </c>
      <c r="G26" s="523" t="e">
        <f ca="1">gr(données_step[[#This Row],[D_QMAX]])</f>
        <v>#NAME?</v>
      </c>
      <c r="H26" s="501" t="e">
        <f ca="1">gr(données_step[[#This Row],[D_PLUIE]])</f>
        <v>#NAME?</v>
      </c>
    </row>
    <row r="27" spans="1:8" x14ac:dyDescent="0.2">
      <c r="A27" s="222">
        <f>calculs!A27</f>
        <v>44578</v>
      </c>
      <c r="B27" s="523" t="e">
        <f ca="1">gr(données_step[[#This Row],[D_QDEVE]])</f>
        <v>#NAME?</v>
      </c>
      <c r="C27" s="523" t="e">
        <f ca="1">gr(données_step[[#This Row],[D_QTRAI]])</f>
        <v>#NAME?</v>
      </c>
      <c r="D27" s="523" t="e">
        <f ca="1">gr(données_step[[#This Row],[D_QDEVDP]])</f>
        <v>#NAME?</v>
      </c>
      <c r="E27" s="523" t="e">
        <f ca="1">gr(données_step[[#This Row],[D_QTRAI2]])</f>
        <v>#NAME?</v>
      </c>
      <c r="F27" s="523" t="e">
        <f ca="1">gr(données_step[[#This Row],[D_QMIN]])</f>
        <v>#NAME?</v>
      </c>
      <c r="G27" s="523" t="e">
        <f ca="1">gr(données_step[[#This Row],[D_QMAX]])</f>
        <v>#NAME?</v>
      </c>
      <c r="H27" s="501" t="e">
        <f ca="1">gr(données_step[[#This Row],[D_PLUIE]])</f>
        <v>#NAME?</v>
      </c>
    </row>
    <row r="28" spans="1:8" x14ac:dyDescent="0.2">
      <c r="A28" s="222">
        <f>calculs!A28</f>
        <v>44579</v>
      </c>
      <c r="B28" s="523" t="e">
        <f ca="1">gr(données_step[[#This Row],[D_QDEVE]])</f>
        <v>#NAME?</v>
      </c>
      <c r="C28" s="523" t="e">
        <f ca="1">gr(données_step[[#This Row],[D_QTRAI]])</f>
        <v>#NAME?</v>
      </c>
      <c r="D28" s="523" t="e">
        <f ca="1">gr(données_step[[#This Row],[D_QDEVDP]])</f>
        <v>#NAME?</v>
      </c>
      <c r="E28" s="523" t="e">
        <f ca="1">gr(données_step[[#This Row],[D_QTRAI2]])</f>
        <v>#NAME?</v>
      </c>
      <c r="F28" s="523" t="e">
        <f ca="1">gr(données_step[[#This Row],[D_QMIN]])</f>
        <v>#NAME?</v>
      </c>
      <c r="G28" s="523" t="e">
        <f ca="1">gr(données_step[[#This Row],[D_QMAX]])</f>
        <v>#NAME?</v>
      </c>
      <c r="H28" s="501" t="e">
        <f ca="1">gr(données_step[[#This Row],[D_PLUIE]])</f>
        <v>#NAME?</v>
      </c>
    </row>
    <row r="29" spans="1:8" x14ac:dyDescent="0.2">
      <c r="A29" s="222">
        <f>calculs!A29</f>
        <v>44580</v>
      </c>
      <c r="B29" s="523" t="e">
        <f ca="1">gr(données_step[[#This Row],[D_QDEVE]])</f>
        <v>#NAME?</v>
      </c>
      <c r="C29" s="523" t="e">
        <f ca="1">gr(données_step[[#This Row],[D_QTRAI]])</f>
        <v>#NAME?</v>
      </c>
      <c r="D29" s="523" t="e">
        <f ca="1">gr(données_step[[#This Row],[D_QDEVDP]])</f>
        <v>#NAME?</v>
      </c>
      <c r="E29" s="523" t="e">
        <f ca="1">gr(données_step[[#This Row],[D_QTRAI2]])</f>
        <v>#NAME?</v>
      </c>
      <c r="F29" s="523" t="e">
        <f ca="1">gr(données_step[[#This Row],[D_QMIN]])</f>
        <v>#NAME?</v>
      </c>
      <c r="G29" s="523" t="e">
        <f ca="1">gr(données_step[[#This Row],[D_QMAX]])</f>
        <v>#NAME?</v>
      </c>
      <c r="H29" s="501" t="e">
        <f ca="1">gr(données_step[[#This Row],[D_PLUIE]])</f>
        <v>#NAME?</v>
      </c>
    </row>
    <row r="30" spans="1:8" x14ac:dyDescent="0.2">
      <c r="A30" s="222">
        <f>calculs!A30</f>
        <v>44581</v>
      </c>
      <c r="B30" s="523" t="e">
        <f ca="1">gr(données_step[[#This Row],[D_QDEVE]])</f>
        <v>#NAME?</v>
      </c>
      <c r="C30" s="523" t="e">
        <f ca="1">gr(données_step[[#This Row],[D_QTRAI]])</f>
        <v>#NAME?</v>
      </c>
      <c r="D30" s="523" t="e">
        <f ca="1">gr(données_step[[#This Row],[D_QDEVDP]])</f>
        <v>#NAME?</v>
      </c>
      <c r="E30" s="523" t="e">
        <f ca="1">gr(données_step[[#This Row],[D_QTRAI2]])</f>
        <v>#NAME?</v>
      </c>
      <c r="F30" s="523" t="e">
        <f ca="1">gr(données_step[[#This Row],[D_QMIN]])</f>
        <v>#NAME?</v>
      </c>
      <c r="G30" s="523" t="e">
        <f ca="1">gr(données_step[[#This Row],[D_QMAX]])</f>
        <v>#NAME?</v>
      </c>
      <c r="H30" s="501" t="e">
        <f ca="1">gr(données_step[[#This Row],[D_PLUIE]])</f>
        <v>#NAME?</v>
      </c>
    </row>
    <row r="31" spans="1:8" x14ac:dyDescent="0.2">
      <c r="A31" s="222">
        <f>calculs!A31</f>
        <v>44582</v>
      </c>
      <c r="B31" s="523" t="e">
        <f ca="1">gr(données_step[[#This Row],[D_QDEVE]])</f>
        <v>#NAME?</v>
      </c>
      <c r="C31" s="523" t="e">
        <f ca="1">gr(données_step[[#This Row],[D_QTRAI]])</f>
        <v>#NAME?</v>
      </c>
      <c r="D31" s="523" t="e">
        <f ca="1">gr(données_step[[#This Row],[D_QDEVDP]])</f>
        <v>#NAME?</v>
      </c>
      <c r="E31" s="523" t="e">
        <f ca="1">gr(données_step[[#This Row],[D_QTRAI2]])</f>
        <v>#NAME?</v>
      </c>
      <c r="F31" s="523" t="e">
        <f ca="1">gr(données_step[[#This Row],[D_QMIN]])</f>
        <v>#NAME?</v>
      </c>
      <c r="G31" s="523" t="e">
        <f ca="1">gr(données_step[[#This Row],[D_QMAX]])</f>
        <v>#NAME?</v>
      </c>
      <c r="H31" s="501" t="e">
        <f ca="1">gr(données_step[[#This Row],[D_PLUIE]])</f>
        <v>#NAME?</v>
      </c>
    </row>
    <row r="32" spans="1:8" x14ac:dyDescent="0.2">
      <c r="A32" s="222">
        <f>calculs!A32</f>
        <v>44583</v>
      </c>
      <c r="B32" s="523" t="e">
        <f ca="1">gr(données_step[[#This Row],[D_QDEVE]])</f>
        <v>#NAME?</v>
      </c>
      <c r="C32" s="523" t="e">
        <f ca="1">gr(données_step[[#This Row],[D_QTRAI]])</f>
        <v>#NAME?</v>
      </c>
      <c r="D32" s="523" t="e">
        <f ca="1">gr(données_step[[#This Row],[D_QDEVDP]])</f>
        <v>#NAME?</v>
      </c>
      <c r="E32" s="523" t="e">
        <f ca="1">gr(données_step[[#This Row],[D_QTRAI2]])</f>
        <v>#NAME?</v>
      </c>
      <c r="F32" s="523" t="e">
        <f ca="1">gr(données_step[[#This Row],[D_QMIN]])</f>
        <v>#NAME?</v>
      </c>
      <c r="G32" s="523" t="e">
        <f ca="1">gr(données_step[[#This Row],[D_QMAX]])</f>
        <v>#NAME?</v>
      </c>
      <c r="H32" s="501" t="e">
        <f ca="1">gr(données_step[[#This Row],[D_PLUIE]])</f>
        <v>#NAME?</v>
      </c>
    </row>
    <row r="33" spans="1:8" x14ac:dyDescent="0.2">
      <c r="A33" s="222">
        <f>calculs!A33</f>
        <v>44584</v>
      </c>
      <c r="B33" s="523" t="e">
        <f ca="1">gr(données_step[[#This Row],[D_QDEVE]])</f>
        <v>#NAME?</v>
      </c>
      <c r="C33" s="523" t="e">
        <f ca="1">gr(données_step[[#This Row],[D_QTRAI]])</f>
        <v>#NAME?</v>
      </c>
      <c r="D33" s="523" t="e">
        <f ca="1">gr(données_step[[#This Row],[D_QDEVDP]])</f>
        <v>#NAME?</v>
      </c>
      <c r="E33" s="523" t="e">
        <f ca="1">gr(données_step[[#This Row],[D_QTRAI2]])</f>
        <v>#NAME?</v>
      </c>
      <c r="F33" s="523" t="e">
        <f ca="1">gr(données_step[[#This Row],[D_QMIN]])</f>
        <v>#NAME?</v>
      </c>
      <c r="G33" s="523" t="e">
        <f ca="1">gr(données_step[[#This Row],[D_QMAX]])</f>
        <v>#NAME?</v>
      </c>
      <c r="H33" s="501" t="e">
        <f ca="1">gr(données_step[[#This Row],[D_PLUIE]])</f>
        <v>#NAME?</v>
      </c>
    </row>
    <row r="34" spans="1:8" x14ac:dyDescent="0.2">
      <c r="A34" s="222">
        <f>calculs!A34</f>
        <v>44585</v>
      </c>
      <c r="B34" s="523" t="e">
        <f ca="1">gr(données_step[[#This Row],[D_QDEVE]])</f>
        <v>#NAME?</v>
      </c>
      <c r="C34" s="523" t="e">
        <f ca="1">gr(données_step[[#This Row],[D_QTRAI]])</f>
        <v>#NAME?</v>
      </c>
      <c r="D34" s="523" t="e">
        <f ca="1">gr(données_step[[#This Row],[D_QDEVDP]])</f>
        <v>#NAME?</v>
      </c>
      <c r="E34" s="523" t="e">
        <f ca="1">gr(données_step[[#This Row],[D_QTRAI2]])</f>
        <v>#NAME?</v>
      </c>
      <c r="F34" s="523" t="e">
        <f ca="1">gr(données_step[[#This Row],[D_QMIN]])</f>
        <v>#NAME?</v>
      </c>
      <c r="G34" s="523" t="e">
        <f ca="1">gr(données_step[[#This Row],[D_QMAX]])</f>
        <v>#NAME?</v>
      </c>
      <c r="H34" s="501" t="e">
        <f ca="1">gr(données_step[[#This Row],[D_PLUIE]])</f>
        <v>#NAME?</v>
      </c>
    </row>
    <row r="35" spans="1:8" x14ac:dyDescent="0.2">
      <c r="A35" s="222">
        <f>calculs!A35</f>
        <v>44586</v>
      </c>
      <c r="B35" s="523" t="e">
        <f ca="1">gr(données_step[[#This Row],[D_QDEVE]])</f>
        <v>#NAME?</v>
      </c>
      <c r="C35" s="523" t="e">
        <f ca="1">gr(données_step[[#This Row],[D_QTRAI]])</f>
        <v>#NAME?</v>
      </c>
      <c r="D35" s="523" t="e">
        <f ca="1">gr(données_step[[#This Row],[D_QDEVDP]])</f>
        <v>#NAME?</v>
      </c>
      <c r="E35" s="523" t="e">
        <f ca="1">gr(données_step[[#This Row],[D_QTRAI2]])</f>
        <v>#NAME?</v>
      </c>
      <c r="F35" s="523" t="e">
        <f ca="1">gr(données_step[[#This Row],[D_QMIN]])</f>
        <v>#NAME?</v>
      </c>
      <c r="G35" s="523" t="e">
        <f ca="1">gr(données_step[[#This Row],[D_QMAX]])</f>
        <v>#NAME?</v>
      </c>
      <c r="H35" s="501" t="e">
        <f ca="1">gr(données_step[[#This Row],[D_PLUIE]])</f>
        <v>#NAME?</v>
      </c>
    </row>
    <row r="36" spans="1:8" x14ac:dyDescent="0.2">
      <c r="A36" s="222">
        <f>calculs!A36</f>
        <v>44587</v>
      </c>
      <c r="B36" s="523" t="e">
        <f ca="1">gr(données_step[[#This Row],[D_QDEVE]])</f>
        <v>#NAME?</v>
      </c>
      <c r="C36" s="523" t="e">
        <f ca="1">gr(données_step[[#This Row],[D_QTRAI]])</f>
        <v>#NAME?</v>
      </c>
      <c r="D36" s="523" t="e">
        <f ca="1">gr(données_step[[#This Row],[D_QDEVDP]])</f>
        <v>#NAME?</v>
      </c>
      <c r="E36" s="523" t="e">
        <f ca="1">gr(données_step[[#This Row],[D_QTRAI2]])</f>
        <v>#NAME?</v>
      </c>
      <c r="F36" s="523" t="e">
        <f ca="1">gr(données_step[[#This Row],[D_QMIN]])</f>
        <v>#NAME?</v>
      </c>
      <c r="G36" s="523" t="e">
        <f ca="1">gr(données_step[[#This Row],[D_QMAX]])</f>
        <v>#NAME?</v>
      </c>
      <c r="H36" s="501" t="e">
        <f ca="1">gr(données_step[[#This Row],[D_PLUIE]])</f>
        <v>#NAME?</v>
      </c>
    </row>
    <row r="37" spans="1:8" x14ac:dyDescent="0.2">
      <c r="A37" s="222">
        <f>calculs!A37</f>
        <v>44588</v>
      </c>
      <c r="B37" s="523" t="e">
        <f ca="1">gr(données_step[[#This Row],[D_QDEVE]])</f>
        <v>#NAME?</v>
      </c>
      <c r="C37" s="523" t="e">
        <f ca="1">gr(données_step[[#This Row],[D_QTRAI]])</f>
        <v>#NAME?</v>
      </c>
      <c r="D37" s="523" t="e">
        <f ca="1">gr(données_step[[#This Row],[D_QDEVDP]])</f>
        <v>#NAME?</v>
      </c>
      <c r="E37" s="523" t="e">
        <f ca="1">gr(données_step[[#This Row],[D_QTRAI2]])</f>
        <v>#NAME?</v>
      </c>
      <c r="F37" s="523" t="e">
        <f ca="1">gr(données_step[[#This Row],[D_QMIN]])</f>
        <v>#NAME?</v>
      </c>
      <c r="G37" s="523" t="e">
        <f ca="1">gr(données_step[[#This Row],[D_QMAX]])</f>
        <v>#NAME?</v>
      </c>
      <c r="H37" s="501" t="e">
        <f ca="1">gr(données_step[[#This Row],[D_PLUIE]])</f>
        <v>#NAME?</v>
      </c>
    </row>
    <row r="38" spans="1:8" x14ac:dyDescent="0.2">
      <c r="A38" s="222">
        <f>calculs!A38</f>
        <v>44589</v>
      </c>
      <c r="B38" s="523" t="e">
        <f ca="1">gr(données_step[[#This Row],[D_QDEVE]])</f>
        <v>#NAME?</v>
      </c>
      <c r="C38" s="523" t="e">
        <f ca="1">gr(données_step[[#This Row],[D_QTRAI]])</f>
        <v>#NAME?</v>
      </c>
      <c r="D38" s="523" t="e">
        <f ca="1">gr(données_step[[#This Row],[D_QDEVDP]])</f>
        <v>#NAME?</v>
      </c>
      <c r="E38" s="523" t="e">
        <f ca="1">gr(données_step[[#This Row],[D_QTRAI2]])</f>
        <v>#NAME?</v>
      </c>
      <c r="F38" s="523" t="e">
        <f ca="1">gr(données_step[[#This Row],[D_QMIN]])</f>
        <v>#NAME?</v>
      </c>
      <c r="G38" s="523" t="e">
        <f ca="1">gr(données_step[[#This Row],[D_QMAX]])</f>
        <v>#NAME?</v>
      </c>
      <c r="H38" s="501" t="e">
        <f ca="1">gr(données_step[[#This Row],[D_PLUIE]])</f>
        <v>#NAME?</v>
      </c>
    </row>
    <row r="39" spans="1:8" x14ac:dyDescent="0.2">
      <c r="A39" s="222">
        <f>calculs!A39</f>
        <v>44590</v>
      </c>
      <c r="B39" s="523" t="e">
        <f ca="1">gr(données_step[[#This Row],[D_QDEVE]])</f>
        <v>#NAME?</v>
      </c>
      <c r="C39" s="523" t="e">
        <f ca="1">gr(données_step[[#This Row],[D_QTRAI]])</f>
        <v>#NAME?</v>
      </c>
      <c r="D39" s="523" t="e">
        <f ca="1">gr(données_step[[#This Row],[D_QDEVDP]])</f>
        <v>#NAME?</v>
      </c>
      <c r="E39" s="523" t="e">
        <f ca="1">gr(données_step[[#This Row],[D_QTRAI2]])</f>
        <v>#NAME?</v>
      </c>
      <c r="F39" s="523" t="e">
        <f ca="1">gr(données_step[[#This Row],[D_QMIN]])</f>
        <v>#NAME?</v>
      </c>
      <c r="G39" s="523" t="e">
        <f ca="1">gr(données_step[[#This Row],[D_QMAX]])</f>
        <v>#NAME?</v>
      </c>
      <c r="H39" s="501" t="e">
        <f ca="1">gr(données_step[[#This Row],[D_PLUIE]])</f>
        <v>#NAME?</v>
      </c>
    </row>
    <row r="40" spans="1:8" x14ac:dyDescent="0.2">
      <c r="A40" s="222">
        <f>calculs!A40</f>
        <v>44591</v>
      </c>
      <c r="B40" s="523" t="e">
        <f ca="1">gr(données_step[[#This Row],[D_QDEVE]])</f>
        <v>#NAME?</v>
      </c>
      <c r="C40" s="523" t="e">
        <f ca="1">gr(données_step[[#This Row],[D_QTRAI]])</f>
        <v>#NAME?</v>
      </c>
      <c r="D40" s="523" t="e">
        <f ca="1">gr(données_step[[#This Row],[D_QDEVDP]])</f>
        <v>#NAME?</v>
      </c>
      <c r="E40" s="523" t="e">
        <f ca="1">gr(données_step[[#This Row],[D_QTRAI2]])</f>
        <v>#NAME?</v>
      </c>
      <c r="F40" s="523" t="e">
        <f ca="1">gr(données_step[[#This Row],[D_QMIN]])</f>
        <v>#NAME?</v>
      </c>
      <c r="G40" s="523" t="e">
        <f ca="1">gr(données_step[[#This Row],[D_QMAX]])</f>
        <v>#NAME?</v>
      </c>
      <c r="H40" s="501" t="e">
        <f ca="1">gr(données_step[[#This Row],[D_PLUIE]])</f>
        <v>#NAME?</v>
      </c>
    </row>
    <row r="41" spans="1:8" x14ac:dyDescent="0.2">
      <c r="A41" s="222">
        <f>calculs!A41</f>
        <v>44592</v>
      </c>
      <c r="B41" s="523" t="e">
        <f ca="1">gr(données_step[[#This Row],[D_QDEVE]])</f>
        <v>#NAME?</v>
      </c>
      <c r="C41" s="523" t="e">
        <f ca="1">gr(données_step[[#This Row],[D_QTRAI]])</f>
        <v>#NAME?</v>
      </c>
      <c r="D41" s="523" t="e">
        <f ca="1">gr(données_step[[#This Row],[D_QDEVDP]])</f>
        <v>#NAME?</v>
      </c>
      <c r="E41" s="523" t="e">
        <f ca="1">gr(données_step[[#This Row],[D_QTRAI2]])</f>
        <v>#NAME?</v>
      </c>
      <c r="F41" s="523" t="e">
        <f ca="1">gr(données_step[[#This Row],[D_QMIN]])</f>
        <v>#NAME?</v>
      </c>
      <c r="G41" s="523" t="e">
        <f ca="1">gr(données_step[[#This Row],[D_QMAX]])</f>
        <v>#NAME?</v>
      </c>
      <c r="H41" s="501" t="e">
        <f ca="1">gr(données_step[[#This Row],[D_PLUIE]])</f>
        <v>#NAME?</v>
      </c>
    </row>
    <row r="42" spans="1:8" x14ac:dyDescent="0.2">
      <c r="A42" s="222">
        <f>calculs!A42</f>
        <v>44593</v>
      </c>
      <c r="B42" s="523" t="e">
        <f ca="1">gr(données_step[[#This Row],[D_QDEVE]])</f>
        <v>#NAME?</v>
      </c>
      <c r="C42" s="523" t="e">
        <f ca="1">gr(données_step[[#This Row],[D_QTRAI]])</f>
        <v>#NAME?</v>
      </c>
      <c r="D42" s="523" t="e">
        <f ca="1">gr(données_step[[#This Row],[D_QDEVDP]])</f>
        <v>#NAME?</v>
      </c>
      <c r="E42" s="523" t="e">
        <f ca="1">gr(données_step[[#This Row],[D_QTRAI2]])</f>
        <v>#NAME?</v>
      </c>
      <c r="F42" s="523" t="e">
        <f ca="1">gr(données_step[[#This Row],[D_QMIN]])</f>
        <v>#NAME?</v>
      </c>
      <c r="G42" s="523" t="e">
        <f ca="1">gr(données_step[[#This Row],[D_QMAX]])</f>
        <v>#NAME?</v>
      </c>
      <c r="H42" s="501" t="e">
        <f ca="1">gr(données_step[[#This Row],[D_PLUIE]])</f>
        <v>#NAME?</v>
      </c>
    </row>
    <row r="43" spans="1:8" x14ac:dyDescent="0.2">
      <c r="A43" s="222">
        <f>calculs!A43</f>
        <v>44594</v>
      </c>
      <c r="B43" s="523" t="e">
        <f ca="1">gr(données_step[[#This Row],[D_QDEVE]])</f>
        <v>#NAME?</v>
      </c>
      <c r="C43" s="523" t="e">
        <f ca="1">gr(données_step[[#This Row],[D_QTRAI]])</f>
        <v>#NAME?</v>
      </c>
      <c r="D43" s="523" t="e">
        <f ca="1">gr(données_step[[#This Row],[D_QDEVDP]])</f>
        <v>#NAME?</v>
      </c>
      <c r="E43" s="523" t="e">
        <f ca="1">gr(données_step[[#This Row],[D_QTRAI2]])</f>
        <v>#NAME?</v>
      </c>
      <c r="F43" s="523" t="e">
        <f ca="1">gr(données_step[[#This Row],[D_QMIN]])</f>
        <v>#NAME?</v>
      </c>
      <c r="G43" s="523" t="e">
        <f ca="1">gr(données_step[[#This Row],[D_QMAX]])</f>
        <v>#NAME?</v>
      </c>
      <c r="H43" s="501" t="e">
        <f ca="1">gr(données_step[[#This Row],[D_PLUIE]])</f>
        <v>#NAME?</v>
      </c>
    </row>
    <row r="44" spans="1:8" x14ac:dyDescent="0.2">
      <c r="A44" s="222">
        <f>calculs!A44</f>
        <v>44595</v>
      </c>
      <c r="B44" s="523" t="e">
        <f ca="1">gr(données_step[[#This Row],[D_QDEVE]])</f>
        <v>#NAME?</v>
      </c>
      <c r="C44" s="523" t="e">
        <f ca="1">gr(données_step[[#This Row],[D_QTRAI]])</f>
        <v>#NAME?</v>
      </c>
      <c r="D44" s="523" t="e">
        <f ca="1">gr(données_step[[#This Row],[D_QDEVDP]])</f>
        <v>#NAME?</v>
      </c>
      <c r="E44" s="523" t="e">
        <f ca="1">gr(données_step[[#This Row],[D_QTRAI2]])</f>
        <v>#NAME?</v>
      </c>
      <c r="F44" s="523" t="e">
        <f ca="1">gr(données_step[[#This Row],[D_QMIN]])</f>
        <v>#NAME?</v>
      </c>
      <c r="G44" s="523" t="e">
        <f ca="1">gr(données_step[[#This Row],[D_QMAX]])</f>
        <v>#NAME?</v>
      </c>
      <c r="H44" s="501" t="e">
        <f ca="1">gr(données_step[[#This Row],[D_PLUIE]])</f>
        <v>#NAME?</v>
      </c>
    </row>
    <row r="45" spans="1:8" x14ac:dyDescent="0.2">
      <c r="A45" s="222">
        <f>calculs!A45</f>
        <v>44596</v>
      </c>
      <c r="B45" s="523" t="e">
        <f ca="1">gr(données_step[[#This Row],[D_QDEVE]])</f>
        <v>#NAME?</v>
      </c>
      <c r="C45" s="523" t="e">
        <f ca="1">gr(données_step[[#This Row],[D_QTRAI]])</f>
        <v>#NAME?</v>
      </c>
      <c r="D45" s="523" t="e">
        <f ca="1">gr(données_step[[#This Row],[D_QDEVDP]])</f>
        <v>#NAME?</v>
      </c>
      <c r="E45" s="523" t="e">
        <f ca="1">gr(données_step[[#This Row],[D_QTRAI2]])</f>
        <v>#NAME?</v>
      </c>
      <c r="F45" s="523" t="e">
        <f ca="1">gr(données_step[[#This Row],[D_QMIN]])</f>
        <v>#NAME?</v>
      </c>
      <c r="G45" s="523" t="e">
        <f ca="1">gr(données_step[[#This Row],[D_QMAX]])</f>
        <v>#NAME?</v>
      </c>
      <c r="H45" s="501" t="e">
        <f ca="1">gr(données_step[[#This Row],[D_PLUIE]])</f>
        <v>#NAME?</v>
      </c>
    </row>
    <row r="46" spans="1:8" x14ac:dyDescent="0.2">
      <c r="A46" s="222">
        <f>calculs!A46</f>
        <v>44597</v>
      </c>
      <c r="B46" s="523" t="e">
        <f ca="1">gr(données_step[[#This Row],[D_QDEVE]])</f>
        <v>#NAME?</v>
      </c>
      <c r="C46" s="523" t="e">
        <f ca="1">gr(données_step[[#This Row],[D_QTRAI]])</f>
        <v>#NAME?</v>
      </c>
      <c r="D46" s="523" t="e">
        <f ca="1">gr(données_step[[#This Row],[D_QDEVDP]])</f>
        <v>#NAME?</v>
      </c>
      <c r="E46" s="523" t="e">
        <f ca="1">gr(données_step[[#This Row],[D_QTRAI2]])</f>
        <v>#NAME?</v>
      </c>
      <c r="F46" s="523" t="e">
        <f ca="1">gr(données_step[[#This Row],[D_QMIN]])</f>
        <v>#NAME?</v>
      </c>
      <c r="G46" s="523" t="e">
        <f ca="1">gr(données_step[[#This Row],[D_QMAX]])</f>
        <v>#NAME?</v>
      </c>
      <c r="H46" s="501" t="e">
        <f ca="1">gr(données_step[[#This Row],[D_PLUIE]])</f>
        <v>#NAME?</v>
      </c>
    </row>
    <row r="47" spans="1:8" x14ac:dyDescent="0.2">
      <c r="A47" s="222">
        <f>calculs!A47</f>
        <v>44598</v>
      </c>
      <c r="B47" s="523" t="e">
        <f ca="1">gr(données_step[[#This Row],[D_QDEVE]])</f>
        <v>#NAME?</v>
      </c>
      <c r="C47" s="523" t="e">
        <f ca="1">gr(données_step[[#This Row],[D_QTRAI]])</f>
        <v>#NAME?</v>
      </c>
      <c r="D47" s="523" t="e">
        <f ca="1">gr(données_step[[#This Row],[D_QDEVDP]])</f>
        <v>#NAME?</v>
      </c>
      <c r="E47" s="523" t="e">
        <f ca="1">gr(données_step[[#This Row],[D_QTRAI2]])</f>
        <v>#NAME?</v>
      </c>
      <c r="F47" s="523" t="e">
        <f ca="1">gr(données_step[[#This Row],[D_QMIN]])</f>
        <v>#NAME?</v>
      </c>
      <c r="G47" s="523" t="e">
        <f ca="1">gr(données_step[[#This Row],[D_QMAX]])</f>
        <v>#NAME?</v>
      </c>
      <c r="H47" s="501" t="e">
        <f ca="1">gr(données_step[[#This Row],[D_PLUIE]])</f>
        <v>#NAME?</v>
      </c>
    </row>
    <row r="48" spans="1:8" x14ac:dyDescent="0.2">
      <c r="A48" s="222">
        <f>calculs!A48</f>
        <v>44599</v>
      </c>
      <c r="B48" s="523" t="e">
        <f ca="1">gr(données_step[[#This Row],[D_QDEVE]])</f>
        <v>#NAME?</v>
      </c>
      <c r="C48" s="523" t="e">
        <f ca="1">gr(données_step[[#This Row],[D_QTRAI]])</f>
        <v>#NAME?</v>
      </c>
      <c r="D48" s="523" t="e">
        <f ca="1">gr(données_step[[#This Row],[D_QDEVDP]])</f>
        <v>#NAME?</v>
      </c>
      <c r="E48" s="523" t="e">
        <f ca="1">gr(données_step[[#This Row],[D_QTRAI2]])</f>
        <v>#NAME?</v>
      </c>
      <c r="F48" s="523" t="e">
        <f ca="1">gr(données_step[[#This Row],[D_QMIN]])</f>
        <v>#NAME?</v>
      </c>
      <c r="G48" s="523" t="e">
        <f ca="1">gr(données_step[[#This Row],[D_QMAX]])</f>
        <v>#NAME?</v>
      </c>
      <c r="H48" s="501" t="e">
        <f ca="1">gr(données_step[[#This Row],[D_PLUIE]])</f>
        <v>#NAME?</v>
      </c>
    </row>
    <row r="49" spans="1:8" x14ac:dyDescent="0.2">
      <c r="A49" s="222">
        <f>calculs!A49</f>
        <v>44600</v>
      </c>
      <c r="B49" s="523" t="e">
        <f ca="1">gr(données_step[[#This Row],[D_QDEVE]])</f>
        <v>#NAME?</v>
      </c>
      <c r="C49" s="523" t="e">
        <f ca="1">gr(données_step[[#This Row],[D_QTRAI]])</f>
        <v>#NAME?</v>
      </c>
      <c r="D49" s="523" t="e">
        <f ca="1">gr(données_step[[#This Row],[D_QDEVDP]])</f>
        <v>#NAME?</v>
      </c>
      <c r="E49" s="523" t="e">
        <f ca="1">gr(données_step[[#This Row],[D_QTRAI2]])</f>
        <v>#NAME?</v>
      </c>
      <c r="F49" s="523" t="e">
        <f ca="1">gr(données_step[[#This Row],[D_QMIN]])</f>
        <v>#NAME?</v>
      </c>
      <c r="G49" s="523" t="e">
        <f ca="1">gr(données_step[[#This Row],[D_QMAX]])</f>
        <v>#NAME?</v>
      </c>
      <c r="H49" s="501" t="e">
        <f ca="1">gr(données_step[[#This Row],[D_PLUIE]])</f>
        <v>#NAME?</v>
      </c>
    </row>
    <row r="50" spans="1:8" x14ac:dyDescent="0.2">
      <c r="A50" s="222">
        <f>calculs!A50</f>
        <v>44601</v>
      </c>
      <c r="B50" s="523" t="e">
        <f ca="1">gr(données_step[[#This Row],[D_QDEVE]])</f>
        <v>#NAME?</v>
      </c>
      <c r="C50" s="523" t="e">
        <f ca="1">gr(données_step[[#This Row],[D_QTRAI]])</f>
        <v>#NAME?</v>
      </c>
      <c r="D50" s="523" t="e">
        <f ca="1">gr(données_step[[#This Row],[D_QDEVDP]])</f>
        <v>#NAME?</v>
      </c>
      <c r="E50" s="523" t="e">
        <f ca="1">gr(données_step[[#This Row],[D_QTRAI2]])</f>
        <v>#NAME?</v>
      </c>
      <c r="F50" s="523" t="e">
        <f ca="1">gr(données_step[[#This Row],[D_QMIN]])</f>
        <v>#NAME?</v>
      </c>
      <c r="G50" s="523" t="e">
        <f ca="1">gr(données_step[[#This Row],[D_QMAX]])</f>
        <v>#NAME?</v>
      </c>
      <c r="H50" s="501" t="e">
        <f ca="1">gr(données_step[[#This Row],[D_PLUIE]])</f>
        <v>#NAME?</v>
      </c>
    </row>
    <row r="51" spans="1:8" x14ac:dyDescent="0.2">
      <c r="A51" s="222">
        <f>calculs!A51</f>
        <v>44602</v>
      </c>
      <c r="B51" s="523" t="e">
        <f ca="1">gr(données_step[[#This Row],[D_QDEVE]])</f>
        <v>#NAME?</v>
      </c>
      <c r="C51" s="523" t="e">
        <f ca="1">gr(données_step[[#This Row],[D_QTRAI]])</f>
        <v>#NAME?</v>
      </c>
      <c r="D51" s="523" t="e">
        <f ca="1">gr(données_step[[#This Row],[D_QDEVDP]])</f>
        <v>#NAME?</v>
      </c>
      <c r="E51" s="523" t="e">
        <f ca="1">gr(données_step[[#This Row],[D_QTRAI2]])</f>
        <v>#NAME?</v>
      </c>
      <c r="F51" s="523" t="e">
        <f ca="1">gr(données_step[[#This Row],[D_QMIN]])</f>
        <v>#NAME?</v>
      </c>
      <c r="G51" s="523" t="e">
        <f ca="1">gr(données_step[[#This Row],[D_QMAX]])</f>
        <v>#NAME?</v>
      </c>
      <c r="H51" s="501" t="e">
        <f ca="1">gr(données_step[[#This Row],[D_PLUIE]])</f>
        <v>#NAME?</v>
      </c>
    </row>
    <row r="52" spans="1:8" x14ac:dyDescent="0.2">
      <c r="A52" s="222">
        <f>calculs!A52</f>
        <v>44603</v>
      </c>
      <c r="B52" s="523" t="e">
        <f ca="1">gr(données_step[[#This Row],[D_QDEVE]])</f>
        <v>#NAME?</v>
      </c>
      <c r="C52" s="523" t="e">
        <f ca="1">gr(données_step[[#This Row],[D_QTRAI]])</f>
        <v>#NAME?</v>
      </c>
      <c r="D52" s="523" t="e">
        <f ca="1">gr(données_step[[#This Row],[D_QDEVDP]])</f>
        <v>#NAME?</v>
      </c>
      <c r="E52" s="523" t="e">
        <f ca="1">gr(données_step[[#This Row],[D_QTRAI2]])</f>
        <v>#NAME?</v>
      </c>
      <c r="F52" s="523" t="e">
        <f ca="1">gr(données_step[[#This Row],[D_QMIN]])</f>
        <v>#NAME?</v>
      </c>
      <c r="G52" s="523" t="e">
        <f ca="1">gr(données_step[[#This Row],[D_QMAX]])</f>
        <v>#NAME?</v>
      </c>
      <c r="H52" s="501" t="e">
        <f ca="1">gr(données_step[[#This Row],[D_PLUIE]])</f>
        <v>#NAME?</v>
      </c>
    </row>
    <row r="53" spans="1:8" x14ac:dyDescent="0.2">
      <c r="A53" s="222">
        <f>calculs!A53</f>
        <v>44604</v>
      </c>
      <c r="B53" s="523" t="e">
        <f ca="1">gr(données_step[[#This Row],[D_QDEVE]])</f>
        <v>#NAME?</v>
      </c>
      <c r="C53" s="523" t="e">
        <f ca="1">gr(données_step[[#This Row],[D_QTRAI]])</f>
        <v>#NAME?</v>
      </c>
      <c r="D53" s="523" t="e">
        <f ca="1">gr(données_step[[#This Row],[D_QDEVDP]])</f>
        <v>#NAME?</v>
      </c>
      <c r="E53" s="523" t="e">
        <f ca="1">gr(données_step[[#This Row],[D_QTRAI2]])</f>
        <v>#NAME?</v>
      </c>
      <c r="F53" s="523" t="e">
        <f ca="1">gr(données_step[[#This Row],[D_QMIN]])</f>
        <v>#NAME?</v>
      </c>
      <c r="G53" s="523" t="e">
        <f ca="1">gr(données_step[[#This Row],[D_QMAX]])</f>
        <v>#NAME?</v>
      </c>
      <c r="H53" s="501" t="e">
        <f ca="1">gr(données_step[[#This Row],[D_PLUIE]])</f>
        <v>#NAME?</v>
      </c>
    </row>
    <row r="54" spans="1:8" x14ac:dyDescent="0.2">
      <c r="A54" s="222">
        <f>calculs!A54</f>
        <v>44605</v>
      </c>
      <c r="B54" s="523" t="e">
        <f ca="1">gr(données_step[[#This Row],[D_QDEVE]])</f>
        <v>#NAME?</v>
      </c>
      <c r="C54" s="523" t="e">
        <f ca="1">gr(données_step[[#This Row],[D_QTRAI]])</f>
        <v>#NAME?</v>
      </c>
      <c r="D54" s="523" t="e">
        <f ca="1">gr(données_step[[#This Row],[D_QDEVDP]])</f>
        <v>#NAME?</v>
      </c>
      <c r="E54" s="523" t="e">
        <f ca="1">gr(données_step[[#This Row],[D_QTRAI2]])</f>
        <v>#NAME?</v>
      </c>
      <c r="F54" s="523" t="e">
        <f ca="1">gr(données_step[[#This Row],[D_QMIN]])</f>
        <v>#NAME?</v>
      </c>
      <c r="G54" s="523" t="e">
        <f ca="1">gr(données_step[[#This Row],[D_QMAX]])</f>
        <v>#NAME?</v>
      </c>
      <c r="H54" s="501" t="e">
        <f ca="1">gr(données_step[[#This Row],[D_PLUIE]])</f>
        <v>#NAME?</v>
      </c>
    </row>
    <row r="55" spans="1:8" x14ac:dyDescent="0.2">
      <c r="A55" s="222">
        <f>calculs!A55</f>
        <v>44606</v>
      </c>
      <c r="B55" s="523" t="e">
        <f ca="1">gr(données_step[[#This Row],[D_QDEVE]])</f>
        <v>#NAME?</v>
      </c>
      <c r="C55" s="523" t="e">
        <f ca="1">gr(données_step[[#This Row],[D_QTRAI]])</f>
        <v>#NAME?</v>
      </c>
      <c r="D55" s="523" t="e">
        <f ca="1">gr(données_step[[#This Row],[D_QDEVDP]])</f>
        <v>#NAME?</v>
      </c>
      <c r="E55" s="523" t="e">
        <f ca="1">gr(données_step[[#This Row],[D_QTRAI2]])</f>
        <v>#NAME?</v>
      </c>
      <c r="F55" s="523" t="e">
        <f ca="1">gr(données_step[[#This Row],[D_QMIN]])</f>
        <v>#NAME?</v>
      </c>
      <c r="G55" s="523" t="e">
        <f ca="1">gr(données_step[[#This Row],[D_QMAX]])</f>
        <v>#NAME?</v>
      </c>
      <c r="H55" s="501" t="e">
        <f ca="1">gr(données_step[[#This Row],[D_PLUIE]])</f>
        <v>#NAME?</v>
      </c>
    </row>
    <row r="56" spans="1:8" x14ac:dyDescent="0.2">
      <c r="A56" s="222">
        <f>calculs!A56</f>
        <v>44607</v>
      </c>
      <c r="B56" s="523" t="e">
        <f ca="1">gr(données_step[[#This Row],[D_QDEVE]])</f>
        <v>#NAME?</v>
      </c>
      <c r="C56" s="523" t="e">
        <f ca="1">gr(données_step[[#This Row],[D_QTRAI]])</f>
        <v>#NAME?</v>
      </c>
      <c r="D56" s="523" t="e">
        <f ca="1">gr(données_step[[#This Row],[D_QDEVDP]])</f>
        <v>#NAME?</v>
      </c>
      <c r="E56" s="523" t="e">
        <f ca="1">gr(données_step[[#This Row],[D_QTRAI2]])</f>
        <v>#NAME?</v>
      </c>
      <c r="F56" s="523" t="e">
        <f ca="1">gr(données_step[[#This Row],[D_QMIN]])</f>
        <v>#NAME?</v>
      </c>
      <c r="G56" s="523" t="e">
        <f ca="1">gr(données_step[[#This Row],[D_QMAX]])</f>
        <v>#NAME?</v>
      </c>
      <c r="H56" s="501" t="e">
        <f ca="1">gr(données_step[[#This Row],[D_PLUIE]])</f>
        <v>#NAME?</v>
      </c>
    </row>
    <row r="57" spans="1:8" x14ac:dyDescent="0.2">
      <c r="A57" s="222">
        <f>calculs!A57</f>
        <v>44608</v>
      </c>
      <c r="B57" s="523" t="e">
        <f ca="1">gr(données_step[[#This Row],[D_QDEVE]])</f>
        <v>#NAME?</v>
      </c>
      <c r="C57" s="523" t="e">
        <f ca="1">gr(données_step[[#This Row],[D_QTRAI]])</f>
        <v>#NAME?</v>
      </c>
      <c r="D57" s="523" t="e">
        <f ca="1">gr(données_step[[#This Row],[D_QDEVDP]])</f>
        <v>#NAME?</v>
      </c>
      <c r="E57" s="523" t="e">
        <f ca="1">gr(données_step[[#This Row],[D_QTRAI2]])</f>
        <v>#NAME?</v>
      </c>
      <c r="F57" s="523" t="e">
        <f ca="1">gr(données_step[[#This Row],[D_QMIN]])</f>
        <v>#NAME?</v>
      </c>
      <c r="G57" s="523" t="e">
        <f ca="1">gr(données_step[[#This Row],[D_QMAX]])</f>
        <v>#NAME?</v>
      </c>
      <c r="H57" s="501" t="e">
        <f ca="1">gr(données_step[[#This Row],[D_PLUIE]])</f>
        <v>#NAME?</v>
      </c>
    </row>
    <row r="58" spans="1:8" x14ac:dyDescent="0.2">
      <c r="A58" s="222">
        <f>calculs!A58</f>
        <v>44609</v>
      </c>
      <c r="B58" s="523" t="e">
        <f ca="1">gr(données_step[[#This Row],[D_QDEVE]])</f>
        <v>#NAME?</v>
      </c>
      <c r="C58" s="523" t="e">
        <f ca="1">gr(données_step[[#This Row],[D_QTRAI]])</f>
        <v>#NAME?</v>
      </c>
      <c r="D58" s="523" t="e">
        <f ca="1">gr(données_step[[#This Row],[D_QDEVDP]])</f>
        <v>#NAME?</v>
      </c>
      <c r="E58" s="523" t="e">
        <f ca="1">gr(données_step[[#This Row],[D_QTRAI2]])</f>
        <v>#NAME?</v>
      </c>
      <c r="F58" s="523" t="e">
        <f ca="1">gr(données_step[[#This Row],[D_QMIN]])</f>
        <v>#NAME?</v>
      </c>
      <c r="G58" s="523" t="e">
        <f ca="1">gr(données_step[[#This Row],[D_QMAX]])</f>
        <v>#NAME?</v>
      </c>
      <c r="H58" s="501" t="e">
        <f ca="1">gr(données_step[[#This Row],[D_PLUIE]])</f>
        <v>#NAME?</v>
      </c>
    </row>
    <row r="59" spans="1:8" x14ac:dyDescent="0.2">
      <c r="A59" s="222">
        <f>calculs!A59</f>
        <v>44610</v>
      </c>
      <c r="B59" s="523" t="e">
        <f ca="1">gr(données_step[[#This Row],[D_QDEVE]])</f>
        <v>#NAME?</v>
      </c>
      <c r="C59" s="523" t="e">
        <f ca="1">gr(données_step[[#This Row],[D_QTRAI]])</f>
        <v>#NAME?</v>
      </c>
      <c r="D59" s="523" t="e">
        <f ca="1">gr(données_step[[#This Row],[D_QDEVDP]])</f>
        <v>#NAME?</v>
      </c>
      <c r="E59" s="523" t="e">
        <f ca="1">gr(données_step[[#This Row],[D_QTRAI2]])</f>
        <v>#NAME?</v>
      </c>
      <c r="F59" s="523" t="e">
        <f ca="1">gr(données_step[[#This Row],[D_QMIN]])</f>
        <v>#NAME?</v>
      </c>
      <c r="G59" s="523" t="e">
        <f ca="1">gr(données_step[[#This Row],[D_QMAX]])</f>
        <v>#NAME?</v>
      </c>
      <c r="H59" s="501" t="e">
        <f ca="1">gr(données_step[[#This Row],[D_PLUIE]])</f>
        <v>#NAME?</v>
      </c>
    </row>
    <row r="60" spans="1:8" x14ac:dyDescent="0.2">
      <c r="A60" s="222">
        <f>calculs!A60</f>
        <v>44611</v>
      </c>
      <c r="B60" s="523" t="e">
        <f ca="1">gr(données_step[[#This Row],[D_QDEVE]])</f>
        <v>#NAME?</v>
      </c>
      <c r="C60" s="523" t="e">
        <f ca="1">gr(données_step[[#This Row],[D_QTRAI]])</f>
        <v>#NAME?</v>
      </c>
      <c r="D60" s="523" t="e">
        <f ca="1">gr(données_step[[#This Row],[D_QDEVDP]])</f>
        <v>#NAME?</v>
      </c>
      <c r="E60" s="523" t="e">
        <f ca="1">gr(données_step[[#This Row],[D_QTRAI2]])</f>
        <v>#NAME?</v>
      </c>
      <c r="F60" s="523" t="e">
        <f ca="1">gr(données_step[[#This Row],[D_QMIN]])</f>
        <v>#NAME?</v>
      </c>
      <c r="G60" s="523" t="e">
        <f ca="1">gr(données_step[[#This Row],[D_QMAX]])</f>
        <v>#NAME?</v>
      </c>
      <c r="H60" s="501" t="e">
        <f ca="1">gr(données_step[[#This Row],[D_PLUIE]])</f>
        <v>#NAME?</v>
      </c>
    </row>
    <row r="61" spans="1:8" x14ac:dyDescent="0.2">
      <c r="A61" s="222">
        <f>calculs!A61</f>
        <v>44612</v>
      </c>
      <c r="B61" s="523" t="e">
        <f ca="1">gr(données_step[[#This Row],[D_QDEVE]])</f>
        <v>#NAME?</v>
      </c>
      <c r="C61" s="523" t="e">
        <f ca="1">gr(données_step[[#This Row],[D_QTRAI]])</f>
        <v>#NAME?</v>
      </c>
      <c r="D61" s="523" t="e">
        <f ca="1">gr(données_step[[#This Row],[D_QDEVDP]])</f>
        <v>#NAME?</v>
      </c>
      <c r="E61" s="523" t="e">
        <f ca="1">gr(données_step[[#This Row],[D_QTRAI2]])</f>
        <v>#NAME?</v>
      </c>
      <c r="F61" s="523" t="e">
        <f ca="1">gr(données_step[[#This Row],[D_QMIN]])</f>
        <v>#NAME?</v>
      </c>
      <c r="G61" s="523" t="e">
        <f ca="1">gr(données_step[[#This Row],[D_QMAX]])</f>
        <v>#NAME?</v>
      </c>
      <c r="H61" s="501" t="e">
        <f ca="1">gr(données_step[[#This Row],[D_PLUIE]])</f>
        <v>#NAME?</v>
      </c>
    </row>
    <row r="62" spans="1:8" x14ac:dyDescent="0.2">
      <c r="A62" s="222">
        <f>calculs!A62</f>
        <v>44613</v>
      </c>
      <c r="B62" s="523" t="e">
        <f ca="1">gr(données_step[[#This Row],[D_QDEVE]])</f>
        <v>#NAME?</v>
      </c>
      <c r="C62" s="523" t="e">
        <f ca="1">gr(données_step[[#This Row],[D_QTRAI]])</f>
        <v>#NAME?</v>
      </c>
      <c r="D62" s="523" t="e">
        <f ca="1">gr(données_step[[#This Row],[D_QDEVDP]])</f>
        <v>#NAME?</v>
      </c>
      <c r="E62" s="523" t="e">
        <f ca="1">gr(données_step[[#This Row],[D_QTRAI2]])</f>
        <v>#NAME?</v>
      </c>
      <c r="F62" s="523" t="e">
        <f ca="1">gr(données_step[[#This Row],[D_QMIN]])</f>
        <v>#NAME?</v>
      </c>
      <c r="G62" s="523" t="e">
        <f ca="1">gr(données_step[[#This Row],[D_QMAX]])</f>
        <v>#NAME?</v>
      </c>
      <c r="H62" s="501" t="e">
        <f ca="1">gr(données_step[[#This Row],[D_PLUIE]])</f>
        <v>#NAME?</v>
      </c>
    </row>
    <row r="63" spans="1:8" x14ac:dyDescent="0.2">
      <c r="A63" s="222">
        <f>calculs!A63</f>
        <v>44614</v>
      </c>
      <c r="B63" s="523" t="e">
        <f ca="1">gr(données_step[[#This Row],[D_QDEVE]])</f>
        <v>#NAME?</v>
      </c>
      <c r="C63" s="523" t="e">
        <f ca="1">gr(données_step[[#This Row],[D_QTRAI]])</f>
        <v>#NAME?</v>
      </c>
      <c r="D63" s="523" t="e">
        <f ca="1">gr(données_step[[#This Row],[D_QDEVDP]])</f>
        <v>#NAME?</v>
      </c>
      <c r="E63" s="523" t="e">
        <f ca="1">gr(données_step[[#This Row],[D_QTRAI2]])</f>
        <v>#NAME?</v>
      </c>
      <c r="F63" s="523" t="e">
        <f ca="1">gr(données_step[[#This Row],[D_QMIN]])</f>
        <v>#NAME?</v>
      </c>
      <c r="G63" s="523" t="e">
        <f ca="1">gr(données_step[[#This Row],[D_QMAX]])</f>
        <v>#NAME?</v>
      </c>
      <c r="H63" s="501" t="e">
        <f ca="1">gr(données_step[[#This Row],[D_PLUIE]])</f>
        <v>#NAME?</v>
      </c>
    </row>
    <row r="64" spans="1:8" x14ac:dyDescent="0.2">
      <c r="A64" s="222">
        <f>calculs!A64</f>
        <v>44615</v>
      </c>
      <c r="B64" s="523" t="e">
        <f ca="1">gr(données_step[[#This Row],[D_QDEVE]])</f>
        <v>#NAME?</v>
      </c>
      <c r="C64" s="523" t="e">
        <f ca="1">gr(données_step[[#This Row],[D_QTRAI]])</f>
        <v>#NAME?</v>
      </c>
      <c r="D64" s="523" t="e">
        <f ca="1">gr(données_step[[#This Row],[D_QDEVDP]])</f>
        <v>#NAME?</v>
      </c>
      <c r="E64" s="523" t="e">
        <f ca="1">gr(données_step[[#This Row],[D_QTRAI2]])</f>
        <v>#NAME?</v>
      </c>
      <c r="F64" s="523" t="e">
        <f ca="1">gr(données_step[[#This Row],[D_QMIN]])</f>
        <v>#NAME?</v>
      </c>
      <c r="G64" s="523" t="e">
        <f ca="1">gr(données_step[[#This Row],[D_QMAX]])</f>
        <v>#NAME?</v>
      </c>
      <c r="H64" s="501" t="e">
        <f ca="1">gr(données_step[[#This Row],[D_PLUIE]])</f>
        <v>#NAME?</v>
      </c>
    </row>
    <row r="65" spans="1:8" x14ac:dyDescent="0.2">
      <c r="A65" s="222">
        <f>calculs!A65</f>
        <v>44616</v>
      </c>
      <c r="B65" s="523" t="e">
        <f ca="1">gr(données_step[[#This Row],[D_QDEVE]])</f>
        <v>#NAME?</v>
      </c>
      <c r="C65" s="523" t="e">
        <f ca="1">gr(données_step[[#This Row],[D_QTRAI]])</f>
        <v>#NAME?</v>
      </c>
      <c r="D65" s="523" t="e">
        <f ca="1">gr(données_step[[#This Row],[D_QDEVDP]])</f>
        <v>#NAME?</v>
      </c>
      <c r="E65" s="523" t="e">
        <f ca="1">gr(données_step[[#This Row],[D_QTRAI2]])</f>
        <v>#NAME?</v>
      </c>
      <c r="F65" s="523" t="e">
        <f ca="1">gr(données_step[[#This Row],[D_QMIN]])</f>
        <v>#NAME?</v>
      </c>
      <c r="G65" s="523" t="e">
        <f ca="1">gr(données_step[[#This Row],[D_QMAX]])</f>
        <v>#NAME?</v>
      </c>
      <c r="H65" s="501" t="e">
        <f ca="1">gr(données_step[[#This Row],[D_PLUIE]])</f>
        <v>#NAME?</v>
      </c>
    </row>
    <row r="66" spans="1:8" x14ac:dyDescent="0.2">
      <c r="A66" s="222">
        <f>calculs!A66</f>
        <v>44617</v>
      </c>
      <c r="B66" s="523" t="e">
        <f ca="1">gr(données_step[[#This Row],[D_QDEVE]])</f>
        <v>#NAME?</v>
      </c>
      <c r="C66" s="523" t="e">
        <f ca="1">gr(données_step[[#This Row],[D_QTRAI]])</f>
        <v>#NAME?</v>
      </c>
      <c r="D66" s="523" t="e">
        <f ca="1">gr(données_step[[#This Row],[D_QDEVDP]])</f>
        <v>#NAME?</v>
      </c>
      <c r="E66" s="523" t="e">
        <f ca="1">gr(données_step[[#This Row],[D_QTRAI2]])</f>
        <v>#NAME?</v>
      </c>
      <c r="F66" s="523" t="e">
        <f ca="1">gr(données_step[[#This Row],[D_QMIN]])</f>
        <v>#NAME?</v>
      </c>
      <c r="G66" s="523" t="e">
        <f ca="1">gr(données_step[[#This Row],[D_QMAX]])</f>
        <v>#NAME?</v>
      </c>
      <c r="H66" s="501" t="e">
        <f ca="1">gr(données_step[[#This Row],[D_PLUIE]])</f>
        <v>#NAME?</v>
      </c>
    </row>
    <row r="67" spans="1:8" x14ac:dyDescent="0.2">
      <c r="A67" s="222">
        <f>calculs!A67</f>
        <v>44618</v>
      </c>
      <c r="B67" s="523" t="e">
        <f ca="1">gr(données_step[[#This Row],[D_QDEVE]])</f>
        <v>#NAME?</v>
      </c>
      <c r="C67" s="523" t="e">
        <f ca="1">gr(données_step[[#This Row],[D_QTRAI]])</f>
        <v>#NAME?</v>
      </c>
      <c r="D67" s="523" t="e">
        <f ca="1">gr(données_step[[#This Row],[D_QDEVDP]])</f>
        <v>#NAME?</v>
      </c>
      <c r="E67" s="523" t="e">
        <f ca="1">gr(données_step[[#This Row],[D_QTRAI2]])</f>
        <v>#NAME?</v>
      </c>
      <c r="F67" s="523" t="e">
        <f ca="1">gr(données_step[[#This Row],[D_QMIN]])</f>
        <v>#NAME?</v>
      </c>
      <c r="G67" s="523" t="e">
        <f ca="1">gr(données_step[[#This Row],[D_QMAX]])</f>
        <v>#NAME?</v>
      </c>
      <c r="H67" s="501" t="e">
        <f ca="1">gr(données_step[[#This Row],[D_PLUIE]])</f>
        <v>#NAME?</v>
      </c>
    </row>
    <row r="68" spans="1:8" x14ac:dyDescent="0.2">
      <c r="A68" s="222">
        <f>calculs!A68</f>
        <v>44619</v>
      </c>
      <c r="B68" s="523" t="e">
        <f ca="1">gr(données_step[[#This Row],[D_QDEVE]])</f>
        <v>#NAME?</v>
      </c>
      <c r="C68" s="523" t="e">
        <f ca="1">gr(données_step[[#This Row],[D_QTRAI]])</f>
        <v>#NAME?</v>
      </c>
      <c r="D68" s="523" t="e">
        <f ca="1">gr(données_step[[#This Row],[D_QDEVDP]])</f>
        <v>#NAME?</v>
      </c>
      <c r="E68" s="523" t="e">
        <f ca="1">gr(données_step[[#This Row],[D_QTRAI2]])</f>
        <v>#NAME?</v>
      </c>
      <c r="F68" s="523" t="e">
        <f ca="1">gr(données_step[[#This Row],[D_QMIN]])</f>
        <v>#NAME?</v>
      </c>
      <c r="G68" s="523" t="e">
        <f ca="1">gr(données_step[[#This Row],[D_QMAX]])</f>
        <v>#NAME?</v>
      </c>
      <c r="H68" s="501" t="e">
        <f ca="1">gr(données_step[[#This Row],[D_PLUIE]])</f>
        <v>#NAME?</v>
      </c>
    </row>
    <row r="69" spans="1:8" x14ac:dyDescent="0.2">
      <c r="A69" s="222">
        <f>calculs!A69</f>
        <v>44620</v>
      </c>
      <c r="B69" s="523" t="e">
        <f ca="1">gr(données_step[[#This Row],[D_QDEVE]])</f>
        <v>#NAME?</v>
      </c>
      <c r="C69" s="523" t="e">
        <f ca="1">gr(données_step[[#This Row],[D_QTRAI]])</f>
        <v>#NAME?</v>
      </c>
      <c r="D69" s="523" t="e">
        <f ca="1">gr(données_step[[#This Row],[D_QDEVDP]])</f>
        <v>#NAME?</v>
      </c>
      <c r="E69" s="523" t="e">
        <f ca="1">gr(données_step[[#This Row],[D_QTRAI2]])</f>
        <v>#NAME?</v>
      </c>
      <c r="F69" s="523" t="e">
        <f ca="1">gr(données_step[[#This Row],[D_QMIN]])</f>
        <v>#NAME?</v>
      </c>
      <c r="G69" s="523" t="e">
        <f ca="1">gr(données_step[[#This Row],[D_QMAX]])</f>
        <v>#NAME?</v>
      </c>
      <c r="H69" s="501" t="e">
        <f ca="1">gr(données_step[[#This Row],[D_PLUIE]])</f>
        <v>#NAME?</v>
      </c>
    </row>
    <row r="70" spans="1:8" x14ac:dyDescent="0.2">
      <c r="A70" s="222">
        <f>calculs!A70</f>
        <v>44621</v>
      </c>
      <c r="B70" s="523" t="e">
        <f ca="1">gr(données_step[[#This Row],[D_QDEVE]])</f>
        <v>#NAME?</v>
      </c>
      <c r="C70" s="523" t="e">
        <f ca="1">gr(données_step[[#This Row],[D_QTRAI]])</f>
        <v>#NAME?</v>
      </c>
      <c r="D70" s="523" t="e">
        <f ca="1">gr(données_step[[#This Row],[D_QDEVDP]])</f>
        <v>#NAME?</v>
      </c>
      <c r="E70" s="523" t="e">
        <f ca="1">gr(données_step[[#This Row],[D_QTRAI2]])</f>
        <v>#NAME?</v>
      </c>
      <c r="F70" s="523" t="e">
        <f ca="1">gr(données_step[[#This Row],[D_QMIN]])</f>
        <v>#NAME?</v>
      </c>
      <c r="G70" s="523" t="e">
        <f ca="1">gr(données_step[[#This Row],[D_QMAX]])</f>
        <v>#NAME?</v>
      </c>
      <c r="H70" s="501" t="e">
        <f ca="1">gr(données_step[[#This Row],[D_PLUIE]])</f>
        <v>#NAME?</v>
      </c>
    </row>
    <row r="71" spans="1:8" x14ac:dyDescent="0.2">
      <c r="A71" s="222">
        <f>calculs!A71</f>
        <v>44622</v>
      </c>
      <c r="B71" s="523" t="e">
        <f ca="1">gr(données_step[[#This Row],[D_QDEVE]])</f>
        <v>#NAME?</v>
      </c>
      <c r="C71" s="523" t="e">
        <f ca="1">gr(données_step[[#This Row],[D_QTRAI]])</f>
        <v>#NAME?</v>
      </c>
      <c r="D71" s="523" t="e">
        <f ca="1">gr(données_step[[#This Row],[D_QDEVDP]])</f>
        <v>#NAME?</v>
      </c>
      <c r="E71" s="523" t="e">
        <f ca="1">gr(données_step[[#This Row],[D_QTRAI2]])</f>
        <v>#NAME?</v>
      </c>
      <c r="F71" s="523" t="e">
        <f ca="1">gr(données_step[[#This Row],[D_QMIN]])</f>
        <v>#NAME?</v>
      </c>
      <c r="G71" s="523" t="e">
        <f ca="1">gr(données_step[[#This Row],[D_QMAX]])</f>
        <v>#NAME?</v>
      </c>
      <c r="H71" s="501" t="e">
        <f ca="1">gr(données_step[[#This Row],[D_PLUIE]])</f>
        <v>#NAME?</v>
      </c>
    </row>
    <row r="72" spans="1:8" x14ac:dyDescent="0.2">
      <c r="A72" s="222">
        <f>calculs!A72</f>
        <v>44623</v>
      </c>
      <c r="B72" s="523" t="e">
        <f ca="1">gr(données_step[[#This Row],[D_QDEVE]])</f>
        <v>#NAME?</v>
      </c>
      <c r="C72" s="523" t="e">
        <f ca="1">gr(données_step[[#This Row],[D_QTRAI]])</f>
        <v>#NAME?</v>
      </c>
      <c r="D72" s="523" t="e">
        <f ca="1">gr(données_step[[#This Row],[D_QDEVDP]])</f>
        <v>#NAME?</v>
      </c>
      <c r="E72" s="523" t="e">
        <f ca="1">gr(données_step[[#This Row],[D_QTRAI2]])</f>
        <v>#NAME?</v>
      </c>
      <c r="F72" s="523" t="e">
        <f ca="1">gr(données_step[[#This Row],[D_QMIN]])</f>
        <v>#NAME?</v>
      </c>
      <c r="G72" s="523" t="e">
        <f ca="1">gr(données_step[[#This Row],[D_QMAX]])</f>
        <v>#NAME?</v>
      </c>
      <c r="H72" s="501" t="e">
        <f ca="1">gr(données_step[[#This Row],[D_PLUIE]])</f>
        <v>#NAME?</v>
      </c>
    </row>
    <row r="73" spans="1:8" x14ac:dyDescent="0.2">
      <c r="A73" s="222">
        <f>calculs!A73</f>
        <v>44624</v>
      </c>
      <c r="B73" s="523" t="e">
        <f ca="1">gr(données_step[[#This Row],[D_QDEVE]])</f>
        <v>#NAME?</v>
      </c>
      <c r="C73" s="523" t="e">
        <f ca="1">gr(données_step[[#This Row],[D_QTRAI]])</f>
        <v>#NAME?</v>
      </c>
      <c r="D73" s="523" t="e">
        <f ca="1">gr(données_step[[#This Row],[D_QDEVDP]])</f>
        <v>#NAME?</v>
      </c>
      <c r="E73" s="523" t="e">
        <f ca="1">gr(données_step[[#This Row],[D_QTRAI2]])</f>
        <v>#NAME?</v>
      </c>
      <c r="F73" s="523" t="e">
        <f ca="1">gr(données_step[[#This Row],[D_QMIN]])</f>
        <v>#NAME?</v>
      </c>
      <c r="G73" s="523" t="e">
        <f ca="1">gr(données_step[[#This Row],[D_QMAX]])</f>
        <v>#NAME?</v>
      </c>
      <c r="H73" s="501" t="e">
        <f ca="1">gr(données_step[[#This Row],[D_PLUIE]])</f>
        <v>#NAME?</v>
      </c>
    </row>
    <row r="74" spans="1:8" x14ac:dyDescent="0.2">
      <c r="A74" s="222">
        <f>calculs!A74</f>
        <v>44625</v>
      </c>
      <c r="B74" s="523" t="e">
        <f ca="1">gr(données_step[[#This Row],[D_QDEVE]])</f>
        <v>#NAME?</v>
      </c>
      <c r="C74" s="523" t="e">
        <f ca="1">gr(données_step[[#This Row],[D_QTRAI]])</f>
        <v>#NAME?</v>
      </c>
      <c r="D74" s="523" t="e">
        <f ca="1">gr(données_step[[#This Row],[D_QDEVDP]])</f>
        <v>#NAME?</v>
      </c>
      <c r="E74" s="523" t="e">
        <f ca="1">gr(données_step[[#This Row],[D_QTRAI2]])</f>
        <v>#NAME?</v>
      </c>
      <c r="F74" s="523" t="e">
        <f ca="1">gr(données_step[[#This Row],[D_QMIN]])</f>
        <v>#NAME?</v>
      </c>
      <c r="G74" s="523" t="e">
        <f ca="1">gr(données_step[[#This Row],[D_QMAX]])</f>
        <v>#NAME?</v>
      </c>
      <c r="H74" s="501" t="e">
        <f ca="1">gr(données_step[[#This Row],[D_PLUIE]])</f>
        <v>#NAME?</v>
      </c>
    </row>
    <row r="75" spans="1:8" x14ac:dyDescent="0.2">
      <c r="A75" s="222">
        <f>calculs!A75</f>
        <v>44626</v>
      </c>
      <c r="B75" s="523" t="e">
        <f ca="1">gr(données_step[[#This Row],[D_QDEVE]])</f>
        <v>#NAME?</v>
      </c>
      <c r="C75" s="523" t="e">
        <f ca="1">gr(données_step[[#This Row],[D_QTRAI]])</f>
        <v>#NAME?</v>
      </c>
      <c r="D75" s="523" t="e">
        <f ca="1">gr(données_step[[#This Row],[D_QDEVDP]])</f>
        <v>#NAME?</v>
      </c>
      <c r="E75" s="523" t="e">
        <f ca="1">gr(données_step[[#This Row],[D_QTRAI2]])</f>
        <v>#NAME?</v>
      </c>
      <c r="F75" s="523" t="e">
        <f ca="1">gr(données_step[[#This Row],[D_QMIN]])</f>
        <v>#NAME?</v>
      </c>
      <c r="G75" s="523" t="e">
        <f ca="1">gr(données_step[[#This Row],[D_QMAX]])</f>
        <v>#NAME?</v>
      </c>
      <c r="H75" s="501" t="e">
        <f ca="1">gr(données_step[[#This Row],[D_PLUIE]])</f>
        <v>#NAME?</v>
      </c>
    </row>
    <row r="76" spans="1:8" x14ac:dyDescent="0.2">
      <c r="A76" s="222">
        <f>calculs!A76</f>
        <v>44627</v>
      </c>
      <c r="B76" s="523" t="e">
        <f ca="1">gr(données_step[[#This Row],[D_QDEVE]])</f>
        <v>#NAME?</v>
      </c>
      <c r="C76" s="523" t="e">
        <f ca="1">gr(données_step[[#This Row],[D_QTRAI]])</f>
        <v>#NAME?</v>
      </c>
      <c r="D76" s="523" t="e">
        <f ca="1">gr(données_step[[#This Row],[D_QDEVDP]])</f>
        <v>#NAME?</v>
      </c>
      <c r="E76" s="523" t="e">
        <f ca="1">gr(données_step[[#This Row],[D_QTRAI2]])</f>
        <v>#NAME?</v>
      </c>
      <c r="F76" s="523" t="e">
        <f ca="1">gr(données_step[[#This Row],[D_QMIN]])</f>
        <v>#NAME?</v>
      </c>
      <c r="G76" s="523" t="e">
        <f ca="1">gr(données_step[[#This Row],[D_QMAX]])</f>
        <v>#NAME?</v>
      </c>
      <c r="H76" s="501" t="e">
        <f ca="1">gr(données_step[[#This Row],[D_PLUIE]])</f>
        <v>#NAME?</v>
      </c>
    </row>
    <row r="77" spans="1:8" x14ac:dyDescent="0.2">
      <c r="A77" s="222">
        <f>calculs!A77</f>
        <v>44628</v>
      </c>
      <c r="B77" s="523" t="e">
        <f ca="1">gr(données_step[[#This Row],[D_QDEVE]])</f>
        <v>#NAME?</v>
      </c>
      <c r="C77" s="523" t="e">
        <f ca="1">gr(données_step[[#This Row],[D_QTRAI]])</f>
        <v>#NAME?</v>
      </c>
      <c r="D77" s="523" t="e">
        <f ca="1">gr(données_step[[#This Row],[D_QDEVDP]])</f>
        <v>#NAME?</v>
      </c>
      <c r="E77" s="523" t="e">
        <f ca="1">gr(données_step[[#This Row],[D_QTRAI2]])</f>
        <v>#NAME?</v>
      </c>
      <c r="F77" s="523" t="e">
        <f ca="1">gr(données_step[[#This Row],[D_QMIN]])</f>
        <v>#NAME?</v>
      </c>
      <c r="G77" s="523" t="e">
        <f ca="1">gr(données_step[[#This Row],[D_QMAX]])</f>
        <v>#NAME?</v>
      </c>
      <c r="H77" s="501" t="e">
        <f ca="1">gr(données_step[[#This Row],[D_PLUIE]])</f>
        <v>#NAME?</v>
      </c>
    </row>
    <row r="78" spans="1:8" x14ac:dyDescent="0.2">
      <c r="A78" s="222">
        <f>calculs!A78</f>
        <v>44629</v>
      </c>
      <c r="B78" s="523" t="e">
        <f ca="1">gr(données_step[[#This Row],[D_QDEVE]])</f>
        <v>#NAME?</v>
      </c>
      <c r="C78" s="523" t="e">
        <f ca="1">gr(données_step[[#This Row],[D_QTRAI]])</f>
        <v>#NAME?</v>
      </c>
      <c r="D78" s="523" t="e">
        <f ca="1">gr(données_step[[#This Row],[D_QDEVDP]])</f>
        <v>#NAME?</v>
      </c>
      <c r="E78" s="523" t="e">
        <f ca="1">gr(données_step[[#This Row],[D_QTRAI2]])</f>
        <v>#NAME?</v>
      </c>
      <c r="F78" s="523" t="e">
        <f ca="1">gr(données_step[[#This Row],[D_QMIN]])</f>
        <v>#NAME?</v>
      </c>
      <c r="G78" s="523" t="e">
        <f ca="1">gr(données_step[[#This Row],[D_QMAX]])</f>
        <v>#NAME?</v>
      </c>
      <c r="H78" s="501" t="e">
        <f ca="1">gr(données_step[[#This Row],[D_PLUIE]])</f>
        <v>#NAME?</v>
      </c>
    </row>
    <row r="79" spans="1:8" x14ac:dyDescent="0.2">
      <c r="A79" s="222">
        <f>calculs!A79</f>
        <v>44630</v>
      </c>
      <c r="B79" s="523" t="e">
        <f ca="1">gr(données_step[[#This Row],[D_QDEVE]])</f>
        <v>#NAME?</v>
      </c>
      <c r="C79" s="523" t="e">
        <f ca="1">gr(données_step[[#This Row],[D_QTRAI]])</f>
        <v>#NAME?</v>
      </c>
      <c r="D79" s="523" t="e">
        <f ca="1">gr(données_step[[#This Row],[D_QDEVDP]])</f>
        <v>#NAME?</v>
      </c>
      <c r="E79" s="523" t="e">
        <f ca="1">gr(données_step[[#This Row],[D_QTRAI2]])</f>
        <v>#NAME?</v>
      </c>
      <c r="F79" s="523" t="e">
        <f ca="1">gr(données_step[[#This Row],[D_QMIN]])</f>
        <v>#NAME?</v>
      </c>
      <c r="G79" s="523" t="e">
        <f ca="1">gr(données_step[[#This Row],[D_QMAX]])</f>
        <v>#NAME?</v>
      </c>
      <c r="H79" s="501" t="e">
        <f ca="1">gr(données_step[[#This Row],[D_PLUIE]])</f>
        <v>#NAME?</v>
      </c>
    </row>
    <row r="80" spans="1:8" x14ac:dyDescent="0.2">
      <c r="A80" s="222">
        <f>calculs!A80</f>
        <v>44631</v>
      </c>
      <c r="B80" s="523" t="e">
        <f ca="1">gr(données_step[[#This Row],[D_QDEVE]])</f>
        <v>#NAME?</v>
      </c>
      <c r="C80" s="523" t="e">
        <f ca="1">gr(données_step[[#This Row],[D_QTRAI]])</f>
        <v>#NAME?</v>
      </c>
      <c r="D80" s="523" t="e">
        <f ca="1">gr(données_step[[#This Row],[D_QDEVDP]])</f>
        <v>#NAME?</v>
      </c>
      <c r="E80" s="523" t="e">
        <f ca="1">gr(données_step[[#This Row],[D_QTRAI2]])</f>
        <v>#NAME?</v>
      </c>
      <c r="F80" s="523" t="e">
        <f ca="1">gr(données_step[[#This Row],[D_QMIN]])</f>
        <v>#NAME?</v>
      </c>
      <c r="G80" s="523" t="e">
        <f ca="1">gr(données_step[[#This Row],[D_QMAX]])</f>
        <v>#NAME?</v>
      </c>
      <c r="H80" s="501" t="e">
        <f ca="1">gr(données_step[[#This Row],[D_PLUIE]])</f>
        <v>#NAME?</v>
      </c>
    </row>
    <row r="81" spans="1:8" x14ac:dyDescent="0.2">
      <c r="A81" s="222">
        <f>calculs!A81</f>
        <v>44632</v>
      </c>
      <c r="B81" s="523" t="e">
        <f ca="1">gr(données_step[[#This Row],[D_QDEVE]])</f>
        <v>#NAME?</v>
      </c>
      <c r="C81" s="523" t="e">
        <f ca="1">gr(données_step[[#This Row],[D_QTRAI]])</f>
        <v>#NAME?</v>
      </c>
      <c r="D81" s="523" t="e">
        <f ca="1">gr(données_step[[#This Row],[D_QDEVDP]])</f>
        <v>#NAME?</v>
      </c>
      <c r="E81" s="523" t="e">
        <f ca="1">gr(données_step[[#This Row],[D_QTRAI2]])</f>
        <v>#NAME?</v>
      </c>
      <c r="F81" s="523" t="e">
        <f ca="1">gr(données_step[[#This Row],[D_QMIN]])</f>
        <v>#NAME?</v>
      </c>
      <c r="G81" s="523" t="e">
        <f ca="1">gr(données_step[[#This Row],[D_QMAX]])</f>
        <v>#NAME?</v>
      </c>
      <c r="H81" s="501" t="e">
        <f ca="1">gr(données_step[[#This Row],[D_PLUIE]])</f>
        <v>#NAME?</v>
      </c>
    </row>
    <row r="82" spans="1:8" x14ac:dyDescent="0.2">
      <c r="A82" s="222">
        <f>calculs!A82</f>
        <v>44633</v>
      </c>
      <c r="B82" s="523" t="e">
        <f ca="1">gr(données_step[[#This Row],[D_QDEVE]])</f>
        <v>#NAME?</v>
      </c>
      <c r="C82" s="523" t="e">
        <f ca="1">gr(données_step[[#This Row],[D_QTRAI]])</f>
        <v>#NAME?</v>
      </c>
      <c r="D82" s="523" t="e">
        <f ca="1">gr(données_step[[#This Row],[D_QDEVDP]])</f>
        <v>#NAME?</v>
      </c>
      <c r="E82" s="523" t="e">
        <f ca="1">gr(données_step[[#This Row],[D_QTRAI2]])</f>
        <v>#NAME?</v>
      </c>
      <c r="F82" s="523" t="e">
        <f ca="1">gr(données_step[[#This Row],[D_QMIN]])</f>
        <v>#NAME?</v>
      </c>
      <c r="G82" s="523" t="e">
        <f ca="1">gr(données_step[[#This Row],[D_QMAX]])</f>
        <v>#NAME?</v>
      </c>
      <c r="H82" s="501" t="e">
        <f ca="1">gr(données_step[[#This Row],[D_PLUIE]])</f>
        <v>#NAME?</v>
      </c>
    </row>
    <row r="83" spans="1:8" x14ac:dyDescent="0.2">
      <c r="A83" s="222">
        <f>calculs!A83</f>
        <v>44634</v>
      </c>
      <c r="B83" s="523" t="e">
        <f ca="1">gr(données_step[[#This Row],[D_QDEVE]])</f>
        <v>#NAME?</v>
      </c>
      <c r="C83" s="523" t="e">
        <f ca="1">gr(données_step[[#This Row],[D_QTRAI]])</f>
        <v>#NAME?</v>
      </c>
      <c r="D83" s="523" t="e">
        <f ca="1">gr(données_step[[#This Row],[D_QDEVDP]])</f>
        <v>#NAME?</v>
      </c>
      <c r="E83" s="523" t="e">
        <f ca="1">gr(données_step[[#This Row],[D_QTRAI2]])</f>
        <v>#NAME?</v>
      </c>
      <c r="F83" s="523" t="e">
        <f ca="1">gr(données_step[[#This Row],[D_QMIN]])</f>
        <v>#NAME?</v>
      </c>
      <c r="G83" s="523" t="e">
        <f ca="1">gr(données_step[[#This Row],[D_QMAX]])</f>
        <v>#NAME?</v>
      </c>
      <c r="H83" s="501" t="e">
        <f ca="1">gr(données_step[[#This Row],[D_PLUIE]])</f>
        <v>#NAME?</v>
      </c>
    </row>
    <row r="84" spans="1:8" x14ac:dyDescent="0.2">
      <c r="A84" s="222">
        <f>calculs!A84</f>
        <v>44635</v>
      </c>
      <c r="B84" s="523" t="e">
        <f ca="1">gr(données_step[[#This Row],[D_QDEVE]])</f>
        <v>#NAME?</v>
      </c>
      <c r="C84" s="523" t="e">
        <f ca="1">gr(données_step[[#This Row],[D_QTRAI]])</f>
        <v>#NAME?</v>
      </c>
      <c r="D84" s="523" t="e">
        <f ca="1">gr(données_step[[#This Row],[D_QDEVDP]])</f>
        <v>#NAME?</v>
      </c>
      <c r="E84" s="523" t="e">
        <f ca="1">gr(données_step[[#This Row],[D_QTRAI2]])</f>
        <v>#NAME?</v>
      </c>
      <c r="F84" s="523" t="e">
        <f ca="1">gr(données_step[[#This Row],[D_QMIN]])</f>
        <v>#NAME?</v>
      </c>
      <c r="G84" s="523" t="e">
        <f ca="1">gr(données_step[[#This Row],[D_QMAX]])</f>
        <v>#NAME?</v>
      </c>
      <c r="H84" s="501" t="e">
        <f ca="1">gr(données_step[[#This Row],[D_PLUIE]])</f>
        <v>#NAME?</v>
      </c>
    </row>
    <row r="85" spans="1:8" x14ac:dyDescent="0.2">
      <c r="A85" s="222">
        <f>calculs!A85</f>
        <v>44636</v>
      </c>
      <c r="B85" s="523" t="e">
        <f ca="1">gr(données_step[[#This Row],[D_QDEVE]])</f>
        <v>#NAME?</v>
      </c>
      <c r="C85" s="523" t="e">
        <f ca="1">gr(données_step[[#This Row],[D_QTRAI]])</f>
        <v>#NAME?</v>
      </c>
      <c r="D85" s="523" t="e">
        <f ca="1">gr(données_step[[#This Row],[D_QDEVDP]])</f>
        <v>#NAME?</v>
      </c>
      <c r="E85" s="523" t="e">
        <f ca="1">gr(données_step[[#This Row],[D_QTRAI2]])</f>
        <v>#NAME?</v>
      </c>
      <c r="F85" s="523" t="e">
        <f ca="1">gr(données_step[[#This Row],[D_QMIN]])</f>
        <v>#NAME?</v>
      </c>
      <c r="G85" s="523" t="e">
        <f ca="1">gr(données_step[[#This Row],[D_QMAX]])</f>
        <v>#NAME?</v>
      </c>
      <c r="H85" s="501" t="e">
        <f ca="1">gr(données_step[[#This Row],[D_PLUIE]])</f>
        <v>#NAME?</v>
      </c>
    </row>
    <row r="86" spans="1:8" x14ac:dyDescent="0.2">
      <c r="A86" s="222">
        <f>calculs!A86</f>
        <v>44637</v>
      </c>
      <c r="B86" s="523" t="e">
        <f ca="1">gr(données_step[[#This Row],[D_QDEVE]])</f>
        <v>#NAME?</v>
      </c>
      <c r="C86" s="523" t="e">
        <f ca="1">gr(données_step[[#This Row],[D_QTRAI]])</f>
        <v>#NAME?</v>
      </c>
      <c r="D86" s="523" t="e">
        <f ca="1">gr(données_step[[#This Row],[D_QDEVDP]])</f>
        <v>#NAME?</v>
      </c>
      <c r="E86" s="523" t="e">
        <f ca="1">gr(données_step[[#This Row],[D_QTRAI2]])</f>
        <v>#NAME?</v>
      </c>
      <c r="F86" s="523" t="e">
        <f ca="1">gr(données_step[[#This Row],[D_QMIN]])</f>
        <v>#NAME?</v>
      </c>
      <c r="G86" s="523" t="e">
        <f ca="1">gr(données_step[[#This Row],[D_QMAX]])</f>
        <v>#NAME?</v>
      </c>
      <c r="H86" s="501" t="e">
        <f ca="1">gr(données_step[[#This Row],[D_PLUIE]])</f>
        <v>#NAME?</v>
      </c>
    </row>
    <row r="87" spans="1:8" x14ac:dyDescent="0.2">
      <c r="A87" s="222">
        <f>calculs!A87</f>
        <v>44638</v>
      </c>
      <c r="B87" s="523" t="e">
        <f ca="1">gr(données_step[[#This Row],[D_QDEVE]])</f>
        <v>#NAME?</v>
      </c>
      <c r="C87" s="523" t="e">
        <f ca="1">gr(données_step[[#This Row],[D_QTRAI]])</f>
        <v>#NAME?</v>
      </c>
      <c r="D87" s="523" t="e">
        <f ca="1">gr(données_step[[#This Row],[D_QDEVDP]])</f>
        <v>#NAME?</v>
      </c>
      <c r="E87" s="523" t="e">
        <f ca="1">gr(données_step[[#This Row],[D_QTRAI2]])</f>
        <v>#NAME?</v>
      </c>
      <c r="F87" s="523" t="e">
        <f ca="1">gr(données_step[[#This Row],[D_QMIN]])</f>
        <v>#NAME?</v>
      </c>
      <c r="G87" s="523" t="e">
        <f ca="1">gr(données_step[[#This Row],[D_QMAX]])</f>
        <v>#NAME?</v>
      </c>
      <c r="H87" s="501" t="e">
        <f ca="1">gr(données_step[[#This Row],[D_PLUIE]])</f>
        <v>#NAME?</v>
      </c>
    </row>
    <row r="88" spans="1:8" x14ac:dyDescent="0.2">
      <c r="A88" s="222">
        <f>calculs!A88</f>
        <v>44639</v>
      </c>
      <c r="B88" s="523" t="e">
        <f ca="1">gr(données_step[[#This Row],[D_QDEVE]])</f>
        <v>#NAME?</v>
      </c>
      <c r="C88" s="523" t="e">
        <f ca="1">gr(données_step[[#This Row],[D_QTRAI]])</f>
        <v>#NAME?</v>
      </c>
      <c r="D88" s="523" t="e">
        <f ca="1">gr(données_step[[#This Row],[D_QDEVDP]])</f>
        <v>#NAME?</v>
      </c>
      <c r="E88" s="523" t="e">
        <f ca="1">gr(données_step[[#This Row],[D_QTRAI2]])</f>
        <v>#NAME?</v>
      </c>
      <c r="F88" s="523" t="e">
        <f ca="1">gr(données_step[[#This Row],[D_QMIN]])</f>
        <v>#NAME?</v>
      </c>
      <c r="G88" s="523" t="e">
        <f ca="1">gr(données_step[[#This Row],[D_QMAX]])</f>
        <v>#NAME?</v>
      </c>
      <c r="H88" s="501" t="e">
        <f ca="1">gr(données_step[[#This Row],[D_PLUIE]])</f>
        <v>#NAME?</v>
      </c>
    </row>
    <row r="89" spans="1:8" x14ac:dyDescent="0.2">
      <c r="A89" s="222">
        <f>calculs!A89</f>
        <v>44640</v>
      </c>
      <c r="B89" s="523" t="e">
        <f ca="1">gr(données_step[[#This Row],[D_QDEVE]])</f>
        <v>#NAME?</v>
      </c>
      <c r="C89" s="523" t="e">
        <f ca="1">gr(données_step[[#This Row],[D_QTRAI]])</f>
        <v>#NAME?</v>
      </c>
      <c r="D89" s="523" t="e">
        <f ca="1">gr(données_step[[#This Row],[D_QDEVDP]])</f>
        <v>#NAME?</v>
      </c>
      <c r="E89" s="523" t="e">
        <f ca="1">gr(données_step[[#This Row],[D_QTRAI2]])</f>
        <v>#NAME?</v>
      </c>
      <c r="F89" s="523" t="e">
        <f ca="1">gr(données_step[[#This Row],[D_QMIN]])</f>
        <v>#NAME?</v>
      </c>
      <c r="G89" s="523" t="e">
        <f ca="1">gr(données_step[[#This Row],[D_QMAX]])</f>
        <v>#NAME?</v>
      </c>
      <c r="H89" s="501" t="e">
        <f ca="1">gr(données_step[[#This Row],[D_PLUIE]])</f>
        <v>#NAME?</v>
      </c>
    </row>
    <row r="90" spans="1:8" x14ac:dyDescent="0.2">
      <c r="A90" s="222">
        <f>calculs!A90</f>
        <v>44641</v>
      </c>
      <c r="B90" s="523" t="e">
        <f ca="1">gr(données_step[[#This Row],[D_QDEVE]])</f>
        <v>#NAME?</v>
      </c>
      <c r="C90" s="523" t="e">
        <f ca="1">gr(données_step[[#This Row],[D_QTRAI]])</f>
        <v>#NAME?</v>
      </c>
      <c r="D90" s="523" t="e">
        <f ca="1">gr(données_step[[#This Row],[D_QDEVDP]])</f>
        <v>#NAME?</v>
      </c>
      <c r="E90" s="523" t="e">
        <f ca="1">gr(données_step[[#This Row],[D_QTRAI2]])</f>
        <v>#NAME?</v>
      </c>
      <c r="F90" s="523" t="e">
        <f ca="1">gr(données_step[[#This Row],[D_QMIN]])</f>
        <v>#NAME?</v>
      </c>
      <c r="G90" s="523" t="e">
        <f ca="1">gr(données_step[[#This Row],[D_QMAX]])</f>
        <v>#NAME?</v>
      </c>
      <c r="H90" s="501" t="e">
        <f ca="1">gr(données_step[[#This Row],[D_PLUIE]])</f>
        <v>#NAME?</v>
      </c>
    </row>
    <row r="91" spans="1:8" x14ac:dyDescent="0.2">
      <c r="A91" s="222">
        <f>calculs!A91</f>
        <v>44642</v>
      </c>
      <c r="B91" s="523" t="e">
        <f ca="1">gr(données_step[[#This Row],[D_QDEVE]])</f>
        <v>#NAME?</v>
      </c>
      <c r="C91" s="523" t="e">
        <f ca="1">gr(données_step[[#This Row],[D_QTRAI]])</f>
        <v>#NAME?</v>
      </c>
      <c r="D91" s="523" t="e">
        <f ca="1">gr(données_step[[#This Row],[D_QDEVDP]])</f>
        <v>#NAME?</v>
      </c>
      <c r="E91" s="523" t="e">
        <f ca="1">gr(données_step[[#This Row],[D_QTRAI2]])</f>
        <v>#NAME?</v>
      </c>
      <c r="F91" s="523" t="e">
        <f ca="1">gr(données_step[[#This Row],[D_QMIN]])</f>
        <v>#NAME?</v>
      </c>
      <c r="G91" s="523" t="e">
        <f ca="1">gr(données_step[[#This Row],[D_QMAX]])</f>
        <v>#NAME?</v>
      </c>
      <c r="H91" s="501" t="e">
        <f ca="1">gr(données_step[[#This Row],[D_PLUIE]])</f>
        <v>#NAME?</v>
      </c>
    </row>
    <row r="92" spans="1:8" x14ac:dyDescent="0.2">
      <c r="A92" s="222">
        <f>calculs!A92</f>
        <v>44643</v>
      </c>
      <c r="B92" s="523" t="e">
        <f ca="1">gr(données_step[[#This Row],[D_QDEVE]])</f>
        <v>#NAME?</v>
      </c>
      <c r="C92" s="523" t="e">
        <f ca="1">gr(données_step[[#This Row],[D_QTRAI]])</f>
        <v>#NAME?</v>
      </c>
      <c r="D92" s="523" t="e">
        <f ca="1">gr(données_step[[#This Row],[D_QDEVDP]])</f>
        <v>#NAME?</v>
      </c>
      <c r="E92" s="523" t="e">
        <f ca="1">gr(données_step[[#This Row],[D_QTRAI2]])</f>
        <v>#NAME?</v>
      </c>
      <c r="F92" s="523" t="e">
        <f ca="1">gr(données_step[[#This Row],[D_QMIN]])</f>
        <v>#NAME?</v>
      </c>
      <c r="G92" s="523" t="e">
        <f ca="1">gr(données_step[[#This Row],[D_QMAX]])</f>
        <v>#NAME?</v>
      </c>
      <c r="H92" s="501" t="e">
        <f ca="1">gr(données_step[[#This Row],[D_PLUIE]])</f>
        <v>#NAME?</v>
      </c>
    </row>
    <row r="93" spans="1:8" x14ac:dyDescent="0.2">
      <c r="A93" s="222">
        <f>calculs!A93</f>
        <v>44644</v>
      </c>
      <c r="B93" s="523" t="e">
        <f ca="1">gr(données_step[[#This Row],[D_QDEVE]])</f>
        <v>#NAME?</v>
      </c>
      <c r="C93" s="523" t="e">
        <f ca="1">gr(données_step[[#This Row],[D_QTRAI]])</f>
        <v>#NAME?</v>
      </c>
      <c r="D93" s="523" t="e">
        <f ca="1">gr(données_step[[#This Row],[D_QDEVDP]])</f>
        <v>#NAME?</v>
      </c>
      <c r="E93" s="523" t="e">
        <f ca="1">gr(données_step[[#This Row],[D_QTRAI2]])</f>
        <v>#NAME?</v>
      </c>
      <c r="F93" s="523" t="e">
        <f ca="1">gr(données_step[[#This Row],[D_QMIN]])</f>
        <v>#NAME?</v>
      </c>
      <c r="G93" s="523" t="e">
        <f ca="1">gr(données_step[[#This Row],[D_QMAX]])</f>
        <v>#NAME?</v>
      </c>
      <c r="H93" s="501" t="e">
        <f ca="1">gr(données_step[[#This Row],[D_PLUIE]])</f>
        <v>#NAME?</v>
      </c>
    </row>
    <row r="94" spans="1:8" x14ac:dyDescent="0.2">
      <c r="A94" s="222">
        <f>calculs!A94</f>
        <v>44645</v>
      </c>
      <c r="B94" s="523" t="e">
        <f ca="1">gr(données_step[[#This Row],[D_QDEVE]])</f>
        <v>#NAME?</v>
      </c>
      <c r="C94" s="523" t="e">
        <f ca="1">gr(données_step[[#This Row],[D_QTRAI]])</f>
        <v>#NAME?</v>
      </c>
      <c r="D94" s="523" t="e">
        <f ca="1">gr(données_step[[#This Row],[D_QDEVDP]])</f>
        <v>#NAME?</v>
      </c>
      <c r="E94" s="523" t="e">
        <f ca="1">gr(données_step[[#This Row],[D_QTRAI2]])</f>
        <v>#NAME?</v>
      </c>
      <c r="F94" s="523" t="e">
        <f ca="1">gr(données_step[[#This Row],[D_QMIN]])</f>
        <v>#NAME?</v>
      </c>
      <c r="G94" s="523" t="e">
        <f ca="1">gr(données_step[[#This Row],[D_QMAX]])</f>
        <v>#NAME?</v>
      </c>
      <c r="H94" s="501" t="e">
        <f ca="1">gr(données_step[[#This Row],[D_PLUIE]])</f>
        <v>#NAME?</v>
      </c>
    </row>
    <row r="95" spans="1:8" x14ac:dyDescent="0.2">
      <c r="A95" s="222">
        <f>calculs!A95</f>
        <v>44646</v>
      </c>
      <c r="B95" s="523" t="e">
        <f ca="1">gr(données_step[[#This Row],[D_QDEVE]])</f>
        <v>#NAME?</v>
      </c>
      <c r="C95" s="523" t="e">
        <f ca="1">gr(données_step[[#This Row],[D_QTRAI]])</f>
        <v>#NAME?</v>
      </c>
      <c r="D95" s="523" t="e">
        <f ca="1">gr(données_step[[#This Row],[D_QDEVDP]])</f>
        <v>#NAME?</v>
      </c>
      <c r="E95" s="523" t="e">
        <f ca="1">gr(données_step[[#This Row],[D_QTRAI2]])</f>
        <v>#NAME?</v>
      </c>
      <c r="F95" s="523" t="e">
        <f ca="1">gr(données_step[[#This Row],[D_QMIN]])</f>
        <v>#NAME?</v>
      </c>
      <c r="G95" s="523" t="e">
        <f ca="1">gr(données_step[[#This Row],[D_QMAX]])</f>
        <v>#NAME?</v>
      </c>
      <c r="H95" s="501" t="e">
        <f ca="1">gr(données_step[[#This Row],[D_PLUIE]])</f>
        <v>#NAME?</v>
      </c>
    </row>
    <row r="96" spans="1:8" x14ac:dyDescent="0.2">
      <c r="A96" s="222">
        <f>calculs!A96</f>
        <v>44647</v>
      </c>
      <c r="B96" s="523" t="e">
        <f ca="1">gr(données_step[[#This Row],[D_QDEVE]])</f>
        <v>#NAME?</v>
      </c>
      <c r="C96" s="523" t="e">
        <f ca="1">gr(données_step[[#This Row],[D_QTRAI]])</f>
        <v>#NAME?</v>
      </c>
      <c r="D96" s="523" t="e">
        <f ca="1">gr(données_step[[#This Row],[D_QDEVDP]])</f>
        <v>#NAME?</v>
      </c>
      <c r="E96" s="523" t="e">
        <f ca="1">gr(données_step[[#This Row],[D_QTRAI2]])</f>
        <v>#NAME?</v>
      </c>
      <c r="F96" s="523" t="e">
        <f ca="1">gr(données_step[[#This Row],[D_QMIN]])</f>
        <v>#NAME?</v>
      </c>
      <c r="G96" s="523" t="e">
        <f ca="1">gr(données_step[[#This Row],[D_QMAX]])</f>
        <v>#NAME?</v>
      </c>
      <c r="H96" s="501" t="e">
        <f ca="1">gr(données_step[[#This Row],[D_PLUIE]])</f>
        <v>#NAME?</v>
      </c>
    </row>
    <row r="97" spans="1:8" x14ac:dyDescent="0.2">
      <c r="A97" s="222">
        <f>calculs!A97</f>
        <v>44648</v>
      </c>
      <c r="B97" s="523" t="e">
        <f ca="1">gr(données_step[[#This Row],[D_QDEVE]])</f>
        <v>#NAME?</v>
      </c>
      <c r="C97" s="523" t="e">
        <f ca="1">gr(données_step[[#This Row],[D_QTRAI]])</f>
        <v>#NAME?</v>
      </c>
      <c r="D97" s="523" t="e">
        <f ca="1">gr(données_step[[#This Row],[D_QDEVDP]])</f>
        <v>#NAME?</v>
      </c>
      <c r="E97" s="523" t="e">
        <f ca="1">gr(données_step[[#This Row],[D_QTRAI2]])</f>
        <v>#NAME?</v>
      </c>
      <c r="F97" s="523" t="e">
        <f ca="1">gr(données_step[[#This Row],[D_QMIN]])</f>
        <v>#NAME?</v>
      </c>
      <c r="G97" s="523" t="e">
        <f ca="1">gr(données_step[[#This Row],[D_QMAX]])</f>
        <v>#NAME?</v>
      </c>
      <c r="H97" s="501" t="e">
        <f ca="1">gr(données_step[[#This Row],[D_PLUIE]])</f>
        <v>#NAME?</v>
      </c>
    </row>
    <row r="98" spans="1:8" x14ac:dyDescent="0.2">
      <c r="A98" s="222">
        <f>calculs!A98</f>
        <v>44649</v>
      </c>
      <c r="B98" s="523" t="e">
        <f ca="1">gr(données_step[[#This Row],[D_QDEVE]])</f>
        <v>#NAME?</v>
      </c>
      <c r="C98" s="523" t="e">
        <f ca="1">gr(données_step[[#This Row],[D_QTRAI]])</f>
        <v>#NAME?</v>
      </c>
      <c r="D98" s="523" t="e">
        <f ca="1">gr(données_step[[#This Row],[D_QDEVDP]])</f>
        <v>#NAME?</v>
      </c>
      <c r="E98" s="523" t="e">
        <f ca="1">gr(données_step[[#This Row],[D_QTRAI2]])</f>
        <v>#NAME?</v>
      </c>
      <c r="F98" s="523" t="e">
        <f ca="1">gr(données_step[[#This Row],[D_QMIN]])</f>
        <v>#NAME?</v>
      </c>
      <c r="G98" s="523" t="e">
        <f ca="1">gr(données_step[[#This Row],[D_QMAX]])</f>
        <v>#NAME?</v>
      </c>
      <c r="H98" s="501" t="e">
        <f ca="1">gr(données_step[[#This Row],[D_PLUIE]])</f>
        <v>#NAME?</v>
      </c>
    </row>
    <row r="99" spans="1:8" x14ac:dyDescent="0.2">
      <c r="A99" s="222">
        <f>calculs!A99</f>
        <v>44650</v>
      </c>
      <c r="B99" s="523" t="e">
        <f ca="1">gr(données_step[[#This Row],[D_QDEVE]])</f>
        <v>#NAME?</v>
      </c>
      <c r="C99" s="523" t="e">
        <f ca="1">gr(données_step[[#This Row],[D_QTRAI]])</f>
        <v>#NAME?</v>
      </c>
      <c r="D99" s="523" t="e">
        <f ca="1">gr(données_step[[#This Row],[D_QDEVDP]])</f>
        <v>#NAME?</v>
      </c>
      <c r="E99" s="523" t="e">
        <f ca="1">gr(données_step[[#This Row],[D_QTRAI2]])</f>
        <v>#NAME?</v>
      </c>
      <c r="F99" s="523" t="e">
        <f ca="1">gr(données_step[[#This Row],[D_QMIN]])</f>
        <v>#NAME?</v>
      </c>
      <c r="G99" s="523" t="e">
        <f ca="1">gr(données_step[[#This Row],[D_QMAX]])</f>
        <v>#NAME?</v>
      </c>
      <c r="H99" s="501" t="e">
        <f ca="1">gr(données_step[[#This Row],[D_PLUIE]])</f>
        <v>#NAME?</v>
      </c>
    </row>
    <row r="100" spans="1:8" x14ac:dyDescent="0.2">
      <c r="A100" s="222">
        <f>calculs!A100</f>
        <v>44651</v>
      </c>
      <c r="B100" s="523" t="e">
        <f ca="1">gr(données_step[[#This Row],[D_QDEVE]])</f>
        <v>#NAME?</v>
      </c>
      <c r="C100" s="523" t="e">
        <f ca="1">gr(données_step[[#This Row],[D_QTRAI]])</f>
        <v>#NAME?</v>
      </c>
      <c r="D100" s="523" t="e">
        <f ca="1">gr(données_step[[#This Row],[D_QDEVDP]])</f>
        <v>#NAME?</v>
      </c>
      <c r="E100" s="523" t="e">
        <f ca="1">gr(données_step[[#This Row],[D_QTRAI2]])</f>
        <v>#NAME?</v>
      </c>
      <c r="F100" s="523" t="e">
        <f ca="1">gr(données_step[[#This Row],[D_QMIN]])</f>
        <v>#NAME?</v>
      </c>
      <c r="G100" s="523" t="e">
        <f ca="1">gr(données_step[[#This Row],[D_QMAX]])</f>
        <v>#NAME?</v>
      </c>
      <c r="H100" s="501" t="e">
        <f ca="1">gr(données_step[[#This Row],[D_PLUIE]])</f>
        <v>#NAME?</v>
      </c>
    </row>
    <row r="101" spans="1:8" x14ac:dyDescent="0.2">
      <c r="A101" s="222">
        <f>calculs!A101</f>
        <v>44652</v>
      </c>
      <c r="B101" s="523" t="e">
        <f ca="1">gr(données_step[[#This Row],[D_QDEVE]])</f>
        <v>#NAME?</v>
      </c>
      <c r="C101" s="523" t="e">
        <f ca="1">gr(données_step[[#This Row],[D_QTRAI]])</f>
        <v>#NAME?</v>
      </c>
      <c r="D101" s="523" t="e">
        <f ca="1">gr(données_step[[#This Row],[D_QDEVDP]])</f>
        <v>#NAME?</v>
      </c>
      <c r="E101" s="523" t="e">
        <f ca="1">gr(données_step[[#This Row],[D_QTRAI2]])</f>
        <v>#NAME?</v>
      </c>
      <c r="F101" s="523" t="e">
        <f ca="1">gr(données_step[[#This Row],[D_QMIN]])</f>
        <v>#NAME?</v>
      </c>
      <c r="G101" s="523" t="e">
        <f ca="1">gr(données_step[[#This Row],[D_QMAX]])</f>
        <v>#NAME?</v>
      </c>
      <c r="H101" s="501" t="e">
        <f ca="1">gr(données_step[[#This Row],[D_PLUIE]])</f>
        <v>#NAME?</v>
      </c>
    </row>
    <row r="102" spans="1:8" x14ac:dyDescent="0.2">
      <c r="A102" s="222">
        <f>calculs!A102</f>
        <v>44653</v>
      </c>
      <c r="B102" s="523" t="e">
        <f ca="1">gr(données_step[[#This Row],[D_QDEVE]])</f>
        <v>#NAME?</v>
      </c>
      <c r="C102" s="523" t="e">
        <f ca="1">gr(données_step[[#This Row],[D_QTRAI]])</f>
        <v>#NAME?</v>
      </c>
      <c r="D102" s="523" t="e">
        <f ca="1">gr(données_step[[#This Row],[D_QDEVDP]])</f>
        <v>#NAME?</v>
      </c>
      <c r="E102" s="523" t="e">
        <f ca="1">gr(données_step[[#This Row],[D_QTRAI2]])</f>
        <v>#NAME?</v>
      </c>
      <c r="F102" s="523" t="e">
        <f ca="1">gr(données_step[[#This Row],[D_QMIN]])</f>
        <v>#NAME?</v>
      </c>
      <c r="G102" s="523" t="e">
        <f ca="1">gr(données_step[[#This Row],[D_QMAX]])</f>
        <v>#NAME?</v>
      </c>
      <c r="H102" s="501" t="e">
        <f ca="1">gr(données_step[[#This Row],[D_PLUIE]])</f>
        <v>#NAME?</v>
      </c>
    </row>
    <row r="103" spans="1:8" x14ac:dyDescent="0.2">
      <c r="A103" s="222">
        <f>calculs!A103</f>
        <v>44654</v>
      </c>
      <c r="B103" s="523" t="e">
        <f ca="1">gr(données_step[[#This Row],[D_QDEVE]])</f>
        <v>#NAME?</v>
      </c>
      <c r="C103" s="523" t="e">
        <f ca="1">gr(données_step[[#This Row],[D_QTRAI]])</f>
        <v>#NAME?</v>
      </c>
      <c r="D103" s="523" t="e">
        <f ca="1">gr(données_step[[#This Row],[D_QDEVDP]])</f>
        <v>#NAME?</v>
      </c>
      <c r="E103" s="523" t="e">
        <f ca="1">gr(données_step[[#This Row],[D_QTRAI2]])</f>
        <v>#NAME?</v>
      </c>
      <c r="F103" s="523" t="e">
        <f ca="1">gr(données_step[[#This Row],[D_QMIN]])</f>
        <v>#NAME?</v>
      </c>
      <c r="G103" s="523" t="e">
        <f ca="1">gr(données_step[[#This Row],[D_QMAX]])</f>
        <v>#NAME?</v>
      </c>
      <c r="H103" s="501" t="e">
        <f ca="1">gr(données_step[[#This Row],[D_PLUIE]])</f>
        <v>#NAME?</v>
      </c>
    </row>
    <row r="104" spans="1:8" x14ac:dyDescent="0.2">
      <c r="A104" s="222">
        <f>calculs!A104</f>
        <v>44655</v>
      </c>
      <c r="B104" s="523" t="e">
        <f ca="1">gr(données_step[[#This Row],[D_QDEVE]])</f>
        <v>#NAME?</v>
      </c>
      <c r="C104" s="523" t="e">
        <f ca="1">gr(données_step[[#This Row],[D_QTRAI]])</f>
        <v>#NAME?</v>
      </c>
      <c r="D104" s="523" t="e">
        <f ca="1">gr(données_step[[#This Row],[D_QDEVDP]])</f>
        <v>#NAME?</v>
      </c>
      <c r="E104" s="523" t="e">
        <f ca="1">gr(données_step[[#This Row],[D_QTRAI2]])</f>
        <v>#NAME?</v>
      </c>
      <c r="F104" s="523" t="e">
        <f ca="1">gr(données_step[[#This Row],[D_QMIN]])</f>
        <v>#NAME?</v>
      </c>
      <c r="G104" s="523" t="e">
        <f ca="1">gr(données_step[[#This Row],[D_QMAX]])</f>
        <v>#NAME?</v>
      </c>
      <c r="H104" s="501" t="e">
        <f ca="1">gr(données_step[[#This Row],[D_PLUIE]])</f>
        <v>#NAME?</v>
      </c>
    </row>
    <row r="105" spans="1:8" x14ac:dyDescent="0.2">
      <c r="A105" s="222">
        <f>calculs!A105</f>
        <v>44656</v>
      </c>
      <c r="B105" s="523" t="e">
        <f ca="1">gr(données_step[[#This Row],[D_QDEVE]])</f>
        <v>#NAME?</v>
      </c>
      <c r="C105" s="523" t="e">
        <f ca="1">gr(données_step[[#This Row],[D_QTRAI]])</f>
        <v>#NAME?</v>
      </c>
      <c r="D105" s="523" t="e">
        <f ca="1">gr(données_step[[#This Row],[D_QDEVDP]])</f>
        <v>#NAME?</v>
      </c>
      <c r="E105" s="523" t="e">
        <f ca="1">gr(données_step[[#This Row],[D_QTRAI2]])</f>
        <v>#NAME?</v>
      </c>
      <c r="F105" s="523" t="e">
        <f ca="1">gr(données_step[[#This Row],[D_QMIN]])</f>
        <v>#NAME?</v>
      </c>
      <c r="G105" s="523" t="e">
        <f ca="1">gr(données_step[[#This Row],[D_QMAX]])</f>
        <v>#NAME?</v>
      </c>
      <c r="H105" s="501" t="e">
        <f ca="1">gr(données_step[[#This Row],[D_PLUIE]])</f>
        <v>#NAME?</v>
      </c>
    </row>
    <row r="106" spans="1:8" x14ac:dyDescent="0.2">
      <c r="A106" s="222">
        <f>calculs!A106</f>
        <v>44657</v>
      </c>
      <c r="B106" s="523" t="e">
        <f ca="1">gr(données_step[[#This Row],[D_QDEVE]])</f>
        <v>#NAME?</v>
      </c>
      <c r="C106" s="523" t="e">
        <f ca="1">gr(données_step[[#This Row],[D_QTRAI]])</f>
        <v>#NAME?</v>
      </c>
      <c r="D106" s="523" t="e">
        <f ca="1">gr(données_step[[#This Row],[D_QDEVDP]])</f>
        <v>#NAME?</v>
      </c>
      <c r="E106" s="523" t="e">
        <f ca="1">gr(données_step[[#This Row],[D_QTRAI2]])</f>
        <v>#NAME?</v>
      </c>
      <c r="F106" s="523" t="e">
        <f ca="1">gr(données_step[[#This Row],[D_QMIN]])</f>
        <v>#NAME?</v>
      </c>
      <c r="G106" s="523" t="e">
        <f ca="1">gr(données_step[[#This Row],[D_QMAX]])</f>
        <v>#NAME?</v>
      </c>
      <c r="H106" s="501" t="e">
        <f ca="1">gr(données_step[[#This Row],[D_PLUIE]])</f>
        <v>#NAME?</v>
      </c>
    </row>
    <row r="107" spans="1:8" x14ac:dyDescent="0.2">
      <c r="A107" s="222">
        <f>calculs!A107</f>
        <v>44658</v>
      </c>
      <c r="B107" s="523" t="e">
        <f ca="1">gr(données_step[[#This Row],[D_QDEVE]])</f>
        <v>#NAME?</v>
      </c>
      <c r="C107" s="523" t="e">
        <f ca="1">gr(données_step[[#This Row],[D_QTRAI]])</f>
        <v>#NAME?</v>
      </c>
      <c r="D107" s="523" t="e">
        <f ca="1">gr(données_step[[#This Row],[D_QDEVDP]])</f>
        <v>#NAME?</v>
      </c>
      <c r="E107" s="523" t="e">
        <f ca="1">gr(données_step[[#This Row],[D_QTRAI2]])</f>
        <v>#NAME?</v>
      </c>
      <c r="F107" s="523" t="e">
        <f ca="1">gr(données_step[[#This Row],[D_QMIN]])</f>
        <v>#NAME?</v>
      </c>
      <c r="G107" s="523" t="e">
        <f ca="1">gr(données_step[[#This Row],[D_QMAX]])</f>
        <v>#NAME?</v>
      </c>
      <c r="H107" s="501" t="e">
        <f ca="1">gr(données_step[[#This Row],[D_PLUIE]])</f>
        <v>#NAME?</v>
      </c>
    </row>
    <row r="108" spans="1:8" x14ac:dyDescent="0.2">
      <c r="A108" s="222">
        <f>calculs!A108</f>
        <v>44659</v>
      </c>
      <c r="B108" s="523" t="e">
        <f ca="1">gr(données_step[[#This Row],[D_QDEVE]])</f>
        <v>#NAME?</v>
      </c>
      <c r="C108" s="523" t="e">
        <f ca="1">gr(données_step[[#This Row],[D_QTRAI]])</f>
        <v>#NAME?</v>
      </c>
      <c r="D108" s="523" t="e">
        <f ca="1">gr(données_step[[#This Row],[D_QDEVDP]])</f>
        <v>#NAME?</v>
      </c>
      <c r="E108" s="523" t="e">
        <f ca="1">gr(données_step[[#This Row],[D_QTRAI2]])</f>
        <v>#NAME?</v>
      </c>
      <c r="F108" s="523" t="e">
        <f ca="1">gr(données_step[[#This Row],[D_QMIN]])</f>
        <v>#NAME?</v>
      </c>
      <c r="G108" s="523" t="e">
        <f ca="1">gr(données_step[[#This Row],[D_QMAX]])</f>
        <v>#NAME?</v>
      </c>
      <c r="H108" s="501" t="e">
        <f ca="1">gr(données_step[[#This Row],[D_PLUIE]])</f>
        <v>#NAME?</v>
      </c>
    </row>
    <row r="109" spans="1:8" x14ac:dyDescent="0.2">
      <c r="A109" s="222">
        <f>calculs!A109</f>
        <v>44660</v>
      </c>
      <c r="B109" s="523" t="e">
        <f ca="1">gr(données_step[[#This Row],[D_QDEVE]])</f>
        <v>#NAME?</v>
      </c>
      <c r="C109" s="523" t="e">
        <f ca="1">gr(données_step[[#This Row],[D_QTRAI]])</f>
        <v>#NAME?</v>
      </c>
      <c r="D109" s="523" t="e">
        <f ca="1">gr(données_step[[#This Row],[D_QDEVDP]])</f>
        <v>#NAME?</v>
      </c>
      <c r="E109" s="523" t="e">
        <f ca="1">gr(données_step[[#This Row],[D_QTRAI2]])</f>
        <v>#NAME?</v>
      </c>
      <c r="F109" s="523" t="e">
        <f ca="1">gr(données_step[[#This Row],[D_QMIN]])</f>
        <v>#NAME?</v>
      </c>
      <c r="G109" s="523" t="e">
        <f ca="1">gr(données_step[[#This Row],[D_QMAX]])</f>
        <v>#NAME?</v>
      </c>
      <c r="H109" s="501" t="e">
        <f ca="1">gr(données_step[[#This Row],[D_PLUIE]])</f>
        <v>#NAME?</v>
      </c>
    </row>
    <row r="110" spans="1:8" x14ac:dyDescent="0.2">
      <c r="A110" s="222">
        <f>calculs!A110</f>
        <v>44661</v>
      </c>
      <c r="B110" s="523" t="e">
        <f ca="1">gr(données_step[[#This Row],[D_QDEVE]])</f>
        <v>#NAME?</v>
      </c>
      <c r="C110" s="523" t="e">
        <f ca="1">gr(données_step[[#This Row],[D_QTRAI]])</f>
        <v>#NAME?</v>
      </c>
      <c r="D110" s="523" t="e">
        <f ca="1">gr(données_step[[#This Row],[D_QDEVDP]])</f>
        <v>#NAME?</v>
      </c>
      <c r="E110" s="523" t="e">
        <f ca="1">gr(données_step[[#This Row],[D_QTRAI2]])</f>
        <v>#NAME?</v>
      </c>
      <c r="F110" s="523" t="e">
        <f ca="1">gr(données_step[[#This Row],[D_QMIN]])</f>
        <v>#NAME?</v>
      </c>
      <c r="G110" s="523" t="e">
        <f ca="1">gr(données_step[[#This Row],[D_QMAX]])</f>
        <v>#NAME?</v>
      </c>
      <c r="H110" s="501" t="e">
        <f ca="1">gr(données_step[[#This Row],[D_PLUIE]])</f>
        <v>#NAME?</v>
      </c>
    </row>
    <row r="111" spans="1:8" x14ac:dyDescent="0.2">
      <c r="A111" s="222">
        <f>calculs!A111</f>
        <v>44662</v>
      </c>
      <c r="B111" s="523" t="e">
        <f ca="1">gr(données_step[[#This Row],[D_QDEVE]])</f>
        <v>#NAME?</v>
      </c>
      <c r="C111" s="523" t="e">
        <f ca="1">gr(données_step[[#This Row],[D_QTRAI]])</f>
        <v>#NAME?</v>
      </c>
      <c r="D111" s="523" t="e">
        <f ca="1">gr(données_step[[#This Row],[D_QDEVDP]])</f>
        <v>#NAME?</v>
      </c>
      <c r="E111" s="523" t="e">
        <f ca="1">gr(données_step[[#This Row],[D_QTRAI2]])</f>
        <v>#NAME?</v>
      </c>
      <c r="F111" s="523" t="e">
        <f ca="1">gr(données_step[[#This Row],[D_QMIN]])</f>
        <v>#NAME?</v>
      </c>
      <c r="G111" s="523" t="e">
        <f ca="1">gr(données_step[[#This Row],[D_QMAX]])</f>
        <v>#NAME?</v>
      </c>
      <c r="H111" s="501" t="e">
        <f ca="1">gr(données_step[[#This Row],[D_PLUIE]])</f>
        <v>#NAME?</v>
      </c>
    </row>
    <row r="112" spans="1:8" x14ac:dyDescent="0.2">
      <c r="A112" s="222">
        <f>calculs!A112</f>
        <v>44663</v>
      </c>
      <c r="B112" s="523" t="e">
        <f ca="1">gr(données_step[[#This Row],[D_QDEVE]])</f>
        <v>#NAME?</v>
      </c>
      <c r="C112" s="523" t="e">
        <f ca="1">gr(données_step[[#This Row],[D_QTRAI]])</f>
        <v>#NAME?</v>
      </c>
      <c r="D112" s="523" t="e">
        <f ca="1">gr(données_step[[#This Row],[D_QDEVDP]])</f>
        <v>#NAME?</v>
      </c>
      <c r="E112" s="523" t="e">
        <f ca="1">gr(données_step[[#This Row],[D_QTRAI2]])</f>
        <v>#NAME?</v>
      </c>
      <c r="F112" s="523" t="e">
        <f ca="1">gr(données_step[[#This Row],[D_QMIN]])</f>
        <v>#NAME?</v>
      </c>
      <c r="G112" s="523" t="e">
        <f ca="1">gr(données_step[[#This Row],[D_QMAX]])</f>
        <v>#NAME?</v>
      </c>
      <c r="H112" s="501" t="e">
        <f ca="1">gr(données_step[[#This Row],[D_PLUIE]])</f>
        <v>#NAME?</v>
      </c>
    </row>
    <row r="113" spans="1:8" x14ac:dyDescent="0.2">
      <c r="A113" s="222">
        <f>calculs!A113</f>
        <v>44664</v>
      </c>
      <c r="B113" s="523" t="e">
        <f ca="1">gr(données_step[[#This Row],[D_QDEVE]])</f>
        <v>#NAME?</v>
      </c>
      <c r="C113" s="523" t="e">
        <f ca="1">gr(données_step[[#This Row],[D_QTRAI]])</f>
        <v>#NAME?</v>
      </c>
      <c r="D113" s="523" t="e">
        <f ca="1">gr(données_step[[#This Row],[D_QDEVDP]])</f>
        <v>#NAME?</v>
      </c>
      <c r="E113" s="523" t="e">
        <f ca="1">gr(données_step[[#This Row],[D_QTRAI2]])</f>
        <v>#NAME?</v>
      </c>
      <c r="F113" s="523" t="e">
        <f ca="1">gr(données_step[[#This Row],[D_QMIN]])</f>
        <v>#NAME?</v>
      </c>
      <c r="G113" s="523" t="e">
        <f ca="1">gr(données_step[[#This Row],[D_QMAX]])</f>
        <v>#NAME?</v>
      </c>
      <c r="H113" s="501" t="e">
        <f ca="1">gr(données_step[[#This Row],[D_PLUIE]])</f>
        <v>#NAME?</v>
      </c>
    </row>
    <row r="114" spans="1:8" x14ac:dyDescent="0.2">
      <c r="A114" s="222">
        <f>calculs!A114</f>
        <v>44665</v>
      </c>
      <c r="B114" s="523" t="e">
        <f ca="1">gr(données_step[[#This Row],[D_QDEVE]])</f>
        <v>#NAME?</v>
      </c>
      <c r="C114" s="523" t="e">
        <f ca="1">gr(données_step[[#This Row],[D_QTRAI]])</f>
        <v>#NAME?</v>
      </c>
      <c r="D114" s="523" t="e">
        <f ca="1">gr(données_step[[#This Row],[D_QDEVDP]])</f>
        <v>#NAME?</v>
      </c>
      <c r="E114" s="523" t="e">
        <f ca="1">gr(données_step[[#This Row],[D_QTRAI2]])</f>
        <v>#NAME?</v>
      </c>
      <c r="F114" s="523" t="e">
        <f ca="1">gr(données_step[[#This Row],[D_QMIN]])</f>
        <v>#NAME?</v>
      </c>
      <c r="G114" s="523" t="e">
        <f ca="1">gr(données_step[[#This Row],[D_QMAX]])</f>
        <v>#NAME?</v>
      </c>
      <c r="H114" s="501" t="e">
        <f ca="1">gr(données_step[[#This Row],[D_PLUIE]])</f>
        <v>#NAME?</v>
      </c>
    </row>
    <row r="115" spans="1:8" x14ac:dyDescent="0.2">
      <c r="A115" s="222">
        <f>calculs!A115</f>
        <v>44666</v>
      </c>
      <c r="B115" s="523" t="e">
        <f ca="1">gr(données_step[[#This Row],[D_QDEVE]])</f>
        <v>#NAME?</v>
      </c>
      <c r="C115" s="523" t="e">
        <f ca="1">gr(données_step[[#This Row],[D_QTRAI]])</f>
        <v>#NAME?</v>
      </c>
      <c r="D115" s="523" t="e">
        <f ca="1">gr(données_step[[#This Row],[D_QDEVDP]])</f>
        <v>#NAME?</v>
      </c>
      <c r="E115" s="523" t="e">
        <f ca="1">gr(données_step[[#This Row],[D_QTRAI2]])</f>
        <v>#NAME?</v>
      </c>
      <c r="F115" s="523" t="e">
        <f ca="1">gr(données_step[[#This Row],[D_QMIN]])</f>
        <v>#NAME?</v>
      </c>
      <c r="G115" s="523" t="e">
        <f ca="1">gr(données_step[[#This Row],[D_QMAX]])</f>
        <v>#NAME?</v>
      </c>
      <c r="H115" s="501" t="e">
        <f ca="1">gr(données_step[[#This Row],[D_PLUIE]])</f>
        <v>#NAME?</v>
      </c>
    </row>
    <row r="116" spans="1:8" x14ac:dyDescent="0.2">
      <c r="A116" s="222">
        <f>calculs!A116</f>
        <v>44667</v>
      </c>
      <c r="B116" s="523" t="e">
        <f ca="1">gr(données_step[[#This Row],[D_QDEVE]])</f>
        <v>#NAME?</v>
      </c>
      <c r="C116" s="523" t="e">
        <f ca="1">gr(données_step[[#This Row],[D_QTRAI]])</f>
        <v>#NAME?</v>
      </c>
      <c r="D116" s="523" t="e">
        <f ca="1">gr(données_step[[#This Row],[D_QDEVDP]])</f>
        <v>#NAME?</v>
      </c>
      <c r="E116" s="523" t="e">
        <f ca="1">gr(données_step[[#This Row],[D_QTRAI2]])</f>
        <v>#NAME?</v>
      </c>
      <c r="F116" s="523" t="e">
        <f ca="1">gr(données_step[[#This Row],[D_QMIN]])</f>
        <v>#NAME?</v>
      </c>
      <c r="G116" s="523" t="e">
        <f ca="1">gr(données_step[[#This Row],[D_QMAX]])</f>
        <v>#NAME?</v>
      </c>
      <c r="H116" s="501" t="e">
        <f ca="1">gr(données_step[[#This Row],[D_PLUIE]])</f>
        <v>#NAME?</v>
      </c>
    </row>
    <row r="117" spans="1:8" x14ac:dyDescent="0.2">
      <c r="A117" s="222">
        <f>calculs!A117</f>
        <v>44668</v>
      </c>
      <c r="B117" s="523" t="e">
        <f ca="1">gr(données_step[[#This Row],[D_QDEVE]])</f>
        <v>#NAME?</v>
      </c>
      <c r="C117" s="523" t="e">
        <f ca="1">gr(données_step[[#This Row],[D_QTRAI]])</f>
        <v>#NAME?</v>
      </c>
      <c r="D117" s="523" t="e">
        <f ca="1">gr(données_step[[#This Row],[D_QDEVDP]])</f>
        <v>#NAME?</v>
      </c>
      <c r="E117" s="523" t="e">
        <f ca="1">gr(données_step[[#This Row],[D_QTRAI2]])</f>
        <v>#NAME?</v>
      </c>
      <c r="F117" s="523" t="e">
        <f ca="1">gr(données_step[[#This Row],[D_QMIN]])</f>
        <v>#NAME?</v>
      </c>
      <c r="G117" s="523" t="e">
        <f ca="1">gr(données_step[[#This Row],[D_QMAX]])</f>
        <v>#NAME?</v>
      </c>
      <c r="H117" s="501" t="e">
        <f ca="1">gr(données_step[[#This Row],[D_PLUIE]])</f>
        <v>#NAME?</v>
      </c>
    </row>
    <row r="118" spans="1:8" x14ac:dyDescent="0.2">
      <c r="A118" s="222">
        <f>calculs!A118</f>
        <v>44669</v>
      </c>
      <c r="B118" s="523" t="e">
        <f ca="1">gr(données_step[[#This Row],[D_QDEVE]])</f>
        <v>#NAME?</v>
      </c>
      <c r="C118" s="523" t="e">
        <f ca="1">gr(données_step[[#This Row],[D_QTRAI]])</f>
        <v>#NAME?</v>
      </c>
      <c r="D118" s="523" t="e">
        <f ca="1">gr(données_step[[#This Row],[D_QDEVDP]])</f>
        <v>#NAME?</v>
      </c>
      <c r="E118" s="523" t="e">
        <f ca="1">gr(données_step[[#This Row],[D_QTRAI2]])</f>
        <v>#NAME?</v>
      </c>
      <c r="F118" s="523" t="e">
        <f ca="1">gr(données_step[[#This Row],[D_QMIN]])</f>
        <v>#NAME?</v>
      </c>
      <c r="G118" s="523" t="e">
        <f ca="1">gr(données_step[[#This Row],[D_QMAX]])</f>
        <v>#NAME?</v>
      </c>
      <c r="H118" s="501" t="e">
        <f ca="1">gr(données_step[[#This Row],[D_PLUIE]])</f>
        <v>#NAME?</v>
      </c>
    </row>
    <row r="119" spans="1:8" x14ac:dyDescent="0.2">
      <c r="A119" s="222">
        <f>calculs!A119</f>
        <v>44670</v>
      </c>
      <c r="B119" s="523" t="e">
        <f ca="1">gr(données_step[[#This Row],[D_QDEVE]])</f>
        <v>#NAME?</v>
      </c>
      <c r="C119" s="523" t="e">
        <f ca="1">gr(données_step[[#This Row],[D_QTRAI]])</f>
        <v>#NAME?</v>
      </c>
      <c r="D119" s="523" t="e">
        <f ca="1">gr(données_step[[#This Row],[D_QDEVDP]])</f>
        <v>#NAME?</v>
      </c>
      <c r="E119" s="523" t="e">
        <f ca="1">gr(données_step[[#This Row],[D_QTRAI2]])</f>
        <v>#NAME?</v>
      </c>
      <c r="F119" s="523" t="e">
        <f ca="1">gr(données_step[[#This Row],[D_QMIN]])</f>
        <v>#NAME?</v>
      </c>
      <c r="G119" s="523" t="e">
        <f ca="1">gr(données_step[[#This Row],[D_QMAX]])</f>
        <v>#NAME?</v>
      </c>
      <c r="H119" s="501" t="e">
        <f ca="1">gr(données_step[[#This Row],[D_PLUIE]])</f>
        <v>#NAME?</v>
      </c>
    </row>
    <row r="120" spans="1:8" x14ac:dyDescent="0.2">
      <c r="A120" s="222">
        <f>calculs!A120</f>
        <v>44671</v>
      </c>
      <c r="B120" s="523" t="e">
        <f ca="1">gr(données_step[[#This Row],[D_QDEVE]])</f>
        <v>#NAME?</v>
      </c>
      <c r="C120" s="523" t="e">
        <f ca="1">gr(données_step[[#This Row],[D_QTRAI]])</f>
        <v>#NAME?</v>
      </c>
      <c r="D120" s="523" t="e">
        <f ca="1">gr(données_step[[#This Row],[D_QDEVDP]])</f>
        <v>#NAME?</v>
      </c>
      <c r="E120" s="523" t="e">
        <f ca="1">gr(données_step[[#This Row],[D_QTRAI2]])</f>
        <v>#NAME?</v>
      </c>
      <c r="F120" s="523" t="e">
        <f ca="1">gr(données_step[[#This Row],[D_QMIN]])</f>
        <v>#NAME?</v>
      </c>
      <c r="G120" s="523" t="e">
        <f ca="1">gr(données_step[[#This Row],[D_QMAX]])</f>
        <v>#NAME?</v>
      </c>
      <c r="H120" s="501" t="e">
        <f ca="1">gr(données_step[[#This Row],[D_PLUIE]])</f>
        <v>#NAME?</v>
      </c>
    </row>
    <row r="121" spans="1:8" x14ac:dyDescent="0.2">
      <c r="A121" s="222">
        <f>calculs!A121</f>
        <v>44672</v>
      </c>
      <c r="B121" s="523" t="e">
        <f ca="1">gr(données_step[[#This Row],[D_QDEVE]])</f>
        <v>#NAME?</v>
      </c>
      <c r="C121" s="523" t="e">
        <f ca="1">gr(données_step[[#This Row],[D_QTRAI]])</f>
        <v>#NAME?</v>
      </c>
      <c r="D121" s="523" t="e">
        <f ca="1">gr(données_step[[#This Row],[D_QDEVDP]])</f>
        <v>#NAME?</v>
      </c>
      <c r="E121" s="523" t="e">
        <f ca="1">gr(données_step[[#This Row],[D_QTRAI2]])</f>
        <v>#NAME?</v>
      </c>
      <c r="F121" s="523" t="e">
        <f ca="1">gr(données_step[[#This Row],[D_QMIN]])</f>
        <v>#NAME?</v>
      </c>
      <c r="G121" s="523" t="e">
        <f ca="1">gr(données_step[[#This Row],[D_QMAX]])</f>
        <v>#NAME?</v>
      </c>
      <c r="H121" s="501" t="e">
        <f ca="1">gr(données_step[[#This Row],[D_PLUIE]])</f>
        <v>#NAME?</v>
      </c>
    </row>
    <row r="122" spans="1:8" x14ac:dyDescent="0.2">
      <c r="A122" s="222">
        <f>calculs!A122</f>
        <v>44673</v>
      </c>
      <c r="B122" s="523" t="e">
        <f ca="1">gr(données_step[[#This Row],[D_QDEVE]])</f>
        <v>#NAME?</v>
      </c>
      <c r="C122" s="523" t="e">
        <f ca="1">gr(données_step[[#This Row],[D_QTRAI]])</f>
        <v>#NAME?</v>
      </c>
      <c r="D122" s="523" t="e">
        <f ca="1">gr(données_step[[#This Row],[D_QDEVDP]])</f>
        <v>#NAME?</v>
      </c>
      <c r="E122" s="523" t="e">
        <f ca="1">gr(données_step[[#This Row],[D_QTRAI2]])</f>
        <v>#NAME?</v>
      </c>
      <c r="F122" s="523" t="e">
        <f ca="1">gr(données_step[[#This Row],[D_QMIN]])</f>
        <v>#NAME?</v>
      </c>
      <c r="G122" s="523" t="e">
        <f ca="1">gr(données_step[[#This Row],[D_QMAX]])</f>
        <v>#NAME?</v>
      </c>
      <c r="H122" s="501" t="e">
        <f ca="1">gr(données_step[[#This Row],[D_PLUIE]])</f>
        <v>#NAME?</v>
      </c>
    </row>
    <row r="123" spans="1:8" x14ac:dyDescent="0.2">
      <c r="A123" s="222">
        <f>calculs!A123</f>
        <v>44674</v>
      </c>
      <c r="B123" s="523" t="e">
        <f ca="1">gr(données_step[[#This Row],[D_QDEVE]])</f>
        <v>#NAME?</v>
      </c>
      <c r="C123" s="523" t="e">
        <f ca="1">gr(données_step[[#This Row],[D_QTRAI]])</f>
        <v>#NAME?</v>
      </c>
      <c r="D123" s="523" t="e">
        <f ca="1">gr(données_step[[#This Row],[D_QDEVDP]])</f>
        <v>#NAME?</v>
      </c>
      <c r="E123" s="523" t="e">
        <f ca="1">gr(données_step[[#This Row],[D_QTRAI2]])</f>
        <v>#NAME?</v>
      </c>
      <c r="F123" s="523" t="e">
        <f ca="1">gr(données_step[[#This Row],[D_QMIN]])</f>
        <v>#NAME?</v>
      </c>
      <c r="G123" s="523" t="e">
        <f ca="1">gr(données_step[[#This Row],[D_QMAX]])</f>
        <v>#NAME?</v>
      </c>
      <c r="H123" s="501" t="e">
        <f ca="1">gr(données_step[[#This Row],[D_PLUIE]])</f>
        <v>#NAME?</v>
      </c>
    </row>
    <row r="124" spans="1:8" x14ac:dyDescent="0.2">
      <c r="A124" s="222">
        <f>calculs!A124</f>
        <v>44675</v>
      </c>
      <c r="B124" s="523" t="e">
        <f ca="1">gr(données_step[[#This Row],[D_QDEVE]])</f>
        <v>#NAME?</v>
      </c>
      <c r="C124" s="523" t="e">
        <f ca="1">gr(données_step[[#This Row],[D_QTRAI]])</f>
        <v>#NAME?</v>
      </c>
      <c r="D124" s="523" t="e">
        <f ca="1">gr(données_step[[#This Row],[D_QDEVDP]])</f>
        <v>#NAME?</v>
      </c>
      <c r="E124" s="523" t="e">
        <f ca="1">gr(données_step[[#This Row],[D_QTRAI2]])</f>
        <v>#NAME?</v>
      </c>
      <c r="F124" s="523" t="e">
        <f ca="1">gr(données_step[[#This Row],[D_QMIN]])</f>
        <v>#NAME?</v>
      </c>
      <c r="G124" s="523" t="e">
        <f ca="1">gr(données_step[[#This Row],[D_QMAX]])</f>
        <v>#NAME?</v>
      </c>
      <c r="H124" s="501" t="e">
        <f ca="1">gr(données_step[[#This Row],[D_PLUIE]])</f>
        <v>#NAME?</v>
      </c>
    </row>
    <row r="125" spans="1:8" x14ac:dyDescent="0.2">
      <c r="A125" s="222">
        <f>calculs!A125</f>
        <v>44676</v>
      </c>
      <c r="B125" s="523" t="e">
        <f ca="1">gr(données_step[[#This Row],[D_QDEVE]])</f>
        <v>#NAME?</v>
      </c>
      <c r="C125" s="523" t="e">
        <f ca="1">gr(données_step[[#This Row],[D_QTRAI]])</f>
        <v>#NAME?</v>
      </c>
      <c r="D125" s="523" t="e">
        <f ca="1">gr(données_step[[#This Row],[D_QDEVDP]])</f>
        <v>#NAME?</v>
      </c>
      <c r="E125" s="523" t="e">
        <f ca="1">gr(données_step[[#This Row],[D_QTRAI2]])</f>
        <v>#NAME?</v>
      </c>
      <c r="F125" s="523" t="e">
        <f ca="1">gr(données_step[[#This Row],[D_QMIN]])</f>
        <v>#NAME?</v>
      </c>
      <c r="G125" s="523" t="e">
        <f ca="1">gr(données_step[[#This Row],[D_QMAX]])</f>
        <v>#NAME?</v>
      </c>
      <c r="H125" s="501" t="e">
        <f ca="1">gr(données_step[[#This Row],[D_PLUIE]])</f>
        <v>#NAME?</v>
      </c>
    </row>
    <row r="126" spans="1:8" x14ac:dyDescent="0.2">
      <c r="A126" s="222">
        <f>calculs!A126</f>
        <v>44677</v>
      </c>
      <c r="B126" s="523" t="e">
        <f ca="1">gr(données_step[[#This Row],[D_QDEVE]])</f>
        <v>#NAME?</v>
      </c>
      <c r="C126" s="523" t="e">
        <f ca="1">gr(données_step[[#This Row],[D_QTRAI]])</f>
        <v>#NAME?</v>
      </c>
      <c r="D126" s="523" t="e">
        <f ca="1">gr(données_step[[#This Row],[D_QDEVDP]])</f>
        <v>#NAME?</v>
      </c>
      <c r="E126" s="523" t="e">
        <f ca="1">gr(données_step[[#This Row],[D_QTRAI2]])</f>
        <v>#NAME?</v>
      </c>
      <c r="F126" s="523" t="e">
        <f ca="1">gr(données_step[[#This Row],[D_QMIN]])</f>
        <v>#NAME?</v>
      </c>
      <c r="G126" s="523" t="e">
        <f ca="1">gr(données_step[[#This Row],[D_QMAX]])</f>
        <v>#NAME?</v>
      </c>
      <c r="H126" s="501" t="e">
        <f ca="1">gr(données_step[[#This Row],[D_PLUIE]])</f>
        <v>#NAME?</v>
      </c>
    </row>
    <row r="127" spans="1:8" x14ac:dyDescent="0.2">
      <c r="A127" s="222">
        <f>calculs!A127</f>
        <v>44678</v>
      </c>
      <c r="B127" s="523" t="e">
        <f ca="1">gr(données_step[[#This Row],[D_QDEVE]])</f>
        <v>#NAME?</v>
      </c>
      <c r="C127" s="523" t="e">
        <f ca="1">gr(données_step[[#This Row],[D_QTRAI]])</f>
        <v>#NAME?</v>
      </c>
      <c r="D127" s="523" t="e">
        <f ca="1">gr(données_step[[#This Row],[D_QDEVDP]])</f>
        <v>#NAME?</v>
      </c>
      <c r="E127" s="523" t="e">
        <f ca="1">gr(données_step[[#This Row],[D_QTRAI2]])</f>
        <v>#NAME?</v>
      </c>
      <c r="F127" s="523" t="e">
        <f ca="1">gr(données_step[[#This Row],[D_QMIN]])</f>
        <v>#NAME?</v>
      </c>
      <c r="G127" s="523" t="e">
        <f ca="1">gr(données_step[[#This Row],[D_QMAX]])</f>
        <v>#NAME?</v>
      </c>
      <c r="H127" s="501" t="e">
        <f ca="1">gr(données_step[[#This Row],[D_PLUIE]])</f>
        <v>#NAME?</v>
      </c>
    </row>
    <row r="128" spans="1:8" x14ac:dyDescent="0.2">
      <c r="A128" s="222">
        <f>calculs!A128</f>
        <v>44679</v>
      </c>
      <c r="B128" s="523" t="e">
        <f ca="1">gr(données_step[[#This Row],[D_QDEVE]])</f>
        <v>#NAME?</v>
      </c>
      <c r="C128" s="523" t="e">
        <f ca="1">gr(données_step[[#This Row],[D_QTRAI]])</f>
        <v>#NAME?</v>
      </c>
      <c r="D128" s="523" t="e">
        <f ca="1">gr(données_step[[#This Row],[D_QDEVDP]])</f>
        <v>#NAME?</v>
      </c>
      <c r="E128" s="523" t="e">
        <f ca="1">gr(données_step[[#This Row],[D_QTRAI2]])</f>
        <v>#NAME?</v>
      </c>
      <c r="F128" s="523" t="e">
        <f ca="1">gr(données_step[[#This Row],[D_QMIN]])</f>
        <v>#NAME?</v>
      </c>
      <c r="G128" s="523" t="e">
        <f ca="1">gr(données_step[[#This Row],[D_QMAX]])</f>
        <v>#NAME?</v>
      </c>
      <c r="H128" s="501" t="e">
        <f ca="1">gr(données_step[[#This Row],[D_PLUIE]])</f>
        <v>#NAME?</v>
      </c>
    </row>
    <row r="129" spans="1:8" x14ac:dyDescent="0.2">
      <c r="A129" s="222">
        <f>calculs!A129</f>
        <v>44680</v>
      </c>
      <c r="B129" s="523" t="e">
        <f ca="1">gr(données_step[[#This Row],[D_QDEVE]])</f>
        <v>#NAME?</v>
      </c>
      <c r="C129" s="523" t="e">
        <f ca="1">gr(données_step[[#This Row],[D_QTRAI]])</f>
        <v>#NAME?</v>
      </c>
      <c r="D129" s="523" t="e">
        <f ca="1">gr(données_step[[#This Row],[D_QDEVDP]])</f>
        <v>#NAME?</v>
      </c>
      <c r="E129" s="523" t="e">
        <f ca="1">gr(données_step[[#This Row],[D_QTRAI2]])</f>
        <v>#NAME?</v>
      </c>
      <c r="F129" s="523" t="e">
        <f ca="1">gr(données_step[[#This Row],[D_QMIN]])</f>
        <v>#NAME?</v>
      </c>
      <c r="G129" s="523" t="e">
        <f ca="1">gr(données_step[[#This Row],[D_QMAX]])</f>
        <v>#NAME?</v>
      </c>
      <c r="H129" s="501" t="e">
        <f ca="1">gr(données_step[[#This Row],[D_PLUIE]])</f>
        <v>#NAME?</v>
      </c>
    </row>
    <row r="130" spans="1:8" x14ac:dyDescent="0.2">
      <c r="A130" s="222">
        <f>calculs!A130</f>
        <v>44681</v>
      </c>
      <c r="B130" s="523" t="e">
        <f ca="1">gr(données_step[[#This Row],[D_QDEVE]])</f>
        <v>#NAME?</v>
      </c>
      <c r="C130" s="523" t="e">
        <f ca="1">gr(données_step[[#This Row],[D_QTRAI]])</f>
        <v>#NAME?</v>
      </c>
      <c r="D130" s="523" t="e">
        <f ca="1">gr(données_step[[#This Row],[D_QDEVDP]])</f>
        <v>#NAME?</v>
      </c>
      <c r="E130" s="523" t="e">
        <f ca="1">gr(données_step[[#This Row],[D_QTRAI2]])</f>
        <v>#NAME?</v>
      </c>
      <c r="F130" s="523" t="e">
        <f ca="1">gr(données_step[[#This Row],[D_QMIN]])</f>
        <v>#NAME?</v>
      </c>
      <c r="G130" s="523" t="e">
        <f ca="1">gr(données_step[[#This Row],[D_QMAX]])</f>
        <v>#NAME?</v>
      </c>
      <c r="H130" s="501" t="e">
        <f ca="1">gr(données_step[[#This Row],[D_PLUIE]])</f>
        <v>#NAME?</v>
      </c>
    </row>
    <row r="131" spans="1:8" x14ac:dyDescent="0.2">
      <c r="A131" s="222">
        <f>calculs!A131</f>
        <v>44682</v>
      </c>
      <c r="B131" s="523" t="e">
        <f ca="1">gr(données_step[[#This Row],[D_QDEVE]])</f>
        <v>#NAME?</v>
      </c>
      <c r="C131" s="523" t="e">
        <f ca="1">gr(données_step[[#This Row],[D_QTRAI]])</f>
        <v>#NAME?</v>
      </c>
      <c r="D131" s="523" t="e">
        <f ca="1">gr(données_step[[#This Row],[D_QDEVDP]])</f>
        <v>#NAME?</v>
      </c>
      <c r="E131" s="523" t="e">
        <f ca="1">gr(données_step[[#This Row],[D_QTRAI2]])</f>
        <v>#NAME?</v>
      </c>
      <c r="F131" s="523" t="e">
        <f ca="1">gr(données_step[[#This Row],[D_QMIN]])</f>
        <v>#NAME?</v>
      </c>
      <c r="G131" s="523" t="e">
        <f ca="1">gr(données_step[[#This Row],[D_QMAX]])</f>
        <v>#NAME?</v>
      </c>
      <c r="H131" s="501" t="e">
        <f ca="1">gr(données_step[[#This Row],[D_PLUIE]])</f>
        <v>#NAME?</v>
      </c>
    </row>
    <row r="132" spans="1:8" x14ac:dyDescent="0.2">
      <c r="A132" s="222">
        <f>calculs!A132</f>
        <v>44683</v>
      </c>
      <c r="B132" s="523" t="e">
        <f ca="1">gr(données_step[[#This Row],[D_QDEVE]])</f>
        <v>#NAME?</v>
      </c>
      <c r="C132" s="523" t="e">
        <f ca="1">gr(données_step[[#This Row],[D_QTRAI]])</f>
        <v>#NAME?</v>
      </c>
      <c r="D132" s="523" t="e">
        <f ca="1">gr(données_step[[#This Row],[D_QDEVDP]])</f>
        <v>#NAME?</v>
      </c>
      <c r="E132" s="523" t="e">
        <f ca="1">gr(données_step[[#This Row],[D_QTRAI2]])</f>
        <v>#NAME?</v>
      </c>
      <c r="F132" s="523" t="e">
        <f ca="1">gr(données_step[[#This Row],[D_QMIN]])</f>
        <v>#NAME?</v>
      </c>
      <c r="G132" s="523" t="e">
        <f ca="1">gr(données_step[[#This Row],[D_QMAX]])</f>
        <v>#NAME?</v>
      </c>
      <c r="H132" s="501" t="e">
        <f ca="1">gr(données_step[[#This Row],[D_PLUIE]])</f>
        <v>#NAME?</v>
      </c>
    </row>
    <row r="133" spans="1:8" x14ac:dyDescent="0.2">
      <c r="A133" s="222">
        <f>calculs!A133</f>
        <v>44684</v>
      </c>
      <c r="B133" s="523" t="e">
        <f ca="1">gr(données_step[[#This Row],[D_QDEVE]])</f>
        <v>#NAME?</v>
      </c>
      <c r="C133" s="523" t="e">
        <f ca="1">gr(données_step[[#This Row],[D_QTRAI]])</f>
        <v>#NAME?</v>
      </c>
      <c r="D133" s="523" t="e">
        <f ca="1">gr(données_step[[#This Row],[D_QDEVDP]])</f>
        <v>#NAME?</v>
      </c>
      <c r="E133" s="523" t="e">
        <f ca="1">gr(données_step[[#This Row],[D_QTRAI2]])</f>
        <v>#NAME?</v>
      </c>
      <c r="F133" s="523" t="e">
        <f ca="1">gr(données_step[[#This Row],[D_QMIN]])</f>
        <v>#NAME?</v>
      </c>
      <c r="G133" s="523" t="e">
        <f ca="1">gr(données_step[[#This Row],[D_QMAX]])</f>
        <v>#NAME?</v>
      </c>
      <c r="H133" s="501" t="e">
        <f ca="1">gr(données_step[[#This Row],[D_PLUIE]])</f>
        <v>#NAME?</v>
      </c>
    </row>
    <row r="134" spans="1:8" x14ac:dyDescent="0.2">
      <c r="A134" s="222">
        <f>calculs!A134</f>
        <v>44685</v>
      </c>
      <c r="B134" s="523" t="e">
        <f ca="1">gr(données_step[[#This Row],[D_QDEVE]])</f>
        <v>#NAME?</v>
      </c>
      <c r="C134" s="523" t="e">
        <f ca="1">gr(données_step[[#This Row],[D_QTRAI]])</f>
        <v>#NAME?</v>
      </c>
      <c r="D134" s="523" t="e">
        <f ca="1">gr(données_step[[#This Row],[D_QDEVDP]])</f>
        <v>#NAME?</v>
      </c>
      <c r="E134" s="523" t="e">
        <f ca="1">gr(données_step[[#This Row],[D_QTRAI2]])</f>
        <v>#NAME?</v>
      </c>
      <c r="F134" s="523" t="e">
        <f ca="1">gr(données_step[[#This Row],[D_QMIN]])</f>
        <v>#NAME?</v>
      </c>
      <c r="G134" s="523" t="e">
        <f ca="1">gr(données_step[[#This Row],[D_QMAX]])</f>
        <v>#NAME?</v>
      </c>
      <c r="H134" s="501" t="e">
        <f ca="1">gr(données_step[[#This Row],[D_PLUIE]])</f>
        <v>#NAME?</v>
      </c>
    </row>
    <row r="135" spans="1:8" x14ac:dyDescent="0.2">
      <c r="A135" s="222">
        <f>calculs!A135</f>
        <v>44686</v>
      </c>
      <c r="B135" s="523" t="e">
        <f ca="1">gr(données_step[[#This Row],[D_QDEVE]])</f>
        <v>#NAME?</v>
      </c>
      <c r="C135" s="523" t="e">
        <f ca="1">gr(données_step[[#This Row],[D_QTRAI]])</f>
        <v>#NAME?</v>
      </c>
      <c r="D135" s="523" t="e">
        <f ca="1">gr(données_step[[#This Row],[D_QDEVDP]])</f>
        <v>#NAME?</v>
      </c>
      <c r="E135" s="523" t="e">
        <f ca="1">gr(données_step[[#This Row],[D_QTRAI2]])</f>
        <v>#NAME?</v>
      </c>
      <c r="F135" s="523" t="e">
        <f ca="1">gr(données_step[[#This Row],[D_QMIN]])</f>
        <v>#NAME?</v>
      </c>
      <c r="G135" s="523" t="e">
        <f ca="1">gr(données_step[[#This Row],[D_QMAX]])</f>
        <v>#NAME?</v>
      </c>
      <c r="H135" s="501" t="e">
        <f ca="1">gr(données_step[[#This Row],[D_PLUIE]])</f>
        <v>#NAME?</v>
      </c>
    </row>
    <row r="136" spans="1:8" x14ac:dyDescent="0.2">
      <c r="A136" s="222">
        <f>calculs!A136</f>
        <v>44687</v>
      </c>
      <c r="B136" s="523" t="e">
        <f ca="1">gr(données_step[[#This Row],[D_QDEVE]])</f>
        <v>#NAME?</v>
      </c>
      <c r="C136" s="523" t="e">
        <f ca="1">gr(données_step[[#This Row],[D_QTRAI]])</f>
        <v>#NAME?</v>
      </c>
      <c r="D136" s="523" t="e">
        <f ca="1">gr(données_step[[#This Row],[D_QDEVDP]])</f>
        <v>#NAME?</v>
      </c>
      <c r="E136" s="523" t="e">
        <f ca="1">gr(données_step[[#This Row],[D_QTRAI2]])</f>
        <v>#NAME?</v>
      </c>
      <c r="F136" s="523" t="e">
        <f ca="1">gr(données_step[[#This Row],[D_QMIN]])</f>
        <v>#NAME?</v>
      </c>
      <c r="G136" s="523" t="e">
        <f ca="1">gr(données_step[[#This Row],[D_QMAX]])</f>
        <v>#NAME?</v>
      </c>
      <c r="H136" s="501" t="e">
        <f ca="1">gr(données_step[[#This Row],[D_PLUIE]])</f>
        <v>#NAME?</v>
      </c>
    </row>
    <row r="137" spans="1:8" x14ac:dyDescent="0.2">
      <c r="A137" s="222">
        <f>calculs!A137</f>
        <v>44688</v>
      </c>
      <c r="B137" s="523" t="e">
        <f ca="1">gr(données_step[[#This Row],[D_QDEVE]])</f>
        <v>#NAME?</v>
      </c>
      <c r="C137" s="523" t="e">
        <f ca="1">gr(données_step[[#This Row],[D_QTRAI]])</f>
        <v>#NAME?</v>
      </c>
      <c r="D137" s="523" t="e">
        <f ca="1">gr(données_step[[#This Row],[D_QDEVDP]])</f>
        <v>#NAME?</v>
      </c>
      <c r="E137" s="523" t="e">
        <f ca="1">gr(données_step[[#This Row],[D_QTRAI2]])</f>
        <v>#NAME?</v>
      </c>
      <c r="F137" s="523" t="e">
        <f ca="1">gr(données_step[[#This Row],[D_QMIN]])</f>
        <v>#NAME?</v>
      </c>
      <c r="G137" s="523" t="e">
        <f ca="1">gr(données_step[[#This Row],[D_QMAX]])</f>
        <v>#NAME?</v>
      </c>
      <c r="H137" s="501" t="e">
        <f ca="1">gr(données_step[[#This Row],[D_PLUIE]])</f>
        <v>#NAME?</v>
      </c>
    </row>
    <row r="138" spans="1:8" x14ac:dyDescent="0.2">
      <c r="A138" s="222">
        <f>calculs!A138</f>
        <v>44689</v>
      </c>
      <c r="B138" s="523" t="e">
        <f ca="1">gr(données_step[[#This Row],[D_QDEVE]])</f>
        <v>#NAME?</v>
      </c>
      <c r="C138" s="523" t="e">
        <f ca="1">gr(données_step[[#This Row],[D_QTRAI]])</f>
        <v>#NAME?</v>
      </c>
      <c r="D138" s="523" t="e">
        <f ca="1">gr(données_step[[#This Row],[D_QDEVDP]])</f>
        <v>#NAME?</v>
      </c>
      <c r="E138" s="523" t="e">
        <f ca="1">gr(données_step[[#This Row],[D_QTRAI2]])</f>
        <v>#NAME?</v>
      </c>
      <c r="F138" s="523" t="e">
        <f ca="1">gr(données_step[[#This Row],[D_QMIN]])</f>
        <v>#NAME?</v>
      </c>
      <c r="G138" s="523" t="e">
        <f ca="1">gr(données_step[[#This Row],[D_QMAX]])</f>
        <v>#NAME?</v>
      </c>
      <c r="H138" s="501" t="e">
        <f ca="1">gr(données_step[[#This Row],[D_PLUIE]])</f>
        <v>#NAME?</v>
      </c>
    </row>
    <row r="139" spans="1:8" x14ac:dyDescent="0.2">
      <c r="A139" s="222">
        <f>calculs!A139</f>
        <v>44690</v>
      </c>
      <c r="B139" s="523" t="e">
        <f ca="1">gr(données_step[[#This Row],[D_QDEVE]])</f>
        <v>#NAME?</v>
      </c>
      <c r="C139" s="523" t="e">
        <f ca="1">gr(données_step[[#This Row],[D_QTRAI]])</f>
        <v>#NAME?</v>
      </c>
      <c r="D139" s="523" t="e">
        <f ca="1">gr(données_step[[#This Row],[D_QDEVDP]])</f>
        <v>#NAME?</v>
      </c>
      <c r="E139" s="523" t="e">
        <f ca="1">gr(données_step[[#This Row],[D_QTRAI2]])</f>
        <v>#NAME?</v>
      </c>
      <c r="F139" s="523" t="e">
        <f ca="1">gr(données_step[[#This Row],[D_QMIN]])</f>
        <v>#NAME?</v>
      </c>
      <c r="G139" s="523" t="e">
        <f ca="1">gr(données_step[[#This Row],[D_QMAX]])</f>
        <v>#NAME?</v>
      </c>
      <c r="H139" s="501" t="e">
        <f ca="1">gr(données_step[[#This Row],[D_PLUIE]])</f>
        <v>#NAME?</v>
      </c>
    </row>
    <row r="140" spans="1:8" x14ac:dyDescent="0.2">
      <c r="A140" s="222">
        <f>calculs!A140</f>
        <v>44691</v>
      </c>
      <c r="B140" s="523" t="e">
        <f ca="1">gr(données_step[[#This Row],[D_QDEVE]])</f>
        <v>#NAME?</v>
      </c>
      <c r="C140" s="523" t="e">
        <f ca="1">gr(données_step[[#This Row],[D_QTRAI]])</f>
        <v>#NAME?</v>
      </c>
      <c r="D140" s="523" t="e">
        <f ca="1">gr(données_step[[#This Row],[D_QDEVDP]])</f>
        <v>#NAME?</v>
      </c>
      <c r="E140" s="523" t="e">
        <f ca="1">gr(données_step[[#This Row],[D_QTRAI2]])</f>
        <v>#NAME?</v>
      </c>
      <c r="F140" s="523" t="e">
        <f ca="1">gr(données_step[[#This Row],[D_QMIN]])</f>
        <v>#NAME?</v>
      </c>
      <c r="G140" s="523" t="e">
        <f ca="1">gr(données_step[[#This Row],[D_QMAX]])</f>
        <v>#NAME?</v>
      </c>
      <c r="H140" s="501" t="e">
        <f ca="1">gr(données_step[[#This Row],[D_PLUIE]])</f>
        <v>#NAME?</v>
      </c>
    </row>
    <row r="141" spans="1:8" x14ac:dyDescent="0.2">
      <c r="A141" s="222">
        <f>calculs!A141</f>
        <v>44692</v>
      </c>
      <c r="B141" s="523" t="e">
        <f ca="1">gr(données_step[[#This Row],[D_QDEVE]])</f>
        <v>#NAME?</v>
      </c>
      <c r="C141" s="523" t="e">
        <f ca="1">gr(données_step[[#This Row],[D_QTRAI]])</f>
        <v>#NAME?</v>
      </c>
      <c r="D141" s="523" t="e">
        <f ca="1">gr(données_step[[#This Row],[D_QDEVDP]])</f>
        <v>#NAME?</v>
      </c>
      <c r="E141" s="523" t="e">
        <f ca="1">gr(données_step[[#This Row],[D_QTRAI2]])</f>
        <v>#NAME?</v>
      </c>
      <c r="F141" s="523" t="e">
        <f ca="1">gr(données_step[[#This Row],[D_QMIN]])</f>
        <v>#NAME?</v>
      </c>
      <c r="G141" s="523" t="e">
        <f ca="1">gr(données_step[[#This Row],[D_QMAX]])</f>
        <v>#NAME?</v>
      </c>
      <c r="H141" s="501" t="e">
        <f ca="1">gr(données_step[[#This Row],[D_PLUIE]])</f>
        <v>#NAME?</v>
      </c>
    </row>
    <row r="142" spans="1:8" x14ac:dyDescent="0.2">
      <c r="A142" s="222">
        <f>calculs!A142</f>
        <v>44693</v>
      </c>
      <c r="B142" s="523" t="e">
        <f ca="1">gr(données_step[[#This Row],[D_QDEVE]])</f>
        <v>#NAME?</v>
      </c>
      <c r="C142" s="523" t="e">
        <f ca="1">gr(données_step[[#This Row],[D_QTRAI]])</f>
        <v>#NAME?</v>
      </c>
      <c r="D142" s="523" t="e">
        <f ca="1">gr(données_step[[#This Row],[D_QDEVDP]])</f>
        <v>#NAME?</v>
      </c>
      <c r="E142" s="523" t="e">
        <f ca="1">gr(données_step[[#This Row],[D_QTRAI2]])</f>
        <v>#NAME?</v>
      </c>
      <c r="F142" s="523" t="e">
        <f ca="1">gr(données_step[[#This Row],[D_QMIN]])</f>
        <v>#NAME?</v>
      </c>
      <c r="G142" s="523" t="e">
        <f ca="1">gr(données_step[[#This Row],[D_QMAX]])</f>
        <v>#NAME?</v>
      </c>
      <c r="H142" s="501" t="e">
        <f ca="1">gr(données_step[[#This Row],[D_PLUIE]])</f>
        <v>#NAME?</v>
      </c>
    </row>
    <row r="143" spans="1:8" x14ac:dyDescent="0.2">
      <c r="A143" s="222">
        <f>calculs!A143</f>
        <v>44694</v>
      </c>
      <c r="B143" s="523" t="e">
        <f ca="1">gr(données_step[[#This Row],[D_QDEVE]])</f>
        <v>#NAME?</v>
      </c>
      <c r="C143" s="523" t="e">
        <f ca="1">gr(données_step[[#This Row],[D_QTRAI]])</f>
        <v>#NAME?</v>
      </c>
      <c r="D143" s="523" t="e">
        <f ca="1">gr(données_step[[#This Row],[D_QDEVDP]])</f>
        <v>#NAME?</v>
      </c>
      <c r="E143" s="523" t="e">
        <f ca="1">gr(données_step[[#This Row],[D_QTRAI2]])</f>
        <v>#NAME?</v>
      </c>
      <c r="F143" s="523" t="e">
        <f ca="1">gr(données_step[[#This Row],[D_QMIN]])</f>
        <v>#NAME?</v>
      </c>
      <c r="G143" s="523" t="e">
        <f ca="1">gr(données_step[[#This Row],[D_QMAX]])</f>
        <v>#NAME?</v>
      </c>
      <c r="H143" s="501" t="e">
        <f ca="1">gr(données_step[[#This Row],[D_PLUIE]])</f>
        <v>#NAME?</v>
      </c>
    </row>
    <row r="144" spans="1:8" x14ac:dyDescent="0.2">
      <c r="A144" s="222">
        <f>calculs!A144</f>
        <v>44695</v>
      </c>
      <c r="B144" s="523" t="e">
        <f ca="1">gr(données_step[[#This Row],[D_QDEVE]])</f>
        <v>#NAME?</v>
      </c>
      <c r="C144" s="523" t="e">
        <f ca="1">gr(données_step[[#This Row],[D_QTRAI]])</f>
        <v>#NAME?</v>
      </c>
      <c r="D144" s="523" t="e">
        <f ca="1">gr(données_step[[#This Row],[D_QDEVDP]])</f>
        <v>#NAME?</v>
      </c>
      <c r="E144" s="523" t="e">
        <f ca="1">gr(données_step[[#This Row],[D_QTRAI2]])</f>
        <v>#NAME?</v>
      </c>
      <c r="F144" s="523" t="e">
        <f ca="1">gr(données_step[[#This Row],[D_QMIN]])</f>
        <v>#NAME?</v>
      </c>
      <c r="G144" s="523" t="e">
        <f ca="1">gr(données_step[[#This Row],[D_QMAX]])</f>
        <v>#NAME?</v>
      </c>
      <c r="H144" s="501" t="e">
        <f ca="1">gr(données_step[[#This Row],[D_PLUIE]])</f>
        <v>#NAME?</v>
      </c>
    </row>
    <row r="145" spans="1:8" x14ac:dyDescent="0.2">
      <c r="A145" s="222">
        <f>calculs!A145</f>
        <v>44696</v>
      </c>
      <c r="B145" s="523" t="e">
        <f ca="1">gr(données_step[[#This Row],[D_QDEVE]])</f>
        <v>#NAME?</v>
      </c>
      <c r="C145" s="523" t="e">
        <f ca="1">gr(données_step[[#This Row],[D_QTRAI]])</f>
        <v>#NAME?</v>
      </c>
      <c r="D145" s="523" t="e">
        <f ca="1">gr(données_step[[#This Row],[D_QDEVDP]])</f>
        <v>#NAME?</v>
      </c>
      <c r="E145" s="523" t="e">
        <f ca="1">gr(données_step[[#This Row],[D_QTRAI2]])</f>
        <v>#NAME?</v>
      </c>
      <c r="F145" s="523" t="e">
        <f ca="1">gr(données_step[[#This Row],[D_QMIN]])</f>
        <v>#NAME?</v>
      </c>
      <c r="G145" s="523" t="e">
        <f ca="1">gr(données_step[[#This Row],[D_QMAX]])</f>
        <v>#NAME?</v>
      </c>
      <c r="H145" s="501" t="e">
        <f ca="1">gr(données_step[[#This Row],[D_PLUIE]])</f>
        <v>#NAME?</v>
      </c>
    </row>
    <row r="146" spans="1:8" x14ac:dyDescent="0.2">
      <c r="A146" s="222">
        <f>calculs!A146</f>
        <v>44697</v>
      </c>
      <c r="B146" s="523" t="e">
        <f ca="1">gr(données_step[[#This Row],[D_QDEVE]])</f>
        <v>#NAME?</v>
      </c>
      <c r="C146" s="523" t="e">
        <f ca="1">gr(données_step[[#This Row],[D_QTRAI]])</f>
        <v>#NAME?</v>
      </c>
      <c r="D146" s="523" t="e">
        <f ca="1">gr(données_step[[#This Row],[D_QDEVDP]])</f>
        <v>#NAME?</v>
      </c>
      <c r="E146" s="523" t="e">
        <f ca="1">gr(données_step[[#This Row],[D_QTRAI2]])</f>
        <v>#NAME?</v>
      </c>
      <c r="F146" s="523" t="e">
        <f ca="1">gr(données_step[[#This Row],[D_QMIN]])</f>
        <v>#NAME?</v>
      </c>
      <c r="G146" s="523" t="e">
        <f ca="1">gr(données_step[[#This Row],[D_QMAX]])</f>
        <v>#NAME?</v>
      </c>
      <c r="H146" s="501" t="e">
        <f ca="1">gr(données_step[[#This Row],[D_PLUIE]])</f>
        <v>#NAME?</v>
      </c>
    </row>
    <row r="147" spans="1:8" x14ac:dyDescent="0.2">
      <c r="A147" s="222">
        <f>calculs!A147</f>
        <v>44698</v>
      </c>
      <c r="B147" s="523" t="e">
        <f ca="1">gr(données_step[[#This Row],[D_QDEVE]])</f>
        <v>#NAME?</v>
      </c>
      <c r="C147" s="523" t="e">
        <f ca="1">gr(données_step[[#This Row],[D_QTRAI]])</f>
        <v>#NAME?</v>
      </c>
      <c r="D147" s="523" t="e">
        <f ca="1">gr(données_step[[#This Row],[D_QDEVDP]])</f>
        <v>#NAME?</v>
      </c>
      <c r="E147" s="523" t="e">
        <f ca="1">gr(données_step[[#This Row],[D_QTRAI2]])</f>
        <v>#NAME?</v>
      </c>
      <c r="F147" s="523" t="e">
        <f ca="1">gr(données_step[[#This Row],[D_QMIN]])</f>
        <v>#NAME?</v>
      </c>
      <c r="G147" s="523" t="e">
        <f ca="1">gr(données_step[[#This Row],[D_QMAX]])</f>
        <v>#NAME?</v>
      </c>
      <c r="H147" s="501" t="e">
        <f ca="1">gr(données_step[[#This Row],[D_PLUIE]])</f>
        <v>#NAME?</v>
      </c>
    </row>
    <row r="148" spans="1:8" x14ac:dyDescent="0.2">
      <c r="A148" s="222">
        <f>calculs!A148</f>
        <v>44699</v>
      </c>
      <c r="B148" s="523" t="e">
        <f ca="1">gr(données_step[[#This Row],[D_QDEVE]])</f>
        <v>#NAME?</v>
      </c>
      <c r="C148" s="523" t="e">
        <f ca="1">gr(données_step[[#This Row],[D_QTRAI]])</f>
        <v>#NAME?</v>
      </c>
      <c r="D148" s="523" t="e">
        <f ca="1">gr(données_step[[#This Row],[D_QDEVDP]])</f>
        <v>#NAME?</v>
      </c>
      <c r="E148" s="523" t="e">
        <f ca="1">gr(données_step[[#This Row],[D_QTRAI2]])</f>
        <v>#NAME?</v>
      </c>
      <c r="F148" s="523" t="e">
        <f ca="1">gr(données_step[[#This Row],[D_QMIN]])</f>
        <v>#NAME?</v>
      </c>
      <c r="G148" s="523" t="e">
        <f ca="1">gr(données_step[[#This Row],[D_QMAX]])</f>
        <v>#NAME?</v>
      </c>
      <c r="H148" s="501" t="e">
        <f ca="1">gr(données_step[[#This Row],[D_PLUIE]])</f>
        <v>#NAME?</v>
      </c>
    </row>
    <row r="149" spans="1:8" x14ac:dyDescent="0.2">
      <c r="A149" s="222">
        <f>calculs!A149</f>
        <v>44700</v>
      </c>
      <c r="B149" s="523" t="e">
        <f ca="1">gr(données_step[[#This Row],[D_QDEVE]])</f>
        <v>#NAME?</v>
      </c>
      <c r="C149" s="523" t="e">
        <f ca="1">gr(données_step[[#This Row],[D_QTRAI]])</f>
        <v>#NAME?</v>
      </c>
      <c r="D149" s="523" t="e">
        <f ca="1">gr(données_step[[#This Row],[D_QDEVDP]])</f>
        <v>#NAME?</v>
      </c>
      <c r="E149" s="523" t="e">
        <f ca="1">gr(données_step[[#This Row],[D_QTRAI2]])</f>
        <v>#NAME?</v>
      </c>
      <c r="F149" s="523" t="e">
        <f ca="1">gr(données_step[[#This Row],[D_QMIN]])</f>
        <v>#NAME?</v>
      </c>
      <c r="G149" s="523" t="e">
        <f ca="1">gr(données_step[[#This Row],[D_QMAX]])</f>
        <v>#NAME?</v>
      </c>
      <c r="H149" s="501" t="e">
        <f ca="1">gr(données_step[[#This Row],[D_PLUIE]])</f>
        <v>#NAME?</v>
      </c>
    </row>
    <row r="150" spans="1:8" x14ac:dyDescent="0.2">
      <c r="A150" s="222">
        <f>calculs!A150</f>
        <v>44701</v>
      </c>
      <c r="B150" s="523" t="e">
        <f ca="1">gr(données_step[[#This Row],[D_QDEVE]])</f>
        <v>#NAME?</v>
      </c>
      <c r="C150" s="523" t="e">
        <f ca="1">gr(données_step[[#This Row],[D_QTRAI]])</f>
        <v>#NAME?</v>
      </c>
      <c r="D150" s="523" t="e">
        <f ca="1">gr(données_step[[#This Row],[D_QDEVDP]])</f>
        <v>#NAME?</v>
      </c>
      <c r="E150" s="523" t="e">
        <f ca="1">gr(données_step[[#This Row],[D_QTRAI2]])</f>
        <v>#NAME?</v>
      </c>
      <c r="F150" s="523" t="e">
        <f ca="1">gr(données_step[[#This Row],[D_QMIN]])</f>
        <v>#NAME?</v>
      </c>
      <c r="G150" s="523" t="e">
        <f ca="1">gr(données_step[[#This Row],[D_QMAX]])</f>
        <v>#NAME?</v>
      </c>
      <c r="H150" s="501" t="e">
        <f ca="1">gr(données_step[[#This Row],[D_PLUIE]])</f>
        <v>#NAME?</v>
      </c>
    </row>
    <row r="151" spans="1:8" x14ac:dyDescent="0.2">
      <c r="A151" s="222">
        <f>calculs!A151</f>
        <v>44702</v>
      </c>
      <c r="B151" s="523" t="e">
        <f ca="1">gr(données_step[[#This Row],[D_QDEVE]])</f>
        <v>#NAME?</v>
      </c>
      <c r="C151" s="523" t="e">
        <f ca="1">gr(données_step[[#This Row],[D_QTRAI]])</f>
        <v>#NAME?</v>
      </c>
      <c r="D151" s="523" t="e">
        <f ca="1">gr(données_step[[#This Row],[D_QDEVDP]])</f>
        <v>#NAME?</v>
      </c>
      <c r="E151" s="523" t="e">
        <f ca="1">gr(données_step[[#This Row],[D_QTRAI2]])</f>
        <v>#NAME?</v>
      </c>
      <c r="F151" s="523" t="e">
        <f ca="1">gr(données_step[[#This Row],[D_QMIN]])</f>
        <v>#NAME?</v>
      </c>
      <c r="G151" s="523" t="e">
        <f ca="1">gr(données_step[[#This Row],[D_QMAX]])</f>
        <v>#NAME?</v>
      </c>
      <c r="H151" s="501" t="e">
        <f ca="1">gr(données_step[[#This Row],[D_PLUIE]])</f>
        <v>#NAME?</v>
      </c>
    </row>
    <row r="152" spans="1:8" x14ac:dyDescent="0.2">
      <c r="A152" s="222">
        <f>calculs!A152</f>
        <v>44703</v>
      </c>
      <c r="B152" s="523" t="e">
        <f ca="1">gr(données_step[[#This Row],[D_QDEVE]])</f>
        <v>#NAME?</v>
      </c>
      <c r="C152" s="523" t="e">
        <f ca="1">gr(données_step[[#This Row],[D_QTRAI]])</f>
        <v>#NAME?</v>
      </c>
      <c r="D152" s="523" t="e">
        <f ca="1">gr(données_step[[#This Row],[D_QDEVDP]])</f>
        <v>#NAME?</v>
      </c>
      <c r="E152" s="523" t="e">
        <f ca="1">gr(données_step[[#This Row],[D_QTRAI2]])</f>
        <v>#NAME?</v>
      </c>
      <c r="F152" s="523" t="e">
        <f ca="1">gr(données_step[[#This Row],[D_QMIN]])</f>
        <v>#NAME?</v>
      </c>
      <c r="G152" s="523" t="e">
        <f ca="1">gr(données_step[[#This Row],[D_QMAX]])</f>
        <v>#NAME?</v>
      </c>
      <c r="H152" s="501" t="e">
        <f ca="1">gr(données_step[[#This Row],[D_PLUIE]])</f>
        <v>#NAME?</v>
      </c>
    </row>
    <row r="153" spans="1:8" x14ac:dyDescent="0.2">
      <c r="A153" s="222">
        <f>calculs!A153</f>
        <v>44704</v>
      </c>
      <c r="B153" s="523" t="e">
        <f ca="1">gr(données_step[[#This Row],[D_QDEVE]])</f>
        <v>#NAME?</v>
      </c>
      <c r="C153" s="523" t="e">
        <f ca="1">gr(données_step[[#This Row],[D_QTRAI]])</f>
        <v>#NAME?</v>
      </c>
      <c r="D153" s="523" t="e">
        <f ca="1">gr(données_step[[#This Row],[D_QDEVDP]])</f>
        <v>#NAME?</v>
      </c>
      <c r="E153" s="523" t="e">
        <f ca="1">gr(données_step[[#This Row],[D_QTRAI2]])</f>
        <v>#NAME?</v>
      </c>
      <c r="F153" s="523" t="e">
        <f ca="1">gr(données_step[[#This Row],[D_QMIN]])</f>
        <v>#NAME?</v>
      </c>
      <c r="G153" s="523" t="e">
        <f ca="1">gr(données_step[[#This Row],[D_QMAX]])</f>
        <v>#NAME?</v>
      </c>
      <c r="H153" s="501" t="e">
        <f ca="1">gr(données_step[[#This Row],[D_PLUIE]])</f>
        <v>#NAME?</v>
      </c>
    </row>
    <row r="154" spans="1:8" x14ac:dyDescent="0.2">
      <c r="A154" s="222">
        <f>calculs!A154</f>
        <v>44705</v>
      </c>
      <c r="B154" s="523" t="e">
        <f ca="1">gr(données_step[[#This Row],[D_QDEVE]])</f>
        <v>#NAME?</v>
      </c>
      <c r="C154" s="523" t="e">
        <f ca="1">gr(données_step[[#This Row],[D_QTRAI]])</f>
        <v>#NAME?</v>
      </c>
      <c r="D154" s="523" t="e">
        <f ca="1">gr(données_step[[#This Row],[D_QDEVDP]])</f>
        <v>#NAME?</v>
      </c>
      <c r="E154" s="523" t="e">
        <f ca="1">gr(données_step[[#This Row],[D_QTRAI2]])</f>
        <v>#NAME?</v>
      </c>
      <c r="F154" s="523" t="e">
        <f ca="1">gr(données_step[[#This Row],[D_QMIN]])</f>
        <v>#NAME?</v>
      </c>
      <c r="G154" s="523" t="e">
        <f ca="1">gr(données_step[[#This Row],[D_QMAX]])</f>
        <v>#NAME?</v>
      </c>
      <c r="H154" s="501" t="e">
        <f ca="1">gr(données_step[[#This Row],[D_PLUIE]])</f>
        <v>#NAME?</v>
      </c>
    </row>
    <row r="155" spans="1:8" x14ac:dyDescent="0.2">
      <c r="A155" s="222">
        <f>calculs!A155</f>
        <v>44706</v>
      </c>
      <c r="B155" s="523" t="e">
        <f ca="1">gr(données_step[[#This Row],[D_QDEVE]])</f>
        <v>#NAME?</v>
      </c>
      <c r="C155" s="523" t="e">
        <f ca="1">gr(données_step[[#This Row],[D_QTRAI]])</f>
        <v>#NAME?</v>
      </c>
      <c r="D155" s="523" t="e">
        <f ca="1">gr(données_step[[#This Row],[D_QDEVDP]])</f>
        <v>#NAME?</v>
      </c>
      <c r="E155" s="523" t="e">
        <f ca="1">gr(données_step[[#This Row],[D_QTRAI2]])</f>
        <v>#NAME?</v>
      </c>
      <c r="F155" s="523" t="e">
        <f ca="1">gr(données_step[[#This Row],[D_QMIN]])</f>
        <v>#NAME?</v>
      </c>
      <c r="G155" s="523" t="e">
        <f ca="1">gr(données_step[[#This Row],[D_QMAX]])</f>
        <v>#NAME?</v>
      </c>
      <c r="H155" s="501" t="e">
        <f ca="1">gr(données_step[[#This Row],[D_PLUIE]])</f>
        <v>#NAME?</v>
      </c>
    </row>
    <row r="156" spans="1:8" x14ac:dyDescent="0.2">
      <c r="A156" s="222">
        <f>calculs!A156</f>
        <v>44707</v>
      </c>
      <c r="B156" s="523" t="e">
        <f ca="1">gr(données_step[[#This Row],[D_QDEVE]])</f>
        <v>#NAME?</v>
      </c>
      <c r="C156" s="523" t="e">
        <f ca="1">gr(données_step[[#This Row],[D_QTRAI]])</f>
        <v>#NAME?</v>
      </c>
      <c r="D156" s="523" t="e">
        <f ca="1">gr(données_step[[#This Row],[D_QDEVDP]])</f>
        <v>#NAME?</v>
      </c>
      <c r="E156" s="523" t="e">
        <f ca="1">gr(données_step[[#This Row],[D_QTRAI2]])</f>
        <v>#NAME?</v>
      </c>
      <c r="F156" s="523" t="e">
        <f ca="1">gr(données_step[[#This Row],[D_QMIN]])</f>
        <v>#NAME?</v>
      </c>
      <c r="G156" s="523" t="e">
        <f ca="1">gr(données_step[[#This Row],[D_QMAX]])</f>
        <v>#NAME?</v>
      </c>
      <c r="H156" s="501" t="e">
        <f ca="1">gr(données_step[[#This Row],[D_PLUIE]])</f>
        <v>#NAME?</v>
      </c>
    </row>
    <row r="157" spans="1:8" x14ac:dyDescent="0.2">
      <c r="A157" s="222">
        <f>calculs!A157</f>
        <v>44708</v>
      </c>
      <c r="B157" s="523" t="e">
        <f ca="1">gr(données_step[[#This Row],[D_QDEVE]])</f>
        <v>#NAME?</v>
      </c>
      <c r="C157" s="523" t="e">
        <f ca="1">gr(données_step[[#This Row],[D_QTRAI]])</f>
        <v>#NAME?</v>
      </c>
      <c r="D157" s="523" t="e">
        <f ca="1">gr(données_step[[#This Row],[D_QDEVDP]])</f>
        <v>#NAME?</v>
      </c>
      <c r="E157" s="523" t="e">
        <f ca="1">gr(données_step[[#This Row],[D_QTRAI2]])</f>
        <v>#NAME?</v>
      </c>
      <c r="F157" s="523" t="e">
        <f ca="1">gr(données_step[[#This Row],[D_QMIN]])</f>
        <v>#NAME?</v>
      </c>
      <c r="G157" s="523" t="e">
        <f ca="1">gr(données_step[[#This Row],[D_QMAX]])</f>
        <v>#NAME?</v>
      </c>
      <c r="H157" s="501" t="e">
        <f ca="1">gr(données_step[[#This Row],[D_PLUIE]])</f>
        <v>#NAME?</v>
      </c>
    </row>
    <row r="158" spans="1:8" x14ac:dyDescent="0.2">
      <c r="A158" s="222">
        <f>calculs!A158</f>
        <v>44709</v>
      </c>
      <c r="B158" s="523" t="e">
        <f ca="1">gr(données_step[[#This Row],[D_QDEVE]])</f>
        <v>#NAME?</v>
      </c>
      <c r="C158" s="523" t="e">
        <f ca="1">gr(données_step[[#This Row],[D_QTRAI]])</f>
        <v>#NAME?</v>
      </c>
      <c r="D158" s="523" t="e">
        <f ca="1">gr(données_step[[#This Row],[D_QDEVDP]])</f>
        <v>#NAME?</v>
      </c>
      <c r="E158" s="523" t="e">
        <f ca="1">gr(données_step[[#This Row],[D_QTRAI2]])</f>
        <v>#NAME?</v>
      </c>
      <c r="F158" s="523" t="e">
        <f ca="1">gr(données_step[[#This Row],[D_QMIN]])</f>
        <v>#NAME?</v>
      </c>
      <c r="G158" s="523" t="e">
        <f ca="1">gr(données_step[[#This Row],[D_QMAX]])</f>
        <v>#NAME?</v>
      </c>
      <c r="H158" s="501" t="e">
        <f ca="1">gr(données_step[[#This Row],[D_PLUIE]])</f>
        <v>#NAME?</v>
      </c>
    </row>
    <row r="159" spans="1:8" x14ac:dyDescent="0.2">
      <c r="A159" s="222">
        <f>calculs!A159</f>
        <v>44710</v>
      </c>
      <c r="B159" s="523" t="e">
        <f ca="1">gr(données_step[[#This Row],[D_QDEVE]])</f>
        <v>#NAME?</v>
      </c>
      <c r="C159" s="523" t="e">
        <f ca="1">gr(données_step[[#This Row],[D_QTRAI]])</f>
        <v>#NAME?</v>
      </c>
      <c r="D159" s="523" t="e">
        <f ca="1">gr(données_step[[#This Row],[D_QDEVDP]])</f>
        <v>#NAME?</v>
      </c>
      <c r="E159" s="523" t="e">
        <f ca="1">gr(données_step[[#This Row],[D_QTRAI2]])</f>
        <v>#NAME?</v>
      </c>
      <c r="F159" s="523" t="e">
        <f ca="1">gr(données_step[[#This Row],[D_QMIN]])</f>
        <v>#NAME?</v>
      </c>
      <c r="G159" s="523" t="e">
        <f ca="1">gr(données_step[[#This Row],[D_QMAX]])</f>
        <v>#NAME?</v>
      </c>
      <c r="H159" s="501" t="e">
        <f ca="1">gr(données_step[[#This Row],[D_PLUIE]])</f>
        <v>#NAME?</v>
      </c>
    </row>
    <row r="160" spans="1:8" x14ac:dyDescent="0.2">
      <c r="A160" s="222">
        <f>calculs!A160</f>
        <v>44711</v>
      </c>
      <c r="B160" s="523" t="e">
        <f ca="1">gr(données_step[[#This Row],[D_QDEVE]])</f>
        <v>#NAME?</v>
      </c>
      <c r="C160" s="523" t="e">
        <f ca="1">gr(données_step[[#This Row],[D_QTRAI]])</f>
        <v>#NAME?</v>
      </c>
      <c r="D160" s="523" t="e">
        <f ca="1">gr(données_step[[#This Row],[D_QDEVDP]])</f>
        <v>#NAME?</v>
      </c>
      <c r="E160" s="523" t="e">
        <f ca="1">gr(données_step[[#This Row],[D_QTRAI2]])</f>
        <v>#NAME?</v>
      </c>
      <c r="F160" s="523" t="e">
        <f ca="1">gr(données_step[[#This Row],[D_QMIN]])</f>
        <v>#NAME?</v>
      </c>
      <c r="G160" s="523" t="e">
        <f ca="1">gr(données_step[[#This Row],[D_QMAX]])</f>
        <v>#NAME?</v>
      </c>
      <c r="H160" s="501" t="e">
        <f ca="1">gr(données_step[[#This Row],[D_PLUIE]])</f>
        <v>#NAME?</v>
      </c>
    </row>
    <row r="161" spans="1:8" x14ac:dyDescent="0.2">
      <c r="A161" s="222">
        <f>calculs!A161</f>
        <v>44712</v>
      </c>
      <c r="B161" s="523" t="e">
        <f ca="1">gr(données_step[[#This Row],[D_QDEVE]])</f>
        <v>#NAME?</v>
      </c>
      <c r="C161" s="523" t="e">
        <f ca="1">gr(données_step[[#This Row],[D_QTRAI]])</f>
        <v>#NAME?</v>
      </c>
      <c r="D161" s="523" t="e">
        <f ca="1">gr(données_step[[#This Row],[D_QDEVDP]])</f>
        <v>#NAME?</v>
      </c>
      <c r="E161" s="523" t="e">
        <f ca="1">gr(données_step[[#This Row],[D_QTRAI2]])</f>
        <v>#NAME?</v>
      </c>
      <c r="F161" s="523" t="e">
        <f ca="1">gr(données_step[[#This Row],[D_QMIN]])</f>
        <v>#NAME?</v>
      </c>
      <c r="G161" s="523" t="e">
        <f ca="1">gr(données_step[[#This Row],[D_QMAX]])</f>
        <v>#NAME?</v>
      </c>
      <c r="H161" s="501" t="e">
        <f ca="1">gr(données_step[[#This Row],[D_PLUIE]])</f>
        <v>#NAME?</v>
      </c>
    </row>
    <row r="162" spans="1:8" x14ac:dyDescent="0.2">
      <c r="A162" s="222">
        <f>calculs!A162</f>
        <v>44713</v>
      </c>
      <c r="B162" s="523" t="e">
        <f ca="1">gr(données_step[[#This Row],[D_QDEVE]])</f>
        <v>#NAME?</v>
      </c>
      <c r="C162" s="523" t="e">
        <f ca="1">gr(données_step[[#This Row],[D_QTRAI]])</f>
        <v>#NAME?</v>
      </c>
      <c r="D162" s="523" t="e">
        <f ca="1">gr(données_step[[#This Row],[D_QDEVDP]])</f>
        <v>#NAME?</v>
      </c>
      <c r="E162" s="523" t="e">
        <f ca="1">gr(données_step[[#This Row],[D_QTRAI2]])</f>
        <v>#NAME?</v>
      </c>
      <c r="F162" s="523" t="e">
        <f ca="1">gr(données_step[[#This Row],[D_QMIN]])</f>
        <v>#NAME?</v>
      </c>
      <c r="G162" s="523" t="e">
        <f ca="1">gr(données_step[[#This Row],[D_QMAX]])</f>
        <v>#NAME?</v>
      </c>
      <c r="H162" s="501" t="e">
        <f ca="1">gr(données_step[[#This Row],[D_PLUIE]])</f>
        <v>#NAME?</v>
      </c>
    </row>
    <row r="163" spans="1:8" x14ac:dyDescent="0.2">
      <c r="A163" s="222">
        <f>calculs!A163</f>
        <v>44714</v>
      </c>
      <c r="B163" s="523" t="e">
        <f ca="1">gr(données_step[[#This Row],[D_QDEVE]])</f>
        <v>#NAME?</v>
      </c>
      <c r="C163" s="523" t="e">
        <f ca="1">gr(données_step[[#This Row],[D_QTRAI]])</f>
        <v>#NAME?</v>
      </c>
      <c r="D163" s="523" t="e">
        <f ca="1">gr(données_step[[#This Row],[D_QDEVDP]])</f>
        <v>#NAME?</v>
      </c>
      <c r="E163" s="523" t="e">
        <f ca="1">gr(données_step[[#This Row],[D_QTRAI2]])</f>
        <v>#NAME?</v>
      </c>
      <c r="F163" s="523" t="e">
        <f ca="1">gr(données_step[[#This Row],[D_QMIN]])</f>
        <v>#NAME?</v>
      </c>
      <c r="G163" s="523" t="e">
        <f ca="1">gr(données_step[[#This Row],[D_QMAX]])</f>
        <v>#NAME?</v>
      </c>
      <c r="H163" s="501" t="e">
        <f ca="1">gr(données_step[[#This Row],[D_PLUIE]])</f>
        <v>#NAME?</v>
      </c>
    </row>
    <row r="164" spans="1:8" x14ac:dyDescent="0.2">
      <c r="A164" s="222">
        <f>calculs!A164</f>
        <v>44715</v>
      </c>
      <c r="B164" s="523" t="e">
        <f ca="1">gr(données_step[[#This Row],[D_QDEVE]])</f>
        <v>#NAME?</v>
      </c>
      <c r="C164" s="523" t="e">
        <f ca="1">gr(données_step[[#This Row],[D_QTRAI]])</f>
        <v>#NAME?</v>
      </c>
      <c r="D164" s="523" t="e">
        <f ca="1">gr(données_step[[#This Row],[D_QDEVDP]])</f>
        <v>#NAME?</v>
      </c>
      <c r="E164" s="523" t="e">
        <f ca="1">gr(données_step[[#This Row],[D_QTRAI2]])</f>
        <v>#NAME?</v>
      </c>
      <c r="F164" s="523" t="e">
        <f ca="1">gr(données_step[[#This Row],[D_QMIN]])</f>
        <v>#NAME?</v>
      </c>
      <c r="G164" s="523" t="e">
        <f ca="1">gr(données_step[[#This Row],[D_QMAX]])</f>
        <v>#NAME?</v>
      </c>
      <c r="H164" s="501" t="e">
        <f ca="1">gr(données_step[[#This Row],[D_PLUIE]])</f>
        <v>#NAME?</v>
      </c>
    </row>
    <row r="165" spans="1:8" x14ac:dyDescent="0.2">
      <c r="A165" s="222">
        <f>calculs!A165</f>
        <v>44716</v>
      </c>
      <c r="B165" s="523" t="e">
        <f ca="1">gr(données_step[[#This Row],[D_QDEVE]])</f>
        <v>#NAME?</v>
      </c>
      <c r="C165" s="523" t="e">
        <f ca="1">gr(données_step[[#This Row],[D_QTRAI]])</f>
        <v>#NAME?</v>
      </c>
      <c r="D165" s="523" t="e">
        <f ca="1">gr(données_step[[#This Row],[D_QDEVDP]])</f>
        <v>#NAME?</v>
      </c>
      <c r="E165" s="523" t="e">
        <f ca="1">gr(données_step[[#This Row],[D_QTRAI2]])</f>
        <v>#NAME?</v>
      </c>
      <c r="F165" s="523" t="e">
        <f ca="1">gr(données_step[[#This Row],[D_QMIN]])</f>
        <v>#NAME?</v>
      </c>
      <c r="G165" s="523" t="e">
        <f ca="1">gr(données_step[[#This Row],[D_QMAX]])</f>
        <v>#NAME?</v>
      </c>
      <c r="H165" s="501" t="e">
        <f ca="1">gr(données_step[[#This Row],[D_PLUIE]])</f>
        <v>#NAME?</v>
      </c>
    </row>
    <row r="166" spans="1:8" x14ac:dyDescent="0.2">
      <c r="A166" s="222">
        <f>calculs!A166</f>
        <v>44717</v>
      </c>
      <c r="B166" s="523" t="e">
        <f ca="1">gr(données_step[[#This Row],[D_QDEVE]])</f>
        <v>#NAME?</v>
      </c>
      <c r="C166" s="523" t="e">
        <f ca="1">gr(données_step[[#This Row],[D_QTRAI]])</f>
        <v>#NAME?</v>
      </c>
      <c r="D166" s="523" t="e">
        <f ca="1">gr(données_step[[#This Row],[D_QDEVDP]])</f>
        <v>#NAME?</v>
      </c>
      <c r="E166" s="523" t="e">
        <f ca="1">gr(données_step[[#This Row],[D_QTRAI2]])</f>
        <v>#NAME?</v>
      </c>
      <c r="F166" s="523" t="e">
        <f ca="1">gr(données_step[[#This Row],[D_QMIN]])</f>
        <v>#NAME?</v>
      </c>
      <c r="G166" s="523" t="e">
        <f ca="1">gr(données_step[[#This Row],[D_QMAX]])</f>
        <v>#NAME?</v>
      </c>
      <c r="H166" s="501" t="e">
        <f ca="1">gr(données_step[[#This Row],[D_PLUIE]])</f>
        <v>#NAME?</v>
      </c>
    </row>
    <row r="167" spans="1:8" x14ac:dyDescent="0.2">
      <c r="A167" s="222">
        <f>calculs!A167</f>
        <v>44718</v>
      </c>
      <c r="B167" s="523" t="e">
        <f ca="1">gr(données_step[[#This Row],[D_QDEVE]])</f>
        <v>#NAME?</v>
      </c>
      <c r="C167" s="523" t="e">
        <f ca="1">gr(données_step[[#This Row],[D_QTRAI]])</f>
        <v>#NAME?</v>
      </c>
      <c r="D167" s="523" t="e">
        <f ca="1">gr(données_step[[#This Row],[D_QDEVDP]])</f>
        <v>#NAME?</v>
      </c>
      <c r="E167" s="523" t="e">
        <f ca="1">gr(données_step[[#This Row],[D_QTRAI2]])</f>
        <v>#NAME?</v>
      </c>
      <c r="F167" s="523" t="e">
        <f ca="1">gr(données_step[[#This Row],[D_QMIN]])</f>
        <v>#NAME?</v>
      </c>
      <c r="G167" s="523" t="e">
        <f ca="1">gr(données_step[[#This Row],[D_QMAX]])</f>
        <v>#NAME?</v>
      </c>
      <c r="H167" s="501" t="e">
        <f ca="1">gr(données_step[[#This Row],[D_PLUIE]])</f>
        <v>#NAME?</v>
      </c>
    </row>
    <row r="168" spans="1:8" x14ac:dyDescent="0.2">
      <c r="A168" s="222">
        <f>calculs!A168</f>
        <v>44719</v>
      </c>
      <c r="B168" s="523" t="e">
        <f ca="1">gr(données_step[[#This Row],[D_QDEVE]])</f>
        <v>#NAME?</v>
      </c>
      <c r="C168" s="523" t="e">
        <f ca="1">gr(données_step[[#This Row],[D_QTRAI]])</f>
        <v>#NAME?</v>
      </c>
      <c r="D168" s="523" t="e">
        <f ca="1">gr(données_step[[#This Row],[D_QDEVDP]])</f>
        <v>#NAME?</v>
      </c>
      <c r="E168" s="523" t="e">
        <f ca="1">gr(données_step[[#This Row],[D_QTRAI2]])</f>
        <v>#NAME?</v>
      </c>
      <c r="F168" s="523" t="e">
        <f ca="1">gr(données_step[[#This Row],[D_QMIN]])</f>
        <v>#NAME?</v>
      </c>
      <c r="G168" s="523" t="e">
        <f ca="1">gr(données_step[[#This Row],[D_QMAX]])</f>
        <v>#NAME?</v>
      </c>
      <c r="H168" s="501" t="e">
        <f ca="1">gr(données_step[[#This Row],[D_PLUIE]])</f>
        <v>#NAME?</v>
      </c>
    </row>
    <row r="169" spans="1:8" x14ac:dyDescent="0.2">
      <c r="A169" s="222">
        <f>calculs!A169</f>
        <v>44720</v>
      </c>
      <c r="B169" s="523" t="e">
        <f ca="1">gr(données_step[[#This Row],[D_QDEVE]])</f>
        <v>#NAME?</v>
      </c>
      <c r="C169" s="523" t="e">
        <f ca="1">gr(données_step[[#This Row],[D_QTRAI]])</f>
        <v>#NAME?</v>
      </c>
      <c r="D169" s="523" t="e">
        <f ca="1">gr(données_step[[#This Row],[D_QDEVDP]])</f>
        <v>#NAME?</v>
      </c>
      <c r="E169" s="523" t="e">
        <f ca="1">gr(données_step[[#This Row],[D_QTRAI2]])</f>
        <v>#NAME?</v>
      </c>
      <c r="F169" s="523" t="e">
        <f ca="1">gr(données_step[[#This Row],[D_QMIN]])</f>
        <v>#NAME?</v>
      </c>
      <c r="G169" s="523" t="e">
        <f ca="1">gr(données_step[[#This Row],[D_QMAX]])</f>
        <v>#NAME?</v>
      </c>
      <c r="H169" s="501" t="e">
        <f ca="1">gr(données_step[[#This Row],[D_PLUIE]])</f>
        <v>#NAME?</v>
      </c>
    </row>
    <row r="170" spans="1:8" x14ac:dyDescent="0.2">
      <c r="A170" s="222">
        <f>calculs!A170</f>
        <v>44721</v>
      </c>
      <c r="B170" s="523" t="e">
        <f ca="1">gr(données_step[[#This Row],[D_QDEVE]])</f>
        <v>#NAME?</v>
      </c>
      <c r="C170" s="523" t="e">
        <f ca="1">gr(données_step[[#This Row],[D_QTRAI]])</f>
        <v>#NAME?</v>
      </c>
      <c r="D170" s="523" t="e">
        <f ca="1">gr(données_step[[#This Row],[D_QDEVDP]])</f>
        <v>#NAME?</v>
      </c>
      <c r="E170" s="523" t="e">
        <f ca="1">gr(données_step[[#This Row],[D_QTRAI2]])</f>
        <v>#NAME?</v>
      </c>
      <c r="F170" s="523" t="e">
        <f ca="1">gr(données_step[[#This Row],[D_QMIN]])</f>
        <v>#NAME?</v>
      </c>
      <c r="G170" s="523" t="e">
        <f ca="1">gr(données_step[[#This Row],[D_QMAX]])</f>
        <v>#NAME?</v>
      </c>
      <c r="H170" s="501" t="e">
        <f ca="1">gr(données_step[[#This Row],[D_PLUIE]])</f>
        <v>#NAME?</v>
      </c>
    </row>
    <row r="171" spans="1:8" x14ac:dyDescent="0.2">
      <c r="A171" s="222">
        <f>calculs!A171</f>
        <v>44722</v>
      </c>
      <c r="B171" s="523" t="e">
        <f ca="1">gr(données_step[[#This Row],[D_QDEVE]])</f>
        <v>#NAME?</v>
      </c>
      <c r="C171" s="523" t="e">
        <f ca="1">gr(données_step[[#This Row],[D_QTRAI]])</f>
        <v>#NAME?</v>
      </c>
      <c r="D171" s="523" t="e">
        <f ca="1">gr(données_step[[#This Row],[D_QDEVDP]])</f>
        <v>#NAME?</v>
      </c>
      <c r="E171" s="523" t="e">
        <f ca="1">gr(données_step[[#This Row],[D_QTRAI2]])</f>
        <v>#NAME?</v>
      </c>
      <c r="F171" s="523" t="e">
        <f ca="1">gr(données_step[[#This Row],[D_QMIN]])</f>
        <v>#NAME?</v>
      </c>
      <c r="G171" s="523" t="e">
        <f ca="1">gr(données_step[[#This Row],[D_QMAX]])</f>
        <v>#NAME?</v>
      </c>
      <c r="H171" s="501" t="e">
        <f ca="1">gr(données_step[[#This Row],[D_PLUIE]])</f>
        <v>#NAME?</v>
      </c>
    </row>
    <row r="172" spans="1:8" x14ac:dyDescent="0.2">
      <c r="A172" s="222">
        <f>calculs!A172</f>
        <v>44723</v>
      </c>
      <c r="B172" s="523" t="e">
        <f ca="1">gr(données_step[[#This Row],[D_QDEVE]])</f>
        <v>#NAME?</v>
      </c>
      <c r="C172" s="523" t="e">
        <f ca="1">gr(données_step[[#This Row],[D_QTRAI]])</f>
        <v>#NAME?</v>
      </c>
      <c r="D172" s="523" t="e">
        <f ca="1">gr(données_step[[#This Row],[D_QDEVDP]])</f>
        <v>#NAME?</v>
      </c>
      <c r="E172" s="523" t="e">
        <f ca="1">gr(données_step[[#This Row],[D_QTRAI2]])</f>
        <v>#NAME?</v>
      </c>
      <c r="F172" s="523" t="e">
        <f ca="1">gr(données_step[[#This Row],[D_QMIN]])</f>
        <v>#NAME?</v>
      </c>
      <c r="G172" s="523" t="e">
        <f ca="1">gr(données_step[[#This Row],[D_QMAX]])</f>
        <v>#NAME?</v>
      </c>
      <c r="H172" s="501" t="e">
        <f ca="1">gr(données_step[[#This Row],[D_PLUIE]])</f>
        <v>#NAME?</v>
      </c>
    </row>
    <row r="173" spans="1:8" x14ac:dyDescent="0.2">
      <c r="A173" s="222">
        <f>calculs!A173</f>
        <v>44724</v>
      </c>
      <c r="B173" s="523" t="e">
        <f ca="1">gr(données_step[[#This Row],[D_QDEVE]])</f>
        <v>#NAME?</v>
      </c>
      <c r="C173" s="523" t="e">
        <f ca="1">gr(données_step[[#This Row],[D_QTRAI]])</f>
        <v>#NAME?</v>
      </c>
      <c r="D173" s="523" t="e">
        <f ca="1">gr(données_step[[#This Row],[D_QDEVDP]])</f>
        <v>#NAME?</v>
      </c>
      <c r="E173" s="523" t="e">
        <f ca="1">gr(données_step[[#This Row],[D_QTRAI2]])</f>
        <v>#NAME?</v>
      </c>
      <c r="F173" s="523" t="e">
        <f ca="1">gr(données_step[[#This Row],[D_QMIN]])</f>
        <v>#NAME?</v>
      </c>
      <c r="G173" s="523" t="e">
        <f ca="1">gr(données_step[[#This Row],[D_QMAX]])</f>
        <v>#NAME?</v>
      </c>
      <c r="H173" s="501" t="e">
        <f ca="1">gr(données_step[[#This Row],[D_PLUIE]])</f>
        <v>#NAME?</v>
      </c>
    </row>
    <row r="174" spans="1:8" x14ac:dyDescent="0.2">
      <c r="A174" s="222">
        <f>calculs!A174</f>
        <v>44725</v>
      </c>
      <c r="B174" s="523" t="e">
        <f ca="1">gr(données_step[[#This Row],[D_QDEVE]])</f>
        <v>#NAME?</v>
      </c>
      <c r="C174" s="523" t="e">
        <f ca="1">gr(données_step[[#This Row],[D_QTRAI]])</f>
        <v>#NAME?</v>
      </c>
      <c r="D174" s="523" t="e">
        <f ca="1">gr(données_step[[#This Row],[D_QDEVDP]])</f>
        <v>#NAME?</v>
      </c>
      <c r="E174" s="523" t="e">
        <f ca="1">gr(données_step[[#This Row],[D_QTRAI2]])</f>
        <v>#NAME?</v>
      </c>
      <c r="F174" s="523" t="e">
        <f ca="1">gr(données_step[[#This Row],[D_QMIN]])</f>
        <v>#NAME?</v>
      </c>
      <c r="G174" s="523" t="e">
        <f ca="1">gr(données_step[[#This Row],[D_QMAX]])</f>
        <v>#NAME?</v>
      </c>
      <c r="H174" s="501" t="e">
        <f ca="1">gr(données_step[[#This Row],[D_PLUIE]])</f>
        <v>#NAME?</v>
      </c>
    </row>
    <row r="175" spans="1:8" x14ac:dyDescent="0.2">
      <c r="A175" s="222">
        <f>calculs!A175</f>
        <v>44726</v>
      </c>
      <c r="B175" s="523" t="e">
        <f ca="1">gr(données_step[[#This Row],[D_QDEVE]])</f>
        <v>#NAME?</v>
      </c>
      <c r="C175" s="523" t="e">
        <f ca="1">gr(données_step[[#This Row],[D_QTRAI]])</f>
        <v>#NAME?</v>
      </c>
      <c r="D175" s="523" t="e">
        <f ca="1">gr(données_step[[#This Row],[D_QDEVDP]])</f>
        <v>#NAME?</v>
      </c>
      <c r="E175" s="523" t="e">
        <f ca="1">gr(données_step[[#This Row],[D_QTRAI2]])</f>
        <v>#NAME?</v>
      </c>
      <c r="F175" s="523" t="e">
        <f ca="1">gr(données_step[[#This Row],[D_QMIN]])</f>
        <v>#NAME?</v>
      </c>
      <c r="G175" s="523" t="e">
        <f ca="1">gr(données_step[[#This Row],[D_QMAX]])</f>
        <v>#NAME?</v>
      </c>
      <c r="H175" s="501" t="e">
        <f ca="1">gr(données_step[[#This Row],[D_PLUIE]])</f>
        <v>#NAME?</v>
      </c>
    </row>
    <row r="176" spans="1:8" x14ac:dyDescent="0.2">
      <c r="A176" s="222">
        <f>calculs!A176</f>
        <v>44727</v>
      </c>
      <c r="B176" s="523" t="e">
        <f ca="1">gr(données_step[[#This Row],[D_QDEVE]])</f>
        <v>#NAME?</v>
      </c>
      <c r="C176" s="523" t="e">
        <f ca="1">gr(données_step[[#This Row],[D_QTRAI]])</f>
        <v>#NAME?</v>
      </c>
      <c r="D176" s="523" t="e">
        <f ca="1">gr(données_step[[#This Row],[D_QDEVDP]])</f>
        <v>#NAME?</v>
      </c>
      <c r="E176" s="523" t="e">
        <f ca="1">gr(données_step[[#This Row],[D_QTRAI2]])</f>
        <v>#NAME?</v>
      </c>
      <c r="F176" s="523" t="e">
        <f ca="1">gr(données_step[[#This Row],[D_QMIN]])</f>
        <v>#NAME?</v>
      </c>
      <c r="G176" s="523" t="e">
        <f ca="1">gr(données_step[[#This Row],[D_QMAX]])</f>
        <v>#NAME?</v>
      </c>
      <c r="H176" s="501" t="e">
        <f ca="1">gr(données_step[[#This Row],[D_PLUIE]])</f>
        <v>#NAME?</v>
      </c>
    </row>
    <row r="177" spans="1:8" x14ac:dyDescent="0.2">
      <c r="A177" s="222">
        <f>calculs!A177</f>
        <v>44728</v>
      </c>
      <c r="B177" s="523" t="e">
        <f ca="1">gr(données_step[[#This Row],[D_QDEVE]])</f>
        <v>#NAME?</v>
      </c>
      <c r="C177" s="523" t="e">
        <f ca="1">gr(données_step[[#This Row],[D_QTRAI]])</f>
        <v>#NAME?</v>
      </c>
      <c r="D177" s="523" t="e">
        <f ca="1">gr(données_step[[#This Row],[D_QDEVDP]])</f>
        <v>#NAME?</v>
      </c>
      <c r="E177" s="523" t="e">
        <f ca="1">gr(données_step[[#This Row],[D_QTRAI2]])</f>
        <v>#NAME?</v>
      </c>
      <c r="F177" s="523" t="e">
        <f ca="1">gr(données_step[[#This Row],[D_QMIN]])</f>
        <v>#NAME?</v>
      </c>
      <c r="G177" s="523" t="e">
        <f ca="1">gr(données_step[[#This Row],[D_QMAX]])</f>
        <v>#NAME?</v>
      </c>
      <c r="H177" s="501" t="e">
        <f ca="1">gr(données_step[[#This Row],[D_PLUIE]])</f>
        <v>#NAME?</v>
      </c>
    </row>
    <row r="178" spans="1:8" x14ac:dyDescent="0.2">
      <c r="A178" s="222">
        <f>calculs!A178</f>
        <v>44729</v>
      </c>
      <c r="B178" s="523" t="e">
        <f ca="1">gr(données_step[[#This Row],[D_QDEVE]])</f>
        <v>#NAME?</v>
      </c>
      <c r="C178" s="523" t="e">
        <f ca="1">gr(données_step[[#This Row],[D_QTRAI]])</f>
        <v>#NAME?</v>
      </c>
      <c r="D178" s="523" t="e">
        <f ca="1">gr(données_step[[#This Row],[D_QDEVDP]])</f>
        <v>#NAME?</v>
      </c>
      <c r="E178" s="523" t="e">
        <f ca="1">gr(données_step[[#This Row],[D_QTRAI2]])</f>
        <v>#NAME?</v>
      </c>
      <c r="F178" s="523" t="e">
        <f ca="1">gr(données_step[[#This Row],[D_QMIN]])</f>
        <v>#NAME?</v>
      </c>
      <c r="G178" s="523" t="e">
        <f ca="1">gr(données_step[[#This Row],[D_QMAX]])</f>
        <v>#NAME?</v>
      </c>
      <c r="H178" s="501" t="e">
        <f ca="1">gr(données_step[[#This Row],[D_PLUIE]])</f>
        <v>#NAME?</v>
      </c>
    </row>
    <row r="179" spans="1:8" x14ac:dyDescent="0.2">
      <c r="A179" s="222">
        <f>calculs!A179</f>
        <v>44730</v>
      </c>
      <c r="B179" s="523" t="e">
        <f ca="1">gr(données_step[[#This Row],[D_QDEVE]])</f>
        <v>#NAME?</v>
      </c>
      <c r="C179" s="523" t="e">
        <f ca="1">gr(données_step[[#This Row],[D_QTRAI]])</f>
        <v>#NAME?</v>
      </c>
      <c r="D179" s="523" t="e">
        <f ca="1">gr(données_step[[#This Row],[D_QDEVDP]])</f>
        <v>#NAME?</v>
      </c>
      <c r="E179" s="523" t="e">
        <f ca="1">gr(données_step[[#This Row],[D_QTRAI2]])</f>
        <v>#NAME?</v>
      </c>
      <c r="F179" s="523" t="e">
        <f ca="1">gr(données_step[[#This Row],[D_QMIN]])</f>
        <v>#NAME?</v>
      </c>
      <c r="G179" s="523" t="e">
        <f ca="1">gr(données_step[[#This Row],[D_QMAX]])</f>
        <v>#NAME?</v>
      </c>
      <c r="H179" s="501" t="e">
        <f ca="1">gr(données_step[[#This Row],[D_PLUIE]])</f>
        <v>#NAME?</v>
      </c>
    </row>
    <row r="180" spans="1:8" x14ac:dyDescent="0.2">
      <c r="A180" s="222">
        <f>calculs!A180</f>
        <v>44731</v>
      </c>
      <c r="B180" s="523" t="e">
        <f ca="1">gr(données_step[[#This Row],[D_QDEVE]])</f>
        <v>#NAME?</v>
      </c>
      <c r="C180" s="523" t="e">
        <f ca="1">gr(données_step[[#This Row],[D_QTRAI]])</f>
        <v>#NAME?</v>
      </c>
      <c r="D180" s="523" t="e">
        <f ca="1">gr(données_step[[#This Row],[D_QDEVDP]])</f>
        <v>#NAME?</v>
      </c>
      <c r="E180" s="523" t="e">
        <f ca="1">gr(données_step[[#This Row],[D_QTRAI2]])</f>
        <v>#NAME?</v>
      </c>
      <c r="F180" s="523" t="e">
        <f ca="1">gr(données_step[[#This Row],[D_QMIN]])</f>
        <v>#NAME?</v>
      </c>
      <c r="G180" s="523" t="e">
        <f ca="1">gr(données_step[[#This Row],[D_QMAX]])</f>
        <v>#NAME?</v>
      </c>
      <c r="H180" s="501" t="e">
        <f ca="1">gr(données_step[[#This Row],[D_PLUIE]])</f>
        <v>#NAME?</v>
      </c>
    </row>
    <row r="181" spans="1:8" x14ac:dyDescent="0.2">
      <c r="A181" s="222">
        <f>calculs!A181</f>
        <v>44732</v>
      </c>
      <c r="B181" s="523" t="e">
        <f ca="1">gr(données_step[[#This Row],[D_QDEVE]])</f>
        <v>#NAME?</v>
      </c>
      <c r="C181" s="523" t="e">
        <f ca="1">gr(données_step[[#This Row],[D_QTRAI]])</f>
        <v>#NAME?</v>
      </c>
      <c r="D181" s="523" t="e">
        <f ca="1">gr(données_step[[#This Row],[D_QDEVDP]])</f>
        <v>#NAME?</v>
      </c>
      <c r="E181" s="523" t="e">
        <f ca="1">gr(données_step[[#This Row],[D_QTRAI2]])</f>
        <v>#NAME?</v>
      </c>
      <c r="F181" s="523" t="e">
        <f ca="1">gr(données_step[[#This Row],[D_QMIN]])</f>
        <v>#NAME?</v>
      </c>
      <c r="G181" s="523" t="e">
        <f ca="1">gr(données_step[[#This Row],[D_QMAX]])</f>
        <v>#NAME?</v>
      </c>
      <c r="H181" s="501" t="e">
        <f ca="1">gr(données_step[[#This Row],[D_PLUIE]])</f>
        <v>#NAME?</v>
      </c>
    </row>
    <row r="182" spans="1:8" x14ac:dyDescent="0.2">
      <c r="A182" s="222">
        <f>calculs!A182</f>
        <v>44733</v>
      </c>
      <c r="B182" s="523" t="e">
        <f ca="1">gr(données_step[[#This Row],[D_QDEVE]])</f>
        <v>#NAME?</v>
      </c>
      <c r="C182" s="523" t="e">
        <f ca="1">gr(données_step[[#This Row],[D_QTRAI]])</f>
        <v>#NAME?</v>
      </c>
      <c r="D182" s="523" t="e">
        <f ca="1">gr(données_step[[#This Row],[D_QDEVDP]])</f>
        <v>#NAME?</v>
      </c>
      <c r="E182" s="523" t="e">
        <f ca="1">gr(données_step[[#This Row],[D_QTRAI2]])</f>
        <v>#NAME?</v>
      </c>
      <c r="F182" s="523" t="e">
        <f ca="1">gr(données_step[[#This Row],[D_QMIN]])</f>
        <v>#NAME?</v>
      </c>
      <c r="G182" s="523" t="e">
        <f ca="1">gr(données_step[[#This Row],[D_QMAX]])</f>
        <v>#NAME?</v>
      </c>
      <c r="H182" s="501" t="e">
        <f ca="1">gr(données_step[[#This Row],[D_PLUIE]])</f>
        <v>#NAME?</v>
      </c>
    </row>
    <row r="183" spans="1:8" x14ac:dyDescent="0.2">
      <c r="A183" s="222">
        <f>calculs!A183</f>
        <v>44734</v>
      </c>
      <c r="B183" s="523" t="e">
        <f ca="1">gr(données_step[[#This Row],[D_QDEVE]])</f>
        <v>#NAME?</v>
      </c>
      <c r="C183" s="523" t="e">
        <f ca="1">gr(données_step[[#This Row],[D_QTRAI]])</f>
        <v>#NAME?</v>
      </c>
      <c r="D183" s="523" t="e">
        <f ca="1">gr(données_step[[#This Row],[D_QDEVDP]])</f>
        <v>#NAME?</v>
      </c>
      <c r="E183" s="523" t="e">
        <f ca="1">gr(données_step[[#This Row],[D_QTRAI2]])</f>
        <v>#NAME?</v>
      </c>
      <c r="F183" s="523" t="e">
        <f ca="1">gr(données_step[[#This Row],[D_QMIN]])</f>
        <v>#NAME?</v>
      </c>
      <c r="G183" s="523" t="e">
        <f ca="1">gr(données_step[[#This Row],[D_QMAX]])</f>
        <v>#NAME?</v>
      </c>
      <c r="H183" s="501" t="e">
        <f ca="1">gr(données_step[[#This Row],[D_PLUIE]])</f>
        <v>#NAME?</v>
      </c>
    </row>
    <row r="184" spans="1:8" x14ac:dyDescent="0.2">
      <c r="A184" s="222">
        <f>calculs!A184</f>
        <v>44735</v>
      </c>
      <c r="B184" s="523" t="e">
        <f ca="1">gr(données_step[[#This Row],[D_QDEVE]])</f>
        <v>#NAME?</v>
      </c>
      <c r="C184" s="523" t="e">
        <f ca="1">gr(données_step[[#This Row],[D_QTRAI]])</f>
        <v>#NAME?</v>
      </c>
      <c r="D184" s="523" t="e">
        <f ca="1">gr(données_step[[#This Row],[D_QDEVDP]])</f>
        <v>#NAME?</v>
      </c>
      <c r="E184" s="523" t="e">
        <f ca="1">gr(données_step[[#This Row],[D_QTRAI2]])</f>
        <v>#NAME?</v>
      </c>
      <c r="F184" s="523" t="e">
        <f ca="1">gr(données_step[[#This Row],[D_QMIN]])</f>
        <v>#NAME?</v>
      </c>
      <c r="G184" s="523" t="e">
        <f ca="1">gr(données_step[[#This Row],[D_QMAX]])</f>
        <v>#NAME?</v>
      </c>
      <c r="H184" s="501" t="e">
        <f ca="1">gr(données_step[[#This Row],[D_PLUIE]])</f>
        <v>#NAME?</v>
      </c>
    </row>
    <row r="185" spans="1:8" x14ac:dyDescent="0.2">
      <c r="A185" s="222">
        <f>calculs!A185</f>
        <v>44736</v>
      </c>
      <c r="B185" s="523" t="e">
        <f ca="1">gr(données_step[[#This Row],[D_QDEVE]])</f>
        <v>#NAME?</v>
      </c>
      <c r="C185" s="523" t="e">
        <f ca="1">gr(données_step[[#This Row],[D_QTRAI]])</f>
        <v>#NAME?</v>
      </c>
      <c r="D185" s="523" t="e">
        <f ca="1">gr(données_step[[#This Row],[D_QDEVDP]])</f>
        <v>#NAME?</v>
      </c>
      <c r="E185" s="523" t="e">
        <f ca="1">gr(données_step[[#This Row],[D_QTRAI2]])</f>
        <v>#NAME?</v>
      </c>
      <c r="F185" s="523" t="e">
        <f ca="1">gr(données_step[[#This Row],[D_QMIN]])</f>
        <v>#NAME?</v>
      </c>
      <c r="G185" s="523" t="e">
        <f ca="1">gr(données_step[[#This Row],[D_QMAX]])</f>
        <v>#NAME?</v>
      </c>
      <c r="H185" s="501" t="e">
        <f ca="1">gr(données_step[[#This Row],[D_PLUIE]])</f>
        <v>#NAME?</v>
      </c>
    </row>
    <row r="186" spans="1:8" x14ac:dyDescent="0.2">
      <c r="A186" s="222">
        <f>calculs!A186</f>
        <v>44737</v>
      </c>
      <c r="B186" s="523" t="e">
        <f ca="1">gr(données_step[[#This Row],[D_QDEVE]])</f>
        <v>#NAME?</v>
      </c>
      <c r="C186" s="523" t="e">
        <f ca="1">gr(données_step[[#This Row],[D_QTRAI]])</f>
        <v>#NAME?</v>
      </c>
      <c r="D186" s="523" t="e">
        <f ca="1">gr(données_step[[#This Row],[D_QDEVDP]])</f>
        <v>#NAME?</v>
      </c>
      <c r="E186" s="523" t="e">
        <f ca="1">gr(données_step[[#This Row],[D_QTRAI2]])</f>
        <v>#NAME?</v>
      </c>
      <c r="F186" s="523" t="e">
        <f ca="1">gr(données_step[[#This Row],[D_QMIN]])</f>
        <v>#NAME?</v>
      </c>
      <c r="G186" s="523" t="e">
        <f ca="1">gr(données_step[[#This Row],[D_QMAX]])</f>
        <v>#NAME?</v>
      </c>
      <c r="H186" s="501" t="e">
        <f ca="1">gr(données_step[[#This Row],[D_PLUIE]])</f>
        <v>#NAME?</v>
      </c>
    </row>
    <row r="187" spans="1:8" x14ac:dyDescent="0.2">
      <c r="A187" s="222">
        <f>calculs!A187</f>
        <v>44738</v>
      </c>
      <c r="B187" s="523" t="e">
        <f ca="1">gr(données_step[[#This Row],[D_QDEVE]])</f>
        <v>#NAME?</v>
      </c>
      <c r="C187" s="523" t="e">
        <f ca="1">gr(données_step[[#This Row],[D_QTRAI]])</f>
        <v>#NAME?</v>
      </c>
      <c r="D187" s="523" t="e">
        <f ca="1">gr(données_step[[#This Row],[D_QDEVDP]])</f>
        <v>#NAME?</v>
      </c>
      <c r="E187" s="523" t="e">
        <f ca="1">gr(données_step[[#This Row],[D_QTRAI2]])</f>
        <v>#NAME?</v>
      </c>
      <c r="F187" s="523" t="e">
        <f ca="1">gr(données_step[[#This Row],[D_QMIN]])</f>
        <v>#NAME?</v>
      </c>
      <c r="G187" s="523" t="e">
        <f ca="1">gr(données_step[[#This Row],[D_QMAX]])</f>
        <v>#NAME?</v>
      </c>
      <c r="H187" s="501" t="e">
        <f ca="1">gr(données_step[[#This Row],[D_PLUIE]])</f>
        <v>#NAME?</v>
      </c>
    </row>
    <row r="188" spans="1:8" x14ac:dyDescent="0.2">
      <c r="A188" s="222">
        <f>calculs!A188</f>
        <v>44739</v>
      </c>
      <c r="B188" s="523" t="e">
        <f ca="1">gr(données_step[[#This Row],[D_QDEVE]])</f>
        <v>#NAME?</v>
      </c>
      <c r="C188" s="523" t="e">
        <f ca="1">gr(données_step[[#This Row],[D_QTRAI]])</f>
        <v>#NAME?</v>
      </c>
      <c r="D188" s="523" t="e">
        <f ca="1">gr(données_step[[#This Row],[D_QDEVDP]])</f>
        <v>#NAME?</v>
      </c>
      <c r="E188" s="523" t="e">
        <f ca="1">gr(données_step[[#This Row],[D_QTRAI2]])</f>
        <v>#NAME?</v>
      </c>
      <c r="F188" s="523" t="e">
        <f ca="1">gr(données_step[[#This Row],[D_QMIN]])</f>
        <v>#NAME?</v>
      </c>
      <c r="G188" s="523" t="e">
        <f ca="1">gr(données_step[[#This Row],[D_QMAX]])</f>
        <v>#NAME?</v>
      </c>
      <c r="H188" s="501" t="e">
        <f ca="1">gr(données_step[[#This Row],[D_PLUIE]])</f>
        <v>#NAME?</v>
      </c>
    </row>
    <row r="189" spans="1:8" x14ac:dyDescent="0.2">
      <c r="A189" s="222">
        <f>calculs!A189</f>
        <v>44740</v>
      </c>
      <c r="B189" s="523" t="e">
        <f ca="1">gr(données_step[[#This Row],[D_QDEVE]])</f>
        <v>#NAME?</v>
      </c>
      <c r="C189" s="523" t="e">
        <f ca="1">gr(données_step[[#This Row],[D_QTRAI]])</f>
        <v>#NAME?</v>
      </c>
      <c r="D189" s="523" t="e">
        <f ca="1">gr(données_step[[#This Row],[D_QDEVDP]])</f>
        <v>#NAME?</v>
      </c>
      <c r="E189" s="523" t="e">
        <f ca="1">gr(données_step[[#This Row],[D_QTRAI2]])</f>
        <v>#NAME?</v>
      </c>
      <c r="F189" s="523" t="e">
        <f ca="1">gr(données_step[[#This Row],[D_QMIN]])</f>
        <v>#NAME?</v>
      </c>
      <c r="G189" s="523" t="e">
        <f ca="1">gr(données_step[[#This Row],[D_QMAX]])</f>
        <v>#NAME?</v>
      </c>
      <c r="H189" s="501" t="e">
        <f ca="1">gr(données_step[[#This Row],[D_PLUIE]])</f>
        <v>#NAME?</v>
      </c>
    </row>
    <row r="190" spans="1:8" x14ac:dyDescent="0.2">
      <c r="A190" s="222">
        <f>calculs!A190</f>
        <v>44741</v>
      </c>
      <c r="B190" s="523" t="e">
        <f ca="1">gr(données_step[[#This Row],[D_QDEVE]])</f>
        <v>#NAME?</v>
      </c>
      <c r="C190" s="523" t="e">
        <f ca="1">gr(données_step[[#This Row],[D_QTRAI]])</f>
        <v>#NAME?</v>
      </c>
      <c r="D190" s="523" t="e">
        <f ca="1">gr(données_step[[#This Row],[D_QDEVDP]])</f>
        <v>#NAME?</v>
      </c>
      <c r="E190" s="523" t="e">
        <f ca="1">gr(données_step[[#This Row],[D_QTRAI2]])</f>
        <v>#NAME?</v>
      </c>
      <c r="F190" s="523" t="e">
        <f ca="1">gr(données_step[[#This Row],[D_QMIN]])</f>
        <v>#NAME?</v>
      </c>
      <c r="G190" s="523" t="e">
        <f ca="1">gr(données_step[[#This Row],[D_QMAX]])</f>
        <v>#NAME?</v>
      </c>
      <c r="H190" s="501" t="e">
        <f ca="1">gr(données_step[[#This Row],[D_PLUIE]])</f>
        <v>#NAME?</v>
      </c>
    </row>
    <row r="191" spans="1:8" x14ac:dyDescent="0.2">
      <c r="A191" s="222">
        <f>calculs!A191</f>
        <v>44742</v>
      </c>
      <c r="B191" s="523" t="e">
        <f ca="1">gr(données_step[[#This Row],[D_QDEVE]])</f>
        <v>#NAME?</v>
      </c>
      <c r="C191" s="523" t="e">
        <f ca="1">gr(données_step[[#This Row],[D_QTRAI]])</f>
        <v>#NAME?</v>
      </c>
      <c r="D191" s="523" t="e">
        <f ca="1">gr(données_step[[#This Row],[D_QDEVDP]])</f>
        <v>#NAME?</v>
      </c>
      <c r="E191" s="523" t="e">
        <f ca="1">gr(données_step[[#This Row],[D_QTRAI2]])</f>
        <v>#NAME?</v>
      </c>
      <c r="F191" s="523" t="e">
        <f ca="1">gr(données_step[[#This Row],[D_QMIN]])</f>
        <v>#NAME?</v>
      </c>
      <c r="G191" s="523" t="e">
        <f ca="1">gr(données_step[[#This Row],[D_QMAX]])</f>
        <v>#NAME?</v>
      </c>
      <c r="H191" s="501" t="e">
        <f ca="1">gr(données_step[[#This Row],[D_PLUIE]])</f>
        <v>#NAME?</v>
      </c>
    </row>
    <row r="192" spans="1:8" x14ac:dyDescent="0.2">
      <c r="A192" s="222">
        <f>calculs!A192</f>
        <v>44743</v>
      </c>
      <c r="B192" s="523" t="e">
        <f ca="1">gr(données_step[[#This Row],[D_QDEVE]])</f>
        <v>#NAME?</v>
      </c>
      <c r="C192" s="523" t="e">
        <f ca="1">gr(données_step[[#This Row],[D_QTRAI]])</f>
        <v>#NAME?</v>
      </c>
      <c r="D192" s="523" t="e">
        <f ca="1">gr(données_step[[#This Row],[D_QDEVDP]])</f>
        <v>#NAME?</v>
      </c>
      <c r="E192" s="523" t="e">
        <f ca="1">gr(données_step[[#This Row],[D_QTRAI2]])</f>
        <v>#NAME?</v>
      </c>
      <c r="F192" s="523" t="e">
        <f ca="1">gr(données_step[[#This Row],[D_QMIN]])</f>
        <v>#NAME?</v>
      </c>
      <c r="G192" s="523" t="e">
        <f ca="1">gr(données_step[[#This Row],[D_QMAX]])</f>
        <v>#NAME?</v>
      </c>
      <c r="H192" s="501" t="e">
        <f ca="1">gr(données_step[[#This Row],[D_PLUIE]])</f>
        <v>#NAME?</v>
      </c>
    </row>
    <row r="193" spans="1:8" x14ac:dyDescent="0.2">
      <c r="A193" s="222">
        <f>calculs!A193</f>
        <v>44744</v>
      </c>
      <c r="B193" s="523" t="e">
        <f ca="1">gr(données_step[[#This Row],[D_QDEVE]])</f>
        <v>#NAME?</v>
      </c>
      <c r="C193" s="523" t="e">
        <f ca="1">gr(données_step[[#This Row],[D_QTRAI]])</f>
        <v>#NAME?</v>
      </c>
      <c r="D193" s="523" t="e">
        <f ca="1">gr(données_step[[#This Row],[D_QDEVDP]])</f>
        <v>#NAME?</v>
      </c>
      <c r="E193" s="523" t="e">
        <f ca="1">gr(données_step[[#This Row],[D_QTRAI2]])</f>
        <v>#NAME?</v>
      </c>
      <c r="F193" s="523" t="e">
        <f ca="1">gr(données_step[[#This Row],[D_QMIN]])</f>
        <v>#NAME?</v>
      </c>
      <c r="G193" s="523" t="e">
        <f ca="1">gr(données_step[[#This Row],[D_QMAX]])</f>
        <v>#NAME?</v>
      </c>
      <c r="H193" s="501" t="e">
        <f ca="1">gr(données_step[[#This Row],[D_PLUIE]])</f>
        <v>#NAME?</v>
      </c>
    </row>
    <row r="194" spans="1:8" x14ac:dyDescent="0.2">
      <c r="A194" s="222">
        <f>calculs!A194</f>
        <v>44745</v>
      </c>
      <c r="B194" s="523" t="e">
        <f ca="1">gr(données_step[[#This Row],[D_QDEVE]])</f>
        <v>#NAME?</v>
      </c>
      <c r="C194" s="523" t="e">
        <f ca="1">gr(données_step[[#This Row],[D_QTRAI]])</f>
        <v>#NAME?</v>
      </c>
      <c r="D194" s="523" t="e">
        <f ca="1">gr(données_step[[#This Row],[D_QDEVDP]])</f>
        <v>#NAME?</v>
      </c>
      <c r="E194" s="523" t="e">
        <f ca="1">gr(données_step[[#This Row],[D_QTRAI2]])</f>
        <v>#NAME?</v>
      </c>
      <c r="F194" s="523" t="e">
        <f ca="1">gr(données_step[[#This Row],[D_QMIN]])</f>
        <v>#NAME?</v>
      </c>
      <c r="G194" s="523" t="e">
        <f ca="1">gr(données_step[[#This Row],[D_QMAX]])</f>
        <v>#NAME?</v>
      </c>
      <c r="H194" s="501" t="e">
        <f ca="1">gr(données_step[[#This Row],[D_PLUIE]])</f>
        <v>#NAME?</v>
      </c>
    </row>
    <row r="195" spans="1:8" x14ac:dyDescent="0.2">
      <c r="A195" s="222">
        <f>calculs!A195</f>
        <v>44746</v>
      </c>
      <c r="B195" s="523" t="e">
        <f ca="1">gr(données_step[[#This Row],[D_QDEVE]])</f>
        <v>#NAME?</v>
      </c>
      <c r="C195" s="523" t="e">
        <f ca="1">gr(données_step[[#This Row],[D_QTRAI]])</f>
        <v>#NAME?</v>
      </c>
      <c r="D195" s="523" t="e">
        <f ca="1">gr(données_step[[#This Row],[D_QDEVDP]])</f>
        <v>#NAME?</v>
      </c>
      <c r="E195" s="523" t="e">
        <f ca="1">gr(données_step[[#This Row],[D_QTRAI2]])</f>
        <v>#NAME?</v>
      </c>
      <c r="F195" s="523" t="e">
        <f ca="1">gr(données_step[[#This Row],[D_QMIN]])</f>
        <v>#NAME?</v>
      </c>
      <c r="G195" s="523" t="e">
        <f ca="1">gr(données_step[[#This Row],[D_QMAX]])</f>
        <v>#NAME?</v>
      </c>
      <c r="H195" s="501" t="e">
        <f ca="1">gr(données_step[[#This Row],[D_PLUIE]])</f>
        <v>#NAME?</v>
      </c>
    </row>
    <row r="196" spans="1:8" x14ac:dyDescent="0.2">
      <c r="A196" s="222">
        <f>calculs!A196</f>
        <v>44747</v>
      </c>
      <c r="B196" s="523" t="e">
        <f ca="1">gr(données_step[[#This Row],[D_QDEVE]])</f>
        <v>#NAME?</v>
      </c>
      <c r="C196" s="523" t="e">
        <f ca="1">gr(données_step[[#This Row],[D_QTRAI]])</f>
        <v>#NAME?</v>
      </c>
      <c r="D196" s="523" t="e">
        <f ca="1">gr(données_step[[#This Row],[D_QDEVDP]])</f>
        <v>#NAME?</v>
      </c>
      <c r="E196" s="523" t="e">
        <f ca="1">gr(données_step[[#This Row],[D_QTRAI2]])</f>
        <v>#NAME?</v>
      </c>
      <c r="F196" s="523" t="e">
        <f ca="1">gr(données_step[[#This Row],[D_QMIN]])</f>
        <v>#NAME?</v>
      </c>
      <c r="G196" s="523" t="e">
        <f ca="1">gr(données_step[[#This Row],[D_QMAX]])</f>
        <v>#NAME?</v>
      </c>
      <c r="H196" s="501" t="e">
        <f ca="1">gr(données_step[[#This Row],[D_PLUIE]])</f>
        <v>#NAME?</v>
      </c>
    </row>
    <row r="197" spans="1:8" x14ac:dyDescent="0.2">
      <c r="A197" s="222">
        <f>calculs!A197</f>
        <v>44748</v>
      </c>
      <c r="B197" s="523" t="e">
        <f ca="1">gr(données_step[[#This Row],[D_QDEVE]])</f>
        <v>#NAME?</v>
      </c>
      <c r="C197" s="523" t="e">
        <f ca="1">gr(données_step[[#This Row],[D_QTRAI]])</f>
        <v>#NAME?</v>
      </c>
      <c r="D197" s="523" t="e">
        <f ca="1">gr(données_step[[#This Row],[D_QDEVDP]])</f>
        <v>#NAME?</v>
      </c>
      <c r="E197" s="523" t="e">
        <f ca="1">gr(données_step[[#This Row],[D_QTRAI2]])</f>
        <v>#NAME?</v>
      </c>
      <c r="F197" s="523" t="e">
        <f ca="1">gr(données_step[[#This Row],[D_QMIN]])</f>
        <v>#NAME?</v>
      </c>
      <c r="G197" s="523" t="e">
        <f ca="1">gr(données_step[[#This Row],[D_QMAX]])</f>
        <v>#NAME?</v>
      </c>
      <c r="H197" s="501" t="e">
        <f ca="1">gr(données_step[[#This Row],[D_PLUIE]])</f>
        <v>#NAME?</v>
      </c>
    </row>
    <row r="198" spans="1:8" x14ac:dyDescent="0.2">
      <c r="A198" s="222">
        <f>calculs!A198</f>
        <v>44749</v>
      </c>
      <c r="B198" s="523" t="e">
        <f ca="1">gr(données_step[[#This Row],[D_QDEVE]])</f>
        <v>#NAME?</v>
      </c>
      <c r="C198" s="523" t="e">
        <f ca="1">gr(données_step[[#This Row],[D_QTRAI]])</f>
        <v>#NAME?</v>
      </c>
      <c r="D198" s="523" t="e">
        <f ca="1">gr(données_step[[#This Row],[D_QDEVDP]])</f>
        <v>#NAME?</v>
      </c>
      <c r="E198" s="523" t="e">
        <f ca="1">gr(données_step[[#This Row],[D_QTRAI2]])</f>
        <v>#NAME?</v>
      </c>
      <c r="F198" s="523" t="e">
        <f ca="1">gr(données_step[[#This Row],[D_QMIN]])</f>
        <v>#NAME?</v>
      </c>
      <c r="G198" s="523" t="e">
        <f ca="1">gr(données_step[[#This Row],[D_QMAX]])</f>
        <v>#NAME?</v>
      </c>
      <c r="H198" s="501" t="e">
        <f ca="1">gr(données_step[[#This Row],[D_PLUIE]])</f>
        <v>#NAME?</v>
      </c>
    </row>
    <row r="199" spans="1:8" x14ac:dyDescent="0.2">
      <c r="A199" s="222">
        <f>calculs!A199</f>
        <v>44750</v>
      </c>
      <c r="B199" s="523" t="e">
        <f ca="1">gr(données_step[[#This Row],[D_QDEVE]])</f>
        <v>#NAME?</v>
      </c>
      <c r="C199" s="523" t="e">
        <f ca="1">gr(données_step[[#This Row],[D_QTRAI]])</f>
        <v>#NAME?</v>
      </c>
      <c r="D199" s="523" t="e">
        <f ca="1">gr(données_step[[#This Row],[D_QDEVDP]])</f>
        <v>#NAME?</v>
      </c>
      <c r="E199" s="523" t="e">
        <f ca="1">gr(données_step[[#This Row],[D_QTRAI2]])</f>
        <v>#NAME?</v>
      </c>
      <c r="F199" s="523" t="e">
        <f ca="1">gr(données_step[[#This Row],[D_QMIN]])</f>
        <v>#NAME?</v>
      </c>
      <c r="G199" s="523" t="e">
        <f ca="1">gr(données_step[[#This Row],[D_QMAX]])</f>
        <v>#NAME?</v>
      </c>
      <c r="H199" s="501" t="e">
        <f ca="1">gr(données_step[[#This Row],[D_PLUIE]])</f>
        <v>#NAME?</v>
      </c>
    </row>
    <row r="200" spans="1:8" x14ac:dyDescent="0.2">
      <c r="A200" s="222">
        <f>calculs!A200</f>
        <v>44751</v>
      </c>
      <c r="B200" s="523" t="e">
        <f ca="1">gr(données_step[[#This Row],[D_QDEVE]])</f>
        <v>#NAME?</v>
      </c>
      <c r="C200" s="523" t="e">
        <f ca="1">gr(données_step[[#This Row],[D_QTRAI]])</f>
        <v>#NAME?</v>
      </c>
      <c r="D200" s="523" t="e">
        <f ca="1">gr(données_step[[#This Row],[D_QDEVDP]])</f>
        <v>#NAME?</v>
      </c>
      <c r="E200" s="523" t="e">
        <f ca="1">gr(données_step[[#This Row],[D_QTRAI2]])</f>
        <v>#NAME?</v>
      </c>
      <c r="F200" s="523" t="e">
        <f ca="1">gr(données_step[[#This Row],[D_QMIN]])</f>
        <v>#NAME?</v>
      </c>
      <c r="G200" s="523" t="e">
        <f ca="1">gr(données_step[[#This Row],[D_QMAX]])</f>
        <v>#NAME?</v>
      </c>
      <c r="H200" s="501" t="e">
        <f ca="1">gr(données_step[[#This Row],[D_PLUIE]])</f>
        <v>#NAME?</v>
      </c>
    </row>
    <row r="201" spans="1:8" x14ac:dyDescent="0.2">
      <c r="A201" s="222">
        <f>calculs!A201</f>
        <v>44752</v>
      </c>
      <c r="B201" s="523" t="e">
        <f ca="1">gr(données_step[[#This Row],[D_QDEVE]])</f>
        <v>#NAME?</v>
      </c>
      <c r="C201" s="523" t="e">
        <f ca="1">gr(données_step[[#This Row],[D_QTRAI]])</f>
        <v>#NAME?</v>
      </c>
      <c r="D201" s="523" t="e">
        <f ca="1">gr(données_step[[#This Row],[D_QDEVDP]])</f>
        <v>#NAME?</v>
      </c>
      <c r="E201" s="523" t="e">
        <f ca="1">gr(données_step[[#This Row],[D_QTRAI2]])</f>
        <v>#NAME?</v>
      </c>
      <c r="F201" s="523" t="e">
        <f ca="1">gr(données_step[[#This Row],[D_QMIN]])</f>
        <v>#NAME?</v>
      </c>
      <c r="G201" s="523" t="e">
        <f ca="1">gr(données_step[[#This Row],[D_QMAX]])</f>
        <v>#NAME?</v>
      </c>
      <c r="H201" s="501" t="e">
        <f ca="1">gr(données_step[[#This Row],[D_PLUIE]])</f>
        <v>#NAME?</v>
      </c>
    </row>
    <row r="202" spans="1:8" x14ac:dyDescent="0.2">
      <c r="A202" s="222">
        <f>calculs!A202</f>
        <v>44753</v>
      </c>
      <c r="B202" s="523" t="e">
        <f ca="1">gr(données_step[[#This Row],[D_QDEVE]])</f>
        <v>#NAME?</v>
      </c>
      <c r="C202" s="523" t="e">
        <f ca="1">gr(données_step[[#This Row],[D_QTRAI]])</f>
        <v>#NAME?</v>
      </c>
      <c r="D202" s="523" t="e">
        <f ca="1">gr(données_step[[#This Row],[D_QDEVDP]])</f>
        <v>#NAME?</v>
      </c>
      <c r="E202" s="523" t="e">
        <f ca="1">gr(données_step[[#This Row],[D_QTRAI2]])</f>
        <v>#NAME?</v>
      </c>
      <c r="F202" s="523" t="e">
        <f ca="1">gr(données_step[[#This Row],[D_QMIN]])</f>
        <v>#NAME?</v>
      </c>
      <c r="G202" s="523" t="e">
        <f ca="1">gr(données_step[[#This Row],[D_QMAX]])</f>
        <v>#NAME?</v>
      </c>
      <c r="H202" s="501" t="e">
        <f ca="1">gr(données_step[[#This Row],[D_PLUIE]])</f>
        <v>#NAME?</v>
      </c>
    </row>
    <row r="203" spans="1:8" x14ac:dyDescent="0.2">
      <c r="A203" s="222">
        <f>calculs!A203</f>
        <v>44754</v>
      </c>
      <c r="B203" s="523" t="e">
        <f ca="1">gr(données_step[[#This Row],[D_QDEVE]])</f>
        <v>#NAME?</v>
      </c>
      <c r="C203" s="523" t="e">
        <f ca="1">gr(données_step[[#This Row],[D_QTRAI]])</f>
        <v>#NAME?</v>
      </c>
      <c r="D203" s="523" t="e">
        <f ca="1">gr(données_step[[#This Row],[D_QDEVDP]])</f>
        <v>#NAME?</v>
      </c>
      <c r="E203" s="523" t="e">
        <f ca="1">gr(données_step[[#This Row],[D_QTRAI2]])</f>
        <v>#NAME?</v>
      </c>
      <c r="F203" s="523" t="e">
        <f ca="1">gr(données_step[[#This Row],[D_QMIN]])</f>
        <v>#NAME?</v>
      </c>
      <c r="G203" s="523" t="e">
        <f ca="1">gr(données_step[[#This Row],[D_QMAX]])</f>
        <v>#NAME?</v>
      </c>
      <c r="H203" s="501" t="e">
        <f ca="1">gr(données_step[[#This Row],[D_PLUIE]])</f>
        <v>#NAME?</v>
      </c>
    </row>
    <row r="204" spans="1:8" x14ac:dyDescent="0.2">
      <c r="A204" s="222">
        <f>calculs!A204</f>
        <v>44755</v>
      </c>
      <c r="B204" s="523" t="e">
        <f ca="1">gr(données_step[[#This Row],[D_QDEVE]])</f>
        <v>#NAME?</v>
      </c>
      <c r="C204" s="523" t="e">
        <f ca="1">gr(données_step[[#This Row],[D_QTRAI]])</f>
        <v>#NAME?</v>
      </c>
      <c r="D204" s="523" t="e">
        <f ca="1">gr(données_step[[#This Row],[D_QDEVDP]])</f>
        <v>#NAME?</v>
      </c>
      <c r="E204" s="523" t="e">
        <f ca="1">gr(données_step[[#This Row],[D_QTRAI2]])</f>
        <v>#NAME?</v>
      </c>
      <c r="F204" s="523" t="e">
        <f ca="1">gr(données_step[[#This Row],[D_QMIN]])</f>
        <v>#NAME?</v>
      </c>
      <c r="G204" s="523" t="e">
        <f ca="1">gr(données_step[[#This Row],[D_QMAX]])</f>
        <v>#NAME?</v>
      </c>
      <c r="H204" s="501" t="e">
        <f ca="1">gr(données_step[[#This Row],[D_PLUIE]])</f>
        <v>#NAME?</v>
      </c>
    </row>
    <row r="205" spans="1:8" x14ac:dyDescent="0.2">
      <c r="A205" s="222">
        <f>calculs!A205</f>
        <v>44756</v>
      </c>
      <c r="B205" s="523" t="e">
        <f ca="1">gr(données_step[[#This Row],[D_QDEVE]])</f>
        <v>#NAME?</v>
      </c>
      <c r="C205" s="523" t="e">
        <f ca="1">gr(données_step[[#This Row],[D_QTRAI]])</f>
        <v>#NAME?</v>
      </c>
      <c r="D205" s="523" t="e">
        <f ca="1">gr(données_step[[#This Row],[D_QDEVDP]])</f>
        <v>#NAME?</v>
      </c>
      <c r="E205" s="523" t="e">
        <f ca="1">gr(données_step[[#This Row],[D_QTRAI2]])</f>
        <v>#NAME?</v>
      </c>
      <c r="F205" s="523" t="e">
        <f ca="1">gr(données_step[[#This Row],[D_QMIN]])</f>
        <v>#NAME?</v>
      </c>
      <c r="G205" s="523" t="e">
        <f ca="1">gr(données_step[[#This Row],[D_QMAX]])</f>
        <v>#NAME?</v>
      </c>
      <c r="H205" s="501" t="e">
        <f ca="1">gr(données_step[[#This Row],[D_PLUIE]])</f>
        <v>#NAME?</v>
      </c>
    </row>
    <row r="206" spans="1:8" x14ac:dyDescent="0.2">
      <c r="A206" s="222">
        <f>calculs!A206</f>
        <v>44757</v>
      </c>
      <c r="B206" s="523" t="e">
        <f ca="1">gr(données_step[[#This Row],[D_QDEVE]])</f>
        <v>#NAME?</v>
      </c>
      <c r="C206" s="523" t="e">
        <f ca="1">gr(données_step[[#This Row],[D_QTRAI]])</f>
        <v>#NAME?</v>
      </c>
      <c r="D206" s="523" t="e">
        <f ca="1">gr(données_step[[#This Row],[D_QDEVDP]])</f>
        <v>#NAME?</v>
      </c>
      <c r="E206" s="523" t="e">
        <f ca="1">gr(données_step[[#This Row],[D_QTRAI2]])</f>
        <v>#NAME?</v>
      </c>
      <c r="F206" s="523" t="e">
        <f ca="1">gr(données_step[[#This Row],[D_QMIN]])</f>
        <v>#NAME?</v>
      </c>
      <c r="G206" s="523" t="e">
        <f ca="1">gr(données_step[[#This Row],[D_QMAX]])</f>
        <v>#NAME?</v>
      </c>
      <c r="H206" s="501" t="e">
        <f ca="1">gr(données_step[[#This Row],[D_PLUIE]])</f>
        <v>#NAME?</v>
      </c>
    </row>
    <row r="207" spans="1:8" x14ac:dyDescent="0.2">
      <c r="A207" s="222">
        <f>calculs!A207</f>
        <v>44758</v>
      </c>
      <c r="B207" s="523" t="e">
        <f ca="1">gr(données_step[[#This Row],[D_QDEVE]])</f>
        <v>#NAME?</v>
      </c>
      <c r="C207" s="523" t="e">
        <f ca="1">gr(données_step[[#This Row],[D_QTRAI]])</f>
        <v>#NAME?</v>
      </c>
      <c r="D207" s="523" t="e">
        <f ca="1">gr(données_step[[#This Row],[D_QDEVDP]])</f>
        <v>#NAME?</v>
      </c>
      <c r="E207" s="523" t="e">
        <f ca="1">gr(données_step[[#This Row],[D_QTRAI2]])</f>
        <v>#NAME?</v>
      </c>
      <c r="F207" s="523" t="e">
        <f ca="1">gr(données_step[[#This Row],[D_QMIN]])</f>
        <v>#NAME?</v>
      </c>
      <c r="G207" s="523" t="e">
        <f ca="1">gr(données_step[[#This Row],[D_QMAX]])</f>
        <v>#NAME?</v>
      </c>
      <c r="H207" s="501" t="e">
        <f ca="1">gr(données_step[[#This Row],[D_PLUIE]])</f>
        <v>#NAME?</v>
      </c>
    </row>
    <row r="208" spans="1:8" x14ac:dyDescent="0.2">
      <c r="A208" s="222">
        <f>calculs!A208</f>
        <v>44759</v>
      </c>
      <c r="B208" s="523" t="e">
        <f ca="1">gr(données_step[[#This Row],[D_QDEVE]])</f>
        <v>#NAME?</v>
      </c>
      <c r="C208" s="523" t="e">
        <f ca="1">gr(données_step[[#This Row],[D_QTRAI]])</f>
        <v>#NAME?</v>
      </c>
      <c r="D208" s="523" t="e">
        <f ca="1">gr(données_step[[#This Row],[D_QDEVDP]])</f>
        <v>#NAME?</v>
      </c>
      <c r="E208" s="523" t="e">
        <f ca="1">gr(données_step[[#This Row],[D_QTRAI2]])</f>
        <v>#NAME?</v>
      </c>
      <c r="F208" s="523" t="e">
        <f ca="1">gr(données_step[[#This Row],[D_QMIN]])</f>
        <v>#NAME?</v>
      </c>
      <c r="G208" s="523" t="e">
        <f ca="1">gr(données_step[[#This Row],[D_QMAX]])</f>
        <v>#NAME?</v>
      </c>
      <c r="H208" s="501" t="e">
        <f ca="1">gr(données_step[[#This Row],[D_PLUIE]])</f>
        <v>#NAME?</v>
      </c>
    </row>
    <row r="209" spans="1:8" x14ac:dyDescent="0.2">
      <c r="A209" s="222">
        <f>calculs!A209</f>
        <v>44760</v>
      </c>
      <c r="B209" s="523" t="e">
        <f ca="1">gr(données_step[[#This Row],[D_QDEVE]])</f>
        <v>#NAME?</v>
      </c>
      <c r="C209" s="523" t="e">
        <f ca="1">gr(données_step[[#This Row],[D_QTRAI]])</f>
        <v>#NAME?</v>
      </c>
      <c r="D209" s="523" t="e">
        <f ca="1">gr(données_step[[#This Row],[D_QDEVDP]])</f>
        <v>#NAME?</v>
      </c>
      <c r="E209" s="523" t="e">
        <f ca="1">gr(données_step[[#This Row],[D_QTRAI2]])</f>
        <v>#NAME?</v>
      </c>
      <c r="F209" s="523" t="e">
        <f ca="1">gr(données_step[[#This Row],[D_QMIN]])</f>
        <v>#NAME?</v>
      </c>
      <c r="G209" s="523" t="e">
        <f ca="1">gr(données_step[[#This Row],[D_QMAX]])</f>
        <v>#NAME?</v>
      </c>
      <c r="H209" s="501" t="e">
        <f ca="1">gr(données_step[[#This Row],[D_PLUIE]])</f>
        <v>#NAME?</v>
      </c>
    </row>
    <row r="210" spans="1:8" x14ac:dyDescent="0.2">
      <c r="A210" s="222">
        <f>calculs!A210</f>
        <v>44761</v>
      </c>
      <c r="B210" s="523" t="e">
        <f ca="1">gr(données_step[[#This Row],[D_QDEVE]])</f>
        <v>#NAME?</v>
      </c>
      <c r="C210" s="523" t="e">
        <f ca="1">gr(données_step[[#This Row],[D_QTRAI]])</f>
        <v>#NAME?</v>
      </c>
      <c r="D210" s="523" t="e">
        <f ca="1">gr(données_step[[#This Row],[D_QDEVDP]])</f>
        <v>#NAME?</v>
      </c>
      <c r="E210" s="523" t="e">
        <f ca="1">gr(données_step[[#This Row],[D_QTRAI2]])</f>
        <v>#NAME?</v>
      </c>
      <c r="F210" s="523" t="e">
        <f ca="1">gr(données_step[[#This Row],[D_QMIN]])</f>
        <v>#NAME?</v>
      </c>
      <c r="G210" s="523" t="e">
        <f ca="1">gr(données_step[[#This Row],[D_QMAX]])</f>
        <v>#NAME?</v>
      </c>
      <c r="H210" s="501" t="e">
        <f ca="1">gr(données_step[[#This Row],[D_PLUIE]])</f>
        <v>#NAME?</v>
      </c>
    </row>
    <row r="211" spans="1:8" x14ac:dyDescent="0.2">
      <c r="A211" s="222">
        <f>calculs!A211</f>
        <v>44762</v>
      </c>
      <c r="B211" s="523" t="e">
        <f ca="1">gr(données_step[[#This Row],[D_QDEVE]])</f>
        <v>#NAME?</v>
      </c>
      <c r="C211" s="523" t="e">
        <f ca="1">gr(données_step[[#This Row],[D_QTRAI]])</f>
        <v>#NAME?</v>
      </c>
      <c r="D211" s="523" t="e">
        <f ca="1">gr(données_step[[#This Row],[D_QDEVDP]])</f>
        <v>#NAME?</v>
      </c>
      <c r="E211" s="523" t="e">
        <f ca="1">gr(données_step[[#This Row],[D_QTRAI2]])</f>
        <v>#NAME?</v>
      </c>
      <c r="F211" s="523" t="e">
        <f ca="1">gr(données_step[[#This Row],[D_QMIN]])</f>
        <v>#NAME?</v>
      </c>
      <c r="G211" s="523" t="e">
        <f ca="1">gr(données_step[[#This Row],[D_QMAX]])</f>
        <v>#NAME?</v>
      </c>
      <c r="H211" s="501" t="e">
        <f ca="1">gr(données_step[[#This Row],[D_PLUIE]])</f>
        <v>#NAME?</v>
      </c>
    </row>
    <row r="212" spans="1:8" x14ac:dyDescent="0.2">
      <c r="A212" s="222">
        <f>calculs!A212</f>
        <v>44763</v>
      </c>
      <c r="B212" s="523" t="e">
        <f ca="1">gr(données_step[[#This Row],[D_QDEVE]])</f>
        <v>#NAME?</v>
      </c>
      <c r="C212" s="523" t="e">
        <f ca="1">gr(données_step[[#This Row],[D_QTRAI]])</f>
        <v>#NAME?</v>
      </c>
      <c r="D212" s="523" t="e">
        <f ca="1">gr(données_step[[#This Row],[D_QDEVDP]])</f>
        <v>#NAME?</v>
      </c>
      <c r="E212" s="523" t="e">
        <f ca="1">gr(données_step[[#This Row],[D_QTRAI2]])</f>
        <v>#NAME?</v>
      </c>
      <c r="F212" s="523" t="e">
        <f ca="1">gr(données_step[[#This Row],[D_QMIN]])</f>
        <v>#NAME?</v>
      </c>
      <c r="G212" s="523" t="e">
        <f ca="1">gr(données_step[[#This Row],[D_QMAX]])</f>
        <v>#NAME?</v>
      </c>
      <c r="H212" s="501" t="e">
        <f ca="1">gr(données_step[[#This Row],[D_PLUIE]])</f>
        <v>#NAME?</v>
      </c>
    </row>
    <row r="213" spans="1:8" x14ac:dyDescent="0.2">
      <c r="A213" s="222">
        <f>calculs!A213</f>
        <v>44764</v>
      </c>
      <c r="B213" s="523" t="e">
        <f ca="1">gr(données_step[[#This Row],[D_QDEVE]])</f>
        <v>#NAME?</v>
      </c>
      <c r="C213" s="523" t="e">
        <f ca="1">gr(données_step[[#This Row],[D_QTRAI]])</f>
        <v>#NAME?</v>
      </c>
      <c r="D213" s="523" t="e">
        <f ca="1">gr(données_step[[#This Row],[D_QDEVDP]])</f>
        <v>#NAME?</v>
      </c>
      <c r="E213" s="523" t="e">
        <f ca="1">gr(données_step[[#This Row],[D_QTRAI2]])</f>
        <v>#NAME?</v>
      </c>
      <c r="F213" s="523" t="e">
        <f ca="1">gr(données_step[[#This Row],[D_QMIN]])</f>
        <v>#NAME?</v>
      </c>
      <c r="G213" s="523" t="e">
        <f ca="1">gr(données_step[[#This Row],[D_QMAX]])</f>
        <v>#NAME?</v>
      </c>
      <c r="H213" s="501" t="e">
        <f ca="1">gr(données_step[[#This Row],[D_PLUIE]])</f>
        <v>#NAME?</v>
      </c>
    </row>
    <row r="214" spans="1:8" x14ac:dyDescent="0.2">
      <c r="A214" s="222">
        <f>calculs!A214</f>
        <v>44765</v>
      </c>
      <c r="B214" s="523" t="e">
        <f ca="1">gr(données_step[[#This Row],[D_QDEVE]])</f>
        <v>#NAME?</v>
      </c>
      <c r="C214" s="523" t="e">
        <f ca="1">gr(données_step[[#This Row],[D_QTRAI]])</f>
        <v>#NAME?</v>
      </c>
      <c r="D214" s="523" t="e">
        <f ca="1">gr(données_step[[#This Row],[D_QDEVDP]])</f>
        <v>#NAME?</v>
      </c>
      <c r="E214" s="523" t="e">
        <f ca="1">gr(données_step[[#This Row],[D_QTRAI2]])</f>
        <v>#NAME?</v>
      </c>
      <c r="F214" s="523" t="e">
        <f ca="1">gr(données_step[[#This Row],[D_QMIN]])</f>
        <v>#NAME?</v>
      </c>
      <c r="G214" s="523" t="e">
        <f ca="1">gr(données_step[[#This Row],[D_QMAX]])</f>
        <v>#NAME?</v>
      </c>
      <c r="H214" s="501" t="e">
        <f ca="1">gr(données_step[[#This Row],[D_PLUIE]])</f>
        <v>#NAME?</v>
      </c>
    </row>
    <row r="215" spans="1:8" x14ac:dyDescent="0.2">
      <c r="A215" s="222">
        <f>calculs!A215</f>
        <v>44766</v>
      </c>
      <c r="B215" s="523" t="e">
        <f ca="1">gr(données_step[[#This Row],[D_QDEVE]])</f>
        <v>#NAME?</v>
      </c>
      <c r="C215" s="523" t="e">
        <f ca="1">gr(données_step[[#This Row],[D_QTRAI]])</f>
        <v>#NAME?</v>
      </c>
      <c r="D215" s="523" t="e">
        <f ca="1">gr(données_step[[#This Row],[D_QDEVDP]])</f>
        <v>#NAME?</v>
      </c>
      <c r="E215" s="523" t="e">
        <f ca="1">gr(données_step[[#This Row],[D_QTRAI2]])</f>
        <v>#NAME?</v>
      </c>
      <c r="F215" s="523" t="e">
        <f ca="1">gr(données_step[[#This Row],[D_QMIN]])</f>
        <v>#NAME?</v>
      </c>
      <c r="G215" s="523" t="e">
        <f ca="1">gr(données_step[[#This Row],[D_QMAX]])</f>
        <v>#NAME?</v>
      </c>
      <c r="H215" s="501" t="e">
        <f ca="1">gr(données_step[[#This Row],[D_PLUIE]])</f>
        <v>#NAME?</v>
      </c>
    </row>
    <row r="216" spans="1:8" x14ac:dyDescent="0.2">
      <c r="A216" s="222">
        <f>calculs!A216</f>
        <v>44767</v>
      </c>
      <c r="B216" s="523" t="e">
        <f ca="1">gr(données_step[[#This Row],[D_QDEVE]])</f>
        <v>#NAME?</v>
      </c>
      <c r="C216" s="523" t="e">
        <f ca="1">gr(données_step[[#This Row],[D_QTRAI]])</f>
        <v>#NAME?</v>
      </c>
      <c r="D216" s="523" t="e">
        <f ca="1">gr(données_step[[#This Row],[D_QDEVDP]])</f>
        <v>#NAME?</v>
      </c>
      <c r="E216" s="523" t="e">
        <f ca="1">gr(données_step[[#This Row],[D_QTRAI2]])</f>
        <v>#NAME?</v>
      </c>
      <c r="F216" s="523" t="e">
        <f ca="1">gr(données_step[[#This Row],[D_QMIN]])</f>
        <v>#NAME?</v>
      </c>
      <c r="G216" s="523" t="e">
        <f ca="1">gr(données_step[[#This Row],[D_QMAX]])</f>
        <v>#NAME?</v>
      </c>
      <c r="H216" s="501" t="e">
        <f ca="1">gr(données_step[[#This Row],[D_PLUIE]])</f>
        <v>#NAME?</v>
      </c>
    </row>
    <row r="217" spans="1:8" x14ac:dyDescent="0.2">
      <c r="A217" s="222">
        <f>calculs!A217</f>
        <v>44768</v>
      </c>
      <c r="B217" s="523" t="e">
        <f ca="1">gr(données_step[[#This Row],[D_QDEVE]])</f>
        <v>#NAME?</v>
      </c>
      <c r="C217" s="523" t="e">
        <f ca="1">gr(données_step[[#This Row],[D_QTRAI]])</f>
        <v>#NAME?</v>
      </c>
      <c r="D217" s="523" t="e">
        <f ca="1">gr(données_step[[#This Row],[D_QDEVDP]])</f>
        <v>#NAME?</v>
      </c>
      <c r="E217" s="523" t="e">
        <f ca="1">gr(données_step[[#This Row],[D_QTRAI2]])</f>
        <v>#NAME?</v>
      </c>
      <c r="F217" s="523" t="e">
        <f ca="1">gr(données_step[[#This Row],[D_QMIN]])</f>
        <v>#NAME?</v>
      </c>
      <c r="G217" s="523" t="e">
        <f ca="1">gr(données_step[[#This Row],[D_QMAX]])</f>
        <v>#NAME?</v>
      </c>
      <c r="H217" s="501" t="e">
        <f ca="1">gr(données_step[[#This Row],[D_PLUIE]])</f>
        <v>#NAME?</v>
      </c>
    </row>
    <row r="218" spans="1:8" x14ac:dyDescent="0.2">
      <c r="A218" s="222">
        <f>calculs!A218</f>
        <v>44769</v>
      </c>
      <c r="B218" s="523" t="e">
        <f ca="1">gr(données_step[[#This Row],[D_QDEVE]])</f>
        <v>#NAME?</v>
      </c>
      <c r="C218" s="523" t="e">
        <f ca="1">gr(données_step[[#This Row],[D_QTRAI]])</f>
        <v>#NAME?</v>
      </c>
      <c r="D218" s="523" t="e">
        <f ca="1">gr(données_step[[#This Row],[D_QDEVDP]])</f>
        <v>#NAME?</v>
      </c>
      <c r="E218" s="523" t="e">
        <f ca="1">gr(données_step[[#This Row],[D_QTRAI2]])</f>
        <v>#NAME?</v>
      </c>
      <c r="F218" s="523" t="e">
        <f ca="1">gr(données_step[[#This Row],[D_QMIN]])</f>
        <v>#NAME?</v>
      </c>
      <c r="G218" s="523" t="e">
        <f ca="1">gr(données_step[[#This Row],[D_QMAX]])</f>
        <v>#NAME?</v>
      </c>
      <c r="H218" s="501" t="e">
        <f ca="1">gr(données_step[[#This Row],[D_PLUIE]])</f>
        <v>#NAME?</v>
      </c>
    </row>
    <row r="219" spans="1:8" x14ac:dyDescent="0.2">
      <c r="A219" s="222">
        <f>calculs!A219</f>
        <v>44770</v>
      </c>
      <c r="B219" s="523" t="e">
        <f ca="1">gr(données_step[[#This Row],[D_QDEVE]])</f>
        <v>#NAME?</v>
      </c>
      <c r="C219" s="523" t="e">
        <f ca="1">gr(données_step[[#This Row],[D_QTRAI]])</f>
        <v>#NAME?</v>
      </c>
      <c r="D219" s="523" t="e">
        <f ca="1">gr(données_step[[#This Row],[D_QDEVDP]])</f>
        <v>#NAME?</v>
      </c>
      <c r="E219" s="523" t="e">
        <f ca="1">gr(données_step[[#This Row],[D_QTRAI2]])</f>
        <v>#NAME?</v>
      </c>
      <c r="F219" s="523" t="e">
        <f ca="1">gr(données_step[[#This Row],[D_QMIN]])</f>
        <v>#NAME?</v>
      </c>
      <c r="G219" s="523" t="e">
        <f ca="1">gr(données_step[[#This Row],[D_QMAX]])</f>
        <v>#NAME?</v>
      </c>
      <c r="H219" s="501" t="e">
        <f ca="1">gr(données_step[[#This Row],[D_PLUIE]])</f>
        <v>#NAME?</v>
      </c>
    </row>
    <row r="220" spans="1:8" x14ac:dyDescent="0.2">
      <c r="A220" s="222">
        <f>calculs!A220</f>
        <v>44771</v>
      </c>
      <c r="B220" s="523" t="e">
        <f ca="1">gr(données_step[[#This Row],[D_QDEVE]])</f>
        <v>#NAME?</v>
      </c>
      <c r="C220" s="523" t="e">
        <f ca="1">gr(données_step[[#This Row],[D_QTRAI]])</f>
        <v>#NAME?</v>
      </c>
      <c r="D220" s="523" t="e">
        <f ca="1">gr(données_step[[#This Row],[D_QDEVDP]])</f>
        <v>#NAME?</v>
      </c>
      <c r="E220" s="523" t="e">
        <f ca="1">gr(données_step[[#This Row],[D_QTRAI2]])</f>
        <v>#NAME?</v>
      </c>
      <c r="F220" s="523" t="e">
        <f ca="1">gr(données_step[[#This Row],[D_QMIN]])</f>
        <v>#NAME?</v>
      </c>
      <c r="G220" s="523" t="e">
        <f ca="1">gr(données_step[[#This Row],[D_QMAX]])</f>
        <v>#NAME?</v>
      </c>
      <c r="H220" s="501" t="e">
        <f ca="1">gr(données_step[[#This Row],[D_PLUIE]])</f>
        <v>#NAME?</v>
      </c>
    </row>
    <row r="221" spans="1:8" x14ac:dyDescent="0.2">
      <c r="A221" s="222">
        <f>calculs!A221</f>
        <v>44772</v>
      </c>
      <c r="B221" s="523" t="e">
        <f ca="1">gr(données_step[[#This Row],[D_QDEVE]])</f>
        <v>#NAME?</v>
      </c>
      <c r="C221" s="523" t="e">
        <f ca="1">gr(données_step[[#This Row],[D_QTRAI]])</f>
        <v>#NAME?</v>
      </c>
      <c r="D221" s="523" t="e">
        <f ca="1">gr(données_step[[#This Row],[D_QDEVDP]])</f>
        <v>#NAME?</v>
      </c>
      <c r="E221" s="523" t="e">
        <f ca="1">gr(données_step[[#This Row],[D_QTRAI2]])</f>
        <v>#NAME?</v>
      </c>
      <c r="F221" s="523" t="e">
        <f ca="1">gr(données_step[[#This Row],[D_QMIN]])</f>
        <v>#NAME?</v>
      </c>
      <c r="G221" s="523" t="e">
        <f ca="1">gr(données_step[[#This Row],[D_QMAX]])</f>
        <v>#NAME?</v>
      </c>
      <c r="H221" s="501" t="e">
        <f ca="1">gr(données_step[[#This Row],[D_PLUIE]])</f>
        <v>#NAME?</v>
      </c>
    </row>
    <row r="222" spans="1:8" x14ac:dyDescent="0.2">
      <c r="A222" s="222">
        <f>calculs!A222</f>
        <v>44773</v>
      </c>
      <c r="B222" s="523" t="e">
        <f ca="1">gr(données_step[[#This Row],[D_QDEVE]])</f>
        <v>#NAME?</v>
      </c>
      <c r="C222" s="523" t="e">
        <f ca="1">gr(données_step[[#This Row],[D_QTRAI]])</f>
        <v>#NAME?</v>
      </c>
      <c r="D222" s="523" t="e">
        <f ca="1">gr(données_step[[#This Row],[D_QDEVDP]])</f>
        <v>#NAME?</v>
      </c>
      <c r="E222" s="523" t="e">
        <f ca="1">gr(données_step[[#This Row],[D_QTRAI2]])</f>
        <v>#NAME?</v>
      </c>
      <c r="F222" s="523" t="e">
        <f ca="1">gr(données_step[[#This Row],[D_QMIN]])</f>
        <v>#NAME?</v>
      </c>
      <c r="G222" s="523" t="e">
        <f ca="1">gr(données_step[[#This Row],[D_QMAX]])</f>
        <v>#NAME?</v>
      </c>
      <c r="H222" s="501" t="e">
        <f ca="1">gr(données_step[[#This Row],[D_PLUIE]])</f>
        <v>#NAME?</v>
      </c>
    </row>
    <row r="223" spans="1:8" x14ac:dyDescent="0.2">
      <c r="A223" s="222">
        <f>calculs!A223</f>
        <v>44774</v>
      </c>
      <c r="B223" s="523" t="e">
        <f ca="1">gr(données_step[[#This Row],[D_QDEVE]])</f>
        <v>#NAME?</v>
      </c>
      <c r="C223" s="523" t="e">
        <f ca="1">gr(données_step[[#This Row],[D_QTRAI]])</f>
        <v>#NAME?</v>
      </c>
      <c r="D223" s="523" t="e">
        <f ca="1">gr(données_step[[#This Row],[D_QDEVDP]])</f>
        <v>#NAME?</v>
      </c>
      <c r="E223" s="523" t="e">
        <f ca="1">gr(données_step[[#This Row],[D_QTRAI2]])</f>
        <v>#NAME?</v>
      </c>
      <c r="F223" s="523" t="e">
        <f ca="1">gr(données_step[[#This Row],[D_QMIN]])</f>
        <v>#NAME?</v>
      </c>
      <c r="G223" s="523" t="e">
        <f ca="1">gr(données_step[[#This Row],[D_QMAX]])</f>
        <v>#NAME?</v>
      </c>
      <c r="H223" s="501" t="e">
        <f ca="1">gr(données_step[[#This Row],[D_PLUIE]])</f>
        <v>#NAME?</v>
      </c>
    </row>
    <row r="224" spans="1:8" x14ac:dyDescent="0.2">
      <c r="A224" s="222">
        <f>calculs!A224</f>
        <v>44775</v>
      </c>
      <c r="B224" s="523" t="e">
        <f ca="1">gr(données_step[[#This Row],[D_QDEVE]])</f>
        <v>#NAME?</v>
      </c>
      <c r="C224" s="523" t="e">
        <f ca="1">gr(données_step[[#This Row],[D_QTRAI]])</f>
        <v>#NAME?</v>
      </c>
      <c r="D224" s="523" t="e">
        <f ca="1">gr(données_step[[#This Row],[D_QDEVDP]])</f>
        <v>#NAME?</v>
      </c>
      <c r="E224" s="523" t="e">
        <f ca="1">gr(données_step[[#This Row],[D_QTRAI2]])</f>
        <v>#NAME?</v>
      </c>
      <c r="F224" s="523" t="e">
        <f ca="1">gr(données_step[[#This Row],[D_QMIN]])</f>
        <v>#NAME?</v>
      </c>
      <c r="G224" s="523" t="e">
        <f ca="1">gr(données_step[[#This Row],[D_QMAX]])</f>
        <v>#NAME?</v>
      </c>
      <c r="H224" s="501" t="e">
        <f ca="1">gr(données_step[[#This Row],[D_PLUIE]])</f>
        <v>#NAME?</v>
      </c>
    </row>
    <row r="225" spans="1:8" x14ac:dyDescent="0.2">
      <c r="A225" s="222">
        <f>calculs!A225</f>
        <v>44776</v>
      </c>
      <c r="B225" s="523" t="e">
        <f ca="1">gr(données_step[[#This Row],[D_QDEVE]])</f>
        <v>#NAME?</v>
      </c>
      <c r="C225" s="523" t="e">
        <f ca="1">gr(données_step[[#This Row],[D_QTRAI]])</f>
        <v>#NAME?</v>
      </c>
      <c r="D225" s="523" t="e">
        <f ca="1">gr(données_step[[#This Row],[D_QDEVDP]])</f>
        <v>#NAME?</v>
      </c>
      <c r="E225" s="523" t="e">
        <f ca="1">gr(données_step[[#This Row],[D_QTRAI2]])</f>
        <v>#NAME?</v>
      </c>
      <c r="F225" s="523" t="e">
        <f ca="1">gr(données_step[[#This Row],[D_QMIN]])</f>
        <v>#NAME?</v>
      </c>
      <c r="G225" s="523" t="e">
        <f ca="1">gr(données_step[[#This Row],[D_QMAX]])</f>
        <v>#NAME?</v>
      </c>
      <c r="H225" s="501" t="e">
        <f ca="1">gr(données_step[[#This Row],[D_PLUIE]])</f>
        <v>#NAME?</v>
      </c>
    </row>
    <row r="226" spans="1:8" x14ac:dyDescent="0.2">
      <c r="A226" s="222">
        <f>calculs!A226</f>
        <v>44777</v>
      </c>
      <c r="B226" s="523" t="e">
        <f ca="1">gr(données_step[[#This Row],[D_QDEVE]])</f>
        <v>#NAME?</v>
      </c>
      <c r="C226" s="523" t="e">
        <f ca="1">gr(données_step[[#This Row],[D_QTRAI]])</f>
        <v>#NAME?</v>
      </c>
      <c r="D226" s="523" t="e">
        <f ca="1">gr(données_step[[#This Row],[D_QDEVDP]])</f>
        <v>#NAME?</v>
      </c>
      <c r="E226" s="523" t="e">
        <f ca="1">gr(données_step[[#This Row],[D_QTRAI2]])</f>
        <v>#NAME?</v>
      </c>
      <c r="F226" s="523" t="e">
        <f ca="1">gr(données_step[[#This Row],[D_QMIN]])</f>
        <v>#NAME?</v>
      </c>
      <c r="G226" s="523" t="e">
        <f ca="1">gr(données_step[[#This Row],[D_QMAX]])</f>
        <v>#NAME?</v>
      </c>
      <c r="H226" s="501" t="e">
        <f ca="1">gr(données_step[[#This Row],[D_PLUIE]])</f>
        <v>#NAME?</v>
      </c>
    </row>
    <row r="227" spans="1:8" x14ac:dyDescent="0.2">
      <c r="A227" s="222">
        <f>calculs!A227</f>
        <v>44778</v>
      </c>
      <c r="B227" s="523" t="e">
        <f ca="1">gr(données_step[[#This Row],[D_QDEVE]])</f>
        <v>#NAME?</v>
      </c>
      <c r="C227" s="523" t="e">
        <f ca="1">gr(données_step[[#This Row],[D_QTRAI]])</f>
        <v>#NAME?</v>
      </c>
      <c r="D227" s="523" t="e">
        <f ca="1">gr(données_step[[#This Row],[D_QDEVDP]])</f>
        <v>#NAME?</v>
      </c>
      <c r="E227" s="523" t="e">
        <f ca="1">gr(données_step[[#This Row],[D_QTRAI2]])</f>
        <v>#NAME?</v>
      </c>
      <c r="F227" s="523" t="e">
        <f ca="1">gr(données_step[[#This Row],[D_QMIN]])</f>
        <v>#NAME?</v>
      </c>
      <c r="G227" s="523" t="e">
        <f ca="1">gr(données_step[[#This Row],[D_QMAX]])</f>
        <v>#NAME?</v>
      </c>
      <c r="H227" s="501" t="e">
        <f ca="1">gr(données_step[[#This Row],[D_PLUIE]])</f>
        <v>#NAME?</v>
      </c>
    </row>
    <row r="228" spans="1:8" x14ac:dyDescent="0.2">
      <c r="A228" s="222">
        <f>calculs!A228</f>
        <v>44779</v>
      </c>
      <c r="B228" s="523" t="e">
        <f ca="1">gr(données_step[[#This Row],[D_QDEVE]])</f>
        <v>#NAME?</v>
      </c>
      <c r="C228" s="523" t="e">
        <f ca="1">gr(données_step[[#This Row],[D_QTRAI]])</f>
        <v>#NAME?</v>
      </c>
      <c r="D228" s="523" t="e">
        <f ca="1">gr(données_step[[#This Row],[D_QDEVDP]])</f>
        <v>#NAME?</v>
      </c>
      <c r="E228" s="523" t="e">
        <f ca="1">gr(données_step[[#This Row],[D_QTRAI2]])</f>
        <v>#NAME?</v>
      </c>
      <c r="F228" s="523" t="e">
        <f ca="1">gr(données_step[[#This Row],[D_QMIN]])</f>
        <v>#NAME?</v>
      </c>
      <c r="G228" s="523" t="e">
        <f ca="1">gr(données_step[[#This Row],[D_QMAX]])</f>
        <v>#NAME?</v>
      </c>
      <c r="H228" s="501" t="e">
        <f ca="1">gr(données_step[[#This Row],[D_PLUIE]])</f>
        <v>#NAME?</v>
      </c>
    </row>
    <row r="229" spans="1:8" x14ac:dyDescent="0.2">
      <c r="A229" s="222">
        <f>calculs!A229</f>
        <v>44780</v>
      </c>
      <c r="B229" s="523" t="e">
        <f ca="1">gr(données_step[[#This Row],[D_QDEVE]])</f>
        <v>#NAME?</v>
      </c>
      <c r="C229" s="523" t="e">
        <f ca="1">gr(données_step[[#This Row],[D_QTRAI]])</f>
        <v>#NAME?</v>
      </c>
      <c r="D229" s="523" t="e">
        <f ca="1">gr(données_step[[#This Row],[D_QDEVDP]])</f>
        <v>#NAME?</v>
      </c>
      <c r="E229" s="523" t="e">
        <f ca="1">gr(données_step[[#This Row],[D_QTRAI2]])</f>
        <v>#NAME?</v>
      </c>
      <c r="F229" s="523" t="e">
        <f ca="1">gr(données_step[[#This Row],[D_QMIN]])</f>
        <v>#NAME?</v>
      </c>
      <c r="G229" s="523" t="e">
        <f ca="1">gr(données_step[[#This Row],[D_QMAX]])</f>
        <v>#NAME?</v>
      </c>
      <c r="H229" s="501" t="e">
        <f ca="1">gr(données_step[[#This Row],[D_PLUIE]])</f>
        <v>#NAME?</v>
      </c>
    </row>
    <row r="230" spans="1:8" x14ac:dyDescent="0.2">
      <c r="A230" s="222">
        <f>calculs!A230</f>
        <v>44781</v>
      </c>
      <c r="B230" s="523" t="e">
        <f ca="1">gr(données_step[[#This Row],[D_QDEVE]])</f>
        <v>#NAME?</v>
      </c>
      <c r="C230" s="523" t="e">
        <f ca="1">gr(données_step[[#This Row],[D_QTRAI]])</f>
        <v>#NAME?</v>
      </c>
      <c r="D230" s="523" t="e">
        <f ca="1">gr(données_step[[#This Row],[D_QDEVDP]])</f>
        <v>#NAME?</v>
      </c>
      <c r="E230" s="523" t="e">
        <f ca="1">gr(données_step[[#This Row],[D_QTRAI2]])</f>
        <v>#NAME?</v>
      </c>
      <c r="F230" s="523" t="e">
        <f ca="1">gr(données_step[[#This Row],[D_QMIN]])</f>
        <v>#NAME?</v>
      </c>
      <c r="G230" s="523" t="e">
        <f ca="1">gr(données_step[[#This Row],[D_QMAX]])</f>
        <v>#NAME?</v>
      </c>
      <c r="H230" s="501" t="e">
        <f ca="1">gr(données_step[[#This Row],[D_PLUIE]])</f>
        <v>#NAME?</v>
      </c>
    </row>
    <row r="231" spans="1:8" x14ac:dyDescent="0.2">
      <c r="A231" s="222">
        <f>calculs!A231</f>
        <v>44782</v>
      </c>
      <c r="B231" s="523" t="e">
        <f ca="1">gr(données_step[[#This Row],[D_QDEVE]])</f>
        <v>#NAME?</v>
      </c>
      <c r="C231" s="523" t="e">
        <f ca="1">gr(données_step[[#This Row],[D_QTRAI]])</f>
        <v>#NAME?</v>
      </c>
      <c r="D231" s="523" t="e">
        <f ca="1">gr(données_step[[#This Row],[D_QDEVDP]])</f>
        <v>#NAME?</v>
      </c>
      <c r="E231" s="523" t="e">
        <f ca="1">gr(données_step[[#This Row],[D_QTRAI2]])</f>
        <v>#NAME?</v>
      </c>
      <c r="F231" s="523" t="e">
        <f ca="1">gr(données_step[[#This Row],[D_QMIN]])</f>
        <v>#NAME?</v>
      </c>
      <c r="G231" s="523" t="e">
        <f ca="1">gr(données_step[[#This Row],[D_QMAX]])</f>
        <v>#NAME?</v>
      </c>
      <c r="H231" s="501" t="e">
        <f ca="1">gr(données_step[[#This Row],[D_PLUIE]])</f>
        <v>#NAME?</v>
      </c>
    </row>
    <row r="232" spans="1:8" x14ac:dyDescent="0.2">
      <c r="A232" s="222">
        <f>calculs!A232</f>
        <v>44783</v>
      </c>
      <c r="B232" s="523" t="e">
        <f ca="1">gr(données_step[[#This Row],[D_QDEVE]])</f>
        <v>#NAME?</v>
      </c>
      <c r="C232" s="523" t="e">
        <f ca="1">gr(données_step[[#This Row],[D_QTRAI]])</f>
        <v>#NAME?</v>
      </c>
      <c r="D232" s="523" t="e">
        <f ca="1">gr(données_step[[#This Row],[D_QDEVDP]])</f>
        <v>#NAME?</v>
      </c>
      <c r="E232" s="523" t="e">
        <f ca="1">gr(données_step[[#This Row],[D_QTRAI2]])</f>
        <v>#NAME?</v>
      </c>
      <c r="F232" s="523" t="e">
        <f ca="1">gr(données_step[[#This Row],[D_QMIN]])</f>
        <v>#NAME?</v>
      </c>
      <c r="G232" s="523" t="e">
        <f ca="1">gr(données_step[[#This Row],[D_QMAX]])</f>
        <v>#NAME?</v>
      </c>
      <c r="H232" s="501" t="e">
        <f ca="1">gr(données_step[[#This Row],[D_PLUIE]])</f>
        <v>#NAME?</v>
      </c>
    </row>
    <row r="233" spans="1:8" x14ac:dyDescent="0.2">
      <c r="A233" s="222">
        <f>calculs!A233</f>
        <v>44784</v>
      </c>
      <c r="B233" s="523" t="e">
        <f ca="1">gr(données_step[[#This Row],[D_QDEVE]])</f>
        <v>#NAME?</v>
      </c>
      <c r="C233" s="523" t="e">
        <f ca="1">gr(données_step[[#This Row],[D_QTRAI]])</f>
        <v>#NAME?</v>
      </c>
      <c r="D233" s="523" t="e">
        <f ca="1">gr(données_step[[#This Row],[D_QDEVDP]])</f>
        <v>#NAME?</v>
      </c>
      <c r="E233" s="523" t="e">
        <f ca="1">gr(données_step[[#This Row],[D_QTRAI2]])</f>
        <v>#NAME?</v>
      </c>
      <c r="F233" s="523" t="e">
        <f ca="1">gr(données_step[[#This Row],[D_QMIN]])</f>
        <v>#NAME?</v>
      </c>
      <c r="G233" s="523" t="e">
        <f ca="1">gr(données_step[[#This Row],[D_QMAX]])</f>
        <v>#NAME?</v>
      </c>
      <c r="H233" s="501" t="e">
        <f ca="1">gr(données_step[[#This Row],[D_PLUIE]])</f>
        <v>#NAME?</v>
      </c>
    </row>
    <row r="234" spans="1:8" x14ac:dyDescent="0.2">
      <c r="A234" s="222">
        <f>calculs!A234</f>
        <v>44785</v>
      </c>
      <c r="B234" s="523" t="e">
        <f ca="1">gr(données_step[[#This Row],[D_QDEVE]])</f>
        <v>#NAME?</v>
      </c>
      <c r="C234" s="523" t="e">
        <f ca="1">gr(données_step[[#This Row],[D_QTRAI]])</f>
        <v>#NAME?</v>
      </c>
      <c r="D234" s="523" t="e">
        <f ca="1">gr(données_step[[#This Row],[D_QDEVDP]])</f>
        <v>#NAME?</v>
      </c>
      <c r="E234" s="523" t="e">
        <f ca="1">gr(données_step[[#This Row],[D_QTRAI2]])</f>
        <v>#NAME?</v>
      </c>
      <c r="F234" s="523" t="e">
        <f ca="1">gr(données_step[[#This Row],[D_QMIN]])</f>
        <v>#NAME?</v>
      </c>
      <c r="G234" s="523" t="e">
        <f ca="1">gr(données_step[[#This Row],[D_QMAX]])</f>
        <v>#NAME?</v>
      </c>
      <c r="H234" s="501" t="e">
        <f ca="1">gr(données_step[[#This Row],[D_PLUIE]])</f>
        <v>#NAME?</v>
      </c>
    </row>
    <row r="235" spans="1:8" x14ac:dyDescent="0.2">
      <c r="A235" s="222">
        <f>calculs!A235</f>
        <v>44786</v>
      </c>
      <c r="B235" s="523" t="e">
        <f ca="1">gr(données_step[[#This Row],[D_QDEVE]])</f>
        <v>#NAME?</v>
      </c>
      <c r="C235" s="523" t="e">
        <f ca="1">gr(données_step[[#This Row],[D_QTRAI]])</f>
        <v>#NAME?</v>
      </c>
      <c r="D235" s="523" t="e">
        <f ca="1">gr(données_step[[#This Row],[D_QDEVDP]])</f>
        <v>#NAME?</v>
      </c>
      <c r="E235" s="523" t="e">
        <f ca="1">gr(données_step[[#This Row],[D_QTRAI2]])</f>
        <v>#NAME?</v>
      </c>
      <c r="F235" s="523" t="e">
        <f ca="1">gr(données_step[[#This Row],[D_QMIN]])</f>
        <v>#NAME?</v>
      </c>
      <c r="G235" s="523" t="e">
        <f ca="1">gr(données_step[[#This Row],[D_QMAX]])</f>
        <v>#NAME?</v>
      </c>
      <c r="H235" s="501" t="e">
        <f ca="1">gr(données_step[[#This Row],[D_PLUIE]])</f>
        <v>#NAME?</v>
      </c>
    </row>
    <row r="236" spans="1:8" x14ac:dyDescent="0.2">
      <c r="A236" s="222">
        <f>calculs!A236</f>
        <v>44787</v>
      </c>
      <c r="B236" s="523" t="e">
        <f ca="1">gr(données_step[[#This Row],[D_QDEVE]])</f>
        <v>#NAME?</v>
      </c>
      <c r="C236" s="523" t="e">
        <f ca="1">gr(données_step[[#This Row],[D_QTRAI]])</f>
        <v>#NAME?</v>
      </c>
      <c r="D236" s="523" t="e">
        <f ca="1">gr(données_step[[#This Row],[D_QDEVDP]])</f>
        <v>#NAME?</v>
      </c>
      <c r="E236" s="523" t="e">
        <f ca="1">gr(données_step[[#This Row],[D_QTRAI2]])</f>
        <v>#NAME?</v>
      </c>
      <c r="F236" s="523" t="e">
        <f ca="1">gr(données_step[[#This Row],[D_QMIN]])</f>
        <v>#NAME?</v>
      </c>
      <c r="G236" s="523" t="e">
        <f ca="1">gr(données_step[[#This Row],[D_QMAX]])</f>
        <v>#NAME?</v>
      </c>
      <c r="H236" s="501" t="e">
        <f ca="1">gr(données_step[[#This Row],[D_PLUIE]])</f>
        <v>#NAME?</v>
      </c>
    </row>
    <row r="237" spans="1:8" x14ac:dyDescent="0.2">
      <c r="A237" s="222">
        <f>calculs!A237</f>
        <v>44788</v>
      </c>
      <c r="B237" s="523" t="e">
        <f ca="1">gr(données_step[[#This Row],[D_QDEVE]])</f>
        <v>#NAME?</v>
      </c>
      <c r="C237" s="523" t="e">
        <f ca="1">gr(données_step[[#This Row],[D_QTRAI]])</f>
        <v>#NAME?</v>
      </c>
      <c r="D237" s="523" t="e">
        <f ca="1">gr(données_step[[#This Row],[D_QDEVDP]])</f>
        <v>#NAME?</v>
      </c>
      <c r="E237" s="523" t="e">
        <f ca="1">gr(données_step[[#This Row],[D_QTRAI2]])</f>
        <v>#NAME?</v>
      </c>
      <c r="F237" s="523" t="e">
        <f ca="1">gr(données_step[[#This Row],[D_QMIN]])</f>
        <v>#NAME?</v>
      </c>
      <c r="G237" s="523" t="e">
        <f ca="1">gr(données_step[[#This Row],[D_QMAX]])</f>
        <v>#NAME?</v>
      </c>
      <c r="H237" s="501" t="e">
        <f ca="1">gr(données_step[[#This Row],[D_PLUIE]])</f>
        <v>#NAME?</v>
      </c>
    </row>
    <row r="238" spans="1:8" x14ac:dyDescent="0.2">
      <c r="A238" s="222">
        <f>calculs!A238</f>
        <v>44789</v>
      </c>
      <c r="B238" s="523" t="e">
        <f ca="1">gr(données_step[[#This Row],[D_QDEVE]])</f>
        <v>#NAME?</v>
      </c>
      <c r="C238" s="523" t="e">
        <f ca="1">gr(données_step[[#This Row],[D_QTRAI]])</f>
        <v>#NAME?</v>
      </c>
      <c r="D238" s="523" t="e">
        <f ca="1">gr(données_step[[#This Row],[D_QDEVDP]])</f>
        <v>#NAME?</v>
      </c>
      <c r="E238" s="523" t="e">
        <f ca="1">gr(données_step[[#This Row],[D_QTRAI2]])</f>
        <v>#NAME?</v>
      </c>
      <c r="F238" s="523" t="e">
        <f ca="1">gr(données_step[[#This Row],[D_QMIN]])</f>
        <v>#NAME?</v>
      </c>
      <c r="G238" s="523" t="e">
        <f ca="1">gr(données_step[[#This Row],[D_QMAX]])</f>
        <v>#NAME?</v>
      </c>
      <c r="H238" s="501" t="e">
        <f ca="1">gr(données_step[[#This Row],[D_PLUIE]])</f>
        <v>#NAME?</v>
      </c>
    </row>
    <row r="239" spans="1:8" x14ac:dyDescent="0.2">
      <c r="A239" s="222">
        <f>calculs!A239</f>
        <v>44790</v>
      </c>
      <c r="B239" s="523" t="e">
        <f ca="1">gr(données_step[[#This Row],[D_QDEVE]])</f>
        <v>#NAME?</v>
      </c>
      <c r="C239" s="523" t="e">
        <f ca="1">gr(données_step[[#This Row],[D_QTRAI]])</f>
        <v>#NAME?</v>
      </c>
      <c r="D239" s="523" t="e">
        <f ca="1">gr(données_step[[#This Row],[D_QDEVDP]])</f>
        <v>#NAME?</v>
      </c>
      <c r="E239" s="523" t="e">
        <f ca="1">gr(données_step[[#This Row],[D_QTRAI2]])</f>
        <v>#NAME?</v>
      </c>
      <c r="F239" s="523" t="e">
        <f ca="1">gr(données_step[[#This Row],[D_QMIN]])</f>
        <v>#NAME?</v>
      </c>
      <c r="G239" s="523" t="e">
        <f ca="1">gr(données_step[[#This Row],[D_QMAX]])</f>
        <v>#NAME?</v>
      </c>
      <c r="H239" s="501" t="e">
        <f ca="1">gr(données_step[[#This Row],[D_PLUIE]])</f>
        <v>#NAME?</v>
      </c>
    </row>
    <row r="240" spans="1:8" x14ac:dyDescent="0.2">
      <c r="A240" s="222">
        <f>calculs!A240</f>
        <v>44791</v>
      </c>
      <c r="B240" s="523" t="e">
        <f ca="1">gr(données_step[[#This Row],[D_QDEVE]])</f>
        <v>#NAME?</v>
      </c>
      <c r="C240" s="523" t="e">
        <f ca="1">gr(données_step[[#This Row],[D_QTRAI]])</f>
        <v>#NAME?</v>
      </c>
      <c r="D240" s="523" t="e">
        <f ca="1">gr(données_step[[#This Row],[D_QDEVDP]])</f>
        <v>#NAME?</v>
      </c>
      <c r="E240" s="523" t="e">
        <f ca="1">gr(données_step[[#This Row],[D_QTRAI2]])</f>
        <v>#NAME?</v>
      </c>
      <c r="F240" s="523" t="e">
        <f ca="1">gr(données_step[[#This Row],[D_QMIN]])</f>
        <v>#NAME?</v>
      </c>
      <c r="G240" s="523" t="e">
        <f ca="1">gr(données_step[[#This Row],[D_QMAX]])</f>
        <v>#NAME?</v>
      </c>
      <c r="H240" s="501" t="e">
        <f ca="1">gr(données_step[[#This Row],[D_PLUIE]])</f>
        <v>#NAME?</v>
      </c>
    </row>
    <row r="241" spans="1:8" x14ac:dyDescent="0.2">
      <c r="A241" s="222">
        <f>calculs!A241</f>
        <v>44792</v>
      </c>
      <c r="B241" s="523" t="e">
        <f ca="1">gr(données_step[[#This Row],[D_QDEVE]])</f>
        <v>#NAME?</v>
      </c>
      <c r="C241" s="523" t="e">
        <f ca="1">gr(données_step[[#This Row],[D_QTRAI]])</f>
        <v>#NAME?</v>
      </c>
      <c r="D241" s="523" t="e">
        <f ca="1">gr(données_step[[#This Row],[D_QDEVDP]])</f>
        <v>#NAME?</v>
      </c>
      <c r="E241" s="523" t="e">
        <f ca="1">gr(données_step[[#This Row],[D_QTRAI2]])</f>
        <v>#NAME?</v>
      </c>
      <c r="F241" s="523" t="e">
        <f ca="1">gr(données_step[[#This Row],[D_QMIN]])</f>
        <v>#NAME?</v>
      </c>
      <c r="G241" s="523" t="e">
        <f ca="1">gr(données_step[[#This Row],[D_QMAX]])</f>
        <v>#NAME?</v>
      </c>
      <c r="H241" s="501" t="e">
        <f ca="1">gr(données_step[[#This Row],[D_PLUIE]])</f>
        <v>#NAME?</v>
      </c>
    </row>
    <row r="242" spans="1:8" x14ac:dyDescent="0.2">
      <c r="A242" s="222">
        <f>calculs!A242</f>
        <v>44793</v>
      </c>
      <c r="B242" s="523" t="e">
        <f ca="1">gr(données_step[[#This Row],[D_QDEVE]])</f>
        <v>#NAME?</v>
      </c>
      <c r="C242" s="523" t="e">
        <f ca="1">gr(données_step[[#This Row],[D_QTRAI]])</f>
        <v>#NAME?</v>
      </c>
      <c r="D242" s="523" t="e">
        <f ca="1">gr(données_step[[#This Row],[D_QDEVDP]])</f>
        <v>#NAME?</v>
      </c>
      <c r="E242" s="523" t="e">
        <f ca="1">gr(données_step[[#This Row],[D_QTRAI2]])</f>
        <v>#NAME?</v>
      </c>
      <c r="F242" s="523" t="e">
        <f ca="1">gr(données_step[[#This Row],[D_QMIN]])</f>
        <v>#NAME?</v>
      </c>
      <c r="G242" s="523" t="e">
        <f ca="1">gr(données_step[[#This Row],[D_QMAX]])</f>
        <v>#NAME?</v>
      </c>
      <c r="H242" s="501" t="e">
        <f ca="1">gr(données_step[[#This Row],[D_PLUIE]])</f>
        <v>#NAME?</v>
      </c>
    </row>
    <row r="243" spans="1:8" x14ac:dyDescent="0.2">
      <c r="A243" s="222">
        <f>calculs!A243</f>
        <v>44794</v>
      </c>
      <c r="B243" s="523" t="e">
        <f ca="1">gr(données_step[[#This Row],[D_QDEVE]])</f>
        <v>#NAME?</v>
      </c>
      <c r="C243" s="523" t="e">
        <f ca="1">gr(données_step[[#This Row],[D_QTRAI]])</f>
        <v>#NAME?</v>
      </c>
      <c r="D243" s="523" t="e">
        <f ca="1">gr(données_step[[#This Row],[D_QDEVDP]])</f>
        <v>#NAME?</v>
      </c>
      <c r="E243" s="523" t="e">
        <f ca="1">gr(données_step[[#This Row],[D_QTRAI2]])</f>
        <v>#NAME?</v>
      </c>
      <c r="F243" s="523" t="e">
        <f ca="1">gr(données_step[[#This Row],[D_QMIN]])</f>
        <v>#NAME?</v>
      </c>
      <c r="G243" s="523" t="e">
        <f ca="1">gr(données_step[[#This Row],[D_QMAX]])</f>
        <v>#NAME?</v>
      </c>
      <c r="H243" s="501" t="e">
        <f ca="1">gr(données_step[[#This Row],[D_PLUIE]])</f>
        <v>#NAME?</v>
      </c>
    </row>
    <row r="244" spans="1:8" x14ac:dyDescent="0.2">
      <c r="A244" s="222">
        <f>calculs!A244</f>
        <v>44795</v>
      </c>
      <c r="B244" s="523" t="e">
        <f ca="1">gr(données_step[[#This Row],[D_QDEVE]])</f>
        <v>#NAME?</v>
      </c>
      <c r="C244" s="523" t="e">
        <f ca="1">gr(données_step[[#This Row],[D_QTRAI]])</f>
        <v>#NAME?</v>
      </c>
      <c r="D244" s="523" t="e">
        <f ca="1">gr(données_step[[#This Row],[D_QDEVDP]])</f>
        <v>#NAME?</v>
      </c>
      <c r="E244" s="523" t="e">
        <f ca="1">gr(données_step[[#This Row],[D_QTRAI2]])</f>
        <v>#NAME?</v>
      </c>
      <c r="F244" s="523" t="e">
        <f ca="1">gr(données_step[[#This Row],[D_QMIN]])</f>
        <v>#NAME?</v>
      </c>
      <c r="G244" s="523" t="e">
        <f ca="1">gr(données_step[[#This Row],[D_QMAX]])</f>
        <v>#NAME?</v>
      </c>
      <c r="H244" s="501" t="e">
        <f ca="1">gr(données_step[[#This Row],[D_PLUIE]])</f>
        <v>#NAME?</v>
      </c>
    </row>
    <row r="245" spans="1:8" x14ac:dyDescent="0.2">
      <c r="A245" s="222">
        <f>calculs!A245</f>
        <v>44796</v>
      </c>
      <c r="B245" s="523" t="e">
        <f ca="1">gr(données_step[[#This Row],[D_QDEVE]])</f>
        <v>#NAME?</v>
      </c>
      <c r="C245" s="523" t="e">
        <f ca="1">gr(données_step[[#This Row],[D_QTRAI]])</f>
        <v>#NAME?</v>
      </c>
      <c r="D245" s="523" t="e">
        <f ca="1">gr(données_step[[#This Row],[D_QDEVDP]])</f>
        <v>#NAME?</v>
      </c>
      <c r="E245" s="523" t="e">
        <f ca="1">gr(données_step[[#This Row],[D_QTRAI2]])</f>
        <v>#NAME?</v>
      </c>
      <c r="F245" s="523" t="e">
        <f ca="1">gr(données_step[[#This Row],[D_QMIN]])</f>
        <v>#NAME?</v>
      </c>
      <c r="G245" s="523" t="e">
        <f ca="1">gr(données_step[[#This Row],[D_QMAX]])</f>
        <v>#NAME?</v>
      </c>
      <c r="H245" s="501" t="e">
        <f ca="1">gr(données_step[[#This Row],[D_PLUIE]])</f>
        <v>#NAME?</v>
      </c>
    </row>
    <row r="246" spans="1:8" x14ac:dyDescent="0.2">
      <c r="A246" s="222">
        <f>calculs!A246</f>
        <v>44797</v>
      </c>
      <c r="B246" s="523" t="e">
        <f ca="1">gr(données_step[[#This Row],[D_QDEVE]])</f>
        <v>#NAME?</v>
      </c>
      <c r="C246" s="523" t="e">
        <f ca="1">gr(données_step[[#This Row],[D_QTRAI]])</f>
        <v>#NAME?</v>
      </c>
      <c r="D246" s="523" t="e">
        <f ca="1">gr(données_step[[#This Row],[D_QDEVDP]])</f>
        <v>#NAME?</v>
      </c>
      <c r="E246" s="523" t="e">
        <f ca="1">gr(données_step[[#This Row],[D_QTRAI2]])</f>
        <v>#NAME?</v>
      </c>
      <c r="F246" s="523" t="e">
        <f ca="1">gr(données_step[[#This Row],[D_QMIN]])</f>
        <v>#NAME?</v>
      </c>
      <c r="G246" s="523" t="e">
        <f ca="1">gr(données_step[[#This Row],[D_QMAX]])</f>
        <v>#NAME?</v>
      </c>
      <c r="H246" s="501" t="e">
        <f ca="1">gr(données_step[[#This Row],[D_PLUIE]])</f>
        <v>#NAME?</v>
      </c>
    </row>
    <row r="247" spans="1:8" x14ac:dyDescent="0.2">
      <c r="A247" s="222">
        <f>calculs!A247</f>
        <v>44798</v>
      </c>
      <c r="B247" s="523" t="e">
        <f ca="1">gr(données_step[[#This Row],[D_QDEVE]])</f>
        <v>#NAME?</v>
      </c>
      <c r="C247" s="523" t="e">
        <f ca="1">gr(données_step[[#This Row],[D_QTRAI]])</f>
        <v>#NAME?</v>
      </c>
      <c r="D247" s="523" t="e">
        <f ca="1">gr(données_step[[#This Row],[D_QDEVDP]])</f>
        <v>#NAME?</v>
      </c>
      <c r="E247" s="523" t="e">
        <f ca="1">gr(données_step[[#This Row],[D_QTRAI2]])</f>
        <v>#NAME?</v>
      </c>
      <c r="F247" s="523" t="e">
        <f ca="1">gr(données_step[[#This Row],[D_QMIN]])</f>
        <v>#NAME?</v>
      </c>
      <c r="G247" s="523" t="e">
        <f ca="1">gr(données_step[[#This Row],[D_QMAX]])</f>
        <v>#NAME?</v>
      </c>
      <c r="H247" s="501" t="e">
        <f ca="1">gr(données_step[[#This Row],[D_PLUIE]])</f>
        <v>#NAME?</v>
      </c>
    </row>
    <row r="248" spans="1:8" x14ac:dyDescent="0.2">
      <c r="A248" s="222">
        <f>calculs!A248</f>
        <v>44799</v>
      </c>
      <c r="B248" s="523" t="e">
        <f ca="1">gr(données_step[[#This Row],[D_QDEVE]])</f>
        <v>#NAME?</v>
      </c>
      <c r="C248" s="523" t="e">
        <f ca="1">gr(données_step[[#This Row],[D_QTRAI]])</f>
        <v>#NAME?</v>
      </c>
      <c r="D248" s="523" t="e">
        <f ca="1">gr(données_step[[#This Row],[D_QDEVDP]])</f>
        <v>#NAME?</v>
      </c>
      <c r="E248" s="523" t="e">
        <f ca="1">gr(données_step[[#This Row],[D_QTRAI2]])</f>
        <v>#NAME?</v>
      </c>
      <c r="F248" s="523" t="e">
        <f ca="1">gr(données_step[[#This Row],[D_QMIN]])</f>
        <v>#NAME?</v>
      </c>
      <c r="G248" s="523" t="e">
        <f ca="1">gr(données_step[[#This Row],[D_QMAX]])</f>
        <v>#NAME?</v>
      </c>
      <c r="H248" s="501" t="e">
        <f ca="1">gr(données_step[[#This Row],[D_PLUIE]])</f>
        <v>#NAME?</v>
      </c>
    </row>
    <row r="249" spans="1:8" x14ac:dyDescent="0.2">
      <c r="A249" s="222">
        <f>calculs!A249</f>
        <v>44800</v>
      </c>
      <c r="B249" s="523" t="e">
        <f ca="1">gr(données_step[[#This Row],[D_QDEVE]])</f>
        <v>#NAME?</v>
      </c>
      <c r="C249" s="523" t="e">
        <f ca="1">gr(données_step[[#This Row],[D_QTRAI]])</f>
        <v>#NAME?</v>
      </c>
      <c r="D249" s="523" t="e">
        <f ca="1">gr(données_step[[#This Row],[D_QDEVDP]])</f>
        <v>#NAME?</v>
      </c>
      <c r="E249" s="523" t="e">
        <f ca="1">gr(données_step[[#This Row],[D_QTRAI2]])</f>
        <v>#NAME?</v>
      </c>
      <c r="F249" s="523" t="e">
        <f ca="1">gr(données_step[[#This Row],[D_QMIN]])</f>
        <v>#NAME?</v>
      </c>
      <c r="G249" s="523" t="e">
        <f ca="1">gr(données_step[[#This Row],[D_QMAX]])</f>
        <v>#NAME?</v>
      </c>
      <c r="H249" s="501" t="e">
        <f ca="1">gr(données_step[[#This Row],[D_PLUIE]])</f>
        <v>#NAME?</v>
      </c>
    </row>
    <row r="250" spans="1:8" x14ac:dyDescent="0.2">
      <c r="A250" s="222">
        <f>calculs!A250</f>
        <v>44801</v>
      </c>
      <c r="B250" s="523" t="e">
        <f ca="1">gr(données_step[[#This Row],[D_QDEVE]])</f>
        <v>#NAME?</v>
      </c>
      <c r="C250" s="523" t="e">
        <f ca="1">gr(données_step[[#This Row],[D_QTRAI]])</f>
        <v>#NAME?</v>
      </c>
      <c r="D250" s="523" t="e">
        <f ca="1">gr(données_step[[#This Row],[D_QDEVDP]])</f>
        <v>#NAME?</v>
      </c>
      <c r="E250" s="523" t="e">
        <f ca="1">gr(données_step[[#This Row],[D_QTRAI2]])</f>
        <v>#NAME?</v>
      </c>
      <c r="F250" s="523" t="e">
        <f ca="1">gr(données_step[[#This Row],[D_QMIN]])</f>
        <v>#NAME?</v>
      </c>
      <c r="G250" s="523" t="e">
        <f ca="1">gr(données_step[[#This Row],[D_QMAX]])</f>
        <v>#NAME?</v>
      </c>
      <c r="H250" s="501" t="e">
        <f ca="1">gr(données_step[[#This Row],[D_PLUIE]])</f>
        <v>#NAME?</v>
      </c>
    </row>
    <row r="251" spans="1:8" x14ac:dyDescent="0.2">
      <c r="A251" s="222">
        <f>calculs!A251</f>
        <v>44802</v>
      </c>
      <c r="B251" s="523" t="e">
        <f ca="1">gr(données_step[[#This Row],[D_QDEVE]])</f>
        <v>#NAME?</v>
      </c>
      <c r="C251" s="523" t="e">
        <f ca="1">gr(données_step[[#This Row],[D_QTRAI]])</f>
        <v>#NAME?</v>
      </c>
      <c r="D251" s="523" t="e">
        <f ca="1">gr(données_step[[#This Row],[D_QDEVDP]])</f>
        <v>#NAME?</v>
      </c>
      <c r="E251" s="523" t="e">
        <f ca="1">gr(données_step[[#This Row],[D_QTRAI2]])</f>
        <v>#NAME?</v>
      </c>
      <c r="F251" s="523" t="e">
        <f ca="1">gr(données_step[[#This Row],[D_QMIN]])</f>
        <v>#NAME?</v>
      </c>
      <c r="G251" s="523" t="e">
        <f ca="1">gr(données_step[[#This Row],[D_QMAX]])</f>
        <v>#NAME?</v>
      </c>
      <c r="H251" s="501" t="e">
        <f ca="1">gr(données_step[[#This Row],[D_PLUIE]])</f>
        <v>#NAME?</v>
      </c>
    </row>
    <row r="252" spans="1:8" x14ac:dyDescent="0.2">
      <c r="A252" s="222">
        <f>calculs!A252</f>
        <v>44803</v>
      </c>
      <c r="B252" s="523" t="e">
        <f ca="1">gr(données_step[[#This Row],[D_QDEVE]])</f>
        <v>#NAME?</v>
      </c>
      <c r="C252" s="523" t="e">
        <f ca="1">gr(données_step[[#This Row],[D_QTRAI]])</f>
        <v>#NAME?</v>
      </c>
      <c r="D252" s="523" t="e">
        <f ca="1">gr(données_step[[#This Row],[D_QDEVDP]])</f>
        <v>#NAME?</v>
      </c>
      <c r="E252" s="523" t="e">
        <f ca="1">gr(données_step[[#This Row],[D_QTRAI2]])</f>
        <v>#NAME?</v>
      </c>
      <c r="F252" s="523" t="e">
        <f ca="1">gr(données_step[[#This Row],[D_QMIN]])</f>
        <v>#NAME?</v>
      </c>
      <c r="G252" s="523" t="e">
        <f ca="1">gr(données_step[[#This Row],[D_QMAX]])</f>
        <v>#NAME?</v>
      </c>
      <c r="H252" s="501" t="e">
        <f ca="1">gr(données_step[[#This Row],[D_PLUIE]])</f>
        <v>#NAME?</v>
      </c>
    </row>
    <row r="253" spans="1:8" x14ac:dyDescent="0.2">
      <c r="A253" s="222">
        <f>calculs!A253</f>
        <v>44804</v>
      </c>
      <c r="B253" s="523" t="e">
        <f ca="1">gr(données_step[[#This Row],[D_QDEVE]])</f>
        <v>#NAME?</v>
      </c>
      <c r="C253" s="523" t="e">
        <f ca="1">gr(données_step[[#This Row],[D_QTRAI]])</f>
        <v>#NAME?</v>
      </c>
      <c r="D253" s="523" t="e">
        <f ca="1">gr(données_step[[#This Row],[D_QDEVDP]])</f>
        <v>#NAME?</v>
      </c>
      <c r="E253" s="523" t="e">
        <f ca="1">gr(données_step[[#This Row],[D_QTRAI2]])</f>
        <v>#NAME?</v>
      </c>
      <c r="F253" s="523" t="e">
        <f ca="1">gr(données_step[[#This Row],[D_QMIN]])</f>
        <v>#NAME?</v>
      </c>
      <c r="G253" s="523" t="e">
        <f ca="1">gr(données_step[[#This Row],[D_QMAX]])</f>
        <v>#NAME?</v>
      </c>
      <c r="H253" s="501" t="e">
        <f ca="1">gr(données_step[[#This Row],[D_PLUIE]])</f>
        <v>#NAME?</v>
      </c>
    </row>
    <row r="254" spans="1:8" x14ac:dyDescent="0.2">
      <c r="A254" s="222">
        <f>calculs!A254</f>
        <v>44805</v>
      </c>
      <c r="B254" s="523" t="e">
        <f ca="1">gr(données_step[[#This Row],[D_QDEVE]])</f>
        <v>#NAME?</v>
      </c>
      <c r="C254" s="523" t="e">
        <f ca="1">gr(données_step[[#This Row],[D_QTRAI]])</f>
        <v>#NAME?</v>
      </c>
      <c r="D254" s="523" t="e">
        <f ca="1">gr(données_step[[#This Row],[D_QDEVDP]])</f>
        <v>#NAME?</v>
      </c>
      <c r="E254" s="523" t="e">
        <f ca="1">gr(données_step[[#This Row],[D_QTRAI2]])</f>
        <v>#NAME?</v>
      </c>
      <c r="F254" s="523" t="e">
        <f ca="1">gr(données_step[[#This Row],[D_QMIN]])</f>
        <v>#NAME?</v>
      </c>
      <c r="G254" s="523" t="e">
        <f ca="1">gr(données_step[[#This Row],[D_QMAX]])</f>
        <v>#NAME?</v>
      </c>
      <c r="H254" s="501" t="e">
        <f ca="1">gr(données_step[[#This Row],[D_PLUIE]])</f>
        <v>#NAME?</v>
      </c>
    </row>
    <row r="255" spans="1:8" x14ac:dyDescent="0.2">
      <c r="A255" s="222">
        <f>calculs!A255</f>
        <v>44806</v>
      </c>
      <c r="B255" s="523" t="e">
        <f ca="1">gr(données_step[[#This Row],[D_QDEVE]])</f>
        <v>#NAME?</v>
      </c>
      <c r="C255" s="523" t="e">
        <f ca="1">gr(données_step[[#This Row],[D_QTRAI]])</f>
        <v>#NAME?</v>
      </c>
      <c r="D255" s="523" t="e">
        <f ca="1">gr(données_step[[#This Row],[D_QDEVDP]])</f>
        <v>#NAME?</v>
      </c>
      <c r="E255" s="523" t="e">
        <f ca="1">gr(données_step[[#This Row],[D_QTRAI2]])</f>
        <v>#NAME?</v>
      </c>
      <c r="F255" s="523" t="e">
        <f ca="1">gr(données_step[[#This Row],[D_QMIN]])</f>
        <v>#NAME?</v>
      </c>
      <c r="G255" s="523" t="e">
        <f ca="1">gr(données_step[[#This Row],[D_QMAX]])</f>
        <v>#NAME?</v>
      </c>
      <c r="H255" s="501" t="e">
        <f ca="1">gr(données_step[[#This Row],[D_PLUIE]])</f>
        <v>#NAME?</v>
      </c>
    </row>
    <row r="256" spans="1:8" x14ac:dyDescent="0.2">
      <c r="A256" s="222">
        <f>calculs!A256</f>
        <v>44807</v>
      </c>
      <c r="B256" s="523" t="e">
        <f ca="1">gr(données_step[[#This Row],[D_QDEVE]])</f>
        <v>#NAME?</v>
      </c>
      <c r="C256" s="523" t="e">
        <f ca="1">gr(données_step[[#This Row],[D_QTRAI]])</f>
        <v>#NAME?</v>
      </c>
      <c r="D256" s="523" t="e">
        <f ca="1">gr(données_step[[#This Row],[D_QDEVDP]])</f>
        <v>#NAME?</v>
      </c>
      <c r="E256" s="523" t="e">
        <f ca="1">gr(données_step[[#This Row],[D_QTRAI2]])</f>
        <v>#NAME?</v>
      </c>
      <c r="F256" s="523" t="e">
        <f ca="1">gr(données_step[[#This Row],[D_QMIN]])</f>
        <v>#NAME?</v>
      </c>
      <c r="G256" s="523" t="e">
        <f ca="1">gr(données_step[[#This Row],[D_QMAX]])</f>
        <v>#NAME?</v>
      </c>
      <c r="H256" s="501" t="e">
        <f ca="1">gr(données_step[[#This Row],[D_PLUIE]])</f>
        <v>#NAME?</v>
      </c>
    </row>
    <row r="257" spans="1:8" x14ac:dyDescent="0.2">
      <c r="A257" s="222">
        <f>calculs!A257</f>
        <v>44808</v>
      </c>
      <c r="B257" s="523" t="e">
        <f ca="1">gr(données_step[[#This Row],[D_QDEVE]])</f>
        <v>#NAME?</v>
      </c>
      <c r="C257" s="523" t="e">
        <f ca="1">gr(données_step[[#This Row],[D_QTRAI]])</f>
        <v>#NAME?</v>
      </c>
      <c r="D257" s="523" t="e">
        <f ca="1">gr(données_step[[#This Row],[D_QDEVDP]])</f>
        <v>#NAME?</v>
      </c>
      <c r="E257" s="523" t="e">
        <f ca="1">gr(données_step[[#This Row],[D_QTRAI2]])</f>
        <v>#NAME?</v>
      </c>
      <c r="F257" s="523" t="e">
        <f ca="1">gr(données_step[[#This Row],[D_QMIN]])</f>
        <v>#NAME?</v>
      </c>
      <c r="G257" s="523" t="e">
        <f ca="1">gr(données_step[[#This Row],[D_QMAX]])</f>
        <v>#NAME?</v>
      </c>
      <c r="H257" s="501" t="e">
        <f ca="1">gr(données_step[[#This Row],[D_PLUIE]])</f>
        <v>#NAME?</v>
      </c>
    </row>
    <row r="258" spans="1:8" x14ac:dyDescent="0.2">
      <c r="A258" s="222">
        <f>calculs!A258</f>
        <v>44809</v>
      </c>
      <c r="B258" s="523" t="e">
        <f ca="1">gr(données_step[[#This Row],[D_QDEVE]])</f>
        <v>#NAME?</v>
      </c>
      <c r="C258" s="523" t="e">
        <f ca="1">gr(données_step[[#This Row],[D_QTRAI]])</f>
        <v>#NAME?</v>
      </c>
      <c r="D258" s="523" t="e">
        <f ca="1">gr(données_step[[#This Row],[D_QDEVDP]])</f>
        <v>#NAME?</v>
      </c>
      <c r="E258" s="523" t="e">
        <f ca="1">gr(données_step[[#This Row],[D_QTRAI2]])</f>
        <v>#NAME?</v>
      </c>
      <c r="F258" s="523" t="e">
        <f ca="1">gr(données_step[[#This Row],[D_QMIN]])</f>
        <v>#NAME?</v>
      </c>
      <c r="G258" s="523" t="e">
        <f ca="1">gr(données_step[[#This Row],[D_QMAX]])</f>
        <v>#NAME?</v>
      </c>
      <c r="H258" s="501" t="e">
        <f ca="1">gr(données_step[[#This Row],[D_PLUIE]])</f>
        <v>#NAME?</v>
      </c>
    </row>
    <row r="259" spans="1:8" x14ac:dyDescent="0.2">
      <c r="A259" s="222">
        <f>calculs!A259</f>
        <v>44810</v>
      </c>
      <c r="B259" s="523" t="e">
        <f ca="1">gr(données_step[[#This Row],[D_QDEVE]])</f>
        <v>#NAME?</v>
      </c>
      <c r="C259" s="523" t="e">
        <f ca="1">gr(données_step[[#This Row],[D_QTRAI]])</f>
        <v>#NAME?</v>
      </c>
      <c r="D259" s="523" t="e">
        <f ca="1">gr(données_step[[#This Row],[D_QDEVDP]])</f>
        <v>#NAME?</v>
      </c>
      <c r="E259" s="523" t="e">
        <f ca="1">gr(données_step[[#This Row],[D_QTRAI2]])</f>
        <v>#NAME?</v>
      </c>
      <c r="F259" s="523" t="e">
        <f ca="1">gr(données_step[[#This Row],[D_QMIN]])</f>
        <v>#NAME?</v>
      </c>
      <c r="G259" s="523" t="e">
        <f ca="1">gr(données_step[[#This Row],[D_QMAX]])</f>
        <v>#NAME?</v>
      </c>
      <c r="H259" s="501" t="e">
        <f ca="1">gr(données_step[[#This Row],[D_PLUIE]])</f>
        <v>#NAME?</v>
      </c>
    </row>
    <row r="260" spans="1:8" x14ac:dyDescent="0.2">
      <c r="A260" s="222">
        <f>calculs!A260</f>
        <v>44811</v>
      </c>
      <c r="B260" s="523" t="e">
        <f ca="1">gr(données_step[[#This Row],[D_QDEVE]])</f>
        <v>#NAME?</v>
      </c>
      <c r="C260" s="523" t="e">
        <f ca="1">gr(données_step[[#This Row],[D_QTRAI]])</f>
        <v>#NAME?</v>
      </c>
      <c r="D260" s="523" t="e">
        <f ca="1">gr(données_step[[#This Row],[D_QDEVDP]])</f>
        <v>#NAME?</v>
      </c>
      <c r="E260" s="523" t="e">
        <f ca="1">gr(données_step[[#This Row],[D_QTRAI2]])</f>
        <v>#NAME?</v>
      </c>
      <c r="F260" s="523" t="e">
        <f ca="1">gr(données_step[[#This Row],[D_QMIN]])</f>
        <v>#NAME?</v>
      </c>
      <c r="G260" s="523" t="e">
        <f ca="1">gr(données_step[[#This Row],[D_QMAX]])</f>
        <v>#NAME?</v>
      </c>
      <c r="H260" s="501" t="e">
        <f ca="1">gr(données_step[[#This Row],[D_PLUIE]])</f>
        <v>#NAME?</v>
      </c>
    </row>
    <row r="261" spans="1:8" x14ac:dyDescent="0.2">
      <c r="A261" s="222">
        <f>calculs!A261</f>
        <v>44812</v>
      </c>
      <c r="B261" s="523" t="e">
        <f ca="1">gr(données_step[[#This Row],[D_QDEVE]])</f>
        <v>#NAME?</v>
      </c>
      <c r="C261" s="523" t="e">
        <f ca="1">gr(données_step[[#This Row],[D_QTRAI]])</f>
        <v>#NAME?</v>
      </c>
      <c r="D261" s="523" t="e">
        <f ca="1">gr(données_step[[#This Row],[D_QDEVDP]])</f>
        <v>#NAME?</v>
      </c>
      <c r="E261" s="523" t="e">
        <f ca="1">gr(données_step[[#This Row],[D_QTRAI2]])</f>
        <v>#NAME?</v>
      </c>
      <c r="F261" s="523" t="e">
        <f ca="1">gr(données_step[[#This Row],[D_QMIN]])</f>
        <v>#NAME?</v>
      </c>
      <c r="G261" s="523" t="e">
        <f ca="1">gr(données_step[[#This Row],[D_QMAX]])</f>
        <v>#NAME?</v>
      </c>
      <c r="H261" s="501" t="e">
        <f ca="1">gr(données_step[[#This Row],[D_PLUIE]])</f>
        <v>#NAME?</v>
      </c>
    </row>
    <row r="262" spans="1:8" x14ac:dyDescent="0.2">
      <c r="A262" s="222">
        <f>calculs!A262</f>
        <v>44813</v>
      </c>
      <c r="B262" s="523" t="e">
        <f ca="1">gr(données_step[[#This Row],[D_QDEVE]])</f>
        <v>#NAME?</v>
      </c>
      <c r="C262" s="523" t="e">
        <f ca="1">gr(données_step[[#This Row],[D_QTRAI]])</f>
        <v>#NAME?</v>
      </c>
      <c r="D262" s="523" t="e">
        <f ca="1">gr(données_step[[#This Row],[D_QDEVDP]])</f>
        <v>#NAME?</v>
      </c>
      <c r="E262" s="523" t="e">
        <f ca="1">gr(données_step[[#This Row],[D_QTRAI2]])</f>
        <v>#NAME?</v>
      </c>
      <c r="F262" s="523" t="e">
        <f ca="1">gr(données_step[[#This Row],[D_QMIN]])</f>
        <v>#NAME?</v>
      </c>
      <c r="G262" s="523" t="e">
        <f ca="1">gr(données_step[[#This Row],[D_QMAX]])</f>
        <v>#NAME?</v>
      </c>
      <c r="H262" s="501" t="e">
        <f ca="1">gr(données_step[[#This Row],[D_PLUIE]])</f>
        <v>#NAME?</v>
      </c>
    </row>
    <row r="263" spans="1:8" x14ac:dyDescent="0.2">
      <c r="A263" s="222">
        <f>calculs!A263</f>
        <v>44814</v>
      </c>
      <c r="B263" s="523" t="e">
        <f ca="1">gr(données_step[[#This Row],[D_QDEVE]])</f>
        <v>#NAME?</v>
      </c>
      <c r="C263" s="523" t="e">
        <f ca="1">gr(données_step[[#This Row],[D_QTRAI]])</f>
        <v>#NAME?</v>
      </c>
      <c r="D263" s="523" t="e">
        <f ca="1">gr(données_step[[#This Row],[D_QDEVDP]])</f>
        <v>#NAME?</v>
      </c>
      <c r="E263" s="523" t="e">
        <f ca="1">gr(données_step[[#This Row],[D_QTRAI2]])</f>
        <v>#NAME?</v>
      </c>
      <c r="F263" s="523" t="e">
        <f ca="1">gr(données_step[[#This Row],[D_QMIN]])</f>
        <v>#NAME?</v>
      </c>
      <c r="G263" s="523" t="e">
        <f ca="1">gr(données_step[[#This Row],[D_QMAX]])</f>
        <v>#NAME?</v>
      </c>
      <c r="H263" s="501" t="e">
        <f ca="1">gr(données_step[[#This Row],[D_PLUIE]])</f>
        <v>#NAME?</v>
      </c>
    </row>
    <row r="264" spans="1:8" x14ac:dyDescent="0.2">
      <c r="A264" s="222">
        <f>calculs!A264</f>
        <v>44815</v>
      </c>
      <c r="B264" s="523" t="e">
        <f ca="1">gr(données_step[[#This Row],[D_QDEVE]])</f>
        <v>#NAME?</v>
      </c>
      <c r="C264" s="523" t="e">
        <f ca="1">gr(données_step[[#This Row],[D_QTRAI]])</f>
        <v>#NAME?</v>
      </c>
      <c r="D264" s="523" t="e">
        <f ca="1">gr(données_step[[#This Row],[D_QDEVDP]])</f>
        <v>#NAME?</v>
      </c>
      <c r="E264" s="523" t="e">
        <f ca="1">gr(données_step[[#This Row],[D_QTRAI2]])</f>
        <v>#NAME?</v>
      </c>
      <c r="F264" s="523" t="e">
        <f ca="1">gr(données_step[[#This Row],[D_QMIN]])</f>
        <v>#NAME?</v>
      </c>
      <c r="G264" s="523" t="e">
        <f ca="1">gr(données_step[[#This Row],[D_QMAX]])</f>
        <v>#NAME?</v>
      </c>
      <c r="H264" s="501" t="e">
        <f ca="1">gr(données_step[[#This Row],[D_PLUIE]])</f>
        <v>#NAME?</v>
      </c>
    </row>
    <row r="265" spans="1:8" x14ac:dyDescent="0.2">
      <c r="A265" s="222">
        <f>calculs!A265</f>
        <v>44816</v>
      </c>
      <c r="B265" s="523" t="e">
        <f ca="1">gr(données_step[[#This Row],[D_QDEVE]])</f>
        <v>#NAME?</v>
      </c>
      <c r="C265" s="523" t="e">
        <f ca="1">gr(données_step[[#This Row],[D_QTRAI]])</f>
        <v>#NAME?</v>
      </c>
      <c r="D265" s="523" t="e">
        <f ca="1">gr(données_step[[#This Row],[D_QDEVDP]])</f>
        <v>#NAME?</v>
      </c>
      <c r="E265" s="523" t="e">
        <f ca="1">gr(données_step[[#This Row],[D_QTRAI2]])</f>
        <v>#NAME?</v>
      </c>
      <c r="F265" s="523" t="e">
        <f ca="1">gr(données_step[[#This Row],[D_QMIN]])</f>
        <v>#NAME?</v>
      </c>
      <c r="G265" s="523" t="e">
        <f ca="1">gr(données_step[[#This Row],[D_QMAX]])</f>
        <v>#NAME?</v>
      </c>
      <c r="H265" s="501" t="e">
        <f ca="1">gr(données_step[[#This Row],[D_PLUIE]])</f>
        <v>#NAME?</v>
      </c>
    </row>
    <row r="266" spans="1:8" x14ac:dyDescent="0.2">
      <c r="A266" s="222">
        <f>calculs!A266</f>
        <v>44817</v>
      </c>
      <c r="B266" s="523" t="e">
        <f ca="1">gr(données_step[[#This Row],[D_QDEVE]])</f>
        <v>#NAME?</v>
      </c>
      <c r="C266" s="523" t="e">
        <f ca="1">gr(données_step[[#This Row],[D_QTRAI]])</f>
        <v>#NAME?</v>
      </c>
      <c r="D266" s="523" t="e">
        <f ca="1">gr(données_step[[#This Row],[D_QDEVDP]])</f>
        <v>#NAME?</v>
      </c>
      <c r="E266" s="523" t="e">
        <f ca="1">gr(données_step[[#This Row],[D_QTRAI2]])</f>
        <v>#NAME?</v>
      </c>
      <c r="F266" s="523" t="e">
        <f ca="1">gr(données_step[[#This Row],[D_QMIN]])</f>
        <v>#NAME?</v>
      </c>
      <c r="G266" s="523" t="e">
        <f ca="1">gr(données_step[[#This Row],[D_QMAX]])</f>
        <v>#NAME?</v>
      </c>
      <c r="H266" s="501" t="e">
        <f ca="1">gr(données_step[[#This Row],[D_PLUIE]])</f>
        <v>#NAME?</v>
      </c>
    </row>
    <row r="267" spans="1:8" x14ac:dyDescent="0.2">
      <c r="A267" s="222">
        <f>calculs!A267</f>
        <v>44818</v>
      </c>
      <c r="B267" s="523" t="e">
        <f ca="1">gr(données_step[[#This Row],[D_QDEVE]])</f>
        <v>#NAME?</v>
      </c>
      <c r="C267" s="523" t="e">
        <f ca="1">gr(données_step[[#This Row],[D_QTRAI]])</f>
        <v>#NAME?</v>
      </c>
      <c r="D267" s="523" t="e">
        <f ca="1">gr(données_step[[#This Row],[D_QDEVDP]])</f>
        <v>#NAME?</v>
      </c>
      <c r="E267" s="523" t="e">
        <f ca="1">gr(données_step[[#This Row],[D_QTRAI2]])</f>
        <v>#NAME?</v>
      </c>
      <c r="F267" s="523" t="e">
        <f ca="1">gr(données_step[[#This Row],[D_QMIN]])</f>
        <v>#NAME?</v>
      </c>
      <c r="G267" s="523" t="e">
        <f ca="1">gr(données_step[[#This Row],[D_QMAX]])</f>
        <v>#NAME?</v>
      </c>
      <c r="H267" s="501" t="e">
        <f ca="1">gr(données_step[[#This Row],[D_PLUIE]])</f>
        <v>#NAME?</v>
      </c>
    </row>
    <row r="268" spans="1:8" x14ac:dyDescent="0.2">
      <c r="A268" s="222">
        <f>calculs!A268</f>
        <v>44819</v>
      </c>
      <c r="B268" s="523" t="e">
        <f ca="1">gr(données_step[[#This Row],[D_QDEVE]])</f>
        <v>#NAME?</v>
      </c>
      <c r="C268" s="523" t="e">
        <f ca="1">gr(données_step[[#This Row],[D_QTRAI]])</f>
        <v>#NAME?</v>
      </c>
      <c r="D268" s="523" t="e">
        <f ca="1">gr(données_step[[#This Row],[D_QDEVDP]])</f>
        <v>#NAME?</v>
      </c>
      <c r="E268" s="523" t="e">
        <f ca="1">gr(données_step[[#This Row],[D_QTRAI2]])</f>
        <v>#NAME?</v>
      </c>
      <c r="F268" s="523" t="e">
        <f ca="1">gr(données_step[[#This Row],[D_QMIN]])</f>
        <v>#NAME?</v>
      </c>
      <c r="G268" s="523" t="e">
        <f ca="1">gr(données_step[[#This Row],[D_QMAX]])</f>
        <v>#NAME?</v>
      </c>
      <c r="H268" s="501" t="e">
        <f ca="1">gr(données_step[[#This Row],[D_PLUIE]])</f>
        <v>#NAME?</v>
      </c>
    </row>
    <row r="269" spans="1:8" x14ac:dyDescent="0.2">
      <c r="A269" s="222">
        <f>calculs!A269</f>
        <v>44820</v>
      </c>
      <c r="B269" s="523" t="e">
        <f ca="1">gr(données_step[[#This Row],[D_QDEVE]])</f>
        <v>#NAME?</v>
      </c>
      <c r="C269" s="523" t="e">
        <f ca="1">gr(données_step[[#This Row],[D_QTRAI]])</f>
        <v>#NAME?</v>
      </c>
      <c r="D269" s="523" t="e">
        <f ca="1">gr(données_step[[#This Row],[D_QDEVDP]])</f>
        <v>#NAME?</v>
      </c>
      <c r="E269" s="523" t="e">
        <f ca="1">gr(données_step[[#This Row],[D_QTRAI2]])</f>
        <v>#NAME?</v>
      </c>
      <c r="F269" s="523" t="e">
        <f ca="1">gr(données_step[[#This Row],[D_QMIN]])</f>
        <v>#NAME?</v>
      </c>
      <c r="G269" s="523" t="e">
        <f ca="1">gr(données_step[[#This Row],[D_QMAX]])</f>
        <v>#NAME?</v>
      </c>
      <c r="H269" s="501" t="e">
        <f ca="1">gr(données_step[[#This Row],[D_PLUIE]])</f>
        <v>#NAME?</v>
      </c>
    </row>
    <row r="270" spans="1:8" x14ac:dyDescent="0.2">
      <c r="A270" s="222">
        <f>calculs!A270</f>
        <v>44821</v>
      </c>
      <c r="B270" s="523" t="e">
        <f ca="1">gr(données_step[[#This Row],[D_QDEVE]])</f>
        <v>#NAME?</v>
      </c>
      <c r="C270" s="523" t="e">
        <f ca="1">gr(données_step[[#This Row],[D_QTRAI]])</f>
        <v>#NAME?</v>
      </c>
      <c r="D270" s="523" t="e">
        <f ca="1">gr(données_step[[#This Row],[D_QDEVDP]])</f>
        <v>#NAME?</v>
      </c>
      <c r="E270" s="523" t="e">
        <f ca="1">gr(données_step[[#This Row],[D_QTRAI2]])</f>
        <v>#NAME?</v>
      </c>
      <c r="F270" s="523" t="e">
        <f ca="1">gr(données_step[[#This Row],[D_QMIN]])</f>
        <v>#NAME?</v>
      </c>
      <c r="G270" s="523" t="e">
        <f ca="1">gr(données_step[[#This Row],[D_QMAX]])</f>
        <v>#NAME?</v>
      </c>
      <c r="H270" s="501" t="e">
        <f ca="1">gr(données_step[[#This Row],[D_PLUIE]])</f>
        <v>#NAME?</v>
      </c>
    </row>
    <row r="271" spans="1:8" x14ac:dyDescent="0.2">
      <c r="A271" s="222">
        <f>calculs!A271</f>
        <v>44822</v>
      </c>
      <c r="B271" s="523" t="e">
        <f ca="1">gr(données_step[[#This Row],[D_QDEVE]])</f>
        <v>#NAME?</v>
      </c>
      <c r="C271" s="523" t="e">
        <f ca="1">gr(données_step[[#This Row],[D_QTRAI]])</f>
        <v>#NAME?</v>
      </c>
      <c r="D271" s="523" t="e">
        <f ca="1">gr(données_step[[#This Row],[D_QDEVDP]])</f>
        <v>#NAME?</v>
      </c>
      <c r="E271" s="523" t="e">
        <f ca="1">gr(données_step[[#This Row],[D_QTRAI2]])</f>
        <v>#NAME?</v>
      </c>
      <c r="F271" s="523" t="e">
        <f ca="1">gr(données_step[[#This Row],[D_QMIN]])</f>
        <v>#NAME?</v>
      </c>
      <c r="G271" s="523" t="e">
        <f ca="1">gr(données_step[[#This Row],[D_QMAX]])</f>
        <v>#NAME?</v>
      </c>
      <c r="H271" s="501" t="e">
        <f ca="1">gr(données_step[[#This Row],[D_PLUIE]])</f>
        <v>#NAME?</v>
      </c>
    </row>
    <row r="272" spans="1:8" x14ac:dyDescent="0.2">
      <c r="A272" s="222">
        <f>calculs!A272</f>
        <v>44823</v>
      </c>
      <c r="B272" s="523" t="e">
        <f ca="1">gr(données_step[[#This Row],[D_QDEVE]])</f>
        <v>#NAME?</v>
      </c>
      <c r="C272" s="523" t="e">
        <f ca="1">gr(données_step[[#This Row],[D_QTRAI]])</f>
        <v>#NAME?</v>
      </c>
      <c r="D272" s="523" t="e">
        <f ca="1">gr(données_step[[#This Row],[D_QDEVDP]])</f>
        <v>#NAME?</v>
      </c>
      <c r="E272" s="523" t="e">
        <f ca="1">gr(données_step[[#This Row],[D_QTRAI2]])</f>
        <v>#NAME?</v>
      </c>
      <c r="F272" s="523" t="e">
        <f ca="1">gr(données_step[[#This Row],[D_QMIN]])</f>
        <v>#NAME?</v>
      </c>
      <c r="G272" s="523" t="e">
        <f ca="1">gr(données_step[[#This Row],[D_QMAX]])</f>
        <v>#NAME?</v>
      </c>
      <c r="H272" s="501" t="e">
        <f ca="1">gr(données_step[[#This Row],[D_PLUIE]])</f>
        <v>#NAME?</v>
      </c>
    </row>
    <row r="273" spans="1:8" x14ac:dyDescent="0.2">
      <c r="A273" s="222">
        <f>calculs!A273</f>
        <v>44824</v>
      </c>
      <c r="B273" s="523" t="e">
        <f ca="1">gr(données_step[[#This Row],[D_QDEVE]])</f>
        <v>#NAME?</v>
      </c>
      <c r="C273" s="523" t="e">
        <f ca="1">gr(données_step[[#This Row],[D_QTRAI]])</f>
        <v>#NAME?</v>
      </c>
      <c r="D273" s="523" t="e">
        <f ca="1">gr(données_step[[#This Row],[D_QDEVDP]])</f>
        <v>#NAME?</v>
      </c>
      <c r="E273" s="523" t="e">
        <f ca="1">gr(données_step[[#This Row],[D_QTRAI2]])</f>
        <v>#NAME?</v>
      </c>
      <c r="F273" s="523" t="e">
        <f ca="1">gr(données_step[[#This Row],[D_QMIN]])</f>
        <v>#NAME?</v>
      </c>
      <c r="G273" s="523" t="e">
        <f ca="1">gr(données_step[[#This Row],[D_QMAX]])</f>
        <v>#NAME?</v>
      </c>
      <c r="H273" s="501" t="e">
        <f ca="1">gr(données_step[[#This Row],[D_PLUIE]])</f>
        <v>#NAME?</v>
      </c>
    </row>
    <row r="274" spans="1:8" x14ac:dyDescent="0.2">
      <c r="A274" s="222">
        <f>calculs!A274</f>
        <v>44825</v>
      </c>
      <c r="B274" s="523" t="e">
        <f ca="1">gr(données_step[[#This Row],[D_QDEVE]])</f>
        <v>#NAME?</v>
      </c>
      <c r="C274" s="523" t="e">
        <f ca="1">gr(données_step[[#This Row],[D_QTRAI]])</f>
        <v>#NAME?</v>
      </c>
      <c r="D274" s="523" t="e">
        <f ca="1">gr(données_step[[#This Row],[D_QDEVDP]])</f>
        <v>#NAME?</v>
      </c>
      <c r="E274" s="523" t="e">
        <f ca="1">gr(données_step[[#This Row],[D_QTRAI2]])</f>
        <v>#NAME?</v>
      </c>
      <c r="F274" s="523" t="e">
        <f ca="1">gr(données_step[[#This Row],[D_QMIN]])</f>
        <v>#NAME?</v>
      </c>
      <c r="G274" s="523" t="e">
        <f ca="1">gr(données_step[[#This Row],[D_QMAX]])</f>
        <v>#NAME?</v>
      </c>
      <c r="H274" s="501" t="e">
        <f ca="1">gr(données_step[[#This Row],[D_PLUIE]])</f>
        <v>#NAME?</v>
      </c>
    </row>
    <row r="275" spans="1:8" x14ac:dyDescent="0.2">
      <c r="A275" s="222">
        <f>calculs!A275</f>
        <v>44826</v>
      </c>
      <c r="B275" s="523" t="e">
        <f ca="1">gr(données_step[[#This Row],[D_QDEVE]])</f>
        <v>#NAME?</v>
      </c>
      <c r="C275" s="523" t="e">
        <f ca="1">gr(données_step[[#This Row],[D_QTRAI]])</f>
        <v>#NAME?</v>
      </c>
      <c r="D275" s="523" t="e">
        <f ca="1">gr(données_step[[#This Row],[D_QDEVDP]])</f>
        <v>#NAME?</v>
      </c>
      <c r="E275" s="523" t="e">
        <f ca="1">gr(données_step[[#This Row],[D_QTRAI2]])</f>
        <v>#NAME?</v>
      </c>
      <c r="F275" s="523" t="e">
        <f ca="1">gr(données_step[[#This Row],[D_QMIN]])</f>
        <v>#NAME?</v>
      </c>
      <c r="G275" s="523" t="e">
        <f ca="1">gr(données_step[[#This Row],[D_QMAX]])</f>
        <v>#NAME?</v>
      </c>
      <c r="H275" s="501" t="e">
        <f ca="1">gr(données_step[[#This Row],[D_PLUIE]])</f>
        <v>#NAME?</v>
      </c>
    </row>
    <row r="276" spans="1:8" x14ac:dyDescent="0.2">
      <c r="A276" s="222">
        <f>calculs!A276</f>
        <v>44827</v>
      </c>
      <c r="B276" s="523" t="e">
        <f ca="1">gr(données_step[[#This Row],[D_QDEVE]])</f>
        <v>#NAME?</v>
      </c>
      <c r="C276" s="523" t="e">
        <f ca="1">gr(données_step[[#This Row],[D_QTRAI]])</f>
        <v>#NAME?</v>
      </c>
      <c r="D276" s="523" t="e">
        <f ca="1">gr(données_step[[#This Row],[D_QDEVDP]])</f>
        <v>#NAME?</v>
      </c>
      <c r="E276" s="523" t="e">
        <f ca="1">gr(données_step[[#This Row],[D_QTRAI2]])</f>
        <v>#NAME?</v>
      </c>
      <c r="F276" s="523" t="e">
        <f ca="1">gr(données_step[[#This Row],[D_QMIN]])</f>
        <v>#NAME?</v>
      </c>
      <c r="G276" s="523" t="e">
        <f ca="1">gr(données_step[[#This Row],[D_QMAX]])</f>
        <v>#NAME?</v>
      </c>
      <c r="H276" s="501" t="e">
        <f ca="1">gr(données_step[[#This Row],[D_PLUIE]])</f>
        <v>#NAME?</v>
      </c>
    </row>
    <row r="277" spans="1:8" x14ac:dyDescent="0.2">
      <c r="A277" s="222">
        <f>calculs!A277</f>
        <v>44828</v>
      </c>
      <c r="B277" s="523" t="e">
        <f ca="1">gr(données_step[[#This Row],[D_QDEVE]])</f>
        <v>#NAME?</v>
      </c>
      <c r="C277" s="523" t="e">
        <f ca="1">gr(données_step[[#This Row],[D_QTRAI]])</f>
        <v>#NAME?</v>
      </c>
      <c r="D277" s="523" t="e">
        <f ca="1">gr(données_step[[#This Row],[D_QDEVDP]])</f>
        <v>#NAME?</v>
      </c>
      <c r="E277" s="523" t="e">
        <f ca="1">gr(données_step[[#This Row],[D_QTRAI2]])</f>
        <v>#NAME?</v>
      </c>
      <c r="F277" s="523" t="e">
        <f ca="1">gr(données_step[[#This Row],[D_QMIN]])</f>
        <v>#NAME?</v>
      </c>
      <c r="G277" s="523" t="e">
        <f ca="1">gr(données_step[[#This Row],[D_QMAX]])</f>
        <v>#NAME?</v>
      </c>
      <c r="H277" s="501" t="e">
        <f ca="1">gr(données_step[[#This Row],[D_PLUIE]])</f>
        <v>#NAME?</v>
      </c>
    </row>
    <row r="278" spans="1:8" x14ac:dyDescent="0.2">
      <c r="A278" s="222">
        <f>calculs!A278</f>
        <v>44829</v>
      </c>
      <c r="B278" s="523" t="e">
        <f ca="1">gr(données_step[[#This Row],[D_QDEVE]])</f>
        <v>#NAME?</v>
      </c>
      <c r="C278" s="523" t="e">
        <f ca="1">gr(données_step[[#This Row],[D_QTRAI]])</f>
        <v>#NAME?</v>
      </c>
      <c r="D278" s="523" t="e">
        <f ca="1">gr(données_step[[#This Row],[D_QDEVDP]])</f>
        <v>#NAME?</v>
      </c>
      <c r="E278" s="523" t="e">
        <f ca="1">gr(données_step[[#This Row],[D_QTRAI2]])</f>
        <v>#NAME?</v>
      </c>
      <c r="F278" s="523" t="e">
        <f ca="1">gr(données_step[[#This Row],[D_QMIN]])</f>
        <v>#NAME?</v>
      </c>
      <c r="G278" s="523" t="e">
        <f ca="1">gr(données_step[[#This Row],[D_QMAX]])</f>
        <v>#NAME?</v>
      </c>
      <c r="H278" s="501" t="e">
        <f ca="1">gr(données_step[[#This Row],[D_PLUIE]])</f>
        <v>#NAME?</v>
      </c>
    </row>
    <row r="279" spans="1:8" x14ac:dyDescent="0.2">
      <c r="A279" s="222">
        <f>calculs!A279</f>
        <v>44830</v>
      </c>
      <c r="B279" s="523" t="e">
        <f ca="1">gr(données_step[[#This Row],[D_QDEVE]])</f>
        <v>#NAME?</v>
      </c>
      <c r="C279" s="523" t="e">
        <f ca="1">gr(données_step[[#This Row],[D_QTRAI]])</f>
        <v>#NAME?</v>
      </c>
      <c r="D279" s="523" t="e">
        <f ca="1">gr(données_step[[#This Row],[D_QDEVDP]])</f>
        <v>#NAME?</v>
      </c>
      <c r="E279" s="523" t="e">
        <f ca="1">gr(données_step[[#This Row],[D_QTRAI2]])</f>
        <v>#NAME?</v>
      </c>
      <c r="F279" s="523" t="e">
        <f ca="1">gr(données_step[[#This Row],[D_QMIN]])</f>
        <v>#NAME?</v>
      </c>
      <c r="G279" s="523" t="e">
        <f ca="1">gr(données_step[[#This Row],[D_QMAX]])</f>
        <v>#NAME?</v>
      </c>
      <c r="H279" s="501" t="e">
        <f ca="1">gr(données_step[[#This Row],[D_PLUIE]])</f>
        <v>#NAME?</v>
      </c>
    </row>
    <row r="280" spans="1:8" x14ac:dyDescent="0.2">
      <c r="A280" s="222">
        <f>calculs!A280</f>
        <v>44831</v>
      </c>
      <c r="B280" s="523" t="e">
        <f ca="1">gr(données_step[[#This Row],[D_QDEVE]])</f>
        <v>#NAME?</v>
      </c>
      <c r="C280" s="523" t="e">
        <f ca="1">gr(données_step[[#This Row],[D_QTRAI]])</f>
        <v>#NAME?</v>
      </c>
      <c r="D280" s="523" t="e">
        <f ca="1">gr(données_step[[#This Row],[D_QDEVDP]])</f>
        <v>#NAME?</v>
      </c>
      <c r="E280" s="523" t="e">
        <f ca="1">gr(données_step[[#This Row],[D_QTRAI2]])</f>
        <v>#NAME?</v>
      </c>
      <c r="F280" s="523" t="e">
        <f ca="1">gr(données_step[[#This Row],[D_QMIN]])</f>
        <v>#NAME?</v>
      </c>
      <c r="G280" s="523" t="e">
        <f ca="1">gr(données_step[[#This Row],[D_QMAX]])</f>
        <v>#NAME?</v>
      </c>
      <c r="H280" s="501" t="e">
        <f ca="1">gr(données_step[[#This Row],[D_PLUIE]])</f>
        <v>#NAME?</v>
      </c>
    </row>
    <row r="281" spans="1:8" x14ac:dyDescent="0.2">
      <c r="A281" s="222">
        <f>calculs!A281</f>
        <v>44832</v>
      </c>
      <c r="B281" s="523" t="e">
        <f ca="1">gr(données_step[[#This Row],[D_QDEVE]])</f>
        <v>#NAME?</v>
      </c>
      <c r="C281" s="523" t="e">
        <f ca="1">gr(données_step[[#This Row],[D_QTRAI]])</f>
        <v>#NAME?</v>
      </c>
      <c r="D281" s="523" t="e">
        <f ca="1">gr(données_step[[#This Row],[D_QDEVDP]])</f>
        <v>#NAME?</v>
      </c>
      <c r="E281" s="523" t="e">
        <f ca="1">gr(données_step[[#This Row],[D_QTRAI2]])</f>
        <v>#NAME?</v>
      </c>
      <c r="F281" s="523" t="e">
        <f ca="1">gr(données_step[[#This Row],[D_QMIN]])</f>
        <v>#NAME?</v>
      </c>
      <c r="G281" s="523" t="e">
        <f ca="1">gr(données_step[[#This Row],[D_QMAX]])</f>
        <v>#NAME?</v>
      </c>
      <c r="H281" s="501" t="e">
        <f ca="1">gr(données_step[[#This Row],[D_PLUIE]])</f>
        <v>#NAME?</v>
      </c>
    </row>
    <row r="282" spans="1:8" x14ac:dyDescent="0.2">
      <c r="A282" s="222">
        <f>calculs!A282</f>
        <v>44833</v>
      </c>
      <c r="B282" s="523" t="e">
        <f ca="1">gr(données_step[[#This Row],[D_QDEVE]])</f>
        <v>#NAME?</v>
      </c>
      <c r="C282" s="523" t="e">
        <f ca="1">gr(données_step[[#This Row],[D_QTRAI]])</f>
        <v>#NAME?</v>
      </c>
      <c r="D282" s="523" t="e">
        <f ca="1">gr(données_step[[#This Row],[D_QDEVDP]])</f>
        <v>#NAME?</v>
      </c>
      <c r="E282" s="523" t="e">
        <f ca="1">gr(données_step[[#This Row],[D_QTRAI2]])</f>
        <v>#NAME?</v>
      </c>
      <c r="F282" s="523" t="e">
        <f ca="1">gr(données_step[[#This Row],[D_QMIN]])</f>
        <v>#NAME?</v>
      </c>
      <c r="G282" s="523" t="e">
        <f ca="1">gr(données_step[[#This Row],[D_QMAX]])</f>
        <v>#NAME?</v>
      </c>
      <c r="H282" s="501" t="e">
        <f ca="1">gr(données_step[[#This Row],[D_PLUIE]])</f>
        <v>#NAME?</v>
      </c>
    </row>
    <row r="283" spans="1:8" x14ac:dyDescent="0.2">
      <c r="A283" s="222">
        <f>calculs!A283</f>
        <v>44834</v>
      </c>
      <c r="B283" s="523" t="e">
        <f ca="1">gr(données_step[[#This Row],[D_QDEVE]])</f>
        <v>#NAME?</v>
      </c>
      <c r="C283" s="523" t="e">
        <f ca="1">gr(données_step[[#This Row],[D_QTRAI]])</f>
        <v>#NAME?</v>
      </c>
      <c r="D283" s="523" t="e">
        <f ca="1">gr(données_step[[#This Row],[D_QDEVDP]])</f>
        <v>#NAME?</v>
      </c>
      <c r="E283" s="523" t="e">
        <f ca="1">gr(données_step[[#This Row],[D_QTRAI2]])</f>
        <v>#NAME?</v>
      </c>
      <c r="F283" s="523" t="e">
        <f ca="1">gr(données_step[[#This Row],[D_QMIN]])</f>
        <v>#NAME?</v>
      </c>
      <c r="G283" s="523" t="e">
        <f ca="1">gr(données_step[[#This Row],[D_QMAX]])</f>
        <v>#NAME?</v>
      </c>
      <c r="H283" s="501" t="e">
        <f ca="1">gr(données_step[[#This Row],[D_PLUIE]])</f>
        <v>#NAME?</v>
      </c>
    </row>
    <row r="284" spans="1:8" x14ac:dyDescent="0.2">
      <c r="A284" s="222">
        <f>calculs!A284</f>
        <v>44835</v>
      </c>
      <c r="B284" s="523" t="e">
        <f ca="1">gr(données_step[[#This Row],[D_QDEVE]])</f>
        <v>#NAME?</v>
      </c>
      <c r="C284" s="523" t="e">
        <f ca="1">gr(données_step[[#This Row],[D_QTRAI]])</f>
        <v>#NAME?</v>
      </c>
      <c r="D284" s="523" t="e">
        <f ca="1">gr(données_step[[#This Row],[D_QDEVDP]])</f>
        <v>#NAME?</v>
      </c>
      <c r="E284" s="523" t="e">
        <f ca="1">gr(données_step[[#This Row],[D_QTRAI2]])</f>
        <v>#NAME?</v>
      </c>
      <c r="F284" s="523" t="e">
        <f ca="1">gr(données_step[[#This Row],[D_QMIN]])</f>
        <v>#NAME?</v>
      </c>
      <c r="G284" s="523" t="e">
        <f ca="1">gr(données_step[[#This Row],[D_QMAX]])</f>
        <v>#NAME?</v>
      </c>
      <c r="H284" s="501" t="e">
        <f ca="1">gr(données_step[[#This Row],[D_PLUIE]])</f>
        <v>#NAME?</v>
      </c>
    </row>
    <row r="285" spans="1:8" x14ac:dyDescent="0.2">
      <c r="A285" s="222">
        <f>calculs!A285</f>
        <v>44836</v>
      </c>
      <c r="B285" s="523" t="e">
        <f ca="1">gr(données_step[[#This Row],[D_QDEVE]])</f>
        <v>#NAME?</v>
      </c>
      <c r="C285" s="523" t="e">
        <f ca="1">gr(données_step[[#This Row],[D_QTRAI]])</f>
        <v>#NAME?</v>
      </c>
      <c r="D285" s="523" t="e">
        <f ca="1">gr(données_step[[#This Row],[D_QDEVDP]])</f>
        <v>#NAME?</v>
      </c>
      <c r="E285" s="523" t="e">
        <f ca="1">gr(données_step[[#This Row],[D_QTRAI2]])</f>
        <v>#NAME?</v>
      </c>
      <c r="F285" s="523" t="e">
        <f ca="1">gr(données_step[[#This Row],[D_QMIN]])</f>
        <v>#NAME?</v>
      </c>
      <c r="G285" s="523" t="e">
        <f ca="1">gr(données_step[[#This Row],[D_QMAX]])</f>
        <v>#NAME?</v>
      </c>
      <c r="H285" s="501" t="e">
        <f ca="1">gr(données_step[[#This Row],[D_PLUIE]])</f>
        <v>#NAME?</v>
      </c>
    </row>
    <row r="286" spans="1:8" x14ac:dyDescent="0.2">
      <c r="A286" s="222">
        <f>calculs!A286</f>
        <v>44837</v>
      </c>
      <c r="B286" s="523" t="e">
        <f ca="1">gr(données_step[[#This Row],[D_QDEVE]])</f>
        <v>#NAME?</v>
      </c>
      <c r="C286" s="523" t="e">
        <f ca="1">gr(données_step[[#This Row],[D_QTRAI]])</f>
        <v>#NAME?</v>
      </c>
      <c r="D286" s="523" t="e">
        <f ca="1">gr(données_step[[#This Row],[D_QDEVDP]])</f>
        <v>#NAME?</v>
      </c>
      <c r="E286" s="523" t="e">
        <f ca="1">gr(données_step[[#This Row],[D_QTRAI2]])</f>
        <v>#NAME?</v>
      </c>
      <c r="F286" s="523" t="e">
        <f ca="1">gr(données_step[[#This Row],[D_QMIN]])</f>
        <v>#NAME?</v>
      </c>
      <c r="G286" s="523" t="e">
        <f ca="1">gr(données_step[[#This Row],[D_QMAX]])</f>
        <v>#NAME?</v>
      </c>
      <c r="H286" s="501" t="e">
        <f ca="1">gr(données_step[[#This Row],[D_PLUIE]])</f>
        <v>#NAME?</v>
      </c>
    </row>
    <row r="287" spans="1:8" x14ac:dyDescent="0.2">
      <c r="A287" s="222">
        <f>calculs!A287</f>
        <v>44838</v>
      </c>
      <c r="B287" s="523" t="e">
        <f ca="1">gr(données_step[[#This Row],[D_QDEVE]])</f>
        <v>#NAME?</v>
      </c>
      <c r="C287" s="523" t="e">
        <f ca="1">gr(données_step[[#This Row],[D_QTRAI]])</f>
        <v>#NAME?</v>
      </c>
      <c r="D287" s="523" t="e">
        <f ca="1">gr(données_step[[#This Row],[D_QDEVDP]])</f>
        <v>#NAME?</v>
      </c>
      <c r="E287" s="523" t="e">
        <f ca="1">gr(données_step[[#This Row],[D_QTRAI2]])</f>
        <v>#NAME?</v>
      </c>
      <c r="F287" s="523" t="e">
        <f ca="1">gr(données_step[[#This Row],[D_QMIN]])</f>
        <v>#NAME?</v>
      </c>
      <c r="G287" s="523" t="e">
        <f ca="1">gr(données_step[[#This Row],[D_QMAX]])</f>
        <v>#NAME?</v>
      </c>
      <c r="H287" s="501" t="e">
        <f ca="1">gr(données_step[[#This Row],[D_PLUIE]])</f>
        <v>#NAME?</v>
      </c>
    </row>
    <row r="288" spans="1:8" x14ac:dyDescent="0.2">
      <c r="A288" s="222">
        <f>calculs!A288</f>
        <v>44839</v>
      </c>
      <c r="B288" s="523" t="e">
        <f ca="1">gr(données_step[[#This Row],[D_QDEVE]])</f>
        <v>#NAME?</v>
      </c>
      <c r="C288" s="523" t="e">
        <f ca="1">gr(données_step[[#This Row],[D_QTRAI]])</f>
        <v>#NAME?</v>
      </c>
      <c r="D288" s="523" t="e">
        <f ca="1">gr(données_step[[#This Row],[D_QDEVDP]])</f>
        <v>#NAME?</v>
      </c>
      <c r="E288" s="523" t="e">
        <f ca="1">gr(données_step[[#This Row],[D_QTRAI2]])</f>
        <v>#NAME?</v>
      </c>
      <c r="F288" s="523" t="e">
        <f ca="1">gr(données_step[[#This Row],[D_QMIN]])</f>
        <v>#NAME?</v>
      </c>
      <c r="G288" s="523" t="e">
        <f ca="1">gr(données_step[[#This Row],[D_QMAX]])</f>
        <v>#NAME?</v>
      </c>
      <c r="H288" s="501" t="e">
        <f ca="1">gr(données_step[[#This Row],[D_PLUIE]])</f>
        <v>#NAME?</v>
      </c>
    </row>
    <row r="289" spans="1:8" x14ac:dyDescent="0.2">
      <c r="A289" s="222">
        <f>calculs!A289</f>
        <v>44840</v>
      </c>
      <c r="B289" s="523" t="e">
        <f ca="1">gr(données_step[[#This Row],[D_QDEVE]])</f>
        <v>#NAME?</v>
      </c>
      <c r="C289" s="523" t="e">
        <f ca="1">gr(données_step[[#This Row],[D_QTRAI]])</f>
        <v>#NAME?</v>
      </c>
      <c r="D289" s="523" t="e">
        <f ca="1">gr(données_step[[#This Row],[D_QDEVDP]])</f>
        <v>#NAME?</v>
      </c>
      <c r="E289" s="523" t="e">
        <f ca="1">gr(données_step[[#This Row],[D_QTRAI2]])</f>
        <v>#NAME?</v>
      </c>
      <c r="F289" s="523" t="e">
        <f ca="1">gr(données_step[[#This Row],[D_QMIN]])</f>
        <v>#NAME?</v>
      </c>
      <c r="G289" s="523" t="e">
        <f ca="1">gr(données_step[[#This Row],[D_QMAX]])</f>
        <v>#NAME?</v>
      </c>
      <c r="H289" s="501" t="e">
        <f ca="1">gr(données_step[[#This Row],[D_PLUIE]])</f>
        <v>#NAME?</v>
      </c>
    </row>
    <row r="290" spans="1:8" x14ac:dyDescent="0.2">
      <c r="A290" s="222">
        <f>calculs!A290</f>
        <v>44841</v>
      </c>
      <c r="B290" s="523" t="e">
        <f ca="1">gr(données_step[[#This Row],[D_QDEVE]])</f>
        <v>#NAME?</v>
      </c>
      <c r="C290" s="523" t="e">
        <f ca="1">gr(données_step[[#This Row],[D_QTRAI]])</f>
        <v>#NAME?</v>
      </c>
      <c r="D290" s="523" t="e">
        <f ca="1">gr(données_step[[#This Row],[D_QDEVDP]])</f>
        <v>#NAME?</v>
      </c>
      <c r="E290" s="523" t="e">
        <f ca="1">gr(données_step[[#This Row],[D_QTRAI2]])</f>
        <v>#NAME?</v>
      </c>
      <c r="F290" s="523" t="e">
        <f ca="1">gr(données_step[[#This Row],[D_QMIN]])</f>
        <v>#NAME?</v>
      </c>
      <c r="G290" s="523" t="e">
        <f ca="1">gr(données_step[[#This Row],[D_QMAX]])</f>
        <v>#NAME?</v>
      </c>
      <c r="H290" s="501" t="e">
        <f ca="1">gr(données_step[[#This Row],[D_PLUIE]])</f>
        <v>#NAME?</v>
      </c>
    </row>
    <row r="291" spans="1:8" x14ac:dyDescent="0.2">
      <c r="A291" s="222">
        <f>calculs!A291</f>
        <v>44842</v>
      </c>
      <c r="B291" s="523" t="e">
        <f ca="1">gr(données_step[[#This Row],[D_QDEVE]])</f>
        <v>#NAME?</v>
      </c>
      <c r="C291" s="523" t="e">
        <f ca="1">gr(données_step[[#This Row],[D_QTRAI]])</f>
        <v>#NAME?</v>
      </c>
      <c r="D291" s="523" t="e">
        <f ca="1">gr(données_step[[#This Row],[D_QDEVDP]])</f>
        <v>#NAME?</v>
      </c>
      <c r="E291" s="523" t="e">
        <f ca="1">gr(données_step[[#This Row],[D_QTRAI2]])</f>
        <v>#NAME?</v>
      </c>
      <c r="F291" s="523" t="e">
        <f ca="1">gr(données_step[[#This Row],[D_QMIN]])</f>
        <v>#NAME?</v>
      </c>
      <c r="G291" s="523" t="e">
        <f ca="1">gr(données_step[[#This Row],[D_QMAX]])</f>
        <v>#NAME?</v>
      </c>
      <c r="H291" s="501" t="e">
        <f ca="1">gr(données_step[[#This Row],[D_PLUIE]])</f>
        <v>#NAME?</v>
      </c>
    </row>
    <row r="292" spans="1:8" x14ac:dyDescent="0.2">
      <c r="A292" s="222">
        <f>calculs!A292</f>
        <v>44843</v>
      </c>
      <c r="B292" s="523" t="e">
        <f ca="1">gr(données_step[[#This Row],[D_QDEVE]])</f>
        <v>#NAME?</v>
      </c>
      <c r="C292" s="523" t="e">
        <f ca="1">gr(données_step[[#This Row],[D_QTRAI]])</f>
        <v>#NAME?</v>
      </c>
      <c r="D292" s="523" t="e">
        <f ca="1">gr(données_step[[#This Row],[D_QDEVDP]])</f>
        <v>#NAME?</v>
      </c>
      <c r="E292" s="523" t="e">
        <f ca="1">gr(données_step[[#This Row],[D_QTRAI2]])</f>
        <v>#NAME?</v>
      </c>
      <c r="F292" s="523" t="e">
        <f ca="1">gr(données_step[[#This Row],[D_QMIN]])</f>
        <v>#NAME?</v>
      </c>
      <c r="G292" s="523" t="e">
        <f ca="1">gr(données_step[[#This Row],[D_QMAX]])</f>
        <v>#NAME?</v>
      </c>
      <c r="H292" s="501" t="e">
        <f ca="1">gr(données_step[[#This Row],[D_PLUIE]])</f>
        <v>#NAME?</v>
      </c>
    </row>
    <row r="293" spans="1:8" x14ac:dyDescent="0.2">
      <c r="A293" s="222">
        <f>calculs!A293</f>
        <v>44844</v>
      </c>
      <c r="B293" s="523" t="e">
        <f ca="1">gr(données_step[[#This Row],[D_QDEVE]])</f>
        <v>#NAME?</v>
      </c>
      <c r="C293" s="523" t="e">
        <f ca="1">gr(données_step[[#This Row],[D_QTRAI]])</f>
        <v>#NAME?</v>
      </c>
      <c r="D293" s="523" t="e">
        <f ca="1">gr(données_step[[#This Row],[D_QDEVDP]])</f>
        <v>#NAME?</v>
      </c>
      <c r="E293" s="523" t="e">
        <f ca="1">gr(données_step[[#This Row],[D_QTRAI2]])</f>
        <v>#NAME?</v>
      </c>
      <c r="F293" s="523" t="e">
        <f ca="1">gr(données_step[[#This Row],[D_QMIN]])</f>
        <v>#NAME?</v>
      </c>
      <c r="G293" s="523" t="e">
        <f ca="1">gr(données_step[[#This Row],[D_QMAX]])</f>
        <v>#NAME?</v>
      </c>
      <c r="H293" s="501" t="e">
        <f ca="1">gr(données_step[[#This Row],[D_PLUIE]])</f>
        <v>#NAME?</v>
      </c>
    </row>
    <row r="294" spans="1:8" x14ac:dyDescent="0.2">
      <c r="A294" s="222">
        <f>calculs!A294</f>
        <v>44845</v>
      </c>
      <c r="B294" s="523" t="e">
        <f ca="1">gr(données_step[[#This Row],[D_QDEVE]])</f>
        <v>#NAME?</v>
      </c>
      <c r="C294" s="523" t="e">
        <f ca="1">gr(données_step[[#This Row],[D_QTRAI]])</f>
        <v>#NAME?</v>
      </c>
      <c r="D294" s="523" t="e">
        <f ca="1">gr(données_step[[#This Row],[D_QDEVDP]])</f>
        <v>#NAME?</v>
      </c>
      <c r="E294" s="523" t="e">
        <f ca="1">gr(données_step[[#This Row],[D_QTRAI2]])</f>
        <v>#NAME?</v>
      </c>
      <c r="F294" s="523" t="e">
        <f ca="1">gr(données_step[[#This Row],[D_QMIN]])</f>
        <v>#NAME?</v>
      </c>
      <c r="G294" s="523" t="e">
        <f ca="1">gr(données_step[[#This Row],[D_QMAX]])</f>
        <v>#NAME?</v>
      </c>
      <c r="H294" s="501" t="e">
        <f ca="1">gr(données_step[[#This Row],[D_PLUIE]])</f>
        <v>#NAME?</v>
      </c>
    </row>
    <row r="295" spans="1:8" x14ac:dyDescent="0.2">
      <c r="A295" s="222">
        <f>calculs!A295</f>
        <v>44846</v>
      </c>
      <c r="B295" s="523" t="e">
        <f ca="1">gr(données_step[[#This Row],[D_QDEVE]])</f>
        <v>#NAME?</v>
      </c>
      <c r="C295" s="523" t="e">
        <f ca="1">gr(données_step[[#This Row],[D_QTRAI]])</f>
        <v>#NAME?</v>
      </c>
      <c r="D295" s="523" t="e">
        <f ca="1">gr(données_step[[#This Row],[D_QDEVDP]])</f>
        <v>#NAME?</v>
      </c>
      <c r="E295" s="523" t="e">
        <f ca="1">gr(données_step[[#This Row],[D_QTRAI2]])</f>
        <v>#NAME?</v>
      </c>
      <c r="F295" s="523" t="e">
        <f ca="1">gr(données_step[[#This Row],[D_QMIN]])</f>
        <v>#NAME?</v>
      </c>
      <c r="G295" s="523" t="e">
        <f ca="1">gr(données_step[[#This Row],[D_QMAX]])</f>
        <v>#NAME?</v>
      </c>
      <c r="H295" s="501" t="e">
        <f ca="1">gr(données_step[[#This Row],[D_PLUIE]])</f>
        <v>#NAME?</v>
      </c>
    </row>
    <row r="296" spans="1:8" x14ac:dyDescent="0.2">
      <c r="A296" s="222">
        <f>calculs!A296</f>
        <v>44847</v>
      </c>
      <c r="B296" s="523" t="e">
        <f ca="1">gr(données_step[[#This Row],[D_QDEVE]])</f>
        <v>#NAME?</v>
      </c>
      <c r="C296" s="523" t="e">
        <f ca="1">gr(données_step[[#This Row],[D_QTRAI]])</f>
        <v>#NAME?</v>
      </c>
      <c r="D296" s="523" t="e">
        <f ca="1">gr(données_step[[#This Row],[D_QDEVDP]])</f>
        <v>#NAME?</v>
      </c>
      <c r="E296" s="523" t="e">
        <f ca="1">gr(données_step[[#This Row],[D_QTRAI2]])</f>
        <v>#NAME?</v>
      </c>
      <c r="F296" s="523" t="e">
        <f ca="1">gr(données_step[[#This Row],[D_QMIN]])</f>
        <v>#NAME?</v>
      </c>
      <c r="G296" s="523" t="e">
        <f ca="1">gr(données_step[[#This Row],[D_QMAX]])</f>
        <v>#NAME?</v>
      </c>
      <c r="H296" s="501" t="e">
        <f ca="1">gr(données_step[[#This Row],[D_PLUIE]])</f>
        <v>#NAME?</v>
      </c>
    </row>
    <row r="297" spans="1:8" x14ac:dyDescent="0.2">
      <c r="A297" s="222">
        <f>calculs!A297</f>
        <v>44848</v>
      </c>
      <c r="B297" s="523" t="e">
        <f ca="1">gr(données_step[[#This Row],[D_QDEVE]])</f>
        <v>#NAME?</v>
      </c>
      <c r="C297" s="523" t="e">
        <f ca="1">gr(données_step[[#This Row],[D_QTRAI]])</f>
        <v>#NAME?</v>
      </c>
      <c r="D297" s="523" t="e">
        <f ca="1">gr(données_step[[#This Row],[D_QDEVDP]])</f>
        <v>#NAME?</v>
      </c>
      <c r="E297" s="523" t="e">
        <f ca="1">gr(données_step[[#This Row],[D_QTRAI2]])</f>
        <v>#NAME?</v>
      </c>
      <c r="F297" s="523" t="e">
        <f ca="1">gr(données_step[[#This Row],[D_QMIN]])</f>
        <v>#NAME?</v>
      </c>
      <c r="G297" s="523" t="e">
        <f ca="1">gr(données_step[[#This Row],[D_QMAX]])</f>
        <v>#NAME?</v>
      </c>
      <c r="H297" s="501" t="e">
        <f ca="1">gr(données_step[[#This Row],[D_PLUIE]])</f>
        <v>#NAME?</v>
      </c>
    </row>
    <row r="298" spans="1:8" x14ac:dyDescent="0.2">
      <c r="A298" s="222">
        <f>calculs!A298</f>
        <v>44849</v>
      </c>
      <c r="B298" s="523" t="e">
        <f ca="1">gr(données_step[[#This Row],[D_QDEVE]])</f>
        <v>#NAME?</v>
      </c>
      <c r="C298" s="523" t="e">
        <f ca="1">gr(données_step[[#This Row],[D_QTRAI]])</f>
        <v>#NAME?</v>
      </c>
      <c r="D298" s="523" t="e">
        <f ca="1">gr(données_step[[#This Row],[D_QDEVDP]])</f>
        <v>#NAME?</v>
      </c>
      <c r="E298" s="523" t="e">
        <f ca="1">gr(données_step[[#This Row],[D_QTRAI2]])</f>
        <v>#NAME?</v>
      </c>
      <c r="F298" s="523" t="e">
        <f ca="1">gr(données_step[[#This Row],[D_QMIN]])</f>
        <v>#NAME?</v>
      </c>
      <c r="G298" s="523" t="e">
        <f ca="1">gr(données_step[[#This Row],[D_QMAX]])</f>
        <v>#NAME?</v>
      </c>
      <c r="H298" s="501" t="e">
        <f ca="1">gr(données_step[[#This Row],[D_PLUIE]])</f>
        <v>#NAME?</v>
      </c>
    </row>
    <row r="299" spans="1:8" x14ac:dyDescent="0.2">
      <c r="A299" s="222">
        <f>calculs!A299</f>
        <v>44850</v>
      </c>
      <c r="B299" s="523" t="e">
        <f ca="1">gr(données_step[[#This Row],[D_QDEVE]])</f>
        <v>#NAME?</v>
      </c>
      <c r="C299" s="523" t="e">
        <f ca="1">gr(données_step[[#This Row],[D_QTRAI]])</f>
        <v>#NAME?</v>
      </c>
      <c r="D299" s="523" t="e">
        <f ca="1">gr(données_step[[#This Row],[D_QDEVDP]])</f>
        <v>#NAME?</v>
      </c>
      <c r="E299" s="523" t="e">
        <f ca="1">gr(données_step[[#This Row],[D_QTRAI2]])</f>
        <v>#NAME?</v>
      </c>
      <c r="F299" s="523" t="e">
        <f ca="1">gr(données_step[[#This Row],[D_QMIN]])</f>
        <v>#NAME?</v>
      </c>
      <c r="G299" s="523" t="e">
        <f ca="1">gr(données_step[[#This Row],[D_QMAX]])</f>
        <v>#NAME?</v>
      </c>
      <c r="H299" s="501" t="e">
        <f ca="1">gr(données_step[[#This Row],[D_PLUIE]])</f>
        <v>#NAME?</v>
      </c>
    </row>
    <row r="300" spans="1:8" x14ac:dyDescent="0.2">
      <c r="A300" s="222">
        <f>calculs!A300</f>
        <v>44851</v>
      </c>
      <c r="B300" s="523" t="e">
        <f ca="1">gr(données_step[[#This Row],[D_QDEVE]])</f>
        <v>#NAME?</v>
      </c>
      <c r="C300" s="523" t="e">
        <f ca="1">gr(données_step[[#This Row],[D_QTRAI]])</f>
        <v>#NAME?</v>
      </c>
      <c r="D300" s="523" t="e">
        <f ca="1">gr(données_step[[#This Row],[D_QDEVDP]])</f>
        <v>#NAME?</v>
      </c>
      <c r="E300" s="523" t="e">
        <f ca="1">gr(données_step[[#This Row],[D_QTRAI2]])</f>
        <v>#NAME?</v>
      </c>
      <c r="F300" s="523" t="e">
        <f ca="1">gr(données_step[[#This Row],[D_QMIN]])</f>
        <v>#NAME?</v>
      </c>
      <c r="G300" s="523" t="e">
        <f ca="1">gr(données_step[[#This Row],[D_QMAX]])</f>
        <v>#NAME?</v>
      </c>
      <c r="H300" s="501" t="e">
        <f ca="1">gr(données_step[[#This Row],[D_PLUIE]])</f>
        <v>#NAME?</v>
      </c>
    </row>
    <row r="301" spans="1:8" x14ac:dyDescent="0.2">
      <c r="A301" s="222">
        <f>calculs!A301</f>
        <v>44852</v>
      </c>
      <c r="B301" s="523" t="e">
        <f ca="1">gr(données_step[[#This Row],[D_QDEVE]])</f>
        <v>#NAME?</v>
      </c>
      <c r="C301" s="523" t="e">
        <f ca="1">gr(données_step[[#This Row],[D_QTRAI]])</f>
        <v>#NAME?</v>
      </c>
      <c r="D301" s="523" t="e">
        <f ca="1">gr(données_step[[#This Row],[D_QDEVDP]])</f>
        <v>#NAME?</v>
      </c>
      <c r="E301" s="523" t="e">
        <f ca="1">gr(données_step[[#This Row],[D_QTRAI2]])</f>
        <v>#NAME?</v>
      </c>
      <c r="F301" s="523" t="e">
        <f ca="1">gr(données_step[[#This Row],[D_QMIN]])</f>
        <v>#NAME?</v>
      </c>
      <c r="G301" s="523" t="e">
        <f ca="1">gr(données_step[[#This Row],[D_QMAX]])</f>
        <v>#NAME?</v>
      </c>
      <c r="H301" s="501" t="e">
        <f ca="1">gr(données_step[[#This Row],[D_PLUIE]])</f>
        <v>#NAME?</v>
      </c>
    </row>
    <row r="302" spans="1:8" x14ac:dyDescent="0.2">
      <c r="A302" s="222">
        <f>calculs!A302</f>
        <v>44853</v>
      </c>
      <c r="B302" s="523" t="e">
        <f ca="1">gr(données_step[[#This Row],[D_QDEVE]])</f>
        <v>#NAME?</v>
      </c>
      <c r="C302" s="523" t="e">
        <f ca="1">gr(données_step[[#This Row],[D_QTRAI]])</f>
        <v>#NAME?</v>
      </c>
      <c r="D302" s="523" t="e">
        <f ca="1">gr(données_step[[#This Row],[D_QDEVDP]])</f>
        <v>#NAME?</v>
      </c>
      <c r="E302" s="523" t="e">
        <f ca="1">gr(données_step[[#This Row],[D_QTRAI2]])</f>
        <v>#NAME?</v>
      </c>
      <c r="F302" s="523" t="e">
        <f ca="1">gr(données_step[[#This Row],[D_QMIN]])</f>
        <v>#NAME?</v>
      </c>
      <c r="G302" s="523" t="e">
        <f ca="1">gr(données_step[[#This Row],[D_QMAX]])</f>
        <v>#NAME?</v>
      </c>
      <c r="H302" s="501" t="e">
        <f ca="1">gr(données_step[[#This Row],[D_PLUIE]])</f>
        <v>#NAME?</v>
      </c>
    </row>
    <row r="303" spans="1:8" x14ac:dyDescent="0.2">
      <c r="A303" s="222">
        <f>calculs!A303</f>
        <v>44854</v>
      </c>
      <c r="B303" s="523" t="e">
        <f ca="1">gr(données_step[[#This Row],[D_QDEVE]])</f>
        <v>#NAME?</v>
      </c>
      <c r="C303" s="523" t="e">
        <f ca="1">gr(données_step[[#This Row],[D_QTRAI]])</f>
        <v>#NAME?</v>
      </c>
      <c r="D303" s="523" t="e">
        <f ca="1">gr(données_step[[#This Row],[D_QDEVDP]])</f>
        <v>#NAME?</v>
      </c>
      <c r="E303" s="523" t="e">
        <f ca="1">gr(données_step[[#This Row],[D_QTRAI2]])</f>
        <v>#NAME?</v>
      </c>
      <c r="F303" s="523" t="e">
        <f ca="1">gr(données_step[[#This Row],[D_QMIN]])</f>
        <v>#NAME?</v>
      </c>
      <c r="G303" s="523" t="e">
        <f ca="1">gr(données_step[[#This Row],[D_QMAX]])</f>
        <v>#NAME?</v>
      </c>
      <c r="H303" s="501" t="e">
        <f ca="1">gr(données_step[[#This Row],[D_PLUIE]])</f>
        <v>#NAME?</v>
      </c>
    </row>
    <row r="304" spans="1:8" x14ac:dyDescent="0.2">
      <c r="A304" s="222">
        <f>calculs!A304</f>
        <v>44855</v>
      </c>
      <c r="B304" s="523" t="e">
        <f ca="1">gr(données_step[[#This Row],[D_QDEVE]])</f>
        <v>#NAME?</v>
      </c>
      <c r="C304" s="523" t="e">
        <f ca="1">gr(données_step[[#This Row],[D_QTRAI]])</f>
        <v>#NAME?</v>
      </c>
      <c r="D304" s="523" t="e">
        <f ca="1">gr(données_step[[#This Row],[D_QDEVDP]])</f>
        <v>#NAME?</v>
      </c>
      <c r="E304" s="523" t="e">
        <f ca="1">gr(données_step[[#This Row],[D_QTRAI2]])</f>
        <v>#NAME?</v>
      </c>
      <c r="F304" s="523" t="e">
        <f ca="1">gr(données_step[[#This Row],[D_QMIN]])</f>
        <v>#NAME?</v>
      </c>
      <c r="G304" s="523" t="e">
        <f ca="1">gr(données_step[[#This Row],[D_QMAX]])</f>
        <v>#NAME?</v>
      </c>
      <c r="H304" s="501" t="e">
        <f ca="1">gr(données_step[[#This Row],[D_PLUIE]])</f>
        <v>#NAME?</v>
      </c>
    </row>
    <row r="305" spans="1:8" x14ac:dyDescent="0.2">
      <c r="A305" s="222">
        <f>calculs!A305</f>
        <v>44856</v>
      </c>
      <c r="B305" s="523" t="e">
        <f ca="1">gr(données_step[[#This Row],[D_QDEVE]])</f>
        <v>#NAME?</v>
      </c>
      <c r="C305" s="523" t="e">
        <f ca="1">gr(données_step[[#This Row],[D_QTRAI]])</f>
        <v>#NAME?</v>
      </c>
      <c r="D305" s="523" t="e">
        <f ca="1">gr(données_step[[#This Row],[D_QDEVDP]])</f>
        <v>#NAME?</v>
      </c>
      <c r="E305" s="523" t="e">
        <f ca="1">gr(données_step[[#This Row],[D_QTRAI2]])</f>
        <v>#NAME?</v>
      </c>
      <c r="F305" s="523" t="e">
        <f ca="1">gr(données_step[[#This Row],[D_QMIN]])</f>
        <v>#NAME?</v>
      </c>
      <c r="G305" s="523" t="e">
        <f ca="1">gr(données_step[[#This Row],[D_QMAX]])</f>
        <v>#NAME?</v>
      </c>
      <c r="H305" s="501" t="e">
        <f ca="1">gr(données_step[[#This Row],[D_PLUIE]])</f>
        <v>#NAME?</v>
      </c>
    </row>
    <row r="306" spans="1:8" x14ac:dyDescent="0.2">
      <c r="A306" s="222">
        <f>calculs!A306</f>
        <v>44857</v>
      </c>
      <c r="B306" s="523" t="e">
        <f ca="1">gr(données_step[[#This Row],[D_QDEVE]])</f>
        <v>#NAME?</v>
      </c>
      <c r="C306" s="523" t="e">
        <f ca="1">gr(données_step[[#This Row],[D_QTRAI]])</f>
        <v>#NAME?</v>
      </c>
      <c r="D306" s="523" t="e">
        <f ca="1">gr(données_step[[#This Row],[D_QDEVDP]])</f>
        <v>#NAME?</v>
      </c>
      <c r="E306" s="523" t="e">
        <f ca="1">gr(données_step[[#This Row],[D_QTRAI2]])</f>
        <v>#NAME?</v>
      </c>
      <c r="F306" s="523" t="e">
        <f ca="1">gr(données_step[[#This Row],[D_QMIN]])</f>
        <v>#NAME?</v>
      </c>
      <c r="G306" s="523" t="e">
        <f ca="1">gr(données_step[[#This Row],[D_QMAX]])</f>
        <v>#NAME?</v>
      </c>
      <c r="H306" s="501" t="e">
        <f ca="1">gr(données_step[[#This Row],[D_PLUIE]])</f>
        <v>#NAME?</v>
      </c>
    </row>
    <row r="307" spans="1:8" x14ac:dyDescent="0.2">
      <c r="A307" s="222">
        <f>calculs!A307</f>
        <v>44858</v>
      </c>
      <c r="B307" s="523" t="e">
        <f ca="1">gr(données_step[[#This Row],[D_QDEVE]])</f>
        <v>#NAME?</v>
      </c>
      <c r="C307" s="523" t="e">
        <f ca="1">gr(données_step[[#This Row],[D_QTRAI]])</f>
        <v>#NAME?</v>
      </c>
      <c r="D307" s="523" t="e">
        <f ca="1">gr(données_step[[#This Row],[D_QDEVDP]])</f>
        <v>#NAME?</v>
      </c>
      <c r="E307" s="523" t="e">
        <f ca="1">gr(données_step[[#This Row],[D_QTRAI2]])</f>
        <v>#NAME?</v>
      </c>
      <c r="F307" s="523" t="e">
        <f ca="1">gr(données_step[[#This Row],[D_QMIN]])</f>
        <v>#NAME?</v>
      </c>
      <c r="G307" s="523" t="e">
        <f ca="1">gr(données_step[[#This Row],[D_QMAX]])</f>
        <v>#NAME?</v>
      </c>
      <c r="H307" s="501" t="e">
        <f ca="1">gr(données_step[[#This Row],[D_PLUIE]])</f>
        <v>#NAME?</v>
      </c>
    </row>
    <row r="308" spans="1:8" x14ac:dyDescent="0.2">
      <c r="A308" s="222">
        <f>calculs!A308</f>
        <v>44859</v>
      </c>
      <c r="B308" s="523" t="e">
        <f ca="1">gr(données_step[[#This Row],[D_QDEVE]])</f>
        <v>#NAME?</v>
      </c>
      <c r="C308" s="523" t="e">
        <f ca="1">gr(données_step[[#This Row],[D_QTRAI]])</f>
        <v>#NAME?</v>
      </c>
      <c r="D308" s="523" t="e">
        <f ca="1">gr(données_step[[#This Row],[D_QDEVDP]])</f>
        <v>#NAME?</v>
      </c>
      <c r="E308" s="523" t="e">
        <f ca="1">gr(données_step[[#This Row],[D_QTRAI2]])</f>
        <v>#NAME?</v>
      </c>
      <c r="F308" s="523" t="e">
        <f ca="1">gr(données_step[[#This Row],[D_QMIN]])</f>
        <v>#NAME?</v>
      </c>
      <c r="G308" s="523" t="e">
        <f ca="1">gr(données_step[[#This Row],[D_QMAX]])</f>
        <v>#NAME?</v>
      </c>
      <c r="H308" s="501" t="e">
        <f ca="1">gr(données_step[[#This Row],[D_PLUIE]])</f>
        <v>#NAME?</v>
      </c>
    </row>
    <row r="309" spans="1:8" x14ac:dyDescent="0.2">
      <c r="A309" s="222">
        <f>calculs!A309</f>
        <v>44860</v>
      </c>
      <c r="B309" s="523" t="e">
        <f ca="1">gr(données_step[[#This Row],[D_QDEVE]])</f>
        <v>#NAME?</v>
      </c>
      <c r="C309" s="523" t="e">
        <f ca="1">gr(données_step[[#This Row],[D_QTRAI]])</f>
        <v>#NAME?</v>
      </c>
      <c r="D309" s="523" t="e">
        <f ca="1">gr(données_step[[#This Row],[D_QDEVDP]])</f>
        <v>#NAME?</v>
      </c>
      <c r="E309" s="523" t="e">
        <f ca="1">gr(données_step[[#This Row],[D_QTRAI2]])</f>
        <v>#NAME?</v>
      </c>
      <c r="F309" s="523" t="e">
        <f ca="1">gr(données_step[[#This Row],[D_QMIN]])</f>
        <v>#NAME?</v>
      </c>
      <c r="G309" s="523" t="e">
        <f ca="1">gr(données_step[[#This Row],[D_QMAX]])</f>
        <v>#NAME?</v>
      </c>
      <c r="H309" s="501" t="e">
        <f ca="1">gr(données_step[[#This Row],[D_PLUIE]])</f>
        <v>#NAME?</v>
      </c>
    </row>
    <row r="310" spans="1:8" x14ac:dyDescent="0.2">
      <c r="A310" s="222">
        <f>calculs!A310</f>
        <v>44861</v>
      </c>
      <c r="B310" s="523" t="e">
        <f ca="1">gr(données_step[[#This Row],[D_QDEVE]])</f>
        <v>#NAME?</v>
      </c>
      <c r="C310" s="523" t="e">
        <f ca="1">gr(données_step[[#This Row],[D_QTRAI]])</f>
        <v>#NAME?</v>
      </c>
      <c r="D310" s="523" t="e">
        <f ca="1">gr(données_step[[#This Row],[D_QDEVDP]])</f>
        <v>#NAME?</v>
      </c>
      <c r="E310" s="523" t="e">
        <f ca="1">gr(données_step[[#This Row],[D_QTRAI2]])</f>
        <v>#NAME?</v>
      </c>
      <c r="F310" s="523" t="e">
        <f ca="1">gr(données_step[[#This Row],[D_QMIN]])</f>
        <v>#NAME?</v>
      </c>
      <c r="G310" s="523" t="e">
        <f ca="1">gr(données_step[[#This Row],[D_QMAX]])</f>
        <v>#NAME?</v>
      </c>
      <c r="H310" s="501" t="e">
        <f ca="1">gr(données_step[[#This Row],[D_PLUIE]])</f>
        <v>#NAME?</v>
      </c>
    </row>
    <row r="311" spans="1:8" x14ac:dyDescent="0.2">
      <c r="A311" s="222">
        <f>calculs!A311</f>
        <v>44862</v>
      </c>
      <c r="B311" s="523" t="e">
        <f ca="1">gr(données_step[[#This Row],[D_QDEVE]])</f>
        <v>#NAME?</v>
      </c>
      <c r="C311" s="523" t="e">
        <f ca="1">gr(données_step[[#This Row],[D_QTRAI]])</f>
        <v>#NAME?</v>
      </c>
      <c r="D311" s="523" t="e">
        <f ca="1">gr(données_step[[#This Row],[D_QDEVDP]])</f>
        <v>#NAME?</v>
      </c>
      <c r="E311" s="523" t="e">
        <f ca="1">gr(données_step[[#This Row],[D_QTRAI2]])</f>
        <v>#NAME?</v>
      </c>
      <c r="F311" s="523" t="e">
        <f ca="1">gr(données_step[[#This Row],[D_QMIN]])</f>
        <v>#NAME?</v>
      </c>
      <c r="G311" s="523" t="e">
        <f ca="1">gr(données_step[[#This Row],[D_QMAX]])</f>
        <v>#NAME?</v>
      </c>
      <c r="H311" s="501" t="e">
        <f ca="1">gr(données_step[[#This Row],[D_PLUIE]])</f>
        <v>#NAME?</v>
      </c>
    </row>
    <row r="312" spans="1:8" x14ac:dyDescent="0.2">
      <c r="A312" s="222">
        <f>calculs!A312</f>
        <v>44863</v>
      </c>
      <c r="B312" s="523" t="e">
        <f ca="1">gr(données_step[[#This Row],[D_QDEVE]])</f>
        <v>#NAME?</v>
      </c>
      <c r="C312" s="523" t="e">
        <f ca="1">gr(données_step[[#This Row],[D_QTRAI]])</f>
        <v>#NAME?</v>
      </c>
      <c r="D312" s="523" t="e">
        <f ca="1">gr(données_step[[#This Row],[D_QDEVDP]])</f>
        <v>#NAME?</v>
      </c>
      <c r="E312" s="523" t="e">
        <f ca="1">gr(données_step[[#This Row],[D_QTRAI2]])</f>
        <v>#NAME?</v>
      </c>
      <c r="F312" s="523" t="e">
        <f ca="1">gr(données_step[[#This Row],[D_QMIN]])</f>
        <v>#NAME?</v>
      </c>
      <c r="G312" s="523" t="e">
        <f ca="1">gr(données_step[[#This Row],[D_QMAX]])</f>
        <v>#NAME?</v>
      </c>
      <c r="H312" s="501" t="e">
        <f ca="1">gr(données_step[[#This Row],[D_PLUIE]])</f>
        <v>#NAME?</v>
      </c>
    </row>
    <row r="313" spans="1:8" x14ac:dyDescent="0.2">
      <c r="A313" s="222">
        <f>calculs!A313</f>
        <v>44864</v>
      </c>
      <c r="B313" s="523" t="e">
        <f ca="1">gr(données_step[[#This Row],[D_QDEVE]])</f>
        <v>#NAME?</v>
      </c>
      <c r="C313" s="523" t="e">
        <f ca="1">gr(données_step[[#This Row],[D_QTRAI]])</f>
        <v>#NAME?</v>
      </c>
      <c r="D313" s="523" t="e">
        <f ca="1">gr(données_step[[#This Row],[D_QDEVDP]])</f>
        <v>#NAME?</v>
      </c>
      <c r="E313" s="523" t="e">
        <f ca="1">gr(données_step[[#This Row],[D_QTRAI2]])</f>
        <v>#NAME?</v>
      </c>
      <c r="F313" s="523" t="e">
        <f ca="1">gr(données_step[[#This Row],[D_QMIN]])</f>
        <v>#NAME?</v>
      </c>
      <c r="G313" s="523" t="e">
        <f ca="1">gr(données_step[[#This Row],[D_QMAX]])</f>
        <v>#NAME?</v>
      </c>
      <c r="H313" s="501" t="e">
        <f ca="1">gr(données_step[[#This Row],[D_PLUIE]])</f>
        <v>#NAME?</v>
      </c>
    </row>
    <row r="314" spans="1:8" x14ac:dyDescent="0.2">
      <c r="A314" s="222">
        <f>calculs!A314</f>
        <v>44865</v>
      </c>
      <c r="B314" s="523" t="e">
        <f ca="1">gr(données_step[[#This Row],[D_QDEVE]])</f>
        <v>#NAME?</v>
      </c>
      <c r="C314" s="523" t="e">
        <f ca="1">gr(données_step[[#This Row],[D_QTRAI]])</f>
        <v>#NAME?</v>
      </c>
      <c r="D314" s="523" t="e">
        <f ca="1">gr(données_step[[#This Row],[D_QDEVDP]])</f>
        <v>#NAME?</v>
      </c>
      <c r="E314" s="523" t="e">
        <f ca="1">gr(données_step[[#This Row],[D_QTRAI2]])</f>
        <v>#NAME?</v>
      </c>
      <c r="F314" s="523" t="e">
        <f ca="1">gr(données_step[[#This Row],[D_QMIN]])</f>
        <v>#NAME?</v>
      </c>
      <c r="G314" s="523" t="e">
        <f ca="1">gr(données_step[[#This Row],[D_QMAX]])</f>
        <v>#NAME?</v>
      </c>
      <c r="H314" s="501" t="e">
        <f ca="1">gr(données_step[[#This Row],[D_PLUIE]])</f>
        <v>#NAME?</v>
      </c>
    </row>
    <row r="315" spans="1:8" x14ac:dyDescent="0.2">
      <c r="A315" s="222">
        <f>calculs!A315</f>
        <v>44866</v>
      </c>
      <c r="B315" s="523" t="e">
        <f ca="1">gr(données_step[[#This Row],[D_QDEVE]])</f>
        <v>#NAME?</v>
      </c>
      <c r="C315" s="523" t="e">
        <f ca="1">gr(données_step[[#This Row],[D_QTRAI]])</f>
        <v>#NAME?</v>
      </c>
      <c r="D315" s="523" t="e">
        <f ca="1">gr(données_step[[#This Row],[D_QDEVDP]])</f>
        <v>#NAME?</v>
      </c>
      <c r="E315" s="523" t="e">
        <f ca="1">gr(données_step[[#This Row],[D_QTRAI2]])</f>
        <v>#NAME?</v>
      </c>
      <c r="F315" s="523" t="e">
        <f ca="1">gr(données_step[[#This Row],[D_QMIN]])</f>
        <v>#NAME?</v>
      </c>
      <c r="G315" s="523" t="e">
        <f ca="1">gr(données_step[[#This Row],[D_QMAX]])</f>
        <v>#NAME?</v>
      </c>
      <c r="H315" s="501" t="e">
        <f ca="1">gr(données_step[[#This Row],[D_PLUIE]])</f>
        <v>#NAME?</v>
      </c>
    </row>
    <row r="316" spans="1:8" x14ac:dyDescent="0.2">
      <c r="A316" s="222">
        <f>calculs!A316</f>
        <v>44867</v>
      </c>
      <c r="B316" s="523" t="e">
        <f ca="1">gr(données_step[[#This Row],[D_QDEVE]])</f>
        <v>#NAME?</v>
      </c>
      <c r="C316" s="523" t="e">
        <f ca="1">gr(données_step[[#This Row],[D_QTRAI]])</f>
        <v>#NAME?</v>
      </c>
      <c r="D316" s="523" t="e">
        <f ca="1">gr(données_step[[#This Row],[D_QDEVDP]])</f>
        <v>#NAME?</v>
      </c>
      <c r="E316" s="523" t="e">
        <f ca="1">gr(données_step[[#This Row],[D_QTRAI2]])</f>
        <v>#NAME?</v>
      </c>
      <c r="F316" s="523" t="e">
        <f ca="1">gr(données_step[[#This Row],[D_QMIN]])</f>
        <v>#NAME?</v>
      </c>
      <c r="G316" s="523" t="e">
        <f ca="1">gr(données_step[[#This Row],[D_QMAX]])</f>
        <v>#NAME?</v>
      </c>
      <c r="H316" s="501" t="e">
        <f ca="1">gr(données_step[[#This Row],[D_PLUIE]])</f>
        <v>#NAME?</v>
      </c>
    </row>
    <row r="317" spans="1:8" x14ac:dyDescent="0.2">
      <c r="A317" s="222">
        <f>calculs!A317</f>
        <v>44868</v>
      </c>
      <c r="B317" s="523" t="e">
        <f ca="1">gr(données_step[[#This Row],[D_QDEVE]])</f>
        <v>#NAME?</v>
      </c>
      <c r="C317" s="523" t="e">
        <f ca="1">gr(données_step[[#This Row],[D_QTRAI]])</f>
        <v>#NAME?</v>
      </c>
      <c r="D317" s="523" t="e">
        <f ca="1">gr(données_step[[#This Row],[D_QDEVDP]])</f>
        <v>#NAME?</v>
      </c>
      <c r="E317" s="523" t="e">
        <f ca="1">gr(données_step[[#This Row],[D_QTRAI2]])</f>
        <v>#NAME?</v>
      </c>
      <c r="F317" s="523" t="e">
        <f ca="1">gr(données_step[[#This Row],[D_QMIN]])</f>
        <v>#NAME?</v>
      </c>
      <c r="G317" s="523" t="e">
        <f ca="1">gr(données_step[[#This Row],[D_QMAX]])</f>
        <v>#NAME?</v>
      </c>
      <c r="H317" s="501" t="e">
        <f ca="1">gr(données_step[[#This Row],[D_PLUIE]])</f>
        <v>#NAME?</v>
      </c>
    </row>
    <row r="318" spans="1:8" x14ac:dyDescent="0.2">
      <c r="A318" s="222">
        <f>calculs!A318</f>
        <v>44869</v>
      </c>
      <c r="B318" s="523" t="e">
        <f ca="1">gr(données_step[[#This Row],[D_QDEVE]])</f>
        <v>#NAME?</v>
      </c>
      <c r="C318" s="523" t="e">
        <f ca="1">gr(données_step[[#This Row],[D_QTRAI]])</f>
        <v>#NAME?</v>
      </c>
      <c r="D318" s="523" t="e">
        <f ca="1">gr(données_step[[#This Row],[D_QDEVDP]])</f>
        <v>#NAME?</v>
      </c>
      <c r="E318" s="523" t="e">
        <f ca="1">gr(données_step[[#This Row],[D_QTRAI2]])</f>
        <v>#NAME?</v>
      </c>
      <c r="F318" s="523" t="e">
        <f ca="1">gr(données_step[[#This Row],[D_QMIN]])</f>
        <v>#NAME?</v>
      </c>
      <c r="G318" s="523" t="e">
        <f ca="1">gr(données_step[[#This Row],[D_QMAX]])</f>
        <v>#NAME?</v>
      </c>
      <c r="H318" s="501" t="e">
        <f ca="1">gr(données_step[[#This Row],[D_PLUIE]])</f>
        <v>#NAME?</v>
      </c>
    </row>
    <row r="319" spans="1:8" x14ac:dyDescent="0.2">
      <c r="A319" s="222">
        <f>calculs!A319</f>
        <v>44870</v>
      </c>
      <c r="B319" s="523" t="e">
        <f ca="1">gr(données_step[[#This Row],[D_QDEVE]])</f>
        <v>#NAME?</v>
      </c>
      <c r="C319" s="523" t="e">
        <f ca="1">gr(données_step[[#This Row],[D_QTRAI]])</f>
        <v>#NAME?</v>
      </c>
      <c r="D319" s="523" t="e">
        <f ca="1">gr(données_step[[#This Row],[D_QDEVDP]])</f>
        <v>#NAME?</v>
      </c>
      <c r="E319" s="523" t="e">
        <f ca="1">gr(données_step[[#This Row],[D_QTRAI2]])</f>
        <v>#NAME?</v>
      </c>
      <c r="F319" s="523" t="e">
        <f ca="1">gr(données_step[[#This Row],[D_QMIN]])</f>
        <v>#NAME?</v>
      </c>
      <c r="G319" s="523" t="e">
        <f ca="1">gr(données_step[[#This Row],[D_QMAX]])</f>
        <v>#NAME?</v>
      </c>
      <c r="H319" s="501" t="e">
        <f ca="1">gr(données_step[[#This Row],[D_PLUIE]])</f>
        <v>#NAME?</v>
      </c>
    </row>
    <row r="320" spans="1:8" x14ac:dyDescent="0.2">
      <c r="A320" s="222">
        <f>calculs!A320</f>
        <v>44871</v>
      </c>
      <c r="B320" s="523" t="e">
        <f ca="1">gr(données_step[[#This Row],[D_QDEVE]])</f>
        <v>#NAME?</v>
      </c>
      <c r="C320" s="523" t="e">
        <f ca="1">gr(données_step[[#This Row],[D_QTRAI]])</f>
        <v>#NAME?</v>
      </c>
      <c r="D320" s="523" t="e">
        <f ca="1">gr(données_step[[#This Row],[D_QDEVDP]])</f>
        <v>#NAME?</v>
      </c>
      <c r="E320" s="523" t="e">
        <f ca="1">gr(données_step[[#This Row],[D_QTRAI2]])</f>
        <v>#NAME?</v>
      </c>
      <c r="F320" s="523" t="e">
        <f ca="1">gr(données_step[[#This Row],[D_QMIN]])</f>
        <v>#NAME?</v>
      </c>
      <c r="G320" s="523" t="e">
        <f ca="1">gr(données_step[[#This Row],[D_QMAX]])</f>
        <v>#NAME?</v>
      </c>
      <c r="H320" s="501" t="e">
        <f ca="1">gr(données_step[[#This Row],[D_PLUIE]])</f>
        <v>#NAME?</v>
      </c>
    </row>
    <row r="321" spans="1:8" x14ac:dyDescent="0.2">
      <c r="A321" s="222">
        <f>calculs!A321</f>
        <v>44872</v>
      </c>
      <c r="B321" s="523" t="e">
        <f ca="1">gr(données_step[[#This Row],[D_QDEVE]])</f>
        <v>#NAME?</v>
      </c>
      <c r="C321" s="523" t="e">
        <f ca="1">gr(données_step[[#This Row],[D_QTRAI]])</f>
        <v>#NAME?</v>
      </c>
      <c r="D321" s="523" t="e">
        <f ca="1">gr(données_step[[#This Row],[D_QDEVDP]])</f>
        <v>#NAME?</v>
      </c>
      <c r="E321" s="523" t="e">
        <f ca="1">gr(données_step[[#This Row],[D_QTRAI2]])</f>
        <v>#NAME?</v>
      </c>
      <c r="F321" s="523" t="e">
        <f ca="1">gr(données_step[[#This Row],[D_QMIN]])</f>
        <v>#NAME?</v>
      </c>
      <c r="G321" s="523" t="e">
        <f ca="1">gr(données_step[[#This Row],[D_QMAX]])</f>
        <v>#NAME?</v>
      </c>
      <c r="H321" s="501" t="e">
        <f ca="1">gr(données_step[[#This Row],[D_PLUIE]])</f>
        <v>#NAME?</v>
      </c>
    </row>
    <row r="322" spans="1:8" x14ac:dyDescent="0.2">
      <c r="A322" s="222">
        <f>calculs!A322</f>
        <v>44873</v>
      </c>
      <c r="B322" s="523" t="e">
        <f ca="1">gr(données_step[[#This Row],[D_QDEVE]])</f>
        <v>#NAME?</v>
      </c>
      <c r="C322" s="523" t="e">
        <f ca="1">gr(données_step[[#This Row],[D_QTRAI]])</f>
        <v>#NAME?</v>
      </c>
      <c r="D322" s="523" t="e">
        <f ca="1">gr(données_step[[#This Row],[D_QDEVDP]])</f>
        <v>#NAME?</v>
      </c>
      <c r="E322" s="523" t="e">
        <f ca="1">gr(données_step[[#This Row],[D_QTRAI2]])</f>
        <v>#NAME?</v>
      </c>
      <c r="F322" s="523" t="e">
        <f ca="1">gr(données_step[[#This Row],[D_QMIN]])</f>
        <v>#NAME?</v>
      </c>
      <c r="G322" s="523" t="e">
        <f ca="1">gr(données_step[[#This Row],[D_QMAX]])</f>
        <v>#NAME?</v>
      </c>
      <c r="H322" s="501" t="e">
        <f ca="1">gr(données_step[[#This Row],[D_PLUIE]])</f>
        <v>#NAME?</v>
      </c>
    </row>
    <row r="323" spans="1:8" x14ac:dyDescent="0.2">
      <c r="A323" s="222">
        <f>calculs!A323</f>
        <v>44874</v>
      </c>
      <c r="B323" s="523" t="e">
        <f ca="1">gr(données_step[[#This Row],[D_QDEVE]])</f>
        <v>#NAME?</v>
      </c>
      <c r="C323" s="523" t="e">
        <f ca="1">gr(données_step[[#This Row],[D_QTRAI]])</f>
        <v>#NAME?</v>
      </c>
      <c r="D323" s="523" t="e">
        <f ca="1">gr(données_step[[#This Row],[D_QDEVDP]])</f>
        <v>#NAME?</v>
      </c>
      <c r="E323" s="523" t="e">
        <f ca="1">gr(données_step[[#This Row],[D_QTRAI2]])</f>
        <v>#NAME?</v>
      </c>
      <c r="F323" s="523" t="e">
        <f ca="1">gr(données_step[[#This Row],[D_QMIN]])</f>
        <v>#NAME?</v>
      </c>
      <c r="G323" s="523" t="e">
        <f ca="1">gr(données_step[[#This Row],[D_QMAX]])</f>
        <v>#NAME?</v>
      </c>
      <c r="H323" s="501" t="e">
        <f ca="1">gr(données_step[[#This Row],[D_PLUIE]])</f>
        <v>#NAME?</v>
      </c>
    </row>
    <row r="324" spans="1:8" x14ac:dyDescent="0.2">
      <c r="A324" s="222">
        <f>calculs!A324</f>
        <v>44875</v>
      </c>
      <c r="B324" s="523" t="e">
        <f ca="1">gr(données_step[[#This Row],[D_QDEVE]])</f>
        <v>#NAME?</v>
      </c>
      <c r="C324" s="523" t="e">
        <f ca="1">gr(données_step[[#This Row],[D_QTRAI]])</f>
        <v>#NAME?</v>
      </c>
      <c r="D324" s="523" t="e">
        <f ca="1">gr(données_step[[#This Row],[D_QDEVDP]])</f>
        <v>#NAME?</v>
      </c>
      <c r="E324" s="523" t="e">
        <f ca="1">gr(données_step[[#This Row],[D_QTRAI2]])</f>
        <v>#NAME?</v>
      </c>
      <c r="F324" s="523" t="e">
        <f ca="1">gr(données_step[[#This Row],[D_QMIN]])</f>
        <v>#NAME?</v>
      </c>
      <c r="G324" s="523" t="e">
        <f ca="1">gr(données_step[[#This Row],[D_QMAX]])</f>
        <v>#NAME?</v>
      </c>
      <c r="H324" s="501" t="e">
        <f ca="1">gr(données_step[[#This Row],[D_PLUIE]])</f>
        <v>#NAME?</v>
      </c>
    </row>
    <row r="325" spans="1:8" x14ac:dyDescent="0.2">
      <c r="A325" s="222">
        <f>calculs!A325</f>
        <v>44876</v>
      </c>
      <c r="B325" s="523" t="e">
        <f ca="1">gr(données_step[[#This Row],[D_QDEVE]])</f>
        <v>#NAME?</v>
      </c>
      <c r="C325" s="523" t="e">
        <f ca="1">gr(données_step[[#This Row],[D_QTRAI]])</f>
        <v>#NAME?</v>
      </c>
      <c r="D325" s="523" t="e">
        <f ca="1">gr(données_step[[#This Row],[D_QDEVDP]])</f>
        <v>#NAME?</v>
      </c>
      <c r="E325" s="523" t="e">
        <f ca="1">gr(données_step[[#This Row],[D_QTRAI2]])</f>
        <v>#NAME?</v>
      </c>
      <c r="F325" s="523" t="e">
        <f ca="1">gr(données_step[[#This Row],[D_QMIN]])</f>
        <v>#NAME?</v>
      </c>
      <c r="G325" s="523" t="e">
        <f ca="1">gr(données_step[[#This Row],[D_QMAX]])</f>
        <v>#NAME?</v>
      </c>
      <c r="H325" s="501" t="e">
        <f ca="1">gr(données_step[[#This Row],[D_PLUIE]])</f>
        <v>#NAME?</v>
      </c>
    </row>
    <row r="326" spans="1:8" x14ac:dyDescent="0.2">
      <c r="A326" s="222">
        <f>calculs!A326</f>
        <v>44877</v>
      </c>
      <c r="B326" s="523" t="e">
        <f ca="1">gr(données_step[[#This Row],[D_QDEVE]])</f>
        <v>#NAME?</v>
      </c>
      <c r="C326" s="523" t="e">
        <f ca="1">gr(données_step[[#This Row],[D_QTRAI]])</f>
        <v>#NAME?</v>
      </c>
      <c r="D326" s="523" t="e">
        <f ca="1">gr(données_step[[#This Row],[D_QDEVDP]])</f>
        <v>#NAME?</v>
      </c>
      <c r="E326" s="523" t="e">
        <f ca="1">gr(données_step[[#This Row],[D_QTRAI2]])</f>
        <v>#NAME?</v>
      </c>
      <c r="F326" s="523" t="e">
        <f ca="1">gr(données_step[[#This Row],[D_QMIN]])</f>
        <v>#NAME?</v>
      </c>
      <c r="G326" s="523" t="e">
        <f ca="1">gr(données_step[[#This Row],[D_QMAX]])</f>
        <v>#NAME?</v>
      </c>
      <c r="H326" s="501" t="e">
        <f ca="1">gr(données_step[[#This Row],[D_PLUIE]])</f>
        <v>#NAME?</v>
      </c>
    </row>
    <row r="327" spans="1:8" x14ac:dyDescent="0.2">
      <c r="A327" s="222">
        <f>calculs!A327</f>
        <v>44878</v>
      </c>
      <c r="B327" s="523" t="e">
        <f ca="1">gr(données_step[[#This Row],[D_QDEVE]])</f>
        <v>#NAME?</v>
      </c>
      <c r="C327" s="523" t="e">
        <f ca="1">gr(données_step[[#This Row],[D_QTRAI]])</f>
        <v>#NAME?</v>
      </c>
      <c r="D327" s="523" t="e">
        <f ca="1">gr(données_step[[#This Row],[D_QDEVDP]])</f>
        <v>#NAME?</v>
      </c>
      <c r="E327" s="523" t="e">
        <f ca="1">gr(données_step[[#This Row],[D_QTRAI2]])</f>
        <v>#NAME?</v>
      </c>
      <c r="F327" s="523" t="e">
        <f ca="1">gr(données_step[[#This Row],[D_QMIN]])</f>
        <v>#NAME?</v>
      </c>
      <c r="G327" s="523" t="e">
        <f ca="1">gr(données_step[[#This Row],[D_QMAX]])</f>
        <v>#NAME?</v>
      </c>
      <c r="H327" s="501" t="e">
        <f ca="1">gr(données_step[[#This Row],[D_PLUIE]])</f>
        <v>#NAME?</v>
      </c>
    </row>
    <row r="328" spans="1:8" x14ac:dyDescent="0.2">
      <c r="A328" s="222">
        <f>calculs!A328</f>
        <v>44879</v>
      </c>
      <c r="B328" s="523" t="e">
        <f ca="1">gr(données_step[[#This Row],[D_QDEVE]])</f>
        <v>#NAME?</v>
      </c>
      <c r="C328" s="523" t="e">
        <f ca="1">gr(données_step[[#This Row],[D_QTRAI]])</f>
        <v>#NAME?</v>
      </c>
      <c r="D328" s="523" t="e">
        <f ca="1">gr(données_step[[#This Row],[D_QDEVDP]])</f>
        <v>#NAME?</v>
      </c>
      <c r="E328" s="523" t="e">
        <f ca="1">gr(données_step[[#This Row],[D_QTRAI2]])</f>
        <v>#NAME?</v>
      </c>
      <c r="F328" s="523" t="e">
        <f ca="1">gr(données_step[[#This Row],[D_QMIN]])</f>
        <v>#NAME?</v>
      </c>
      <c r="G328" s="523" t="e">
        <f ca="1">gr(données_step[[#This Row],[D_QMAX]])</f>
        <v>#NAME?</v>
      </c>
      <c r="H328" s="501" t="e">
        <f ca="1">gr(données_step[[#This Row],[D_PLUIE]])</f>
        <v>#NAME?</v>
      </c>
    </row>
    <row r="329" spans="1:8" x14ac:dyDescent="0.2">
      <c r="A329" s="222">
        <f>calculs!A329</f>
        <v>44880</v>
      </c>
      <c r="B329" s="523" t="e">
        <f ca="1">gr(données_step[[#This Row],[D_QDEVE]])</f>
        <v>#NAME?</v>
      </c>
      <c r="C329" s="523" t="e">
        <f ca="1">gr(données_step[[#This Row],[D_QTRAI]])</f>
        <v>#NAME?</v>
      </c>
      <c r="D329" s="523" t="e">
        <f ca="1">gr(données_step[[#This Row],[D_QDEVDP]])</f>
        <v>#NAME?</v>
      </c>
      <c r="E329" s="523" t="e">
        <f ca="1">gr(données_step[[#This Row],[D_QTRAI2]])</f>
        <v>#NAME?</v>
      </c>
      <c r="F329" s="523" t="e">
        <f ca="1">gr(données_step[[#This Row],[D_QMIN]])</f>
        <v>#NAME?</v>
      </c>
      <c r="G329" s="523" t="e">
        <f ca="1">gr(données_step[[#This Row],[D_QMAX]])</f>
        <v>#NAME?</v>
      </c>
      <c r="H329" s="501" t="e">
        <f ca="1">gr(données_step[[#This Row],[D_PLUIE]])</f>
        <v>#NAME?</v>
      </c>
    </row>
    <row r="330" spans="1:8" x14ac:dyDescent="0.2">
      <c r="A330" s="222">
        <f>calculs!A330</f>
        <v>44881</v>
      </c>
      <c r="B330" s="523" t="e">
        <f ca="1">gr(données_step[[#This Row],[D_QDEVE]])</f>
        <v>#NAME?</v>
      </c>
      <c r="C330" s="523" t="e">
        <f ca="1">gr(données_step[[#This Row],[D_QTRAI]])</f>
        <v>#NAME?</v>
      </c>
      <c r="D330" s="523" t="e">
        <f ca="1">gr(données_step[[#This Row],[D_QDEVDP]])</f>
        <v>#NAME?</v>
      </c>
      <c r="E330" s="523" t="e">
        <f ca="1">gr(données_step[[#This Row],[D_QTRAI2]])</f>
        <v>#NAME?</v>
      </c>
      <c r="F330" s="523" t="e">
        <f ca="1">gr(données_step[[#This Row],[D_QMIN]])</f>
        <v>#NAME?</v>
      </c>
      <c r="G330" s="523" t="e">
        <f ca="1">gr(données_step[[#This Row],[D_QMAX]])</f>
        <v>#NAME?</v>
      </c>
      <c r="H330" s="501" t="e">
        <f ca="1">gr(données_step[[#This Row],[D_PLUIE]])</f>
        <v>#NAME?</v>
      </c>
    </row>
    <row r="331" spans="1:8" x14ac:dyDescent="0.2">
      <c r="A331" s="222">
        <f>calculs!A331</f>
        <v>44882</v>
      </c>
      <c r="B331" s="523" t="e">
        <f ca="1">gr(données_step[[#This Row],[D_QDEVE]])</f>
        <v>#NAME?</v>
      </c>
      <c r="C331" s="523" t="e">
        <f ca="1">gr(données_step[[#This Row],[D_QTRAI]])</f>
        <v>#NAME?</v>
      </c>
      <c r="D331" s="523" t="e">
        <f ca="1">gr(données_step[[#This Row],[D_QDEVDP]])</f>
        <v>#NAME?</v>
      </c>
      <c r="E331" s="523" t="e">
        <f ca="1">gr(données_step[[#This Row],[D_QTRAI2]])</f>
        <v>#NAME?</v>
      </c>
      <c r="F331" s="523" t="e">
        <f ca="1">gr(données_step[[#This Row],[D_QMIN]])</f>
        <v>#NAME?</v>
      </c>
      <c r="G331" s="523" t="e">
        <f ca="1">gr(données_step[[#This Row],[D_QMAX]])</f>
        <v>#NAME?</v>
      </c>
      <c r="H331" s="501" t="e">
        <f ca="1">gr(données_step[[#This Row],[D_PLUIE]])</f>
        <v>#NAME?</v>
      </c>
    </row>
    <row r="332" spans="1:8" x14ac:dyDescent="0.2">
      <c r="A332" s="222">
        <f>calculs!A332</f>
        <v>44883</v>
      </c>
      <c r="B332" s="523" t="e">
        <f ca="1">gr(données_step[[#This Row],[D_QDEVE]])</f>
        <v>#NAME?</v>
      </c>
      <c r="C332" s="523" t="e">
        <f ca="1">gr(données_step[[#This Row],[D_QTRAI]])</f>
        <v>#NAME?</v>
      </c>
      <c r="D332" s="523" t="e">
        <f ca="1">gr(données_step[[#This Row],[D_QDEVDP]])</f>
        <v>#NAME?</v>
      </c>
      <c r="E332" s="523" t="e">
        <f ca="1">gr(données_step[[#This Row],[D_QTRAI2]])</f>
        <v>#NAME?</v>
      </c>
      <c r="F332" s="523" t="e">
        <f ca="1">gr(données_step[[#This Row],[D_QMIN]])</f>
        <v>#NAME?</v>
      </c>
      <c r="G332" s="523" t="e">
        <f ca="1">gr(données_step[[#This Row],[D_QMAX]])</f>
        <v>#NAME?</v>
      </c>
      <c r="H332" s="501" t="e">
        <f ca="1">gr(données_step[[#This Row],[D_PLUIE]])</f>
        <v>#NAME?</v>
      </c>
    </row>
    <row r="333" spans="1:8" x14ac:dyDescent="0.2">
      <c r="A333" s="222">
        <f>calculs!A333</f>
        <v>44884</v>
      </c>
      <c r="B333" s="523" t="e">
        <f ca="1">gr(données_step[[#This Row],[D_QDEVE]])</f>
        <v>#NAME?</v>
      </c>
      <c r="C333" s="523" t="e">
        <f ca="1">gr(données_step[[#This Row],[D_QTRAI]])</f>
        <v>#NAME?</v>
      </c>
      <c r="D333" s="523" t="e">
        <f ca="1">gr(données_step[[#This Row],[D_QDEVDP]])</f>
        <v>#NAME?</v>
      </c>
      <c r="E333" s="523" t="e">
        <f ca="1">gr(données_step[[#This Row],[D_QTRAI2]])</f>
        <v>#NAME?</v>
      </c>
      <c r="F333" s="523" t="e">
        <f ca="1">gr(données_step[[#This Row],[D_QMIN]])</f>
        <v>#NAME?</v>
      </c>
      <c r="G333" s="523" t="e">
        <f ca="1">gr(données_step[[#This Row],[D_QMAX]])</f>
        <v>#NAME?</v>
      </c>
      <c r="H333" s="501" t="e">
        <f ca="1">gr(données_step[[#This Row],[D_PLUIE]])</f>
        <v>#NAME?</v>
      </c>
    </row>
    <row r="334" spans="1:8" x14ac:dyDescent="0.2">
      <c r="A334" s="222">
        <f>calculs!A334</f>
        <v>44885</v>
      </c>
      <c r="B334" s="523" t="e">
        <f ca="1">gr(données_step[[#This Row],[D_QDEVE]])</f>
        <v>#NAME?</v>
      </c>
      <c r="C334" s="523" t="e">
        <f ca="1">gr(données_step[[#This Row],[D_QTRAI]])</f>
        <v>#NAME?</v>
      </c>
      <c r="D334" s="523" t="e">
        <f ca="1">gr(données_step[[#This Row],[D_QDEVDP]])</f>
        <v>#NAME?</v>
      </c>
      <c r="E334" s="523" t="e">
        <f ca="1">gr(données_step[[#This Row],[D_QTRAI2]])</f>
        <v>#NAME?</v>
      </c>
      <c r="F334" s="523" t="e">
        <f ca="1">gr(données_step[[#This Row],[D_QMIN]])</f>
        <v>#NAME?</v>
      </c>
      <c r="G334" s="523" t="e">
        <f ca="1">gr(données_step[[#This Row],[D_QMAX]])</f>
        <v>#NAME?</v>
      </c>
      <c r="H334" s="501" t="e">
        <f ca="1">gr(données_step[[#This Row],[D_PLUIE]])</f>
        <v>#NAME?</v>
      </c>
    </row>
    <row r="335" spans="1:8" x14ac:dyDescent="0.2">
      <c r="A335" s="222">
        <f>calculs!A335</f>
        <v>44886</v>
      </c>
      <c r="B335" s="523" t="e">
        <f ca="1">gr(données_step[[#This Row],[D_QDEVE]])</f>
        <v>#NAME?</v>
      </c>
      <c r="C335" s="523" t="e">
        <f ca="1">gr(données_step[[#This Row],[D_QTRAI]])</f>
        <v>#NAME?</v>
      </c>
      <c r="D335" s="523" t="e">
        <f ca="1">gr(données_step[[#This Row],[D_QDEVDP]])</f>
        <v>#NAME?</v>
      </c>
      <c r="E335" s="523" t="e">
        <f ca="1">gr(données_step[[#This Row],[D_QTRAI2]])</f>
        <v>#NAME?</v>
      </c>
      <c r="F335" s="523" t="e">
        <f ca="1">gr(données_step[[#This Row],[D_QMIN]])</f>
        <v>#NAME?</v>
      </c>
      <c r="G335" s="523" t="e">
        <f ca="1">gr(données_step[[#This Row],[D_QMAX]])</f>
        <v>#NAME?</v>
      </c>
      <c r="H335" s="501" t="e">
        <f ca="1">gr(données_step[[#This Row],[D_PLUIE]])</f>
        <v>#NAME?</v>
      </c>
    </row>
    <row r="336" spans="1:8" x14ac:dyDescent="0.2">
      <c r="A336" s="222">
        <f>calculs!A336</f>
        <v>44887</v>
      </c>
      <c r="B336" s="523" t="e">
        <f ca="1">gr(données_step[[#This Row],[D_QDEVE]])</f>
        <v>#NAME?</v>
      </c>
      <c r="C336" s="523" t="e">
        <f ca="1">gr(données_step[[#This Row],[D_QTRAI]])</f>
        <v>#NAME?</v>
      </c>
      <c r="D336" s="523" t="e">
        <f ca="1">gr(données_step[[#This Row],[D_QDEVDP]])</f>
        <v>#NAME?</v>
      </c>
      <c r="E336" s="523" t="e">
        <f ca="1">gr(données_step[[#This Row],[D_QTRAI2]])</f>
        <v>#NAME?</v>
      </c>
      <c r="F336" s="523" t="e">
        <f ca="1">gr(données_step[[#This Row],[D_QMIN]])</f>
        <v>#NAME?</v>
      </c>
      <c r="G336" s="523" t="e">
        <f ca="1">gr(données_step[[#This Row],[D_QMAX]])</f>
        <v>#NAME?</v>
      </c>
      <c r="H336" s="501" t="e">
        <f ca="1">gr(données_step[[#This Row],[D_PLUIE]])</f>
        <v>#NAME?</v>
      </c>
    </row>
    <row r="337" spans="1:8" x14ac:dyDescent="0.2">
      <c r="A337" s="222">
        <f>calculs!A337</f>
        <v>44888</v>
      </c>
      <c r="B337" s="523" t="e">
        <f ca="1">gr(données_step[[#This Row],[D_QDEVE]])</f>
        <v>#NAME?</v>
      </c>
      <c r="C337" s="523" t="e">
        <f ca="1">gr(données_step[[#This Row],[D_QTRAI]])</f>
        <v>#NAME?</v>
      </c>
      <c r="D337" s="523" t="e">
        <f ca="1">gr(données_step[[#This Row],[D_QDEVDP]])</f>
        <v>#NAME?</v>
      </c>
      <c r="E337" s="523" t="e">
        <f ca="1">gr(données_step[[#This Row],[D_QTRAI2]])</f>
        <v>#NAME?</v>
      </c>
      <c r="F337" s="523" t="e">
        <f ca="1">gr(données_step[[#This Row],[D_QMIN]])</f>
        <v>#NAME?</v>
      </c>
      <c r="G337" s="523" t="e">
        <f ca="1">gr(données_step[[#This Row],[D_QMAX]])</f>
        <v>#NAME?</v>
      </c>
      <c r="H337" s="501" t="e">
        <f ca="1">gr(données_step[[#This Row],[D_PLUIE]])</f>
        <v>#NAME?</v>
      </c>
    </row>
    <row r="338" spans="1:8" x14ac:dyDescent="0.2">
      <c r="A338" s="222">
        <f>calculs!A338</f>
        <v>44889</v>
      </c>
      <c r="B338" s="523" t="e">
        <f ca="1">gr(données_step[[#This Row],[D_QDEVE]])</f>
        <v>#NAME?</v>
      </c>
      <c r="C338" s="523" t="e">
        <f ca="1">gr(données_step[[#This Row],[D_QTRAI]])</f>
        <v>#NAME?</v>
      </c>
      <c r="D338" s="523" t="e">
        <f ca="1">gr(données_step[[#This Row],[D_QDEVDP]])</f>
        <v>#NAME?</v>
      </c>
      <c r="E338" s="523" t="e">
        <f ca="1">gr(données_step[[#This Row],[D_QTRAI2]])</f>
        <v>#NAME?</v>
      </c>
      <c r="F338" s="523" t="e">
        <f ca="1">gr(données_step[[#This Row],[D_QMIN]])</f>
        <v>#NAME?</v>
      </c>
      <c r="G338" s="523" t="e">
        <f ca="1">gr(données_step[[#This Row],[D_QMAX]])</f>
        <v>#NAME?</v>
      </c>
      <c r="H338" s="501" t="e">
        <f ca="1">gr(données_step[[#This Row],[D_PLUIE]])</f>
        <v>#NAME?</v>
      </c>
    </row>
    <row r="339" spans="1:8" x14ac:dyDescent="0.2">
      <c r="A339" s="222">
        <f>calculs!A339</f>
        <v>44890</v>
      </c>
      <c r="B339" s="523" t="e">
        <f ca="1">gr(données_step[[#This Row],[D_QDEVE]])</f>
        <v>#NAME?</v>
      </c>
      <c r="C339" s="523" t="e">
        <f ca="1">gr(données_step[[#This Row],[D_QTRAI]])</f>
        <v>#NAME?</v>
      </c>
      <c r="D339" s="523" t="e">
        <f ca="1">gr(données_step[[#This Row],[D_QDEVDP]])</f>
        <v>#NAME?</v>
      </c>
      <c r="E339" s="523" t="e">
        <f ca="1">gr(données_step[[#This Row],[D_QTRAI2]])</f>
        <v>#NAME?</v>
      </c>
      <c r="F339" s="523" t="e">
        <f ca="1">gr(données_step[[#This Row],[D_QMIN]])</f>
        <v>#NAME?</v>
      </c>
      <c r="G339" s="523" t="e">
        <f ca="1">gr(données_step[[#This Row],[D_QMAX]])</f>
        <v>#NAME?</v>
      </c>
      <c r="H339" s="501" t="e">
        <f ca="1">gr(données_step[[#This Row],[D_PLUIE]])</f>
        <v>#NAME?</v>
      </c>
    </row>
    <row r="340" spans="1:8" x14ac:dyDescent="0.2">
      <c r="A340" s="222">
        <f>calculs!A340</f>
        <v>44891</v>
      </c>
      <c r="B340" s="523" t="e">
        <f ca="1">gr(données_step[[#This Row],[D_QDEVE]])</f>
        <v>#NAME?</v>
      </c>
      <c r="C340" s="523" t="e">
        <f ca="1">gr(données_step[[#This Row],[D_QTRAI]])</f>
        <v>#NAME?</v>
      </c>
      <c r="D340" s="523" t="e">
        <f ca="1">gr(données_step[[#This Row],[D_QDEVDP]])</f>
        <v>#NAME?</v>
      </c>
      <c r="E340" s="523" t="e">
        <f ca="1">gr(données_step[[#This Row],[D_QTRAI2]])</f>
        <v>#NAME?</v>
      </c>
      <c r="F340" s="523" t="e">
        <f ca="1">gr(données_step[[#This Row],[D_QMIN]])</f>
        <v>#NAME?</v>
      </c>
      <c r="G340" s="523" t="e">
        <f ca="1">gr(données_step[[#This Row],[D_QMAX]])</f>
        <v>#NAME?</v>
      </c>
      <c r="H340" s="501" t="e">
        <f ca="1">gr(données_step[[#This Row],[D_PLUIE]])</f>
        <v>#NAME?</v>
      </c>
    </row>
    <row r="341" spans="1:8" x14ac:dyDescent="0.2">
      <c r="A341" s="222">
        <f>calculs!A341</f>
        <v>44892</v>
      </c>
      <c r="B341" s="523" t="e">
        <f ca="1">gr(données_step[[#This Row],[D_QDEVE]])</f>
        <v>#NAME?</v>
      </c>
      <c r="C341" s="523" t="e">
        <f ca="1">gr(données_step[[#This Row],[D_QTRAI]])</f>
        <v>#NAME?</v>
      </c>
      <c r="D341" s="523" t="e">
        <f ca="1">gr(données_step[[#This Row],[D_QDEVDP]])</f>
        <v>#NAME?</v>
      </c>
      <c r="E341" s="523" t="e">
        <f ca="1">gr(données_step[[#This Row],[D_QTRAI2]])</f>
        <v>#NAME?</v>
      </c>
      <c r="F341" s="523" t="e">
        <f ca="1">gr(données_step[[#This Row],[D_QMIN]])</f>
        <v>#NAME?</v>
      </c>
      <c r="G341" s="523" t="e">
        <f ca="1">gr(données_step[[#This Row],[D_QMAX]])</f>
        <v>#NAME?</v>
      </c>
      <c r="H341" s="501" t="e">
        <f ca="1">gr(données_step[[#This Row],[D_PLUIE]])</f>
        <v>#NAME?</v>
      </c>
    </row>
    <row r="342" spans="1:8" x14ac:dyDescent="0.2">
      <c r="A342" s="222">
        <f>calculs!A342</f>
        <v>44893</v>
      </c>
      <c r="B342" s="523" t="e">
        <f ca="1">gr(données_step[[#This Row],[D_QDEVE]])</f>
        <v>#NAME?</v>
      </c>
      <c r="C342" s="523" t="e">
        <f ca="1">gr(données_step[[#This Row],[D_QTRAI]])</f>
        <v>#NAME?</v>
      </c>
      <c r="D342" s="523" t="e">
        <f ca="1">gr(données_step[[#This Row],[D_QDEVDP]])</f>
        <v>#NAME?</v>
      </c>
      <c r="E342" s="523" t="e">
        <f ca="1">gr(données_step[[#This Row],[D_QTRAI2]])</f>
        <v>#NAME?</v>
      </c>
      <c r="F342" s="523" t="e">
        <f ca="1">gr(données_step[[#This Row],[D_QMIN]])</f>
        <v>#NAME?</v>
      </c>
      <c r="G342" s="523" t="e">
        <f ca="1">gr(données_step[[#This Row],[D_QMAX]])</f>
        <v>#NAME?</v>
      </c>
      <c r="H342" s="501" t="e">
        <f ca="1">gr(données_step[[#This Row],[D_PLUIE]])</f>
        <v>#NAME?</v>
      </c>
    </row>
    <row r="343" spans="1:8" x14ac:dyDescent="0.2">
      <c r="A343" s="222">
        <f>calculs!A343</f>
        <v>44894</v>
      </c>
      <c r="B343" s="523" t="e">
        <f ca="1">gr(données_step[[#This Row],[D_QDEVE]])</f>
        <v>#NAME?</v>
      </c>
      <c r="C343" s="523" t="e">
        <f ca="1">gr(données_step[[#This Row],[D_QTRAI]])</f>
        <v>#NAME?</v>
      </c>
      <c r="D343" s="523" t="e">
        <f ca="1">gr(données_step[[#This Row],[D_QDEVDP]])</f>
        <v>#NAME?</v>
      </c>
      <c r="E343" s="523" t="e">
        <f ca="1">gr(données_step[[#This Row],[D_QTRAI2]])</f>
        <v>#NAME?</v>
      </c>
      <c r="F343" s="523" t="e">
        <f ca="1">gr(données_step[[#This Row],[D_QMIN]])</f>
        <v>#NAME?</v>
      </c>
      <c r="G343" s="523" t="e">
        <f ca="1">gr(données_step[[#This Row],[D_QMAX]])</f>
        <v>#NAME?</v>
      </c>
      <c r="H343" s="501" t="e">
        <f ca="1">gr(données_step[[#This Row],[D_PLUIE]])</f>
        <v>#NAME?</v>
      </c>
    </row>
    <row r="344" spans="1:8" x14ac:dyDescent="0.2">
      <c r="A344" s="222">
        <f>calculs!A344</f>
        <v>44895</v>
      </c>
      <c r="B344" s="523" t="e">
        <f ca="1">gr(données_step[[#This Row],[D_QDEVE]])</f>
        <v>#NAME?</v>
      </c>
      <c r="C344" s="523" t="e">
        <f ca="1">gr(données_step[[#This Row],[D_QTRAI]])</f>
        <v>#NAME?</v>
      </c>
      <c r="D344" s="523" t="e">
        <f ca="1">gr(données_step[[#This Row],[D_QDEVDP]])</f>
        <v>#NAME?</v>
      </c>
      <c r="E344" s="523" t="e">
        <f ca="1">gr(données_step[[#This Row],[D_QTRAI2]])</f>
        <v>#NAME?</v>
      </c>
      <c r="F344" s="523" t="e">
        <f ca="1">gr(données_step[[#This Row],[D_QMIN]])</f>
        <v>#NAME?</v>
      </c>
      <c r="G344" s="523" t="e">
        <f ca="1">gr(données_step[[#This Row],[D_QMAX]])</f>
        <v>#NAME?</v>
      </c>
      <c r="H344" s="501" t="e">
        <f ca="1">gr(données_step[[#This Row],[D_PLUIE]])</f>
        <v>#NAME?</v>
      </c>
    </row>
    <row r="345" spans="1:8" x14ac:dyDescent="0.2">
      <c r="A345" s="222">
        <f>calculs!A345</f>
        <v>44896</v>
      </c>
      <c r="B345" s="523" t="e">
        <f ca="1">gr(données_step[[#This Row],[D_QDEVE]])</f>
        <v>#NAME?</v>
      </c>
      <c r="C345" s="523" t="e">
        <f ca="1">gr(données_step[[#This Row],[D_QTRAI]])</f>
        <v>#NAME?</v>
      </c>
      <c r="D345" s="523" t="e">
        <f ca="1">gr(données_step[[#This Row],[D_QDEVDP]])</f>
        <v>#NAME?</v>
      </c>
      <c r="E345" s="523" t="e">
        <f ca="1">gr(données_step[[#This Row],[D_QTRAI2]])</f>
        <v>#NAME?</v>
      </c>
      <c r="F345" s="523" t="e">
        <f ca="1">gr(données_step[[#This Row],[D_QMIN]])</f>
        <v>#NAME?</v>
      </c>
      <c r="G345" s="523" t="e">
        <f ca="1">gr(données_step[[#This Row],[D_QMAX]])</f>
        <v>#NAME?</v>
      </c>
      <c r="H345" s="501" t="e">
        <f ca="1">gr(données_step[[#This Row],[D_PLUIE]])</f>
        <v>#NAME?</v>
      </c>
    </row>
    <row r="346" spans="1:8" x14ac:dyDescent="0.2">
      <c r="A346" s="222">
        <f>calculs!A346</f>
        <v>44897</v>
      </c>
      <c r="B346" s="523" t="e">
        <f ca="1">gr(données_step[[#This Row],[D_QDEVE]])</f>
        <v>#NAME?</v>
      </c>
      <c r="C346" s="523" t="e">
        <f ca="1">gr(données_step[[#This Row],[D_QTRAI]])</f>
        <v>#NAME?</v>
      </c>
      <c r="D346" s="523" t="e">
        <f ca="1">gr(données_step[[#This Row],[D_QDEVDP]])</f>
        <v>#NAME?</v>
      </c>
      <c r="E346" s="523" t="e">
        <f ca="1">gr(données_step[[#This Row],[D_QTRAI2]])</f>
        <v>#NAME?</v>
      </c>
      <c r="F346" s="523" t="e">
        <f ca="1">gr(données_step[[#This Row],[D_QMIN]])</f>
        <v>#NAME?</v>
      </c>
      <c r="G346" s="523" t="e">
        <f ca="1">gr(données_step[[#This Row],[D_QMAX]])</f>
        <v>#NAME?</v>
      </c>
      <c r="H346" s="501" t="e">
        <f ca="1">gr(données_step[[#This Row],[D_PLUIE]])</f>
        <v>#NAME?</v>
      </c>
    </row>
    <row r="347" spans="1:8" x14ac:dyDescent="0.2">
      <c r="A347" s="222">
        <f>calculs!A347</f>
        <v>44898</v>
      </c>
      <c r="B347" s="523" t="e">
        <f ca="1">gr(données_step[[#This Row],[D_QDEVE]])</f>
        <v>#NAME?</v>
      </c>
      <c r="C347" s="523" t="e">
        <f ca="1">gr(données_step[[#This Row],[D_QTRAI]])</f>
        <v>#NAME?</v>
      </c>
      <c r="D347" s="523" t="e">
        <f ca="1">gr(données_step[[#This Row],[D_QDEVDP]])</f>
        <v>#NAME?</v>
      </c>
      <c r="E347" s="523" t="e">
        <f ca="1">gr(données_step[[#This Row],[D_QTRAI2]])</f>
        <v>#NAME?</v>
      </c>
      <c r="F347" s="523" t="e">
        <f ca="1">gr(données_step[[#This Row],[D_QMIN]])</f>
        <v>#NAME?</v>
      </c>
      <c r="G347" s="523" t="e">
        <f ca="1">gr(données_step[[#This Row],[D_QMAX]])</f>
        <v>#NAME?</v>
      </c>
      <c r="H347" s="501" t="e">
        <f ca="1">gr(données_step[[#This Row],[D_PLUIE]])</f>
        <v>#NAME?</v>
      </c>
    </row>
    <row r="348" spans="1:8" x14ac:dyDescent="0.2">
      <c r="A348" s="222">
        <f>calculs!A348</f>
        <v>44899</v>
      </c>
      <c r="B348" s="523" t="e">
        <f ca="1">gr(données_step[[#This Row],[D_QDEVE]])</f>
        <v>#NAME?</v>
      </c>
      <c r="C348" s="523" t="e">
        <f ca="1">gr(données_step[[#This Row],[D_QTRAI]])</f>
        <v>#NAME?</v>
      </c>
      <c r="D348" s="523" t="e">
        <f ca="1">gr(données_step[[#This Row],[D_QDEVDP]])</f>
        <v>#NAME?</v>
      </c>
      <c r="E348" s="523" t="e">
        <f ca="1">gr(données_step[[#This Row],[D_QTRAI2]])</f>
        <v>#NAME?</v>
      </c>
      <c r="F348" s="523" t="e">
        <f ca="1">gr(données_step[[#This Row],[D_QMIN]])</f>
        <v>#NAME?</v>
      </c>
      <c r="G348" s="523" t="e">
        <f ca="1">gr(données_step[[#This Row],[D_QMAX]])</f>
        <v>#NAME?</v>
      </c>
      <c r="H348" s="501" t="e">
        <f ca="1">gr(données_step[[#This Row],[D_PLUIE]])</f>
        <v>#NAME?</v>
      </c>
    </row>
    <row r="349" spans="1:8" x14ac:dyDescent="0.2">
      <c r="A349" s="222">
        <f>calculs!A349</f>
        <v>44900</v>
      </c>
      <c r="B349" s="523" t="e">
        <f ca="1">gr(données_step[[#This Row],[D_QDEVE]])</f>
        <v>#NAME?</v>
      </c>
      <c r="C349" s="523" t="e">
        <f ca="1">gr(données_step[[#This Row],[D_QTRAI]])</f>
        <v>#NAME?</v>
      </c>
      <c r="D349" s="523" t="e">
        <f ca="1">gr(données_step[[#This Row],[D_QDEVDP]])</f>
        <v>#NAME?</v>
      </c>
      <c r="E349" s="523" t="e">
        <f ca="1">gr(données_step[[#This Row],[D_QTRAI2]])</f>
        <v>#NAME?</v>
      </c>
      <c r="F349" s="523" t="e">
        <f ca="1">gr(données_step[[#This Row],[D_QMIN]])</f>
        <v>#NAME?</v>
      </c>
      <c r="G349" s="523" t="e">
        <f ca="1">gr(données_step[[#This Row],[D_QMAX]])</f>
        <v>#NAME?</v>
      </c>
      <c r="H349" s="501" t="e">
        <f ca="1">gr(données_step[[#This Row],[D_PLUIE]])</f>
        <v>#NAME?</v>
      </c>
    </row>
    <row r="350" spans="1:8" x14ac:dyDescent="0.2">
      <c r="A350" s="222">
        <f>calculs!A350</f>
        <v>44901</v>
      </c>
      <c r="B350" s="523" t="e">
        <f ca="1">gr(données_step[[#This Row],[D_QDEVE]])</f>
        <v>#NAME?</v>
      </c>
      <c r="C350" s="523" t="e">
        <f ca="1">gr(données_step[[#This Row],[D_QTRAI]])</f>
        <v>#NAME?</v>
      </c>
      <c r="D350" s="523" t="e">
        <f ca="1">gr(données_step[[#This Row],[D_QDEVDP]])</f>
        <v>#NAME?</v>
      </c>
      <c r="E350" s="523" t="e">
        <f ca="1">gr(données_step[[#This Row],[D_QTRAI2]])</f>
        <v>#NAME?</v>
      </c>
      <c r="F350" s="523" t="e">
        <f ca="1">gr(données_step[[#This Row],[D_QMIN]])</f>
        <v>#NAME?</v>
      </c>
      <c r="G350" s="523" t="e">
        <f ca="1">gr(données_step[[#This Row],[D_QMAX]])</f>
        <v>#NAME?</v>
      </c>
      <c r="H350" s="501" t="e">
        <f ca="1">gr(données_step[[#This Row],[D_PLUIE]])</f>
        <v>#NAME?</v>
      </c>
    </row>
    <row r="351" spans="1:8" x14ac:dyDescent="0.2">
      <c r="A351" s="222">
        <f>calculs!A351</f>
        <v>44902</v>
      </c>
      <c r="B351" s="523" t="e">
        <f ca="1">gr(données_step[[#This Row],[D_QDEVE]])</f>
        <v>#NAME?</v>
      </c>
      <c r="C351" s="523" t="e">
        <f ca="1">gr(données_step[[#This Row],[D_QTRAI]])</f>
        <v>#NAME?</v>
      </c>
      <c r="D351" s="523" t="e">
        <f ca="1">gr(données_step[[#This Row],[D_QDEVDP]])</f>
        <v>#NAME?</v>
      </c>
      <c r="E351" s="523" t="e">
        <f ca="1">gr(données_step[[#This Row],[D_QTRAI2]])</f>
        <v>#NAME?</v>
      </c>
      <c r="F351" s="523" t="e">
        <f ca="1">gr(données_step[[#This Row],[D_QMIN]])</f>
        <v>#NAME?</v>
      </c>
      <c r="G351" s="523" t="e">
        <f ca="1">gr(données_step[[#This Row],[D_QMAX]])</f>
        <v>#NAME?</v>
      </c>
      <c r="H351" s="501" t="e">
        <f ca="1">gr(données_step[[#This Row],[D_PLUIE]])</f>
        <v>#NAME?</v>
      </c>
    </row>
    <row r="352" spans="1:8" x14ac:dyDescent="0.2">
      <c r="A352" s="222">
        <f>calculs!A352</f>
        <v>44903</v>
      </c>
      <c r="B352" s="523" t="e">
        <f ca="1">gr(données_step[[#This Row],[D_QDEVE]])</f>
        <v>#NAME?</v>
      </c>
      <c r="C352" s="523" t="e">
        <f ca="1">gr(données_step[[#This Row],[D_QTRAI]])</f>
        <v>#NAME?</v>
      </c>
      <c r="D352" s="523" t="e">
        <f ca="1">gr(données_step[[#This Row],[D_QDEVDP]])</f>
        <v>#NAME?</v>
      </c>
      <c r="E352" s="523" t="e">
        <f ca="1">gr(données_step[[#This Row],[D_QTRAI2]])</f>
        <v>#NAME?</v>
      </c>
      <c r="F352" s="523" t="e">
        <f ca="1">gr(données_step[[#This Row],[D_QMIN]])</f>
        <v>#NAME?</v>
      </c>
      <c r="G352" s="523" t="e">
        <f ca="1">gr(données_step[[#This Row],[D_QMAX]])</f>
        <v>#NAME?</v>
      </c>
      <c r="H352" s="501" t="e">
        <f ca="1">gr(données_step[[#This Row],[D_PLUIE]])</f>
        <v>#NAME?</v>
      </c>
    </row>
    <row r="353" spans="1:8" x14ac:dyDescent="0.2">
      <c r="A353" s="222">
        <f>calculs!A353</f>
        <v>44904</v>
      </c>
      <c r="B353" s="523" t="e">
        <f ca="1">gr(données_step[[#This Row],[D_QDEVE]])</f>
        <v>#NAME?</v>
      </c>
      <c r="C353" s="523" t="e">
        <f ca="1">gr(données_step[[#This Row],[D_QTRAI]])</f>
        <v>#NAME?</v>
      </c>
      <c r="D353" s="523" t="e">
        <f ca="1">gr(données_step[[#This Row],[D_QDEVDP]])</f>
        <v>#NAME?</v>
      </c>
      <c r="E353" s="523" t="e">
        <f ca="1">gr(données_step[[#This Row],[D_QTRAI2]])</f>
        <v>#NAME?</v>
      </c>
      <c r="F353" s="523" t="e">
        <f ca="1">gr(données_step[[#This Row],[D_QMIN]])</f>
        <v>#NAME?</v>
      </c>
      <c r="G353" s="523" t="e">
        <f ca="1">gr(données_step[[#This Row],[D_QMAX]])</f>
        <v>#NAME?</v>
      </c>
      <c r="H353" s="501" t="e">
        <f ca="1">gr(données_step[[#This Row],[D_PLUIE]])</f>
        <v>#NAME?</v>
      </c>
    </row>
    <row r="354" spans="1:8" x14ac:dyDescent="0.2">
      <c r="A354" s="222">
        <f>calculs!A354</f>
        <v>44905</v>
      </c>
      <c r="B354" s="523" t="e">
        <f ca="1">gr(données_step[[#This Row],[D_QDEVE]])</f>
        <v>#NAME?</v>
      </c>
      <c r="C354" s="523" t="e">
        <f ca="1">gr(données_step[[#This Row],[D_QTRAI]])</f>
        <v>#NAME?</v>
      </c>
      <c r="D354" s="523" t="e">
        <f ca="1">gr(données_step[[#This Row],[D_QDEVDP]])</f>
        <v>#NAME?</v>
      </c>
      <c r="E354" s="523" t="e">
        <f ca="1">gr(données_step[[#This Row],[D_QTRAI2]])</f>
        <v>#NAME?</v>
      </c>
      <c r="F354" s="523" t="e">
        <f ca="1">gr(données_step[[#This Row],[D_QMIN]])</f>
        <v>#NAME?</v>
      </c>
      <c r="G354" s="523" t="e">
        <f ca="1">gr(données_step[[#This Row],[D_QMAX]])</f>
        <v>#NAME?</v>
      </c>
      <c r="H354" s="501" t="e">
        <f ca="1">gr(données_step[[#This Row],[D_PLUIE]])</f>
        <v>#NAME?</v>
      </c>
    </row>
    <row r="355" spans="1:8" x14ac:dyDescent="0.2">
      <c r="A355" s="222">
        <f>calculs!A355</f>
        <v>44906</v>
      </c>
      <c r="B355" s="523" t="e">
        <f ca="1">gr(données_step[[#This Row],[D_QDEVE]])</f>
        <v>#NAME?</v>
      </c>
      <c r="C355" s="523" t="e">
        <f ca="1">gr(données_step[[#This Row],[D_QTRAI]])</f>
        <v>#NAME?</v>
      </c>
      <c r="D355" s="523" t="e">
        <f ca="1">gr(données_step[[#This Row],[D_QDEVDP]])</f>
        <v>#NAME?</v>
      </c>
      <c r="E355" s="523" t="e">
        <f ca="1">gr(données_step[[#This Row],[D_QTRAI2]])</f>
        <v>#NAME?</v>
      </c>
      <c r="F355" s="523" t="e">
        <f ca="1">gr(données_step[[#This Row],[D_QMIN]])</f>
        <v>#NAME?</v>
      </c>
      <c r="G355" s="523" t="e">
        <f ca="1">gr(données_step[[#This Row],[D_QMAX]])</f>
        <v>#NAME?</v>
      </c>
      <c r="H355" s="501" t="e">
        <f ca="1">gr(données_step[[#This Row],[D_PLUIE]])</f>
        <v>#NAME?</v>
      </c>
    </row>
    <row r="356" spans="1:8" x14ac:dyDescent="0.2">
      <c r="A356" s="222">
        <f>calculs!A356</f>
        <v>44907</v>
      </c>
      <c r="B356" s="523" t="e">
        <f ca="1">gr(données_step[[#This Row],[D_QDEVE]])</f>
        <v>#NAME?</v>
      </c>
      <c r="C356" s="523" t="e">
        <f ca="1">gr(données_step[[#This Row],[D_QTRAI]])</f>
        <v>#NAME?</v>
      </c>
      <c r="D356" s="523" t="e">
        <f ca="1">gr(données_step[[#This Row],[D_QDEVDP]])</f>
        <v>#NAME?</v>
      </c>
      <c r="E356" s="523" t="e">
        <f ca="1">gr(données_step[[#This Row],[D_QTRAI2]])</f>
        <v>#NAME?</v>
      </c>
      <c r="F356" s="523" t="e">
        <f ca="1">gr(données_step[[#This Row],[D_QMIN]])</f>
        <v>#NAME?</v>
      </c>
      <c r="G356" s="523" t="e">
        <f ca="1">gr(données_step[[#This Row],[D_QMAX]])</f>
        <v>#NAME?</v>
      </c>
      <c r="H356" s="501" t="e">
        <f ca="1">gr(données_step[[#This Row],[D_PLUIE]])</f>
        <v>#NAME?</v>
      </c>
    </row>
    <row r="357" spans="1:8" x14ac:dyDescent="0.2">
      <c r="A357" s="222">
        <f>calculs!A357</f>
        <v>44908</v>
      </c>
      <c r="B357" s="523" t="e">
        <f ca="1">gr(données_step[[#This Row],[D_QDEVE]])</f>
        <v>#NAME?</v>
      </c>
      <c r="C357" s="523" t="e">
        <f ca="1">gr(données_step[[#This Row],[D_QTRAI]])</f>
        <v>#NAME?</v>
      </c>
      <c r="D357" s="523" t="e">
        <f ca="1">gr(données_step[[#This Row],[D_QDEVDP]])</f>
        <v>#NAME?</v>
      </c>
      <c r="E357" s="523" t="e">
        <f ca="1">gr(données_step[[#This Row],[D_QTRAI2]])</f>
        <v>#NAME?</v>
      </c>
      <c r="F357" s="523" t="e">
        <f ca="1">gr(données_step[[#This Row],[D_QMIN]])</f>
        <v>#NAME?</v>
      </c>
      <c r="G357" s="523" t="e">
        <f ca="1">gr(données_step[[#This Row],[D_QMAX]])</f>
        <v>#NAME?</v>
      </c>
      <c r="H357" s="501" t="e">
        <f ca="1">gr(données_step[[#This Row],[D_PLUIE]])</f>
        <v>#NAME?</v>
      </c>
    </row>
    <row r="358" spans="1:8" x14ac:dyDescent="0.2">
      <c r="A358" s="222">
        <f>calculs!A358</f>
        <v>44909</v>
      </c>
      <c r="B358" s="523" t="e">
        <f ca="1">gr(données_step[[#This Row],[D_QDEVE]])</f>
        <v>#NAME?</v>
      </c>
      <c r="C358" s="523" t="e">
        <f ca="1">gr(données_step[[#This Row],[D_QTRAI]])</f>
        <v>#NAME?</v>
      </c>
      <c r="D358" s="523" t="e">
        <f ca="1">gr(données_step[[#This Row],[D_QDEVDP]])</f>
        <v>#NAME?</v>
      </c>
      <c r="E358" s="523" t="e">
        <f ca="1">gr(données_step[[#This Row],[D_QTRAI2]])</f>
        <v>#NAME?</v>
      </c>
      <c r="F358" s="523" t="e">
        <f ca="1">gr(données_step[[#This Row],[D_QMIN]])</f>
        <v>#NAME?</v>
      </c>
      <c r="G358" s="523" t="e">
        <f ca="1">gr(données_step[[#This Row],[D_QMAX]])</f>
        <v>#NAME?</v>
      </c>
      <c r="H358" s="501" t="e">
        <f ca="1">gr(données_step[[#This Row],[D_PLUIE]])</f>
        <v>#NAME?</v>
      </c>
    </row>
    <row r="359" spans="1:8" x14ac:dyDescent="0.2">
      <c r="A359" s="222">
        <f>calculs!A359</f>
        <v>44910</v>
      </c>
      <c r="B359" s="523" t="e">
        <f ca="1">gr(données_step[[#This Row],[D_QDEVE]])</f>
        <v>#NAME?</v>
      </c>
      <c r="C359" s="523" t="e">
        <f ca="1">gr(données_step[[#This Row],[D_QTRAI]])</f>
        <v>#NAME?</v>
      </c>
      <c r="D359" s="523" t="e">
        <f ca="1">gr(données_step[[#This Row],[D_QDEVDP]])</f>
        <v>#NAME?</v>
      </c>
      <c r="E359" s="523" t="e">
        <f ca="1">gr(données_step[[#This Row],[D_QTRAI2]])</f>
        <v>#NAME?</v>
      </c>
      <c r="F359" s="523" t="e">
        <f ca="1">gr(données_step[[#This Row],[D_QMIN]])</f>
        <v>#NAME?</v>
      </c>
      <c r="G359" s="523" t="e">
        <f ca="1">gr(données_step[[#This Row],[D_QMAX]])</f>
        <v>#NAME?</v>
      </c>
      <c r="H359" s="501" t="e">
        <f ca="1">gr(données_step[[#This Row],[D_PLUIE]])</f>
        <v>#NAME?</v>
      </c>
    </row>
    <row r="360" spans="1:8" x14ac:dyDescent="0.2">
      <c r="A360" s="222">
        <f>calculs!A360</f>
        <v>44911</v>
      </c>
      <c r="B360" s="523" t="e">
        <f ca="1">gr(données_step[[#This Row],[D_QDEVE]])</f>
        <v>#NAME?</v>
      </c>
      <c r="C360" s="523" t="e">
        <f ca="1">gr(données_step[[#This Row],[D_QTRAI]])</f>
        <v>#NAME?</v>
      </c>
      <c r="D360" s="523" t="e">
        <f ca="1">gr(données_step[[#This Row],[D_QDEVDP]])</f>
        <v>#NAME?</v>
      </c>
      <c r="E360" s="523" t="e">
        <f ca="1">gr(données_step[[#This Row],[D_QTRAI2]])</f>
        <v>#NAME?</v>
      </c>
      <c r="F360" s="523" t="e">
        <f ca="1">gr(données_step[[#This Row],[D_QMIN]])</f>
        <v>#NAME?</v>
      </c>
      <c r="G360" s="523" t="e">
        <f ca="1">gr(données_step[[#This Row],[D_QMAX]])</f>
        <v>#NAME?</v>
      </c>
      <c r="H360" s="501" t="e">
        <f ca="1">gr(données_step[[#This Row],[D_PLUIE]])</f>
        <v>#NAME?</v>
      </c>
    </row>
    <row r="361" spans="1:8" x14ac:dyDescent="0.2">
      <c r="A361" s="222">
        <f>calculs!A361</f>
        <v>44912</v>
      </c>
      <c r="B361" s="523" t="e">
        <f ca="1">gr(données_step[[#This Row],[D_QDEVE]])</f>
        <v>#NAME?</v>
      </c>
      <c r="C361" s="523" t="e">
        <f ca="1">gr(données_step[[#This Row],[D_QTRAI]])</f>
        <v>#NAME?</v>
      </c>
      <c r="D361" s="523" t="e">
        <f ca="1">gr(données_step[[#This Row],[D_QDEVDP]])</f>
        <v>#NAME?</v>
      </c>
      <c r="E361" s="523" t="e">
        <f ca="1">gr(données_step[[#This Row],[D_QTRAI2]])</f>
        <v>#NAME?</v>
      </c>
      <c r="F361" s="523" t="e">
        <f ca="1">gr(données_step[[#This Row],[D_QMIN]])</f>
        <v>#NAME?</v>
      </c>
      <c r="G361" s="523" t="e">
        <f ca="1">gr(données_step[[#This Row],[D_QMAX]])</f>
        <v>#NAME?</v>
      </c>
      <c r="H361" s="501" t="e">
        <f ca="1">gr(données_step[[#This Row],[D_PLUIE]])</f>
        <v>#NAME?</v>
      </c>
    </row>
    <row r="362" spans="1:8" x14ac:dyDescent="0.2">
      <c r="A362" s="222">
        <f>calculs!A362</f>
        <v>44913</v>
      </c>
      <c r="B362" s="523" t="e">
        <f ca="1">gr(données_step[[#This Row],[D_QDEVE]])</f>
        <v>#NAME?</v>
      </c>
      <c r="C362" s="523" t="e">
        <f ca="1">gr(données_step[[#This Row],[D_QTRAI]])</f>
        <v>#NAME?</v>
      </c>
      <c r="D362" s="523" t="e">
        <f ca="1">gr(données_step[[#This Row],[D_QDEVDP]])</f>
        <v>#NAME?</v>
      </c>
      <c r="E362" s="523" t="e">
        <f ca="1">gr(données_step[[#This Row],[D_QTRAI2]])</f>
        <v>#NAME?</v>
      </c>
      <c r="F362" s="523" t="e">
        <f ca="1">gr(données_step[[#This Row],[D_QMIN]])</f>
        <v>#NAME?</v>
      </c>
      <c r="G362" s="523" t="e">
        <f ca="1">gr(données_step[[#This Row],[D_QMAX]])</f>
        <v>#NAME?</v>
      </c>
      <c r="H362" s="501" t="e">
        <f ca="1">gr(données_step[[#This Row],[D_PLUIE]])</f>
        <v>#NAME?</v>
      </c>
    </row>
    <row r="363" spans="1:8" x14ac:dyDescent="0.2">
      <c r="A363" s="222">
        <f>calculs!A363</f>
        <v>44914</v>
      </c>
      <c r="B363" s="523" t="e">
        <f ca="1">gr(données_step[[#This Row],[D_QDEVE]])</f>
        <v>#NAME?</v>
      </c>
      <c r="C363" s="523" t="e">
        <f ca="1">gr(données_step[[#This Row],[D_QTRAI]])</f>
        <v>#NAME?</v>
      </c>
      <c r="D363" s="523" t="e">
        <f ca="1">gr(données_step[[#This Row],[D_QDEVDP]])</f>
        <v>#NAME?</v>
      </c>
      <c r="E363" s="523" t="e">
        <f ca="1">gr(données_step[[#This Row],[D_QTRAI2]])</f>
        <v>#NAME?</v>
      </c>
      <c r="F363" s="523" t="e">
        <f ca="1">gr(données_step[[#This Row],[D_QMIN]])</f>
        <v>#NAME?</v>
      </c>
      <c r="G363" s="523" t="e">
        <f ca="1">gr(données_step[[#This Row],[D_QMAX]])</f>
        <v>#NAME?</v>
      </c>
      <c r="H363" s="501" t="e">
        <f ca="1">gr(données_step[[#This Row],[D_PLUIE]])</f>
        <v>#NAME?</v>
      </c>
    </row>
    <row r="364" spans="1:8" x14ac:dyDescent="0.2">
      <c r="A364" s="222">
        <f>calculs!A364</f>
        <v>44915</v>
      </c>
      <c r="B364" s="523" t="e">
        <f ca="1">gr(données_step[[#This Row],[D_QDEVE]])</f>
        <v>#NAME?</v>
      </c>
      <c r="C364" s="523" t="e">
        <f ca="1">gr(données_step[[#This Row],[D_QTRAI]])</f>
        <v>#NAME?</v>
      </c>
      <c r="D364" s="523" t="e">
        <f ca="1">gr(données_step[[#This Row],[D_QDEVDP]])</f>
        <v>#NAME?</v>
      </c>
      <c r="E364" s="523" t="e">
        <f ca="1">gr(données_step[[#This Row],[D_QTRAI2]])</f>
        <v>#NAME?</v>
      </c>
      <c r="F364" s="523" t="e">
        <f ca="1">gr(données_step[[#This Row],[D_QMIN]])</f>
        <v>#NAME?</v>
      </c>
      <c r="G364" s="523" t="e">
        <f ca="1">gr(données_step[[#This Row],[D_QMAX]])</f>
        <v>#NAME?</v>
      </c>
      <c r="H364" s="501" t="e">
        <f ca="1">gr(données_step[[#This Row],[D_PLUIE]])</f>
        <v>#NAME?</v>
      </c>
    </row>
    <row r="365" spans="1:8" x14ac:dyDescent="0.2">
      <c r="A365" s="222">
        <f>calculs!A365</f>
        <v>44916</v>
      </c>
      <c r="B365" s="523" t="e">
        <f ca="1">gr(données_step[[#This Row],[D_QDEVE]])</f>
        <v>#NAME?</v>
      </c>
      <c r="C365" s="523" t="e">
        <f ca="1">gr(données_step[[#This Row],[D_QTRAI]])</f>
        <v>#NAME?</v>
      </c>
      <c r="D365" s="523" t="e">
        <f ca="1">gr(données_step[[#This Row],[D_QDEVDP]])</f>
        <v>#NAME?</v>
      </c>
      <c r="E365" s="523" t="e">
        <f ca="1">gr(données_step[[#This Row],[D_QTRAI2]])</f>
        <v>#NAME?</v>
      </c>
      <c r="F365" s="523" t="e">
        <f ca="1">gr(données_step[[#This Row],[D_QMIN]])</f>
        <v>#NAME?</v>
      </c>
      <c r="G365" s="523" t="e">
        <f ca="1">gr(données_step[[#This Row],[D_QMAX]])</f>
        <v>#NAME?</v>
      </c>
      <c r="H365" s="501" t="e">
        <f ca="1">gr(données_step[[#This Row],[D_PLUIE]])</f>
        <v>#NAME?</v>
      </c>
    </row>
    <row r="366" spans="1:8" x14ac:dyDescent="0.2">
      <c r="A366" s="222">
        <f>calculs!A366</f>
        <v>44917</v>
      </c>
      <c r="B366" s="523" t="e">
        <f ca="1">gr(données_step[[#This Row],[D_QDEVE]])</f>
        <v>#NAME?</v>
      </c>
      <c r="C366" s="523" t="e">
        <f ca="1">gr(données_step[[#This Row],[D_QTRAI]])</f>
        <v>#NAME?</v>
      </c>
      <c r="D366" s="523" t="e">
        <f ca="1">gr(données_step[[#This Row],[D_QDEVDP]])</f>
        <v>#NAME?</v>
      </c>
      <c r="E366" s="523" t="e">
        <f ca="1">gr(données_step[[#This Row],[D_QTRAI2]])</f>
        <v>#NAME?</v>
      </c>
      <c r="F366" s="523" t="e">
        <f ca="1">gr(données_step[[#This Row],[D_QMIN]])</f>
        <v>#NAME?</v>
      </c>
      <c r="G366" s="523" t="e">
        <f ca="1">gr(données_step[[#This Row],[D_QMAX]])</f>
        <v>#NAME?</v>
      </c>
      <c r="H366" s="501" t="e">
        <f ca="1">gr(données_step[[#This Row],[D_PLUIE]])</f>
        <v>#NAME?</v>
      </c>
    </row>
    <row r="367" spans="1:8" x14ac:dyDescent="0.2">
      <c r="A367" s="222">
        <f>calculs!A367</f>
        <v>44918</v>
      </c>
      <c r="B367" s="523" t="e">
        <f ca="1">gr(données_step[[#This Row],[D_QDEVE]])</f>
        <v>#NAME?</v>
      </c>
      <c r="C367" s="523" t="e">
        <f ca="1">gr(données_step[[#This Row],[D_QTRAI]])</f>
        <v>#NAME?</v>
      </c>
      <c r="D367" s="523" t="e">
        <f ca="1">gr(données_step[[#This Row],[D_QDEVDP]])</f>
        <v>#NAME?</v>
      </c>
      <c r="E367" s="523" t="e">
        <f ca="1">gr(données_step[[#This Row],[D_QTRAI2]])</f>
        <v>#NAME?</v>
      </c>
      <c r="F367" s="523" t="e">
        <f ca="1">gr(données_step[[#This Row],[D_QMIN]])</f>
        <v>#NAME?</v>
      </c>
      <c r="G367" s="523" t="e">
        <f ca="1">gr(données_step[[#This Row],[D_QMAX]])</f>
        <v>#NAME?</v>
      </c>
      <c r="H367" s="501" t="e">
        <f ca="1">gr(données_step[[#This Row],[D_PLUIE]])</f>
        <v>#NAME?</v>
      </c>
    </row>
    <row r="368" spans="1:8" x14ac:dyDescent="0.2">
      <c r="A368" s="222">
        <f>calculs!A368</f>
        <v>44919</v>
      </c>
      <c r="B368" s="523" t="e">
        <f ca="1">gr(données_step[[#This Row],[D_QDEVE]])</f>
        <v>#NAME?</v>
      </c>
      <c r="C368" s="523" t="e">
        <f ca="1">gr(données_step[[#This Row],[D_QTRAI]])</f>
        <v>#NAME?</v>
      </c>
      <c r="D368" s="523" t="e">
        <f ca="1">gr(données_step[[#This Row],[D_QDEVDP]])</f>
        <v>#NAME?</v>
      </c>
      <c r="E368" s="523" t="e">
        <f ca="1">gr(données_step[[#This Row],[D_QTRAI2]])</f>
        <v>#NAME?</v>
      </c>
      <c r="F368" s="523" t="e">
        <f ca="1">gr(données_step[[#This Row],[D_QMIN]])</f>
        <v>#NAME?</v>
      </c>
      <c r="G368" s="523" t="e">
        <f ca="1">gr(données_step[[#This Row],[D_QMAX]])</f>
        <v>#NAME?</v>
      </c>
      <c r="H368" s="501" t="e">
        <f ca="1">gr(données_step[[#This Row],[D_PLUIE]])</f>
        <v>#NAME?</v>
      </c>
    </row>
    <row r="369" spans="1:8" x14ac:dyDescent="0.2">
      <c r="A369" s="222">
        <f>calculs!A369</f>
        <v>44920</v>
      </c>
      <c r="B369" s="523" t="e">
        <f ca="1">gr(données_step[[#This Row],[D_QDEVE]])</f>
        <v>#NAME?</v>
      </c>
      <c r="C369" s="523" t="e">
        <f ca="1">gr(données_step[[#This Row],[D_QTRAI]])</f>
        <v>#NAME?</v>
      </c>
      <c r="D369" s="523" t="e">
        <f ca="1">gr(données_step[[#This Row],[D_QDEVDP]])</f>
        <v>#NAME?</v>
      </c>
      <c r="E369" s="523" t="e">
        <f ca="1">gr(données_step[[#This Row],[D_QTRAI2]])</f>
        <v>#NAME?</v>
      </c>
      <c r="F369" s="523" t="e">
        <f ca="1">gr(données_step[[#This Row],[D_QMIN]])</f>
        <v>#NAME?</v>
      </c>
      <c r="G369" s="523" t="e">
        <f ca="1">gr(données_step[[#This Row],[D_QMAX]])</f>
        <v>#NAME?</v>
      </c>
      <c r="H369" s="501" t="e">
        <f ca="1">gr(données_step[[#This Row],[D_PLUIE]])</f>
        <v>#NAME?</v>
      </c>
    </row>
    <row r="370" spans="1:8" x14ac:dyDescent="0.2">
      <c r="A370" s="222">
        <f>calculs!A370</f>
        <v>44921</v>
      </c>
      <c r="B370" s="523" t="e">
        <f ca="1">gr(données_step[[#This Row],[D_QDEVE]])</f>
        <v>#NAME?</v>
      </c>
      <c r="C370" s="523" t="e">
        <f ca="1">gr(données_step[[#This Row],[D_QTRAI]])</f>
        <v>#NAME?</v>
      </c>
      <c r="D370" s="523" t="e">
        <f ca="1">gr(données_step[[#This Row],[D_QDEVDP]])</f>
        <v>#NAME?</v>
      </c>
      <c r="E370" s="523" t="e">
        <f ca="1">gr(données_step[[#This Row],[D_QTRAI2]])</f>
        <v>#NAME?</v>
      </c>
      <c r="F370" s="523" t="e">
        <f ca="1">gr(données_step[[#This Row],[D_QMIN]])</f>
        <v>#NAME?</v>
      </c>
      <c r="G370" s="523" t="e">
        <f ca="1">gr(données_step[[#This Row],[D_QMAX]])</f>
        <v>#NAME?</v>
      </c>
      <c r="H370" s="501" t="e">
        <f ca="1">gr(données_step[[#This Row],[D_PLUIE]])</f>
        <v>#NAME?</v>
      </c>
    </row>
    <row r="371" spans="1:8" x14ac:dyDescent="0.2">
      <c r="A371" s="222">
        <f>calculs!A371</f>
        <v>44922</v>
      </c>
      <c r="B371" s="523" t="e">
        <f ca="1">gr(données_step[[#This Row],[D_QDEVE]])</f>
        <v>#NAME?</v>
      </c>
      <c r="C371" s="523" t="e">
        <f ca="1">gr(données_step[[#This Row],[D_QTRAI]])</f>
        <v>#NAME?</v>
      </c>
      <c r="D371" s="523" t="e">
        <f ca="1">gr(données_step[[#This Row],[D_QDEVDP]])</f>
        <v>#NAME?</v>
      </c>
      <c r="E371" s="523" t="e">
        <f ca="1">gr(données_step[[#This Row],[D_QTRAI2]])</f>
        <v>#NAME?</v>
      </c>
      <c r="F371" s="523" t="e">
        <f ca="1">gr(données_step[[#This Row],[D_QMIN]])</f>
        <v>#NAME?</v>
      </c>
      <c r="G371" s="523" t="e">
        <f ca="1">gr(données_step[[#This Row],[D_QMAX]])</f>
        <v>#NAME?</v>
      </c>
      <c r="H371" s="501" t="e">
        <f ca="1">gr(données_step[[#This Row],[D_PLUIE]])</f>
        <v>#NAME?</v>
      </c>
    </row>
    <row r="372" spans="1:8" x14ac:dyDescent="0.2">
      <c r="A372" s="222">
        <f>calculs!A372</f>
        <v>44923</v>
      </c>
      <c r="B372" s="523" t="e">
        <f ca="1">gr(données_step[[#This Row],[D_QDEVE]])</f>
        <v>#NAME?</v>
      </c>
      <c r="C372" s="523" t="e">
        <f ca="1">gr(données_step[[#This Row],[D_QTRAI]])</f>
        <v>#NAME?</v>
      </c>
      <c r="D372" s="523" t="e">
        <f ca="1">gr(données_step[[#This Row],[D_QDEVDP]])</f>
        <v>#NAME?</v>
      </c>
      <c r="E372" s="523" t="e">
        <f ca="1">gr(données_step[[#This Row],[D_QTRAI2]])</f>
        <v>#NAME?</v>
      </c>
      <c r="F372" s="523" t="e">
        <f ca="1">gr(données_step[[#This Row],[D_QMIN]])</f>
        <v>#NAME?</v>
      </c>
      <c r="G372" s="523" t="e">
        <f ca="1">gr(données_step[[#This Row],[D_QMAX]])</f>
        <v>#NAME?</v>
      </c>
      <c r="H372" s="501" t="e">
        <f ca="1">gr(données_step[[#This Row],[D_PLUIE]])</f>
        <v>#NAME?</v>
      </c>
    </row>
    <row r="373" spans="1:8" x14ac:dyDescent="0.2">
      <c r="A373" s="222">
        <f>calculs!A373</f>
        <v>44924</v>
      </c>
      <c r="B373" s="523" t="e">
        <f ca="1">gr(données_step[[#This Row],[D_QDEVE]])</f>
        <v>#NAME?</v>
      </c>
      <c r="C373" s="523" t="e">
        <f ca="1">gr(données_step[[#This Row],[D_QTRAI]])</f>
        <v>#NAME?</v>
      </c>
      <c r="D373" s="523" t="e">
        <f ca="1">gr(données_step[[#This Row],[D_QDEVDP]])</f>
        <v>#NAME?</v>
      </c>
      <c r="E373" s="523" t="e">
        <f ca="1">gr(données_step[[#This Row],[D_QTRAI2]])</f>
        <v>#NAME?</v>
      </c>
      <c r="F373" s="523" t="e">
        <f ca="1">gr(données_step[[#This Row],[D_QMIN]])</f>
        <v>#NAME?</v>
      </c>
      <c r="G373" s="523" t="e">
        <f ca="1">gr(données_step[[#This Row],[D_QMAX]])</f>
        <v>#NAME?</v>
      </c>
      <c r="H373" s="501" t="e">
        <f ca="1">gr(données_step[[#This Row],[D_PLUIE]])</f>
        <v>#NAME?</v>
      </c>
    </row>
    <row r="374" spans="1:8" x14ac:dyDescent="0.2">
      <c r="A374" s="222">
        <f>calculs!A374</f>
        <v>44925</v>
      </c>
      <c r="B374" s="523" t="e">
        <f ca="1">gr(données_step[[#This Row],[D_QDEVE]])</f>
        <v>#NAME?</v>
      </c>
      <c r="C374" s="523" t="e">
        <f ca="1">gr(données_step[[#This Row],[D_QTRAI]])</f>
        <v>#NAME?</v>
      </c>
      <c r="D374" s="523" t="e">
        <f ca="1">gr(données_step[[#This Row],[D_QDEVDP]])</f>
        <v>#NAME?</v>
      </c>
      <c r="E374" s="523" t="e">
        <f ca="1">gr(données_step[[#This Row],[D_QTRAI2]])</f>
        <v>#NAME?</v>
      </c>
      <c r="F374" s="523" t="e">
        <f ca="1">gr(données_step[[#This Row],[D_QMIN]])</f>
        <v>#NAME?</v>
      </c>
      <c r="G374" s="523" t="e">
        <f ca="1">gr(données_step[[#This Row],[D_QMAX]])</f>
        <v>#NAME?</v>
      </c>
      <c r="H374" s="501" t="e">
        <f ca="1">gr(données_step[[#This Row],[D_PLUIE]])</f>
        <v>#NAME?</v>
      </c>
    </row>
    <row r="375" spans="1:8" x14ac:dyDescent="0.2">
      <c r="A375" s="222">
        <f>calculs!A375</f>
        <v>44926</v>
      </c>
      <c r="B375" s="523" t="e">
        <f ca="1">gr(données_step[[#This Row],[D_QDEVE]])</f>
        <v>#NAME?</v>
      </c>
      <c r="C375" s="523" t="e">
        <f ca="1">gr(données_step[[#This Row],[D_QTRAI]])</f>
        <v>#NAME?</v>
      </c>
      <c r="D375" s="523" t="e">
        <f ca="1">gr(données_step[[#This Row],[D_QDEVDP]])</f>
        <v>#NAME?</v>
      </c>
      <c r="E375" s="523" t="e">
        <f ca="1">gr(données_step[[#This Row],[D_QTRAI2]])</f>
        <v>#NAME?</v>
      </c>
      <c r="F375" s="523" t="e">
        <f ca="1">gr(données_step[[#This Row],[D_QMIN]])</f>
        <v>#NAME?</v>
      </c>
      <c r="G375" s="523" t="e">
        <f ca="1">gr(données_step[[#This Row],[D_QMAX]])</f>
        <v>#NAME?</v>
      </c>
      <c r="H375" s="501" t="e">
        <f ca="1">gr(données_step[[#This Row],[D_PLUIE]])</f>
        <v>#NAME?</v>
      </c>
    </row>
    <row r="376" spans="1:8" x14ac:dyDescent="0.2">
      <c r="A376" s="222">
        <f>calculs!A376</f>
        <v>0</v>
      </c>
      <c r="B376" s="523" t="e">
        <f ca="1">gr(données_step[[#This Row],[D_QDEVE]])</f>
        <v>#NAME?</v>
      </c>
      <c r="C376" s="523" t="e">
        <f ca="1">gr(données_step[[#This Row],[D_QTRAI]])</f>
        <v>#NAME?</v>
      </c>
      <c r="D376" s="523" t="e">
        <f ca="1">gr(données_step[[#This Row],[D_QDEVDP]])</f>
        <v>#NAME?</v>
      </c>
      <c r="E376" s="523" t="e">
        <f ca="1">gr(données_step[[#This Row],[D_QTRAI2]])</f>
        <v>#NAME?</v>
      </c>
      <c r="F376" s="523" t="e">
        <f ca="1">gr(données_step[[#This Row],[D_QMIN]])</f>
        <v>#NAME?</v>
      </c>
      <c r="G376" s="523" t="e">
        <f ca="1">gr(données_step[[#This Row],[D_QMAX]])</f>
        <v>#NAME?</v>
      </c>
      <c r="H376" s="501" t="e">
        <f ca="1">gr(données_step[[#This Row],[D_PLUIE]])</f>
        <v>#NAME?</v>
      </c>
    </row>
    <row r="377" spans="1:8" s="515" customFormat="1" x14ac:dyDescent="0.2"/>
  </sheetData>
  <mergeCells count="1">
    <mergeCell ref="B9:G9"/>
  </mergeCells>
  <pageMargins left="0.7" right="0.7" top="0.75" bottom="0.75" header="0.3" footer="0.3"/>
  <pageSetup paperSize="301" scale="46" orientation="portrait" r:id="rId1"/>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theme="8" tint="0.59999389629810485"/>
  </sheetPr>
  <dimension ref="A1:AA377"/>
  <sheetViews>
    <sheetView topLeftCell="J118" zoomScale="80" zoomScaleNormal="80" workbookViewId="0">
      <selection activeCell="G367" sqref="G367"/>
    </sheetView>
  </sheetViews>
  <sheetFormatPr baseColWidth="10" defaultColWidth="11.42578125" defaultRowHeight="12.75" x14ac:dyDescent="0.2"/>
  <cols>
    <col min="1" max="16" width="11.42578125" style="501"/>
    <col min="17" max="27" width="11.42578125" style="747"/>
    <col min="28" max="16384" width="11.42578125" style="501"/>
  </cols>
  <sheetData>
    <row r="1" spans="1:27" x14ac:dyDescent="0.2">
      <c r="A1" s="749" t="str">
        <f>basis!A1</f>
        <v>ARA Ausserbinn</v>
      </c>
    </row>
    <row r="8" spans="1:27" ht="13.5" thickBot="1" x14ac:dyDescent="0.25"/>
    <row r="9" spans="1:27" ht="12.75" customHeight="1" thickBot="1" x14ac:dyDescent="0.25">
      <c r="B9" s="989" t="str">
        <f>A1&amp;" "&amp;Jahr&amp;" - "&amp;IF('liste-STEP'!F95=1,"Analyses eaux brutes (entrée STEP)","Analysen Rohabwasser (ARA Zulauf)")&amp;" mg/l"</f>
        <v>ARA Ausserbinn 2022 - Analysen Rohabwasser (ARA Zulauf) mg/l</v>
      </c>
      <c r="C9" s="990"/>
      <c r="D9" s="990"/>
      <c r="E9" s="990"/>
      <c r="F9" s="990"/>
      <c r="G9" s="991"/>
      <c r="H9" s="999" t="str">
        <f>A1&amp;" "&amp;Jahr&amp;" - "&amp;IF('liste-STEP'!F95=1,"Analyses eaux traitée (sortie STEP)","Analysen behandeltes Abwasser (ARA Ablauf)")&amp;" mg/l"</f>
        <v>ARA Ausserbinn 2022 - Analysen behandeltes Abwasser (ARA Ablauf) mg/l</v>
      </c>
      <c r="I9" s="1000"/>
      <c r="J9" s="1000"/>
      <c r="K9" s="1000"/>
      <c r="L9" s="1000"/>
      <c r="M9" s="1000"/>
      <c r="N9" s="1000"/>
      <c r="O9" s="1000"/>
      <c r="P9" s="1001"/>
      <c r="Q9" s="750" t="s">
        <v>379</v>
      </c>
      <c r="R9" s="751"/>
      <c r="S9" s="750"/>
      <c r="T9" s="750"/>
      <c r="U9" s="750"/>
      <c r="V9" s="750"/>
      <c r="W9" s="750"/>
      <c r="X9" s="750"/>
      <c r="Y9" s="750"/>
    </row>
    <row r="10" spans="1:27" x14ac:dyDescent="0.2">
      <c r="A10" s="502"/>
      <c r="B10" s="376" t="str">
        <f>IF('liste-STEP'!F95=1,"DBO5","BSB5")</f>
        <v>BSB5</v>
      </c>
      <c r="C10" s="377" t="str">
        <f>IF('liste-STEP'!F95=1,"DCO","CSB")</f>
        <v>CSB</v>
      </c>
      <c r="D10" s="377" t="str">
        <f>IF('liste-STEP'!F95=1,"COT","TOC")</f>
        <v>TOC</v>
      </c>
      <c r="E10" s="378" t="s">
        <v>157</v>
      </c>
      <c r="F10" s="378" t="str">
        <f>IF('liste-STEP'!F95=1,"Ntot","Ntot")</f>
        <v>Ntot</v>
      </c>
      <c r="G10" s="378" t="str">
        <f>IF('liste-STEP'!F95=1,"Ptot","Pges")</f>
        <v>Pges</v>
      </c>
      <c r="H10" s="379" t="str">
        <f>IF('liste-STEP'!F95=1,"DBO5","BSB5")</f>
        <v>BSB5</v>
      </c>
      <c r="I10" s="380" t="str">
        <f>IF('liste-STEP'!F95=1,"DCO","CSB")</f>
        <v>CSB</v>
      </c>
      <c r="J10" s="380" t="str">
        <f>IF('liste-STEP'!F95=1=1,"COD","DOC")</f>
        <v>DOC</v>
      </c>
      <c r="K10" s="380" t="str">
        <f>IF('liste-STEP'!F95=1,"NH4","NH4")</f>
        <v>NH4</v>
      </c>
      <c r="L10" s="381" t="str">
        <f>IF('liste-STEP'!F95=1,"NO2","NO2")</f>
        <v>NO2</v>
      </c>
      <c r="M10" s="380" t="str">
        <f>IF('liste-STEP'!F95=1,"NO3","NO3")</f>
        <v>NO3</v>
      </c>
      <c r="N10" s="381" t="str">
        <f>IF('liste-STEP'!F95=1,"PO4","PO4")</f>
        <v>PO4</v>
      </c>
      <c r="O10" s="381" t="str">
        <f>IF('liste-STEP'!F95=11,"Ptot","Pges")</f>
        <v>Pges</v>
      </c>
      <c r="P10" s="382" t="str">
        <f>IF('liste-STEP'!F95=1,"MES","GUS")</f>
        <v>GUS</v>
      </c>
      <c r="Q10" s="752" t="str">
        <f>"limite "&amp;IF('liste-STEP'!F99=1,"DBO5","BSB5")</f>
        <v>limite BSB5</v>
      </c>
      <c r="R10" s="753" t="str">
        <f>"limite "&amp;IF('liste-STEP'!F99=1,"DCO","CSB")</f>
        <v>limite CSB</v>
      </c>
      <c r="S10" s="753" t="str">
        <f>"limite "&amp;IF('liste-STEP'!F99=1,"COD","DOC")</f>
        <v>limite DOC</v>
      </c>
      <c r="T10" s="753" t="str">
        <f>"limite "&amp;IF('liste-STEP'!F99=1,"NH4","NH4")</f>
        <v>limite NH4</v>
      </c>
      <c r="U10" s="754" t="str">
        <f>"limite "&amp;IF('liste-STEP'!F99=1,"NO2","NO2")</f>
        <v>limite NO2</v>
      </c>
      <c r="V10" s="753" t="str">
        <f>"limite "&amp;IF('liste-STEP'!F99=1,"NO3","NO3")</f>
        <v>limite NO3</v>
      </c>
      <c r="W10" s="754" t="str">
        <f>"limite "&amp;IF('liste-STEP'!F99=1,"PO4","PO4")</f>
        <v>limite PO4</v>
      </c>
      <c r="X10" s="754" t="str">
        <f>"limite "&amp;IF('liste-STEP'!F99=1,"Ptot","Pges")</f>
        <v>limite Pges</v>
      </c>
      <c r="Y10" s="755" t="str">
        <f>"limite "&amp;IF('liste-STEP'!F99=1,"MES","GUS")</f>
        <v>limite GUS</v>
      </c>
    </row>
    <row r="11" spans="1:27" x14ac:dyDescent="0.2">
      <c r="A11" s="222">
        <f>calculs!A11</f>
        <v>44562</v>
      </c>
      <c r="B11" s="523" t="e">
        <f ca="1">gr(données_step[[#This Row],[E_DBO5]])</f>
        <v>#NAME?</v>
      </c>
      <c r="C11" s="523" t="e">
        <f ca="1">gr(données_step[[#This Row],[E_DCO]])</f>
        <v>#NAME?</v>
      </c>
      <c r="D11" s="523" t="e">
        <f ca="1">gr(données_step[[#This Row],[E_COT]])</f>
        <v>#NAME?</v>
      </c>
      <c r="E11" s="523" t="e">
        <f ca="1">gr(données_step[[#This Row],[E_NH4]])</f>
        <v>#NAME?</v>
      </c>
      <c r="F11" s="523" t="e">
        <f ca="1">gr(données_step[[#This Row],[E_NTOT]])</f>
        <v>#NAME?</v>
      </c>
      <c r="G11" s="523" t="e">
        <f ca="1">gr(données_step[[#This Row],[E_PTOT]])</f>
        <v>#NAME?</v>
      </c>
      <c r="H11" s="523" t="e">
        <f ca="1">gr(données_step[[#This Row],[S_DBO5]])</f>
        <v>#NAME?</v>
      </c>
      <c r="I11" s="523" t="e">
        <f ca="1">gr(données_step[[#This Row],[S_DCO]])</f>
        <v>#NAME?</v>
      </c>
      <c r="J11" s="523" t="e">
        <f ca="1">gr(données_step[[#This Row],[S_COD]])</f>
        <v>#NAME?</v>
      </c>
      <c r="K11" s="523" t="e">
        <f ca="1">gr(données_step[[#This Row],[S_NH4]])</f>
        <v>#NAME?</v>
      </c>
      <c r="L11" s="523" t="e">
        <f ca="1">gr(données_step[[#This Row],[S_NO2]])</f>
        <v>#NAME?</v>
      </c>
      <c r="M11" s="523" t="e">
        <f ca="1">gr(données_step[[#This Row],[S_NO3]])</f>
        <v>#NAME?</v>
      </c>
      <c r="N11" s="523" t="e">
        <f ca="1">gr(données_step[[#This Row],[S_PORTH]])</f>
        <v>#NAME?</v>
      </c>
      <c r="O11" s="523" t="e">
        <f ca="1">gr(données_step[[#This Row],[S_PTOT]])</f>
        <v>#NAME?</v>
      </c>
      <c r="P11" s="523" t="e">
        <f ca="1">gr(données_step[[#This Row],[S_MES]])</f>
        <v>#NAME?</v>
      </c>
      <c r="Q11" s="523" t="e">
        <f ca="1">gr(basis!C24)</f>
        <v>#NAME?</v>
      </c>
      <c r="R11" s="523" t="e">
        <f ca="1">gr(basis!D24)</f>
        <v>#NAME?</v>
      </c>
      <c r="S11" s="523" t="e">
        <f ca="1">gr(basis!F24)</f>
        <v>#NAME?</v>
      </c>
      <c r="T11" s="756" t="e">
        <f ca="1">gr(basis!G24)</f>
        <v>#NAME?</v>
      </c>
      <c r="U11" s="522" t="e">
        <f ca="1">gr(basis!I24)</f>
        <v>#NAME?</v>
      </c>
      <c r="V11" s="523"/>
      <c r="W11" s="523"/>
      <c r="X11" s="523" t="e">
        <f ca="1">gr(basis!J24)</f>
        <v>#NAME?</v>
      </c>
      <c r="Y11" s="523" t="e">
        <f ca="1">gr(basis!K24)</f>
        <v>#NAME?</v>
      </c>
      <c r="Z11" s="523"/>
      <c r="AA11" s="523"/>
    </row>
    <row r="12" spans="1:27" x14ac:dyDescent="0.2">
      <c r="A12" s="222">
        <f>calculs!A12</f>
        <v>44563</v>
      </c>
      <c r="B12" s="523" t="e">
        <f ca="1">gr(données_step[[#This Row],[E_DBO5]])</f>
        <v>#NAME?</v>
      </c>
      <c r="C12" s="523" t="e">
        <f ca="1">gr(données_step[[#This Row],[E_DCO]])</f>
        <v>#NAME?</v>
      </c>
      <c r="D12" s="523" t="e">
        <f ca="1">gr(données_step[[#This Row],[E_COT]])</f>
        <v>#NAME?</v>
      </c>
      <c r="E12" s="523" t="e">
        <f ca="1">gr(données_step[[#This Row],[E_NH4]])</f>
        <v>#NAME?</v>
      </c>
      <c r="F12" s="523" t="e">
        <f ca="1">gr(données_step[[#This Row],[E_NTOT]])</f>
        <v>#NAME?</v>
      </c>
      <c r="G12" s="523" t="e">
        <f ca="1">gr(données_step[[#This Row],[E_PTOT]])</f>
        <v>#NAME?</v>
      </c>
      <c r="H12" s="523" t="e">
        <f ca="1">gr(données_step[[#This Row],[S_DBO5]])</f>
        <v>#NAME?</v>
      </c>
      <c r="I12" s="523" t="e">
        <f ca="1">gr(données_step[[#This Row],[S_DCO]])</f>
        <v>#NAME?</v>
      </c>
      <c r="J12" s="523" t="e">
        <f ca="1">gr(données_step[[#This Row],[S_COD]])</f>
        <v>#NAME?</v>
      </c>
      <c r="K12" s="523" t="e">
        <f ca="1">gr(données_step[[#This Row],[S_NH4]])</f>
        <v>#NAME?</v>
      </c>
      <c r="L12" s="523" t="e">
        <f ca="1">gr(données_step[[#This Row],[S_NO2]])</f>
        <v>#NAME?</v>
      </c>
      <c r="M12" s="523" t="e">
        <f ca="1">gr(données_step[[#This Row],[S_NO3]])</f>
        <v>#NAME?</v>
      </c>
      <c r="N12" s="523" t="e">
        <f ca="1">gr(données_step[[#This Row],[S_PORTH]])</f>
        <v>#NAME?</v>
      </c>
      <c r="O12" s="523" t="e">
        <f ca="1">gr(données_step[[#This Row],[S_PTOT]])</f>
        <v>#NAME?</v>
      </c>
      <c r="P12" s="523" t="e">
        <f ca="1">gr(données_step[[#This Row],[S_MES]])</f>
        <v>#NAME?</v>
      </c>
      <c r="Q12" s="523" t="e">
        <v>#N/A</v>
      </c>
      <c r="R12" s="523" t="e">
        <v>#N/A</v>
      </c>
      <c r="S12" s="523" t="e">
        <v>#N/A</v>
      </c>
      <c r="T12" s="523" t="e">
        <v>#N/A</v>
      </c>
      <c r="U12" s="523" t="e">
        <v>#N/A</v>
      </c>
      <c r="V12" s="523" t="e">
        <v>#N/A</v>
      </c>
      <c r="W12" s="523" t="e">
        <v>#N/A</v>
      </c>
      <c r="X12" s="523" t="e">
        <v>#N/A</v>
      </c>
      <c r="Y12" s="523" t="e">
        <v>#N/A</v>
      </c>
      <c r="Z12" s="523"/>
      <c r="AA12" s="523"/>
    </row>
    <row r="13" spans="1:27" x14ac:dyDescent="0.2">
      <c r="A13" s="222">
        <f>calculs!A13</f>
        <v>44564</v>
      </c>
      <c r="B13" s="523" t="e">
        <f ca="1">gr(données_step[[#This Row],[E_DBO5]])</f>
        <v>#NAME?</v>
      </c>
      <c r="C13" s="523" t="e">
        <f ca="1">gr(données_step[[#This Row],[E_DCO]])</f>
        <v>#NAME?</v>
      </c>
      <c r="D13" s="523" t="e">
        <f ca="1">gr(données_step[[#This Row],[E_COT]])</f>
        <v>#NAME?</v>
      </c>
      <c r="E13" s="523" t="e">
        <f ca="1">gr(données_step[[#This Row],[E_NH4]])</f>
        <v>#NAME?</v>
      </c>
      <c r="F13" s="523" t="e">
        <f ca="1">gr(données_step[[#This Row],[E_NTOT]])</f>
        <v>#NAME?</v>
      </c>
      <c r="G13" s="523" t="e">
        <f ca="1">gr(données_step[[#This Row],[E_PTOT]])</f>
        <v>#NAME?</v>
      </c>
      <c r="H13" s="523" t="e">
        <f ca="1">gr(données_step[[#This Row],[S_DBO5]])</f>
        <v>#NAME?</v>
      </c>
      <c r="I13" s="523" t="e">
        <f ca="1">gr(données_step[[#This Row],[S_DCO]])</f>
        <v>#NAME?</v>
      </c>
      <c r="J13" s="523" t="e">
        <f ca="1">gr(données_step[[#This Row],[S_COD]])</f>
        <v>#NAME?</v>
      </c>
      <c r="K13" s="523" t="e">
        <f ca="1">gr(données_step[[#This Row],[S_NH4]])</f>
        <v>#NAME?</v>
      </c>
      <c r="L13" s="523" t="e">
        <f ca="1">gr(données_step[[#This Row],[S_NO2]])</f>
        <v>#NAME?</v>
      </c>
      <c r="M13" s="523" t="e">
        <f ca="1">gr(données_step[[#This Row],[S_NO3]])</f>
        <v>#NAME?</v>
      </c>
      <c r="N13" s="523" t="e">
        <f ca="1">gr(données_step[[#This Row],[S_PORTH]])</f>
        <v>#NAME?</v>
      </c>
      <c r="O13" s="523" t="e">
        <f ca="1">gr(données_step[[#This Row],[S_PTOT]])</f>
        <v>#NAME?</v>
      </c>
      <c r="P13" s="523" t="e">
        <f ca="1">gr(données_step[[#This Row],[S_MES]])</f>
        <v>#NAME?</v>
      </c>
      <c r="Q13" s="523" t="e">
        <v>#N/A</v>
      </c>
      <c r="R13" s="523" t="e">
        <v>#N/A</v>
      </c>
      <c r="S13" s="523" t="e">
        <v>#N/A</v>
      </c>
      <c r="T13" s="523" t="e">
        <v>#N/A</v>
      </c>
      <c r="U13" s="523" t="e">
        <v>#N/A</v>
      </c>
      <c r="V13" s="523" t="e">
        <v>#N/A</v>
      </c>
      <c r="W13" s="523" t="e">
        <v>#N/A</v>
      </c>
      <c r="X13" s="523" t="e">
        <v>#N/A</v>
      </c>
      <c r="Y13" s="523" t="e">
        <v>#N/A</v>
      </c>
      <c r="Z13" s="523"/>
      <c r="AA13" s="523"/>
    </row>
    <row r="14" spans="1:27" x14ac:dyDescent="0.2">
      <c r="A14" s="222">
        <f>calculs!A14</f>
        <v>44565</v>
      </c>
      <c r="B14" s="523" t="e">
        <f ca="1">gr(données_step[[#This Row],[E_DBO5]])</f>
        <v>#NAME?</v>
      </c>
      <c r="C14" s="523" t="e">
        <f ca="1">gr(données_step[[#This Row],[E_DCO]])</f>
        <v>#NAME?</v>
      </c>
      <c r="D14" s="523" t="e">
        <f ca="1">gr(données_step[[#This Row],[E_COT]])</f>
        <v>#NAME?</v>
      </c>
      <c r="E14" s="523" t="e">
        <f ca="1">gr(données_step[[#This Row],[E_NH4]])</f>
        <v>#NAME?</v>
      </c>
      <c r="F14" s="523" t="e">
        <f ca="1">gr(données_step[[#This Row],[E_NTOT]])</f>
        <v>#NAME?</v>
      </c>
      <c r="G14" s="523" t="e">
        <f ca="1">gr(données_step[[#This Row],[E_PTOT]])</f>
        <v>#NAME?</v>
      </c>
      <c r="H14" s="523" t="e">
        <f ca="1">gr(données_step[[#This Row],[S_DBO5]])</f>
        <v>#NAME?</v>
      </c>
      <c r="I14" s="523" t="e">
        <f ca="1">gr(données_step[[#This Row],[S_DCO]])</f>
        <v>#NAME?</v>
      </c>
      <c r="J14" s="523" t="e">
        <f ca="1">gr(données_step[[#This Row],[S_COD]])</f>
        <v>#NAME?</v>
      </c>
      <c r="K14" s="523" t="e">
        <f ca="1">gr(données_step[[#This Row],[S_NH4]])</f>
        <v>#NAME?</v>
      </c>
      <c r="L14" s="523" t="e">
        <f ca="1">gr(données_step[[#This Row],[S_NO2]])</f>
        <v>#NAME?</v>
      </c>
      <c r="M14" s="523" t="e">
        <f ca="1">gr(données_step[[#This Row],[S_NO3]])</f>
        <v>#NAME?</v>
      </c>
      <c r="N14" s="523" t="e">
        <f ca="1">gr(données_step[[#This Row],[S_PORTH]])</f>
        <v>#NAME?</v>
      </c>
      <c r="O14" s="523" t="e">
        <f ca="1">gr(données_step[[#This Row],[S_PTOT]])</f>
        <v>#NAME?</v>
      </c>
      <c r="P14" s="523" t="e">
        <f ca="1">gr(données_step[[#This Row],[S_MES]])</f>
        <v>#NAME?</v>
      </c>
      <c r="Q14" s="523" t="e">
        <v>#N/A</v>
      </c>
      <c r="R14" s="523" t="e">
        <v>#N/A</v>
      </c>
      <c r="S14" s="523" t="e">
        <v>#N/A</v>
      </c>
      <c r="T14" s="523" t="e">
        <v>#N/A</v>
      </c>
      <c r="U14" s="523" t="e">
        <v>#N/A</v>
      </c>
      <c r="V14" s="523" t="e">
        <v>#N/A</v>
      </c>
      <c r="W14" s="523" t="e">
        <v>#N/A</v>
      </c>
      <c r="X14" s="523" t="e">
        <v>#N/A</v>
      </c>
      <c r="Y14" s="523" t="e">
        <v>#N/A</v>
      </c>
      <c r="Z14" s="523"/>
      <c r="AA14" s="523"/>
    </row>
    <row r="15" spans="1:27" x14ac:dyDescent="0.2">
      <c r="A15" s="222">
        <f>calculs!A15</f>
        <v>44566</v>
      </c>
      <c r="B15" s="523" t="e">
        <f ca="1">gr(données_step[[#This Row],[E_DBO5]])</f>
        <v>#NAME?</v>
      </c>
      <c r="C15" s="523" t="e">
        <f ca="1">gr(données_step[[#This Row],[E_DCO]])</f>
        <v>#NAME?</v>
      </c>
      <c r="D15" s="523" t="e">
        <f ca="1">gr(données_step[[#This Row],[E_COT]])</f>
        <v>#NAME?</v>
      </c>
      <c r="E15" s="523" t="e">
        <f ca="1">gr(données_step[[#This Row],[E_NH4]])</f>
        <v>#NAME?</v>
      </c>
      <c r="F15" s="523" t="e">
        <f ca="1">gr(données_step[[#This Row],[E_NTOT]])</f>
        <v>#NAME?</v>
      </c>
      <c r="G15" s="523" t="e">
        <f ca="1">gr(données_step[[#This Row],[E_PTOT]])</f>
        <v>#NAME?</v>
      </c>
      <c r="H15" s="523" t="e">
        <f ca="1">gr(données_step[[#This Row],[S_DBO5]])</f>
        <v>#NAME?</v>
      </c>
      <c r="I15" s="523" t="e">
        <f ca="1">gr(données_step[[#This Row],[S_DCO]])</f>
        <v>#NAME?</v>
      </c>
      <c r="J15" s="523" t="e">
        <f ca="1">gr(données_step[[#This Row],[S_COD]])</f>
        <v>#NAME?</v>
      </c>
      <c r="K15" s="523" t="e">
        <f ca="1">gr(données_step[[#This Row],[S_NH4]])</f>
        <v>#NAME?</v>
      </c>
      <c r="L15" s="523" t="e">
        <f ca="1">gr(données_step[[#This Row],[S_NO2]])</f>
        <v>#NAME?</v>
      </c>
      <c r="M15" s="523" t="e">
        <f ca="1">gr(données_step[[#This Row],[S_NO3]])</f>
        <v>#NAME?</v>
      </c>
      <c r="N15" s="523" t="e">
        <f ca="1">gr(données_step[[#This Row],[S_PORTH]])</f>
        <v>#NAME?</v>
      </c>
      <c r="O15" s="523" t="e">
        <f ca="1">gr(données_step[[#This Row],[S_PTOT]])</f>
        <v>#NAME?</v>
      </c>
      <c r="P15" s="523" t="e">
        <f ca="1">gr(données_step[[#This Row],[S_MES]])</f>
        <v>#NAME?</v>
      </c>
      <c r="Q15" s="523" t="e">
        <v>#N/A</v>
      </c>
      <c r="R15" s="523" t="e">
        <v>#N/A</v>
      </c>
      <c r="S15" s="523" t="e">
        <v>#N/A</v>
      </c>
      <c r="T15" s="523" t="e">
        <v>#N/A</v>
      </c>
      <c r="U15" s="523" t="e">
        <v>#N/A</v>
      </c>
      <c r="V15" s="523" t="e">
        <v>#N/A</v>
      </c>
      <c r="W15" s="523" t="e">
        <v>#N/A</v>
      </c>
      <c r="X15" s="523" t="e">
        <v>#N/A</v>
      </c>
      <c r="Y15" s="523" t="e">
        <v>#N/A</v>
      </c>
      <c r="Z15" s="523"/>
      <c r="AA15" s="523"/>
    </row>
    <row r="16" spans="1:27" x14ac:dyDescent="0.2">
      <c r="A16" s="222">
        <f>calculs!A16</f>
        <v>44567</v>
      </c>
      <c r="B16" s="523" t="e">
        <f ca="1">gr(données_step[[#This Row],[E_DBO5]])</f>
        <v>#NAME?</v>
      </c>
      <c r="C16" s="523" t="e">
        <f ca="1">gr(données_step[[#This Row],[E_DCO]])</f>
        <v>#NAME?</v>
      </c>
      <c r="D16" s="523" t="e">
        <f ca="1">gr(données_step[[#This Row],[E_COT]])</f>
        <v>#NAME?</v>
      </c>
      <c r="E16" s="523" t="e">
        <f ca="1">gr(données_step[[#This Row],[E_NH4]])</f>
        <v>#NAME?</v>
      </c>
      <c r="F16" s="523" t="e">
        <f ca="1">gr(données_step[[#This Row],[E_NTOT]])</f>
        <v>#NAME?</v>
      </c>
      <c r="G16" s="523" t="e">
        <f ca="1">gr(données_step[[#This Row],[E_PTOT]])</f>
        <v>#NAME?</v>
      </c>
      <c r="H16" s="523" t="e">
        <f ca="1">gr(données_step[[#This Row],[S_DBO5]])</f>
        <v>#NAME?</v>
      </c>
      <c r="I16" s="523" t="e">
        <f ca="1">gr(données_step[[#This Row],[S_DCO]])</f>
        <v>#NAME?</v>
      </c>
      <c r="J16" s="523" t="e">
        <f ca="1">gr(données_step[[#This Row],[S_COD]])</f>
        <v>#NAME?</v>
      </c>
      <c r="K16" s="523" t="e">
        <f ca="1">gr(données_step[[#This Row],[S_NH4]])</f>
        <v>#NAME?</v>
      </c>
      <c r="L16" s="523" t="e">
        <f ca="1">gr(données_step[[#This Row],[S_NO2]])</f>
        <v>#NAME?</v>
      </c>
      <c r="M16" s="523" t="e">
        <f ca="1">gr(données_step[[#This Row],[S_NO3]])</f>
        <v>#NAME?</v>
      </c>
      <c r="N16" s="523" t="e">
        <f ca="1">gr(données_step[[#This Row],[S_PORTH]])</f>
        <v>#NAME?</v>
      </c>
      <c r="O16" s="523" t="e">
        <f ca="1">gr(données_step[[#This Row],[S_PTOT]])</f>
        <v>#NAME?</v>
      </c>
      <c r="P16" s="523" t="e">
        <f ca="1">gr(données_step[[#This Row],[S_MES]])</f>
        <v>#NAME?</v>
      </c>
      <c r="Q16" s="523" t="e">
        <v>#N/A</v>
      </c>
      <c r="R16" s="523" t="e">
        <v>#N/A</v>
      </c>
      <c r="S16" s="523" t="e">
        <v>#N/A</v>
      </c>
      <c r="T16" s="523" t="e">
        <v>#N/A</v>
      </c>
      <c r="U16" s="523" t="e">
        <v>#N/A</v>
      </c>
      <c r="V16" s="523" t="e">
        <v>#N/A</v>
      </c>
      <c r="W16" s="523" t="e">
        <v>#N/A</v>
      </c>
      <c r="X16" s="523" t="e">
        <v>#N/A</v>
      </c>
      <c r="Y16" s="523" t="e">
        <v>#N/A</v>
      </c>
      <c r="Z16" s="523"/>
      <c r="AA16" s="523"/>
    </row>
    <row r="17" spans="1:27" x14ac:dyDescent="0.2">
      <c r="A17" s="222">
        <f>calculs!A17</f>
        <v>44568</v>
      </c>
      <c r="B17" s="523" t="e">
        <f ca="1">gr(données_step[[#This Row],[E_DBO5]])</f>
        <v>#NAME?</v>
      </c>
      <c r="C17" s="523" t="e">
        <f ca="1">gr(données_step[[#This Row],[E_DCO]])</f>
        <v>#NAME?</v>
      </c>
      <c r="D17" s="523" t="e">
        <f ca="1">gr(données_step[[#This Row],[E_COT]])</f>
        <v>#NAME?</v>
      </c>
      <c r="E17" s="523" t="e">
        <f ca="1">gr(données_step[[#This Row],[E_NH4]])</f>
        <v>#NAME?</v>
      </c>
      <c r="F17" s="523" t="e">
        <f ca="1">gr(données_step[[#This Row],[E_NTOT]])</f>
        <v>#NAME?</v>
      </c>
      <c r="G17" s="523" t="e">
        <f ca="1">gr(données_step[[#This Row],[E_PTOT]])</f>
        <v>#NAME?</v>
      </c>
      <c r="H17" s="523" t="e">
        <f ca="1">gr(données_step[[#This Row],[S_DBO5]])</f>
        <v>#NAME?</v>
      </c>
      <c r="I17" s="523" t="e">
        <f ca="1">gr(données_step[[#This Row],[S_DCO]])</f>
        <v>#NAME?</v>
      </c>
      <c r="J17" s="523" t="e">
        <f ca="1">gr(données_step[[#This Row],[S_COD]])</f>
        <v>#NAME?</v>
      </c>
      <c r="K17" s="523" t="e">
        <f ca="1">gr(données_step[[#This Row],[S_NH4]])</f>
        <v>#NAME?</v>
      </c>
      <c r="L17" s="523" t="e">
        <f ca="1">gr(données_step[[#This Row],[S_NO2]])</f>
        <v>#NAME?</v>
      </c>
      <c r="M17" s="523" t="e">
        <f ca="1">gr(données_step[[#This Row],[S_NO3]])</f>
        <v>#NAME?</v>
      </c>
      <c r="N17" s="523" t="e">
        <f ca="1">gr(données_step[[#This Row],[S_PORTH]])</f>
        <v>#NAME?</v>
      </c>
      <c r="O17" s="523" t="e">
        <f ca="1">gr(données_step[[#This Row],[S_PTOT]])</f>
        <v>#NAME?</v>
      </c>
      <c r="P17" s="523" t="e">
        <f ca="1">gr(données_step[[#This Row],[S_MES]])</f>
        <v>#NAME?</v>
      </c>
      <c r="Q17" s="523" t="e">
        <v>#N/A</v>
      </c>
      <c r="R17" s="523" t="e">
        <v>#N/A</v>
      </c>
      <c r="S17" s="523" t="e">
        <v>#N/A</v>
      </c>
      <c r="T17" s="523" t="e">
        <v>#N/A</v>
      </c>
      <c r="U17" s="523" t="e">
        <v>#N/A</v>
      </c>
      <c r="V17" s="523" t="e">
        <v>#N/A</v>
      </c>
      <c r="W17" s="523" t="e">
        <v>#N/A</v>
      </c>
      <c r="X17" s="523" t="e">
        <v>#N/A</v>
      </c>
      <c r="Y17" s="523" t="e">
        <v>#N/A</v>
      </c>
      <c r="Z17" s="523"/>
      <c r="AA17" s="523"/>
    </row>
    <row r="18" spans="1:27" x14ac:dyDescent="0.2">
      <c r="A18" s="222">
        <f>calculs!A18</f>
        <v>44569</v>
      </c>
      <c r="B18" s="523" t="e">
        <f ca="1">gr(données_step[[#This Row],[E_DBO5]])</f>
        <v>#NAME?</v>
      </c>
      <c r="C18" s="523" t="e">
        <f ca="1">gr(données_step[[#This Row],[E_DCO]])</f>
        <v>#NAME?</v>
      </c>
      <c r="D18" s="523" t="e">
        <f ca="1">gr(données_step[[#This Row],[E_COT]])</f>
        <v>#NAME?</v>
      </c>
      <c r="E18" s="523" t="e">
        <f ca="1">gr(données_step[[#This Row],[E_NH4]])</f>
        <v>#NAME?</v>
      </c>
      <c r="F18" s="523" t="e">
        <f ca="1">gr(données_step[[#This Row],[E_NTOT]])</f>
        <v>#NAME?</v>
      </c>
      <c r="G18" s="523" t="e">
        <f ca="1">gr(données_step[[#This Row],[E_PTOT]])</f>
        <v>#NAME?</v>
      </c>
      <c r="H18" s="523" t="e">
        <f ca="1">gr(données_step[[#This Row],[S_DBO5]])</f>
        <v>#NAME?</v>
      </c>
      <c r="I18" s="523" t="e">
        <f ca="1">gr(données_step[[#This Row],[S_DCO]])</f>
        <v>#NAME?</v>
      </c>
      <c r="J18" s="523" t="e">
        <f ca="1">gr(données_step[[#This Row],[S_COD]])</f>
        <v>#NAME?</v>
      </c>
      <c r="K18" s="523" t="e">
        <f ca="1">gr(données_step[[#This Row],[S_NH4]])</f>
        <v>#NAME?</v>
      </c>
      <c r="L18" s="523" t="e">
        <f ca="1">gr(données_step[[#This Row],[S_NO2]])</f>
        <v>#NAME?</v>
      </c>
      <c r="M18" s="523" t="e">
        <f ca="1">gr(données_step[[#This Row],[S_NO3]])</f>
        <v>#NAME?</v>
      </c>
      <c r="N18" s="523" t="e">
        <f ca="1">gr(données_step[[#This Row],[S_PORTH]])</f>
        <v>#NAME?</v>
      </c>
      <c r="O18" s="523" t="e">
        <f ca="1">gr(données_step[[#This Row],[S_PTOT]])</f>
        <v>#NAME?</v>
      </c>
      <c r="P18" s="523" t="e">
        <f ca="1">gr(données_step[[#This Row],[S_MES]])</f>
        <v>#NAME?</v>
      </c>
      <c r="Q18" s="523" t="e">
        <v>#N/A</v>
      </c>
      <c r="R18" s="523" t="e">
        <v>#N/A</v>
      </c>
      <c r="S18" s="523" t="e">
        <v>#N/A</v>
      </c>
      <c r="T18" s="523" t="e">
        <v>#N/A</v>
      </c>
      <c r="U18" s="523" t="e">
        <v>#N/A</v>
      </c>
      <c r="V18" s="523" t="e">
        <v>#N/A</v>
      </c>
      <c r="W18" s="523" t="e">
        <v>#N/A</v>
      </c>
      <c r="X18" s="523" t="e">
        <v>#N/A</v>
      </c>
      <c r="Y18" s="523" t="e">
        <v>#N/A</v>
      </c>
      <c r="Z18" s="523"/>
      <c r="AA18" s="523"/>
    </row>
    <row r="19" spans="1:27" x14ac:dyDescent="0.2">
      <c r="A19" s="222">
        <f>calculs!A19</f>
        <v>44570</v>
      </c>
      <c r="B19" s="523" t="e">
        <f ca="1">gr(données_step[[#This Row],[E_DBO5]])</f>
        <v>#NAME?</v>
      </c>
      <c r="C19" s="523" t="e">
        <f ca="1">gr(données_step[[#This Row],[E_DCO]])</f>
        <v>#NAME?</v>
      </c>
      <c r="D19" s="523" t="e">
        <f ca="1">gr(données_step[[#This Row],[E_COT]])</f>
        <v>#NAME?</v>
      </c>
      <c r="E19" s="523" t="e">
        <f ca="1">gr(données_step[[#This Row],[E_NH4]])</f>
        <v>#NAME?</v>
      </c>
      <c r="F19" s="523" t="e">
        <f ca="1">gr(données_step[[#This Row],[E_NTOT]])</f>
        <v>#NAME?</v>
      </c>
      <c r="G19" s="523" t="e">
        <f ca="1">gr(données_step[[#This Row],[E_PTOT]])</f>
        <v>#NAME?</v>
      </c>
      <c r="H19" s="523" t="e">
        <f ca="1">gr(données_step[[#This Row],[S_DBO5]])</f>
        <v>#NAME?</v>
      </c>
      <c r="I19" s="523" t="e">
        <f ca="1">gr(données_step[[#This Row],[S_DCO]])</f>
        <v>#NAME?</v>
      </c>
      <c r="J19" s="523" t="e">
        <f ca="1">gr(données_step[[#This Row],[S_COD]])</f>
        <v>#NAME?</v>
      </c>
      <c r="K19" s="523" t="e">
        <f ca="1">gr(données_step[[#This Row],[S_NH4]])</f>
        <v>#NAME?</v>
      </c>
      <c r="L19" s="523" t="e">
        <f ca="1">gr(données_step[[#This Row],[S_NO2]])</f>
        <v>#NAME?</v>
      </c>
      <c r="M19" s="523" t="e">
        <f ca="1">gr(données_step[[#This Row],[S_NO3]])</f>
        <v>#NAME?</v>
      </c>
      <c r="N19" s="523" t="e">
        <f ca="1">gr(données_step[[#This Row],[S_PORTH]])</f>
        <v>#NAME?</v>
      </c>
      <c r="O19" s="523" t="e">
        <f ca="1">gr(données_step[[#This Row],[S_PTOT]])</f>
        <v>#NAME?</v>
      </c>
      <c r="P19" s="523" t="e">
        <f ca="1">gr(données_step[[#This Row],[S_MES]])</f>
        <v>#NAME?</v>
      </c>
      <c r="Q19" s="523" t="e">
        <v>#N/A</v>
      </c>
      <c r="R19" s="523" t="e">
        <v>#N/A</v>
      </c>
      <c r="S19" s="523" t="e">
        <v>#N/A</v>
      </c>
      <c r="T19" s="523" t="e">
        <v>#N/A</v>
      </c>
      <c r="U19" s="523" t="e">
        <v>#N/A</v>
      </c>
      <c r="V19" s="523" t="e">
        <v>#N/A</v>
      </c>
      <c r="W19" s="523" t="e">
        <v>#N/A</v>
      </c>
      <c r="X19" s="523" t="e">
        <v>#N/A</v>
      </c>
      <c r="Y19" s="523" t="e">
        <v>#N/A</v>
      </c>
      <c r="Z19" s="523"/>
      <c r="AA19" s="523"/>
    </row>
    <row r="20" spans="1:27" x14ac:dyDescent="0.2">
      <c r="A20" s="222">
        <f>calculs!A20</f>
        <v>44571</v>
      </c>
      <c r="B20" s="523" t="e">
        <f ca="1">gr(données_step[[#This Row],[E_DBO5]])</f>
        <v>#NAME?</v>
      </c>
      <c r="C20" s="523" t="e">
        <f ca="1">gr(données_step[[#This Row],[E_DCO]])</f>
        <v>#NAME?</v>
      </c>
      <c r="D20" s="523" t="e">
        <f ca="1">gr(données_step[[#This Row],[E_COT]])</f>
        <v>#NAME?</v>
      </c>
      <c r="E20" s="523" t="e">
        <f ca="1">gr(données_step[[#This Row],[E_NH4]])</f>
        <v>#NAME?</v>
      </c>
      <c r="F20" s="523" t="e">
        <f ca="1">gr(données_step[[#This Row],[E_NTOT]])</f>
        <v>#NAME?</v>
      </c>
      <c r="G20" s="523" t="e">
        <f ca="1">gr(données_step[[#This Row],[E_PTOT]])</f>
        <v>#NAME?</v>
      </c>
      <c r="H20" s="523" t="e">
        <f ca="1">gr(données_step[[#This Row],[S_DBO5]])</f>
        <v>#NAME?</v>
      </c>
      <c r="I20" s="523" t="e">
        <f ca="1">gr(données_step[[#This Row],[S_DCO]])</f>
        <v>#NAME?</v>
      </c>
      <c r="J20" s="523" t="e">
        <f ca="1">gr(données_step[[#This Row],[S_COD]])</f>
        <v>#NAME?</v>
      </c>
      <c r="K20" s="523" t="e">
        <f ca="1">gr(données_step[[#This Row],[S_NH4]])</f>
        <v>#NAME?</v>
      </c>
      <c r="L20" s="523" t="e">
        <f ca="1">gr(données_step[[#This Row],[S_NO2]])</f>
        <v>#NAME?</v>
      </c>
      <c r="M20" s="523" t="e">
        <f ca="1">gr(données_step[[#This Row],[S_NO3]])</f>
        <v>#NAME?</v>
      </c>
      <c r="N20" s="523" t="e">
        <f ca="1">gr(données_step[[#This Row],[S_PORTH]])</f>
        <v>#NAME?</v>
      </c>
      <c r="O20" s="523" t="e">
        <f ca="1">gr(données_step[[#This Row],[S_PTOT]])</f>
        <v>#NAME?</v>
      </c>
      <c r="P20" s="523" t="e">
        <f ca="1">gr(données_step[[#This Row],[S_MES]])</f>
        <v>#NAME?</v>
      </c>
      <c r="Q20" s="523" t="e">
        <v>#N/A</v>
      </c>
      <c r="R20" s="523" t="e">
        <v>#N/A</v>
      </c>
      <c r="S20" s="523" t="e">
        <v>#N/A</v>
      </c>
      <c r="T20" s="523" t="e">
        <v>#N/A</v>
      </c>
      <c r="U20" s="523" t="e">
        <v>#N/A</v>
      </c>
      <c r="V20" s="523" t="e">
        <v>#N/A</v>
      </c>
      <c r="W20" s="523" t="e">
        <v>#N/A</v>
      </c>
      <c r="X20" s="523" t="e">
        <v>#N/A</v>
      </c>
      <c r="Y20" s="523" t="e">
        <v>#N/A</v>
      </c>
      <c r="Z20" s="523"/>
      <c r="AA20" s="523"/>
    </row>
    <row r="21" spans="1:27" x14ac:dyDescent="0.2">
      <c r="A21" s="222">
        <f>calculs!A21</f>
        <v>44572</v>
      </c>
      <c r="B21" s="523" t="e">
        <f ca="1">gr(données_step[[#This Row],[E_DBO5]])</f>
        <v>#NAME?</v>
      </c>
      <c r="C21" s="523" t="e">
        <f ca="1">gr(données_step[[#This Row],[E_DCO]])</f>
        <v>#NAME?</v>
      </c>
      <c r="D21" s="523" t="e">
        <f ca="1">gr(données_step[[#This Row],[E_COT]])</f>
        <v>#NAME?</v>
      </c>
      <c r="E21" s="523" t="e">
        <f ca="1">gr(données_step[[#This Row],[E_NH4]])</f>
        <v>#NAME?</v>
      </c>
      <c r="F21" s="523" t="e">
        <f ca="1">gr(données_step[[#This Row],[E_NTOT]])</f>
        <v>#NAME?</v>
      </c>
      <c r="G21" s="523" t="e">
        <f ca="1">gr(données_step[[#This Row],[E_PTOT]])</f>
        <v>#NAME?</v>
      </c>
      <c r="H21" s="523" t="e">
        <f ca="1">gr(données_step[[#This Row],[S_DBO5]])</f>
        <v>#NAME?</v>
      </c>
      <c r="I21" s="523" t="e">
        <f ca="1">gr(données_step[[#This Row],[S_DCO]])</f>
        <v>#NAME?</v>
      </c>
      <c r="J21" s="523" t="e">
        <f ca="1">gr(données_step[[#This Row],[S_COD]])</f>
        <v>#NAME?</v>
      </c>
      <c r="K21" s="523" t="e">
        <f ca="1">gr(données_step[[#This Row],[S_NH4]])</f>
        <v>#NAME?</v>
      </c>
      <c r="L21" s="523" t="e">
        <f ca="1">gr(données_step[[#This Row],[S_NO2]])</f>
        <v>#NAME?</v>
      </c>
      <c r="M21" s="523" t="e">
        <f ca="1">gr(données_step[[#This Row],[S_NO3]])</f>
        <v>#NAME?</v>
      </c>
      <c r="N21" s="523" t="e">
        <f ca="1">gr(données_step[[#This Row],[S_PORTH]])</f>
        <v>#NAME?</v>
      </c>
      <c r="O21" s="523" t="e">
        <f ca="1">gr(données_step[[#This Row],[S_PTOT]])</f>
        <v>#NAME?</v>
      </c>
      <c r="P21" s="523" t="e">
        <f ca="1">gr(données_step[[#This Row],[S_MES]])</f>
        <v>#NAME?</v>
      </c>
      <c r="Q21" s="523" t="e">
        <v>#N/A</v>
      </c>
      <c r="R21" s="523" t="e">
        <v>#N/A</v>
      </c>
      <c r="S21" s="523" t="e">
        <v>#N/A</v>
      </c>
      <c r="T21" s="523" t="e">
        <v>#N/A</v>
      </c>
      <c r="U21" s="523" t="e">
        <v>#N/A</v>
      </c>
      <c r="V21" s="523" t="e">
        <v>#N/A</v>
      </c>
      <c r="W21" s="523" t="e">
        <v>#N/A</v>
      </c>
      <c r="X21" s="523" t="e">
        <v>#N/A</v>
      </c>
      <c r="Y21" s="523" t="e">
        <v>#N/A</v>
      </c>
      <c r="Z21" s="523"/>
      <c r="AA21" s="523"/>
    </row>
    <row r="22" spans="1:27" x14ac:dyDescent="0.2">
      <c r="A22" s="222">
        <f>calculs!A22</f>
        <v>44573</v>
      </c>
      <c r="B22" s="523" t="e">
        <f ca="1">gr(données_step[[#This Row],[E_DBO5]])</f>
        <v>#NAME?</v>
      </c>
      <c r="C22" s="523" t="e">
        <f ca="1">gr(données_step[[#This Row],[E_DCO]])</f>
        <v>#NAME?</v>
      </c>
      <c r="D22" s="523" t="e">
        <f ca="1">gr(données_step[[#This Row],[E_COT]])</f>
        <v>#NAME?</v>
      </c>
      <c r="E22" s="523" t="e">
        <f ca="1">gr(données_step[[#This Row],[E_NH4]])</f>
        <v>#NAME?</v>
      </c>
      <c r="F22" s="523" t="e">
        <f ca="1">gr(données_step[[#This Row],[E_NTOT]])</f>
        <v>#NAME?</v>
      </c>
      <c r="G22" s="523" t="e">
        <f ca="1">gr(données_step[[#This Row],[E_PTOT]])</f>
        <v>#NAME?</v>
      </c>
      <c r="H22" s="523" t="e">
        <f ca="1">gr(données_step[[#This Row],[S_DBO5]])</f>
        <v>#NAME?</v>
      </c>
      <c r="I22" s="523" t="e">
        <f ca="1">gr(données_step[[#This Row],[S_DCO]])</f>
        <v>#NAME?</v>
      </c>
      <c r="J22" s="523" t="e">
        <f ca="1">gr(données_step[[#This Row],[S_COD]])</f>
        <v>#NAME?</v>
      </c>
      <c r="K22" s="523" t="e">
        <f ca="1">gr(données_step[[#This Row],[S_NH4]])</f>
        <v>#NAME?</v>
      </c>
      <c r="L22" s="523" t="e">
        <f ca="1">gr(données_step[[#This Row],[S_NO2]])</f>
        <v>#NAME?</v>
      </c>
      <c r="M22" s="523" t="e">
        <f ca="1">gr(données_step[[#This Row],[S_NO3]])</f>
        <v>#NAME?</v>
      </c>
      <c r="N22" s="523" t="e">
        <f ca="1">gr(données_step[[#This Row],[S_PORTH]])</f>
        <v>#NAME?</v>
      </c>
      <c r="O22" s="523" t="e">
        <f ca="1">gr(données_step[[#This Row],[S_PTOT]])</f>
        <v>#NAME?</v>
      </c>
      <c r="P22" s="523" t="e">
        <f ca="1">gr(données_step[[#This Row],[S_MES]])</f>
        <v>#NAME?</v>
      </c>
      <c r="Q22" s="523" t="e">
        <v>#N/A</v>
      </c>
      <c r="R22" s="523" t="e">
        <v>#N/A</v>
      </c>
      <c r="S22" s="523" t="e">
        <v>#N/A</v>
      </c>
      <c r="T22" s="523" t="e">
        <v>#N/A</v>
      </c>
      <c r="U22" s="523" t="e">
        <v>#N/A</v>
      </c>
      <c r="V22" s="523" t="e">
        <v>#N/A</v>
      </c>
      <c r="W22" s="523" t="e">
        <v>#N/A</v>
      </c>
      <c r="X22" s="523" t="e">
        <v>#N/A</v>
      </c>
      <c r="Y22" s="523" t="e">
        <v>#N/A</v>
      </c>
      <c r="Z22" s="523"/>
      <c r="AA22" s="523"/>
    </row>
    <row r="23" spans="1:27" x14ac:dyDescent="0.2">
      <c r="A23" s="222">
        <f>calculs!A23</f>
        <v>44574</v>
      </c>
      <c r="B23" s="523" t="e">
        <f ca="1">gr(données_step[[#This Row],[E_DBO5]])</f>
        <v>#NAME?</v>
      </c>
      <c r="C23" s="523" t="e">
        <f ca="1">gr(données_step[[#This Row],[E_DCO]])</f>
        <v>#NAME?</v>
      </c>
      <c r="D23" s="523" t="e">
        <f ca="1">gr(données_step[[#This Row],[E_COT]])</f>
        <v>#NAME?</v>
      </c>
      <c r="E23" s="523" t="e">
        <f ca="1">gr(données_step[[#This Row],[E_NH4]])</f>
        <v>#NAME?</v>
      </c>
      <c r="F23" s="523" t="e">
        <f ca="1">gr(données_step[[#This Row],[E_NTOT]])</f>
        <v>#NAME?</v>
      </c>
      <c r="G23" s="523" t="e">
        <f ca="1">gr(données_step[[#This Row],[E_PTOT]])</f>
        <v>#NAME?</v>
      </c>
      <c r="H23" s="523" t="e">
        <f ca="1">gr(données_step[[#This Row],[S_DBO5]])</f>
        <v>#NAME?</v>
      </c>
      <c r="I23" s="523" t="e">
        <f ca="1">gr(données_step[[#This Row],[S_DCO]])</f>
        <v>#NAME?</v>
      </c>
      <c r="J23" s="523" t="e">
        <f ca="1">gr(données_step[[#This Row],[S_COD]])</f>
        <v>#NAME?</v>
      </c>
      <c r="K23" s="523" t="e">
        <f ca="1">gr(données_step[[#This Row],[S_NH4]])</f>
        <v>#NAME?</v>
      </c>
      <c r="L23" s="523" t="e">
        <f ca="1">gr(données_step[[#This Row],[S_NO2]])</f>
        <v>#NAME?</v>
      </c>
      <c r="M23" s="523" t="e">
        <f ca="1">gr(données_step[[#This Row],[S_NO3]])</f>
        <v>#NAME?</v>
      </c>
      <c r="N23" s="523" t="e">
        <f ca="1">gr(données_step[[#This Row],[S_PORTH]])</f>
        <v>#NAME?</v>
      </c>
      <c r="O23" s="523" t="e">
        <f ca="1">gr(données_step[[#This Row],[S_PTOT]])</f>
        <v>#NAME?</v>
      </c>
      <c r="P23" s="523" t="e">
        <f ca="1">gr(données_step[[#This Row],[S_MES]])</f>
        <v>#NAME?</v>
      </c>
      <c r="Q23" s="523" t="e">
        <v>#N/A</v>
      </c>
      <c r="R23" s="523" t="e">
        <v>#N/A</v>
      </c>
      <c r="S23" s="523" t="e">
        <v>#N/A</v>
      </c>
      <c r="T23" s="523" t="e">
        <v>#N/A</v>
      </c>
      <c r="U23" s="523" t="e">
        <v>#N/A</v>
      </c>
      <c r="V23" s="523" t="e">
        <v>#N/A</v>
      </c>
      <c r="W23" s="523" t="e">
        <v>#N/A</v>
      </c>
      <c r="X23" s="523" t="e">
        <v>#N/A</v>
      </c>
      <c r="Y23" s="523" t="e">
        <v>#N/A</v>
      </c>
      <c r="Z23" s="523"/>
      <c r="AA23" s="523"/>
    </row>
    <row r="24" spans="1:27" x14ac:dyDescent="0.2">
      <c r="A24" s="222">
        <f>calculs!A24</f>
        <v>44575</v>
      </c>
      <c r="B24" s="523" t="e">
        <f ca="1">gr(données_step[[#This Row],[E_DBO5]])</f>
        <v>#NAME?</v>
      </c>
      <c r="C24" s="523" t="e">
        <f ca="1">gr(données_step[[#This Row],[E_DCO]])</f>
        <v>#NAME?</v>
      </c>
      <c r="D24" s="523" t="e">
        <f ca="1">gr(données_step[[#This Row],[E_COT]])</f>
        <v>#NAME?</v>
      </c>
      <c r="E24" s="523" t="e">
        <f ca="1">gr(données_step[[#This Row],[E_NH4]])</f>
        <v>#NAME?</v>
      </c>
      <c r="F24" s="523" t="e">
        <f ca="1">gr(données_step[[#This Row],[E_NTOT]])</f>
        <v>#NAME?</v>
      </c>
      <c r="G24" s="523" t="e">
        <f ca="1">gr(données_step[[#This Row],[E_PTOT]])</f>
        <v>#NAME?</v>
      </c>
      <c r="H24" s="523" t="e">
        <f ca="1">gr(données_step[[#This Row],[S_DBO5]])</f>
        <v>#NAME?</v>
      </c>
      <c r="I24" s="523" t="e">
        <f ca="1">gr(données_step[[#This Row],[S_DCO]])</f>
        <v>#NAME?</v>
      </c>
      <c r="J24" s="523" t="e">
        <f ca="1">gr(données_step[[#This Row],[S_COD]])</f>
        <v>#NAME?</v>
      </c>
      <c r="K24" s="523" t="e">
        <f ca="1">gr(données_step[[#This Row],[S_NH4]])</f>
        <v>#NAME?</v>
      </c>
      <c r="L24" s="523" t="e">
        <f ca="1">gr(données_step[[#This Row],[S_NO2]])</f>
        <v>#NAME?</v>
      </c>
      <c r="M24" s="523" t="e">
        <f ca="1">gr(données_step[[#This Row],[S_NO3]])</f>
        <v>#NAME?</v>
      </c>
      <c r="N24" s="523" t="e">
        <f ca="1">gr(données_step[[#This Row],[S_PORTH]])</f>
        <v>#NAME?</v>
      </c>
      <c r="O24" s="523" t="e">
        <f ca="1">gr(données_step[[#This Row],[S_PTOT]])</f>
        <v>#NAME?</v>
      </c>
      <c r="P24" s="523" t="e">
        <f ca="1">gr(données_step[[#This Row],[S_MES]])</f>
        <v>#NAME?</v>
      </c>
      <c r="Q24" s="523" t="e">
        <v>#N/A</v>
      </c>
      <c r="R24" s="523" t="e">
        <v>#N/A</v>
      </c>
      <c r="S24" s="523" t="e">
        <v>#N/A</v>
      </c>
      <c r="T24" s="523" t="e">
        <v>#N/A</v>
      </c>
      <c r="U24" s="523" t="e">
        <v>#N/A</v>
      </c>
      <c r="V24" s="523" t="e">
        <v>#N/A</v>
      </c>
      <c r="W24" s="523" t="e">
        <v>#N/A</v>
      </c>
      <c r="X24" s="523" t="e">
        <v>#N/A</v>
      </c>
      <c r="Y24" s="523" t="e">
        <v>#N/A</v>
      </c>
      <c r="Z24" s="523"/>
      <c r="AA24" s="523"/>
    </row>
    <row r="25" spans="1:27" x14ac:dyDescent="0.2">
      <c r="A25" s="222">
        <f>calculs!A25</f>
        <v>44576</v>
      </c>
      <c r="B25" s="523" t="e">
        <f ca="1">gr(données_step[[#This Row],[E_DBO5]])</f>
        <v>#NAME?</v>
      </c>
      <c r="C25" s="523" t="e">
        <f ca="1">gr(données_step[[#This Row],[E_DCO]])</f>
        <v>#NAME?</v>
      </c>
      <c r="D25" s="523" t="e">
        <f ca="1">gr(données_step[[#This Row],[E_COT]])</f>
        <v>#NAME?</v>
      </c>
      <c r="E25" s="523" t="e">
        <f ca="1">gr(données_step[[#This Row],[E_NH4]])</f>
        <v>#NAME?</v>
      </c>
      <c r="F25" s="523" t="e">
        <f ca="1">gr(données_step[[#This Row],[E_NTOT]])</f>
        <v>#NAME?</v>
      </c>
      <c r="G25" s="523" t="e">
        <f ca="1">gr(données_step[[#This Row],[E_PTOT]])</f>
        <v>#NAME?</v>
      </c>
      <c r="H25" s="523" t="e">
        <f ca="1">gr(données_step[[#This Row],[S_DBO5]])</f>
        <v>#NAME?</v>
      </c>
      <c r="I25" s="523" t="e">
        <f ca="1">gr(données_step[[#This Row],[S_DCO]])</f>
        <v>#NAME?</v>
      </c>
      <c r="J25" s="523" t="e">
        <f ca="1">gr(données_step[[#This Row],[S_COD]])</f>
        <v>#NAME?</v>
      </c>
      <c r="K25" s="523" t="e">
        <f ca="1">gr(données_step[[#This Row],[S_NH4]])</f>
        <v>#NAME?</v>
      </c>
      <c r="L25" s="523" t="e">
        <f ca="1">gr(données_step[[#This Row],[S_NO2]])</f>
        <v>#NAME?</v>
      </c>
      <c r="M25" s="523" t="e">
        <f ca="1">gr(données_step[[#This Row],[S_NO3]])</f>
        <v>#NAME?</v>
      </c>
      <c r="N25" s="523" t="e">
        <f ca="1">gr(données_step[[#This Row],[S_PORTH]])</f>
        <v>#NAME?</v>
      </c>
      <c r="O25" s="523" t="e">
        <f ca="1">gr(données_step[[#This Row],[S_PTOT]])</f>
        <v>#NAME?</v>
      </c>
      <c r="P25" s="523" t="e">
        <f ca="1">gr(données_step[[#This Row],[S_MES]])</f>
        <v>#NAME?</v>
      </c>
      <c r="Q25" s="523" t="e">
        <v>#N/A</v>
      </c>
      <c r="R25" s="523" t="e">
        <v>#N/A</v>
      </c>
      <c r="S25" s="523" t="e">
        <v>#N/A</v>
      </c>
      <c r="T25" s="523" t="e">
        <v>#N/A</v>
      </c>
      <c r="U25" s="523" t="e">
        <v>#N/A</v>
      </c>
      <c r="V25" s="523" t="e">
        <v>#N/A</v>
      </c>
      <c r="W25" s="523" t="e">
        <v>#N/A</v>
      </c>
      <c r="X25" s="523" t="e">
        <v>#N/A</v>
      </c>
      <c r="Y25" s="523" t="e">
        <v>#N/A</v>
      </c>
      <c r="Z25" s="523"/>
      <c r="AA25" s="523"/>
    </row>
    <row r="26" spans="1:27" x14ac:dyDescent="0.2">
      <c r="A26" s="222">
        <f>calculs!A26</f>
        <v>44577</v>
      </c>
      <c r="B26" s="523" t="e">
        <f ca="1">gr(données_step[[#This Row],[E_DBO5]])</f>
        <v>#NAME?</v>
      </c>
      <c r="C26" s="523" t="e">
        <f ca="1">gr(données_step[[#This Row],[E_DCO]])</f>
        <v>#NAME?</v>
      </c>
      <c r="D26" s="523" t="e">
        <f ca="1">gr(données_step[[#This Row],[E_COT]])</f>
        <v>#NAME?</v>
      </c>
      <c r="E26" s="523" t="e">
        <f ca="1">gr(données_step[[#This Row],[E_NH4]])</f>
        <v>#NAME?</v>
      </c>
      <c r="F26" s="523" t="e">
        <f ca="1">gr(données_step[[#This Row],[E_NTOT]])</f>
        <v>#NAME?</v>
      </c>
      <c r="G26" s="523" t="e">
        <f ca="1">gr(données_step[[#This Row],[E_PTOT]])</f>
        <v>#NAME?</v>
      </c>
      <c r="H26" s="523" t="e">
        <f ca="1">gr(données_step[[#This Row],[S_DBO5]])</f>
        <v>#NAME?</v>
      </c>
      <c r="I26" s="523" t="e">
        <f ca="1">gr(données_step[[#This Row],[S_DCO]])</f>
        <v>#NAME?</v>
      </c>
      <c r="J26" s="523" t="e">
        <f ca="1">gr(données_step[[#This Row],[S_COD]])</f>
        <v>#NAME?</v>
      </c>
      <c r="K26" s="523" t="e">
        <f ca="1">gr(données_step[[#This Row],[S_NH4]])</f>
        <v>#NAME?</v>
      </c>
      <c r="L26" s="523" t="e">
        <f ca="1">gr(données_step[[#This Row],[S_NO2]])</f>
        <v>#NAME?</v>
      </c>
      <c r="M26" s="523" t="e">
        <f ca="1">gr(données_step[[#This Row],[S_NO3]])</f>
        <v>#NAME?</v>
      </c>
      <c r="N26" s="523" t="e">
        <f ca="1">gr(données_step[[#This Row],[S_PORTH]])</f>
        <v>#NAME?</v>
      </c>
      <c r="O26" s="523" t="e">
        <f ca="1">gr(données_step[[#This Row],[S_PTOT]])</f>
        <v>#NAME?</v>
      </c>
      <c r="P26" s="523" t="e">
        <f ca="1">gr(données_step[[#This Row],[S_MES]])</f>
        <v>#NAME?</v>
      </c>
      <c r="Q26" s="523" t="e">
        <v>#N/A</v>
      </c>
      <c r="R26" s="523" t="e">
        <v>#N/A</v>
      </c>
      <c r="S26" s="523" t="e">
        <v>#N/A</v>
      </c>
      <c r="T26" s="523" t="e">
        <v>#N/A</v>
      </c>
      <c r="U26" s="523" t="e">
        <v>#N/A</v>
      </c>
      <c r="V26" s="523" t="e">
        <v>#N/A</v>
      </c>
      <c r="W26" s="523" t="e">
        <v>#N/A</v>
      </c>
      <c r="X26" s="523" t="e">
        <v>#N/A</v>
      </c>
      <c r="Y26" s="523" t="e">
        <v>#N/A</v>
      </c>
      <c r="Z26" s="523"/>
      <c r="AA26" s="523"/>
    </row>
    <row r="27" spans="1:27" x14ac:dyDescent="0.2">
      <c r="A27" s="222">
        <f>calculs!A27</f>
        <v>44578</v>
      </c>
      <c r="B27" s="523" t="e">
        <f ca="1">gr(données_step[[#This Row],[E_DBO5]])</f>
        <v>#NAME?</v>
      </c>
      <c r="C27" s="523" t="e">
        <f ca="1">gr(données_step[[#This Row],[E_DCO]])</f>
        <v>#NAME?</v>
      </c>
      <c r="D27" s="523" t="e">
        <f ca="1">gr(données_step[[#This Row],[E_COT]])</f>
        <v>#NAME?</v>
      </c>
      <c r="E27" s="523" t="e">
        <f ca="1">gr(données_step[[#This Row],[E_NH4]])</f>
        <v>#NAME?</v>
      </c>
      <c r="F27" s="523" t="e">
        <f ca="1">gr(données_step[[#This Row],[E_NTOT]])</f>
        <v>#NAME?</v>
      </c>
      <c r="G27" s="523" t="e">
        <f ca="1">gr(données_step[[#This Row],[E_PTOT]])</f>
        <v>#NAME?</v>
      </c>
      <c r="H27" s="523" t="e">
        <f ca="1">gr(données_step[[#This Row],[S_DBO5]])</f>
        <v>#NAME?</v>
      </c>
      <c r="I27" s="523" t="e">
        <f ca="1">gr(données_step[[#This Row],[S_DCO]])</f>
        <v>#NAME?</v>
      </c>
      <c r="J27" s="523" t="e">
        <f ca="1">gr(données_step[[#This Row],[S_COD]])</f>
        <v>#NAME?</v>
      </c>
      <c r="K27" s="523" t="e">
        <f ca="1">gr(données_step[[#This Row],[S_NH4]])</f>
        <v>#NAME?</v>
      </c>
      <c r="L27" s="523" t="e">
        <f ca="1">gr(données_step[[#This Row],[S_NO2]])</f>
        <v>#NAME?</v>
      </c>
      <c r="M27" s="523" t="e">
        <f ca="1">gr(données_step[[#This Row],[S_NO3]])</f>
        <v>#NAME?</v>
      </c>
      <c r="N27" s="523" t="e">
        <f ca="1">gr(données_step[[#This Row],[S_PORTH]])</f>
        <v>#NAME?</v>
      </c>
      <c r="O27" s="523" t="e">
        <f ca="1">gr(données_step[[#This Row],[S_PTOT]])</f>
        <v>#NAME?</v>
      </c>
      <c r="P27" s="523" t="e">
        <f ca="1">gr(données_step[[#This Row],[S_MES]])</f>
        <v>#NAME?</v>
      </c>
      <c r="Q27" s="523" t="e">
        <v>#N/A</v>
      </c>
      <c r="R27" s="523" t="e">
        <v>#N/A</v>
      </c>
      <c r="S27" s="523" t="e">
        <v>#N/A</v>
      </c>
      <c r="T27" s="523" t="e">
        <v>#N/A</v>
      </c>
      <c r="U27" s="523" t="e">
        <v>#N/A</v>
      </c>
      <c r="V27" s="523" t="e">
        <v>#N/A</v>
      </c>
      <c r="W27" s="523" t="e">
        <v>#N/A</v>
      </c>
      <c r="X27" s="523" t="e">
        <v>#N/A</v>
      </c>
      <c r="Y27" s="523" t="e">
        <v>#N/A</v>
      </c>
      <c r="Z27" s="523"/>
      <c r="AA27" s="523"/>
    </row>
    <row r="28" spans="1:27" x14ac:dyDescent="0.2">
      <c r="A28" s="222">
        <f>calculs!A28</f>
        <v>44579</v>
      </c>
      <c r="B28" s="523" t="e">
        <f ca="1">gr(données_step[[#This Row],[E_DBO5]])</f>
        <v>#NAME?</v>
      </c>
      <c r="C28" s="523" t="e">
        <f ca="1">gr(données_step[[#This Row],[E_DCO]])</f>
        <v>#NAME?</v>
      </c>
      <c r="D28" s="523" t="e">
        <f ca="1">gr(données_step[[#This Row],[E_COT]])</f>
        <v>#NAME?</v>
      </c>
      <c r="E28" s="523" t="e">
        <f ca="1">gr(données_step[[#This Row],[E_NH4]])</f>
        <v>#NAME?</v>
      </c>
      <c r="F28" s="523" t="e">
        <f ca="1">gr(données_step[[#This Row],[E_NTOT]])</f>
        <v>#NAME?</v>
      </c>
      <c r="G28" s="523" t="e">
        <f ca="1">gr(données_step[[#This Row],[E_PTOT]])</f>
        <v>#NAME?</v>
      </c>
      <c r="H28" s="523" t="e">
        <f ca="1">gr(données_step[[#This Row],[S_DBO5]])</f>
        <v>#NAME?</v>
      </c>
      <c r="I28" s="523" t="e">
        <f ca="1">gr(données_step[[#This Row],[S_DCO]])</f>
        <v>#NAME?</v>
      </c>
      <c r="J28" s="523" t="e">
        <f ca="1">gr(données_step[[#This Row],[S_COD]])</f>
        <v>#NAME?</v>
      </c>
      <c r="K28" s="523" t="e">
        <f ca="1">gr(données_step[[#This Row],[S_NH4]])</f>
        <v>#NAME?</v>
      </c>
      <c r="L28" s="523" t="e">
        <f ca="1">gr(données_step[[#This Row],[S_NO2]])</f>
        <v>#NAME?</v>
      </c>
      <c r="M28" s="523" t="e">
        <f ca="1">gr(données_step[[#This Row],[S_NO3]])</f>
        <v>#NAME?</v>
      </c>
      <c r="N28" s="523" t="e">
        <f ca="1">gr(données_step[[#This Row],[S_PORTH]])</f>
        <v>#NAME?</v>
      </c>
      <c r="O28" s="523" t="e">
        <f ca="1">gr(données_step[[#This Row],[S_PTOT]])</f>
        <v>#NAME?</v>
      </c>
      <c r="P28" s="523" t="e">
        <f ca="1">gr(données_step[[#This Row],[S_MES]])</f>
        <v>#NAME?</v>
      </c>
      <c r="Q28" s="523" t="e">
        <v>#N/A</v>
      </c>
      <c r="R28" s="523" t="e">
        <v>#N/A</v>
      </c>
      <c r="S28" s="523" t="e">
        <v>#N/A</v>
      </c>
      <c r="T28" s="523" t="e">
        <v>#N/A</v>
      </c>
      <c r="U28" s="523" t="e">
        <v>#N/A</v>
      </c>
      <c r="V28" s="523" t="e">
        <v>#N/A</v>
      </c>
      <c r="W28" s="523" t="e">
        <v>#N/A</v>
      </c>
      <c r="X28" s="523" t="e">
        <v>#N/A</v>
      </c>
      <c r="Y28" s="523" t="e">
        <v>#N/A</v>
      </c>
      <c r="Z28" s="523"/>
      <c r="AA28" s="523"/>
    </row>
    <row r="29" spans="1:27" x14ac:dyDescent="0.2">
      <c r="A29" s="222">
        <f>calculs!A29</f>
        <v>44580</v>
      </c>
      <c r="B29" s="523" t="e">
        <f ca="1">gr(données_step[[#This Row],[E_DBO5]])</f>
        <v>#NAME?</v>
      </c>
      <c r="C29" s="523" t="e">
        <f ca="1">gr(données_step[[#This Row],[E_DCO]])</f>
        <v>#NAME?</v>
      </c>
      <c r="D29" s="523" t="e">
        <f ca="1">gr(données_step[[#This Row],[E_COT]])</f>
        <v>#NAME?</v>
      </c>
      <c r="E29" s="523" t="e">
        <f ca="1">gr(données_step[[#This Row],[E_NH4]])</f>
        <v>#NAME?</v>
      </c>
      <c r="F29" s="523" t="e">
        <f ca="1">gr(données_step[[#This Row],[E_NTOT]])</f>
        <v>#NAME?</v>
      </c>
      <c r="G29" s="523" t="e">
        <f ca="1">gr(données_step[[#This Row],[E_PTOT]])</f>
        <v>#NAME?</v>
      </c>
      <c r="H29" s="523" t="e">
        <f ca="1">gr(données_step[[#This Row],[S_DBO5]])</f>
        <v>#NAME?</v>
      </c>
      <c r="I29" s="523" t="e">
        <f ca="1">gr(données_step[[#This Row],[S_DCO]])</f>
        <v>#NAME?</v>
      </c>
      <c r="J29" s="523" t="e">
        <f ca="1">gr(données_step[[#This Row],[S_COD]])</f>
        <v>#NAME?</v>
      </c>
      <c r="K29" s="523" t="e">
        <f ca="1">gr(données_step[[#This Row],[S_NH4]])</f>
        <v>#NAME?</v>
      </c>
      <c r="L29" s="523" t="e">
        <f ca="1">gr(données_step[[#This Row],[S_NO2]])</f>
        <v>#NAME?</v>
      </c>
      <c r="M29" s="523" t="e">
        <f ca="1">gr(données_step[[#This Row],[S_NO3]])</f>
        <v>#NAME?</v>
      </c>
      <c r="N29" s="523" t="e">
        <f ca="1">gr(données_step[[#This Row],[S_PORTH]])</f>
        <v>#NAME?</v>
      </c>
      <c r="O29" s="523" t="e">
        <f ca="1">gr(données_step[[#This Row],[S_PTOT]])</f>
        <v>#NAME?</v>
      </c>
      <c r="P29" s="523" t="e">
        <f ca="1">gr(données_step[[#This Row],[S_MES]])</f>
        <v>#NAME?</v>
      </c>
      <c r="Q29" s="523" t="e">
        <v>#N/A</v>
      </c>
      <c r="R29" s="523" t="e">
        <v>#N/A</v>
      </c>
      <c r="S29" s="523" t="e">
        <v>#N/A</v>
      </c>
      <c r="T29" s="523" t="e">
        <v>#N/A</v>
      </c>
      <c r="U29" s="523" t="e">
        <v>#N/A</v>
      </c>
      <c r="V29" s="523" t="e">
        <v>#N/A</v>
      </c>
      <c r="W29" s="523" t="e">
        <v>#N/A</v>
      </c>
      <c r="X29" s="523" t="e">
        <v>#N/A</v>
      </c>
      <c r="Y29" s="523" t="e">
        <v>#N/A</v>
      </c>
      <c r="Z29" s="523"/>
      <c r="AA29" s="523"/>
    </row>
    <row r="30" spans="1:27" x14ac:dyDescent="0.2">
      <c r="A30" s="222">
        <f>calculs!A30</f>
        <v>44581</v>
      </c>
      <c r="B30" s="523" t="e">
        <f ca="1">gr(données_step[[#This Row],[E_DBO5]])</f>
        <v>#NAME?</v>
      </c>
      <c r="C30" s="523" t="e">
        <f ca="1">gr(données_step[[#This Row],[E_DCO]])</f>
        <v>#NAME?</v>
      </c>
      <c r="D30" s="523" t="e">
        <f ca="1">gr(données_step[[#This Row],[E_COT]])</f>
        <v>#NAME?</v>
      </c>
      <c r="E30" s="523" t="e">
        <f ca="1">gr(données_step[[#This Row],[E_NH4]])</f>
        <v>#NAME?</v>
      </c>
      <c r="F30" s="523" t="e">
        <f ca="1">gr(données_step[[#This Row],[E_NTOT]])</f>
        <v>#NAME?</v>
      </c>
      <c r="G30" s="523" t="e">
        <f ca="1">gr(données_step[[#This Row],[E_PTOT]])</f>
        <v>#NAME?</v>
      </c>
      <c r="H30" s="523" t="e">
        <f ca="1">gr(données_step[[#This Row],[S_DBO5]])</f>
        <v>#NAME?</v>
      </c>
      <c r="I30" s="523" t="e">
        <f ca="1">gr(données_step[[#This Row],[S_DCO]])</f>
        <v>#NAME?</v>
      </c>
      <c r="J30" s="523" t="e">
        <f ca="1">gr(données_step[[#This Row],[S_COD]])</f>
        <v>#NAME?</v>
      </c>
      <c r="K30" s="523" t="e">
        <f ca="1">gr(données_step[[#This Row],[S_NH4]])</f>
        <v>#NAME?</v>
      </c>
      <c r="L30" s="523" t="e">
        <f ca="1">gr(données_step[[#This Row],[S_NO2]])</f>
        <v>#NAME?</v>
      </c>
      <c r="M30" s="523" t="e">
        <f ca="1">gr(données_step[[#This Row],[S_NO3]])</f>
        <v>#NAME?</v>
      </c>
      <c r="N30" s="523" t="e">
        <f ca="1">gr(données_step[[#This Row],[S_PORTH]])</f>
        <v>#NAME?</v>
      </c>
      <c r="O30" s="523" t="e">
        <f ca="1">gr(données_step[[#This Row],[S_PTOT]])</f>
        <v>#NAME?</v>
      </c>
      <c r="P30" s="523" t="e">
        <f ca="1">gr(données_step[[#This Row],[S_MES]])</f>
        <v>#NAME?</v>
      </c>
      <c r="Q30" s="523" t="e">
        <v>#N/A</v>
      </c>
      <c r="R30" s="523" t="e">
        <v>#N/A</v>
      </c>
      <c r="S30" s="523" t="e">
        <v>#N/A</v>
      </c>
      <c r="T30" s="523" t="e">
        <v>#N/A</v>
      </c>
      <c r="U30" s="523" t="e">
        <v>#N/A</v>
      </c>
      <c r="V30" s="523" t="e">
        <v>#N/A</v>
      </c>
      <c r="W30" s="523" t="e">
        <v>#N/A</v>
      </c>
      <c r="X30" s="523" t="e">
        <v>#N/A</v>
      </c>
      <c r="Y30" s="523" t="e">
        <v>#N/A</v>
      </c>
      <c r="Z30" s="523"/>
      <c r="AA30" s="523"/>
    </row>
    <row r="31" spans="1:27" x14ac:dyDescent="0.2">
      <c r="A31" s="222">
        <f>calculs!A31</f>
        <v>44582</v>
      </c>
      <c r="B31" s="523" t="e">
        <f ca="1">gr(données_step[[#This Row],[E_DBO5]])</f>
        <v>#NAME?</v>
      </c>
      <c r="C31" s="523" t="e">
        <f ca="1">gr(données_step[[#This Row],[E_DCO]])</f>
        <v>#NAME?</v>
      </c>
      <c r="D31" s="523" t="e">
        <f ca="1">gr(données_step[[#This Row],[E_COT]])</f>
        <v>#NAME?</v>
      </c>
      <c r="E31" s="523" t="e">
        <f ca="1">gr(données_step[[#This Row],[E_NH4]])</f>
        <v>#NAME?</v>
      </c>
      <c r="F31" s="523" t="e">
        <f ca="1">gr(données_step[[#This Row],[E_NTOT]])</f>
        <v>#NAME?</v>
      </c>
      <c r="G31" s="523" t="e">
        <f ca="1">gr(données_step[[#This Row],[E_PTOT]])</f>
        <v>#NAME?</v>
      </c>
      <c r="H31" s="523" t="e">
        <f ca="1">gr(données_step[[#This Row],[S_DBO5]])</f>
        <v>#NAME?</v>
      </c>
      <c r="I31" s="523" t="e">
        <f ca="1">gr(données_step[[#This Row],[S_DCO]])</f>
        <v>#NAME?</v>
      </c>
      <c r="J31" s="523" t="e">
        <f ca="1">gr(données_step[[#This Row],[S_COD]])</f>
        <v>#NAME?</v>
      </c>
      <c r="K31" s="523" t="e">
        <f ca="1">gr(données_step[[#This Row],[S_NH4]])</f>
        <v>#NAME?</v>
      </c>
      <c r="L31" s="523" t="e">
        <f ca="1">gr(données_step[[#This Row],[S_NO2]])</f>
        <v>#NAME?</v>
      </c>
      <c r="M31" s="523" t="e">
        <f ca="1">gr(données_step[[#This Row],[S_NO3]])</f>
        <v>#NAME?</v>
      </c>
      <c r="N31" s="523" t="e">
        <f ca="1">gr(données_step[[#This Row],[S_PORTH]])</f>
        <v>#NAME?</v>
      </c>
      <c r="O31" s="523" t="e">
        <f ca="1">gr(données_step[[#This Row],[S_PTOT]])</f>
        <v>#NAME?</v>
      </c>
      <c r="P31" s="523" t="e">
        <f ca="1">gr(données_step[[#This Row],[S_MES]])</f>
        <v>#NAME?</v>
      </c>
      <c r="Q31" s="523" t="e">
        <v>#N/A</v>
      </c>
      <c r="R31" s="523" t="e">
        <v>#N/A</v>
      </c>
      <c r="S31" s="523" t="e">
        <v>#N/A</v>
      </c>
      <c r="T31" s="523" t="e">
        <v>#N/A</v>
      </c>
      <c r="U31" s="523" t="e">
        <v>#N/A</v>
      </c>
      <c r="V31" s="523" t="e">
        <v>#N/A</v>
      </c>
      <c r="W31" s="523" t="e">
        <v>#N/A</v>
      </c>
      <c r="X31" s="523" t="e">
        <v>#N/A</v>
      </c>
      <c r="Y31" s="523" t="e">
        <v>#N/A</v>
      </c>
      <c r="Z31" s="523"/>
      <c r="AA31" s="523"/>
    </row>
    <row r="32" spans="1:27" x14ac:dyDescent="0.2">
      <c r="A32" s="222">
        <f>calculs!A32</f>
        <v>44583</v>
      </c>
      <c r="B32" s="523" t="e">
        <f ca="1">gr(données_step[[#This Row],[E_DBO5]])</f>
        <v>#NAME?</v>
      </c>
      <c r="C32" s="523" t="e">
        <f ca="1">gr(données_step[[#This Row],[E_DCO]])</f>
        <v>#NAME?</v>
      </c>
      <c r="D32" s="523" t="e">
        <f ca="1">gr(données_step[[#This Row],[E_COT]])</f>
        <v>#NAME?</v>
      </c>
      <c r="E32" s="523" t="e">
        <f ca="1">gr(données_step[[#This Row],[E_NH4]])</f>
        <v>#NAME?</v>
      </c>
      <c r="F32" s="523" t="e">
        <f ca="1">gr(données_step[[#This Row],[E_NTOT]])</f>
        <v>#NAME?</v>
      </c>
      <c r="G32" s="523" t="e">
        <f ca="1">gr(données_step[[#This Row],[E_PTOT]])</f>
        <v>#NAME?</v>
      </c>
      <c r="H32" s="523" t="e">
        <f ca="1">gr(données_step[[#This Row],[S_DBO5]])</f>
        <v>#NAME?</v>
      </c>
      <c r="I32" s="523" t="e">
        <f ca="1">gr(données_step[[#This Row],[S_DCO]])</f>
        <v>#NAME?</v>
      </c>
      <c r="J32" s="523" t="e">
        <f ca="1">gr(données_step[[#This Row],[S_COD]])</f>
        <v>#NAME?</v>
      </c>
      <c r="K32" s="523" t="e">
        <f ca="1">gr(données_step[[#This Row],[S_NH4]])</f>
        <v>#NAME?</v>
      </c>
      <c r="L32" s="523" t="e">
        <f ca="1">gr(données_step[[#This Row],[S_NO2]])</f>
        <v>#NAME?</v>
      </c>
      <c r="M32" s="523" t="e">
        <f ca="1">gr(données_step[[#This Row],[S_NO3]])</f>
        <v>#NAME?</v>
      </c>
      <c r="N32" s="523" t="e">
        <f ca="1">gr(données_step[[#This Row],[S_PORTH]])</f>
        <v>#NAME?</v>
      </c>
      <c r="O32" s="523" t="e">
        <f ca="1">gr(données_step[[#This Row],[S_PTOT]])</f>
        <v>#NAME?</v>
      </c>
      <c r="P32" s="523" t="e">
        <f ca="1">gr(données_step[[#This Row],[S_MES]])</f>
        <v>#NAME?</v>
      </c>
      <c r="Q32" s="523" t="e">
        <v>#N/A</v>
      </c>
      <c r="R32" s="523" t="e">
        <v>#N/A</v>
      </c>
      <c r="S32" s="523" t="e">
        <v>#N/A</v>
      </c>
      <c r="T32" s="523" t="e">
        <v>#N/A</v>
      </c>
      <c r="U32" s="523" t="e">
        <v>#N/A</v>
      </c>
      <c r="V32" s="523" t="e">
        <v>#N/A</v>
      </c>
      <c r="W32" s="523" t="e">
        <v>#N/A</v>
      </c>
      <c r="X32" s="523" t="e">
        <v>#N/A</v>
      </c>
      <c r="Y32" s="523" t="e">
        <v>#N/A</v>
      </c>
      <c r="Z32" s="523"/>
      <c r="AA32" s="523"/>
    </row>
    <row r="33" spans="1:27" x14ac:dyDescent="0.2">
      <c r="A33" s="222">
        <f>calculs!A33</f>
        <v>44584</v>
      </c>
      <c r="B33" s="523" t="e">
        <f ca="1">gr(données_step[[#This Row],[E_DBO5]])</f>
        <v>#NAME?</v>
      </c>
      <c r="C33" s="523" t="e">
        <f ca="1">gr(données_step[[#This Row],[E_DCO]])</f>
        <v>#NAME?</v>
      </c>
      <c r="D33" s="523" t="e">
        <f ca="1">gr(données_step[[#This Row],[E_COT]])</f>
        <v>#NAME?</v>
      </c>
      <c r="E33" s="523" t="e">
        <f ca="1">gr(données_step[[#This Row],[E_NH4]])</f>
        <v>#NAME?</v>
      </c>
      <c r="F33" s="523" t="e">
        <f ca="1">gr(données_step[[#This Row],[E_NTOT]])</f>
        <v>#NAME?</v>
      </c>
      <c r="G33" s="523" t="e">
        <f ca="1">gr(données_step[[#This Row],[E_PTOT]])</f>
        <v>#NAME?</v>
      </c>
      <c r="H33" s="523" t="e">
        <f ca="1">gr(données_step[[#This Row],[S_DBO5]])</f>
        <v>#NAME?</v>
      </c>
      <c r="I33" s="523" t="e">
        <f ca="1">gr(données_step[[#This Row],[S_DCO]])</f>
        <v>#NAME?</v>
      </c>
      <c r="J33" s="523" t="e">
        <f ca="1">gr(données_step[[#This Row],[S_COD]])</f>
        <v>#NAME?</v>
      </c>
      <c r="K33" s="523" t="e">
        <f ca="1">gr(données_step[[#This Row],[S_NH4]])</f>
        <v>#NAME?</v>
      </c>
      <c r="L33" s="523" t="e">
        <f ca="1">gr(données_step[[#This Row],[S_NO2]])</f>
        <v>#NAME?</v>
      </c>
      <c r="M33" s="523" t="e">
        <f ca="1">gr(données_step[[#This Row],[S_NO3]])</f>
        <v>#NAME?</v>
      </c>
      <c r="N33" s="523" t="e">
        <f ca="1">gr(données_step[[#This Row],[S_PORTH]])</f>
        <v>#NAME?</v>
      </c>
      <c r="O33" s="523" t="e">
        <f ca="1">gr(données_step[[#This Row],[S_PTOT]])</f>
        <v>#NAME?</v>
      </c>
      <c r="P33" s="523" t="e">
        <f ca="1">gr(données_step[[#This Row],[S_MES]])</f>
        <v>#NAME?</v>
      </c>
      <c r="Q33" s="523" t="e">
        <v>#N/A</v>
      </c>
      <c r="R33" s="523" t="e">
        <v>#N/A</v>
      </c>
      <c r="S33" s="523" t="e">
        <v>#N/A</v>
      </c>
      <c r="T33" s="523" t="e">
        <v>#N/A</v>
      </c>
      <c r="U33" s="523" t="e">
        <v>#N/A</v>
      </c>
      <c r="V33" s="523" t="e">
        <v>#N/A</v>
      </c>
      <c r="W33" s="523" t="e">
        <v>#N/A</v>
      </c>
      <c r="X33" s="523" t="e">
        <v>#N/A</v>
      </c>
      <c r="Y33" s="523" t="e">
        <v>#N/A</v>
      </c>
      <c r="Z33" s="523"/>
      <c r="AA33" s="523"/>
    </row>
    <row r="34" spans="1:27" x14ac:dyDescent="0.2">
      <c r="A34" s="222">
        <f>calculs!A34</f>
        <v>44585</v>
      </c>
      <c r="B34" s="523" t="e">
        <f ca="1">gr(données_step[[#This Row],[E_DBO5]])</f>
        <v>#NAME?</v>
      </c>
      <c r="C34" s="523" t="e">
        <f ca="1">gr(données_step[[#This Row],[E_DCO]])</f>
        <v>#NAME?</v>
      </c>
      <c r="D34" s="523" t="e">
        <f ca="1">gr(données_step[[#This Row],[E_COT]])</f>
        <v>#NAME?</v>
      </c>
      <c r="E34" s="523" t="e">
        <f ca="1">gr(données_step[[#This Row],[E_NH4]])</f>
        <v>#NAME?</v>
      </c>
      <c r="F34" s="523" t="e">
        <f ca="1">gr(données_step[[#This Row],[E_NTOT]])</f>
        <v>#NAME?</v>
      </c>
      <c r="G34" s="523" t="e">
        <f ca="1">gr(données_step[[#This Row],[E_PTOT]])</f>
        <v>#NAME?</v>
      </c>
      <c r="H34" s="523" t="e">
        <f ca="1">gr(données_step[[#This Row],[S_DBO5]])</f>
        <v>#NAME?</v>
      </c>
      <c r="I34" s="523" t="e">
        <f ca="1">gr(données_step[[#This Row],[S_DCO]])</f>
        <v>#NAME?</v>
      </c>
      <c r="J34" s="523" t="e">
        <f ca="1">gr(données_step[[#This Row],[S_COD]])</f>
        <v>#NAME?</v>
      </c>
      <c r="K34" s="523" t="e">
        <f ca="1">gr(données_step[[#This Row],[S_NH4]])</f>
        <v>#NAME?</v>
      </c>
      <c r="L34" s="523" t="e">
        <f ca="1">gr(données_step[[#This Row],[S_NO2]])</f>
        <v>#NAME?</v>
      </c>
      <c r="M34" s="523" t="e">
        <f ca="1">gr(données_step[[#This Row],[S_NO3]])</f>
        <v>#NAME?</v>
      </c>
      <c r="N34" s="523" t="e">
        <f ca="1">gr(données_step[[#This Row],[S_PORTH]])</f>
        <v>#NAME?</v>
      </c>
      <c r="O34" s="523" t="e">
        <f ca="1">gr(données_step[[#This Row],[S_PTOT]])</f>
        <v>#NAME?</v>
      </c>
      <c r="P34" s="523" t="e">
        <f ca="1">gr(données_step[[#This Row],[S_MES]])</f>
        <v>#NAME?</v>
      </c>
      <c r="Q34" s="523" t="e">
        <v>#N/A</v>
      </c>
      <c r="R34" s="523" t="e">
        <v>#N/A</v>
      </c>
      <c r="S34" s="523" t="e">
        <v>#N/A</v>
      </c>
      <c r="T34" s="523" t="e">
        <v>#N/A</v>
      </c>
      <c r="U34" s="523" t="e">
        <v>#N/A</v>
      </c>
      <c r="V34" s="523" t="e">
        <v>#N/A</v>
      </c>
      <c r="W34" s="523" t="e">
        <v>#N/A</v>
      </c>
      <c r="X34" s="523" t="e">
        <v>#N/A</v>
      </c>
      <c r="Y34" s="523" t="e">
        <v>#N/A</v>
      </c>
      <c r="Z34" s="523"/>
      <c r="AA34" s="523"/>
    </row>
    <row r="35" spans="1:27" x14ac:dyDescent="0.2">
      <c r="A35" s="222">
        <f>calculs!A35</f>
        <v>44586</v>
      </c>
      <c r="B35" s="523" t="e">
        <f ca="1">gr(données_step[[#This Row],[E_DBO5]])</f>
        <v>#NAME?</v>
      </c>
      <c r="C35" s="523" t="e">
        <f ca="1">gr(données_step[[#This Row],[E_DCO]])</f>
        <v>#NAME?</v>
      </c>
      <c r="D35" s="523" t="e">
        <f ca="1">gr(données_step[[#This Row],[E_COT]])</f>
        <v>#NAME?</v>
      </c>
      <c r="E35" s="523" t="e">
        <f ca="1">gr(données_step[[#This Row],[E_NH4]])</f>
        <v>#NAME?</v>
      </c>
      <c r="F35" s="523" t="e">
        <f ca="1">gr(données_step[[#This Row],[E_NTOT]])</f>
        <v>#NAME?</v>
      </c>
      <c r="G35" s="523" t="e">
        <f ca="1">gr(données_step[[#This Row],[E_PTOT]])</f>
        <v>#NAME?</v>
      </c>
      <c r="H35" s="523" t="e">
        <f ca="1">gr(données_step[[#This Row],[S_DBO5]])</f>
        <v>#NAME?</v>
      </c>
      <c r="I35" s="523" t="e">
        <f ca="1">gr(données_step[[#This Row],[S_DCO]])</f>
        <v>#NAME?</v>
      </c>
      <c r="J35" s="523" t="e">
        <f ca="1">gr(données_step[[#This Row],[S_COD]])</f>
        <v>#NAME?</v>
      </c>
      <c r="K35" s="523" t="e">
        <f ca="1">gr(données_step[[#This Row],[S_NH4]])</f>
        <v>#NAME?</v>
      </c>
      <c r="L35" s="523" t="e">
        <f ca="1">gr(données_step[[#This Row],[S_NO2]])</f>
        <v>#NAME?</v>
      </c>
      <c r="M35" s="523" t="e">
        <f ca="1">gr(données_step[[#This Row],[S_NO3]])</f>
        <v>#NAME?</v>
      </c>
      <c r="N35" s="523" t="e">
        <f ca="1">gr(données_step[[#This Row],[S_PORTH]])</f>
        <v>#NAME?</v>
      </c>
      <c r="O35" s="523" t="e">
        <f ca="1">gr(données_step[[#This Row],[S_PTOT]])</f>
        <v>#NAME?</v>
      </c>
      <c r="P35" s="523" t="e">
        <f ca="1">gr(données_step[[#This Row],[S_MES]])</f>
        <v>#NAME?</v>
      </c>
      <c r="Q35" s="523" t="e">
        <v>#N/A</v>
      </c>
      <c r="R35" s="523" t="e">
        <v>#N/A</v>
      </c>
      <c r="S35" s="523" t="e">
        <v>#N/A</v>
      </c>
      <c r="T35" s="523" t="e">
        <v>#N/A</v>
      </c>
      <c r="U35" s="523" t="e">
        <v>#N/A</v>
      </c>
      <c r="V35" s="523" t="e">
        <v>#N/A</v>
      </c>
      <c r="W35" s="523" t="e">
        <v>#N/A</v>
      </c>
      <c r="X35" s="523" t="e">
        <v>#N/A</v>
      </c>
      <c r="Y35" s="523" t="e">
        <v>#N/A</v>
      </c>
      <c r="Z35" s="523"/>
      <c r="AA35" s="523"/>
    </row>
    <row r="36" spans="1:27" x14ac:dyDescent="0.2">
      <c r="A36" s="222">
        <f>calculs!A36</f>
        <v>44587</v>
      </c>
      <c r="B36" s="523" t="e">
        <f ca="1">gr(données_step[[#This Row],[E_DBO5]])</f>
        <v>#NAME?</v>
      </c>
      <c r="C36" s="523" t="e">
        <f ca="1">gr(données_step[[#This Row],[E_DCO]])</f>
        <v>#NAME?</v>
      </c>
      <c r="D36" s="523" t="e">
        <f ca="1">gr(données_step[[#This Row],[E_COT]])</f>
        <v>#NAME?</v>
      </c>
      <c r="E36" s="523" t="e">
        <f ca="1">gr(données_step[[#This Row],[E_NH4]])</f>
        <v>#NAME?</v>
      </c>
      <c r="F36" s="523" t="e">
        <f ca="1">gr(données_step[[#This Row],[E_NTOT]])</f>
        <v>#NAME?</v>
      </c>
      <c r="G36" s="523" t="e">
        <f ca="1">gr(données_step[[#This Row],[E_PTOT]])</f>
        <v>#NAME?</v>
      </c>
      <c r="H36" s="523" t="e">
        <f ca="1">gr(données_step[[#This Row],[S_DBO5]])</f>
        <v>#NAME?</v>
      </c>
      <c r="I36" s="523" t="e">
        <f ca="1">gr(données_step[[#This Row],[S_DCO]])</f>
        <v>#NAME?</v>
      </c>
      <c r="J36" s="523" t="e">
        <f ca="1">gr(données_step[[#This Row],[S_COD]])</f>
        <v>#NAME?</v>
      </c>
      <c r="K36" s="523" t="e">
        <f ca="1">gr(données_step[[#This Row],[S_NH4]])</f>
        <v>#NAME?</v>
      </c>
      <c r="L36" s="523" t="e">
        <f ca="1">gr(données_step[[#This Row],[S_NO2]])</f>
        <v>#NAME?</v>
      </c>
      <c r="M36" s="523" t="e">
        <f ca="1">gr(données_step[[#This Row],[S_NO3]])</f>
        <v>#NAME?</v>
      </c>
      <c r="N36" s="523" t="e">
        <f ca="1">gr(données_step[[#This Row],[S_PORTH]])</f>
        <v>#NAME?</v>
      </c>
      <c r="O36" s="523" t="e">
        <f ca="1">gr(données_step[[#This Row],[S_PTOT]])</f>
        <v>#NAME?</v>
      </c>
      <c r="P36" s="523" t="e">
        <f ca="1">gr(données_step[[#This Row],[S_MES]])</f>
        <v>#NAME?</v>
      </c>
      <c r="Q36" s="523" t="e">
        <v>#N/A</v>
      </c>
      <c r="R36" s="523" t="e">
        <v>#N/A</v>
      </c>
      <c r="S36" s="523" t="e">
        <v>#N/A</v>
      </c>
      <c r="T36" s="523" t="e">
        <v>#N/A</v>
      </c>
      <c r="U36" s="523" t="e">
        <v>#N/A</v>
      </c>
      <c r="V36" s="523" t="e">
        <v>#N/A</v>
      </c>
      <c r="W36" s="523" t="e">
        <v>#N/A</v>
      </c>
      <c r="X36" s="523" t="e">
        <v>#N/A</v>
      </c>
      <c r="Y36" s="523" t="e">
        <v>#N/A</v>
      </c>
      <c r="Z36" s="523"/>
      <c r="AA36" s="523"/>
    </row>
    <row r="37" spans="1:27" x14ac:dyDescent="0.2">
      <c r="A37" s="222">
        <f>calculs!A37</f>
        <v>44588</v>
      </c>
      <c r="B37" s="523" t="e">
        <f ca="1">gr(données_step[[#This Row],[E_DBO5]])</f>
        <v>#NAME?</v>
      </c>
      <c r="C37" s="523" t="e">
        <f ca="1">gr(données_step[[#This Row],[E_DCO]])</f>
        <v>#NAME?</v>
      </c>
      <c r="D37" s="523" t="e">
        <f ca="1">gr(données_step[[#This Row],[E_COT]])</f>
        <v>#NAME?</v>
      </c>
      <c r="E37" s="523" t="e">
        <f ca="1">gr(données_step[[#This Row],[E_NH4]])</f>
        <v>#NAME?</v>
      </c>
      <c r="F37" s="523" t="e">
        <f ca="1">gr(données_step[[#This Row],[E_NTOT]])</f>
        <v>#NAME?</v>
      </c>
      <c r="G37" s="523" t="e">
        <f ca="1">gr(données_step[[#This Row],[E_PTOT]])</f>
        <v>#NAME?</v>
      </c>
      <c r="H37" s="523" t="e">
        <f ca="1">gr(données_step[[#This Row],[S_DBO5]])</f>
        <v>#NAME?</v>
      </c>
      <c r="I37" s="523" t="e">
        <f ca="1">gr(données_step[[#This Row],[S_DCO]])</f>
        <v>#NAME?</v>
      </c>
      <c r="J37" s="523" t="e">
        <f ca="1">gr(données_step[[#This Row],[S_COD]])</f>
        <v>#NAME?</v>
      </c>
      <c r="K37" s="523" t="e">
        <f ca="1">gr(données_step[[#This Row],[S_NH4]])</f>
        <v>#NAME?</v>
      </c>
      <c r="L37" s="523" t="e">
        <f ca="1">gr(données_step[[#This Row],[S_NO2]])</f>
        <v>#NAME?</v>
      </c>
      <c r="M37" s="523" t="e">
        <f ca="1">gr(données_step[[#This Row],[S_NO3]])</f>
        <v>#NAME?</v>
      </c>
      <c r="N37" s="523" t="e">
        <f ca="1">gr(données_step[[#This Row],[S_PORTH]])</f>
        <v>#NAME?</v>
      </c>
      <c r="O37" s="523" t="e">
        <f ca="1">gr(données_step[[#This Row],[S_PTOT]])</f>
        <v>#NAME?</v>
      </c>
      <c r="P37" s="523" t="e">
        <f ca="1">gr(données_step[[#This Row],[S_MES]])</f>
        <v>#NAME?</v>
      </c>
      <c r="Q37" s="523" t="e">
        <v>#N/A</v>
      </c>
      <c r="R37" s="523" t="e">
        <v>#N/A</v>
      </c>
      <c r="S37" s="523" t="e">
        <v>#N/A</v>
      </c>
      <c r="T37" s="523" t="e">
        <v>#N/A</v>
      </c>
      <c r="U37" s="523" t="e">
        <v>#N/A</v>
      </c>
      <c r="V37" s="523" t="e">
        <v>#N/A</v>
      </c>
      <c r="W37" s="523" t="e">
        <v>#N/A</v>
      </c>
      <c r="X37" s="523" t="e">
        <v>#N/A</v>
      </c>
      <c r="Y37" s="523" t="e">
        <v>#N/A</v>
      </c>
      <c r="Z37" s="523"/>
      <c r="AA37" s="523"/>
    </row>
    <row r="38" spans="1:27" x14ac:dyDescent="0.2">
      <c r="A38" s="222">
        <f>calculs!A38</f>
        <v>44589</v>
      </c>
      <c r="B38" s="523" t="e">
        <f ca="1">gr(données_step[[#This Row],[E_DBO5]])</f>
        <v>#NAME?</v>
      </c>
      <c r="C38" s="523" t="e">
        <f ca="1">gr(données_step[[#This Row],[E_DCO]])</f>
        <v>#NAME?</v>
      </c>
      <c r="D38" s="523" t="e">
        <f ca="1">gr(données_step[[#This Row],[E_COT]])</f>
        <v>#NAME?</v>
      </c>
      <c r="E38" s="523" t="e">
        <f ca="1">gr(données_step[[#This Row],[E_NH4]])</f>
        <v>#NAME?</v>
      </c>
      <c r="F38" s="523" t="e">
        <f ca="1">gr(données_step[[#This Row],[E_NTOT]])</f>
        <v>#NAME?</v>
      </c>
      <c r="G38" s="523" t="e">
        <f ca="1">gr(données_step[[#This Row],[E_PTOT]])</f>
        <v>#NAME?</v>
      </c>
      <c r="H38" s="523" t="e">
        <f ca="1">gr(données_step[[#This Row],[S_DBO5]])</f>
        <v>#NAME?</v>
      </c>
      <c r="I38" s="523" t="e">
        <f ca="1">gr(données_step[[#This Row],[S_DCO]])</f>
        <v>#NAME?</v>
      </c>
      <c r="J38" s="523" t="e">
        <f ca="1">gr(données_step[[#This Row],[S_COD]])</f>
        <v>#NAME?</v>
      </c>
      <c r="K38" s="523" t="e">
        <f ca="1">gr(données_step[[#This Row],[S_NH4]])</f>
        <v>#NAME?</v>
      </c>
      <c r="L38" s="523" t="e">
        <f ca="1">gr(données_step[[#This Row],[S_NO2]])</f>
        <v>#NAME?</v>
      </c>
      <c r="M38" s="523" t="e">
        <f ca="1">gr(données_step[[#This Row],[S_NO3]])</f>
        <v>#NAME?</v>
      </c>
      <c r="N38" s="523" t="e">
        <f ca="1">gr(données_step[[#This Row],[S_PORTH]])</f>
        <v>#NAME?</v>
      </c>
      <c r="O38" s="523" t="e">
        <f ca="1">gr(données_step[[#This Row],[S_PTOT]])</f>
        <v>#NAME?</v>
      </c>
      <c r="P38" s="523" t="e">
        <f ca="1">gr(données_step[[#This Row],[S_MES]])</f>
        <v>#NAME?</v>
      </c>
      <c r="Q38" s="523" t="e">
        <v>#N/A</v>
      </c>
      <c r="R38" s="523" t="e">
        <v>#N/A</v>
      </c>
      <c r="S38" s="523" t="e">
        <v>#N/A</v>
      </c>
      <c r="T38" s="523" t="e">
        <v>#N/A</v>
      </c>
      <c r="U38" s="523" t="e">
        <v>#N/A</v>
      </c>
      <c r="V38" s="523" t="e">
        <v>#N/A</v>
      </c>
      <c r="W38" s="523" t="e">
        <v>#N/A</v>
      </c>
      <c r="X38" s="523" t="e">
        <v>#N/A</v>
      </c>
      <c r="Y38" s="523" t="e">
        <v>#N/A</v>
      </c>
      <c r="Z38" s="523"/>
      <c r="AA38" s="523"/>
    </row>
    <row r="39" spans="1:27" x14ac:dyDescent="0.2">
      <c r="A39" s="222">
        <f>calculs!A39</f>
        <v>44590</v>
      </c>
      <c r="B39" s="523" t="e">
        <f ca="1">gr(données_step[[#This Row],[E_DBO5]])</f>
        <v>#NAME?</v>
      </c>
      <c r="C39" s="523" t="e">
        <f ca="1">gr(données_step[[#This Row],[E_DCO]])</f>
        <v>#NAME?</v>
      </c>
      <c r="D39" s="523" t="e">
        <f ca="1">gr(données_step[[#This Row],[E_COT]])</f>
        <v>#NAME?</v>
      </c>
      <c r="E39" s="523" t="e">
        <f ca="1">gr(données_step[[#This Row],[E_NH4]])</f>
        <v>#NAME?</v>
      </c>
      <c r="F39" s="523" t="e">
        <f ca="1">gr(données_step[[#This Row],[E_NTOT]])</f>
        <v>#NAME?</v>
      </c>
      <c r="G39" s="523" t="e">
        <f ca="1">gr(données_step[[#This Row],[E_PTOT]])</f>
        <v>#NAME?</v>
      </c>
      <c r="H39" s="523" t="e">
        <f ca="1">gr(données_step[[#This Row],[S_DBO5]])</f>
        <v>#NAME?</v>
      </c>
      <c r="I39" s="523" t="e">
        <f ca="1">gr(données_step[[#This Row],[S_DCO]])</f>
        <v>#NAME?</v>
      </c>
      <c r="J39" s="523" t="e">
        <f ca="1">gr(données_step[[#This Row],[S_COD]])</f>
        <v>#NAME?</v>
      </c>
      <c r="K39" s="523" t="e">
        <f ca="1">gr(données_step[[#This Row],[S_NH4]])</f>
        <v>#NAME?</v>
      </c>
      <c r="L39" s="523" t="e">
        <f ca="1">gr(données_step[[#This Row],[S_NO2]])</f>
        <v>#NAME?</v>
      </c>
      <c r="M39" s="523" t="e">
        <f ca="1">gr(données_step[[#This Row],[S_NO3]])</f>
        <v>#NAME?</v>
      </c>
      <c r="N39" s="523" t="e">
        <f ca="1">gr(données_step[[#This Row],[S_PORTH]])</f>
        <v>#NAME?</v>
      </c>
      <c r="O39" s="523" t="e">
        <f ca="1">gr(données_step[[#This Row],[S_PTOT]])</f>
        <v>#NAME?</v>
      </c>
      <c r="P39" s="523" t="e">
        <f ca="1">gr(données_step[[#This Row],[S_MES]])</f>
        <v>#NAME?</v>
      </c>
      <c r="Q39" s="523" t="e">
        <v>#N/A</v>
      </c>
      <c r="R39" s="523" t="e">
        <v>#N/A</v>
      </c>
      <c r="S39" s="523" t="e">
        <v>#N/A</v>
      </c>
      <c r="T39" s="523" t="e">
        <v>#N/A</v>
      </c>
      <c r="U39" s="523" t="e">
        <v>#N/A</v>
      </c>
      <c r="V39" s="523" t="e">
        <v>#N/A</v>
      </c>
      <c r="W39" s="523" t="e">
        <v>#N/A</v>
      </c>
      <c r="X39" s="523" t="e">
        <v>#N/A</v>
      </c>
      <c r="Y39" s="523" t="e">
        <v>#N/A</v>
      </c>
      <c r="Z39" s="523"/>
      <c r="AA39" s="523"/>
    </row>
    <row r="40" spans="1:27" x14ac:dyDescent="0.2">
      <c r="A40" s="222">
        <f>calculs!A40</f>
        <v>44591</v>
      </c>
      <c r="B40" s="523" t="e">
        <f ca="1">gr(données_step[[#This Row],[E_DBO5]])</f>
        <v>#NAME?</v>
      </c>
      <c r="C40" s="523" t="e">
        <f ca="1">gr(données_step[[#This Row],[E_DCO]])</f>
        <v>#NAME?</v>
      </c>
      <c r="D40" s="523" t="e">
        <f ca="1">gr(données_step[[#This Row],[E_COT]])</f>
        <v>#NAME?</v>
      </c>
      <c r="E40" s="523" t="e">
        <f ca="1">gr(données_step[[#This Row],[E_NH4]])</f>
        <v>#NAME?</v>
      </c>
      <c r="F40" s="523" t="e">
        <f ca="1">gr(données_step[[#This Row],[E_NTOT]])</f>
        <v>#NAME?</v>
      </c>
      <c r="G40" s="523" t="e">
        <f ca="1">gr(données_step[[#This Row],[E_PTOT]])</f>
        <v>#NAME?</v>
      </c>
      <c r="H40" s="523" t="e">
        <f ca="1">gr(données_step[[#This Row],[S_DBO5]])</f>
        <v>#NAME?</v>
      </c>
      <c r="I40" s="523" t="e">
        <f ca="1">gr(données_step[[#This Row],[S_DCO]])</f>
        <v>#NAME?</v>
      </c>
      <c r="J40" s="523" t="e">
        <f ca="1">gr(données_step[[#This Row],[S_COD]])</f>
        <v>#NAME?</v>
      </c>
      <c r="K40" s="523" t="e">
        <f ca="1">gr(données_step[[#This Row],[S_NH4]])</f>
        <v>#NAME?</v>
      </c>
      <c r="L40" s="523" t="e">
        <f ca="1">gr(données_step[[#This Row],[S_NO2]])</f>
        <v>#NAME?</v>
      </c>
      <c r="M40" s="523" t="e">
        <f ca="1">gr(données_step[[#This Row],[S_NO3]])</f>
        <v>#NAME?</v>
      </c>
      <c r="N40" s="523" t="e">
        <f ca="1">gr(données_step[[#This Row],[S_PORTH]])</f>
        <v>#NAME?</v>
      </c>
      <c r="O40" s="523" t="e">
        <f ca="1">gr(données_step[[#This Row],[S_PTOT]])</f>
        <v>#NAME?</v>
      </c>
      <c r="P40" s="523" t="e">
        <f ca="1">gr(données_step[[#This Row],[S_MES]])</f>
        <v>#NAME?</v>
      </c>
      <c r="Q40" s="523" t="e">
        <v>#N/A</v>
      </c>
      <c r="R40" s="523" t="e">
        <v>#N/A</v>
      </c>
      <c r="S40" s="523" t="e">
        <v>#N/A</v>
      </c>
      <c r="T40" s="523" t="e">
        <v>#N/A</v>
      </c>
      <c r="U40" s="523" t="e">
        <v>#N/A</v>
      </c>
      <c r="V40" s="523" t="e">
        <v>#N/A</v>
      </c>
      <c r="W40" s="523" t="e">
        <v>#N/A</v>
      </c>
      <c r="X40" s="523" t="e">
        <v>#N/A</v>
      </c>
      <c r="Y40" s="523" t="e">
        <v>#N/A</v>
      </c>
      <c r="Z40" s="523"/>
      <c r="AA40" s="523"/>
    </row>
    <row r="41" spans="1:27" x14ac:dyDescent="0.2">
      <c r="A41" s="222">
        <f>calculs!A41</f>
        <v>44592</v>
      </c>
      <c r="B41" s="523" t="e">
        <f ca="1">gr(données_step[[#This Row],[E_DBO5]])</f>
        <v>#NAME?</v>
      </c>
      <c r="C41" s="523" t="e">
        <f ca="1">gr(données_step[[#This Row],[E_DCO]])</f>
        <v>#NAME?</v>
      </c>
      <c r="D41" s="523" t="e">
        <f ca="1">gr(données_step[[#This Row],[E_COT]])</f>
        <v>#NAME?</v>
      </c>
      <c r="E41" s="523" t="e">
        <f ca="1">gr(données_step[[#This Row],[E_NH4]])</f>
        <v>#NAME?</v>
      </c>
      <c r="F41" s="523" t="e">
        <f ca="1">gr(données_step[[#This Row],[E_NTOT]])</f>
        <v>#NAME?</v>
      </c>
      <c r="G41" s="523" t="e">
        <f ca="1">gr(données_step[[#This Row],[E_PTOT]])</f>
        <v>#NAME?</v>
      </c>
      <c r="H41" s="523" t="e">
        <f ca="1">gr(données_step[[#This Row],[S_DBO5]])</f>
        <v>#NAME?</v>
      </c>
      <c r="I41" s="523" t="e">
        <f ca="1">gr(données_step[[#This Row],[S_DCO]])</f>
        <v>#NAME?</v>
      </c>
      <c r="J41" s="523" t="e">
        <f ca="1">gr(données_step[[#This Row],[S_COD]])</f>
        <v>#NAME?</v>
      </c>
      <c r="K41" s="523" t="e">
        <f ca="1">gr(données_step[[#This Row],[S_NH4]])</f>
        <v>#NAME?</v>
      </c>
      <c r="L41" s="523" t="e">
        <f ca="1">gr(données_step[[#This Row],[S_NO2]])</f>
        <v>#NAME?</v>
      </c>
      <c r="M41" s="523" t="e">
        <f ca="1">gr(données_step[[#This Row],[S_NO3]])</f>
        <v>#NAME?</v>
      </c>
      <c r="N41" s="523" t="e">
        <f ca="1">gr(données_step[[#This Row],[S_PORTH]])</f>
        <v>#NAME?</v>
      </c>
      <c r="O41" s="523" t="e">
        <f ca="1">gr(données_step[[#This Row],[S_PTOT]])</f>
        <v>#NAME?</v>
      </c>
      <c r="P41" s="523" t="e">
        <f ca="1">gr(données_step[[#This Row],[S_MES]])</f>
        <v>#NAME?</v>
      </c>
      <c r="Q41" s="523" t="e">
        <v>#N/A</v>
      </c>
      <c r="R41" s="523" t="e">
        <v>#N/A</v>
      </c>
      <c r="S41" s="523" t="e">
        <v>#N/A</v>
      </c>
      <c r="T41" s="523" t="e">
        <v>#N/A</v>
      </c>
      <c r="U41" s="523" t="e">
        <v>#N/A</v>
      </c>
      <c r="V41" s="523" t="e">
        <v>#N/A</v>
      </c>
      <c r="W41" s="523" t="e">
        <v>#N/A</v>
      </c>
      <c r="X41" s="523" t="e">
        <v>#N/A</v>
      </c>
      <c r="Y41" s="523" t="e">
        <v>#N/A</v>
      </c>
      <c r="Z41" s="523"/>
      <c r="AA41" s="523"/>
    </row>
    <row r="42" spans="1:27" x14ac:dyDescent="0.2">
      <c r="A42" s="222">
        <f>calculs!A42</f>
        <v>44593</v>
      </c>
      <c r="B42" s="523" t="e">
        <f ca="1">gr(données_step[[#This Row],[E_DBO5]])</f>
        <v>#NAME?</v>
      </c>
      <c r="C42" s="523" t="e">
        <f ca="1">gr(données_step[[#This Row],[E_DCO]])</f>
        <v>#NAME?</v>
      </c>
      <c r="D42" s="523" t="e">
        <f ca="1">gr(données_step[[#This Row],[E_COT]])</f>
        <v>#NAME?</v>
      </c>
      <c r="E42" s="523" t="e">
        <f ca="1">gr(données_step[[#This Row],[E_NH4]])</f>
        <v>#NAME?</v>
      </c>
      <c r="F42" s="523" t="e">
        <f ca="1">gr(données_step[[#This Row],[E_NTOT]])</f>
        <v>#NAME?</v>
      </c>
      <c r="G42" s="523" t="e">
        <f ca="1">gr(données_step[[#This Row],[E_PTOT]])</f>
        <v>#NAME?</v>
      </c>
      <c r="H42" s="523" t="e">
        <f ca="1">gr(données_step[[#This Row],[S_DBO5]])</f>
        <v>#NAME?</v>
      </c>
      <c r="I42" s="523" t="e">
        <f ca="1">gr(données_step[[#This Row],[S_DCO]])</f>
        <v>#NAME?</v>
      </c>
      <c r="J42" s="523" t="e">
        <f ca="1">gr(données_step[[#This Row],[S_COD]])</f>
        <v>#NAME?</v>
      </c>
      <c r="K42" s="523" t="e">
        <f ca="1">gr(données_step[[#This Row],[S_NH4]])</f>
        <v>#NAME?</v>
      </c>
      <c r="L42" s="523" t="e">
        <f ca="1">gr(données_step[[#This Row],[S_NO2]])</f>
        <v>#NAME?</v>
      </c>
      <c r="M42" s="523" t="e">
        <f ca="1">gr(données_step[[#This Row],[S_NO3]])</f>
        <v>#NAME?</v>
      </c>
      <c r="N42" s="523" t="e">
        <f ca="1">gr(données_step[[#This Row],[S_PORTH]])</f>
        <v>#NAME?</v>
      </c>
      <c r="O42" s="523" t="e">
        <f ca="1">gr(données_step[[#This Row],[S_PTOT]])</f>
        <v>#NAME?</v>
      </c>
      <c r="P42" s="523" t="e">
        <f ca="1">gr(données_step[[#This Row],[S_MES]])</f>
        <v>#NAME?</v>
      </c>
      <c r="Q42" s="523" t="e">
        <v>#N/A</v>
      </c>
      <c r="R42" s="523" t="e">
        <v>#N/A</v>
      </c>
      <c r="S42" s="523" t="e">
        <v>#N/A</v>
      </c>
      <c r="T42" s="523" t="e">
        <v>#N/A</v>
      </c>
      <c r="U42" s="523" t="e">
        <v>#N/A</v>
      </c>
      <c r="V42" s="523" t="e">
        <v>#N/A</v>
      </c>
      <c r="W42" s="523" t="e">
        <v>#N/A</v>
      </c>
      <c r="X42" s="523" t="e">
        <v>#N/A</v>
      </c>
      <c r="Y42" s="523" t="e">
        <v>#N/A</v>
      </c>
      <c r="Z42" s="523"/>
      <c r="AA42" s="523"/>
    </row>
    <row r="43" spans="1:27" x14ac:dyDescent="0.2">
      <c r="A43" s="222">
        <f>calculs!A43</f>
        <v>44594</v>
      </c>
      <c r="B43" s="523" t="e">
        <f ca="1">gr(données_step[[#This Row],[E_DBO5]])</f>
        <v>#NAME?</v>
      </c>
      <c r="C43" s="523" t="e">
        <f ca="1">gr(données_step[[#This Row],[E_DCO]])</f>
        <v>#NAME?</v>
      </c>
      <c r="D43" s="523" t="e">
        <f ca="1">gr(données_step[[#This Row],[E_COT]])</f>
        <v>#NAME?</v>
      </c>
      <c r="E43" s="523" t="e">
        <f ca="1">gr(données_step[[#This Row],[E_NH4]])</f>
        <v>#NAME?</v>
      </c>
      <c r="F43" s="523" t="e">
        <f ca="1">gr(données_step[[#This Row],[E_NTOT]])</f>
        <v>#NAME?</v>
      </c>
      <c r="G43" s="523" t="e">
        <f ca="1">gr(données_step[[#This Row],[E_PTOT]])</f>
        <v>#NAME?</v>
      </c>
      <c r="H43" s="523" t="e">
        <f ca="1">gr(données_step[[#This Row],[S_DBO5]])</f>
        <v>#NAME?</v>
      </c>
      <c r="I43" s="523" t="e">
        <f ca="1">gr(données_step[[#This Row],[S_DCO]])</f>
        <v>#NAME?</v>
      </c>
      <c r="J43" s="523" t="e">
        <f ca="1">gr(données_step[[#This Row],[S_COD]])</f>
        <v>#NAME?</v>
      </c>
      <c r="K43" s="523" t="e">
        <f ca="1">gr(données_step[[#This Row],[S_NH4]])</f>
        <v>#NAME?</v>
      </c>
      <c r="L43" s="523" t="e">
        <f ca="1">gr(données_step[[#This Row],[S_NO2]])</f>
        <v>#NAME?</v>
      </c>
      <c r="M43" s="523" t="e">
        <f ca="1">gr(données_step[[#This Row],[S_NO3]])</f>
        <v>#NAME?</v>
      </c>
      <c r="N43" s="523" t="e">
        <f ca="1">gr(données_step[[#This Row],[S_PORTH]])</f>
        <v>#NAME?</v>
      </c>
      <c r="O43" s="523" t="e">
        <f ca="1">gr(données_step[[#This Row],[S_PTOT]])</f>
        <v>#NAME?</v>
      </c>
      <c r="P43" s="523" t="e">
        <f ca="1">gr(données_step[[#This Row],[S_MES]])</f>
        <v>#NAME?</v>
      </c>
      <c r="Q43" s="523" t="e">
        <v>#N/A</v>
      </c>
      <c r="R43" s="523" t="e">
        <v>#N/A</v>
      </c>
      <c r="S43" s="523" t="e">
        <v>#N/A</v>
      </c>
      <c r="T43" s="523" t="e">
        <v>#N/A</v>
      </c>
      <c r="U43" s="523" t="e">
        <v>#N/A</v>
      </c>
      <c r="V43" s="523" t="e">
        <v>#N/A</v>
      </c>
      <c r="W43" s="523" t="e">
        <v>#N/A</v>
      </c>
      <c r="X43" s="523" t="e">
        <v>#N/A</v>
      </c>
      <c r="Y43" s="523" t="e">
        <v>#N/A</v>
      </c>
      <c r="Z43" s="523"/>
      <c r="AA43" s="523"/>
    </row>
    <row r="44" spans="1:27" x14ac:dyDescent="0.2">
      <c r="A44" s="222">
        <f>calculs!A44</f>
        <v>44595</v>
      </c>
      <c r="B44" s="523" t="e">
        <f ca="1">gr(données_step[[#This Row],[E_DBO5]])</f>
        <v>#NAME?</v>
      </c>
      <c r="C44" s="523" t="e">
        <f ca="1">gr(données_step[[#This Row],[E_DCO]])</f>
        <v>#NAME?</v>
      </c>
      <c r="D44" s="523" t="e">
        <f ca="1">gr(données_step[[#This Row],[E_COT]])</f>
        <v>#NAME?</v>
      </c>
      <c r="E44" s="523" t="e">
        <f ca="1">gr(données_step[[#This Row],[E_NH4]])</f>
        <v>#NAME?</v>
      </c>
      <c r="F44" s="523" t="e">
        <f ca="1">gr(données_step[[#This Row],[E_NTOT]])</f>
        <v>#NAME?</v>
      </c>
      <c r="G44" s="523" t="e">
        <f ca="1">gr(données_step[[#This Row],[E_PTOT]])</f>
        <v>#NAME?</v>
      </c>
      <c r="H44" s="523" t="e">
        <f ca="1">gr(données_step[[#This Row],[S_DBO5]])</f>
        <v>#NAME?</v>
      </c>
      <c r="I44" s="523" t="e">
        <f ca="1">gr(données_step[[#This Row],[S_DCO]])</f>
        <v>#NAME?</v>
      </c>
      <c r="J44" s="523" t="e">
        <f ca="1">gr(données_step[[#This Row],[S_COD]])</f>
        <v>#NAME?</v>
      </c>
      <c r="K44" s="523" t="e">
        <f ca="1">gr(données_step[[#This Row],[S_NH4]])</f>
        <v>#NAME?</v>
      </c>
      <c r="L44" s="523" t="e">
        <f ca="1">gr(données_step[[#This Row],[S_NO2]])</f>
        <v>#NAME?</v>
      </c>
      <c r="M44" s="523" t="e">
        <f ca="1">gr(données_step[[#This Row],[S_NO3]])</f>
        <v>#NAME?</v>
      </c>
      <c r="N44" s="523" t="e">
        <f ca="1">gr(données_step[[#This Row],[S_PORTH]])</f>
        <v>#NAME?</v>
      </c>
      <c r="O44" s="523" t="e">
        <f ca="1">gr(données_step[[#This Row],[S_PTOT]])</f>
        <v>#NAME?</v>
      </c>
      <c r="P44" s="523" t="e">
        <f ca="1">gr(données_step[[#This Row],[S_MES]])</f>
        <v>#NAME?</v>
      </c>
      <c r="Q44" s="523" t="e">
        <v>#N/A</v>
      </c>
      <c r="R44" s="523" t="e">
        <v>#N/A</v>
      </c>
      <c r="S44" s="523" t="e">
        <v>#N/A</v>
      </c>
      <c r="T44" s="523" t="e">
        <v>#N/A</v>
      </c>
      <c r="U44" s="523" t="e">
        <v>#N/A</v>
      </c>
      <c r="V44" s="523" t="e">
        <v>#N/A</v>
      </c>
      <c r="W44" s="523" t="e">
        <v>#N/A</v>
      </c>
      <c r="X44" s="523" t="e">
        <v>#N/A</v>
      </c>
      <c r="Y44" s="523" t="e">
        <v>#N/A</v>
      </c>
      <c r="Z44" s="523"/>
      <c r="AA44" s="523"/>
    </row>
    <row r="45" spans="1:27" x14ac:dyDescent="0.2">
      <c r="A45" s="222">
        <f>calculs!A45</f>
        <v>44596</v>
      </c>
      <c r="B45" s="523" t="e">
        <f ca="1">gr(données_step[[#This Row],[E_DBO5]])</f>
        <v>#NAME?</v>
      </c>
      <c r="C45" s="523" t="e">
        <f ca="1">gr(données_step[[#This Row],[E_DCO]])</f>
        <v>#NAME?</v>
      </c>
      <c r="D45" s="523" t="e">
        <f ca="1">gr(données_step[[#This Row],[E_COT]])</f>
        <v>#NAME?</v>
      </c>
      <c r="E45" s="523" t="e">
        <f ca="1">gr(données_step[[#This Row],[E_NH4]])</f>
        <v>#NAME?</v>
      </c>
      <c r="F45" s="523" t="e">
        <f ca="1">gr(données_step[[#This Row],[E_NTOT]])</f>
        <v>#NAME?</v>
      </c>
      <c r="G45" s="523" t="e">
        <f ca="1">gr(données_step[[#This Row],[E_PTOT]])</f>
        <v>#NAME?</v>
      </c>
      <c r="H45" s="523" t="e">
        <f ca="1">gr(données_step[[#This Row],[S_DBO5]])</f>
        <v>#NAME?</v>
      </c>
      <c r="I45" s="523" t="e">
        <f ca="1">gr(données_step[[#This Row],[S_DCO]])</f>
        <v>#NAME?</v>
      </c>
      <c r="J45" s="523" t="e">
        <f ca="1">gr(données_step[[#This Row],[S_COD]])</f>
        <v>#NAME?</v>
      </c>
      <c r="K45" s="523" t="e">
        <f ca="1">gr(données_step[[#This Row],[S_NH4]])</f>
        <v>#NAME?</v>
      </c>
      <c r="L45" s="523" t="e">
        <f ca="1">gr(données_step[[#This Row],[S_NO2]])</f>
        <v>#NAME?</v>
      </c>
      <c r="M45" s="523" t="e">
        <f ca="1">gr(données_step[[#This Row],[S_NO3]])</f>
        <v>#NAME?</v>
      </c>
      <c r="N45" s="523" t="e">
        <f ca="1">gr(données_step[[#This Row],[S_PORTH]])</f>
        <v>#NAME?</v>
      </c>
      <c r="O45" s="523" t="e">
        <f ca="1">gr(données_step[[#This Row],[S_PTOT]])</f>
        <v>#NAME?</v>
      </c>
      <c r="P45" s="523" t="e">
        <f ca="1">gr(données_step[[#This Row],[S_MES]])</f>
        <v>#NAME?</v>
      </c>
      <c r="Q45" s="523" t="e">
        <v>#N/A</v>
      </c>
      <c r="R45" s="523" t="e">
        <v>#N/A</v>
      </c>
      <c r="S45" s="523" t="e">
        <v>#N/A</v>
      </c>
      <c r="T45" s="523" t="e">
        <v>#N/A</v>
      </c>
      <c r="U45" s="523" t="e">
        <v>#N/A</v>
      </c>
      <c r="V45" s="523" t="e">
        <v>#N/A</v>
      </c>
      <c r="W45" s="523" t="e">
        <v>#N/A</v>
      </c>
      <c r="X45" s="523" t="e">
        <v>#N/A</v>
      </c>
      <c r="Y45" s="523" t="e">
        <v>#N/A</v>
      </c>
      <c r="Z45" s="523"/>
      <c r="AA45" s="523"/>
    </row>
    <row r="46" spans="1:27" x14ac:dyDescent="0.2">
      <c r="A46" s="222">
        <f>calculs!A46</f>
        <v>44597</v>
      </c>
      <c r="B46" s="523" t="e">
        <f ca="1">gr(données_step[[#This Row],[E_DBO5]])</f>
        <v>#NAME?</v>
      </c>
      <c r="C46" s="523" t="e">
        <f ca="1">gr(données_step[[#This Row],[E_DCO]])</f>
        <v>#NAME?</v>
      </c>
      <c r="D46" s="523" t="e">
        <f ca="1">gr(données_step[[#This Row],[E_COT]])</f>
        <v>#NAME?</v>
      </c>
      <c r="E46" s="523" t="e">
        <f ca="1">gr(données_step[[#This Row],[E_NH4]])</f>
        <v>#NAME?</v>
      </c>
      <c r="F46" s="523" t="e">
        <f ca="1">gr(données_step[[#This Row],[E_NTOT]])</f>
        <v>#NAME?</v>
      </c>
      <c r="G46" s="523" t="e">
        <f ca="1">gr(données_step[[#This Row],[E_PTOT]])</f>
        <v>#NAME?</v>
      </c>
      <c r="H46" s="523" t="e">
        <f ca="1">gr(données_step[[#This Row],[S_DBO5]])</f>
        <v>#NAME?</v>
      </c>
      <c r="I46" s="523" t="e">
        <f ca="1">gr(données_step[[#This Row],[S_DCO]])</f>
        <v>#NAME?</v>
      </c>
      <c r="J46" s="523" t="e">
        <f ca="1">gr(données_step[[#This Row],[S_COD]])</f>
        <v>#NAME?</v>
      </c>
      <c r="K46" s="523" t="e">
        <f ca="1">gr(données_step[[#This Row],[S_NH4]])</f>
        <v>#NAME?</v>
      </c>
      <c r="L46" s="523" t="e">
        <f ca="1">gr(données_step[[#This Row],[S_NO2]])</f>
        <v>#NAME?</v>
      </c>
      <c r="M46" s="523" t="e">
        <f ca="1">gr(données_step[[#This Row],[S_NO3]])</f>
        <v>#NAME?</v>
      </c>
      <c r="N46" s="523" t="e">
        <f ca="1">gr(données_step[[#This Row],[S_PORTH]])</f>
        <v>#NAME?</v>
      </c>
      <c r="O46" s="523" t="e">
        <f ca="1">gr(données_step[[#This Row],[S_PTOT]])</f>
        <v>#NAME?</v>
      </c>
      <c r="P46" s="523" t="e">
        <f ca="1">gr(données_step[[#This Row],[S_MES]])</f>
        <v>#NAME?</v>
      </c>
      <c r="Q46" s="523" t="e">
        <v>#N/A</v>
      </c>
      <c r="R46" s="523" t="e">
        <v>#N/A</v>
      </c>
      <c r="S46" s="523" t="e">
        <v>#N/A</v>
      </c>
      <c r="T46" s="523" t="e">
        <v>#N/A</v>
      </c>
      <c r="U46" s="523" t="e">
        <v>#N/A</v>
      </c>
      <c r="V46" s="523" t="e">
        <v>#N/A</v>
      </c>
      <c r="W46" s="523" t="e">
        <v>#N/A</v>
      </c>
      <c r="X46" s="523" t="e">
        <v>#N/A</v>
      </c>
      <c r="Y46" s="523" t="e">
        <v>#N/A</v>
      </c>
      <c r="Z46" s="523"/>
      <c r="AA46" s="523"/>
    </row>
    <row r="47" spans="1:27" x14ac:dyDescent="0.2">
      <c r="A47" s="222">
        <f>calculs!A47</f>
        <v>44598</v>
      </c>
      <c r="B47" s="523" t="e">
        <f ca="1">gr(données_step[[#This Row],[E_DBO5]])</f>
        <v>#NAME?</v>
      </c>
      <c r="C47" s="523" t="e">
        <f ca="1">gr(données_step[[#This Row],[E_DCO]])</f>
        <v>#NAME?</v>
      </c>
      <c r="D47" s="523" t="e">
        <f ca="1">gr(données_step[[#This Row],[E_COT]])</f>
        <v>#NAME?</v>
      </c>
      <c r="E47" s="523" t="e">
        <f ca="1">gr(données_step[[#This Row],[E_NH4]])</f>
        <v>#NAME?</v>
      </c>
      <c r="F47" s="523" t="e">
        <f ca="1">gr(données_step[[#This Row],[E_NTOT]])</f>
        <v>#NAME?</v>
      </c>
      <c r="G47" s="523" t="e">
        <f ca="1">gr(données_step[[#This Row],[E_PTOT]])</f>
        <v>#NAME?</v>
      </c>
      <c r="H47" s="523" t="e">
        <f ca="1">gr(données_step[[#This Row],[S_DBO5]])</f>
        <v>#NAME?</v>
      </c>
      <c r="I47" s="523" t="e">
        <f ca="1">gr(données_step[[#This Row],[S_DCO]])</f>
        <v>#NAME?</v>
      </c>
      <c r="J47" s="523" t="e">
        <f ca="1">gr(données_step[[#This Row],[S_COD]])</f>
        <v>#NAME?</v>
      </c>
      <c r="K47" s="523" t="e">
        <f ca="1">gr(données_step[[#This Row],[S_NH4]])</f>
        <v>#NAME?</v>
      </c>
      <c r="L47" s="523" t="e">
        <f ca="1">gr(données_step[[#This Row],[S_NO2]])</f>
        <v>#NAME?</v>
      </c>
      <c r="M47" s="523" t="e">
        <f ca="1">gr(données_step[[#This Row],[S_NO3]])</f>
        <v>#NAME?</v>
      </c>
      <c r="N47" s="523" t="e">
        <f ca="1">gr(données_step[[#This Row],[S_PORTH]])</f>
        <v>#NAME?</v>
      </c>
      <c r="O47" s="523" t="e">
        <f ca="1">gr(données_step[[#This Row],[S_PTOT]])</f>
        <v>#NAME?</v>
      </c>
      <c r="P47" s="523" t="e">
        <f ca="1">gr(données_step[[#This Row],[S_MES]])</f>
        <v>#NAME?</v>
      </c>
      <c r="Q47" s="523" t="e">
        <v>#N/A</v>
      </c>
      <c r="R47" s="523" t="e">
        <v>#N/A</v>
      </c>
      <c r="S47" s="523" t="e">
        <v>#N/A</v>
      </c>
      <c r="T47" s="523" t="e">
        <v>#N/A</v>
      </c>
      <c r="U47" s="523" t="e">
        <v>#N/A</v>
      </c>
      <c r="V47" s="523" t="e">
        <v>#N/A</v>
      </c>
      <c r="W47" s="523" t="e">
        <v>#N/A</v>
      </c>
      <c r="X47" s="523" t="e">
        <v>#N/A</v>
      </c>
      <c r="Y47" s="523" t="e">
        <v>#N/A</v>
      </c>
      <c r="Z47" s="523"/>
      <c r="AA47" s="523"/>
    </row>
    <row r="48" spans="1:27" x14ac:dyDescent="0.2">
      <c r="A48" s="222">
        <f>calculs!A48</f>
        <v>44599</v>
      </c>
      <c r="B48" s="523" t="e">
        <f ca="1">gr(données_step[[#This Row],[E_DBO5]])</f>
        <v>#NAME?</v>
      </c>
      <c r="C48" s="523" t="e">
        <f ca="1">gr(données_step[[#This Row],[E_DCO]])</f>
        <v>#NAME?</v>
      </c>
      <c r="D48" s="523" t="e">
        <f ca="1">gr(données_step[[#This Row],[E_COT]])</f>
        <v>#NAME?</v>
      </c>
      <c r="E48" s="523" t="e">
        <f ca="1">gr(données_step[[#This Row],[E_NH4]])</f>
        <v>#NAME?</v>
      </c>
      <c r="F48" s="523" t="e">
        <f ca="1">gr(données_step[[#This Row],[E_NTOT]])</f>
        <v>#NAME?</v>
      </c>
      <c r="G48" s="523" t="e">
        <f ca="1">gr(données_step[[#This Row],[E_PTOT]])</f>
        <v>#NAME?</v>
      </c>
      <c r="H48" s="523" t="e">
        <f ca="1">gr(données_step[[#This Row],[S_DBO5]])</f>
        <v>#NAME?</v>
      </c>
      <c r="I48" s="523" t="e">
        <f ca="1">gr(données_step[[#This Row],[S_DCO]])</f>
        <v>#NAME?</v>
      </c>
      <c r="J48" s="523" t="e">
        <f ca="1">gr(données_step[[#This Row],[S_COD]])</f>
        <v>#NAME?</v>
      </c>
      <c r="K48" s="523" t="e">
        <f ca="1">gr(données_step[[#This Row],[S_NH4]])</f>
        <v>#NAME?</v>
      </c>
      <c r="L48" s="523" t="e">
        <f ca="1">gr(données_step[[#This Row],[S_NO2]])</f>
        <v>#NAME?</v>
      </c>
      <c r="M48" s="523" t="e">
        <f ca="1">gr(données_step[[#This Row],[S_NO3]])</f>
        <v>#NAME?</v>
      </c>
      <c r="N48" s="523" t="e">
        <f ca="1">gr(données_step[[#This Row],[S_PORTH]])</f>
        <v>#NAME?</v>
      </c>
      <c r="O48" s="523" t="e">
        <f ca="1">gr(données_step[[#This Row],[S_PTOT]])</f>
        <v>#NAME?</v>
      </c>
      <c r="P48" s="523" t="e">
        <f ca="1">gr(données_step[[#This Row],[S_MES]])</f>
        <v>#NAME?</v>
      </c>
      <c r="Q48" s="523" t="e">
        <v>#N/A</v>
      </c>
      <c r="R48" s="523" t="e">
        <v>#N/A</v>
      </c>
      <c r="S48" s="523" t="e">
        <v>#N/A</v>
      </c>
      <c r="T48" s="523" t="e">
        <v>#N/A</v>
      </c>
      <c r="U48" s="523" t="e">
        <v>#N/A</v>
      </c>
      <c r="V48" s="523" t="e">
        <v>#N/A</v>
      </c>
      <c r="W48" s="523" t="e">
        <v>#N/A</v>
      </c>
      <c r="X48" s="523" t="e">
        <v>#N/A</v>
      </c>
      <c r="Y48" s="523" t="e">
        <v>#N/A</v>
      </c>
      <c r="Z48" s="523"/>
      <c r="AA48" s="523"/>
    </row>
    <row r="49" spans="1:27" x14ac:dyDescent="0.2">
      <c r="A49" s="222">
        <f>calculs!A49</f>
        <v>44600</v>
      </c>
      <c r="B49" s="523" t="e">
        <f ca="1">gr(données_step[[#This Row],[E_DBO5]])</f>
        <v>#NAME?</v>
      </c>
      <c r="C49" s="523" t="e">
        <f ca="1">gr(données_step[[#This Row],[E_DCO]])</f>
        <v>#NAME?</v>
      </c>
      <c r="D49" s="523" t="e">
        <f ca="1">gr(données_step[[#This Row],[E_COT]])</f>
        <v>#NAME?</v>
      </c>
      <c r="E49" s="523" t="e">
        <f ca="1">gr(données_step[[#This Row],[E_NH4]])</f>
        <v>#NAME?</v>
      </c>
      <c r="F49" s="523" t="e">
        <f ca="1">gr(données_step[[#This Row],[E_NTOT]])</f>
        <v>#NAME?</v>
      </c>
      <c r="G49" s="523" t="e">
        <f ca="1">gr(données_step[[#This Row],[E_PTOT]])</f>
        <v>#NAME?</v>
      </c>
      <c r="H49" s="523" t="e">
        <f ca="1">gr(données_step[[#This Row],[S_DBO5]])</f>
        <v>#NAME?</v>
      </c>
      <c r="I49" s="523" t="e">
        <f ca="1">gr(données_step[[#This Row],[S_DCO]])</f>
        <v>#NAME?</v>
      </c>
      <c r="J49" s="523" t="e">
        <f ca="1">gr(données_step[[#This Row],[S_COD]])</f>
        <v>#NAME?</v>
      </c>
      <c r="K49" s="523" t="e">
        <f ca="1">gr(données_step[[#This Row],[S_NH4]])</f>
        <v>#NAME?</v>
      </c>
      <c r="L49" s="523" t="e">
        <f ca="1">gr(données_step[[#This Row],[S_NO2]])</f>
        <v>#NAME?</v>
      </c>
      <c r="M49" s="523" t="e">
        <f ca="1">gr(données_step[[#This Row],[S_NO3]])</f>
        <v>#NAME?</v>
      </c>
      <c r="N49" s="523" t="e">
        <f ca="1">gr(données_step[[#This Row],[S_PORTH]])</f>
        <v>#NAME?</v>
      </c>
      <c r="O49" s="523" t="e">
        <f ca="1">gr(données_step[[#This Row],[S_PTOT]])</f>
        <v>#NAME?</v>
      </c>
      <c r="P49" s="523" t="e">
        <f ca="1">gr(données_step[[#This Row],[S_MES]])</f>
        <v>#NAME?</v>
      </c>
      <c r="Q49" s="523" t="e">
        <v>#N/A</v>
      </c>
      <c r="R49" s="523" t="e">
        <v>#N/A</v>
      </c>
      <c r="S49" s="523" t="e">
        <v>#N/A</v>
      </c>
      <c r="T49" s="523" t="e">
        <v>#N/A</v>
      </c>
      <c r="U49" s="523" t="e">
        <v>#N/A</v>
      </c>
      <c r="V49" s="523" t="e">
        <v>#N/A</v>
      </c>
      <c r="W49" s="523" t="e">
        <v>#N/A</v>
      </c>
      <c r="X49" s="523" t="e">
        <v>#N/A</v>
      </c>
      <c r="Y49" s="523" t="e">
        <v>#N/A</v>
      </c>
      <c r="Z49" s="523"/>
      <c r="AA49" s="523"/>
    </row>
    <row r="50" spans="1:27" x14ac:dyDescent="0.2">
      <c r="A50" s="222">
        <f>calculs!A50</f>
        <v>44601</v>
      </c>
      <c r="B50" s="523" t="e">
        <f ca="1">gr(données_step[[#This Row],[E_DBO5]])</f>
        <v>#NAME?</v>
      </c>
      <c r="C50" s="523" t="e">
        <f ca="1">gr(données_step[[#This Row],[E_DCO]])</f>
        <v>#NAME?</v>
      </c>
      <c r="D50" s="523" t="e">
        <f ca="1">gr(données_step[[#This Row],[E_COT]])</f>
        <v>#NAME?</v>
      </c>
      <c r="E50" s="523" t="e">
        <f ca="1">gr(données_step[[#This Row],[E_NH4]])</f>
        <v>#NAME?</v>
      </c>
      <c r="F50" s="523" t="e">
        <f ca="1">gr(données_step[[#This Row],[E_NTOT]])</f>
        <v>#NAME?</v>
      </c>
      <c r="G50" s="523" t="e">
        <f ca="1">gr(données_step[[#This Row],[E_PTOT]])</f>
        <v>#NAME?</v>
      </c>
      <c r="H50" s="523" t="e">
        <f ca="1">gr(données_step[[#This Row],[S_DBO5]])</f>
        <v>#NAME?</v>
      </c>
      <c r="I50" s="523" t="e">
        <f ca="1">gr(données_step[[#This Row],[S_DCO]])</f>
        <v>#NAME?</v>
      </c>
      <c r="J50" s="523" t="e">
        <f ca="1">gr(données_step[[#This Row],[S_COD]])</f>
        <v>#NAME?</v>
      </c>
      <c r="K50" s="523" t="e">
        <f ca="1">gr(données_step[[#This Row],[S_NH4]])</f>
        <v>#NAME?</v>
      </c>
      <c r="L50" s="523" t="e">
        <f ca="1">gr(données_step[[#This Row],[S_NO2]])</f>
        <v>#NAME?</v>
      </c>
      <c r="M50" s="523" t="e">
        <f ca="1">gr(données_step[[#This Row],[S_NO3]])</f>
        <v>#NAME?</v>
      </c>
      <c r="N50" s="523" t="e">
        <f ca="1">gr(données_step[[#This Row],[S_PORTH]])</f>
        <v>#NAME?</v>
      </c>
      <c r="O50" s="523" t="e">
        <f ca="1">gr(données_step[[#This Row],[S_PTOT]])</f>
        <v>#NAME?</v>
      </c>
      <c r="P50" s="523" t="e">
        <f ca="1">gr(données_step[[#This Row],[S_MES]])</f>
        <v>#NAME?</v>
      </c>
      <c r="Q50" s="523" t="e">
        <v>#N/A</v>
      </c>
      <c r="R50" s="523" t="e">
        <v>#N/A</v>
      </c>
      <c r="S50" s="523" t="e">
        <v>#N/A</v>
      </c>
      <c r="T50" s="523" t="e">
        <v>#N/A</v>
      </c>
      <c r="U50" s="523" t="e">
        <v>#N/A</v>
      </c>
      <c r="V50" s="523" t="e">
        <v>#N/A</v>
      </c>
      <c r="W50" s="523" t="e">
        <v>#N/A</v>
      </c>
      <c r="X50" s="523" t="e">
        <v>#N/A</v>
      </c>
      <c r="Y50" s="523" t="e">
        <v>#N/A</v>
      </c>
      <c r="Z50" s="523"/>
      <c r="AA50" s="523"/>
    </row>
    <row r="51" spans="1:27" x14ac:dyDescent="0.2">
      <c r="A51" s="222">
        <f>calculs!A51</f>
        <v>44602</v>
      </c>
      <c r="B51" s="523" t="e">
        <f ca="1">gr(données_step[[#This Row],[E_DBO5]])</f>
        <v>#NAME?</v>
      </c>
      <c r="C51" s="523" t="e">
        <f ca="1">gr(données_step[[#This Row],[E_DCO]])</f>
        <v>#NAME?</v>
      </c>
      <c r="D51" s="523" t="e">
        <f ca="1">gr(données_step[[#This Row],[E_COT]])</f>
        <v>#NAME?</v>
      </c>
      <c r="E51" s="523" t="e">
        <f ca="1">gr(données_step[[#This Row],[E_NH4]])</f>
        <v>#NAME?</v>
      </c>
      <c r="F51" s="523" t="e">
        <f ca="1">gr(données_step[[#This Row],[E_NTOT]])</f>
        <v>#NAME?</v>
      </c>
      <c r="G51" s="523" t="e">
        <f ca="1">gr(données_step[[#This Row],[E_PTOT]])</f>
        <v>#NAME?</v>
      </c>
      <c r="H51" s="523" t="e">
        <f ca="1">gr(données_step[[#This Row],[S_DBO5]])</f>
        <v>#NAME?</v>
      </c>
      <c r="I51" s="523" t="e">
        <f ca="1">gr(données_step[[#This Row],[S_DCO]])</f>
        <v>#NAME?</v>
      </c>
      <c r="J51" s="523" t="e">
        <f ca="1">gr(données_step[[#This Row],[S_COD]])</f>
        <v>#NAME?</v>
      </c>
      <c r="K51" s="523" t="e">
        <f ca="1">gr(données_step[[#This Row],[S_NH4]])</f>
        <v>#NAME?</v>
      </c>
      <c r="L51" s="523" t="e">
        <f ca="1">gr(données_step[[#This Row],[S_NO2]])</f>
        <v>#NAME?</v>
      </c>
      <c r="M51" s="523" t="e">
        <f ca="1">gr(données_step[[#This Row],[S_NO3]])</f>
        <v>#NAME?</v>
      </c>
      <c r="N51" s="523" t="e">
        <f ca="1">gr(données_step[[#This Row],[S_PORTH]])</f>
        <v>#NAME?</v>
      </c>
      <c r="O51" s="523" t="e">
        <f ca="1">gr(données_step[[#This Row],[S_PTOT]])</f>
        <v>#NAME?</v>
      </c>
      <c r="P51" s="523" t="e">
        <f ca="1">gr(données_step[[#This Row],[S_MES]])</f>
        <v>#NAME?</v>
      </c>
      <c r="Q51" s="523" t="e">
        <v>#N/A</v>
      </c>
      <c r="R51" s="523" t="e">
        <v>#N/A</v>
      </c>
      <c r="S51" s="523" t="e">
        <v>#N/A</v>
      </c>
      <c r="T51" s="523" t="e">
        <v>#N/A</v>
      </c>
      <c r="U51" s="523" t="e">
        <v>#N/A</v>
      </c>
      <c r="V51" s="523" t="e">
        <v>#N/A</v>
      </c>
      <c r="W51" s="523" t="e">
        <v>#N/A</v>
      </c>
      <c r="X51" s="523" t="e">
        <v>#N/A</v>
      </c>
      <c r="Y51" s="523" t="e">
        <v>#N/A</v>
      </c>
      <c r="Z51" s="523"/>
      <c r="AA51" s="523"/>
    </row>
    <row r="52" spans="1:27" x14ac:dyDescent="0.2">
      <c r="A52" s="222">
        <f>calculs!A52</f>
        <v>44603</v>
      </c>
      <c r="B52" s="523" t="e">
        <f ca="1">gr(données_step[[#This Row],[E_DBO5]])</f>
        <v>#NAME?</v>
      </c>
      <c r="C52" s="523" t="e">
        <f ca="1">gr(données_step[[#This Row],[E_DCO]])</f>
        <v>#NAME?</v>
      </c>
      <c r="D52" s="523" t="e">
        <f ca="1">gr(données_step[[#This Row],[E_COT]])</f>
        <v>#NAME?</v>
      </c>
      <c r="E52" s="523" t="e">
        <f ca="1">gr(données_step[[#This Row],[E_NH4]])</f>
        <v>#NAME?</v>
      </c>
      <c r="F52" s="523" t="e">
        <f ca="1">gr(données_step[[#This Row],[E_NTOT]])</f>
        <v>#NAME?</v>
      </c>
      <c r="G52" s="523" t="e">
        <f ca="1">gr(données_step[[#This Row],[E_PTOT]])</f>
        <v>#NAME?</v>
      </c>
      <c r="H52" s="523" t="e">
        <f ca="1">gr(données_step[[#This Row],[S_DBO5]])</f>
        <v>#NAME?</v>
      </c>
      <c r="I52" s="523" t="e">
        <f ca="1">gr(données_step[[#This Row],[S_DCO]])</f>
        <v>#NAME?</v>
      </c>
      <c r="J52" s="523" t="e">
        <f ca="1">gr(données_step[[#This Row],[S_COD]])</f>
        <v>#NAME?</v>
      </c>
      <c r="K52" s="523" t="e">
        <f ca="1">gr(données_step[[#This Row],[S_NH4]])</f>
        <v>#NAME?</v>
      </c>
      <c r="L52" s="523" t="e">
        <f ca="1">gr(données_step[[#This Row],[S_NO2]])</f>
        <v>#NAME?</v>
      </c>
      <c r="M52" s="523" t="e">
        <f ca="1">gr(données_step[[#This Row],[S_NO3]])</f>
        <v>#NAME?</v>
      </c>
      <c r="N52" s="523" t="e">
        <f ca="1">gr(données_step[[#This Row],[S_PORTH]])</f>
        <v>#NAME?</v>
      </c>
      <c r="O52" s="523" t="e">
        <f ca="1">gr(données_step[[#This Row],[S_PTOT]])</f>
        <v>#NAME?</v>
      </c>
      <c r="P52" s="523" t="e">
        <f ca="1">gr(données_step[[#This Row],[S_MES]])</f>
        <v>#NAME?</v>
      </c>
      <c r="Q52" s="523" t="e">
        <v>#N/A</v>
      </c>
      <c r="R52" s="523" t="e">
        <v>#N/A</v>
      </c>
      <c r="S52" s="523" t="e">
        <v>#N/A</v>
      </c>
      <c r="T52" s="523" t="e">
        <v>#N/A</v>
      </c>
      <c r="U52" s="523" t="e">
        <v>#N/A</v>
      </c>
      <c r="V52" s="523" t="e">
        <v>#N/A</v>
      </c>
      <c r="W52" s="523" t="e">
        <v>#N/A</v>
      </c>
      <c r="X52" s="523" t="e">
        <v>#N/A</v>
      </c>
      <c r="Y52" s="523" t="e">
        <v>#N/A</v>
      </c>
      <c r="Z52" s="523"/>
      <c r="AA52" s="523"/>
    </row>
    <row r="53" spans="1:27" x14ac:dyDescent="0.2">
      <c r="A53" s="222">
        <f>calculs!A53</f>
        <v>44604</v>
      </c>
      <c r="B53" s="523" t="e">
        <f ca="1">gr(données_step[[#This Row],[E_DBO5]])</f>
        <v>#NAME?</v>
      </c>
      <c r="C53" s="523" t="e">
        <f ca="1">gr(données_step[[#This Row],[E_DCO]])</f>
        <v>#NAME?</v>
      </c>
      <c r="D53" s="523" t="e">
        <f ca="1">gr(données_step[[#This Row],[E_COT]])</f>
        <v>#NAME?</v>
      </c>
      <c r="E53" s="523" t="e">
        <f ca="1">gr(données_step[[#This Row],[E_NH4]])</f>
        <v>#NAME?</v>
      </c>
      <c r="F53" s="523" t="e">
        <f ca="1">gr(données_step[[#This Row],[E_NTOT]])</f>
        <v>#NAME?</v>
      </c>
      <c r="G53" s="523" t="e">
        <f ca="1">gr(données_step[[#This Row],[E_PTOT]])</f>
        <v>#NAME?</v>
      </c>
      <c r="H53" s="523" t="e">
        <f ca="1">gr(données_step[[#This Row],[S_DBO5]])</f>
        <v>#NAME?</v>
      </c>
      <c r="I53" s="523" t="e">
        <f ca="1">gr(données_step[[#This Row],[S_DCO]])</f>
        <v>#NAME?</v>
      </c>
      <c r="J53" s="523" t="e">
        <f ca="1">gr(données_step[[#This Row],[S_COD]])</f>
        <v>#NAME?</v>
      </c>
      <c r="K53" s="523" t="e">
        <f ca="1">gr(données_step[[#This Row],[S_NH4]])</f>
        <v>#NAME?</v>
      </c>
      <c r="L53" s="523" t="e">
        <f ca="1">gr(données_step[[#This Row],[S_NO2]])</f>
        <v>#NAME?</v>
      </c>
      <c r="M53" s="523" t="e">
        <f ca="1">gr(données_step[[#This Row],[S_NO3]])</f>
        <v>#NAME?</v>
      </c>
      <c r="N53" s="523" t="e">
        <f ca="1">gr(données_step[[#This Row],[S_PORTH]])</f>
        <v>#NAME?</v>
      </c>
      <c r="O53" s="523" t="e">
        <f ca="1">gr(données_step[[#This Row],[S_PTOT]])</f>
        <v>#NAME?</v>
      </c>
      <c r="P53" s="523" t="e">
        <f ca="1">gr(données_step[[#This Row],[S_MES]])</f>
        <v>#NAME?</v>
      </c>
      <c r="Q53" s="523" t="e">
        <v>#N/A</v>
      </c>
      <c r="R53" s="523" t="e">
        <v>#N/A</v>
      </c>
      <c r="S53" s="523" t="e">
        <v>#N/A</v>
      </c>
      <c r="T53" s="523" t="e">
        <v>#N/A</v>
      </c>
      <c r="U53" s="523" t="e">
        <v>#N/A</v>
      </c>
      <c r="V53" s="523" t="e">
        <v>#N/A</v>
      </c>
      <c r="W53" s="523" t="e">
        <v>#N/A</v>
      </c>
      <c r="X53" s="523" t="e">
        <v>#N/A</v>
      </c>
      <c r="Y53" s="523" t="e">
        <v>#N/A</v>
      </c>
      <c r="Z53" s="523"/>
      <c r="AA53" s="523"/>
    </row>
    <row r="54" spans="1:27" x14ac:dyDescent="0.2">
      <c r="A54" s="222">
        <f>calculs!A54</f>
        <v>44605</v>
      </c>
      <c r="B54" s="523" t="e">
        <f ca="1">gr(données_step[[#This Row],[E_DBO5]])</f>
        <v>#NAME?</v>
      </c>
      <c r="C54" s="523" t="e">
        <f ca="1">gr(données_step[[#This Row],[E_DCO]])</f>
        <v>#NAME?</v>
      </c>
      <c r="D54" s="523" t="e">
        <f ca="1">gr(données_step[[#This Row],[E_COT]])</f>
        <v>#NAME?</v>
      </c>
      <c r="E54" s="523" t="e">
        <f ca="1">gr(données_step[[#This Row],[E_NH4]])</f>
        <v>#NAME?</v>
      </c>
      <c r="F54" s="523" t="e">
        <f ca="1">gr(données_step[[#This Row],[E_NTOT]])</f>
        <v>#NAME?</v>
      </c>
      <c r="G54" s="523" t="e">
        <f ca="1">gr(données_step[[#This Row],[E_PTOT]])</f>
        <v>#NAME?</v>
      </c>
      <c r="H54" s="523" t="e">
        <f ca="1">gr(données_step[[#This Row],[S_DBO5]])</f>
        <v>#NAME?</v>
      </c>
      <c r="I54" s="523" t="e">
        <f ca="1">gr(données_step[[#This Row],[S_DCO]])</f>
        <v>#NAME?</v>
      </c>
      <c r="J54" s="523" t="e">
        <f ca="1">gr(données_step[[#This Row],[S_COD]])</f>
        <v>#NAME?</v>
      </c>
      <c r="K54" s="523" t="e">
        <f ca="1">gr(données_step[[#This Row],[S_NH4]])</f>
        <v>#NAME?</v>
      </c>
      <c r="L54" s="523" t="e">
        <f ca="1">gr(données_step[[#This Row],[S_NO2]])</f>
        <v>#NAME?</v>
      </c>
      <c r="M54" s="523" t="e">
        <f ca="1">gr(données_step[[#This Row],[S_NO3]])</f>
        <v>#NAME?</v>
      </c>
      <c r="N54" s="523" t="e">
        <f ca="1">gr(données_step[[#This Row],[S_PORTH]])</f>
        <v>#NAME?</v>
      </c>
      <c r="O54" s="523" t="e">
        <f ca="1">gr(données_step[[#This Row],[S_PTOT]])</f>
        <v>#NAME?</v>
      </c>
      <c r="P54" s="523" t="e">
        <f ca="1">gr(données_step[[#This Row],[S_MES]])</f>
        <v>#NAME?</v>
      </c>
      <c r="Q54" s="523" t="e">
        <v>#N/A</v>
      </c>
      <c r="R54" s="523" t="e">
        <v>#N/A</v>
      </c>
      <c r="S54" s="523" t="e">
        <v>#N/A</v>
      </c>
      <c r="T54" s="523" t="e">
        <v>#N/A</v>
      </c>
      <c r="U54" s="523" t="e">
        <v>#N/A</v>
      </c>
      <c r="V54" s="523" t="e">
        <v>#N/A</v>
      </c>
      <c r="W54" s="523" t="e">
        <v>#N/A</v>
      </c>
      <c r="X54" s="523" t="e">
        <v>#N/A</v>
      </c>
      <c r="Y54" s="523" t="e">
        <v>#N/A</v>
      </c>
      <c r="Z54" s="523"/>
      <c r="AA54" s="523"/>
    </row>
    <row r="55" spans="1:27" x14ac:dyDescent="0.2">
      <c r="A55" s="222">
        <f>calculs!A55</f>
        <v>44606</v>
      </c>
      <c r="B55" s="523" t="e">
        <f ca="1">gr(données_step[[#This Row],[E_DBO5]])</f>
        <v>#NAME?</v>
      </c>
      <c r="C55" s="523" t="e">
        <f ca="1">gr(données_step[[#This Row],[E_DCO]])</f>
        <v>#NAME?</v>
      </c>
      <c r="D55" s="523" t="e">
        <f ca="1">gr(données_step[[#This Row],[E_COT]])</f>
        <v>#NAME?</v>
      </c>
      <c r="E55" s="523" t="e">
        <f ca="1">gr(données_step[[#This Row],[E_NH4]])</f>
        <v>#NAME?</v>
      </c>
      <c r="F55" s="523" t="e">
        <f ca="1">gr(données_step[[#This Row],[E_NTOT]])</f>
        <v>#NAME?</v>
      </c>
      <c r="G55" s="523" t="e">
        <f ca="1">gr(données_step[[#This Row],[E_PTOT]])</f>
        <v>#NAME?</v>
      </c>
      <c r="H55" s="523" t="e">
        <f ca="1">gr(données_step[[#This Row],[S_DBO5]])</f>
        <v>#NAME?</v>
      </c>
      <c r="I55" s="523" t="e">
        <f ca="1">gr(données_step[[#This Row],[S_DCO]])</f>
        <v>#NAME?</v>
      </c>
      <c r="J55" s="523" t="e">
        <f ca="1">gr(données_step[[#This Row],[S_COD]])</f>
        <v>#NAME?</v>
      </c>
      <c r="K55" s="523" t="e">
        <f ca="1">gr(données_step[[#This Row],[S_NH4]])</f>
        <v>#NAME?</v>
      </c>
      <c r="L55" s="523" t="e">
        <f ca="1">gr(données_step[[#This Row],[S_NO2]])</f>
        <v>#NAME?</v>
      </c>
      <c r="M55" s="523" t="e">
        <f ca="1">gr(données_step[[#This Row],[S_NO3]])</f>
        <v>#NAME?</v>
      </c>
      <c r="N55" s="523" t="e">
        <f ca="1">gr(données_step[[#This Row],[S_PORTH]])</f>
        <v>#NAME?</v>
      </c>
      <c r="O55" s="523" t="e">
        <f ca="1">gr(données_step[[#This Row],[S_PTOT]])</f>
        <v>#NAME?</v>
      </c>
      <c r="P55" s="523" t="e">
        <f ca="1">gr(données_step[[#This Row],[S_MES]])</f>
        <v>#NAME?</v>
      </c>
      <c r="Q55" s="523" t="e">
        <v>#N/A</v>
      </c>
      <c r="R55" s="523" t="e">
        <v>#N/A</v>
      </c>
      <c r="S55" s="523" t="e">
        <v>#N/A</v>
      </c>
      <c r="T55" s="523" t="e">
        <v>#N/A</v>
      </c>
      <c r="U55" s="523" t="e">
        <v>#N/A</v>
      </c>
      <c r="V55" s="523" t="e">
        <v>#N/A</v>
      </c>
      <c r="W55" s="523" t="e">
        <v>#N/A</v>
      </c>
      <c r="X55" s="523" t="e">
        <v>#N/A</v>
      </c>
      <c r="Y55" s="523" t="e">
        <v>#N/A</v>
      </c>
      <c r="Z55" s="523"/>
      <c r="AA55" s="523"/>
    </row>
    <row r="56" spans="1:27" x14ac:dyDescent="0.2">
      <c r="A56" s="222">
        <f>calculs!A56</f>
        <v>44607</v>
      </c>
      <c r="B56" s="523" t="e">
        <f ca="1">gr(données_step[[#This Row],[E_DBO5]])</f>
        <v>#NAME?</v>
      </c>
      <c r="C56" s="523" t="e">
        <f ca="1">gr(données_step[[#This Row],[E_DCO]])</f>
        <v>#NAME?</v>
      </c>
      <c r="D56" s="523" t="e">
        <f ca="1">gr(données_step[[#This Row],[E_COT]])</f>
        <v>#NAME?</v>
      </c>
      <c r="E56" s="523" t="e">
        <f ca="1">gr(données_step[[#This Row],[E_NH4]])</f>
        <v>#NAME?</v>
      </c>
      <c r="F56" s="523" t="e">
        <f ca="1">gr(données_step[[#This Row],[E_NTOT]])</f>
        <v>#NAME?</v>
      </c>
      <c r="G56" s="523" t="e">
        <f ca="1">gr(données_step[[#This Row],[E_PTOT]])</f>
        <v>#NAME?</v>
      </c>
      <c r="H56" s="523" t="e">
        <f ca="1">gr(données_step[[#This Row],[S_DBO5]])</f>
        <v>#NAME?</v>
      </c>
      <c r="I56" s="523" t="e">
        <f ca="1">gr(données_step[[#This Row],[S_DCO]])</f>
        <v>#NAME?</v>
      </c>
      <c r="J56" s="523" t="e">
        <f ca="1">gr(données_step[[#This Row],[S_COD]])</f>
        <v>#NAME?</v>
      </c>
      <c r="K56" s="523" t="e">
        <f ca="1">gr(données_step[[#This Row],[S_NH4]])</f>
        <v>#NAME?</v>
      </c>
      <c r="L56" s="523" t="e">
        <f ca="1">gr(données_step[[#This Row],[S_NO2]])</f>
        <v>#NAME?</v>
      </c>
      <c r="M56" s="523" t="e">
        <f ca="1">gr(données_step[[#This Row],[S_NO3]])</f>
        <v>#NAME?</v>
      </c>
      <c r="N56" s="523" t="e">
        <f ca="1">gr(données_step[[#This Row],[S_PORTH]])</f>
        <v>#NAME?</v>
      </c>
      <c r="O56" s="523" t="e">
        <f ca="1">gr(données_step[[#This Row],[S_PTOT]])</f>
        <v>#NAME?</v>
      </c>
      <c r="P56" s="523" t="e">
        <f ca="1">gr(données_step[[#This Row],[S_MES]])</f>
        <v>#NAME?</v>
      </c>
      <c r="Q56" s="523" t="e">
        <v>#N/A</v>
      </c>
      <c r="R56" s="523" t="e">
        <v>#N/A</v>
      </c>
      <c r="S56" s="523" t="e">
        <v>#N/A</v>
      </c>
      <c r="T56" s="523" t="e">
        <v>#N/A</v>
      </c>
      <c r="U56" s="523" t="e">
        <v>#N/A</v>
      </c>
      <c r="V56" s="523" t="e">
        <v>#N/A</v>
      </c>
      <c r="W56" s="523" t="e">
        <v>#N/A</v>
      </c>
      <c r="X56" s="523" t="e">
        <v>#N/A</v>
      </c>
      <c r="Y56" s="523" t="e">
        <v>#N/A</v>
      </c>
      <c r="Z56" s="523"/>
      <c r="AA56" s="523"/>
    </row>
    <row r="57" spans="1:27" x14ac:dyDescent="0.2">
      <c r="A57" s="222">
        <f>calculs!A57</f>
        <v>44608</v>
      </c>
      <c r="B57" s="523" t="e">
        <f ca="1">gr(données_step[[#This Row],[E_DBO5]])</f>
        <v>#NAME?</v>
      </c>
      <c r="C57" s="523" t="e">
        <f ca="1">gr(données_step[[#This Row],[E_DCO]])</f>
        <v>#NAME?</v>
      </c>
      <c r="D57" s="523" t="e">
        <f ca="1">gr(données_step[[#This Row],[E_COT]])</f>
        <v>#NAME?</v>
      </c>
      <c r="E57" s="523" t="e">
        <f ca="1">gr(données_step[[#This Row],[E_NH4]])</f>
        <v>#NAME?</v>
      </c>
      <c r="F57" s="523" t="e">
        <f ca="1">gr(données_step[[#This Row],[E_NTOT]])</f>
        <v>#NAME?</v>
      </c>
      <c r="G57" s="523" t="e">
        <f ca="1">gr(données_step[[#This Row],[E_PTOT]])</f>
        <v>#NAME?</v>
      </c>
      <c r="H57" s="523" t="e">
        <f ca="1">gr(données_step[[#This Row],[S_DBO5]])</f>
        <v>#NAME?</v>
      </c>
      <c r="I57" s="523" t="e">
        <f ca="1">gr(données_step[[#This Row],[S_DCO]])</f>
        <v>#NAME?</v>
      </c>
      <c r="J57" s="523" t="e">
        <f ca="1">gr(données_step[[#This Row],[S_COD]])</f>
        <v>#NAME?</v>
      </c>
      <c r="K57" s="523" t="e">
        <f ca="1">gr(données_step[[#This Row],[S_NH4]])</f>
        <v>#NAME?</v>
      </c>
      <c r="L57" s="523" t="e">
        <f ca="1">gr(données_step[[#This Row],[S_NO2]])</f>
        <v>#NAME?</v>
      </c>
      <c r="M57" s="523" t="e">
        <f ca="1">gr(données_step[[#This Row],[S_NO3]])</f>
        <v>#NAME?</v>
      </c>
      <c r="N57" s="523" t="e">
        <f ca="1">gr(données_step[[#This Row],[S_PORTH]])</f>
        <v>#NAME?</v>
      </c>
      <c r="O57" s="523" t="e">
        <f ca="1">gr(données_step[[#This Row],[S_PTOT]])</f>
        <v>#NAME?</v>
      </c>
      <c r="P57" s="523" t="e">
        <f ca="1">gr(données_step[[#This Row],[S_MES]])</f>
        <v>#NAME?</v>
      </c>
      <c r="Q57" s="523" t="e">
        <v>#N/A</v>
      </c>
      <c r="R57" s="523" t="e">
        <v>#N/A</v>
      </c>
      <c r="S57" s="523" t="e">
        <v>#N/A</v>
      </c>
      <c r="T57" s="523" t="e">
        <v>#N/A</v>
      </c>
      <c r="U57" s="523" t="e">
        <v>#N/A</v>
      </c>
      <c r="V57" s="523" t="e">
        <v>#N/A</v>
      </c>
      <c r="W57" s="523" t="e">
        <v>#N/A</v>
      </c>
      <c r="X57" s="523" t="e">
        <v>#N/A</v>
      </c>
      <c r="Y57" s="523" t="e">
        <v>#N/A</v>
      </c>
      <c r="Z57" s="523"/>
      <c r="AA57" s="523"/>
    </row>
    <row r="58" spans="1:27" x14ac:dyDescent="0.2">
      <c r="A58" s="222">
        <f>calculs!A58</f>
        <v>44609</v>
      </c>
      <c r="B58" s="523" t="e">
        <f ca="1">gr(données_step[[#This Row],[E_DBO5]])</f>
        <v>#NAME?</v>
      </c>
      <c r="C58" s="523" t="e">
        <f ca="1">gr(données_step[[#This Row],[E_DCO]])</f>
        <v>#NAME?</v>
      </c>
      <c r="D58" s="523" t="e">
        <f ca="1">gr(données_step[[#This Row],[E_COT]])</f>
        <v>#NAME?</v>
      </c>
      <c r="E58" s="523" t="e">
        <f ca="1">gr(données_step[[#This Row],[E_NH4]])</f>
        <v>#NAME?</v>
      </c>
      <c r="F58" s="523" t="e">
        <f ca="1">gr(données_step[[#This Row],[E_NTOT]])</f>
        <v>#NAME?</v>
      </c>
      <c r="G58" s="523" t="e">
        <f ca="1">gr(données_step[[#This Row],[E_PTOT]])</f>
        <v>#NAME?</v>
      </c>
      <c r="H58" s="523" t="e">
        <f ca="1">gr(données_step[[#This Row],[S_DBO5]])</f>
        <v>#NAME?</v>
      </c>
      <c r="I58" s="523" t="e">
        <f ca="1">gr(données_step[[#This Row],[S_DCO]])</f>
        <v>#NAME?</v>
      </c>
      <c r="J58" s="523" t="e">
        <f ca="1">gr(données_step[[#This Row],[S_COD]])</f>
        <v>#NAME?</v>
      </c>
      <c r="K58" s="523" t="e">
        <f ca="1">gr(données_step[[#This Row],[S_NH4]])</f>
        <v>#NAME?</v>
      </c>
      <c r="L58" s="523" t="e">
        <f ca="1">gr(données_step[[#This Row],[S_NO2]])</f>
        <v>#NAME?</v>
      </c>
      <c r="M58" s="523" t="e">
        <f ca="1">gr(données_step[[#This Row],[S_NO3]])</f>
        <v>#NAME?</v>
      </c>
      <c r="N58" s="523" t="e">
        <f ca="1">gr(données_step[[#This Row],[S_PORTH]])</f>
        <v>#NAME?</v>
      </c>
      <c r="O58" s="523" t="e">
        <f ca="1">gr(données_step[[#This Row],[S_PTOT]])</f>
        <v>#NAME?</v>
      </c>
      <c r="P58" s="523" t="e">
        <f ca="1">gr(données_step[[#This Row],[S_MES]])</f>
        <v>#NAME?</v>
      </c>
      <c r="Q58" s="523" t="e">
        <v>#N/A</v>
      </c>
      <c r="R58" s="523" t="e">
        <v>#N/A</v>
      </c>
      <c r="S58" s="523" t="e">
        <v>#N/A</v>
      </c>
      <c r="T58" s="523" t="e">
        <v>#N/A</v>
      </c>
      <c r="U58" s="523" t="e">
        <v>#N/A</v>
      </c>
      <c r="V58" s="523" t="e">
        <v>#N/A</v>
      </c>
      <c r="W58" s="523" t="e">
        <v>#N/A</v>
      </c>
      <c r="X58" s="523" t="e">
        <v>#N/A</v>
      </c>
      <c r="Y58" s="523" t="e">
        <v>#N/A</v>
      </c>
      <c r="Z58" s="523"/>
      <c r="AA58" s="523"/>
    </row>
    <row r="59" spans="1:27" x14ac:dyDescent="0.2">
      <c r="A59" s="222">
        <f>calculs!A59</f>
        <v>44610</v>
      </c>
      <c r="B59" s="523" t="e">
        <f ca="1">gr(données_step[[#This Row],[E_DBO5]])</f>
        <v>#NAME?</v>
      </c>
      <c r="C59" s="523" t="e">
        <f ca="1">gr(données_step[[#This Row],[E_DCO]])</f>
        <v>#NAME?</v>
      </c>
      <c r="D59" s="523" t="e">
        <f ca="1">gr(données_step[[#This Row],[E_COT]])</f>
        <v>#NAME?</v>
      </c>
      <c r="E59" s="523" t="e">
        <f ca="1">gr(données_step[[#This Row],[E_NH4]])</f>
        <v>#NAME?</v>
      </c>
      <c r="F59" s="523" t="e">
        <f ca="1">gr(données_step[[#This Row],[E_NTOT]])</f>
        <v>#NAME?</v>
      </c>
      <c r="G59" s="523" t="e">
        <f ca="1">gr(données_step[[#This Row],[E_PTOT]])</f>
        <v>#NAME?</v>
      </c>
      <c r="H59" s="523" t="e">
        <f ca="1">gr(données_step[[#This Row],[S_DBO5]])</f>
        <v>#NAME?</v>
      </c>
      <c r="I59" s="523" t="e">
        <f ca="1">gr(données_step[[#This Row],[S_DCO]])</f>
        <v>#NAME?</v>
      </c>
      <c r="J59" s="523" t="e">
        <f ca="1">gr(données_step[[#This Row],[S_COD]])</f>
        <v>#NAME?</v>
      </c>
      <c r="K59" s="523" t="e">
        <f ca="1">gr(données_step[[#This Row],[S_NH4]])</f>
        <v>#NAME?</v>
      </c>
      <c r="L59" s="523" t="e">
        <f ca="1">gr(données_step[[#This Row],[S_NO2]])</f>
        <v>#NAME?</v>
      </c>
      <c r="M59" s="523" t="e">
        <f ca="1">gr(données_step[[#This Row],[S_NO3]])</f>
        <v>#NAME?</v>
      </c>
      <c r="N59" s="523" t="e">
        <f ca="1">gr(données_step[[#This Row],[S_PORTH]])</f>
        <v>#NAME?</v>
      </c>
      <c r="O59" s="523" t="e">
        <f ca="1">gr(données_step[[#This Row],[S_PTOT]])</f>
        <v>#NAME?</v>
      </c>
      <c r="P59" s="523" t="e">
        <f ca="1">gr(données_step[[#This Row],[S_MES]])</f>
        <v>#NAME?</v>
      </c>
      <c r="Q59" s="523" t="e">
        <v>#N/A</v>
      </c>
      <c r="R59" s="523" t="e">
        <v>#N/A</v>
      </c>
      <c r="S59" s="523" t="e">
        <v>#N/A</v>
      </c>
      <c r="T59" s="523" t="e">
        <v>#N/A</v>
      </c>
      <c r="U59" s="523" t="e">
        <v>#N/A</v>
      </c>
      <c r="V59" s="523" t="e">
        <v>#N/A</v>
      </c>
      <c r="W59" s="523" t="e">
        <v>#N/A</v>
      </c>
      <c r="X59" s="523" t="e">
        <v>#N/A</v>
      </c>
      <c r="Y59" s="523" t="e">
        <v>#N/A</v>
      </c>
      <c r="Z59" s="523"/>
      <c r="AA59" s="523"/>
    </row>
    <row r="60" spans="1:27" x14ac:dyDescent="0.2">
      <c r="A60" s="222">
        <f>calculs!A60</f>
        <v>44611</v>
      </c>
      <c r="B60" s="523" t="e">
        <f ca="1">gr(données_step[[#This Row],[E_DBO5]])</f>
        <v>#NAME?</v>
      </c>
      <c r="C60" s="523" t="e">
        <f ca="1">gr(données_step[[#This Row],[E_DCO]])</f>
        <v>#NAME?</v>
      </c>
      <c r="D60" s="523" t="e">
        <f ca="1">gr(données_step[[#This Row],[E_COT]])</f>
        <v>#NAME?</v>
      </c>
      <c r="E60" s="523" t="e">
        <f ca="1">gr(données_step[[#This Row],[E_NH4]])</f>
        <v>#NAME?</v>
      </c>
      <c r="F60" s="523" t="e">
        <f ca="1">gr(données_step[[#This Row],[E_NTOT]])</f>
        <v>#NAME?</v>
      </c>
      <c r="G60" s="523" t="e">
        <f ca="1">gr(données_step[[#This Row],[E_PTOT]])</f>
        <v>#NAME?</v>
      </c>
      <c r="H60" s="523" t="e">
        <f ca="1">gr(données_step[[#This Row],[S_DBO5]])</f>
        <v>#NAME?</v>
      </c>
      <c r="I60" s="523" t="e">
        <f ca="1">gr(données_step[[#This Row],[S_DCO]])</f>
        <v>#NAME?</v>
      </c>
      <c r="J60" s="523" t="e">
        <f ca="1">gr(données_step[[#This Row],[S_COD]])</f>
        <v>#NAME?</v>
      </c>
      <c r="K60" s="523" t="e">
        <f ca="1">gr(données_step[[#This Row],[S_NH4]])</f>
        <v>#NAME?</v>
      </c>
      <c r="L60" s="523" t="e">
        <f ca="1">gr(données_step[[#This Row],[S_NO2]])</f>
        <v>#NAME?</v>
      </c>
      <c r="M60" s="523" t="e">
        <f ca="1">gr(données_step[[#This Row],[S_NO3]])</f>
        <v>#NAME?</v>
      </c>
      <c r="N60" s="523" t="e">
        <f ca="1">gr(données_step[[#This Row],[S_PORTH]])</f>
        <v>#NAME?</v>
      </c>
      <c r="O60" s="523" t="e">
        <f ca="1">gr(données_step[[#This Row],[S_PTOT]])</f>
        <v>#NAME?</v>
      </c>
      <c r="P60" s="523" t="e">
        <f ca="1">gr(données_step[[#This Row],[S_MES]])</f>
        <v>#NAME?</v>
      </c>
      <c r="Q60" s="523" t="e">
        <v>#N/A</v>
      </c>
      <c r="R60" s="523" t="e">
        <v>#N/A</v>
      </c>
      <c r="S60" s="523" t="e">
        <v>#N/A</v>
      </c>
      <c r="T60" s="523" t="e">
        <v>#N/A</v>
      </c>
      <c r="U60" s="523" t="e">
        <v>#N/A</v>
      </c>
      <c r="V60" s="523" t="e">
        <v>#N/A</v>
      </c>
      <c r="W60" s="523" t="e">
        <v>#N/A</v>
      </c>
      <c r="X60" s="523" t="e">
        <v>#N/A</v>
      </c>
      <c r="Y60" s="523" t="e">
        <v>#N/A</v>
      </c>
      <c r="Z60" s="523"/>
      <c r="AA60" s="523"/>
    </row>
    <row r="61" spans="1:27" x14ac:dyDescent="0.2">
      <c r="A61" s="222">
        <f>calculs!A61</f>
        <v>44612</v>
      </c>
      <c r="B61" s="523" t="e">
        <f ca="1">gr(données_step[[#This Row],[E_DBO5]])</f>
        <v>#NAME?</v>
      </c>
      <c r="C61" s="523" t="e">
        <f ca="1">gr(données_step[[#This Row],[E_DCO]])</f>
        <v>#NAME?</v>
      </c>
      <c r="D61" s="523" t="e">
        <f ca="1">gr(données_step[[#This Row],[E_COT]])</f>
        <v>#NAME?</v>
      </c>
      <c r="E61" s="523" t="e">
        <f ca="1">gr(données_step[[#This Row],[E_NH4]])</f>
        <v>#NAME?</v>
      </c>
      <c r="F61" s="523" t="e">
        <f ca="1">gr(données_step[[#This Row],[E_NTOT]])</f>
        <v>#NAME?</v>
      </c>
      <c r="G61" s="523" t="e">
        <f ca="1">gr(données_step[[#This Row],[E_PTOT]])</f>
        <v>#NAME?</v>
      </c>
      <c r="H61" s="523" t="e">
        <f ca="1">gr(données_step[[#This Row],[S_DBO5]])</f>
        <v>#NAME?</v>
      </c>
      <c r="I61" s="523" t="e">
        <f ca="1">gr(données_step[[#This Row],[S_DCO]])</f>
        <v>#NAME?</v>
      </c>
      <c r="J61" s="523" t="e">
        <f ca="1">gr(données_step[[#This Row],[S_COD]])</f>
        <v>#NAME?</v>
      </c>
      <c r="K61" s="523" t="e">
        <f ca="1">gr(données_step[[#This Row],[S_NH4]])</f>
        <v>#NAME?</v>
      </c>
      <c r="L61" s="523" t="e">
        <f ca="1">gr(données_step[[#This Row],[S_NO2]])</f>
        <v>#NAME?</v>
      </c>
      <c r="M61" s="523" t="e">
        <f ca="1">gr(données_step[[#This Row],[S_NO3]])</f>
        <v>#NAME?</v>
      </c>
      <c r="N61" s="523" t="e">
        <f ca="1">gr(données_step[[#This Row],[S_PORTH]])</f>
        <v>#NAME?</v>
      </c>
      <c r="O61" s="523" t="e">
        <f ca="1">gr(données_step[[#This Row],[S_PTOT]])</f>
        <v>#NAME?</v>
      </c>
      <c r="P61" s="523" t="e">
        <f ca="1">gr(données_step[[#This Row],[S_MES]])</f>
        <v>#NAME?</v>
      </c>
      <c r="Q61" s="523" t="e">
        <v>#N/A</v>
      </c>
      <c r="R61" s="523" t="e">
        <v>#N/A</v>
      </c>
      <c r="S61" s="523" t="e">
        <v>#N/A</v>
      </c>
      <c r="T61" s="523" t="e">
        <v>#N/A</v>
      </c>
      <c r="U61" s="523" t="e">
        <v>#N/A</v>
      </c>
      <c r="V61" s="523" t="e">
        <v>#N/A</v>
      </c>
      <c r="W61" s="523" t="e">
        <v>#N/A</v>
      </c>
      <c r="X61" s="523" t="e">
        <v>#N/A</v>
      </c>
      <c r="Y61" s="523" t="e">
        <v>#N/A</v>
      </c>
      <c r="Z61" s="523"/>
      <c r="AA61" s="523"/>
    </row>
    <row r="62" spans="1:27" x14ac:dyDescent="0.2">
      <c r="A62" s="222">
        <f>calculs!A62</f>
        <v>44613</v>
      </c>
      <c r="B62" s="523" t="e">
        <f ca="1">gr(données_step[[#This Row],[E_DBO5]])</f>
        <v>#NAME?</v>
      </c>
      <c r="C62" s="523" t="e">
        <f ca="1">gr(données_step[[#This Row],[E_DCO]])</f>
        <v>#NAME?</v>
      </c>
      <c r="D62" s="523" t="e">
        <f ca="1">gr(données_step[[#This Row],[E_COT]])</f>
        <v>#NAME?</v>
      </c>
      <c r="E62" s="523" t="e">
        <f ca="1">gr(données_step[[#This Row],[E_NH4]])</f>
        <v>#NAME?</v>
      </c>
      <c r="F62" s="523" t="e">
        <f ca="1">gr(données_step[[#This Row],[E_NTOT]])</f>
        <v>#NAME?</v>
      </c>
      <c r="G62" s="523" t="e">
        <f ca="1">gr(données_step[[#This Row],[E_PTOT]])</f>
        <v>#NAME?</v>
      </c>
      <c r="H62" s="523" t="e">
        <f ca="1">gr(données_step[[#This Row],[S_DBO5]])</f>
        <v>#NAME?</v>
      </c>
      <c r="I62" s="523" t="e">
        <f ca="1">gr(données_step[[#This Row],[S_DCO]])</f>
        <v>#NAME?</v>
      </c>
      <c r="J62" s="523" t="e">
        <f ca="1">gr(données_step[[#This Row],[S_COD]])</f>
        <v>#NAME?</v>
      </c>
      <c r="K62" s="523" t="e">
        <f ca="1">gr(données_step[[#This Row],[S_NH4]])</f>
        <v>#NAME?</v>
      </c>
      <c r="L62" s="523" t="e">
        <f ca="1">gr(données_step[[#This Row],[S_NO2]])</f>
        <v>#NAME?</v>
      </c>
      <c r="M62" s="523" t="e">
        <f ca="1">gr(données_step[[#This Row],[S_NO3]])</f>
        <v>#NAME?</v>
      </c>
      <c r="N62" s="523" t="e">
        <f ca="1">gr(données_step[[#This Row],[S_PORTH]])</f>
        <v>#NAME?</v>
      </c>
      <c r="O62" s="523" t="e">
        <f ca="1">gr(données_step[[#This Row],[S_PTOT]])</f>
        <v>#NAME?</v>
      </c>
      <c r="P62" s="523" t="e">
        <f ca="1">gr(données_step[[#This Row],[S_MES]])</f>
        <v>#NAME?</v>
      </c>
      <c r="Q62" s="523" t="e">
        <v>#N/A</v>
      </c>
      <c r="R62" s="523" t="e">
        <v>#N/A</v>
      </c>
      <c r="S62" s="523" t="e">
        <v>#N/A</v>
      </c>
      <c r="T62" s="523" t="e">
        <v>#N/A</v>
      </c>
      <c r="U62" s="523" t="e">
        <v>#N/A</v>
      </c>
      <c r="V62" s="523" t="e">
        <v>#N/A</v>
      </c>
      <c r="W62" s="523" t="e">
        <v>#N/A</v>
      </c>
      <c r="X62" s="523" t="e">
        <v>#N/A</v>
      </c>
      <c r="Y62" s="523" t="e">
        <v>#N/A</v>
      </c>
      <c r="Z62" s="523"/>
      <c r="AA62" s="523"/>
    </row>
    <row r="63" spans="1:27" x14ac:dyDescent="0.2">
      <c r="A63" s="222">
        <f>calculs!A63</f>
        <v>44614</v>
      </c>
      <c r="B63" s="523" t="e">
        <f ca="1">gr(données_step[[#This Row],[E_DBO5]])</f>
        <v>#NAME?</v>
      </c>
      <c r="C63" s="523" t="e">
        <f ca="1">gr(données_step[[#This Row],[E_DCO]])</f>
        <v>#NAME?</v>
      </c>
      <c r="D63" s="523" t="e">
        <f ca="1">gr(données_step[[#This Row],[E_COT]])</f>
        <v>#NAME?</v>
      </c>
      <c r="E63" s="523" t="e">
        <f ca="1">gr(données_step[[#This Row],[E_NH4]])</f>
        <v>#NAME?</v>
      </c>
      <c r="F63" s="523" t="e">
        <f ca="1">gr(données_step[[#This Row],[E_NTOT]])</f>
        <v>#NAME?</v>
      </c>
      <c r="G63" s="523" t="e">
        <f ca="1">gr(données_step[[#This Row],[E_PTOT]])</f>
        <v>#NAME?</v>
      </c>
      <c r="H63" s="523" t="e">
        <f ca="1">gr(données_step[[#This Row],[S_DBO5]])</f>
        <v>#NAME?</v>
      </c>
      <c r="I63" s="523" t="e">
        <f ca="1">gr(données_step[[#This Row],[S_DCO]])</f>
        <v>#NAME?</v>
      </c>
      <c r="J63" s="523" t="e">
        <f ca="1">gr(données_step[[#This Row],[S_COD]])</f>
        <v>#NAME?</v>
      </c>
      <c r="K63" s="523" t="e">
        <f ca="1">gr(données_step[[#This Row],[S_NH4]])</f>
        <v>#NAME?</v>
      </c>
      <c r="L63" s="523" t="e">
        <f ca="1">gr(données_step[[#This Row],[S_NO2]])</f>
        <v>#NAME?</v>
      </c>
      <c r="M63" s="523" t="e">
        <f ca="1">gr(données_step[[#This Row],[S_NO3]])</f>
        <v>#NAME?</v>
      </c>
      <c r="N63" s="523" t="e">
        <f ca="1">gr(données_step[[#This Row],[S_PORTH]])</f>
        <v>#NAME?</v>
      </c>
      <c r="O63" s="523" t="e">
        <f ca="1">gr(données_step[[#This Row],[S_PTOT]])</f>
        <v>#NAME?</v>
      </c>
      <c r="P63" s="523" t="e">
        <f ca="1">gr(données_step[[#This Row],[S_MES]])</f>
        <v>#NAME?</v>
      </c>
      <c r="Q63" s="523" t="e">
        <v>#N/A</v>
      </c>
      <c r="R63" s="523" t="e">
        <v>#N/A</v>
      </c>
      <c r="S63" s="523" t="e">
        <v>#N/A</v>
      </c>
      <c r="T63" s="523" t="e">
        <v>#N/A</v>
      </c>
      <c r="U63" s="523" t="e">
        <v>#N/A</v>
      </c>
      <c r="V63" s="523" t="e">
        <v>#N/A</v>
      </c>
      <c r="W63" s="523" t="e">
        <v>#N/A</v>
      </c>
      <c r="X63" s="523" t="e">
        <v>#N/A</v>
      </c>
      <c r="Y63" s="523" t="e">
        <v>#N/A</v>
      </c>
      <c r="Z63" s="523"/>
      <c r="AA63" s="523"/>
    </row>
    <row r="64" spans="1:27" x14ac:dyDescent="0.2">
      <c r="A64" s="222">
        <f>calculs!A64</f>
        <v>44615</v>
      </c>
      <c r="B64" s="523" t="e">
        <f ca="1">gr(données_step[[#This Row],[E_DBO5]])</f>
        <v>#NAME?</v>
      </c>
      <c r="C64" s="523" t="e">
        <f ca="1">gr(données_step[[#This Row],[E_DCO]])</f>
        <v>#NAME?</v>
      </c>
      <c r="D64" s="523" t="e">
        <f ca="1">gr(données_step[[#This Row],[E_COT]])</f>
        <v>#NAME?</v>
      </c>
      <c r="E64" s="523" t="e">
        <f ca="1">gr(données_step[[#This Row],[E_NH4]])</f>
        <v>#NAME?</v>
      </c>
      <c r="F64" s="523" t="e">
        <f ca="1">gr(données_step[[#This Row],[E_NTOT]])</f>
        <v>#NAME?</v>
      </c>
      <c r="G64" s="523" t="e">
        <f ca="1">gr(données_step[[#This Row],[E_PTOT]])</f>
        <v>#NAME?</v>
      </c>
      <c r="H64" s="523" t="e">
        <f ca="1">gr(données_step[[#This Row],[S_DBO5]])</f>
        <v>#NAME?</v>
      </c>
      <c r="I64" s="523" t="e">
        <f ca="1">gr(données_step[[#This Row],[S_DCO]])</f>
        <v>#NAME?</v>
      </c>
      <c r="J64" s="523" t="e">
        <f ca="1">gr(données_step[[#This Row],[S_COD]])</f>
        <v>#NAME?</v>
      </c>
      <c r="K64" s="523" t="e">
        <f ca="1">gr(données_step[[#This Row],[S_NH4]])</f>
        <v>#NAME?</v>
      </c>
      <c r="L64" s="523" t="e">
        <f ca="1">gr(données_step[[#This Row],[S_NO2]])</f>
        <v>#NAME?</v>
      </c>
      <c r="M64" s="523" t="e">
        <f ca="1">gr(données_step[[#This Row],[S_NO3]])</f>
        <v>#NAME?</v>
      </c>
      <c r="N64" s="523" t="e">
        <f ca="1">gr(données_step[[#This Row],[S_PORTH]])</f>
        <v>#NAME?</v>
      </c>
      <c r="O64" s="523" t="e">
        <f ca="1">gr(données_step[[#This Row],[S_PTOT]])</f>
        <v>#NAME?</v>
      </c>
      <c r="P64" s="523" t="e">
        <f ca="1">gr(données_step[[#This Row],[S_MES]])</f>
        <v>#NAME?</v>
      </c>
      <c r="Q64" s="523" t="e">
        <v>#N/A</v>
      </c>
      <c r="R64" s="523" t="e">
        <v>#N/A</v>
      </c>
      <c r="S64" s="523" t="e">
        <v>#N/A</v>
      </c>
      <c r="T64" s="523" t="e">
        <v>#N/A</v>
      </c>
      <c r="U64" s="523" t="e">
        <v>#N/A</v>
      </c>
      <c r="V64" s="523" t="e">
        <v>#N/A</v>
      </c>
      <c r="W64" s="523" t="e">
        <v>#N/A</v>
      </c>
      <c r="X64" s="523" t="e">
        <v>#N/A</v>
      </c>
      <c r="Y64" s="523" t="e">
        <v>#N/A</v>
      </c>
      <c r="Z64" s="523"/>
      <c r="AA64" s="523"/>
    </row>
    <row r="65" spans="1:27" x14ac:dyDescent="0.2">
      <c r="A65" s="222">
        <f>calculs!A65</f>
        <v>44616</v>
      </c>
      <c r="B65" s="523" t="e">
        <f ca="1">gr(données_step[[#This Row],[E_DBO5]])</f>
        <v>#NAME?</v>
      </c>
      <c r="C65" s="523" t="e">
        <f ca="1">gr(données_step[[#This Row],[E_DCO]])</f>
        <v>#NAME?</v>
      </c>
      <c r="D65" s="523" t="e">
        <f ca="1">gr(données_step[[#This Row],[E_COT]])</f>
        <v>#NAME?</v>
      </c>
      <c r="E65" s="523" t="e">
        <f ca="1">gr(données_step[[#This Row],[E_NH4]])</f>
        <v>#NAME?</v>
      </c>
      <c r="F65" s="523" t="e">
        <f ca="1">gr(données_step[[#This Row],[E_NTOT]])</f>
        <v>#NAME?</v>
      </c>
      <c r="G65" s="523" t="e">
        <f ca="1">gr(données_step[[#This Row],[E_PTOT]])</f>
        <v>#NAME?</v>
      </c>
      <c r="H65" s="523" t="e">
        <f ca="1">gr(données_step[[#This Row],[S_DBO5]])</f>
        <v>#NAME?</v>
      </c>
      <c r="I65" s="523" t="e">
        <f ca="1">gr(données_step[[#This Row],[S_DCO]])</f>
        <v>#NAME?</v>
      </c>
      <c r="J65" s="523" t="e">
        <f ca="1">gr(données_step[[#This Row],[S_COD]])</f>
        <v>#NAME?</v>
      </c>
      <c r="K65" s="523" t="e">
        <f ca="1">gr(données_step[[#This Row],[S_NH4]])</f>
        <v>#NAME?</v>
      </c>
      <c r="L65" s="523" t="e">
        <f ca="1">gr(données_step[[#This Row],[S_NO2]])</f>
        <v>#NAME?</v>
      </c>
      <c r="M65" s="523" t="e">
        <f ca="1">gr(données_step[[#This Row],[S_NO3]])</f>
        <v>#NAME?</v>
      </c>
      <c r="N65" s="523" t="e">
        <f ca="1">gr(données_step[[#This Row],[S_PORTH]])</f>
        <v>#NAME?</v>
      </c>
      <c r="O65" s="523" t="e">
        <f ca="1">gr(données_step[[#This Row],[S_PTOT]])</f>
        <v>#NAME?</v>
      </c>
      <c r="P65" s="523" t="e">
        <f ca="1">gr(données_step[[#This Row],[S_MES]])</f>
        <v>#NAME?</v>
      </c>
      <c r="Q65" s="523" t="e">
        <v>#N/A</v>
      </c>
      <c r="R65" s="523" t="e">
        <v>#N/A</v>
      </c>
      <c r="S65" s="523" t="e">
        <v>#N/A</v>
      </c>
      <c r="T65" s="523" t="e">
        <v>#N/A</v>
      </c>
      <c r="U65" s="523" t="e">
        <v>#N/A</v>
      </c>
      <c r="V65" s="523" t="e">
        <v>#N/A</v>
      </c>
      <c r="W65" s="523" t="e">
        <v>#N/A</v>
      </c>
      <c r="X65" s="523" t="e">
        <v>#N/A</v>
      </c>
      <c r="Y65" s="523" t="e">
        <v>#N/A</v>
      </c>
      <c r="Z65" s="523"/>
      <c r="AA65" s="523"/>
    </row>
    <row r="66" spans="1:27" x14ac:dyDescent="0.2">
      <c r="A66" s="222">
        <f>calculs!A66</f>
        <v>44617</v>
      </c>
      <c r="B66" s="523" t="e">
        <f ca="1">gr(données_step[[#This Row],[E_DBO5]])</f>
        <v>#NAME?</v>
      </c>
      <c r="C66" s="523" t="e">
        <f ca="1">gr(données_step[[#This Row],[E_DCO]])</f>
        <v>#NAME?</v>
      </c>
      <c r="D66" s="523" t="e">
        <f ca="1">gr(données_step[[#This Row],[E_COT]])</f>
        <v>#NAME?</v>
      </c>
      <c r="E66" s="523" t="e">
        <f ca="1">gr(données_step[[#This Row],[E_NH4]])</f>
        <v>#NAME?</v>
      </c>
      <c r="F66" s="523" t="e">
        <f ca="1">gr(données_step[[#This Row],[E_NTOT]])</f>
        <v>#NAME?</v>
      </c>
      <c r="G66" s="523" t="e">
        <f ca="1">gr(données_step[[#This Row],[E_PTOT]])</f>
        <v>#NAME?</v>
      </c>
      <c r="H66" s="523" t="e">
        <f ca="1">gr(données_step[[#This Row],[S_DBO5]])</f>
        <v>#NAME?</v>
      </c>
      <c r="I66" s="523" t="e">
        <f ca="1">gr(données_step[[#This Row],[S_DCO]])</f>
        <v>#NAME?</v>
      </c>
      <c r="J66" s="523" t="e">
        <f ca="1">gr(données_step[[#This Row],[S_COD]])</f>
        <v>#NAME?</v>
      </c>
      <c r="K66" s="523" t="e">
        <f ca="1">gr(données_step[[#This Row],[S_NH4]])</f>
        <v>#NAME?</v>
      </c>
      <c r="L66" s="523" t="e">
        <f ca="1">gr(données_step[[#This Row],[S_NO2]])</f>
        <v>#NAME?</v>
      </c>
      <c r="M66" s="523" t="e">
        <f ca="1">gr(données_step[[#This Row],[S_NO3]])</f>
        <v>#NAME?</v>
      </c>
      <c r="N66" s="523" t="e">
        <f ca="1">gr(données_step[[#This Row],[S_PORTH]])</f>
        <v>#NAME?</v>
      </c>
      <c r="O66" s="523" t="e">
        <f ca="1">gr(données_step[[#This Row],[S_PTOT]])</f>
        <v>#NAME?</v>
      </c>
      <c r="P66" s="523" t="e">
        <f ca="1">gr(données_step[[#This Row],[S_MES]])</f>
        <v>#NAME?</v>
      </c>
      <c r="Q66" s="523" t="e">
        <v>#N/A</v>
      </c>
      <c r="R66" s="523" t="e">
        <v>#N/A</v>
      </c>
      <c r="S66" s="523" t="e">
        <v>#N/A</v>
      </c>
      <c r="T66" s="523" t="e">
        <v>#N/A</v>
      </c>
      <c r="U66" s="523" t="e">
        <v>#N/A</v>
      </c>
      <c r="V66" s="523" t="e">
        <v>#N/A</v>
      </c>
      <c r="W66" s="523" t="e">
        <v>#N/A</v>
      </c>
      <c r="X66" s="523" t="e">
        <v>#N/A</v>
      </c>
      <c r="Y66" s="523" t="e">
        <v>#N/A</v>
      </c>
      <c r="Z66" s="523"/>
      <c r="AA66" s="523"/>
    </row>
    <row r="67" spans="1:27" x14ac:dyDescent="0.2">
      <c r="A67" s="222">
        <f>calculs!A67</f>
        <v>44618</v>
      </c>
      <c r="B67" s="523" t="e">
        <f ca="1">gr(données_step[[#This Row],[E_DBO5]])</f>
        <v>#NAME?</v>
      </c>
      <c r="C67" s="523" t="e">
        <f ca="1">gr(données_step[[#This Row],[E_DCO]])</f>
        <v>#NAME?</v>
      </c>
      <c r="D67" s="523" t="e">
        <f ca="1">gr(données_step[[#This Row],[E_COT]])</f>
        <v>#NAME?</v>
      </c>
      <c r="E67" s="523" t="e">
        <f ca="1">gr(données_step[[#This Row],[E_NH4]])</f>
        <v>#NAME?</v>
      </c>
      <c r="F67" s="523" t="e">
        <f ca="1">gr(données_step[[#This Row],[E_NTOT]])</f>
        <v>#NAME?</v>
      </c>
      <c r="G67" s="523" t="e">
        <f ca="1">gr(données_step[[#This Row],[E_PTOT]])</f>
        <v>#NAME?</v>
      </c>
      <c r="H67" s="523" t="e">
        <f ca="1">gr(données_step[[#This Row],[S_DBO5]])</f>
        <v>#NAME?</v>
      </c>
      <c r="I67" s="523" t="e">
        <f ca="1">gr(données_step[[#This Row],[S_DCO]])</f>
        <v>#NAME?</v>
      </c>
      <c r="J67" s="523" t="e">
        <f ca="1">gr(données_step[[#This Row],[S_COD]])</f>
        <v>#NAME?</v>
      </c>
      <c r="K67" s="523" t="e">
        <f ca="1">gr(données_step[[#This Row],[S_NH4]])</f>
        <v>#NAME?</v>
      </c>
      <c r="L67" s="523" t="e">
        <f ca="1">gr(données_step[[#This Row],[S_NO2]])</f>
        <v>#NAME?</v>
      </c>
      <c r="M67" s="523" t="e">
        <f ca="1">gr(données_step[[#This Row],[S_NO3]])</f>
        <v>#NAME?</v>
      </c>
      <c r="N67" s="523" t="e">
        <f ca="1">gr(données_step[[#This Row],[S_PORTH]])</f>
        <v>#NAME?</v>
      </c>
      <c r="O67" s="523" t="e">
        <f ca="1">gr(données_step[[#This Row],[S_PTOT]])</f>
        <v>#NAME?</v>
      </c>
      <c r="P67" s="523" t="e">
        <f ca="1">gr(données_step[[#This Row],[S_MES]])</f>
        <v>#NAME?</v>
      </c>
      <c r="Q67" s="523" t="e">
        <v>#N/A</v>
      </c>
      <c r="R67" s="523" t="e">
        <v>#N/A</v>
      </c>
      <c r="S67" s="523" t="e">
        <v>#N/A</v>
      </c>
      <c r="T67" s="523" t="e">
        <v>#N/A</v>
      </c>
      <c r="U67" s="523" t="e">
        <v>#N/A</v>
      </c>
      <c r="V67" s="523" t="e">
        <v>#N/A</v>
      </c>
      <c r="W67" s="523" t="e">
        <v>#N/A</v>
      </c>
      <c r="X67" s="523" t="e">
        <v>#N/A</v>
      </c>
      <c r="Y67" s="523" t="e">
        <v>#N/A</v>
      </c>
      <c r="Z67" s="523"/>
      <c r="AA67" s="523"/>
    </row>
    <row r="68" spans="1:27" x14ac:dyDescent="0.2">
      <c r="A68" s="222">
        <f>calculs!A68</f>
        <v>44619</v>
      </c>
      <c r="B68" s="523" t="e">
        <f ca="1">gr(données_step[[#This Row],[E_DBO5]])</f>
        <v>#NAME?</v>
      </c>
      <c r="C68" s="523" t="e">
        <f ca="1">gr(données_step[[#This Row],[E_DCO]])</f>
        <v>#NAME?</v>
      </c>
      <c r="D68" s="523" t="e">
        <f ca="1">gr(données_step[[#This Row],[E_COT]])</f>
        <v>#NAME?</v>
      </c>
      <c r="E68" s="523" t="e">
        <f ca="1">gr(données_step[[#This Row],[E_NH4]])</f>
        <v>#NAME?</v>
      </c>
      <c r="F68" s="523" t="e">
        <f ca="1">gr(données_step[[#This Row],[E_NTOT]])</f>
        <v>#NAME?</v>
      </c>
      <c r="G68" s="523" t="e">
        <f ca="1">gr(données_step[[#This Row],[E_PTOT]])</f>
        <v>#NAME?</v>
      </c>
      <c r="H68" s="523" t="e">
        <f ca="1">gr(données_step[[#This Row],[S_DBO5]])</f>
        <v>#NAME?</v>
      </c>
      <c r="I68" s="523" t="e">
        <f ca="1">gr(données_step[[#This Row],[S_DCO]])</f>
        <v>#NAME?</v>
      </c>
      <c r="J68" s="523" t="e">
        <f ca="1">gr(données_step[[#This Row],[S_COD]])</f>
        <v>#NAME?</v>
      </c>
      <c r="K68" s="523" t="e">
        <f ca="1">gr(données_step[[#This Row],[S_NH4]])</f>
        <v>#NAME?</v>
      </c>
      <c r="L68" s="523" t="e">
        <f ca="1">gr(données_step[[#This Row],[S_NO2]])</f>
        <v>#NAME?</v>
      </c>
      <c r="M68" s="523" t="e">
        <f ca="1">gr(données_step[[#This Row],[S_NO3]])</f>
        <v>#NAME?</v>
      </c>
      <c r="N68" s="523" t="e">
        <f ca="1">gr(données_step[[#This Row],[S_PORTH]])</f>
        <v>#NAME?</v>
      </c>
      <c r="O68" s="523" t="e">
        <f ca="1">gr(données_step[[#This Row],[S_PTOT]])</f>
        <v>#NAME?</v>
      </c>
      <c r="P68" s="523" t="e">
        <f ca="1">gr(données_step[[#This Row],[S_MES]])</f>
        <v>#NAME?</v>
      </c>
      <c r="Q68" s="523" t="e">
        <v>#N/A</v>
      </c>
      <c r="R68" s="523" t="e">
        <v>#N/A</v>
      </c>
      <c r="S68" s="523" t="e">
        <v>#N/A</v>
      </c>
      <c r="T68" s="523" t="e">
        <v>#N/A</v>
      </c>
      <c r="U68" s="523" t="e">
        <v>#N/A</v>
      </c>
      <c r="V68" s="523" t="e">
        <v>#N/A</v>
      </c>
      <c r="W68" s="523" t="e">
        <v>#N/A</v>
      </c>
      <c r="X68" s="523" t="e">
        <v>#N/A</v>
      </c>
      <c r="Y68" s="523" t="e">
        <v>#N/A</v>
      </c>
      <c r="Z68" s="523"/>
      <c r="AA68" s="523"/>
    </row>
    <row r="69" spans="1:27" x14ac:dyDescent="0.2">
      <c r="A69" s="222">
        <f>calculs!A69</f>
        <v>44620</v>
      </c>
      <c r="B69" s="523" t="e">
        <f ca="1">gr(données_step[[#This Row],[E_DBO5]])</f>
        <v>#NAME?</v>
      </c>
      <c r="C69" s="523" t="e">
        <f ca="1">gr(données_step[[#This Row],[E_DCO]])</f>
        <v>#NAME?</v>
      </c>
      <c r="D69" s="523" t="e">
        <f ca="1">gr(données_step[[#This Row],[E_COT]])</f>
        <v>#NAME?</v>
      </c>
      <c r="E69" s="523" t="e">
        <f ca="1">gr(données_step[[#This Row],[E_NH4]])</f>
        <v>#NAME?</v>
      </c>
      <c r="F69" s="523" t="e">
        <f ca="1">gr(données_step[[#This Row],[E_NTOT]])</f>
        <v>#NAME?</v>
      </c>
      <c r="G69" s="523" t="e">
        <f ca="1">gr(données_step[[#This Row],[E_PTOT]])</f>
        <v>#NAME?</v>
      </c>
      <c r="H69" s="523" t="e">
        <f ca="1">gr(données_step[[#This Row],[S_DBO5]])</f>
        <v>#NAME?</v>
      </c>
      <c r="I69" s="523" t="e">
        <f ca="1">gr(données_step[[#This Row],[S_DCO]])</f>
        <v>#NAME?</v>
      </c>
      <c r="J69" s="523" t="e">
        <f ca="1">gr(données_step[[#This Row],[S_COD]])</f>
        <v>#NAME?</v>
      </c>
      <c r="K69" s="523" t="e">
        <f ca="1">gr(données_step[[#This Row],[S_NH4]])</f>
        <v>#NAME?</v>
      </c>
      <c r="L69" s="523" t="e">
        <f ca="1">gr(données_step[[#This Row],[S_NO2]])</f>
        <v>#NAME?</v>
      </c>
      <c r="M69" s="523" t="e">
        <f ca="1">gr(données_step[[#This Row],[S_NO3]])</f>
        <v>#NAME?</v>
      </c>
      <c r="N69" s="523" t="e">
        <f ca="1">gr(données_step[[#This Row],[S_PORTH]])</f>
        <v>#NAME?</v>
      </c>
      <c r="O69" s="523" t="e">
        <f ca="1">gr(données_step[[#This Row],[S_PTOT]])</f>
        <v>#NAME?</v>
      </c>
      <c r="P69" s="523" t="e">
        <f ca="1">gr(données_step[[#This Row],[S_MES]])</f>
        <v>#NAME?</v>
      </c>
      <c r="Q69" s="523" t="e">
        <v>#N/A</v>
      </c>
      <c r="R69" s="523" t="e">
        <v>#N/A</v>
      </c>
      <c r="S69" s="523" t="e">
        <v>#N/A</v>
      </c>
      <c r="T69" s="523" t="e">
        <v>#N/A</v>
      </c>
      <c r="U69" s="523" t="e">
        <v>#N/A</v>
      </c>
      <c r="V69" s="523" t="e">
        <v>#N/A</v>
      </c>
      <c r="W69" s="523" t="e">
        <v>#N/A</v>
      </c>
      <c r="X69" s="523" t="e">
        <v>#N/A</v>
      </c>
      <c r="Y69" s="523" t="e">
        <v>#N/A</v>
      </c>
      <c r="Z69" s="523"/>
      <c r="AA69" s="523"/>
    </row>
    <row r="70" spans="1:27" x14ac:dyDescent="0.2">
      <c r="A70" s="222">
        <f>calculs!A70</f>
        <v>44621</v>
      </c>
      <c r="B70" s="523" t="e">
        <f ca="1">gr(données_step[[#This Row],[E_DBO5]])</f>
        <v>#NAME?</v>
      </c>
      <c r="C70" s="523" t="e">
        <f ca="1">gr(données_step[[#This Row],[E_DCO]])</f>
        <v>#NAME?</v>
      </c>
      <c r="D70" s="523" t="e">
        <f ca="1">gr(données_step[[#This Row],[E_COT]])</f>
        <v>#NAME?</v>
      </c>
      <c r="E70" s="523" t="e">
        <f ca="1">gr(données_step[[#This Row],[E_NH4]])</f>
        <v>#NAME?</v>
      </c>
      <c r="F70" s="523" t="e">
        <f ca="1">gr(données_step[[#This Row],[E_NTOT]])</f>
        <v>#NAME?</v>
      </c>
      <c r="G70" s="523" t="e">
        <f ca="1">gr(données_step[[#This Row],[E_PTOT]])</f>
        <v>#NAME?</v>
      </c>
      <c r="H70" s="523" t="e">
        <f ca="1">gr(données_step[[#This Row],[S_DBO5]])</f>
        <v>#NAME?</v>
      </c>
      <c r="I70" s="523" t="e">
        <f ca="1">gr(données_step[[#This Row],[S_DCO]])</f>
        <v>#NAME?</v>
      </c>
      <c r="J70" s="523" t="e">
        <f ca="1">gr(données_step[[#This Row],[S_COD]])</f>
        <v>#NAME?</v>
      </c>
      <c r="K70" s="523" t="e">
        <f ca="1">gr(données_step[[#This Row],[S_NH4]])</f>
        <v>#NAME?</v>
      </c>
      <c r="L70" s="523" t="e">
        <f ca="1">gr(données_step[[#This Row],[S_NO2]])</f>
        <v>#NAME?</v>
      </c>
      <c r="M70" s="523" t="e">
        <f ca="1">gr(données_step[[#This Row],[S_NO3]])</f>
        <v>#NAME?</v>
      </c>
      <c r="N70" s="523" t="e">
        <f ca="1">gr(données_step[[#This Row],[S_PORTH]])</f>
        <v>#NAME?</v>
      </c>
      <c r="O70" s="523" t="e">
        <f ca="1">gr(données_step[[#This Row],[S_PTOT]])</f>
        <v>#NAME?</v>
      </c>
      <c r="P70" s="523" t="e">
        <f ca="1">gr(données_step[[#This Row],[S_MES]])</f>
        <v>#NAME?</v>
      </c>
      <c r="Q70" s="523" t="e">
        <v>#N/A</v>
      </c>
      <c r="R70" s="523" t="e">
        <v>#N/A</v>
      </c>
      <c r="S70" s="523" t="e">
        <v>#N/A</v>
      </c>
      <c r="T70" s="523" t="e">
        <v>#N/A</v>
      </c>
      <c r="U70" s="523" t="e">
        <v>#N/A</v>
      </c>
      <c r="V70" s="523" t="e">
        <v>#N/A</v>
      </c>
      <c r="W70" s="523" t="e">
        <v>#N/A</v>
      </c>
      <c r="X70" s="523" t="e">
        <v>#N/A</v>
      </c>
      <c r="Y70" s="523" t="e">
        <v>#N/A</v>
      </c>
      <c r="Z70" s="523"/>
      <c r="AA70" s="523"/>
    </row>
    <row r="71" spans="1:27" x14ac:dyDescent="0.2">
      <c r="A71" s="222">
        <f>calculs!A71</f>
        <v>44622</v>
      </c>
      <c r="B71" s="523" t="e">
        <f ca="1">gr(données_step[[#This Row],[E_DBO5]])</f>
        <v>#NAME?</v>
      </c>
      <c r="C71" s="523" t="e">
        <f ca="1">gr(données_step[[#This Row],[E_DCO]])</f>
        <v>#NAME?</v>
      </c>
      <c r="D71" s="523" t="e">
        <f ca="1">gr(données_step[[#This Row],[E_COT]])</f>
        <v>#NAME?</v>
      </c>
      <c r="E71" s="523" t="e">
        <f ca="1">gr(données_step[[#This Row],[E_NH4]])</f>
        <v>#NAME?</v>
      </c>
      <c r="F71" s="523" t="e">
        <f ca="1">gr(données_step[[#This Row],[E_NTOT]])</f>
        <v>#NAME?</v>
      </c>
      <c r="G71" s="523" t="e">
        <f ca="1">gr(données_step[[#This Row],[E_PTOT]])</f>
        <v>#NAME?</v>
      </c>
      <c r="H71" s="523" t="e">
        <f ca="1">gr(données_step[[#This Row],[S_DBO5]])</f>
        <v>#NAME?</v>
      </c>
      <c r="I71" s="523" t="e">
        <f ca="1">gr(données_step[[#This Row],[S_DCO]])</f>
        <v>#NAME?</v>
      </c>
      <c r="J71" s="523" t="e">
        <f ca="1">gr(données_step[[#This Row],[S_COD]])</f>
        <v>#NAME?</v>
      </c>
      <c r="K71" s="523" t="e">
        <f ca="1">gr(données_step[[#This Row],[S_NH4]])</f>
        <v>#NAME?</v>
      </c>
      <c r="L71" s="523" t="e">
        <f ca="1">gr(données_step[[#This Row],[S_NO2]])</f>
        <v>#NAME?</v>
      </c>
      <c r="M71" s="523" t="e">
        <f ca="1">gr(données_step[[#This Row],[S_NO3]])</f>
        <v>#NAME?</v>
      </c>
      <c r="N71" s="523" t="e">
        <f ca="1">gr(données_step[[#This Row],[S_PORTH]])</f>
        <v>#NAME?</v>
      </c>
      <c r="O71" s="523" t="e">
        <f ca="1">gr(données_step[[#This Row],[S_PTOT]])</f>
        <v>#NAME?</v>
      </c>
      <c r="P71" s="523" t="e">
        <f ca="1">gr(données_step[[#This Row],[S_MES]])</f>
        <v>#NAME?</v>
      </c>
      <c r="Q71" s="523" t="e">
        <v>#N/A</v>
      </c>
      <c r="R71" s="523" t="e">
        <v>#N/A</v>
      </c>
      <c r="S71" s="523" t="e">
        <v>#N/A</v>
      </c>
      <c r="T71" s="523" t="e">
        <v>#N/A</v>
      </c>
      <c r="U71" s="523" t="e">
        <v>#N/A</v>
      </c>
      <c r="V71" s="523" t="e">
        <v>#N/A</v>
      </c>
      <c r="W71" s="523" t="e">
        <v>#N/A</v>
      </c>
      <c r="X71" s="523" t="e">
        <v>#N/A</v>
      </c>
      <c r="Y71" s="523" t="e">
        <v>#N/A</v>
      </c>
      <c r="Z71" s="523"/>
      <c r="AA71" s="523"/>
    </row>
    <row r="72" spans="1:27" x14ac:dyDescent="0.2">
      <c r="A72" s="222">
        <f>calculs!A72</f>
        <v>44623</v>
      </c>
      <c r="B72" s="523" t="e">
        <f ca="1">gr(données_step[[#This Row],[E_DBO5]])</f>
        <v>#NAME?</v>
      </c>
      <c r="C72" s="523" t="e">
        <f ca="1">gr(données_step[[#This Row],[E_DCO]])</f>
        <v>#NAME?</v>
      </c>
      <c r="D72" s="523" t="e">
        <f ca="1">gr(données_step[[#This Row],[E_COT]])</f>
        <v>#NAME?</v>
      </c>
      <c r="E72" s="523" t="e">
        <f ca="1">gr(données_step[[#This Row],[E_NH4]])</f>
        <v>#NAME?</v>
      </c>
      <c r="F72" s="523" t="e">
        <f ca="1">gr(données_step[[#This Row],[E_NTOT]])</f>
        <v>#NAME?</v>
      </c>
      <c r="G72" s="523" t="e">
        <f ca="1">gr(données_step[[#This Row],[E_PTOT]])</f>
        <v>#NAME?</v>
      </c>
      <c r="H72" s="523" t="e">
        <f ca="1">gr(données_step[[#This Row],[S_DBO5]])</f>
        <v>#NAME?</v>
      </c>
      <c r="I72" s="523" t="e">
        <f ca="1">gr(données_step[[#This Row],[S_DCO]])</f>
        <v>#NAME?</v>
      </c>
      <c r="J72" s="523" t="e">
        <f ca="1">gr(données_step[[#This Row],[S_COD]])</f>
        <v>#NAME?</v>
      </c>
      <c r="K72" s="523" t="e">
        <f ca="1">gr(données_step[[#This Row],[S_NH4]])</f>
        <v>#NAME?</v>
      </c>
      <c r="L72" s="523" t="e">
        <f ca="1">gr(données_step[[#This Row],[S_NO2]])</f>
        <v>#NAME?</v>
      </c>
      <c r="M72" s="523" t="e">
        <f ca="1">gr(données_step[[#This Row],[S_NO3]])</f>
        <v>#NAME?</v>
      </c>
      <c r="N72" s="523" t="e">
        <f ca="1">gr(données_step[[#This Row],[S_PORTH]])</f>
        <v>#NAME?</v>
      </c>
      <c r="O72" s="523" t="e">
        <f ca="1">gr(données_step[[#This Row],[S_PTOT]])</f>
        <v>#NAME?</v>
      </c>
      <c r="P72" s="523" t="e">
        <f ca="1">gr(données_step[[#This Row],[S_MES]])</f>
        <v>#NAME?</v>
      </c>
      <c r="Q72" s="523" t="e">
        <v>#N/A</v>
      </c>
      <c r="R72" s="523" t="e">
        <v>#N/A</v>
      </c>
      <c r="S72" s="523" t="e">
        <v>#N/A</v>
      </c>
      <c r="T72" s="523" t="e">
        <v>#N/A</v>
      </c>
      <c r="U72" s="523" t="e">
        <v>#N/A</v>
      </c>
      <c r="V72" s="523" t="e">
        <v>#N/A</v>
      </c>
      <c r="W72" s="523" t="e">
        <v>#N/A</v>
      </c>
      <c r="X72" s="523" t="e">
        <v>#N/A</v>
      </c>
      <c r="Y72" s="523" t="e">
        <v>#N/A</v>
      </c>
      <c r="Z72" s="523"/>
      <c r="AA72" s="523"/>
    </row>
    <row r="73" spans="1:27" x14ac:dyDescent="0.2">
      <c r="A73" s="222">
        <f>calculs!A73</f>
        <v>44624</v>
      </c>
      <c r="B73" s="523" t="e">
        <f ca="1">gr(données_step[[#This Row],[E_DBO5]])</f>
        <v>#NAME?</v>
      </c>
      <c r="C73" s="523" t="e">
        <f ca="1">gr(données_step[[#This Row],[E_DCO]])</f>
        <v>#NAME?</v>
      </c>
      <c r="D73" s="523" t="e">
        <f ca="1">gr(données_step[[#This Row],[E_COT]])</f>
        <v>#NAME?</v>
      </c>
      <c r="E73" s="523" t="e">
        <f ca="1">gr(données_step[[#This Row],[E_NH4]])</f>
        <v>#NAME?</v>
      </c>
      <c r="F73" s="523" t="e">
        <f ca="1">gr(données_step[[#This Row],[E_NTOT]])</f>
        <v>#NAME?</v>
      </c>
      <c r="G73" s="523" t="e">
        <f ca="1">gr(données_step[[#This Row],[E_PTOT]])</f>
        <v>#NAME?</v>
      </c>
      <c r="H73" s="523" t="e">
        <f ca="1">gr(données_step[[#This Row],[S_DBO5]])</f>
        <v>#NAME?</v>
      </c>
      <c r="I73" s="523" t="e">
        <f ca="1">gr(données_step[[#This Row],[S_DCO]])</f>
        <v>#NAME?</v>
      </c>
      <c r="J73" s="523" t="e">
        <f ca="1">gr(données_step[[#This Row],[S_COD]])</f>
        <v>#NAME?</v>
      </c>
      <c r="K73" s="523" t="e">
        <f ca="1">gr(données_step[[#This Row],[S_NH4]])</f>
        <v>#NAME?</v>
      </c>
      <c r="L73" s="523" t="e">
        <f ca="1">gr(données_step[[#This Row],[S_NO2]])</f>
        <v>#NAME?</v>
      </c>
      <c r="M73" s="523" t="e">
        <f ca="1">gr(données_step[[#This Row],[S_NO3]])</f>
        <v>#NAME?</v>
      </c>
      <c r="N73" s="523" t="e">
        <f ca="1">gr(données_step[[#This Row],[S_PORTH]])</f>
        <v>#NAME?</v>
      </c>
      <c r="O73" s="523" t="e">
        <f ca="1">gr(données_step[[#This Row],[S_PTOT]])</f>
        <v>#NAME?</v>
      </c>
      <c r="P73" s="523" t="e">
        <f ca="1">gr(données_step[[#This Row],[S_MES]])</f>
        <v>#NAME?</v>
      </c>
      <c r="Q73" s="523" t="e">
        <v>#N/A</v>
      </c>
      <c r="R73" s="523" t="e">
        <v>#N/A</v>
      </c>
      <c r="S73" s="523" t="e">
        <v>#N/A</v>
      </c>
      <c r="T73" s="523" t="e">
        <v>#N/A</v>
      </c>
      <c r="U73" s="523" t="e">
        <v>#N/A</v>
      </c>
      <c r="V73" s="523" t="e">
        <v>#N/A</v>
      </c>
      <c r="W73" s="523" t="e">
        <v>#N/A</v>
      </c>
      <c r="X73" s="523" t="e">
        <v>#N/A</v>
      </c>
      <c r="Y73" s="523" t="e">
        <v>#N/A</v>
      </c>
      <c r="Z73" s="523"/>
      <c r="AA73" s="523"/>
    </row>
    <row r="74" spans="1:27" x14ac:dyDescent="0.2">
      <c r="A74" s="222">
        <f>calculs!A74</f>
        <v>44625</v>
      </c>
      <c r="B74" s="523" t="e">
        <f ca="1">gr(données_step[[#This Row],[E_DBO5]])</f>
        <v>#NAME?</v>
      </c>
      <c r="C74" s="523" t="e">
        <f ca="1">gr(données_step[[#This Row],[E_DCO]])</f>
        <v>#NAME?</v>
      </c>
      <c r="D74" s="523" t="e">
        <f ca="1">gr(données_step[[#This Row],[E_COT]])</f>
        <v>#NAME?</v>
      </c>
      <c r="E74" s="523" t="e">
        <f ca="1">gr(données_step[[#This Row],[E_NH4]])</f>
        <v>#NAME?</v>
      </c>
      <c r="F74" s="523" t="e">
        <f ca="1">gr(données_step[[#This Row],[E_NTOT]])</f>
        <v>#NAME?</v>
      </c>
      <c r="G74" s="523" t="e">
        <f ca="1">gr(données_step[[#This Row],[E_PTOT]])</f>
        <v>#NAME?</v>
      </c>
      <c r="H74" s="523" t="e">
        <f ca="1">gr(données_step[[#This Row],[S_DBO5]])</f>
        <v>#NAME?</v>
      </c>
      <c r="I74" s="523" t="e">
        <f ca="1">gr(données_step[[#This Row],[S_DCO]])</f>
        <v>#NAME?</v>
      </c>
      <c r="J74" s="523" t="e">
        <f ca="1">gr(données_step[[#This Row],[S_COD]])</f>
        <v>#NAME?</v>
      </c>
      <c r="K74" s="523" t="e">
        <f ca="1">gr(données_step[[#This Row],[S_NH4]])</f>
        <v>#NAME?</v>
      </c>
      <c r="L74" s="523" t="e">
        <f ca="1">gr(données_step[[#This Row],[S_NO2]])</f>
        <v>#NAME?</v>
      </c>
      <c r="M74" s="523" t="e">
        <f ca="1">gr(données_step[[#This Row],[S_NO3]])</f>
        <v>#NAME?</v>
      </c>
      <c r="N74" s="523" t="e">
        <f ca="1">gr(données_step[[#This Row],[S_PORTH]])</f>
        <v>#NAME?</v>
      </c>
      <c r="O74" s="523" t="e">
        <f ca="1">gr(données_step[[#This Row],[S_PTOT]])</f>
        <v>#NAME?</v>
      </c>
      <c r="P74" s="523" t="e">
        <f ca="1">gr(données_step[[#This Row],[S_MES]])</f>
        <v>#NAME?</v>
      </c>
      <c r="Q74" s="523" t="e">
        <v>#N/A</v>
      </c>
      <c r="R74" s="523" t="e">
        <v>#N/A</v>
      </c>
      <c r="S74" s="523" t="e">
        <v>#N/A</v>
      </c>
      <c r="T74" s="523" t="e">
        <v>#N/A</v>
      </c>
      <c r="U74" s="523" t="e">
        <v>#N/A</v>
      </c>
      <c r="V74" s="523" t="e">
        <v>#N/A</v>
      </c>
      <c r="W74" s="523" t="e">
        <v>#N/A</v>
      </c>
      <c r="X74" s="523" t="e">
        <v>#N/A</v>
      </c>
      <c r="Y74" s="523" t="e">
        <v>#N/A</v>
      </c>
      <c r="Z74" s="523"/>
      <c r="AA74" s="523"/>
    </row>
    <row r="75" spans="1:27" x14ac:dyDescent="0.2">
      <c r="A75" s="222">
        <f>calculs!A75</f>
        <v>44626</v>
      </c>
      <c r="B75" s="523" t="e">
        <f ca="1">gr(données_step[[#This Row],[E_DBO5]])</f>
        <v>#NAME?</v>
      </c>
      <c r="C75" s="523" t="e">
        <f ca="1">gr(données_step[[#This Row],[E_DCO]])</f>
        <v>#NAME?</v>
      </c>
      <c r="D75" s="523" t="e">
        <f ca="1">gr(données_step[[#This Row],[E_COT]])</f>
        <v>#NAME?</v>
      </c>
      <c r="E75" s="523" t="e">
        <f ca="1">gr(données_step[[#This Row],[E_NH4]])</f>
        <v>#NAME?</v>
      </c>
      <c r="F75" s="523" t="e">
        <f ca="1">gr(données_step[[#This Row],[E_NTOT]])</f>
        <v>#NAME?</v>
      </c>
      <c r="G75" s="523" t="e">
        <f ca="1">gr(données_step[[#This Row],[E_PTOT]])</f>
        <v>#NAME?</v>
      </c>
      <c r="H75" s="523" t="e">
        <f ca="1">gr(données_step[[#This Row],[S_DBO5]])</f>
        <v>#NAME?</v>
      </c>
      <c r="I75" s="523" t="e">
        <f ca="1">gr(données_step[[#This Row],[S_DCO]])</f>
        <v>#NAME?</v>
      </c>
      <c r="J75" s="523" t="e">
        <f ca="1">gr(données_step[[#This Row],[S_COD]])</f>
        <v>#NAME?</v>
      </c>
      <c r="K75" s="523" t="e">
        <f ca="1">gr(données_step[[#This Row],[S_NH4]])</f>
        <v>#NAME?</v>
      </c>
      <c r="L75" s="523" t="e">
        <f ca="1">gr(données_step[[#This Row],[S_NO2]])</f>
        <v>#NAME?</v>
      </c>
      <c r="M75" s="523" t="e">
        <f ca="1">gr(données_step[[#This Row],[S_NO3]])</f>
        <v>#NAME?</v>
      </c>
      <c r="N75" s="523" t="e">
        <f ca="1">gr(données_step[[#This Row],[S_PORTH]])</f>
        <v>#NAME?</v>
      </c>
      <c r="O75" s="523" t="e">
        <f ca="1">gr(données_step[[#This Row],[S_PTOT]])</f>
        <v>#NAME?</v>
      </c>
      <c r="P75" s="523" t="e">
        <f ca="1">gr(données_step[[#This Row],[S_MES]])</f>
        <v>#NAME?</v>
      </c>
      <c r="Q75" s="523" t="e">
        <v>#N/A</v>
      </c>
      <c r="R75" s="523" t="e">
        <v>#N/A</v>
      </c>
      <c r="S75" s="523" t="e">
        <v>#N/A</v>
      </c>
      <c r="T75" s="523" t="e">
        <v>#N/A</v>
      </c>
      <c r="U75" s="523" t="e">
        <v>#N/A</v>
      </c>
      <c r="V75" s="523" t="e">
        <v>#N/A</v>
      </c>
      <c r="W75" s="523" t="e">
        <v>#N/A</v>
      </c>
      <c r="X75" s="523" t="e">
        <v>#N/A</v>
      </c>
      <c r="Y75" s="523" t="e">
        <v>#N/A</v>
      </c>
      <c r="Z75" s="523"/>
      <c r="AA75" s="523"/>
    </row>
    <row r="76" spans="1:27" x14ac:dyDescent="0.2">
      <c r="A76" s="222">
        <f>calculs!A76</f>
        <v>44627</v>
      </c>
      <c r="B76" s="523" t="e">
        <f ca="1">gr(données_step[[#This Row],[E_DBO5]])</f>
        <v>#NAME?</v>
      </c>
      <c r="C76" s="523" t="e">
        <f ca="1">gr(données_step[[#This Row],[E_DCO]])</f>
        <v>#NAME?</v>
      </c>
      <c r="D76" s="523" t="e">
        <f ca="1">gr(données_step[[#This Row],[E_COT]])</f>
        <v>#NAME?</v>
      </c>
      <c r="E76" s="523" t="e">
        <f ca="1">gr(données_step[[#This Row],[E_NH4]])</f>
        <v>#NAME?</v>
      </c>
      <c r="F76" s="523" t="e">
        <f ca="1">gr(données_step[[#This Row],[E_NTOT]])</f>
        <v>#NAME?</v>
      </c>
      <c r="G76" s="523" t="e">
        <f ca="1">gr(données_step[[#This Row],[E_PTOT]])</f>
        <v>#NAME?</v>
      </c>
      <c r="H76" s="523" t="e">
        <f ca="1">gr(données_step[[#This Row],[S_DBO5]])</f>
        <v>#NAME?</v>
      </c>
      <c r="I76" s="523" t="e">
        <f ca="1">gr(données_step[[#This Row],[S_DCO]])</f>
        <v>#NAME?</v>
      </c>
      <c r="J76" s="523" t="e">
        <f ca="1">gr(données_step[[#This Row],[S_COD]])</f>
        <v>#NAME?</v>
      </c>
      <c r="K76" s="523" t="e">
        <f ca="1">gr(données_step[[#This Row],[S_NH4]])</f>
        <v>#NAME?</v>
      </c>
      <c r="L76" s="523" t="e">
        <f ca="1">gr(données_step[[#This Row],[S_NO2]])</f>
        <v>#NAME?</v>
      </c>
      <c r="M76" s="523" t="e">
        <f ca="1">gr(données_step[[#This Row],[S_NO3]])</f>
        <v>#NAME?</v>
      </c>
      <c r="N76" s="523" t="e">
        <f ca="1">gr(données_step[[#This Row],[S_PORTH]])</f>
        <v>#NAME?</v>
      </c>
      <c r="O76" s="523" t="e">
        <f ca="1">gr(données_step[[#This Row],[S_PTOT]])</f>
        <v>#NAME?</v>
      </c>
      <c r="P76" s="523" t="e">
        <f ca="1">gr(données_step[[#This Row],[S_MES]])</f>
        <v>#NAME?</v>
      </c>
      <c r="Q76" s="523" t="e">
        <v>#N/A</v>
      </c>
      <c r="R76" s="523" t="e">
        <v>#N/A</v>
      </c>
      <c r="S76" s="523" t="e">
        <v>#N/A</v>
      </c>
      <c r="T76" s="523" t="e">
        <v>#N/A</v>
      </c>
      <c r="U76" s="523" t="e">
        <v>#N/A</v>
      </c>
      <c r="V76" s="523" t="e">
        <v>#N/A</v>
      </c>
      <c r="W76" s="523" t="e">
        <v>#N/A</v>
      </c>
      <c r="X76" s="523" t="e">
        <v>#N/A</v>
      </c>
      <c r="Y76" s="523" t="e">
        <v>#N/A</v>
      </c>
      <c r="Z76" s="523"/>
      <c r="AA76" s="523"/>
    </row>
    <row r="77" spans="1:27" x14ac:dyDescent="0.2">
      <c r="A77" s="222">
        <f>calculs!A77</f>
        <v>44628</v>
      </c>
      <c r="B77" s="523" t="e">
        <f ca="1">gr(données_step[[#This Row],[E_DBO5]])</f>
        <v>#NAME?</v>
      </c>
      <c r="C77" s="523" t="e">
        <f ca="1">gr(données_step[[#This Row],[E_DCO]])</f>
        <v>#NAME?</v>
      </c>
      <c r="D77" s="523" t="e">
        <f ca="1">gr(données_step[[#This Row],[E_COT]])</f>
        <v>#NAME?</v>
      </c>
      <c r="E77" s="523" t="e">
        <f ca="1">gr(données_step[[#This Row],[E_NH4]])</f>
        <v>#NAME?</v>
      </c>
      <c r="F77" s="523" t="e">
        <f ca="1">gr(données_step[[#This Row],[E_NTOT]])</f>
        <v>#NAME?</v>
      </c>
      <c r="G77" s="523" t="e">
        <f ca="1">gr(données_step[[#This Row],[E_PTOT]])</f>
        <v>#NAME?</v>
      </c>
      <c r="H77" s="523" t="e">
        <f ca="1">gr(données_step[[#This Row],[S_DBO5]])</f>
        <v>#NAME?</v>
      </c>
      <c r="I77" s="523" t="e">
        <f ca="1">gr(données_step[[#This Row],[S_DCO]])</f>
        <v>#NAME?</v>
      </c>
      <c r="J77" s="523" t="e">
        <f ca="1">gr(données_step[[#This Row],[S_COD]])</f>
        <v>#NAME?</v>
      </c>
      <c r="K77" s="523" t="e">
        <f ca="1">gr(données_step[[#This Row],[S_NH4]])</f>
        <v>#NAME?</v>
      </c>
      <c r="L77" s="523" t="e">
        <f ca="1">gr(données_step[[#This Row],[S_NO2]])</f>
        <v>#NAME?</v>
      </c>
      <c r="M77" s="523" t="e">
        <f ca="1">gr(données_step[[#This Row],[S_NO3]])</f>
        <v>#NAME?</v>
      </c>
      <c r="N77" s="523" t="e">
        <f ca="1">gr(données_step[[#This Row],[S_PORTH]])</f>
        <v>#NAME?</v>
      </c>
      <c r="O77" s="523" t="e">
        <f ca="1">gr(données_step[[#This Row],[S_PTOT]])</f>
        <v>#NAME?</v>
      </c>
      <c r="P77" s="523" t="e">
        <f ca="1">gr(données_step[[#This Row],[S_MES]])</f>
        <v>#NAME?</v>
      </c>
      <c r="Q77" s="523" t="e">
        <v>#N/A</v>
      </c>
      <c r="R77" s="523" t="e">
        <v>#N/A</v>
      </c>
      <c r="S77" s="523" t="e">
        <v>#N/A</v>
      </c>
      <c r="T77" s="523" t="e">
        <v>#N/A</v>
      </c>
      <c r="U77" s="523" t="e">
        <v>#N/A</v>
      </c>
      <c r="V77" s="523" t="e">
        <v>#N/A</v>
      </c>
      <c r="W77" s="523" t="e">
        <v>#N/A</v>
      </c>
      <c r="X77" s="523" t="e">
        <v>#N/A</v>
      </c>
      <c r="Y77" s="523" t="e">
        <v>#N/A</v>
      </c>
      <c r="Z77" s="523"/>
      <c r="AA77" s="523"/>
    </row>
    <row r="78" spans="1:27" x14ac:dyDescent="0.2">
      <c r="A78" s="222">
        <f>calculs!A78</f>
        <v>44629</v>
      </c>
      <c r="B78" s="523" t="e">
        <f ca="1">gr(données_step[[#This Row],[E_DBO5]])</f>
        <v>#NAME?</v>
      </c>
      <c r="C78" s="523" t="e">
        <f ca="1">gr(données_step[[#This Row],[E_DCO]])</f>
        <v>#NAME?</v>
      </c>
      <c r="D78" s="523" t="e">
        <f ca="1">gr(données_step[[#This Row],[E_COT]])</f>
        <v>#NAME?</v>
      </c>
      <c r="E78" s="523" t="e">
        <f ca="1">gr(données_step[[#This Row],[E_NH4]])</f>
        <v>#NAME?</v>
      </c>
      <c r="F78" s="523" t="e">
        <f ca="1">gr(données_step[[#This Row],[E_NTOT]])</f>
        <v>#NAME?</v>
      </c>
      <c r="G78" s="523" t="e">
        <f ca="1">gr(données_step[[#This Row],[E_PTOT]])</f>
        <v>#NAME?</v>
      </c>
      <c r="H78" s="523" t="e">
        <f ca="1">gr(données_step[[#This Row],[S_DBO5]])</f>
        <v>#NAME?</v>
      </c>
      <c r="I78" s="523" t="e">
        <f ca="1">gr(données_step[[#This Row],[S_DCO]])</f>
        <v>#NAME?</v>
      </c>
      <c r="J78" s="523" t="e">
        <f ca="1">gr(données_step[[#This Row],[S_COD]])</f>
        <v>#NAME?</v>
      </c>
      <c r="K78" s="523" t="e">
        <f ca="1">gr(données_step[[#This Row],[S_NH4]])</f>
        <v>#NAME?</v>
      </c>
      <c r="L78" s="523" t="e">
        <f ca="1">gr(données_step[[#This Row],[S_NO2]])</f>
        <v>#NAME?</v>
      </c>
      <c r="M78" s="523" t="e">
        <f ca="1">gr(données_step[[#This Row],[S_NO3]])</f>
        <v>#NAME?</v>
      </c>
      <c r="N78" s="523" t="e">
        <f ca="1">gr(données_step[[#This Row],[S_PORTH]])</f>
        <v>#NAME?</v>
      </c>
      <c r="O78" s="523" t="e">
        <f ca="1">gr(données_step[[#This Row],[S_PTOT]])</f>
        <v>#NAME?</v>
      </c>
      <c r="P78" s="523" t="e">
        <f ca="1">gr(données_step[[#This Row],[S_MES]])</f>
        <v>#NAME?</v>
      </c>
      <c r="Q78" s="523" t="e">
        <v>#N/A</v>
      </c>
      <c r="R78" s="523" t="e">
        <v>#N/A</v>
      </c>
      <c r="S78" s="523" t="e">
        <v>#N/A</v>
      </c>
      <c r="T78" s="523" t="e">
        <v>#N/A</v>
      </c>
      <c r="U78" s="523" t="e">
        <v>#N/A</v>
      </c>
      <c r="V78" s="523" t="e">
        <v>#N/A</v>
      </c>
      <c r="W78" s="523" t="e">
        <v>#N/A</v>
      </c>
      <c r="X78" s="523" t="e">
        <v>#N/A</v>
      </c>
      <c r="Y78" s="523" t="e">
        <v>#N/A</v>
      </c>
      <c r="Z78" s="523"/>
      <c r="AA78" s="523"/>
    </row>
    <row r="79" spans="1:27" x14ac:dyDescent="0.2">
      <c r="A79" s="222">
        <f>calculs!A79</f>
        <v>44630</v>
      </c>
      <c r="B79" s="523" t="e">
        <f ca="1">gr(données_step[[#This Row],[E_DBO5]])</f>
        <v>#NAME?</v>
      </c>
      <c r="C79" s="523" t="e">
        <f ca="1">gr(données_step[[#This Row],[E_DCO]])</f>
        <v>#NAME?</v>
      </c>
      <c r="D79" s="523" t="e">
        <f ca="1">gr(données_step[[#This Row],[E_COT]])</f>
        <v>#NAME?</v>
      </c>
      <c r="E79" s="523" t="e">
        <f ca="1">gr(données_step[[#This Row],[E_NH4]])</f>
        <v>#NAME?</v>
      </c>
      <c r="F79" s="523" t="e">
        <f ca="1">gr(données_step[[#This Row],[E_NTOT]])</f>
        <v>#NAME?</v>
      </c>
      <c r="G79" s="523" t="e">
        <f ca="1">gr(données_step[[#This Row],[E_PTOT]])</f>
        <v>#NAME?</v>
      </c>
      <c r="H79" s="523" t="e">
        <f ca="1">gr(données_step[[#This Row],[S_DBO5]])</f>
        <v>#NAME?</v>
      </c>
      <c r="I79" s="523" t="e">
        <f ca="1">gr(données_step[[#This Row],[S_DCO]])</f>
        <v>#NAME?</v>
      </c>
      <c r="J79" s="523" t="e">
        <f ca="1">gr(données_step[[#This Row],[S_COD]])</f>
        <v>#NAME?</v>
      </c>
      <c r="K79" s="523" t="e">
        <f ca="1">gr(données_step[[#This Row],[S_NH4]])</f>
        <v>#NAME?</v>
      </c>
      <c r="L79" s="523" t="e">
        <f ca="1">gr(données_step[[#This Row],[S_NO2]])</f>
        <v>#NAME?</v>
      </c>
      <c r="M79" s="523" t="e">
        <f ca="1">gr(données_step[[#This Row],[S_NO3]])</f>
        <v>#NAME?</v>
      </c>
      <c r="N79" s="523" t="e">
        <f ca="1">gr(données_step[[#This Row],[S_PORTH]])</f>
        <v>#NAME?</v>
      </c>
      <c r="O79" s="523" t="e">
        <f ca="1">gr(données_step[[#This Row],[S_PTOT]])</f>
        <v>#NAME?</v>
      </c>
      <c r="P79" s="523" t="e">
        <f ca="1">gr(données_step[[#This Row],[S_MES]])</f>
        <v>#NAME?</v>
      </c>
      <c r="Q79" s="523" t="e">
        <v>#N/A</v>
      </c>
      <c r="R79" s="523" t="e">
        <v>#N/A</v>
      </c>
      <c r="S79" s="523" t="e">
        <v>#N/A</v>
      </c>
      <c r="T79" s="523" t="e">
        <v>#N/A</v>
      </c>
      <c r="U79" s="523" t="e">
        <v>#N/A</v>
      </c>
      <c r="V79" s="523" t="e">
        <v>#N/A</v>
      </c>
      <c r="W79" s="523" t="e">
        <v>#N/A</v>
      </c>
      <c r="X79" s="523" t="e">
        <v>#N/A</v>
      </c>
      <c r="Y79" s="523" t="e">
        <v>#N/A</v>
      </c>
      <c r="Z79" s="523"/>
      <c r="AA79" s="523"/>
    </row>
    <row r="80" spans="1:27" x14ac:dyDescent="0.2">
      <c r="A80" s="222">
        <f>calculs!A80</f>
        <v>44631</v>
      </c>
      <c r="B80" s="523" t="e">
        <f ca="1">gr(données_step[[#This Row],[E_DBO5]])</f>
        <v>#NAME?</v>
      </c>
      <c r="C80" s="523" t="e">
        <f ca="1">gr(données_step[[#This Row],[E_DCO]])</f>
        <v>#NAME?</v>
      </c>
      <c r="D80" s="523" t="e">
        <f ca="1">gr(données_step[[#This Row],[E_COT]])</f>
        <v>#NAME?</v>
      </c>
      <c r="E80" s="523" t="e">
        <f ca="1">gr(données_step[[#This Row],[E_NH4]])</f>
        <v>#NAME?</v>
      </c>
      <c r="F80" s="523" t="e">
        <f ca="1">gr(données_step[[#This Row],[E_NTOT]])</f>
        <v>#NAME?</v>
      </c>
      <c r="G80" s="523" t="e">
        <f ca="1">gr(données_step[[#This Row],[E_PTOT]])</f>
        <v>#NAME?</v>
      </c>
      <c r="H80" s="523" t="e">
        <f ca="1">gr(données_step[[#This Row],[S_DBO5]])</f>
        <v>#NAME?</v>
      </c>
      <c r="I80" s="523" t="e">
        <f ca="1">gr(données_step[[#This Row],[S_DCO]])</f>
        <v>#NAME?</v>
      </c>
      <c r="J80" s="523" t="e">
        <f ca="1">gr(données_step[[#This Row],[S_COD]])</f>
        <v>#NAME?</v>
      </c>
      <c r="K80" s="523" t="e">
        <f ca="1">gr(données_step[[#This Row],[S_NH4]])</f>
        <v>#NAME?</v>
      </c>
      <c r="L80" s="523" t="e">
        <f ca="1">gr(données_step[[#This Row],[S_NO2]])</f>
        <v>#NAME?</v>
      </c>
      <c r="M80" s="523" t="e">
        <f ca="1">gr(données_step[[#This Row],[S_NO3]])</f>
        <v>#NAME?</v>
      </c>
      <c r="N80" s="523" t="e">
        <f ca="1">gr(données_step[[#This Row],[S_PORTH]])</f>
        <v>#NAME?</v>
      </c>
      <c r="O80" s="523" t="e">
        <f ca="1">gr(données_step[[#This Row],[S_PTOT]])</f>
        <v>#NAME?</v>
      </c>
      <c r="P80" s="523" t="e">
        <f ca="1">gr(données_step[[#This Row],[S_MES]])</f>
        <v>#NAME?</v>
      </c>
      <c r="Q80" s="523" t="e">
        <v>#N/A</v>
      </c>
      <c r="R80" s="523" t="e">
        <v>#N/A</v>
      </c>
      <c r="S80" s="523" t="e">
        <v>#N/A</v>
      </c>
      <c r="T80" s="523" t="e">
        <v>#N/A</v>
      </c>
      <c r="U80" s="523" t="e">
        <v>#N/A</v>
      </c>
      <c r="V80" s="523" t="e">
        <v>#N/A</v>
      </c>
      <c r="W80" s="523" t="e">
        <v>#N/A</v>
      </c>
      <c r="X80" s="523" t="e">
        <v>#N/A</v>
      </c>
      <c r="Y80" s="523" t="e">
        <v>#N/A</v>
      </c>
      <c r="Z80" s="523"/>
      <c r="AA80" s="523"/>
    </row>
    <row r="81" spans="1:27" x14ac:dyDescent="0.2">
      <c r="A81" s="222">
        <f>calculs!A81</f>
        <v>44632</v>
      </c>
      <c r="B81" s="523" t="e">
        <f ca="1">gr(données_step[[#This Row],[E_DBO5]])</f>
        <v>#NAME?</v>
      </c>
      <c r="C81" s="523" t="e">
        <f ca="1">gr(données_step[[#This Row],[E_DCO]])</f>
        <v>#NAME?</v>
      </c>
      <c r="D81" s="523" t="e">
        <f ca="1">gr(données_step[[#This Row],[E_COT]])</f>
        <v>#NAME?</v>
      </c>
      <c r="E81" s="523" t="e">
        <f ca="1">gr(données_step[[#This Row],[E_NH4]])</f>
        <v>#NAME?</v>
      </c>
      <c r="F81" s="523" t="e">
        <f ca="1">gr(données_step[[#This Row],[E_NTOT]])</f>
        <v>#NAME?</v>
      </c>
      <c r="G81" s="523" t="e">
        <f ca="1">gr(données_step[[#This Row],[E_PTOT]])</f>
        <v>#NAME?</v>
      </c>
      <c r="H81" s="523" t="e">
        <f ca="1">gr(données_step[[#This Row],[S_DBO5]])</f>
        <v>#NAME?</v>
      </c>
      <c r="I81" s="523" t="e">
        <f ca="1">gr(données_step[[#This Row],[S_DCO]])</f>
        <v>#NAME?</v>
      </c>
      <c r="J81" s="523" t="e">
        <f ca="1">gr(données_step[[#This Row],[S_COD]])</f>
        <v>#NAME?</v>
      </c>
      <c r="K81" s="523" t="e">
        <f ca="1">gr(données_step[[#This Row],[S_NH4]])</f>
        <v>#NAME?</v>
      </c>
      <c r="L81" s="523" t="e">
        <f ca="1">gr(données_step[[#This Row],[S_NO2]])</f>
        <v>#NAME?</v>
      </c>
      <c r="M81" s="523" t="e">
        <f ca="1">gr(données_step[[#This Row],[S_NO3]])</f>
        <v>#NAME?</v>
      </c>
      <c r="N81" s="523" t="e">
        <f ca="1">gr(données_step[[#This Row],[S_PORTH]])</f>
        <v>#NAME?</v>
      </c>
      <c r="O81" s="523" t="e">
        <f ca="1">gr(données_step[[#This Row],[S_PTOT]])</f>
        <v>#NAME?</v>
      </c>
      <c r="P81" s="523" t="e">
        <f ca="1">gr(données_step[[#This Row],[S_MES]])</f>
        <v>#NAME?</v>
      </c>
      <c r="Q81" s="523" t="e">
        <v>#N/A</v>
      </c>
      <c r="R81" s="523" t="e">
        <v>#N/A</v>
      </c>
      <c r="S81" s="523" t="e">
        <v>#N/A</v>
      </c>
      <c r="T81" s="523" t="e">
        <v>#N/A</v>
      </c>
      <c r="U81" s="523" t="e">
        <v>#N/A</v>
      </c>
      <c r="V81" s="523" t="e">
        <v>#N/A</v>
      </c>
      <c r="W81" s="523" t="e">
        <v>#N/A</v>
      </c>
      <c r="X81" s="523" t="e">
        <v>#N/A</v>
      </c>
      <c r="Y81" s="523" t="e">
        <v>#N/A</v>
      </c>
      <c r="Z81" s="523"/>
      <c r="AA81" s="523"/>
    </row>
    <row r="82" spans="1:27" x14ac:dyDescent="0.2">
      <c r="A82" s="222">
        <f>calculs!A82</f>
        <v>44633</v>
      </c>
      <c r="B82" s="523" t="e">
        <f ca="1">gr(données_step[[#This Row],[E_DBO5]])</f>
        <v>#NAME?</v>
      </c>
      <c r="C82" s="523" t="e">
        <f ca="1">gr(données_step[[#This Row],[E_DCO]])</f>
        <v>#NAME?</v>
      </c>
      <c r="D82" s="523" t="e">
        <f ca="1">gr(données_step[[#This Row],[E_COT]])</f>
        <v>#NAME?</v>
      </c>
      <c r="E82" s="523" t="e">
        <f ca="1">gr(données_step[[#This Row],[E_NH4]])</f>
        <v>#NAME?</v>
      </c>
      <c r="F82" s="523" t="e">
        <f ca="1">gr(données_step[[#This Row],[E_NTOT]])</f>
        <v>#NAME?</v>
      </c>
      <c r="G82" s="523" t="e">
        <f ca="1">gr(données_step[[#This Row],[E_PTOT]])</f>
        <v>#NAME?</v>
      </c>
      <c r="H82" s="523" t="e">
        <f ca="1">gr(données_step[[#This Row],[S_DBO5]])</f>
        <v>#NAME?</v>
      </c>
      <c r="I82" s="523" t="e">
        <f ca="1">gr(données_step[[#This Row],[S_DCO]])</f>
        <v>#NAME?</v>
      </c>
      <c r="J82" s="523" t="e">
        <f ca="1">gr(données_step[[#This Row],[S_COD]])</f>
        <v>#NAME?</v>
      </c>
      <c r="K82" s="523" t="e">
        <f ca="1">gr(données_step[[#This Row],[S_NH4]])</f>
        <v>#NAME?</v>
      </c>
      <c r="L82" s="523" t="e">
        <f ca="1">gr(données_step[[#This Row],[S_NO2]])</f>
        <v>#NAME?</v>
      </c>
      <c r="M82" s="523" t="e">
        <f ca="1">gr(données_step[[#This Row],[S_NO3]])</f>
        <v>#NAME?</v>
      </c>
      <c r="N82" s="523" t="e">
        <f ca="1">gr(données_step[[#This Row],[S_PORTH]])</f>
        <v>#NAME?</v>
      </c>
      <c r="O82" s="523" t="e">
        <f ca="1">gr(données_step[[#This Row],[S_PTOT]])</f>
        <v>#NAME?</v>
      </c>
      <c r="P82" s="523" t="e">
        <f ca="1">gr(données_step[[#This Row],[S_MES]])</f>
        <v>#NAME?</v>
      </c>
      <c r="Q82" s="523" t="e">
        <v>#N/A</v>
      </c>
      <c r="R82" s="523" t="e">
        <v>#N/A</v>
      </c>
      <c r="S82" s="523" t="e">
        <v>#N/A</v>
      </c>
      <c r="T82" s="523" t="e">
        <v>#N/A</v>
      </c>
      <c r="U82" s="523" t="e">
        <v>#N/A</v>
      </c>
      <c r="V82" s="523" t="e">
        <v>#N/A</v>
      </c>
      <c r="W82" s="523" t="e">
        <v>#N/A</v>
      </c>
      <c r="X82" s="523" t="e">
        <v>#N/A</v>
      </c>
      <c r="Y82" s="523" t="e">
        <v>#N/A</v>
      </c>
      <c r="Z82" s="523"/>
      <c r="AA82" s="523"/>
    </row>
    <row r="83" spans="1:27" x14ac:dyDescent="0.2">
      <c r="A83" s="222">
        <f>calculs!A83</f>
        <v>44634</v>
      </c>
      <c r="B83" s="523" t="e">
        <f ca="1">gr(données_step[[#This Row],[E_DBO5]])</f>
        <v>#NAME?</v>
      </c>
      <c r="C83" s="523" t="e">
        <f ca="1">gr(données_step[[#This Row],[E_DCO]])</f>
        <v>#NAME?</v>
      </c>
      <c r="D83" s="523" t="e">
        <f ca="1">gr(données_step[[#This Row],[E_COT]])</f>
        <v>#NAME?</v>
      </c>
      <c r="E83" s="523" t="e">
        <f ca="1">gr(données_step[[#This Row],[E_NH4]])</f>
        <v>#NAME?</v>
      </c>
      <c r="F83" s="523" t="e">
        <f ca="1">gr(données_step[[#This Row],[E_NTOT]])</f>
        <v>#NAME?</v>
      </c>
      <c r="G83" s="523" t="e">
        <f ca="1">gr(données_step[[#This Row],[E_PTOT]])</f>
        <v>#NAME?</v>
      </c>
      <c r="H83" s="523" t="e">
        <f ca="1">gr(données_step[[#This Row],[S_DBO5]])</f>
        <v>#NAME?</v>
      </c>
      <c r="I83" s="523" t="e">
        <f ca="1">gr(données_step[[#This Row],[S_DCO]])</f>
        <v>#NAME?</v>
      </c>
      <c r="J83" s="523" t="e">
        <f ca="1">gr(données_step[[#This Row],[S_COD]])</f>
        <v>#NAME?</v>
      </c>
      <c r="K83" s="523" t="e">
        <f ca="1">gr(données_step[[#This Row],[S_NH4]])</f>
        <v>#NAME?</v>
      </c>
      <c r="L83" s="523" t="e">
        <f ca="1">gr(données_step[[#This Row],[S_NO2]])</f>
        <v>#NAME?</v>
      </c>
      <c r="M83" s="523" t="e">
        <f ca="1">gr(données_step[[#This Row],[S_NO3]])</f>
        <v>#NAME?</v>
      </c>
      <c r="N83" s="523" t="e">
        <f ca="1">gr(données_step[[#This Row],[S_PORTH]])</f>
        <v>#NAME?</v>
      </c>
      <c r="O83" s="523" t="e">
        <f ca="1">gr(données_step[[#This Row],[S_PTOT]])</f>
        <v>#NAME?</v>
      </c>
      <c r="P83" s="523" t="e">
        <f ca="1">gr(données_step[[#This Row],[S_MES]])</f>
        <v>#NAME?</v>
      </c>
      <c r="Q83" s="523" t="e">
        <v>#N/A</v>
      </c>
      <c r="R83" s="523" t="e">
        <v>#N/A</v>
      </c>
      <c r="S83" s="523" t="e">
        <v>#N/A</v>
      </c>
      <c r="T83" s="523" t="e">
        <v>#N/A</v>
      </c>
      <c r="U83" s="523" t="e">
        <v>#N/A</v>
      </c>
      <c r="V83" s="523" t="e">
        <v>#N/A</v>
      </c>
      <c r="W83" s="523" t="e">
        <v>#N/A</v>
      </c>
      <c r="X83" s="523" t="e">
        <v>#N/A</v>
      </c>
      <c r="Y83" s="523" t="e">
        <v>#N/A</v>
      </c>
      <c r="Z83" s="523"/>
      <c r="AA83" s="523"/>
    </row>
    <row r="84" spans="1:27" x14ac:dyDescent="0.2">
      <c r="A84" s="222">
        <f>calculs!A84</f>
        <v>44635</v>
      </c>
      <c r="B84" s="523" t="e">
        <f ca="1">gr(données_step[[#This Row],[E_DBO5]])</f>
        <v>#NAME?</v>
      </c>
      <c r="C84" s="523" t="e">
        <f ca="1">gr(données_step[[#This Row],[E_DCO]])</f>
        <v>#NAME?</v>
      </c>
      <c r="D84" s="523" t="e">
        <f ca="1">gr(données_step[[#This Row],[E_COT]])</f>
        <v>#NAME?</v>
      </c>
      <c r="E84" s="523" t="e">
        <f ca="1">gr(données_step[[#This Row],[E_NH4]])</f>
        <v>#NAME?</v>
      </c>
      <c r="F84" s="523" t="e">
        <f ca="1">gr(données_step[[#This Row],[E_NTOT]])</f>
        <v>#NAME?</v>
      </c>
      <c r="G84" s="523" t="e">
        <f ca="1">gr(données_step[[#This Row],[E_PTOT]])</f>
        <v>#NAME?</v>
      </c>
      <c r="H84" s="523" t="e">
        <f ca="1">gr(données_step[[#This Row],[S_DBO5]])</f>
        <v>#NAME?</v>
      </c>
      <c r="I84" s="523" t="e">
        <f ca="1">gr(données_step[[#This Row],[S_DCO]])</f>
        <v>#NAME?</v>
      </c>
      <c r="J84" s="523" t="e">
        <f ca="1">gr(données_step[[#This Row],[S_COD]])</f>
        <v>#NAME?</v>
      </c>
      <c r="K84" s="523" t="e">
        <f ca="1">gr(données_step[[#This Row],[S_NH4]])</f>
        <v>#NAME?</v>
      </c>
      <c r="L84" s="523" t="e">
        <f ca="1">gr(données_step[[#This Row],[S_NO2]])</f>
        <v>#NAME?</v>
      </c>
      <c r="M84" s="523" t="e">
        <f ca="1">gr(données_step[[#This Row],[S_NO3]])</f>
        <v>#NAME?</v>
      </c>
      <c r="N84" s="523" t="e">
        <f ca="1">gr(données_step[[#This Row],[S_PORTH]])</f>
        <v>#NAME?</v>
      </c>
      <c r="O84" s="523" t="e">
        <f ca="1">gr(données_step[[#This Row],[S_PTOT]])</f>
        <v>#NAME?</v>
      </c>
      <c r="P84" s="523" t="e">
        <f ca="1">gr(données_step[[#This Row],[S_MES]])</f>
        <v>#NAME?</v>
      </c>
      <c r="Q84" s="523" t="e">
        <v>#N/A</v>
      </c>
      <c r="R84" s="523" t="e">
        <v>#N/A</v>
      </c>
      <c r="S84" s="523" t="e">
        <v>#N/A</v>
      </c>
      <c r="T84" s="523" t="e">
        <v>#N/A</v>
      </c>
      <c r="U84" s="523" t="e">
        <v>#N/A</v>
      </c>
      <c r="V84" s="523" t="e">
        <v>#N/A</v>
      </c>
      <c r="W84" s="523" t="e">
        <v>#N/A</v>
      </c>
      <c r="X84" s="523" t="e">
        <v>#N/A</v>
      </c>
      <c r="Y84" s="523" t="e">
        <v>#N/A</v>
      </c>
      <c r="Z84" s="523"/>
      <c r="AA84" s="523"/>
    </row>
    <row r="85" spans="1:27" x14ac:dyDescent="0.2">
      <c r="A85" s="222">
        <f>calculs!A85</f>
        <v>44636</v>
      </c>
      <c r="B85" s="523" t="e">
        <f ca="1">gr(données_step[[#This Row],[E_DBO5]])</f>
        <v>#NAME?</v>
      </c>
      <c r="C85" s="523" t="e">
        <f ca="1">gr(données_step[[#This Row],[E_DCO]])</f>
        <v>#NAME?</v>
      </c>
      <c r="D85" s="523" t="e">
        <f ca="1">gr(données_step[[#This Row],[E_COT]])</f>
        <v>#NAME?</v>
      </c>
      <c r="E85" s="523" t="e">
        <f ca="1">gr(données_step[[#This Row],[E_NH4]])</f>
        <v>#NAME?</v>
      </c>
      <c r="F85" s="523" t="e">
        <f ca="1">gr(données_step[[#This Row],[E_NTOT]])</f>
        <v>#NAME?</v>
      </c>
      <c r="G85" s="523" t="e">
        <f ca="1">gr(données_step[[#This Row],[E_PTOT]])</f>
        <v>#NAME?</v>
      </c>
      <c r="H85" s="523" t="e">
        <f ca="1">gr(données_step[[#This Row],[S_DBO5]])</f>
        <v>#NAME?</v>
      </c>
      <c r="I85" s="523" t="e">
        <f ca="1">gr(données_step[[#This Row],[S_DCO]])</f>
        <v>#NAME?</v>
      </c>
      <c r="J85" s="523" t="e">
        <f ca="1">gr(données_step[[#This Row],[S_COD]])</f>
        <v>#NAME?</v>
      </c>
      <c r="K85" s="523" t="e">
        <f ca="1">gr(données_step[[#This Row],[S_NH4]])</f>
        <v>#NAME?</v>
      </c>
      <c r="L85" s="523" t="e">
        <f ca="1">gr(données_step[[#This Row],[S_NO2]])</f>
        <v>#NAME?</v>
      </c>
      <c r="M85" s="523" t="e">
        <f ca="1">gr(données_step[[#This Row],[S_NO3]])</f>
        <v>#NAME?</v>
      </c>
      <c r="N85" s="523" t="e">
        <f ca="1">gr(données_step[[#This Row],[S_PORTH]])</f>
        <v>#NAME?</v>
      </c>
      <c r="O85" s="523" t="e">
        <f ca="1">gr(données_step[[#This Row],[S_PTOT]])</f>
        <v>#NAME?</v>
      </c>
      <c r="P85" s="523" t="e">
        <f ca="1">gr(données_step[[#This Row],[S_MES]])</f>
        <v>#NAME?</v>
      </c>
      <c r="Q85" s="523" t="e">
        <v>#N/A</v>
      </c>
      <c r="R85" s="523" t="e">
        <v>#N/A</v>
      </c>
      <c r="S85" s="523" t="e">
        <v>#N/A</v>
      </c>
      <c r="T85" s="523" t="e">
        <v>#N/A</v>
      </c>
      <c r="U85" s="523" t="e">
        <v>#N/A</v>
      </c>
      <c r="V85" s="523" t="e">
        <v>#N/A</v>
      </c>
      <c r="W85" s="523" t="e">
        <v>#N/A</v>
      </c>
      <c r="X85" s="523" t="e">
        <v>#N/A</v>
      </c>
      <c r="Y85" s="523" t="e">
        <v>#N/A</v>
      </c>
      <c r="Z85" s="523"/>
      <c r="AA85" s="523"/>
    </row>
    <row r="86" spans="1:27" x14ac:dyDescent="0.2">
      <c r="A86" s="222">
        <f>calculs!A86</f>
        <v>44637</v>
      </c>
      <c r="B86" s="523" t="e">
        <f ca="1">gr(données_step[[#This Row],[E_DBO5]])</f>
        <v>#NAME?</v>
      </c>
      <c r="C86" s="523" t="e">
        <f ca="1">gr(données_step[[#This Row],[E_DCO]])</f>
        <v>#NAME?</v>
      </c>
      <c r="D86" s="523" t="e">
        <f ca="1">gr(données_step[[#This Row],[E_COT]])</f>
        <v>#NAME?</v>
      </c>
      <c r="E86" s="523" t="e">
        <f ca="1">gr(données_step[[#This Row],[E_NH4]])</f>
        <v>#NAME?</v>
      </c>
      <c r="F86" s="523" t="e">
        <f ca="1">gr(données_step[[#This Row],[E_NTOT]])</f>
        <v>#NAME?</v>
      </c>
      <c r="G86" s="523" t="e">
        <f ca="1">gr(données_step[[#This Row],[E_PTOT]])</f>
        <v>#NAME?</v>
      </c>
      <c r="H86" s="523" t="e">
        <f ca="1">gr(données_step[[#This Row],[S_DBO5]])</f>
        <v>#NAME?</v>
      </c>
      <c r="I86" s="523" t="e">
        <f ca="1">gr(données_step[[#This Row],[S_DCO]])</f>
        <v>#NAME?</v>
      </c>
      <c r="J86" s="523" t="e">
        <f ca="1">gr(données_step[[#This Row],[S_COD]])</f>
        <v>#NAME?</v>
      </c>
      <c r="K86" s="523" t="e">
        <f ca="1">gr(données_step[[#This Row],[S_NH4]])</f>
        <v>#NAME?</v>
      </c>
      <c r="L86" s="523" t="e">
        <f ca="1">gr(données_step[[#This Row],[S_NO2]])</f>
        <v>#NAME?</v>
      </c>
      <c r="M86" s="523" t="e">
        <f ca="1">gr(données_step[[#This Row],[S_NO3]])</f>
        <v>#NAME?</v>
      </c>
      <c r="N86" s="523" t="e">
        <f ca="1">gr(données_step[[#This Row],[S_PORTH]])</f>
        <v>#NAME?</v>
      </c>
      <c r="O86" s="523" t="e">
        <f ca="1">gr(données_step[[#This Row],[S_PTOT]])</f>
        <v>#NAME?</v>
      </c>
      <c r="P86" s="523" t="e">
        <f ca="1">gr(données_step[[#This Row],[S_MES]])</f>
        <v>#NAME?</v>
      </c>
      <c r="Q86" s="523" t="e">
        <v>#N/A</v>
      </c>
      <c r="R86" s="523" t="e">
        <v>#N/A</v>
      </c>
      <c r="S86" s="523" t="e">
        <v>#N/A</v>
      </c>
      <c r="T86" s="523" t="e">
        <v>#N/A</v>
      </c>
      <c r="U86" s="523" t="e">
        <v>#N/A</v>
      </c>
      <c r="V86" s="523" t="e">
        <v>#N/A</v>
      </c>
      <c r="W86" s="523" t="e">
        <v>#N/A</v>
      </c>
      <c r="X86" s="523" t="e">
        <v>#N/A</v>
      </c>
      <c r="Y86" s="523" t="e">
        <v>#N/A</v>
      </c>
      <c r="Z86" s="523"/>
      <c r="AA86" s="523"/>
    </row>
    <row r="87" spans="1:27" x14ac:dyDescent="0.2">
      <c r="A87" s="222">
        <f>calculs!A87</f>
        <v>44638</v>
      </c>
      <c r="B87" s="523" t="e">
        <f ca="1">gr(données_step[[#This Row],[E_DBO5]])</f>
        <v>#NAME?</v>
      </c>
      <c r="C87" s="523" t="e">
        <f ca="1">gr(données_step[[#This Row],[E_DCO]])</f>
        <v>#NAME?</v>
      </c>
      <c r="D87" s="523" t="e">
        <f ca="1">gr(données_step[[#This Row],[E_COT]])</f>
        <v>#NAME?</v>
      </c>
      <c r="E87" s="523" t="e">
        <f ca="1">gr(données_step[[#This Row],[E_NH4]])</f>
        <v>#NAME?</v>
      </c>
      <c r="F87" s="523" t="e">
        <f ca="1">gr(données_step[[#This Row],[E_NTOT]])</f>
        <v>#NAME?</v>
      </c>
      <c r="G87" s="523" t="e">
        <f ca="1">gr(données_step[[#This Row],[E_PTOT]])</f>
        <v>#NAME?</v>
      </c>
      <c r="H87" s="523" t="e">
        <f ca="1">gr(données_step[[#This Row],[S_DBO5]])</f>
        <v>#NAME?</v>
      </c>
      <c r="I87" s="523" t="e">
        <f ca="1">gr(données_step[[#This Row],[S_DCO]])</f>
        <v>#NAME?</v>
      </c>
      <c r="J87" s="523" t="e">
        <f ca="1">gr(données_step[[#This Row],[S_COD]])</f>
        <v>#NAME?</v>
      </c>
      <c r="K87" s="523" t="e">
        <f ca="1">gr(données_step[[#This Row],[S_NH4]])</f>
        <v>#NAME?</v>
      </c>
      <c r="L87" s="523" t="e">
        <f ca="1">gr(données_step[[#This Row],[S_NO2]])</f>
        <v>#NAME?</v>
      </c>
      <c r="M87" s="523" t="e">
        <f ca="1">gr(données_step[[#This Row],[S_NO3]])</f>
        <v>#NAME?</v>
      </c>
      <c r="N87" s="523" t="e">
        <f ca="1">gr(données_step[[#This Row],[S_PORTH]])</f>
        <v>#NAME?</v>
      </c>
      <c r="O87" s="523" t="e">
        <f ca="1">gr(données_step[[#This Row],[S_PTOT]])</f>
        <v>#NAME?</v>
      </c>
      <c r="P87" s="523" t="e">
        <f ca="1">gr(données_step[[#This Row],[S_MES]])</f>
        <v>#NAME?</v>
      </c>
      <c r="Q87" s="523" t="e">
        <v>#N/A</v>
      </c>
      <c r="R87" s="523" t="e">
        <v>#N/A</v>
      </c>
      <c r="S87" s="523" t="e">
        <v>#N/A</v>
      </c>
      <c r="T87" s="523" t="e">
        <v>#N/A</v>
      </c>
      <c r="U87" s="523" t="e">
        <v>#N/A</v>
      </c>
      <c r="V87" s="523" t="e">
        <v>#N/A</v>
      </c>
      <c r="W87" s="523" t="e">
        <v>#N/A</v>
      </c>
      <c r="X87" s="523" t="e">
        <v>#N/A</v>
      </c>
      <c r="Y87" s="523" t="e">
        <v>#N/A</v>
      </c>
      <c r="Z87" s="523"/>
      <c r="AA87" s="523"/>
    </row>
    <row r="88" spans="1:27" x14ac:dyDescent="0.2">
      <c r="A88" s="222">
        <f>calculs!A88</f>
        <v>44639</v>
      </c>
      <c r="B88" s="523" t="e">
        <f ca="1">gr(données_step[[#This Row],[E_DBO5]])</f>
        <v>#NAME?</v>
      </c>
      <c r="C88" s="523" t="e">
        <f ca="1">gr(données_step[[#This Row],[E_DCO]])</f>
        <v>#NAME?</v>
      </c>
      <c r="D88" s="523" t="e">
        <f ca="1">gr(données_step[[#This Row],[E_COT]])</f>
        <v>#NAME?</v>
      </c>
      <c r="E88" s="523" t="e">
        <f ca="1">gr(données_step[[#This Row],[E_NH4]])</f>
        <v>#NAME?</v>
      </c>
      <c r="F88" s="523" t="e">
        <f ca="1">gr(données_step[[#This Row],[E_NTOT]])</f>
        <v>#NAME?</v>
      </c>
      <c r="G88" s="523" t="e">
        <f ca="1">gr(données_step[[#This Row],[E_PTOT]])</f>
        <v>#NAME?</v>
      </c>
      <c r="H88" s="523" t="e">
        <f ca="1">gr(données_step[[#This Row],[S_DBO5]])</f>
        <v>#NAME?</v>
      </c>
      <c r="I88" s="523" t="e">
        <f ca="1">gr(données_step[[#This Row],[S_DCO]])</f>
        <v>#NAME?</v>
      </c>
      <c r="J88" s="523" t="e">
        <f ca="1">gr(données_step[[#This Row],[S_COD]])</f>
        <v>#NAME?</v>
      </c>
      <c r="K88" s="523" t="e">
        <f ca="1">gr(données_step[[#This Row],[S_NH4]])</f>
        <v>#NAME?</v>
      </c>
      <c r="L88" s="523" t="e">
        <f ca="1">gr(données_step[[#This Row],[S_NO2]])</f>
        <v>#NAME?</v>
      </c>
      <c r="M88" s="523" t="e">
        <f ca="1">gr(données_step[[#This Row],[S_NO3]])</f>
        <v>#NAME?</v>
      </c>
      <c r="N88" s="523" t="e">
        <f ca="1">gr(données_step[[#This Row],[S_PORTH]])</f>
        <v>#NAME?</v>
      </c>
      <c r="O88" s="523" t="e">
        <f ca="1">gr(données_step[[#This Row],[S_PTOT]])</f>
        <v>#NAME?</v>
      </c>
      <c r="P88" s="523" t="e">
        <f ca="1">gr(données_step[[#This Row],[S_MES]])</f>
        <v>#NAME?</v>
      </c>
      <c r="Q88" s="523" t="e">
        <v>#N/A</v>
      </c>
      <c r="R88" s="523" t="e">
        <v>#N/A</v>
      </c>
      <c r="S88" s="523" t="e">
        <v>#N/A</v>
      </c>
      <c r="T88" s="523" t="e">
        <v>#N/A</v>
      </c>
      <c r="U88" s="523" t="e">
        <v>#N/A</v>
      </c>
      <c r="V88" s="523" t="e">
        <v>#N/A</v>
      </c>
      <c r="W88" s="523" t="e">
        <v>#N/A</v>
      </c>
      <c r="X88" s="523" t="e">
        <v>#N/A</v>
      </c>
      <c r="Y88" s="523" t="e">
        <v>#N/A</v>
      </c>
      <c r="Z88" s="523"/>
      <c r="AA88" s="523"/>
    </row>
    <row r="89" spans="1:27" x14ac:dyDescent="0.2">
      <c r="A89" s="222">
        <f>calculs!A89</f>
        <v>44640</v>
      </c>
      <c r="B89" s="523" t="e">
        <f ca="1">gr(données_step[[#This Row],[E_DBO5]])</f>
        <v>#NAME?</v>
      </c>
      <c r="C89" s="523" t="e">
        <f ca="1">gr(données_step[[#This Row],[E_DCO]])</f>
        <v>#NAME?</v>
      </c>
      <c r="D89" s="523" t="e">
        <f ca="1">gr(données_step[[#This Row],[E_COT]])</f>
        <v>#NAME?</v>
      </c>
      <c r="E89" s="523" t="e">
        <f ca="1">gr(données_step[[#This Row],[E_NH4]])</f>
        <v>#NAME?</v>
      </c>
      <c r="F89" s="523" t="e">
        <f ca="1">gr(données_step[[#This Row],[E_NTOT]])</f>
        <v>#NAME?</v>
      </c>
      <c r="G89" s="523" t="e">
        <f ca="1">gr(données_step[[#This Row],[E_PTOT]])</f>
        <v>#NAME?</v>
      </c>
      <c r="H89" s="523" t="e">
        <f ca="1">gr(données_step[[#This Row],[S_DBO5]])</f>
        <v>#NAME?</v>
      </c>
      <c r="I89" s="523" t="e">
        <f ca="1">gr(données_step[[#This Row],[S_DCO]])</f>
        <v>#NAME?</v>
      </c>
      <c r="J89" s="523" t="e">
        <f ca="1">gr(données_step[[#This Row],[S_COD]])</f>
        <v>#NAME?</v>
      </c>
      <c r="K89" s="523" t="e">
        <f ca="1">gr(données_step[[#This Row],[S_NH4]])</f>
        <v>#NAME?</v>
      </c>
      <c r="L89" s="523" t="e">
        <f ca="1">gr(données_step[[#This Row],[S_NO2]])</f>
        <v>#NAME?</v>
      </c>
      <c r="M89" s="523" t="e">
        <f ca="1">gr(données_step[[#This Row],[S_NO3]])</f>
        <v>#NAME?</v>
      </c>
      <c r="N89" s="523" t="e">
        <f ca="1">gr(données_step[[#This Row],[S_PORTH]])</f>
        <v>#NAME?</v>
      </c>
      <c r="O89" s="523" t="e">
        <f ca="1">gr(données_step[[#This Row],[S_PTOT]])</f>
        <v>#NAME?</v>
      </c>
      <c r="P89" s="523" t="e">
        <f ca="1">gr(données_step[[#This Row],[S_MES]])</f>
        <v>#NAME?</v>
      </c>
      <c r="Q89" s="523" t="e">
        <v>#N/A</v>
      </c>
      <c r="R89" s="523" t="e">
        <v>#N/A</v>
      </c>
      <c r="S89" s="523" t="e">
        <v>#N/A</v>
      </c>
      <c r="T89" s="523" t="e">
        <v>#N/A</v>
      </c>
      <c r="U89" s="523" t="e">
        <v>#N/A</v>
      </c>
      <c r="V89" s="523" t="e">
        <v>#N/A</v>
      </c>
      <c r="W89" s="523" t="e">
        <v>#N/A</v>
      </c>
      <c r="X89" s="523" t="e">
        <v>#N/A</v>
      </c>
      <c r="Y89" s="523" t="e">
        <v>#N/A</v>
      </c>
      <c r="Z89" s="523"/>
      <c r="AA89" s="523"/>
    </row>
    <row r="90" spans="1:27" x14ac:dyDescent="0.2">
      <c r="A90" s="222">
        <f>calculs!A90</f>
        <v>44641</v>
      </c>
      <c r="B90" s="523" t="e">
        <f ca="1">gr(données_step[[#This Row],[E_DBO5]])</f>
        <v>#NAME?</v>
      </c>
      <c r="C90" s="523" t="e">
        <f ca="1">gr(données_step[[#This Row],[E_DCO]])</f>
        <v>#NAME?</v>
      </c>
      <c r="D90" s="523" t="e">
        <f ca="1">gr(données_step[[#This Row],[E_COT]])</f>
        <v>#NAME?</v>
      </c>
      <c r="E90" s="523" t="e">
        <f ca="1">gr(données_step[[#This Row],[E_NH4]])</f>
        <v>#NAME?</v>
      </c>
      <c r="F90" s="523" t="e">
        <f ca="1">gr(données_step[[#This Row],[E_NTOT]])</f>
        <v>#NAME?</v>
      </c>
      <c r="G90" s="523" t="e">
        <f ca="1">gr(données_step[[#This Row],[E_PTOT]])</f>
        <v>#NAME?</v>
      </c>
      <c r="H90" s="523" t="e">
        <f ca="1">gr(données_step[[#This Row],[S_DBO5]])</f>
        <v>#NAME?</v>
      </c>
      <c r="I90" s="523" t="e">
        <f ca="1">gr(données_step[[#This Row],[S_DCO]])</f>
        <v>#NAME?</v>
      </c>
      <c r="J90" s="523" t="e">
        <f ca="1">gr(données_step[[#This Row],[S_COD]])</f>
        <v>#NAME?</v>
      </c>
      <c r="K90" s="523" t="e">
        <f ca="1">gr(données_step[[#This Row],[S_NH4]])</f>
        <v>#NAME?</v>
      </c>
      <c r="L90" s="523" t="e">
        <f ca="1">gr(données_step[[#This Row],[S_NO2]])</f>
        <v>#NAME?</v>
      </c>
      <c r="M90" s="523" t="e">
        <f ca="1">gr(données_step[[#This Row],[S_NO3]])</f>
        <v>#NAME?</v>
      </c>
      <c r="N90" s="523" t="e">
        <f ca="1">gr(données_step[[#This Row],[S_PORTH]])</f>
        <v>#NAME?</v>
      </c>
      <c r="O90" s="523" t="e">
        <f ca="1">gr(données_step[[#This Row],[S_PTOT]])</f>
        <v>#NAME?</v>
      </c>
      <c r="P90" s="523" t="e">
        <f ca="1">gr(données_step[[#This Row],[S_MES]])</f>
        <v>#NAME?</v>
      </c>
      <c r="Q90" s="523" t="e">
        <v>#N/A</v>
      </c>
      <c r="R90" s="523" t="e">
        <v>#N/A</v>
      </c>
      <c r="S90" s="523" t="e">
        <v>#N/A</v>
      </c>
      <c r="T90" s="523" t="e">
        <v>#N/A</v>
      </c>
      <c r="U90" s="523" t="e">
        <v>#N/A</v>
      </c>
      <c r="V90" s="523" t="e">
        <v>#N/A</v>
      </c>
      <c r="W90" s="523" t="e">
        <v>#N/A</v>
      </c>
      <c r="X90" s="523" t="e">
        <v>#N/A</v>
      </c>
      <c r="Y90" s="523" t="e">
        <v>#N/A</v>
      </c>
      <c r="Z90" s="523"/>
      <c r="AA90" s="523"/>
    </row>
    <row r="91" spans="1:27" x14ac:dyDescent="0.2">
      <c r="A91" s="222">
        <f>calculs!A91</f>
        <v>44642</v>
      </c>
      <c r="B91" s="523" t="e">
        <f ca="1">gr(données_step[[#This Row],[E_DBO5]])</f>
        <v>#NAME?</v>
      </c>
      <c r="C91" s="523" t="e">
        <f ca="1">gr(données_step[[#This Row],[E_DCO]])</f>
        <v>#NAME?</v>
      </c>
      <c r="D91" s="523" t="e">
        <f ca="1">gr(données_step[[#This Row],[E_COT]])</f>
        <v>#NAME?</v>
      </c>
      <c r="E91" s="523" t="e">
        <f ca="1">gr(données_step[[#This Row],[E_NH4]])</f>
        <v>#NAME?</v>
      </c>
      <c r="F91" s="523" t="e">
        <f ca="1">gr(données_step[[#This Row],[E_NTOT]])</f>
        <v>#NAME?</v>
      </c>
      <c r="G91" s="523" t="e">
        <f ca="1">gr(données_step[[#This Row],[E_PTOT]])</f>
        <v>#NAME?</v>
      </c>
      <c r="H91" s="523" t="e">
        <f ca="1">gr(données_step[[#This Row],[S_DBO5]])</f>
        <v>#NAME?</v>
      </c>
      <c r="I91" s="523" t="e">
        <f ca="1">gr(données_step[[#This Row],[S_DCO]])</f>
        <v>#NAME?</v>
      </c>
      <c r="J91" s="523" t="e">
        <f ca="1">gr(données_step[[#This Row],[S_COD]])</f>
        <v>#NAME?</v>
      </c>
      <c r="K91" s="523" t="e">
        <f ca="1">gr(données_step[[#This Row],[S_NH4]])</f>
        <v>#NAME?</v>
      </c>
      <c r="L91" s="523" t="e">
        <f ca="1">gr(données_step[[#This Row],[S_NO2]])</f>
        <v>#NAME?</v>
      </c>
      <c r="M91" s="523" t="e">
        <f ca="1">gr(données_step[[#This Row],[S_NO3]])</f>
        <v>#NAME?</v>
      </c>
      <c r="N91" s="523" t="e">
        <f ca="1">gr(données_step[[#This Row],[S_PORTH]])</f>
        <v>#NAME?</v>
      </c>
      <c r="O91" s="523" t="e">
        <f ca="1">gr(données_step[[#This Row],[S_PTOT]])</f>
        <v>#NAME?</v>
      </c>
      <c r="P91" s="523" t="e">
        <f ca="1">gr(données_step[[#This Row],[S_MES]])</f>
        <v>#NAME?</v>
      </c>
      <c r="Q91" s="523" t="e">
        <v>#N/A</v>
      </c>
      <c r="R91" s="523" t="e">
        <v>#N/A</v>
      </c>
      <c r="S91" s="523" t="e">
        <v>#N/A</v>
      </c>
      <c r="T91" s="523" t="e">
        <v>#N/A</v>
      </c>
      <c r="U91" s="523" t="e">
        <v>#N/A</v>
      </c>
      <c r="V91" s="523" t="e">
        <v>#N/A</v>
      </c>
      <c r="W91" s="523" t="e">
        <v>#N/A</v>
      </c>
      <c r="X91" s="523" t="e">
        <v>#N/A</v>
      </c>
      <c r="Y91" s="523" t="e">
        <v>#N/A</v>
      </c>
      <c r="Z91" s="523"/>
      <c r="AA91" s="523"/>
    </row>
    <row r="92" spans="1:27" x14ac:dyDescent="0.2">
      <c r="A92" s="222">
        <f>calculs!A92</f>
        <v>44643</v>
      </c>
      <c r="B92" s="523" t="e">
        <f ca="1">gr(données_step[[#This Row],[E_DBO5]])</f>
        <v>#NAME?</v>
      </c>
      <c r="C92" s="523" t="e">
        <f ca="1">gr(données_step[[#This Row],[E_DCO]])</f>
        <v>#NAME?</v>
      </c>
      <c r="D92" s="523" t="e">
        <f ca="1">gr(données_step[[#This Row],[E_COT]])</f>
        <v>#NAME?</v>
      </c>
      <c r="E92" s="523" t="e">
        <f ca="1">gr(données_step[[#This Row],[E_NH4]])</f>
        <v>#NAME?</v>
      </c>
      <c r="F92" s="523" t="e">
        <f ca="1">gr(données_step[[#This Row],[E_NTOT]])</f>
        <v>#NAME?</v>
      </c>
      <c r="G92" s="523" t="e">
        <f ca="1">gr(données_step[[#This Row],[E_PTOT]])</f>
        <v>#NAME?</v>
      </c>
      <c r="H92" s="523" t="e">
        <f ca="1">gr(données_step[[#This Row],[S_DBO5]])</f>
        <v>#NAME?</v>
      </c>
      <c r="I92" s="523" t="e">
        <f ca="1">gr(données_step[[#This Row],[S_DCO]])</f>
        <v>#NAME?</v>
      </c>
      <c r="J92" s="523" t="e">
        <f ca="1">gr(données_step[[#This Row],[S_COD]])</f>
        <v>#NAME?</v>
      </c>
      <c r="K92" s="523" t="e">
        <f ca="1">gr(données_step[[#This Row],[S_NH4]])</f>
        <v>#NAME?</v>
      </c>
      <c r="L92" s="523" t="e">
        <f ca="1">gr(données_step[[#This Row],[S_NO2]])</f>
        <v>#NAME?</v>
      </c>
      <c r="M92" s="523" t="e">
        <f ca="1">gr(données_step[[#This Row],[S_NO3]])</f>
        <v>#NAME?</v>
      </c>
      <c r="N92" s="523" t="e">
        <f ca="1">gr(données_step[[#This Row],[S_PORTH]])</f>
        <v>#NAME?</v>
      </c>
      <c r="O92" s="523" t="e">
        <f ca="1">gr(données_step[[#This Row],[S_PTOT]])</f>
        <v>#NAME?</v>
      </c>
      <c r="P92" s="523" t="e">
        <f ca="1">gr(données_step[[#This Row],[S_MES]])</f>
        <v>#NAME?</v>
      </c>
      <c r="Q92" s="523" t="e">
        <v>#N/A</v>
      </c>
      <c r="R92" s="523" t="e">
        <v>#N/A</v>
      </c>
      <c r="S92" s="523" t="e">
        <v>#N/A</v>
      </c>
      <c r="T92" s="523" t="e">
        <v>#N/A</v>
      </c>
      <c r="U92" s="523" t="e">
        <v>#N/A</v>
      </c>
      <c r="V92" s="523" t="e">
        <v>#N/A</v>
      </c>
      <c r="W92" s="523" t="e">
        <v>#N/A</v>
      </c>
      <c r="X92" s="523" t="e">
        <v>#N/A</v>
      </c>
      <c r="Y92" s="523" t="e">
        <v>#N/A</v>
      </c>
      <c r="Z92" s="523"/>
      <c r="AA92" s="523"/>
    </row>
    <row r="93" spans="1:27" x14ac:dyDescent="0.2">
      <c r="A93" s="222">
        <f>calculs!A93</f>
        <v>44644</v>
      </c>
      <c r="B93" s="523" t="e">
        <f ca="1">gr(données_step[[#This Row],[E_DBO5]])</f>
        <v>#NAME?</v>
      </c>
      <c r="C93" s="523" t="e">
        <f ca="1">gr(données_step[[#This Row],[E_DCO]])</f>
        <v>#NAME?</v>
      </c>
      <c r="D93" s="523" t="e">
        <f ca="1">gr(données_step[[#This Row],[E_COT]])</f>
        <v>#NAME?</v>
      </c>
      <c r="E93" s="523" t="e">
        <f ca="1">gr(données_step[[#This Row],[E_NH4]])</f>
        <v>#NAME?</v>
      </c>
      <c r="F93" s="523" t="e">
        <f ca="1">gr(données_step[[#This Row],[E_NTOT]])</f>
        <v>#NAME?</v>
      </c>
      <c r="G93" s="523" t="e">
        <f ca="1">gr(données_step[[#This Row],[E_PTOT]])</f>
        <v>#NAME?</v>
      </c>
      <c r="H93" s="523" t="e">
        <f ca="1">gr(données_step[[#This Row],[S_DBO5]])</f>
        <v>#NAME?</v>
      </c>
      <c r="I93" s="523" t="e">
        <f ca="1">gr(données_step[[#This Row],[S_DCO]])</f>
        <v>#NAME?</v>
      </c>
      <c r="J93" s="523" t="e">
        <f ca="1">gr(données_step[[#This Row],[S_COD]])</f>
        <v>#NAME?</v>
      </c>
      <c r="K93" s="523" t="e">
        <f ca="1">gr(données_step[[#This Row],[S_NH4]])</f>
        <v>#NAME?</v>
      </c>
      <c r="L93" s="523" t="e">
        <f ca="1">gr(données_step[[#This Row],[S_NO2]])</f>
        <v>#NAME?</v>
      </c>
      <c r="M93" s="523" t="e">
        <f ca="1">gr(données_step[[#This Row],[S_NO3]])</f>
        <v>#NAME?</v>
      </c>
      <c r="N93" s="523" t="e">
        <f ca="1">gr(données_step[[#This Row],[S_PORTH]])</f>
        <v>#NAME?</v>
      </c>
      <c r="O93" s="523" t="e">
        <f ca="1">gr(données_step[[#This Row],[S_PTOT]])</f>
        <v>#NAME?</v>
      </c>
      <c r="P93" s="523" t="e">
        <f ca="1">gr(données_step[[#This Row],[S_MES]])</f>
        <v>#NAME?</v>
      </c>
      <c r="Q93" s="523" t="e">
        <v>#N/A</v>
      </c>
      <c r="R93" s="523" t="e">
        <v>#N/A</v>
      </c>
      <c r="S93" s="523" t="e">
        <v>#N/A</v>
      </c>
      <c r="T93" s="523" t="e">
        <v>#N/A</v>
      </c>
      <c r="U93" s="523" t="e">
        <v>#N/A</v>
      </c>
      <c r="V93" s="523" t="e">
        <v>#N/A</v>
      </c>
      <c r="W93" s="523" t="e">
        <v>#N/A</v>
      </c>
      <c r="X93" s="523" t="e">
        <v>#N/A</v>
      </c>
      <c r="Y93" s="523" t="e">
        <v>#N/A</v>
      </c>
      <c r="Z93" s="523"/>
      <c r="AA93" s="523"/>
    </row>
    <row r="94" spans="1:27" x14ac:dyDescent="0.2">
      <c r="A94" s="222">
        <f>calculs!A94</f>
        <v>44645</v>
      </c>
      <c r="B94" s="523" t="e">
        <f ca="1">gr(données_step[[#This Row],[E_DBO5]])</f>
        <v>#NAME?</v>
      </c>
      <c r="C94" s="523" t="e">
        <f ca="1">gr(données_step[[#This Row],[E_DCO]])</f>
        <v>#NAME?</v>
      </c>
      <c r="D94" s="523" t="e">
        <f ca="1">gr(données_step[[#This Row],[E_COT]])</f>
        <v>#NAME?</v>
      </c>
      <c r="E94" s="523" t="e">
        <f ca="1">gr(données_step[[#This Row],[E_NH4]])</f>
        <v>#NAME?</v>
      </c>
      <c r="F94" s="523" t="e">
        <f ca="1">gr(données_step[[#This Row],[E_NTOT]])</f>
        <v>#NAME?</v>
      </c>
      <c r="G94" s="523" t="e">
        <f ca="1">gr(données_step[[#This Row],[E_PTOT]])</f>
        <v>#NAME?</v>
      </c>
      <c r="H94" s="523" t="e">
        <f ca="1">gr(données_step[[#This Row],[S_DBO5]])</f>
        <v>#NAME?</v>
      </c>
      <c r="I94" s="523" t="e">
        <f ca="1">gr(données_step[[#This Row],[S_DCO]])</f>
        <v>#NAME?</v>
      </c>
      <c r="J94" s="523" t="e">
        <f ca="1">gr(données_step[[#This Row],[S_COD]])</f>
        <v>#NAME?</v>
      </c>
      <c r="K94" s="523" t="e">
        <f ca="1">gr(données_step[[#This Row],[S_NH4]])</f>
        <v>#NAME?</v>
      </c>
      <c r="L94" s="523" t="e">
        <f ca="1">gr(données_step[[#This Row],[S_NO2]])</f>
        <v>#NAME?</v>
      </c>
      <c r="M94" s="523" t="e">
        <f ca="1">gr(données_step[[#This Row],[S_NO3]])</f>
        <v>#NAME?</v>
      </c>
      <c r="N94" s="523" t="e">
        <f ca="1">gr(données_step[[#This Row],[S_PORTH]])</f>
        <v>#NAME?</v>
      </c>
      <c r="O94" s="523" t="e">
        <f ca="1">gr(données_step[[#This Row],[S_PTOT]])</f>
        <v>#NAME?</v>
      </c>
      <c r="P94" s="523" t="e">
        <f ca="1">gr(données_step[[#This Row],[S_MES]])</f>
        <v>#NAME?</v>
      </c>
      <c r="Q94" s="523" t="e">
        <v>#N/A</v>
      </c>
      <c r="R94" s="523" t="e">
        <v>#N/A</v>
      </c>
      <c r="S94" s="523" t="e">
        <v>#N/A</v>
      </c>
      <c r="T94" s="523" t="e">
        <v>#N/A</v>
      </c>
      <c r="U94" s="523" t="e">
        <v>#N/A</v>
      </c>
      <c r="V94" s="523" t="e">
        <v>#N/A</v>
      </c>
      <c r="W94" s="523" t="e">
        <v>#N/A</v>
      </c>
      <c r="X94" s="523" t="e">
        <v>#N/A</v>
      </c>
      <c r="Y94" s="523" t="e">
        <v>#N/A</v>
      </c>
      <c r="Z94" s="523"/>
      <c r="AA94" s="523"/>
    </row>
    <row r="95" spans="1:27" x14ac:dyDescent="0.2">
      <c r="A95" s="222">
        <f>calculs!A95</f>
        <v>44646</v>
      </c>
      <c r="B95" s="523" t="e">
        <f ca="1">gr(données_step[[#This Row],[E_DBO5]])</f>
        <v>#NAME?</v>
      </c>
      <c r="C95" s="523" t="e">
        <f ca="1">gr(données_step[[#This Row],[E_DCO]])</f>
        <v>#NAME?</v>
      </c>
      <c r="D95" s="523" t="e">
        <f ca="1">gr(données_step[[#This Row],[E_COT]])</f>
        <v>#NAME?</v>
      </c>
      <c r="E95" s="523" t="e">
        <f ca="1">gr(données_step[[#This Row],[E_NH4]])</f>
        <v>#NAME?</v>
      </c>
      <c r="F95" s="523" t="e">
        <f ca="1">gr(données_step[[#This Row],[E_NTOT]])</f>
        <v>#NAME?</v>
      </c>
      <c r="G95" s="523" t="e">
        <f ca="1">gr(données_step[[#This Row],[E_PTOT]])</f>
        <v>#NAME?</v>
      </c>
      <c r="H95" s="523" t="e">
        <f ca="1">gr(données_step[[#This Row],[S_DBO5]])</f>
        <v>#NAME?</v>
      </c>
      <c r="I95" s="523" t="e">
        <f ca="1">gr(données_step[[#This Row],[S_DCO]])</f>
        <v>#NAME?</v>
      </c>
      <c r="J95" s="523" t="e">
        <f ca="1">gr(données_step[[#This Row],[S_COD]])</f>
        <v>#NAME?</v>
      </c>
      <c r="K95" s="523" t="e">
        <f ca="1">gr(données_step[[#This Row],[S_NH4]])</f>
        <v>#NAME?</v>
      </c>
      <c r="L95" s="523" t="e">
        <f ca="1">gr(données_step[[#This Row],[S_NO2]])</f>
        <v>#NAME?</v>
      </c>
      <c r="M95" s="523" t="e">
        <f ca="1">gr(données_step[[#This Row],[S_NO3]])</f>
        <v>#NAME?</v>
      </c>
      <c r="N95" s="523" t="e">
        <f ca="1">gr(données_step[[#This Row],[S_PORTH]])</f>
        <v>#NAME?</v>
      </c>
      <c r="O95" s="523" t="e">
        <f ca="1">gr(données_step[[#This Row],[S_PTOT]])</f>
        <v>#NAME?</v>
      </c>
      <c r="P95" s="523" t="e">
        <f ca="1">gr(données_step[[#This Row],[S_MES]])</f>
        <v>#NAME?</v>
      </c>
      <c r="Q95" s="523" t="e">
        <v>#N/A</v>
      </c>
      <c r="R95" s="523" t="e">
        <v>#N/A</v>
      </c>
      <c r="S95" s="523" t="e">
        <v>#N/A</v>
      </c>
      <c r="T95" s="523" t="e">
        <v>#N/A</v>
      </c>
      <c r="U95" s="523" t="e">
        <v>#N/A</v>
      </c>
      <c r="V95" s="523" t="e">
        <v>#N/A</v>
      </c>
      <c r="W95" s="523" t="e">
        <v>#N/A</v>
      </c>
      <c r="X95" s="523" t="e">
        <v>#N/A</v>
      </c>
      <c r="Y95" s="523" t="e">
        <v>#N/A</v>
      </c>
      <c r="Z95" s="523"/>
      <c r="AA95" s="523"/>
    </row>
    <row r="96" spans="1:27" x14ac:dyDescent="0.2">
      <c r="A96" s="222">
        <f>calculs!A96</f>
        <v>44647</v>
      </c>
      <c r="B96" s="523" t="e">
        <f ca="1">gr(données_step[[#This Row],[E_DBO5]])</f>
        <v>#NAME?</v>
      </c>
      <c r="C96" s="523" t="e">
        <f ca="1">gr(données_step[[#This Row],[E_DCO]])</f>
        <v>#NAME?</v>
      </c>
      <c r="D96" s="523" t="e">
        <f ca="1">gr(données_step[[#This Row],[E_COT]])</f>
        <v>#NAME?</v>
      </c>
      <c r="E96" s="523" t="e">
        <f ca="1">gr(données_step[[#This Row],[E_NH4]])</f>
        <v>#NAME?</v>
      </c>
      <c r="F96" s="523" t="e">
        <f ca="1">gr(données_step[[#This Row],[E_NTOT]])</f>
        <v>#NAME?</v>
      </c>
      <c r="G96" s="523" t="e">
        <f ca="1">gr(données_step[[#This Row],[E_PTOT]])</f>
        <v>#NAME?</v>
      </c>
      <c r="H96" s="523" t="e">
        <f ca="1">gr(données_step[[#This Row],[S_DBO5]])</f>
        <v>#NAME?</v>
      </c>
      <c r="I96" s="523" t="e">
        <f ca="1">gr(données_step[[#This Row],[S_DCO]])</f>
        <v>#NAME?</v>
      </c>
      <c r="J96" s="523" t="e">
        <f ca="1">gr(données_step[[#This Row],[S_COD]])</f>
        <v>#NAME?</v>
      </c>
      <c r="K96" s="523" t="e">
        <f ca="1">gr(données_step[[#This Row],[S_NH4]])</f>
        <v>#NAME?</v>
      </c>
      <c r="L96" s="523" t="e">
        <f ca="1">gr(données_step[[#This Row],[S_NO2]])</f>
        <v>#NAME?</v>
      </c>
      <c r="M96" s="523" t="e">
        <f ca="1">gr(données_step[[#This Row],[S_NO3]])</f>
        <v>#NAME?</v>
      </c>
      <c r="N96" s="523" t="e">
        <f ca="1">gr(données_step[[#This Row],[S_PORTH]])</f>
        <v>#NAME?</v>
      </c>
      <c r="O96" s="523" t="e">
        <f ca="1">gr(données_step[[#This Row],[S_PTOT]])</f>
        <v>#NAME?</v>
      </c>
      <c r="P96" s="523" t="e">
        <f ca="1">gr(données_step[[#This Row],[S_MES]])</f>
        <v>#NAME?</v>
      </c>
      <c r="Q96" s="523" t="e">
        <v>#N/A</v>
      </c>
      <c r="R96" s="523" t="e">
        <v>#N/A</v>
      </c>
      <c r="S96" s="523" t="e">
        <v>#N/A</v>
      </c>
      <c r="T96" s="523" t="e">
        <v>#N/A</v>
      </c>
      <c r="U96" s="523" t="e">
        <v>#N/A</v>
      </c>
      <c r="V96" s="523" t="e">
        <v>#N/A</v>
      </c>
      <c r="W96" s="523" t="e">
        <v>#N/A</v>
      </c>
      <c r="X96" s="523" t="e">
        <v>#N/A</v>
      </c>
      <c r="Y96" s="523" t="e">
        <v>#N/A</v>
      </c>
      <c r="Z96" s="523"/>
      <c r="AA96" s="523"/>
    </row>
    <row r="97" spans="1:27" x14ac:dyDescent="0.2">
      <c r="A97" s="222">
        <f>calculs!A97</f>
        <v>44648</v>
      </c>
      <c r="B97" s="523" t="e">
        <f ca="1">gr(données_step[[#This Row],[E_DBO5]])</f>
        <v>#NAME?</v>
      </c>
      <c r="C97" s="523" t="e">
        <f ca="1">gr(données_step[[#This Row],[E_DCO]])</f>
        <v>#NAME?</v>
      </c>
      <c r="D97" s="523" t="e">
        <f ca="1">gr(données_step[[#This Row],[E_COT]])</f>
        <v>#NAME?</v>
      </c>
      <c r="E97" s="523" t="e">
        <f ca="1">gr(données_step[[#This Row],[E_NH4]])</f>
        <v>#NAME?</v>
      </c>
      <c r="F97" s="523" t="e">
        <f ca="1">gr(données_step[[#This Row],[E_NTOT]])</f>
        <v>#NAME?</v>
      </c>
      <c r="G97" s="523" t="e">
        <f ca="1">gr(données_step[[#This Row],[E_PTOT]])</f>
        <v>#NAME?</v>
      </c>
      <c r="H97" s="523" t="e">
        <f ca="1">gr(données_step[[#This Row],[S_DBO5]])</f>
        <v>#NAME?</v>
      </c>
      <c r="I97" s="523" t="e">
        <f ca="1">gr(données_step[[#This Row],[S_DCO]])</f>
        <v>#NAME?</v>
      </c>
      <c r="J97" s="523" t="e">
        <f ca="1">gr(données_step[[#This Row],[S_COD]])</f>
        <v>#NAME?</v>
      </c>
      <c r="K97" s="523" t="e">
        <f ca="1">gr(données_step[[#This Row],[S_NH4]])</f>
        <v>#NAME?</v>
      </c>
      <c r="L97" s="523" t="e">
        <f ca="1">gr(données_step[[#This Row],[S_NO2]])</f>
        <v>#NAME?</v>
      </c>
      <c r="M97" s="523" t="e">
        <f ca="1">gr(données_step[[#This Row],[S_NO3]])</f>
        <v>#NAME?</v>
      </c>
      <c r="N97" s="523" t="e">
        <f ca="1">gr(données_step[[#This Row],[S_PORTH]])</f>
        <v>#NAME?</v>
      </c>
      <c r="O97" s="523" t="e">
        <f ca="1">gr(données_step[[#This Row],[S_PTOT]])</f>
        <v>#NAME?</v>
      </c>
      <c r="P97" s="523" t="e">
        <f ca="1">gr(données_step[[#This Row],[S_MES]])</f>
        <v>#NAME?</v>
      </c>
      <c r="Q97" s="523" t="e">
        <v>#N/A</v>
      </c>
      <c r="R97" s="523" t="e">
        <v>#N/A</v>
      </c>
      <c r="S97" s="523" t="e">
        <v>#N/A</v>
      </c>
      <c r="T97" s="523" t="e">
        <v>#N/A</v>
      </c>
      <c r="U97" s="523" t="e">
        <v>#N/A</v>
      </c>
      <c r="V97" s="523" t="e">
        <v>#N/A</v>
      </c>
      <c r="W97" s="523" t="e">
        <v>#N/A</v>
      </c>
      <c r="X97" s="523" t="e">
        <v>#N/A</v>
      </c>
      <c r="Y97" s="523" t="e">
        <v>#N/A</v>
      </c>
      <c r="Z97" s="523"/>
      <c r="AA97" s="523"/>
    </row>
    <row r="98" spans="1:27" x14ac:dyDescent="0.2">
      <c r="A98" s="222">
        <f>calculs!A98</f>
        <v>44649</v>
      </c>
      <c r="B98" s="523" t="e">
        <f ca="1">gr(données_step[[#This Row],[E_DBO5]])</f>
        <v>#NAME?</v>
      </c>
      <c r="C98" s="523" t="e">
        <f ca="1">gr(données_step[[#This Row],[E_DCO]])</f>
        <v>#NAME?</v>
      </c>
      <c r="D98" s="523" t="e">
        <f ca="1">gr(données_step[[#This Row],[E_COT]])</f>
        <v>#NAME?</v>
      </c>
      <c r="E98" s="523" t="e">
        <f ca="1">gr(données_step[[#This Row],[E_NH4]])</f>
        <v>#NAME?</v>
      </c>
      <c r="F98" s="523" t="e">
        <f ca="1">gr(données_step[[#This Row],[E_NTOT]])</f>
        <v>#NAME?</v>
      </c>
      <c r="G98" s="523" t="e">
        <f ca="1">gr(données_step[[#This Row],[E_PTOT]])</f>
        <v>#NAME?</v>
      </c>
      <c r="H98" s="523" t="e">
        <f ca="1">gr(données_step[[#This Row],[S_DBO5]])</f>
        <v>#NAME?</v>
      </c>
      <c r="I98" s="523" t="e">
        <f ca="1">gr(données_step[[#This Row],[S_DCO]])</f>
        <v>#NAME?</v>
      </c>
      <c r="J98" s="523" t="e">
        <f ca="1">gr(données_step[[#This Row],[S_COD]])</f>
        <v>#NAME?</v>
      </c>
      <c r="K98" s="523" t="e">
        <f ca="1">gr(données_step[[#This Row],[S_NH4]])</f>
        <v>#NAME?</v>
      </c>
      <c r="L98" s="523" t="e">
        <f ca="1">gr(données_step[[#This Row],[S_NO2]])</f>
        <v>#NAME?</v>
      </c>
      <c r="M98" s="523" t="e">
        <f ca="1">gr(données_step[[#This Row],[S_NO3]])</f>
        <v>#NAME?</v>
      </c>
      <c r="N98" s="523" t="e">
        <f ca="1">gr(données_step[[#This Row],[S_PORTH]])</f>
        <v>#NAME?</v>
      </c>
      <c r="O98" s="523" t="e">
        <f ca="1">gr(données_step[[#This Row],[S_PTOT]])</f>
        <v>#NAME?</v>
      </c>
      <c r="P98" s="523" t="e">
        <f ca="1">gr(données_step[[#This Row],[S_MES]])</f>
        <v>#NAME?</v>
      </c>
      <c r="Q98" s="523" t="e">
        <v>#N/A</v>
      </c>
      <c r="R98" s="523" t="e">
        <v>#N/A</v>
      </c>
      <c r="S98" s="523" t="e">
        <v>#N/A</v>
      </c>
      <c r="T98" s="523" t="e">
        <v>#N/A</v>
      </c>
      <c r="U98" s="523" t="e">
        <v>#N/A</v>
      </c>
      <c r="V98" s="523" t="e">
        <v>#N/A</v>
      </c>
      <c r="W98" s="523" t="e">
        <v>#N/A</v>
      </c>
      <c r="X98" s="523" t="e">
        <v>#N/A</v>
      </c>
      <c r="Y98" s="523" t="e">
        <v>#N/A</v>
      </c>
      <c r="Z98" s="523"/>
      <c r="AA98" s="523"/>
    </row>
    <row r="99" spans="1:27" x14ac:dyDescent="0.2">
      <c r="A99" s="222">
        <f>calculs!A99</f>
        <v>44650</v>
      </c>
      <c r="B99" s="523" t="e">
        <f ca="1">gr(données_step[[#This Row],[E_DBO5]])</f>
        <v>#NAME?</v>
      </c>
      <c r="C99" s="523" t="e">
        <f ca="1">gr(données_step[[#This Row],[E_DCO]])</f>
        <v>#NAME?</v>
      </c>
      <c r="D99" s="523" t="e">
        <f ca="1">gr(données_step[[#This Row],[E_COT]])</f>
        <v>#NAME?</v>
      </c>
      <c r="E99" s="523" t="e">
        <f ca="1">gr(données_step[[#This Row],[E_NH4]])</f>
        <v>#NAME?</v>
      </c>
      <c r="F99" s="523" t="e">
        <f ca="1">gr(données_step[[#This Row],[E_NTOT]])</f>
        <v>#NAME?</v>
      </c>
      <c r="G99" s="523" t="e">
        <f ca="1">gr(données_step[[#This Row],[E_PTOT]])</f>
        <v>#NAME?</v>
      </c>
      <c r="H99" s="523" t="e">
        <f ca="1">gr(données_step[[#This Row],[S_DBO5]])</f>
        <v>#NAME?</v>
      </c>
      <c r="I99" s="523" t="e">
        <f ca="1">gr(données_step[[#This Row],[S_DCO]])</f>
        <v>#NAME?</v>
      </c>
      <c r="J99" s="523" t="e">
        <f ca="1">gr(données_step[[#This Row],[S_COD]])</f>
        <v>#NAME?</v>
      </c>
      <c r="K99" s="523" t="e">
        <f ca="1">gr(données_step[[#This Row],[S_NH4]])</f>
        <v>#NAME?</v>
      </c>
      <c r="L99" s="523" t="e">
        <f ca="1">gr(données_step[[#This Row],[S_NO2]])</f>
        <v>#NAME?</v>
      </c>
      <c r="M99" s="523" t="e">
        <f ca="1">gr(données_step[[#This Row],[S_NO3]])</f>
        <v>#NAME?</v>
      </c>
      <c r="N99" s="523" t="e">
        <f ca="1">gr(données_step[[#This Row],[S_PORTH]])</f>
        <v>#NAME?</v>
      </c>
      <c r="O99" s="523" t="e">
        <f ca="1">gr(données_step[[#This Row],[S_PTOT]])</f>
        <v>#NAME?</v>
      </c>
      <c r="P99" s="523" t="e">
        <f ca="1">gr(données_step[[#This Row],[S_MES]])</f>
        <v>#NAME?</v>
      </c>
      <c r="Q99" s="523" t="e">
        <v>#N/A</v>
      </c>
      <c r="R99" s="523" t="e">
        <v>#N/A</v>
      </c>
      <c r="S99" s="523" t="e">
        <v>#N/A</v>
      </c>
      <c r="T99" s="523" t="e">
        <v>#N/A</v>
      </c>
      <c r="U99" s="523" t="e">
        <v>#N/A</v>
      </c>
      <c r="V99" s="523" t="e">
        <v>#N/A</v>
      </c>
      <c r="W99" s="523" t="e">
        <v>#N/A</v>
      </c>
      <c r="X99" s="523" t="e">
        <v>#N/A</v>
      </c>
      <c r="Y99" s="523" t="e">
        <v>#N/A</v>
      </c>
      <c r="Z99" s="523"/>
      <c r="AA99" s="523"/>
    </row>
    <row r="100" spans="1:27" x14ac:dyDescent="0.2">
      <c r="A100" s="222">
        <f>calculs!A100</f>
        <v>44651</v>
      </c>
      <c r="B100" s="523" t="e">
        <f ca="1">gr(données_step[[#This Row],[E_DBO5]])</f>
        <v>#NAME?</v>
      </c>
      <c r="C100" s="523" t="e">
        <f ca="1">gr(données_step[[#This Row],[E_DCO]])</f>
        <v>#NAME?</v>
      </c>
      <c r="D100" s="523" t="e">
        <f ca="1">gr(données_step[[#This Row],[E_COT]])</f>
        <v>#NAME?</v>
      </c>
      <c r="E100" s="523" t="e">
        <f ca="1">gr(données_step[[#This Row],[E_NH4]])</f>
        <v>#NAME?</v>
      </c>
      <c r="F100" s="523" t="e">
        <f ca="1">gr(données_step[[#This Row],[E_NTOT]])</f>
        <v>#NAME?</v>
      </c>
      <c r="G100" s="523" t="e">
        <f ca="1">gr(données_step[[#This Row],[E_PTOT]])</f>
        <v>#NAME?</v>
      </c>
      <c r="H100" s="523" t="e">
        <f ca="1">gr(données_step[[#This Row],[S_DBO5]])</f>
        <v>#NAME?</v>
      </c>
      <c r="I100" s="523" t="e">
        <f ca="1">gr(données_step[[#This Row],[S_DCO]])</f>
        <v>#NAME?</v>
      </c>
      <c r="J100" s="523" t="e">
        <f ca="1">gr(données_step[[#This Row],[S_COD]])</f>
        <v>#NAME?</v>
      </c>
      <c r="K100" s="523" t="e">
        <f ca="1">gr(données_step[[#This Row],[S_NH4]])</f>
        <v>#NAME?</v>
      </c>
      <c r="L100" s="523" t="e">
        <f ca="1">gr(données_step[[#This Row],[S_NO2]])</f>
        <v>#NAME?</v>
      </c>
      <c r="M100" s="523" t="e">
        <f ca="1">gr(données_step[[#This Row],[S_NO3]])</f>
        <v>#NAME?</v>
      </c>
      <c r="N100" s="523" t="e">
        <f ca="1">gr(données_step[[#This Row],[S_PORTH]])</f>
        <v>#NAME?</v>
      </c>
      <c r="O100" s="523" t="e">
        <f ca="1">gr(données_step[[#This Row],[S_PTOT]])</f>
        <v>#NAME?</v>
      </c>
      <c r="P100" s="523" t="e">
        <f ca="1">gr(données_step[[#This Row],[S_MES]])</f>
        <v>#NAME?</v>
      </c>
      <c r="Q100" s="523" t="e">
        <v>#N/A</v>
      </c>
      <c r="R100" s="523" t="e">
        <v>#N/A</v>
      </c>
      <c r="S100" s="523" t="e">
        <v>#N/A</v>
      </c>
      <c r="T100" s="523" t="e">
        <v>#N/A</v>
      </c>
      <c r="U100" s="523" t="e">
        <v>#N/A</v>
      </c>
      <c r="V100" s="523" t="e">
        <v>#N/A</v>
      </c>
      <c r="W100" s="523" t="e">
        <v>#N/A</v>
      </c>
      <c r="X100" s="523" t="e">
        <v>#N/A</v>
      </c>
      <c r="Y100" s="523" t="e">
        <v>#N/A</v>
      </c>
      <c r="Z100" s="523"/>
      <c r="AA100" s="523"/>
    </row>
    <row r="101" spans="1:27" x14ac:dyDescent="0.2">
      <c r="A101" s="222">
        <f>calculs!A101</f>
        <v>44652</v>
      </c>
      <c r="B101" s="523" t="e">
        <f ca="1">gr(données_step[[#This Row],[E_DBO5]])</f>
        <v>#NAME?</v>
      </c>
      <c r="C101" s="523" t="e">
        <f ca="1">gr(données_step[[#This Row],[E_DCO]])</f>
        <v>#NAME?</v>
      </c>
      <c r="D101" s="523" t="e">
        <f ca="1">gr(données_step[[#This Row],[E_COT]])</f>
        <v>#NAME?</v>
      </c>
      <c r="E101" s="523" t="e">
        <f ca="1">gr(données_step[[#This Row],[E_NH4]])</f>
        <v>#NAME?</v>
      </c>
      <c r="F101" s="523" t="e">
        <f ca="1">gr(données_step[[#This Row],[E_NTOT]])</f>
        <v>#NAME?</v>
      </c>
      <c r="G101" s="523" t="e">
        <f ca="1">gr(données_step[[#This Row],[E_PTOT]])</f>
        <v>#NAME?</v>
      </c>
      <c r="H101" s="523" t="e">
        <f ca="1">gr(données_step[[#This Row],[S_DBO5]])</f>
        <v>#NAME?</v>
      </c>
      <c r="I101" s="523" t="e">
        <f ca="1">gr(données_step[[#This Row],[S_DCO]])</f>
        <v>#NAME?</v>
      </c>
      <c r="J101" s="523" t="e">
        <f ca="1">gr(données_step[[#This Row],[S_COD]])</f>
        <v>#NAME?</v>
      </c>
      <c r="K101" s="523" t="e">
        <f ca="1">gr(données_step[[#This Row],[S_NH4]])</f>
        <v>#NAME?</v>
      </c>
      <c r="L101" s="523" t="e">
        <f ca="1">gr(données_step[[#This Row],[S_NO2]])</f>
        <v>#NAME?</v>
      </c>
      <c r="M101" s="523" t="e">
        <f ca="1">gr(données_step[[#This Row],[S_NO3]])</f>
        <v>#NAME?</v>
      </c>
      <c r="N101" s="523" t="e">
        <f ca="1">gr(données_step[[#This Row],[S_PORTH]])</f>
        <v>#NAME?</v>
      </c>
      <c r="O101" s="523" t="e">
        <f ca="1">gr(données_step[[#This Row],[S_PTOT]])</f>
        <v>#NAME?</v>
      </c>
      <c r="P101" s="523" t="e">
        <f ca="1">gr(données_step[[#This Row],[S_MES]])</f>
        <v>#NAME?</v>
      </c>
      <c r="Q101" s="523" t="e">
        <v>#N/A</v>
      </c>
      <c r="R101" s="523" t="e">
        <v>#N/A</v>
      </c>
      <c r="S101" s="523" t="e">
        <v>#N/A</v>
      </c>
      <c r="T101" s="523" t="e">
        <v>#N/A</v>
      </c>
      <c r="U101" s="523" t="e">
        <v>#N/A</v>
      </c>
      <c r="V101" s="523" t="e">
        <v>#N/A</v>
      </c>
      <c r="W101" s="523" t="e">
        <v>#N/A</v>
      </c>
      <c r="X101" s="523" t="e">
        <v>#N/A</v>
      </c>
      <c r="Y101" s="523" t="e">
        <v>#N/A</v>
      </c>
      <c r="Z101" s="523"/>
      <c r="AA101" s="523"/>
    </row>
    <row r="102" spans="1:27" x14ac:dyDescent="0.2">
      <c r="A102" s="222">
        <f>calculs!A102</f>
        <v>44653</v>
      </c>
      <c r="B102" s="523" t="e">
        <f ca="1">gr(données_step[[#This Row],[E_DBO5]])</f>
        <v>#NAME?</v>
      </c>
      <c r="C102" s="523" t="e">
        <f ca="1">gr(données_step[[#This Row],[E_DCO]])</f>
        <v>#NAME?</v>
      </c>
      <c r="D102" s="523" t="e">
        <f ca="1">gr(données_step[[#This Row],[E_COT]])</f>
        <v>#NAME?</v>
      </c>
      <c r="E102" s="523" t="e">
        <f ca="1">gr(données_step[[#This Row],[E_NH4]])</f>
        <v>#NAME?</v>
      </c>
      <c r="F102" s="523" t="e">
        <f ca="1">gr(données_step[[#This Row],[E_NTOT]])</f>
        <v>#NAME?</v>
      </c>
      <c r="G102" s="523" t="e">
        <f ca="1">gr(données_step[[#This Row],[E_PTOT]])</f>
        <v>#NAME?</v>
      </c>
      <c r="H102" s="523" t="e">
        <f ca="1">gr(données_step[[#This Row],[S_DBO5]])</f>
        <v>#NAME?</v>
      </c>
      <c r="I102" s="523" t="e">
        <f ca="1">gr(données_step[[#This Row],[S_DCO]])</f>
        <v>#NAME?</v>
      </c>
      <c r="J102" s="523" t="e">
        <f ca="1">gr(données_step[[#This Row],[S_COD]])</f>
        <v>#NAME?</v>
      </c>
      <c r="K102" s="523" t="e">
        <f ca="1">gr(données_step[[#This Row],[S_NH4]])</f>
        <v>#NAME?</v>
      </c>
      <c r="L102" s="523" t="e">
        <f ca="1">gr(données_step[[#This Row],[S_NO2]])</f>
        <v>#NAME?</v>
      </c>
      <c r="M102" s="523" t="e">
        <f ca="1">gr(données_step[[#This Row],[S_NO3]])</f>
        <v>#NAME?</v>
      </c>
      <c r="N102" s="523" t="e">
        <f ca="1">gr(données_step[[#This Row],[S_PORTH]])</f>
        <v>#NAME?</v>
      </c>
      <c r="O102" s="523" t="e">
        <f ca="1">gr(données_step[[#This Row],[S_PTOT]])</f>
        <v>#NAME?</v>
      </c>
      <c r="P102" s="523" t="e">
        <f ca="1">gr(données_step[[#This Row],[S_MES]])</f>
        <v>#NAME?</v>
      </c>
      <c r="Q102" s="523" t="e">
        <v>#N/A</v>
      </c>
      <c r="R102" s="523" t="e">
        <v>#N/A</v>
      </c>
      <c r="S102" s="523" t="e">
        <v>#N/A</v>
      </c>
      <c r="T102" s="523" t="e">
        <v>#N/A</v>
      </c>
      <c r="U102" s="523" t="e">
        <v>#N/A</v>
      </c>
      <c r="V102" s="523" t="e">
        <v>#N/A</v>
      </c>
      <c r="W102" s="523" t="e">
        <v>#N/A</v>
      </c>
      <c r="X102" s="523" t="e">
        <v>#N/A</v>
      </c>
      <c r="Y102" s="523" t="e">
        <v>#N/A</v>
      </c>
      <c r="Z102" s="523"/>
      <c r="AA102" s="523"/>
    </row>
    <row r="103" spans="1:27" x14ac:dyDescent="0.2">
      <c r="A103" s="222">
        <f>calculs!A103</f>
        <v>44654</v>
      </c>
      <c r="B103" s="523" t="e">
        <f ca="1">gr(données_step[[#This Row],[E_DBO5]])</f>
        <v>#NAME?</v>
      </c>
      <c r="C103" s="523" t="e">
        <f ca="1">gr(données_step[[#This Row],[E_DCO]])</f>
        <v>#NAME?</v>
      </c>
      <c r="D103" s="523" t="e">
        <f ca="1">gr(données_step[[#This Row],[E_COT]])</f>
        <v>#NAME?</v>
      </c>
      <c r="E103" s="523" t="e">
        <f ca="1">gr(données_step[[#This Row],[E_NH4]])</f>
        <v>#NAME?</v>
      </c>
      <c r="F103" s="523" t="e">
        <f ca="1">gr(données_step[[#This Row],[E_NTOT]])</f>
        <v>#NAME?</v>
      </c>
      <c r="G103" s="523" t="e">
        <f ca="1">gr(données_step[[#This Row],[E_PTOT]])</f>
        <v>#NAME?</v>
      </c>
      <c r="H103" s="523" t="e">
        <f ca="1">gr(données_step[[#This Row],[S_DBO5]])</f>
        <v>#NAME?</v>
      </c>
      <c r="I103" s="523" t="e">
        <f ca="1">gr(données_step[[#This Row],[S_DCO]])</f>
        <v>#NAME?</v>
      </c>
      <c r="J103" s="523" t="e">
        <f ca="1">gr(données_step[[#This Row],[S_COD]])</f>
        <v>#NAME?</v>
      </c>
      <c r="K103" s="523" t="e">
        <f ca="1">gr(données_step[[#This Row],[S_NH4]])</f>
        <v>#NAME?</v>
      </c>
      <c r="L103" s="523" t="e">
        <f ca="1">gr(données_step[[#This Row],[S_NO2]])</f>
        <v>#NAME?</v>
      </c>
      <c r="M103" s="523" t="e">
        <f ca="1">gr(données_step[[#This Row],[S_NO3]])</f>
        <v>#NAME?</v>
      </c>
      <c r="N103" s="523" t="e">
        <f ca="1">gr(données_step[[#This Row],[S_PORTH]])</f>
        <v>#NAME?</v>
      </c>
      <c r="O103" s="523" t="e">
        <f ca="1">gr(données_step[[#This Row],[S_PTOT]])</f>
        <v>#NAME?</v>
      </c>
      <c r="P103" s="523" t="e">
        <f ca="1">gr(données_step[[#This Row],[S_MES]])</f>
        <v>#NAME?</v>
      </c>
      <c r="Q103" s="523" t="e">
        <v>#N/A</v>
      </c>
      <c r="R103" s="523" t="e">
        <v>#N/A</v>
      </c>
      <c r="S103" s="523" t="e">
        <v>#N/A</v>
      </c>
      <c r="T103" s="523" t="e">
        <v>#N/A</v>
      </c>
      <c r="U103" s="523" t="e">
        <v>#N/A</v>
      </c>
      <c r="V103" s="523" t="e">
        <v>#N/A</v>
      </c>
      <c r="W103" s="523" t="e">
        <v>#N/A</v>
      </c>
      <c r="X103" s="523" t="e">
        <v>#N/A</v>
      </c>
      <c r="Y103" s="523" t="e">
        <v>#N/A</v>
      </c>
      <c r="Z103" s="523"/>
      <c r="AA103" s="523"/>
    </row>
    <row r="104" spans="1:27" x14ac:dyDescent="0.2">
      <c r="A104" s="222">
        <f>calculs!A104</f>
        <v>44655</v>
      </c>
      <c r="B104" s="523" t="e">
        <f ca="1">gr(données_step[[#This Row],[E_DBO5]])</f>
        <v>#NAME?</v>
      </c>
      <c r="C104" s="523" t="e">
        <f ca="1">gr(données_step[[#This Row],[E_DCO]])</f>
        <v>#NAME?</v>
      </c>
      <c r="D104" s="523" t="e">
        <f ca="1">gr(données_step[[#This Row],[E_COT]])</f>
        <v>#NAME?</v>
      </c>
      <c r="E104" s="523" t="e">
        <f ca="1">gr(données_step[[#This Row],[E_NH4]])</f>
        <v>#NAME?</v>
      </c>
      <c r="F104" s="523" t="e">
        <f ca="1">gr(données_step[[#This Row],[E_NTOT]])</f>
        <v>#NAME?</v>
      </c>
      <c r="G104" s="523" t="e">
        <f ca="1">gr(données_step[[#This Row],[E_PTOT]])</f>
        <v>#NAME?</v>
      </c>
      <c r="H104" s="523" t="e">
        <f ca="1">gr(données_step[[#This Row],[S_DBO5]])</f>
        <v>#NAME?</v>
      </c>
      <c r="I104" s="523" t="e">
        <f ca="1">gr(données_step[[#This Row],[S_DCO]])</f>
        <v>#NAME?</v>
      </c>
      <c r="J104" s="523" t="e">
        <f ca="1">gr(données_step[[#This Row],[S_COD]])</f>
        <v>#NAME?</v>
      </c>
      <c r="K104" s="523" t="e">
        <f ca="1">gr(données_step[[#This Row],[S_NH4]])</f>
        <v>#NAME?</v>
      </c>
      <c r="L104" s="523" t="e">
        <f ca="1">gr(données_step[[#This Row],[S_NO2]])</f>
        <v>#NAME?</v>
      </c>
      <c r="M104" s="523" t="e">
        <f ca="1">gr(données_step[[#This Row],[S_NO3]])</f>
        <v>#NAME?</v>
      </c>
      <c r="N104" s="523" t="e">
        <f ca="1">gr(données_step[[#This Row],[S_PORTH]])</f>
        <v>#NAME?</v>
      </c>
      <c r="O104" s="523" t="e">
        <f ca="1">gr(données_step[[#This Row],[S_PTOT]])</f>
        <v>#NAME?</v>
      </c>
      <c r="P104" s="523" t="e">
        <f ca="1">gr(données_step[[#This Row],[S_MES]])</f>
        <v>#NAME?</v>
      </c>
      <c r="Q104" s="523" t="e">
        <v>#N/A</v>
      </c>
      <c r="R104" s="523" t="e">
        <v>#N/A</v>
      </c>
      <c r="S104" s="523" t="e">
        <v>#N/A</v>
      </c>
      <c r="T104" s="523" t="e">
        <v>#N/A</v>
      </c>
      <c r="U104" s="523" t="e">
        <v>#N/A</v>
      </c>
      <c r="V104" s="523" t="e">
        <v>#N/A</v>
      </c>
      <c r="W104" s="523" t="e">
        <v>#N/A</v>
      </c>
      <c r="X104" s="523" t="e">
        <v>#N/A</v>
      </c>
      <c r="Y104" s="523" t="e">
        <v>#N/A</v>
      </c>
      <c r="Z104" s="523"/>
      <c r="AA104" s="523"/>
    </row>
    <row r="105" spans="1:27" x14ac:dyDescent="0.2">
      <c r="A105" s="222">
        <f>calculs!A105</f>
        <v>44656</v>
      </c>
      <c r="B105" s="523" t="e">
        <f ca="1">gr(données_step[[#This Row],[E_DBO5]])</f>
        <v>#NAME?</v>
      </c>
      <c r="C105" s="523" t="e">
        <f ca="1">gr(données_step[[#This Row],[E_DCO]])</f>
        <v>#NAME?</v>
      </c>
      <c r="D105" s="523" t="e">
        <f ca="1">gr(données_step[[#This Row],[E_COT]])</f>
        <v>#NAME?</v>
      </c>
      <c r="E105" s="523" t="e">
        <f ca="1">gr(données_step[[#This Row],[E_NH4]])</f>
        <v>#NAME?</v>
      </c>
      <c r="F105" s="523" t="e">
        <f ca="1">gr(données_step[[#This Row],[E_NTOT]])</f>
        <v>#NAME?</v>
      </c>
      <c r="G105" s="523" t="e">
        <f ca="1">gr(données_step[[#This Row],[E_PTOT]])</f>
        <v>#NAME?</v>
      </c>
      <c r="H105" s="523" t="e">
        <f ca="1">gr(données_step[[#This Row],[S_DBO5]])</f>
        <v>#NAME?</v>
      </c>
      <c r="I105" s="523" t="e">
        <f ca="1">gr(données_step[[#This Row],[S_DCO]])</f>
        <v>#NAME?</v>
      </c>
      <c r="J105" s="523" t="e">
        <f ca="1">gr(données_step[[#This Row],[S_COD]])</f>
        <v>#NAME?</v>
      </c>
      <c r="K105" s="523" t="e">
        <f ca="1">gr(données_step[[#This Row],[S_NH4]])</f>
        <v>#NAME?</v>
      </c>
      <c r="L105" s="523" t="e">
        <f ca="1">gr(données_step[[#This Row],[S_NO2]])</f>
        <v>#NAME?</v>
      </c>
      <c r="M105" s="523" t="e">
        <f ca="1">gr(données_step[[#This Row],[S_NO3]])</f>
        <v>#NAME?</v>
      </c>
      <c r="N105" s="523" t="e">
        <f ca="1">gr(données_step[[#This Row],[S_PORTH]])</f>
        <v>#NAME?</v>
      </c>
      <c r="O105" s="523" t="e">
        <f ca="1">gr(données_step[[#This Row],[S_PTOT]])</f>
        <v>#NAME?</v>
      </c>
      <c r="P105" s="523" t="e">
        <f ca="1">gr(données_step[[#This Row],[S_MES]])</f>
        <v>#NAME?</v>
      </c>
      <c r="Q105" s="523" t="e">
        <v>#N/A</v>
      </c>
      <c r="R105" s="523" t="e">
        <v>#N/A</v>
      </c>
      <c r="S105" s="523" t="e">
        <v>#N/A</v>
      </c>
      <c r="T105" s="523" t="e">
        <v>#N/A</v>
      </c>
      <c r="U105" s="523" t="e">
        <v>#N/A</v>
      </c>
      <c r="V105" s="523" t="e">
        <v>#N/A</v>
      </c>
      <c r="W105" s="523" t="e">
        <v>#N/A</v>
      </c>
      <c r="X105" s="523" t="e">
        <v>#N/A</v>
      </c>
      <c r="Y105" s="523" t="e">
        <v>#N/A</v>
      </c>
      <c r="Z105" s="523"/>
      <c r="AA105" s="523"/>
    </row>
    <row r="106" spans="1:27" x14ac:dyDescent="0.2">
      <c r="A106" s="222">
        <f>calculs!A106</f>
        <v>44657</v>
      </c>
      <c r="B106" s="523" t="e">
        <f ca="1">gr(données_step[[#This Row],[E_DBO5]])</f>
        <v>#NAME?</v>
      </c>
      <c r="C106" s="523" t="e">
        <f ca="1">gr(données_step[[#This Row],[E_DCO]])</f>
        <v>#NAME?</v>
      </c>
      <c r="D106" s="523" t="e">
        <f ca="1">gr(données_step[[#This Row],[E_COT]])</f>
        <v>#NAME?</v>
      </c>
      <c r="E106" s="523" t="e">
        <f ca="1">gr(données_step[[#This Row],[E_NH4]])</f>
        <v>#NAME?</v>
      </c>
      <c r="F106" s="523" t="e">
        <f ca="1">gr(données_step[[#This Row],[E_NTOT]])</f>
        <v>#NAME?</v>
      </c>
      <c r="G106" s="523" t="e">
        <f ca="1">gr(données_step[[#This Row],[E_PTOT]])</f>
        <v>#NAME?</v>
      </c>
      <c r="H106" s="523" t="e">
        <f ca="1">gr(données_step[[#This Row],[S_DBO5]])</f>
        <v>#NAME?</v>
      </c>
      <c r="I106" s="523" t="e">
        <f ca="1">gr(données_step[[#This Row],[S_DCO]])</f>
        <v>#NAME?</v>
      </c>
      <c r="J106" s="523" t="e">
        <f ca="1">gr(données_step[[#This Row],[S_COD]])</f>
        <v>#NAME?</v>
      </c>
      <c r="K106" s="523" t="e">
        <f ca="1">gr(données_step[[#This Row],[S_NH4]])</f>
        <v>#NAME?</v>
      </c>
      <c r="L106" s="523" t="e">
        <f ca="1">gr(données_step[[#This Row],[S_NO2]])</f>
        <v>#NAME?</v>
      </c>
      <c r="M106" s="523" t="e">
        <f ca="1">gr(données_step[[#This Row],[S_NO3]])</f>
        <v>#NAME?</v>
      </c>
      <c r="N106" s="523" t="e">
        <f ca="1">gr(données_step[[#This Row],[S_PORTH]])</f>
        <v>#NAME?</v>
      </c>
      <c r="O106" s="523" t="e">
        <f ca="1">gr(données_step[[#This Row],[S_PTOT]])</f>
        <v>#NAME?</v>
      </c>
      <c r="P106" s="523" t="e">
        <f ca="1">gr(données_step[[#This Row],[S_MES]])</f>
        <v>#NAME?</v>
      </c>
      <c r="Q106" s="523" t="e">
        <v>#N/A</v>
      </c>
      <c r="R106" s="523" t="e">
        <v>#N/A</v>
      </c>
      <c r="S106" s="523" t="e">
        <v>#N/A</v>
      </c>
      <c r="T106" s="523" t="e">
        <v>#N/A</v>
      </c>
      <c r="U106" s="523" t="e">
        <v>#N/A</v>
      </c>
      <c r="V106" s="523" t="e">
        <v>#N/A</v>
      </c>
      <c r="W106" s="523" t="e">
        <v>#N/A</v>
      </c>
      <c r="X106" s="523" t="e">
        <v>#N/A</v>
      </c>
      <c r="Y106" s="523" t="e">
        <v>#N/A</v>
      </c>
      <c r="Z106" s="523"/>
      <c r="AA106" s="523"/>
    </row>
    <row r="107" spans="1:27" x14ac:dyDescent="0.2">
      <c r="A107" s="222">
        <f>calculs!A107</f>
        <v>44658</v>
      </c>
      <c r="B107" s="523" t="e">
        <f ca="1">gr(données_step[[#This Row],[E_DBO5]])</f>
        <v>#NAME?</v>
      </c>
      <c r="C107" s="523" t="e">
        <f ca="1">gr(données_step[[#This Row],[E_DCO]])</f>
        <v>#NAME?</v>
      </c>
      <c r="D107" s="523" t="e">
        <f ca="1">gr(données_step[[#This Row],[E_COT]])</f>
        <v>#NAME?</v>
      </c>
      <c r="E107" s="523" t="e">
        <f ca="1">gr(données_step[[#This Row],[E_NH4]])</f>
        <v>#NAME?</v>
      </c>
      <c r="F107" s="523" t="e">
        <f ca="1">gr(données_step[[#This Row],[E_NTOT]])</f>
        <v>#NAME?</v>
      </c>
      <c r="G107" s="523" t="e">
        <f ca="1">gr(données_step[[#This Row],[E_PTOT]])</f>
        <v>#NAME?</v>
      </c>
      <c r="H107" s="523" t="e">
        <f ca="1">gr(données_step[[#This Row],[S_DBO5]])</f>
        <v>#NAME?</v>
      </c>
      <c r="I107" s="523" t="e">
        <f ca="1">gr(données_step[[#This Row],[S_DCO]])</f>
        <v>#NAME?</v>
      </c>
      <c r="J107" s="523" t="e">
        <f ca="1">gr(données_step[[#This Row],[S_COD]])</f>
        <v>#NAME?</v>
      </c>
      <c r="K107" s="523" t="e">
        <f ca="1">gr(données_step[[#This Row],[S_NH4]])</f>
        <v>#NAME?</v>
      </c>
      <c r="L107" s="523" t="e">
        <f ca="1">gr(données_step[[#This Row],[S_NO2]])</f>
        <v>#NAME?</v>
      </c>
      <c r="M107" s="523" t="e">
        <f ca="1">gr(données_step[[#This Row],[S_NO3]])</f>
        <v>#NAME?</v>
      </c>
      <c r="N107" s="523" t="e">
        <f ca="1">gr(données_step[[#This Row],[S_PORTH]])</f>
        <v>#NAME?</v>
      </c>
      <c r="O107" s="523" t="e">
        <f ca="1">gr(données_step[[#This Row],[S_PTOT]])</f>
        <v>#NAME?</v>
      </c>
      <c r="P107" s="523" t="e">
        <f ca="1">gr(données_step[[#This Row],[S_MES]])</f>
        <v>#NAME?</v>
      </c>
      <c r="Q107" s="523" t="e">
        <v>#N/A</v>
      </c>
      <c r="R107" s="523" t="e">
        <v>#N/A</v>
      </c>
      <c r="S107" s="523" t="e">
        <v>#N/A</v>
      </c>
      <c r="T107" s="523" t="e">
        <v>#N/A</v>
      </c>
      <c r="U107" s="523" t="e">
        <v>#N/A</v>
      </c>
      <c r="V107" s="523" t="e">
        <v>#N/A</v>
      </c>
      <c r="W107" s="523" t="e">
        <v>#N/A</v>
      </c>
      <c r="X107" s="523" t="e">
        <v>#N/A</v>
      </c>
      <c r="Y107" s="523" t="e">
        <v>#N/A</v>
      </c>
      <c r="Z107" s="523"/>
      <c r="AA107" s="523"/>
    </row>
    <row r="108" spans="1:27" x14ac:dyDescent="0.2">
      <c r="A108" s="222">
        <f>calculs!A108</f>
        <v>44659</v>
      </c>
      <c r="B108" s="523" t="e">
        <f ca="1">gr(données_step[[#This Row],[E_DBO5]])</f>
        <v>#NAME?</v>
      </c>
      <c r="C108" s="523" t="e">
        <f ca="1">gr(données_step[[#This Row],[E_DCO]])</f>
        <v>#NAME?</v>
      </c>
      <c r="D108" s="523" t="e">
        <f ca="1">gr(données_step[[#This Row],[E_COT]])</f>
        <v>#NAME?</v>
      </c>
      <c r="E108" s="523" t="e">
        <f ca="1">gr(données_step[[#This Row],[E_NH4]])</f>
        <v>#NAME?</v>
      </c>
      <c r="F108" s="523" t="e">
        <f ca="1">gr(données_step[[#This Row],[E_NTOT]])</f>
        <v>#NAME?</v>
      </c>
      <c r="G108" s="523" t="e">
        <f ca="1">gr(données_step[[#This Row],[E_PTOT]])</f>
        <v>#NAME?</v>
      </c>
      <c r="H108" s="523" t="e">
        <f ca="1">gr(données_step[[#This Row],[S_DBO5]])</f>
        <v>#NAME?</v>
      </c>
      <c r="I108" s="523" t="e">
        <f ca="1">gr(données_step[[#This Row],[S_DCO]])</f>
        <v>#NAME?</v>
      </c>
      <c r="J108" s="523" t="e">
        <f ca="1">gr(données_step[[#This Row],[S_COD]])</f>
        <v>#NAME?</v>
      </c>
      <c r="K108" s="523" t="e">
        <f ca="1">gr(données_step[[#This Row],[S_NH4]])</f>
        <v>#NAME?</v>
      </c>
      <c r="L108" s="523" t="e">
        <f ca="1">gr(données_step[[#This Row],[S_NO2]])</f>
        <v>#NAME?</v>
      </c>
      <c r="M108" s="523" t="e">
        <f ca="1">gr(données_step[[#This Row],[S_NO3]])</f>
        <v>#NAME?</v>
      </c>
      <c r="N108" s="523" t="e">
        <f ca="1">gr(données_step[[#This Row],[S_PORTH]])</f>
        <v>#NAME?</v>
      </c>
      <c r="O108" s="523" t="e">
        <f ca="1">gr(données_step[[#This Row],[S_PTOT]])</f>
        <v>#NAME?</v>
      </c>
      <c r="P108" s="523" t="e">
        <f ca="1">gr(données_step[[#This Row],[S_MES]])</f>
        <v>#NAME?</v>
      </c>
      <c r="Q108" s="523" t="e">
        <v>#N/A</v>
      </c>
      <c r="R108" s="523" t="e">
        <v>#N/A</v>
      </c>
      <c r="S108" s="523" t="e">
        <v>#N/A</v>
      </c>
      <c r="T108" s="523" t="e">
        <v>#N/A</v>
      </c>
      <c r="U108" s="523" t="e">
        <v>#N/A</v>
      </c>
      <c r="V108" s="523" t="e">
        <v>#N/A</v>
      </c>
      <c r="W108" s="523" t="e">
        <v>#N/A</v>
      </c>
      <c r="X108" s="523" t="e">
        <v>#N/A</v>
      </c>
      <c r="Y108" s="523" t="e">
        <v>#N/A</v>
      </c>
      <c r="Z108" s="523"/>
      <c r="AA108" s="523"/>
    </row>
    <row r="109" spans="1:27" x14ac:dyDescent="0.2">
      <c r="A109" s="222">
        <f>calculs!A109</f>
        <v>44660</v>
      </c>
      <c r="B109" s="523" t="e">
        <f ca="1">gr(données_step[[#This Row],[E_DBO5]])</f>
        <v>#NAME?</v>
      </c>
      <c r="C109" s="523" t="e">
        <f ca="1">gr(données_step[[#This Row],[E_DCO]])</f>
        <v>#NAME?</v>
      </c>
      <c r="D109" s="523" t="e">
        <f ca="1">gr(données_step[[#This Row],[E_COT]])</f>
        <v>#NAME?</v>
      </c>
      <c r="E109" s="523" t="e">
        <f ca="1">gr(données_step[[#This Row],[E_NH4]])</f>
        <v>#NAME?</v>
      </c>
      <c r="F109" s="523" t="e">
        <f ca="1">gr(données_step[[#This Row],[E_NTOT]])</f>
        <v>#NAME?</v>
      </c>
      <c r="G109" s="523" t="e">
        <f ca="1">gr(données_step[[#This Row],[E_PTOT]])</f>
        <v>#NAME?</v>
      </c>
      <c r="H109" s="523" t="e">
        <f ca="1">gr(données_step[[#This Row],[S_DBO5]])</f>
        <v>#NAME?</v>
      </c>
      <c r="I109" s="523" t="e">
        <f ca="1">gr(données_step[[#This Row],[S_DCO]])</f>
        <v>#NAME?</v>
      </c>
      <c r="J109" s="523" t="e">
        <f ca="1">gr(données_step[[#This Row],[S_COD]])</f>
        <v>#NAME?</v>
      </c>
      <c r="K109" s="523" t="e">
        <f ca="1">gr(données_step[[#This Row],[S_NH4]])</f>
        <v>#NAME?</v>
      </c>
      <c r="L109" s="523" t="e">
        <f ca="1">gr(données_step[[#This Row],[S_NO2]])</f>
        <v>#NAME?</v>
      </c>
      <c r="M109" s="523" t="e">
        <f ca="1">gr(données_step[[#This Row],[S_NO3]])</f>
        <v>#NAME?</v>
      </c>
      <c r="N109" s="523" t="e">
        <f ca="1">gr(données_step[[#This Row],[S_PORTH]])</f>
        <v>#NAME?</v>
      </c>
      <c r="O109" s="523" t="e">
        <f ca="1">gr(données_step[[#This Row],[S_PTOT]])</f>
        <v>#NAME?</v>
      </c>
      <c r="P109" s="523" t="e">
        <f ca="1">gr(données_step[[#This Row],[S_MES]])</f>
        <v>#NAME?</v>
      </c>
      <c r="Q109" s="523" t="e">
        <v>#N/A</v>
      </c>
      <c r="R109" s="523" t="e">
        <v>#N/A</v>
      </c>
      <c r="S109" s="523" t="e">
        <v>#N/A</v>
      </c>
      <c r="T109" s="523" t="e">
        <v>#N/A</v>
      </c>
      <c r="U109" s="523" t="e">
        <v>#N/A</v>
      </c>
      <c r="V109" s="523" t="e">
        <v>#N/A</v>
      </c>
      <c r="W109" s="523" t="e">
        <v>#N/A</v>
      </c>
      <c r="X109" s="523" t="e">
        <v>#N/A</v>
      </c>
      <c r="Y109" s="523" t="e">
        <v>#N/A</v>
      </c>
      <c r="Z109" s="523"/>
      <c r="AA109" s="523"/>
    </row>
    <row r="110" spans="1:27" x14ac:dyDescent="0.2">
      <c r="A110" s="222">
        <f>calculs!A110</f>
        <v>44661</v>
      </c>
      <c r="B110" s="523" t="e">
        <f ca="1">gr(données_step[[#This Row],[E_DBO5]])</f>
        <v>#NAME?</v>
      </c>
      <c r="C110" s="523" t="e">
        <f ca="1">gr(données_step[[#This Row],[E_DCO]])</f>
        <v>#NAME?</v>
      </c>
      <c r="D110" s="523" t="e">
        <f ca="1">gr(données_step[[#This Row],[E_COT]])</f>
        <v>#NAME?</v>
      </c>
      <c r="E110" s="523" t="e">
        <f ca="1">gr(données_step[[#This Row],[E_NH4]])</f>
        <v>#NAME?</v>
      </c>
      <c r="F110" s="523" t="e">
        <f ca="1">gr(données_step[[#This Row],[E_NTOT]])</f>
        <v>#NAME?</v>
      </c>
      <c r="G110" s="523" t="e">
        <f ca="1">gr(données_step[[#This Row],[E_PTOT]])</f>
        <v>#NAME?</v>
      </c>
      <c r="H110" s="523" t="e">
        <f ca="1">gr(données_step[[#This Row],[S_DBO5]])</f>
        <v>#NAME?</v>
      </c>
      <c r="I110" s="523" t="e">
        <f ca="1">gr(données_step[[#This Row],[S_DCO]])</f>
        <v>#NAME?</v>
      </c>
      <c r="J110" s="523" t="e">
        <f ca="1">gr(données_step[[#This Row],[S_COD]])</f>
        <v>#NAME?</v>
      </c>
      <c r="K110" s="523" t="e">
        <f ca="1">gr(données_step[[#This Row],[S_NH4]])</f>
        <v>#NAME?</v>
      </c>
      <c r="L110" s="523" t="e">
        <f ca="1">gr(données_step[[#This Row],[S_NO2]])</f>
        <v>#NAME?</v>
      </c>
      <c r="M110" s="523" t="e">
        <f ca="1">gr(données_step[[#This Row],[S_NO3]])</f>
        <v>#NAME?</v>
      </c>
      <c r="N110" s="523" t="e">
        <f ca="1">gr(données_step[[#This Row],[S_PORTH]])</f>
        <v>#NAME?</v>
      </c>
      <c r="O110" s="523" t="e">
        <f ca="1">gr(données_step[[#This Row],[S_PTOT]])</f>
        <v>#NAME?</v>
      </c>
      <c r="P110" s="523" t="e">
        <f ca="1">gr(données_step[[#This Row],[S_MES]])</f>
        <v>#NAME?</v>
      </c>
      <c r="Q110" s="523" t="e">
        <v>#N/A</v>
      </c>
      <c r="R110" s="523" t="e">
        <v>#N/A</v>
      </c>
      <c r="S110" s="523" t="e">
        <v>#N/A</v>
      </c>
      <c r="T110" s="523" t="e">
        <v>#N/A</v>
      </c>
      <c r="U110" s="523" t="e">
        <v>#N/A</v>
      </c>
      <c r="V110" s="523" t="e">
        <v>#N/A</v>
      </c>
      <c r="W110" s="523" t="e">
        <v>#N/A</v>
      </c>
      <c r="X110" s="523" t="e">
        <v>#N/A</v>
      </c>
      <c r="Y110" s="523" t="e">
        <v>#N/A</v>
      </c>
      <c r="Z110" s="523"/>
      <c r="AA110" s="523"/>
    </row>
    <row r="111" spans="1:27" x14ac:dyDescent="0.2">
      <c r="A111" s="222">
        <f>calculs!A111</f>
        <v>44662</v>
      </c>
      <c r="B111" s="523" t="e">
        <f ca="1">gr(données_step[[#This Row],[E_DBO5]])</f>
        <v>#NAME?</v>
      </c>
      <c r="C111" s="523" t="e">
        <f ca="1">gr(données_step[[#This Row],[E_DCO]])</f>
        <v>#NAME?</v>
      </c>
      <c r="D111" s="523" t="e">
        <f ca="1">gr(données_step[[#This Row],[E_COT]])</f>
        <v>#NAME?</v>
      </c>
      <c r="E111" s="523" t="e">
        <f ca="1">gr(données_step[[#This Row],[E_NH4]])</f>
        <v>#NAME?</v>
      </c>
      <c r="F111" s="523" t="e">
        <f ca="1">gr(données_step[[#This Row],[E_NTOT]])</f>
        <v>#NAME?</v>
      </c>
      <c r="G111" s="523" t="e">
        <f ca="1">gr(données_step[[#This Row],[E_PTOT]])</f>
        <v>#NAME?</v>
      </c>
      <c r="H111" s="523" t="e">
        <f ca="1">gr(données_step[[#This Row],[S_DBO5]])</f>
        <v>#NAME?</v>
      </c>
      <c r="I111" s="523" t="e">
        <f ca="1">gr(données_step[[#This Row],[S_DCO]])</f>
        <v>#NAME?</v>
      </c>
      <c r="J111" s="523" t="e">
        <f ca="1">gr(données_step[[#This Row],[S_COD]])</f>
        <v>#NAME?</v>
      </c>
      <c r="K111" s="523" t="e">
        <f ca="1">gr(données_step[[#This Row],[S_NH4]])</f>
        <v>#NAME?</v>
      </c>
      <c r="L111" s="523" t="e">
        <f ca="1">gr(données_step[[#This Row],[S_NO2]])</f>
        <v>#NAME?</v>
      </c>
      <c r="M111" s="523" t="e">
        <f ca="1">gr(données_step[[#This Row],[S_NO3]])</f>
        <v>#NAME?</v>
      </c>
      <c r="N111" s="523" t="e">
        <f ca="1">gr(données_step[[#This Row],[S_PORTH]])</f>
        <v>#NAME?</v>
      </c>
      <c r="O111" s="523" t="e">
        <f ca="1">gr(données_step[[#This Row],[S_PTOT]])</f>
        <v>#NAME?</v>
      </c>
      <c r="P111" s="523" t="e">
        <f ca="1">gr(données_step[[#This Row],[S_MES]])</f>
        <v>#NAME?</v>
      </c>
      <c r="Q111" s="523" t="e">
        <v>#N/A</v>
      </c>
      <c r="R111" s="523" t="e">
        <v>#N/A</v>
      </c>
      <c r="S111" s="523" t="e">
        <v>#N/A</v>
      </c>
      <c r="T111" s="523" t="e">
        <v>#N/A</v>
      </c>
      <c r="U111" s="523" t="e">
        <v>#N/A</v>
      </c>
      <c r="V111" s="523" t="e">
        <v>#N/A</v>
      </c>
      <c r="W111" s="523" t="e">
        <v>#N/A</v>
      </c>
      <c r="X111" s="523" t="e">
        <v>#N/A</v>
      </c>
      <c r="Y111" s="523" t="e">
        <v>#N/A</v>
      </c>
      <c r="Z111" s="523"/>
      <c r="AA111" s="523"/>
    </row>
    <row r="112" spans="1:27" x14ac:dyDescent="0.2">
      <c r="A112" s="222">
        <f>calculs!A112</f>
        <v>44663</v>
      </c>
      <c r="B112" s="523" t="e">
        <f ca="1">gr(données_step[[#This Row],[E_DBO5]])</f>
        <v>#NAME?</v>
      </c>
      <c r="C112" s="523" t="e">
        <f ca="1">gr(données_step[[#This Row],[E_DCO]])</f>
        <v>#NAME?</v>
      </c>
      <c r="D112" s="523" t="e">
        <f ca="1">gr(données_step[[#This Row],[E_COT]])</f>
        <v>#NAME?</v>
      </c>
      <c r="E112" s="523" t="e">
        <f ca="1">gr(données_step[[#This Row],[E_NH4]])</f>
        <v>#NAME?</v>
      </c>
      <c r="F112" s="523" t="e">
        <f ca="1">gr(données_step[[#This Row],[E_NTOT]])</f>
        <v>#NAME?</v>
      </c>
      <c r="G112" s="523" t="e">
        <f ca="1">gr(données_step[[#This Row],[E_PTOT]])</f>
        <v>#NAME?</v>
      </c>
      <c r="H112" s="523" t="e">
        <f ca="1">gr(données_step[[#This Row],[S_DBO5]])</f>
        <v>#NAME?</v>
      </c>
      <c r="I112" s="523" t="e">
        <f ca="1">gr(données_step[[#This Row],[S_DCO]])</f>
        <v>#NAME?</v>
      </c>
      <c r="J112" s="523" t="e">
        <f ca="1">gr(données_step[[#This Row],[S_COD]])</f>
        <v>#NAME?</v>
      </c>
      <c r="K112" s="523" t="e">
        <f ca="1">gr(données_step[[#This Row],[S_NH4]])</f>
        <v>#NAME?</v>
      </c>
      <c r="L112" s="523" t="e">
        <f ca="1">gr(données_step[[#This Row],[S_NO2]])</f>
        <v>#NAME?</v>
      </c>
      <c r="M112" s="523" t="e">
        <f ca="1">gr(données_step[[#This Row],[S_NO3]])</f>
        <v>#NAME?</v>
      </c>
      <c r="N112" s="523" t="e">
        <f ca="1">gr(données_step[[#This Row],[S_PORTH]])</f>
        <v>#NAME?</v>
      </c>
      <c r="O112" s="523" t="e">
        <f ca="1">gr(données_step[[#This Row],[S_PTOT]])</f>
        <v>#NAME?</v>
      </c>
      <c r="P112" s="523" t="e">
        <f ca="1">gr(données_step[[#This Row],[S_MES]])</f>
        <v>#NAME?</v>
      </c>
      <c r="Q112" s="523" t="e">
        <v>#N/A</v>
      </c>
      <c r="R112" s="523" t="e">
        <v>#N/A</v>
      </c>
      <c r="S112" s="523" t="e">
        <v>#N/A</v>
      </c>
      <c r="T112" s="523" t="e">
        <v>#N/A</v>
      </c>
      <c r="U112" s="523" t="e">
        <v>#N/A</v>
      </c>
      <c r="V112" s="523" t="e">
        <v>#N/A</v>
      </c>
      <c r="W112" s="523" t="e">
        <v>#N/A</v>
      </c>
      <c r="X112" s="523" t="e">
        <v>#N/A</v>
      </c>
      <c r="Y112" s="523" t="e">
        <v>#N/A</v>
      </c>
      <c r="Z112" s="523"/>
      <c r="AA112" s="523"/>
    </row>
    <row r="113" spans="1:27" x14ac:dyDescent="0.2">
      <c r="A113" s="222">
        <f>calculs!A113</f>
        <v>44664</v>
      </c>
      <c r="B113" s="523" t="e">
        <f ca="1">gr(données_step[[#This Row],[E_DBO5]])</f>
        <v>#NAME?</v>
      </c>
      <c r="C113" s="523" t="e">
        <f ca="1">gr(données_step[[#This Row],[E_DCO]])</f>
        <v>#NAME?</v>
      </c>
      <c r="D113" s="523" t="e">
        <f ca="1">gr(données_step[[#This Row],[E_COT]])</f>
        <v>#NAME?</v>
      </c>
      <c r="E113" s="523" t="e">
        <f ca="1">gr(données_step[[#This Row],[E_NH4]])</f>
        <v>#NAME?</v>
      </c>
      <c r="F113" s="523" t="e">
        <f ca="1">gr(données_step[[#This Row],[E_NTOT]])</f>
        <v>#NAME?</v>
      </c>
      <c r="G113" s="523" t="e">
        <f ca="1">gr(données_step[[#This Row],[E_PTOT]])</f>
        <v>#NAME?</v>
      </c>
      <c r="H113" s="523" t="e">
        <f ca="1">gr(données_step[[#This Row],[S_DBO5]])</f>
        <v>#NAME?</v>
      </c>
      <c r="I113" s="523" t="e">
        <f ca="1">gr(données_step[[#This Row],[S_DCO]])</f>
        <v>#NAME?</v>
      </c>
      <c r="J113" s="523" t="e">
        <f ca="1">gr(données_step[[#This Row],[S_COD]])</f>
        <v>#NAME?</v>
      </c>
      <c r="K113" s="523" t="e">
        <f ca="1">gr(données_step[[#This Row],[S_NH4]])</f>
        <v>#NAME?</v>
      </c>
      <c r="L113" s="523" t="e">
        <f ca="1">gr(données_step[[#This Row],[S_NO2]])</f>
        <v>#NAME?</v>
      </c>
      <c r="M113" s="523" t="e">
        <f ca="1">gr(données_step[[#This Row],[S_NO3]])</f>
        <v>#NAME?</v>
      </c>
      <c r="N113" s="523" t="e">
        <f ca="1">gr(données_step[[#This Row],[S_PORTH]])</f>
        <v>#NAME?</v>
      </c>
      <c r="O113" s="523" t="e">
        <f ca="1">gr(données_step[[#This Row],[S_PTOT]])</f>
        <v>#NAME?</v>
      </c>
      <c r="P113" s="523" t="e">
        <f ca="1">gr(données_step[[#This Row],[S_MES]])</f>
        <v>#NAME?</v>
      </c>
      <c r="Q113" s="523" t="e">
        <v>#N/A</v>
      </c>
      <c r="R113" s="523" t="e">
        <v>#N/A</v>
      </c>
      <c r="S113" s="523" t="e">
        <v>#N/A</v>
      </c>
      <c r="T113" s="523" t="e">
        <v>#N/A</v>
      </c>
      <c r="U113" s="523" t="e">
        <v>#N/A</v>
      </c>
      <c r="V113" s="523" t="e">
        <v>#N/A</v>
      </c>
      <c r="W113" s="523" t="e">
        <v>#N/A</v>
      </c>
      <c r="X113" s="523" t="e">
        <v>#N/A</v>
      </c>
      <c r="Y113" s="523" t="e">
        <v>#N/A</v>
      </c>
      <c r="Z113" s="523"/>
      <c r="AA113" s="523"/>
    </row>
    <row r="114" spans="1:27" x14ac:dyDescent="0.2">
      <c r="A114" s="222">
        <f>calculs!A114</f>
        <v>44665</v>
      </c>
      <c r="B114" s="523" t="e">
        <f ca="1">gr(données_step[[#This Row],[E_DBO5]])</f>
        <v>#NAME?</v>
      </c>
      <c r="C114" s="523" t="e">
        <f ca="1">gr(données_step[[#This Row],[E_DCO]])</f>
        <v>#NAME?</v>
      </c>
      <c r="D114" s="523" t="e">
        <f ca="1">gr(données_step[[#This Row],[E_COT]])</f>
        <v>#NAME?</v>
      </c>
      <c r="E114" s="523" t="e">
        <f ca="1">gr(données_step[[#This Row],[E_NH4]])</f>
        <v>#NAME?</v>
      </c>
      <c r="F114" s="523" t="e">
        <f ca="1">gr(données_step[[#This Row],[E_NTOT]])</f>
        <v>#NAME?</v>
      </c>
      <c r="G114" s="523" t="e">
        <f ca="1">gr(données_step[[#This Row],[E_PTOT]])</f>
        <v>#NAME?</v>
      </c>
      <c r="H114" s="523" t="e">
        <f ca="1">gr(données_step[[#This Row],[S_DBO5]])</f>
        <v>#NAME?</v>
      </c>
      <c r="I114" s="523" t="e">
        <f ca="1">gr(données_step[[#This Row],[S_DCO]])</f>
        <v>#NAME?</v>
      </c>
      <c r="J114" s="523" t="e">
        <f ca="1">gr(données_step[[#This Row],[S_COD]])</f>
        <v>#NAME?</v>
      </c>
      <c r="K114" s="523" t="e">
        <f ca="1">gr(données_step[[#This Row],[S_NH4]])</f>
        <v>#NAME?</v>
      </c>
      <c r="L114" s="523" t="e">
        <f ca="1">gr(données_step[[#This Row],[S_NO2]])</f>
        <v>#NAME?</v>
      </c>
      <c r="M114" s="523" t="e">
        <f ca="1">gr(données_step[[#This Row],[S_NO3]])</f>
        <v>#NAME?</v>
      </c>
      <c r="N114" s="523" t="e">
        <f ca="1">gr(données_step[[#This Row],[S_PORTH]])</f>
        <v>#NAME?</v>
      </c>
      <c r="O114" s="523" t="e">
        <f ca="1">gr(données_step[[#This Row],[S_PTOT]])</f>
        <v>#NAME?</v>
      </c>
      <c r="P114" s="523" t="e">
        <f ca="1">gr(données_step[[#This Row],[S_MES]])</f>
        <v>#NAME?</v>
      </c>
      <c r="Q114" s="523" t="e">
        <v>#N/A</v>
      </c>
      <c r="R114" s="523" t="e">
        <v>#N/A</v>
      </c>
      <c r="S114" s="523" t="e">
        <v>#N/A</v>
      </c>
      <c r="T114" s="523" t="e">
        <v>#N/A</v>
      </c>
      <c r="U114" s="523" t="e">
        <v>#N/A</v>
      </c>
      <c r="V114" s="523" t="e">
        <v>#N/A</v>
      </c>
      <c r="W114" s="523" t="e">
        <v>#N/A</v>
      </c>
      <c r="X114" s="523" t="e">
        <v>#N/A</v>
      </c>
      <c r="Y114" s="523" t="e">
        <v>#N/A</v>
      </c>
      <c r="Z114" s="523"/>
      <c r="AA114" s="523"/>
    </row>
    <row r="115" spans="1:27" x14ac:dyDescent="0.2">
      <c r="A115" s="222">
        <f>calculs!A115</f>
        <v>44666</v>
      </c>
      <c r="B115" s="523" t="e">
        <f ca="1">gr(données_step[[#This Row],[E_DBO5]])</f>
        <v>#NAME?</v>
      </c>
      <c r="C115" s="523" t="e">
        <f ca="1">gr(données_step[[#This Row],[E_DCO]])</f>
        <v>#NAME?</v>
      </c>
      <c r="D115" s="523" t="e">
        <f ca="1">gr(données_step[[#This Row],[E_COT]])</f>
        <v>#NAME?</v>
      </c>
      <c r="E115" s="523" t="e">
        <f ca="1">gr(données_step[[#This Row],[E_NH4]])</f>
        <v>#NAME?</v>
      </c>
      <c r="F115" s="523" t="e">
        <f ca="1">gr(données_step[[#This Row],[E_NTOT]])</f>
        <v>#NAME?</v>
      </c>
      <c r="G115" s="523" t="e">
        <f ca="1">gr(données_step[[#This Row],[E_PTOT]])</f>
        <v>#NAME?</v>
      </c>
      <c r="H115" s="523" t="e">
        <f ca="1">gr(données_step[[#This Row],[S_DBO5]])</f>
        <v>#NAME?</v>
      </c>
      <c r="I115" s="523" t="e">
        <f ca="1">gr(données_step[[#This Row],[S_DCO]])</f>
        <v>#NAME?</v>
      </c>
      <c r="J115" s="523" t="e">
        <f ca="1">gr(données_step[[#This Row],[S_COD]])</f>
        <v>#NAME?</v>
      </c>
      <c r="K115" s="523" t="e">
        <f ca="1">gr(données_step[[#This Row],[S_NH4]])</f>
        <v>#NAME?</v>
      </c>
      <c r="L115" s="523" t="e">
        <f ca="1">gr(données_step[[#This Row],[S_NO2]])</f>
        <v>#NAME?</v>
      </c>
      <c r="M115" s="523" t="e">
        <f ca="1">gr(données_step[[#This Row],[S_NO3]])</f>
        <v>#NAME?</v>
      </c>
      <c r="N115" s="523" t="e">
        <f ca="1">gr(données_step[[#This Row],[S_PORTH]])</f>
        <v>#NAME?</v>
      </c>
      <c r="O115" s="523" t="e">
        <f ca="1">gr(données_step[[#This Row],[S_PTOT]])</f>
        <v>#NAME?</v>
      </c>
      <c r="P115" s="523" t="e">
        <f ca="1">gr(données_step[[#This Row],[S_MES]])</f>
        <v>#NAME?</v>
      </c>
      <c r="Q115" s="523" t="e">
        <v>#N/A</v>
      </c>
      <c r="R115" s="523" t="e">
        <v>#N/A</v>
      </c>
      <c r="S115" s="523" t="e">
        <v>#N/A</v>
      </c>
      <c r="T115" s="523" t="e">
        <v>#N/A</v>
      </c>
      <c r="U115" s="523" t="e">
        <v>#N/A</v>
      </c>
      <c r="V115" s="523" t="e">
        <v>#N/A</v>
      </c>
      <c r="W115" s="523" t="e">
        <v>#N/A</v>
      </c>
      <c r="X115" s="523" t="e">
        <v>#N/A</v>
      </c>
      <c r="Y115" s="523" t="e">
        <v>#N/A</v>
      </c>
      <c r="Z115" s="523"/>
      <c r="AA115" s="523"/>
    </row>
    <row r="116" spans="1:27" x14ac:dyDescent="0.2">
      <c r="A116" s="222">
        <f>calculs!A116</f>
        <v>44667</v>
      </c>
      <c r="B116" s="523" t="e">
        <f ca="1">gr(données_step[[#This Row],[E_DBO5]])</f>
        <v>#NAME?</v>
      </c>
      <c r="C116" s="523" t="e">
        <f ca="1">gr(données_step[[#This Row],[E_DCO]])</f>
        <v>#NAME?</v>
      </c>
      <c r="D116" s="523" t="e">
        <f ca="1">gr(données_step[[#This Row],[E_COT]])</f>
        <v>#NAME?</v>
      </c>
      <c r="E116" s="523" t="e">
        <f ca="1">gr(données_step[[#This Row],[E_NH4]])</f>
        <v>#NAME?</v>
      </c>
      <c r="F116" s="523" t="e">
        <f ca="1">gr(données_step[[#This Row],[E_NTOT]])</f>
        <v>#NAME?</v>
      </c>
      <c r="G116" s="523" t="e">
        <f ca="1">gr(données_step[[#This Row],[E_PTOT]])</f>
        <v>#NAME?</v>
      </c>
      <c r="H116" s="523" t="e">
        <f ca="1">gr(données_step[[#This Row],[S_DBO5]])</f>
        <v>#NAME?</v>
      </c>
      <c r="I116" s="523" t="e">
        <f ca="1">gr(données_step[[#This Row],[S_DCO]])</f>
        <v>#NAME?</v>
      </c>
      <c r="J116" s="523" t="e">
        <f ca="1">gr(données_step[[#This Row],[S_COD]])</f>
        <v>#NAME?</v>
      </c>
      <c r="K116" s="523" t="e">
        <f ca="1">gr(données_step[[#This Row],[S_NH4]])</f>
        <v>#NAME?</v>
      </c>
      <c r="L116" s="523" t="e">
        <f ca="1">gr(données_step[[#This Row],[S_NO2]])</f>
        <v>#NAME?</v>
      </c>
      <c r="M116" s="523" t="e">
        <f ca="1">gr(données_step[[#This Row],[S_NO3]])</f>
        <v>#NAME?</v>
      </c>
      <c r="N116" s="523" t="e">
        <f ca="1">gr(données_step[[#This Row],[S_PORTH]])</f>
        <v>#NAME?</v>
      </c>
      <c r="O116" s="523" t="e">
        <f ca="1">gr(données_step[[#This Row],[S_PTOT]])</f>
        <v>#NAME?</v>
      </c>
      <c r="P116" s="523" t="e">
        <f ca="1">gr(données_step[[#This Row],[S_MES]])</f>
        <v>#NAME?</v>
      </c>
      <c r="Q116" s="523" t="e">
        <v>#N/A</v>
      </c>
      <c r="R116" s="523" t="e">
        <v>#N/A</v>
      </c>
      <c r="S116" s="523" t="e">
        <v>#N/A</v>
      </c>
      <c r="T116" s="523" t="e">
        <v>#N/A</v>
      </c>
      <c r="U116" s="523" t="e">
        <v>#N/A</v>
      </c>
      <c r="V116" s="523" t="e">
        <v>#N/A</v>
      </c>
      <c r="W116" s="523" t="e">
        <v>#N/A</v>
      </c>
      <c r="X116" s="523" t="e">
        <v>#N/A</v>
      </c>
      <c r="Y116" s="523" t="e">
        <v>#N/A</v>
      </c>
      <c r="Z116" s="523"/>
      <c r="AA116" s="523"/>
    </row>
    <row r="117" spans="1:27" x14ac:dyDescent="0.2">
      <c r="A117" s="222">
        <f>calculs!A117</f>
        <v>44668</v>
      </c>
      <c r="B117" s="523" t="e">
        <f ca="1">gr(données_step[[#This Row],[E_DBO5]])</f>
        <v>#NAME?</v>
      </c>
      <c r="C117" s="523" t="e">
        <f ca="1">gr(données_step[[#This Row],[E_DCO]])</f>
        <v>#NAME?</v>
      </c>
      <c r="D117" s="523" t="e">
        <f ca="1">gr(données_step[[#This Row],[E_COT]])</f>
        <v>#NAME?</v>
      </c>
      <c r="E117" s="523" t="e">
        <f ca="1">gr(données_step[[#This Row],[E_NH4]])</f>
        <v>#NAME?</v>
      </c>
      <c r="F117" s="523" t="e">
        <f ca="1">gr(données_step[[#This Row],[E_NTOT]])</f>
        <v>#NAME?</v>
      </c>
      <c r="G117" s="523" t="e">
        <f ca="1">gr(données_step[[#This Row],[E_PTOT]])</f>
        <v>#NAME?</v>
      </c>
      <c r="H117" s="523" t="e">
        <f ca="1">gr(données_step[[#This Row],[S_DBO5]])</f>
        <v>#NAME?</v>
      </c>
      <c r="I117" s="523" t="e">
        <f ca="1">gr(données_step[[#This Row],[S_DCO]])</f>
        <v>#NAME?</v>
      </c>
      <c r="J117" s="523" t="e">
        <f ca="1">gr(données_step[[#This Row],[S_COD]])</f>
        <v>#NAME?</v>
      </c>
      <c r="K117" s="523" t="e">
        <f ca="1">gr(données_step[[#This Row],[S_NH4]])</f>
        <v>#NAME?</v>
      </c>
      <c r="L117" s="523" t="e">
        <f ca="1">gr(données_step[[#This Row],[S_NO2]])</f>
        <v>#NAME?</v>
      </c>
      <c r="M117" s="523" t="e">
        <f ca="1">gr(données_step[[#This Row],[S_NO3]])</f>
        <v>#NAME?</v>
      </c>
      <c r="N117" s="523" t="e">
        <f ca="1">gr(données_step[[#This Row],[S_PORTH]])</f>
        <v>#NAME?</v>
      </c>
      <c r="O117" s="523" t="e">
        <f ca="1">gr(données_step[[#This Row],[S_PTOT]])</f>
        <v>#NAME?</v>
      </c>
      <c r="P117" s="523" t="e">
        <f ca="1">gr(données_step[[#This Row],[S_MES]])</f>
        <v>#NAME?</v>
      </c>
      <c r="Q117" s="523" t="e">
        <v>#N/A</v>
      </c>
      <c r="R117" s="523" t="e">
        <v>#N/A</v>
      </c>
      <c r="S117" s="523" t="e">
        <v>#N/A</v>
      </c>
      <c r="T117" s="523" t="e">
        <v>#N/A</v>
      </c>
      <c r="U117" s="523" t="e">
        <v>#N/A</v>
      </c>
      <c r="V117" s="523" t="e">
        <v>#N/A</v>
      </c>
      <c r="W117" s="523" t="e">
        <v>#N/A</v>
      </c>
      <c r="X117" s="523" t="e">
        <v>#N/A</v>
      </c>
      <c r="Y117" s="523" t="e">
        <v>#N/A</v>
      </c>
      <c r="Z117" s="523"/>
      <c r="AA117" s="523"/>
    </row>
    <row r="118" spans="1:27" x14ac:dyDescent="0.2">
      <c r="A118" s="222">
        <f>calculs!A118</f>
        <v>44669</v>
      </c>
      <c r="B118" s="523" t="e">
        <f ca="1">gr(données_step[[#This Row],[E_DBO5]])</f>
        <v>#NAME?</v>
      </c>
      <c r="C118" s="523" t="e">
        <f ca="1">gr(données_step[[#This Row],[E_DCO]])</f>
        <v>#NAME?</v>
      </c>
      <c r="D118" s="523" t="e">
        <f ca="1">gr(données_step[[#This Row],[E_COT]])</f>
        <v>#NAME?</v>
      </c>
      <c r="E118" s="523" t="e">
        <f ca="1">gr(données_step[[#This Row],[E_NH4]])</f>
        <v>#NAME?</v>
      </c>
      <c r="F118" s="523" t="e">
        <f ca="1">gr(données_step[[#This Row],[E_NTOT]])</f>
        <v>#NAME?</v>
      </c>
      <c r="G118" s="523" t="e">
        <f ca="1">gr(données_step[[#This Row],[E_PTOT]])</f>
        <v>#NAME?</v>
      </c>
      <c r="H118" s="523" t="e">
        <f ca="1">gr(données_step[[#This Row],[S_DBO5]])</f>
        <v>#NAME?</v>
      </c>
      <c r="I118" s="523" t="e">
        <f ca="1">gr(données_step[[#This Row],[S_DCO]])</f>
        <v>#NAME?</v>
      </c>
      <c r="J118" s="523" t="e">
        <f ca="1">gr(données_step[[#This Row],[S_COD]])</f>
        <v>#NAME?</v>
      </c>
      <c r="K118" s="523" t="e">
        <f ca="1">gr(données_step[[#This Row],[S_NH4]])</f>
        <v>#NAME?</v>
      </c>
      <c r="L118" s="523" t="e">
        <f ca="1">gr(données_step[[#This Row],[S_NO2]])</f>
        <v>#NAME?</v>
      </c>
      <c r="M118" s="523" t="e">
        <f ca="1">gr(données_step[[#This Row],[S_NO3]])</f>
        <v>#NAME?</v>
      </c>
      <c r="N118" s="523" t="e">
        <f ca="1">gr(données_step[[#This Row],[S_PORTH]])</f>
        <v>#NAME?</v>
      </c>
      <c r="O118" s="523" t="e">
        <f ca="1">gr(données_step[[#This Row],[S_PTOT]])</f>
        <v>#NAME?</v>
      </c>
      <c r="P118" s="523" t="e">
        <f ca="1">gr(données_step[[#This Row],[S_MES]])</f>
        <v>#NAME?</v>
      </c>
      <c r="Q118" s="523" t="e">
        <v>#N/A</v>
      </c>
      <c r="R118" s="523" t="e">
        <v>#N/A</v>
      </c>
      <c r="S118" s="523" t="e">
        <v>#N/A</v>
      </c>
      <c r="T118" s="523" t="e">
        <v>#N/A</v>
      </c>
      <c r="U118" s="523" t="e">
        <v>#N/A</v>
      </c>
      <c r="V118" s="523" t="e">
        <v>#N/A</v>
      </c>
      <c r="W118" s="523" t="e">
        <v>#N/A</v>
      </c>
      <c r="X118" s="523" t="e">
        <v>#N/A</v>
      </c>
      <c r="Y118" s="523" t="e">
        <v>#N/A</v>
      </c>
      <c r="Z118" s="523"/>
      <c r="AA118" s="523"/>
    </row>
    <row r="119" spans="1:27" x14ac:dyDescent="0.2">
      <c r="A119" s="222">
        <f>calculs!A119</f>
        <v>44670</v>
      </c>
      <c r="B119" s="523" t="e">
        <f ca="1">gr(données_step[[#This Row],[E_DBO5]])</f>
        <v>#NAME?</v>
      </c>
      <c r="C119" s="523" t="e">
        <f ca="1">gr(données_step[[#This Row],[E_DCO]])</f>
        <v>#NAME?</v>
      </c>
      <c r="D119" s="523" t="e">
        <f ca="1">gr(données_step[[#This Row],[E_COT]])</f>
        <v>#NAME?</v>
      </c>
      <c r="E119" s="523" t="e">
        <f ca="1">gr(données_step[[#This Row],[E_NH4]])</f>
        <v>#NAME?</v>
      </c>
      <c r="F119" s="523" t="e">
        <f ca="1">gr(données_step[[#This Row],[E_NTOT]])</f>
        <v>#NAME?</v>
      </c>
      <c r="G119" s="523" t="e">
        <f ca="1">gr(données_step[[#This Row],[E_PTOT]])</f>
        <v>#NAME?</v>
      </c>
      <c r="H119" s="523" t="e">
        <f ca="1">gr(données_step[[#This Row],[S_DBO5]])</f>
        <v>#NAME?</v>
      </c>
      <c r="I119" s="523" t="e">
        <f ca="1">gr(données_step[[#This Row],[S_DCO]])</f>
        <v>#NAME?</v>
      </c>
      <c r="J119" s="523" t="e">
        <f ca="1">gr(données_step[[#This Row],[S_COD]])</f>
        <v>#NAME?</v>
      </c>
      <c r="K119" s="523" t="e">
        <f ca="1">gr(données_step[[#This Row],[S_NH4]])</f>
        <v>#NAME?</v>
      </c>
      <c r="L119" s="523" t="e">
        <f ca="1">gr(données_step[[#This Row],[S_NO2]])</f>
        <v>#NAME?</v>
      </c>
      <c r="M119" s="523" t="e">
        <f ca="1">gr(données_step[[#This Row],[S_NO3]])</f>
        <v>#NAME?</v>
      </c>
      <c r="N119" s="523" t="e">
        <f ca="1">gr(données_step[[#This Row],[S_PORTH]])</f>
        <v>#NAME?</v>
      </c>
      <c r="O119" s="523" t="e">
        <f ca="1">gr(données_step[[#This Row],[S_PTOT]])</f>
        <v>#NAME?</v>
      </c>
      <c r="P119" s="523" t="e">
        <f ca="1">gr(données_step[[#This Row],[S_MES]])</f>
        <v>#NAME?</v>
      </c>
      <c r="Q119" s="523" t="e">
        <v>#N/A</v>
      </c>
      <c r="R119" s="523" t="e">
        <v>#N/A</v>
      </c>
      <c r="S119" s="523" t="e">
        <v>#N/A</v>
      </c>
      <c r="T119" s="523" t="e">
        <v>#N/A</v>
      </c>
      <c r="U119" s="523" t="e">
        <v>#N/A</v>
      </c>
      <c r="V119" s="523" t="e">
        <v>#N/A</v>
      </c>
      <c r="W119" s="523" t="e">
        <v>#N/A</v>
      </c>
      <c r="X119" s="523" t="e">
        <v>#N/A</v>
      </c>
      <c r="Y119" s="523" t="e">
        <v>#N/A</v>
      </c>
      <c r="Z119" s="523"/>
      <c r="AA119" s="523"/>
    </row>
    <row r="120" spans="1:27" x14ac:dyDescent="0.2">
      <c r="A120" s="222">
        <f>calculs!A120</f>
        <v>44671</v>
      </c>
      <c r="B120" s="523" t="e">
        <f ca="1">gr(données_step[[#This Row],[E_DBO5]])</f>
        <v>#NAME?</v>
      </c>
      <c r="C120" s="523" t="e">
        <f ca="1">gr(données_step[[#This Row],[E_DCO]])</f>
        <v>#NAME?</v>
      </c>
      <c r="D120" s="523" t="e">
        <f ca="1">gr(données_step[[#This Row],[E_COT]])</f>
        <v>#NAME?</v>
      </c>
      <c r="E120" s="523" t="e">
        <f ca="1">gr(données_step[[#This Row],[E_NH4]])</f>
        <v>#NAME?</v>
      </c>
      <c r="F120" s="523" t="e">
        <f ca="1">gr(données_step[[#This Row],[E_NTOT]])</f>
        <v>#NAME?</v>
      </c>
      <c r="G120" s="523" t="e">
        <f ca="1">gr(données_step[[#This Row],[E_PTOT]])</f>
        <v>#NAME?</v>
      </c>
      <c r="H120" s="523" t="e">
        <f ca="1">gr(données_step[[#This Row],[S_DBO5]])</f>
        <v>#NAME?</v>
      </c>
      <c r="I120" s="523" t="e">
        <f ca="1">gr(données_step[[#This Row],[S_DCO]])</f>
        <v>#NAME?</v>
      </c>
      <c r="J120" s="523" t="e">
        <f ca="1">gr(données_step[[#This Row],[S_COD]])</f>
        <v>#NAME?</v>
      </c>
      <c r="K120" s="523" t="e">
        <f ca="1">gr(données_step[[#This Row],[S_NH4]])</f>
        <v>#NAME?</v>
      </c>
      <c r="L120" s="523" t="e">
        <f ca="1">gr(données_step[[#This Row],[S_NO2]])</f>
        <v>#NAME?</v>
      </c>
      <c r="M120" s="523" t="e">
        <f ca="1">gr(données_step[[#This Row],[S_NO3]])</f>
        <v>#NAME?</v>
      </c>
      <c r="N120" s="523" t="e">
        <f ca="1">gr(données_step[[#This Row],[S_PORTH]])</f>
        <v>#NAME?</v>
      </c>
      <c r="O120" s="523" t="e">
        <f ca="1">gr(données_step[[#This Row],[S_PTOT]])</f>
        <v>#NAME?</v>
      </c>
      <c r="P120" s="523" t="e">
        <f ca="1">gr(données_step[[#This Row],[S_MES]])</f>
        <v>#NAME?</v>
      </c>
      <c r="Q120" s="523" t="e">
        <v>#N/A</v>
      </c>
      <c r="R120" s="523" t="e">
        <v>#N/A</v>
      </c>
      <c r="S120" s="523" t="e">
        <v>#N/A</v>
      </c>
      <c r="T120" s="523" t="e">
        <v>#N/A</v>
      </c>
      <c r="U120" s="523" t="e">
        <v>#N/A</v>
      </c>
      <c r="V120" s="523" t="e">
        <v>#N/A</v>
      </c>
      <c r="W120" s="523" t="e">
        <v>#N/A</v>
      </c>
      <c r="X120" s="523" t="e">
        <v>#N/A</v>
      </c>
      <c r="Y120" s="523" t="e">
        <v>#N/A</v>
      </c>
      <c r="Z120" s="523"/>
      <c r="AA120" s="523"/>
    </row>
    <row r="121" spans="1:27" x14ac:dyDescent="0.2">
      <c r="A121" s="222">
        <f>calculs!A121</f>
        <v>44672</v>
      </c>
      <c r="B121" s="523" t="e">
        <f ca="1">gr(données_step[[#This Row],[E_DBO5]])</f>
        <v>#NAME?</v>
      </c>
      <c r="C121" s="523" t="e">
        <f ca="1">gr(données_step[[#This Row],[E_DCO]])</f>
        <v>#NAME?</v>
      </c>
      <c r="D121" s="523" t="e">
        <f ca="1">gr(données_step[[#This Row],[E_COT]])</f>
        <v>#NAME?</v>
      </c>
      <c r="E121" s="523" t="e">
        <f ca="1">gr(données_step[[#This Row],[E_NH4]])</f>
        <v>#NAME?</v>
      </c>
      <c r="F121" s="523" t="e">
        <f ca="1">gr(données_step[[#This Row],[E_NTOT]])</f>
        <v>#NAME?</v>
      </c>
      <c r="G121" s="523" t="e">
        <f ca="1">gr(données_step[[#This Row],[E_PTOT]])</f>
        <v>#NAME?</v>
      </c>
      <c r="H121" s="523" t="e">
        <f ca="1">gr(données_step[[#This Row],[S_DBO5]])</f>
        <v>#NAME?</v>
      </c>
      <c r="I121" s="523" t="e">
        <f ca="1">gr(données_step[[#This Row],[S_DCO]])</f>
        <v>#NAME?</v>
      </c>
      <c r="J121" s="523" t="e">
        <f ca="1">gr(données_step[[#This Row],[S_COD]])</f>
        <v>#NAME?</v>
      </c>
      <c r="K121" s="523" t="e">
        <f ca="1">gr(données_step[[#This Row],[S_NH4]])</f>
        <v>#NAME?</v>
      </c>
      <c r="L121" s="523" t="e">
        <f ca="1">gr(données_step[[#This Row],[S_NO2]])</f>
        <v>#NAME?</v>
      </c>
      <c r="M121" s="523" t="e">
        <f ca="1">gr(données_step[[#This Row],[S_NO3]])</f>
        <v>#NAME?</v>
      </c>
      <c r="N121" s="523" t="e">
        <f ca="1">gr(données_step[[#This Row],[S_PORTH]])</f>
        <v>#NAME?</v>
      </c>
      <c r="O121" s="523" t="e">
        <f ca="1">gr(données_step[[#This Row],[S_PTOT]])</f>
        <v>#NAME?</v>
      </c>
      <c r="P121" s="523" t="e">
        <f ca="1">gr(données_step[[#This Row],[S_MES]])</f>
        <v>#NAME?</v>
      </c>
      <c r="Q121" s="523" t="e">
        <v>#N/A</v>
      </c>
      <c r="R121" s="523" t="e">
        <v>#N/A</v>
      </c>
      <c r="S121" s="523" t="e">
        <v>#N/A</v>
      </c>
      <c r="T121" s="523" t="e">
        <v>#N/A</v>
      </c>
      <c r="U121" s="523" t="e">
        <v>#N/A</v>
      </c>
      <c r="V121" s="523" t="e">
        <v>#N/A</v>
      </c>
      <c r="W121" s="523" t="e">
        <v>#N/A</v>
      </c>
      <c r="X121" s="523" t="e">
        <v>#N/A</v>
      </c>
      <c r="Y121" s="523" t="e">
        <v>#N/A</v>
      </c>
      <c r="Z121" s="523"/>
      <c r="AA121" s="523"/>
    </row>
    <row r="122" spans="1:27" x14ac:dyDescent="0.2">
      <c r="A122" s="222">
        <f>calculs!A122</f>
        <v>44673</v>
      </c>
      <c r="B122" s="523" t="e">
        <f ca="1">gr(données_step[[#This Row],[E_DBO5]])</f>
        <v>#NAME?</v>
      </c>
      <c r="C122" s="523" t="e">
        <f ca="1">gr(données_step[[#This Row],[E_DCO]])</f>
        <v>#NAME?</v>
      </c>
      <c r="D122" s="523" t="e">
        <f ca="1">gr(données_step[[#This Row],[E_COT]])</f>
        <v>#NAME?</v>
      </c>
      <c r="E122" s="523" t="e">
        <f ca="1">gr(données_step[[#This Row],[E_NH4]])</f>
        <v>#NAME?</v>
      </c>
      <c r="F122" s="523" t="e">
        <f ca="1">gr(données_step[[#This Row],[E_NTOT]])</f>
        <v>#NAME?</v>
      </c>
      <c r="G122" s="523" t="e">
        <f ca="1">gr(données_step[[#This Row],[E_PTOT]])</f>
        <v>#NAME?</v>
      </c>
      <c r="H122" s="523" t="e">
        <f ca="1">gr(données_step[[#This Row],[S_DBO5]])</f>
        <v>#NAME?</v>
      </c>
      <c r="I122" s="523" t="e">
        <f ca="1">gr(données_step[[#This Row],[S_DCO]])</f>
        <v>#NAME?</v>
      </c>
      <c r="J122" s="523" t="e">
        <f ca="1">gr(données_step[[#This Row],[S_COD]])</f>
        <v>#NAME?</v>
      </c>
      <c r="K122" s="523" t="e">
        <f ca="1">gr(données_step[[#This Row],[S_NH4]])</f>
        <v>#NAME?</v>
      </c>
      <c r="L122" s="523" t="e">
        <f ca="1">gr(données_step[[#This Row],[S_NO2]])</f>
        <v>#NAME?</v>
      </c>
      <c r="M122" s="523" t="e">
        <f ca="1">gr(données_step[[#This Row],[S_NO3]])</f>
        <v>#NAME?</v>
      </c>
      <c r="N122" s="523" t="e">
        <f ca="1">gr(données_step[[#This Row],[S_PORTH]])</f>
        <v>#NAME?</v>
      </c>
      <c r="O122" s="523" t="e">
        <f ca="1">gr(données_step[[#This Row],[S_PTOT]])</f>
        <v>#NAME?</v>
      </c>
      <c r="P122" s="523" t="e">
        <f ca="1">gr(données_step[[#This Row],[S_MES]])</f>
        <v>#NAME?</v>
      </c>
      <c r="Q122" s="523" t="e">
        <v>#N/A</v>
      </c>
      <c r="R122" s="523" t="e">
        <v>#N/A</v>
      </c>
      <c r="S122" s="523" t="e">
        <v>#N/A</v>
      </c>
      <c r="T122" s="523" t="e">
        <v>#N/A</v>
      </c>
      <c r="U122" s="523" t="e">
        <v>#N/A</v>
      </c>
      <c r="V122" s="523" t="e">
        <v>#N/A</v>
      </c>
      <c r="W122" s="523" t="e">
        <v>#N/A</v>
      </c>
      <c r="X122" s="523" t="e">
        <v>#N/A</v>
      </c>
      <c r="Y122" s="523" t="e">
        <v>#N/A</v>
      </c>
      <c r="Z122" s="523"/>
      <c r="AA122" s="523"/>
    </row>
    <row r="123" spans="1:27" x14ac:dyDescent="0.2">
      <c r="A123" s="222">
        <f>calculs!A123</f>
        <v>44674</v>
      </c>
      <c r="B123" s="523" t="e">
        <f ca="1">gr(données_step[[#This Row],[E_DBO5]])</f>
        <v>#NAME?</v>
      </c>
      <c r="C123" s="523" t="e">
        <f ca="1">gr(données_step[[#This Row],[E_DCO]])</f>
        <v>#NAME?</v>
      </c>
      <c r="D123" s="523" t="e">
        <f ca="1">gr(données_step[[#This Row],[E_COT]])</f>
        <v>#NAME?</v>
      </c>
      <c r="E123" s="523" t="e">
        <f ca="1">gr(données_step[[#This Row],[E_NH4]])</f>
        <v>#NAME?</v>
      </c>
      <c r="F123" s="523" t="e">
        <f ca="1">gr(données_step[[#This Row],[E_NTOT]])</f>
        <v>#NAME?</v>
      </c>
      <c r="G123" s="523" t="e">
        <f ca="1">gr(données_step[[#This Row],[E_PTOT]])</f>
        <v>#NAME?</v>
      </c>
      <c r="H123" s="523" t="e">
        <f ca="1">gr(données_step[[#This Row],[S_DBO5]])</f>
        <v>#NAME?</v>
      </c>
      <c r="I123" s="523" t="e">
        <f ca="1">gr(données_step[[#This Row],[S_DCO]])</f>
        <v>#NAME?</v>
      </c>
      <c r="J123" s="523" t="e">
        <f ca="1">gr(données_step[[#This Row],[S_COD]])</f>
        <v>#NAME?</v>
      </c>
      <c r="K123" s="523" t="e">
        <f ca="1">gr(données_step[[#This Row],[S_NH4]])</f>
        <v>#NAME?</v>
      </c>
      <c r="L123" s="523" t="e">
        <f ca="1">gr(données_step[[#This Row],[S_NO2]])</f>
        <v>#NAME?</v>
      </c>
      <c r="M123" s="523" t="e">
        <f ca="1">gr(données_step[[#This Row],[S_NO3]])</f>
        <v>#NAME?</v>
      </c>
      <c r="N123" s="523" t="e">
        <f ca="1">gr(données_step[[#This Row],[S_PORTH]])</f>
        <v>#NAME?</v>
      </c>
      <c r="O123" s="523" t="e">
        <f ca="1">gr(données_step[[#This Row],[S_PTOT]])</f>
        <v>#NAME?</v>
      </c>
      <c r="P123" s="523" t="e">
        <f ca="1">gr(données_step[[#This Row],[S_MES]])</f>
        <v>#NAME?</v>
      </c>
      <c r="Q123" s="523" t="e">
        <v>#N/A</v>
      </c>
      <c r="R123" s="523" t="e">
        <v>#N/A</v>
      </c>
      <c r="S123" s="523" t="e">
        <v>#N/A</v>
      </c>
      <c r="T123" s="523" t="e">
        <v>#N/A</v>
      </c>
      <c r="U123" s="523" t="e">
        <v>#N/A</v>
      </c>
      <c r="V123" s="523" t="e">
        <v>#N/A</v>
      </c>
      <c r="W123" s="523" t="e">
        <v>#N/A</v>
      </c>
      <c r="X123" s="523" t="e">
        <v>#N/A</v>
      </c>
      <c r="Y123" s="523" t="e">
        <v>#N/A</v>
      </c>
      <c r="Z123" s="523"/>
      <c r="AA123" s="523"/>
    </row>
    <row r="124" spans="1:27" x14ac:dyDescent="0.2">
      <c r="A124" s="222">
        <f>calculs!A124</f>
        <v>44675</v>
      </c>
      <c r="B124" s="523" t="e">
        <f ca="1">gr(données_step[[#This Row],[E_DBO5]])</f>
        <v>#NAME?</v>
      </c>
      <c r="C124" s="523" t="e">
        <f ca="1">gr(données_step[[#This Row],[E_DCO]])</f>
        <v>#NAME?</v>
      </c>
      <c r="D124" s="523" t="e">
        <f ca="1">gr(données_step[[#This Row],[E_COT]])</f>
        <v>#NAME?</v>
      </c>
      <c r="E124" s="523" t="e">
        <f ca="1">gr(données_step[[#This Row],[E_NH4]])</f>
        <v>#NAME?</v>
      </c>
      <c r="F124" s="523" t="e">
        <f ca="1">gr(données_step[[#This Row],[E_NTOT]])</f>
        <v>#NAME?</v>
      </c>
      <c r="G124" s="523" t="e">
        <f ca="1">gr(données_step[[#This Row],[E_PTOT]])</f>
        <v>#NAME?</v>
      </c>
      <c r="H124" s="523" t="e">
        <f ca="1">gr(données_step[[#This Row],[S_DBO5]])</f>
        <v>#NAME?</v>
      </c>
      <c r="I124" s="523" t="e">
        <f ca="1">gr(données_step[[#This Row],[S_DCO]])</f>
        <v>#NAME?</v>
      </c>
      <c r="J124" s="523" t="e">
        <f ca="1">gr(données_step[[#This Row],[S_COD]])</f>
        <v>#NAME?</v>
      </c>
      <c r="K124" s="523" t="e">
        <f ca="1">gr(données_step[[#This Row],[S_NH4]])</f>
        <v>#NAME?</v>
      </c>
      <c r="L124" s="523" t="e">
        <f ca="1">gr(données_step[[#This Row],[S_NO2]])</f>
        <v>#NAME?</v>
      </c>
      <c r="M124" s="523" t="e">
        <f ca="1">gr(données_step[[#This Row],[S_NO3]])</f>
        <v>#NAME?</v>
      </c>
      <c r="N124" s="523" t="e">
        <f ca="1">gr(données_step[[#This Row],[S_PORTH]])</f>
        <v>#NAME?</v>
      </c>
      <c r="O124" s="523" t="e">
        <f ca="1">gr(données_step[[#This Row],[S_PTOT]])</f>
        <v>#NAME?</v>
      </c>
      <c r="P124" s="523" t="e">
        <f ca="1">gr(données_step[[#This Row],[S_MES]])</f>
        <v>#NAME?</v>
      </c>
      <c r="Q124" s="523" t="e">
        <v>#N/A</v>
      </c>
      <c r="R124" s="523" t="e">
        <v>#N/A</v>
      </c>
      <c r="S124" s="523" t="e">
        <v>#N/A</v>
      </c>
      <c r="T124" s="523" t="e">
        <v>#N/A</v>
      </c>
      <c r="U124" s="523" t="e">
        <v>#N/A</v>
      </c>
      <c r="V124" s="523" t="e">
        <v>#N/A</v>
      </c>
      <c r="W124" s="523" t="e">
        <v>#N/A</v>
      </c>
      <c r="X124" s="523" t="e">
        <v>#N/A</v>
      </c>
      <c r="Y124" s="523" t="e">
        <v>#N/A</v>
      </c>
      <c r="Z124" s="523"/>
      <c r="AA124" s="523"/>
    </row>
    <row r="125" spans="1:27" x14ac:dyDescent="0.2">
      <c r="A125" s="222">
        <f>calculs!A125</f>
        <v>44676</v>
      </c>
      <c r="B125" s="523" t="e">
        <f ca="1">gr(données_step[[#This Row],[E_DBO5]])</f>
        <v>#NAME?</v>
      </c>
      <c r="C125" s="523" t="e">
        <f ca="1">gr(données_step[[#This Row],[E_DCO]])</f>
        <v>#NAME?</v>
      </c>
      <c r="D125" s="523" t="e">
        <f ca="1">gr(données_step[[#This Row],[E_COT]])</f>
        <v>#NAME?</v>
      </c>
      <c r="E125" s="523" t="e">
        <f ca="1">gr(données_step[[#This Row],[E_NH4]])</f>
        <v>#NAME?</v>
      </c>
      <c r="F125" s="523" t="e">
        <f ca="1">gr(données_step[[#This Row],[E_NTOT]])</f>
        <v>#NAME?</v>
      </c>
      <c r="G125" s="523" t="e">
        <f ca="1">gr(données_step[[#This Row],[E_PTOT]])</f>
        <v>#NAME?</v>
      </c>
      <c r="H125" s="523" t="e">
        <f ca="1">gr(données_step[[#This Row],[S_DBO5]])</f>
        <v>#NAME?</v>
      </c>
      <c r="I125" s="523" t="e">
        <f ca="1">gr(données_step[[#This Row],[S_DCO]])</f>
        <v>#NAME?</v>
      </c>
      <c r="J125" s="523" t="e">
        <f ca="1">gr(données_step[[#This Row],[S_COD]])</f>
        <v>#NAME?</v>
      </c>
      <c r="K125" s="523" t="e">
        <f ca="1">gr(données_step[[#This Row],[S_NH4]])</f>
        <v>#NAME?</v>
      </c>
      <c r="L125" s="523" t="e">
        <f ca="1">gr(données_step[[#This Row],[S_NO2]])</f>
        <v>#NAME?</v>
      </c>
      <c r="M125" s="523" t="e">
        <f ca="1">gr(données_step[[#This Row],[S_NO3]])</f>
        <v>#NAME?</v>
      </c>
      <c r="N125" s="523" t="e">
        <f ca="1">gr(données_step[[#This Row],[S_PORTH]])</f>
        <v>#NAME?</v>
      </c>
      <c r="O125" s="523" t="e">
        <f ca="1">gr(données_step[[#This Row],[S_PTOT]])</f>
        <v>#NAME?</v>
      </c>
      <c r="P125" s="523" t="e">
        <f ca="1">gr(données_step[[#This Row],[S_MES]])</f>
        <v>#NAME?</v>
      </c>
      <c r="Q125" s="523" t="e">
        <v>#N/A</v>
      </c>
      <c r="R125" s="523" t="e">
        <v>#N/A</v>
      </c>
      <c r="S125" s="523" t="e">
        <v>#N/A</v>
      </c>
      <c r="T125" s="523" t="e">
        <v>#N/A</v>
      </c>
      <c r="U125" s="523" t="e">
        <v>#N/A</v>
      </c>
      <c r="V125" s="523" t="e">
        <v>#N/A</v>
      </c>
      <c r="W125" s="523" t="e">
        <v>#N/A</v>
      </c>
      <c r="X125" s="523" t="e">
        <v>#N/A</v>
      </c>
      <c r="Y125" s="523" t="e">
        <v>#N/A</v>
      </c>
      <c r="Z125" s="523"/>
      <c r="AA125" s="523"/>
    </row>
    <row r="126" spans="1:27" x14ac:dyDescent="0.2">
      <c r="A126" s="222">
        <f>calculs!A126</f>
        <v>44677</v>
      </c>
      <c r="B126" s="523" t="e">
        <f ca="1">gr(données_step[[#This Row],[E_DBO5]])</f>
        <v>#NAME?</v>
      </c>
      <c r="C126" s="523" t="e">
        <f ca="1">gr(données_step[[#This Row],[E_DCO]])</f>
        <v>#NAME?</v>
      </c>
      <c r="D126" s="523" t="e">
        <f ca="1">gr(données_step[[#This Row],[E_COT]])</f>
        <v>#NAME?</v>
      </c>
      <c r="E126" s="523" t="e">
        <f ca="1">gr(données_step[[#This Row],[E_NH4]])</f>
        <v>#NAME?</v>
      </c>
      <c r="F126" s="523" t="e">
        <f ca="1">gr(données_step[[#This Row],[E_NTOT]])</f>
        <v>#NAME?</v>
      </c>
      <c r="G126" s="523" t="e">
        <f ca="1">gr(données_step[[#This Row],[E_PTOT]])</f>
        <v>#NAME?</v>
      </c>
      <c r="H126" s="523" t="e">
        <f ca="1">gr(données_step[[#This Row],[S_DBO5]])</f>
        <v>#NAME?</v>
      </c>
      <c r="I126" s="523" t="e">
        <f ca="1">gr(données_step[[#This Row],[S_DCO]])</f>
        <v>#NAME?</v>
      </c>
      <c r="J126" s="523" t="e">
        <f ca="1">gr(données_step[[#This Row],[S_COD]])</f>
        <v>#NAME?</v>
      </c>
      <c r="K126" s="523" t="e">
        <f ca="1">gr(données_step[[#This Row],[S_NH4]])</f>
        <v>#NAME?</v>
      </c>
      <c r="L126" s="523" t="e">
        <f ca="1">gr(données_step[[#This Row],[S_NO2]])</f>
        <v>#NAME?</v>
      </c>
      <c r="M126" s="523" t="e">
        <f ca="1">gr(données_step[[#This Row],[S_NO3]])</f>
        <v>#NAME?</v>
      </c>
      <c r="N126" s="523" t="e">
        <f ca="1">gr(données_step[[#This Row],[S_PORTH]])</f>
        <v>#NAME?</v>
      </c>
      <c r="O126" s="523" t="e">
        <f ca="1">gr(données_step[[#This Row],[S_PTOT]])</f>
        <v>#NAME?</v>
      </c>
      <c r="P126" s="523" t="e">
        <f ca="1">gr(données_step[[#This Row],[S_MES]])</f>
        <v>#NAME?</v>
      </c>
      <c r="Q126" s="523" t="e">
        <v>#N/A</v>
      </c>
      <c r="R126" s="523" t="e">
        <v>#N/A</v>
      </c>
      <c r="S126" s="523" t="e">
        <v>#N/A</v>
      </c>
      <c r="T126" s="523" t="e">
        <v>#N/A</v>
      </c>
      <c r="U126" s="523" t="e">
        <v>#N/A</v>
      </c>
      <c r="V126" s="523" t="e">
        <v>#N/A</v>
      </c>
      <c r="W126" s="523" t="e">
        <v>#N/A</v>
      </c>
      <c r="X126" s="523" t="e">
        <v>#N/A</v>
      </c>
      <c r="Y126" s="523" t="e">
        <v>#N/A</v>
      </c>
      <c r="Z126" s="523"/>
      <c r="AA126" s="523"/>
    </row>
    <row r="127" spans="1:27" x14ac:dyDescent="0.2">
      <c r="A127" s="222">
        <f>calculs!A127</f>
        <v>44678</v>
      </c>
      <c r="B127" s="523" t="e">
        <f ca="1">gr(données_step[[#This Row],[E_DBO5]])</f>
        <v>#NAME?</v>
      </c>
      <c r="C127" s="523" t="e">
        <f ca="1">gr(données_step[[#This Row],[E_DCO]])</f>
        <v>#NAME?</v>
      </c>
      <c r="D127" s="523" t="e">
        <f ca="1">gr(données_step[[#This Row],[E_COT]])</f>
        <v>#NAME?</v>
      </c>
      <c r="E127" s="523" t="e">
        <f ca="1">gr(données_step[[#This Row],[E_NH4]])</f>
        <v>#NAME?</v>
      </c>
      <c r="F127" s="523" t="e">
        <f ca="1">gr(données_step[[#This Row],[E_NTOT]])</f>
        <v>#NAME?</v>
      </c>
      <c r="G127" s="523" t="e">
        <f ca="1">gr(données_step[[#This Row],[E_PTOT]])</f>
        <v>#NAME?</v>
      </c>
      <c r="H127" s="523" t="e">
        <f ca="1">gr(données_step[[#This Row],[S_DBO5]])</f>
        <v>#NAME?</v>
      </c>
      <c r="I127" s="523" t="e">
        <f ca="1">gr(données_step[[#This Row],[S_DCO]])</f>
        <v>#NAME?</v>
      </c>
      <c r="J127" s="523" t="e">
        <f ca="1">gr(données_step[[#This Row],[S_COD]])</f>
        <v>#NAME?</v>
      </c>
      <c r="K127" s="523" t="e">
        <f ca="1">gr(données_step[[#This Row],[S_NH4]])</f>
        <v>#NAME?</v>
      </c>
      <c r="L127" s="523" t="e">
        <f ca="1">gr(données_step[[#This Row],[S_NO2]])</f>
        <v>#NAME?</v>
      </c>
      <c r="M127" s="523" t="e">
        <f ca="1">gr(données_step[[#This Row],[S_NO3]])</f>
        <v>#NAME?</v>
      </c>
      <c r="N127" s="523" t="e">
        <f ca="1">gr(données_step[[#This Row],[S_PORTH]])</f>
        <v>#NAME?</v>
      </c>
      <c r="O127" s="523" t="e">
        <f ca="1">gr(données_step[[#This Row],[S_PTOT]])</f>
        <v>#NAME?</v>
      </c>
      <c r="P127" s="523" t="e">
        <f ca="1">gr(données_step[[#This Row],[S_MES]])</f>
        <v>#NAME?</v>
      </c>
      <c r="Q127" s="523" t="e">
        <v>#N/A</v>
      </c>
      <c r="R127" s="523" t="e">
        <v>#N/A</v>
      </c>
      <c r="S127" s="523" t="e">
        <v>#N/A</v>
      </c>
      <c r="T127" s="523" t="e">
        <v>#N/A</v>
      </c>
      <c r="U127" s="523" t="e">
        <v>#N/A</v>
      </c>
      <c r="V127" s="523" t="e">
        <v>#N/A</v>
      </c>
      <c r="W127" s="523" t="e">
        <v>#N/A</v>
      </c>
      <c r="X127" s="523" t="e">
        <v>#N/A</v>
      </c>
      <c r="Y127" s="523" t="e">
        <v>#N/A</v>
      </c>
      <c r="Z127" s="523"/>
      <c r="AA127" s="523"/>
    </row>
    <row r="128" spans="1:27" x14ac:dyDescent="0.2">
      <c r="A128" s="222">
        <f>calculs!A128</f>
        <v>44679</v>
      </c>
      <c r="B128" s="523" t="e">
        <f ca="1">gr(données_step[[#This Row],[E_DBO5]])</f>
        <v>#NAME?</v>
      </c>
      <c r="C128" s="523" t="e">
        <f ca="1">gr(données_step[[#This Row],[E_DCO]])</f>
        <v>#NAME?</v>
      </c>
      <c r="D128" s="523" t="e">
        <f ca="1">gr(données_step[[#This Row],[E_COT]])</f>
        <v>#NAME?</v>
      </c>
      <c r="E128" s="523" t="e">
        <f ca="1">gr(données_step[[#This Row],[E_NH4]])</f>
        <v>#NAME?</v>
      </c>
      <c r="F128" s="523" t="e">
        <f ca="1">gr(données_step[[#This Row],[E_NTOT]])</f>
        <v>#NAME?</v>
      </c>
      <c r="G128" s="523" t="e">
        <f ca="1">gr(données_step[[#This Row],[E_PTOT]])</f>
        <v>#NAME?</v>
      </c>
      <c r="H128" s="523" t="e">
        <f ca="1">gr(données_step[[#This Row],[S_DBO5]])</f>
        <v>#NAME?</v>
      </c>
      <c r="I128" s="523" t="e">
        <f ca="1">gr(données_step[[#This Row],[S_DCO]])</f>
        <v>#NAME?</v>
      </c>
      <c r="J128" s="523" t="e">
        <f ca="1">gr(données_step[[#This Row],[S_COD]])</f>
        <v>#NAME?</v>
      </c>
      <c r="K128" s="523" t="e">
        <f ca="1">gr(données_step[[#This Row],[S_NH4]])</f>
        <v>#NAME?</v>
      </c>
      <c r="L128" s="523" t="e">
        <f ca="1">gr(données_step[[#This Row],[S_NO2]])</f>
        <v>#NAME?</v>
      </c>
      <c r="M128" s="523" t="e">
        <f ca="1">gr(données_step[[#This Row],[S_NO3]])</f>
        <v>#NAME?</v>
      </c>
      <c r="N128" s="523" t="e">
        <f ca="1">gr(données_step[[#This Row],[S_PORTH]])</f>
        <v>#NAME?</v>
      </c>
      <c r="O128" s="523" t="e">
        <f ca="1">gr(données_step[[#This Row],[S_PTOT]])</f>
        <v>#NAME?</v>
      </c>
      <c r="P128" s="523" t="e">
        <f ca="1">gr(données_step[[#This Row],[S_MES]])</f>
        <v>#NAME?</v>
      </c>
      <c r="Q128" s="523" t="e">
        <v>#N/A</v>
      </c>
      <c r="R128" s="523" t="e">
        <v>#N/A</v>
      </c>
      <c r="S128" s="523" t="e">
        <v>#N/A</v>
      </c>
      <c r="T128" s="523" t="e">
        <v>#N/A</v>
      </c>
      <c r="U128" s="523" t="e">
        <v>#N/A</v>
      </c>
      <c r="V128" s="523" t="e">
        <v>#N/A</v>
      </c>
      <c r="W128" s="523" t="e">
        <v>#N/A</v>
      </c>
      <c r="X128" s="523" t="e">
        <v>#N/A</v>
      </c>
      <c r="Y128" s="523" t="e">
        <v>#N/A</v>
      </c>
      <c r="Z128" s="523"/>
      <c r="AA128" s="523"/>
    </row>
    <row r="129" spans="1:27" x14ac:dyDescent="0.2">
      <c r="A129" s="222">
        <f>calculs!A129</f>
        <v>44680</v>
      </c>
      <c r="B129" s="523" t="e">
        <f ca="1">gr(données_step[[#This Row],[E_DBO5]])</f>
        <v>#NAME?</v>
      </c>
      <c r="C129" s="523" t="e">
        <f ca="1">gr(données_step[[#This Row],[E_DCO]])</f>
        <v>#NAME?</v>
      </c>
      <c r="D129" s="523" t="e">
        <f ca="1">gr(données_step[[#This Row],[E_COT]])</f>
        <v>#NAME?</v>
      </c>
      <c r="E129" s="523" t="e">
        <f ca="1">gr(données_step[[#This Row],[E_NH4]])</f>
        <v>#NAME?</v>
      </c>
      <c r="F129" s="523" t="e">
        <f ca="1">gr(données_step[[#This Row],[E_NTOT]])</f>
        <v>#NAME?</v>
      </c>
      <c r="G129" s="523" t="e">
        <f ca="1">gr(données_step[[#This Row],[E_PTOT]])</f>
        <v>#NAME?</v>
      </c>
      <c r="H129" s="523" t="e">
        <f ca="1">gr(données_step[[#This Row],[S_DBO5]])</f>
        <v>#NAME?</v>
      </c>
      <c r="I129" s="523" t="e">
        <f ca="1">gr(données_step[[#This Row],[S_DCO]])</f>
        <v>#NAME?</v>
      </c>
      <c r="J129" s="523" t="e">
        <f ca="1">gr(données_step[[#This Row],[S_COD]])</f>
        <v>#NAME?</v>
      </c>
      <c r="K129" s="523" t="e">
        <f ca="1">gr(données_step[[#This Row],[S_NH4]])</f>
        <v>#NAME?</v>
      </c>
      <c r="L129" s="523" t="e">
        <f ca="1">gr(données_step[[#This Row],[S_NO2]])</f>
        <v>#NAME?</v>
      </c>
      <c r="M129" s="523" t="e">
        <f ca="1">gr(données_step[[#This Row],[S_NO3]])</f>
        <v>#NAME?</v>
      </c>
      <c r="N129" s="523" t="e">
        <f ca="1">gr(données_step[[#This Row],[S_PORTH]])</f>
        <v>#NAME?</v>
      </c>
      <c r="O129" s="523" t="e">
        <f ca="1">gr(données_step[[#This Row],[S_PTOT]])</f>
        <v>#NAME?</v>
      </c>
      <c r="P129" s="523" t="e">
        <f ca="1">gr(données_step[[#This Row],[S_MES]])</f>
        <v>#NAME?</v>
      </c>
      <c r="Q129" s="523" t="e">
        <v>#N/A</v>
      </c>
      <c r="R129" s="523" t="e">
        <v>#N/A</v>
      </c>
      <c r="S129" s="523" t="e">
        <v>#N/A</v>
      </c>
      <c r="T129" s="523" t="e">
        <v>#N/A</v>
      </c>
      <c r="U129" s="523" t="e">
        <v>#N/A</v>
      </c>
      <c r="V129" s="523" t="e">
        <v>#N/A</v>
      </c>
      <c r="W129" s="523" t="e">
        <v>#N/A</v>
      </c>
      <c r="X129" s="523" t="e">
        <v>#N/A</v>
      </c>
      <c r="Y129" s="523" t="e">
        <v>#N/A</v>
      </c>
      <c r="Z129" s="523"/>
      <c r="AA129" s="523"/>
    </row>
    <row r="130" spans="1:27" x14ac:dyDescent="0.2">
      <c r="A130" s="222">
        <f>calculs!A130</f>
        <v>44681</v>
      </c>
      <c r="B130" s="523" t="e">
        <f ca="1">gr(données_step[[#This Row],[E_DBO5]])</f>
        <v>#NAME?</v>
      </c>
      <c r="C130" s="523" t="e">
        <f ca="1">gr(données_step[[#This Row],[E_DCO]])</f>
        <v>#NAME?</v>
      </c>
      <c r="D130" s="523" t="e">
        <f ca="1">gr(données_step[[#This Row],[E_COT]])</f>
        <v>#NAME?</v>
      </c>
      <c r="E130" s="523" t="e">
        <f ca="1">gr(données_step[[#This Row],[E_NH4]])</f>
        <v>#NAME?</v>
      </c>
      <c r="F130" s="523" t="e">
        <f ca="1">gr(données_step[[#This Row],[E_NTOT]])</f>
        <v>#NAME?</v>
      </c>
      <c r="G130" s="523" t="e">
        <f ca="1">gr(données_step[[#This Row],[E_PTOT]])</f>
        <v>#NAME?</v>
      </c>
      <c r="H130" s="523" t="e">
        <f ca="1">gr(données_step[[#This Row],[S_DBO5]])</f>
        <v>#NAME?</v>
      </c>
      <c r="I130" s="523" t="e">
        <f ca="1">gr(données_step[[#This Row],[S_DCO]])</f>
        <v>#NAME?</v>
      </c>
      <c r="J130" s="523" t="e">
        <f ca="1">gr(données_step[[#This Row],[S_COD]])</f>
        <v>#NAME?</v>
      </c>
      <c r="K130" s="523" t="e">
        <f ca="1">gr(données_step[[#This Row],[S_NH4]])</f>
        <v>#NAME?</v>
      </c>
      <c r="L130" s="523" t="e">
        <f ca="1">gr(données_step[[#This Row],[S_NO2]])</f>
        <v>#NAME?</v>
      </c>
      <c r="M130" s="523" t="e">
        <f ca="1">gr(données_step[[#This Row],[S_NO3]])</f>
        <v>#NAME?</v>
      </c>
      <c r="N130" s="523" t="e">
        <f ca="1">gr(données_step[[#This Row],[S_PORTH]])</f>
        <v>#NAME?</v>
      </c>
      <c r="O130" s="523" t="e">
        <f ca="1">gr(données_step[[#This Row],[S_PTOT]])</f>
        <v>#NAME?</v>
      </c>
      <c r="P130" s="523" t="e">
        <f ca="1">gr(données_step[[#This Row],[S_MES]])</f>
        <v>#NAME?</v>
      </c>
      <c r="Q130" s="523" t="e">
        <v>#N/A</v>
      </c>
      <c r="R130" s="523" t="e">
        <v>#N/A</v>
      </c>
      <c r="S130" s="523" t="e">
        <v>#N/A</v>
      </c>
      <c r="T130" s="523" t="e">
        <v>#N/A</v>
      </c>
      <c r="U130" s="523" t="e">
        <v>#N/A</v>
      </c>
      <c r="V130" s="523" t="e">
        <v>#N/A</v>
      </c>
      <c r="W130" s="523" t="e">
        <v>#N/A</v>
      </c>
      <c r="X130" s="523" t="e">
        <v>#N/A</v>
      </c>
      <c r="Y130" s="523" t="e">
        <v>#N/A</v>
      </c>
      <c r="Z130" s="523"/>
      <c r="AA130" s="523"/>
    </row>
    <row r="131" spans="1:27" x14ac:dyDescent="0.2">
      <c r="A131" s="222">
        <f>calculs!A131</f>
        <v>44682</v>
      </c>
      <c r="B131" s="523" t="e">
        <f ca="1">gr(données_step[[#This Row],[E_DBO5]])</f>
        <v>#NAME?</v>
      </c>
      <c r="C131" s="523" t="e">
        <f ca="1">gr(données_step[[#This Row],[E_DCO]])</f>
        <v>#NAME?</v>
      </c>
      <c r="D131" s="523" t="e">
        <f ca="1">gr(données_step[[#This Row],[E_COT]])</f>
        <v>#NAME?</v>
      </c>
      <c r="E131" s="523" t="e">
        <f ca="1">gr(données_step[[#This Row],[E_NH4]])</f>
        <v>#NAME?</v>
      </c>
      <c r="F131" s="523" t="e">
        <f ca="1">gr(données_step[[#This Row],[E_NTOT]])</f>
        <v>#NAME?</v>
      </c>
      <c r="G131" s="523" t="e">
        <f ca="1">gr(données_step[[#This Row],[E_PTOT]])</f>
        <v>#NAME?</v>
      </c>
      <c r="H131" s="523" t="e">
        <f ca="1">gr(données_step[[#This Row],[S_DBO5]])</f>
        <v>#NAME?</v>
      </c>
      <c r="I131" s="523" t="e">
        <f ca="1">gr(données_step[[#This Row],[S_DCO]])</f>
        <v>#NAME?</v>
      </c>
      <c r="J131" s="523" t="e">
        <f ca="1">gr(données_step[[#This Row],[S_COD]])</f>
        <v>#NAME?</v>
      </c>
      <c r="K131" s="523" t="e">
        <f ca="1">gr(données_step[[#This Row],[S_NH4]])</f>
        <v>#NAME?</v>
      </c>
      <c r="L131" s="523" t="e">
        <f ca="1">gr(données_step[[#This Row],[S_NO2]])</f>
        <v>#NAME?</v>
      </c>
      <c r="M131" s="523" t="e">
        <f ca="1">gr(données_step[[#This Row],[S_NO3]])</f>
        <v>#NAME?</v>
      </c>
      <c r="N131" s="523" t="e">
        <f ca="1">gr(données_step[[#This Row],[S_PORTH]])</f>
        <v>#NAME?</v>
      </c>
      <c r="O131" s="523" t="e">
        <f ca="1">gr(données_step[[#This Row],[S_PTOT]])</f>
        <v>#NAME?</v>
      </c>
      <c r="P131" s="523" t="e">
        <f ca="1">gr(données_step[[#This Row],[S_MES]])</f>
        <v>#NAME?</v>
      </c>
      <c r="Q131" s="523" t="e">
        <v>#N/A</v>
      </c>
      <c r="R131" s="523" t="e">
        <v>#N/A</v>
      </c>
      <c r="S131" s="523" t="e">
        <v>#N/A</v>
      </c>
      <c r="T131" s="523" t="e">
        <v>#N/A</v>
      </c>
      <c r="U131" s="523" t="e">
        <v>#N/A</v>
      </c>
      <c r="V131" s="523" t="e">
        <v>#N/A</v>
      </c>
      <c r="W131" s="523" t="e">
        <v>#N/A</v>
      </c>
      <c r="X131" s="523" t="e">
        <v>#N/A</v>
      </c>
      <c r="Y131" s="523" t="e">
        <v>#N/A</v>
      </c>
      <c r="Z131" s="523"/>
      <c r="AA131" s="523"/>
    </row>
    <row r="132" spans="1:27" x14ac:dyDescent="0.2">
      <c r="A132" s="222">
        <f>calculs!A132</f>
        <v>44683</v>
      </c>
      <c r="B132" s="523" t="e">
        <f ca="1">gr(données_step[[#This Row],[E_DBO5]])</f>
        <v>#NAME?</v>
      </c>
      <c r="C132" s="523" t="e">
        <f ca="1">gr(données_step[[#This Row],[E_DCO]])</f>
        <v>#NAME?</v>
      </c>
      <c r="D132" s="523" t="e">
        <f ca="1">gr(données_step[[#This Row],[E_COT]])</f>
        <v>#NAME?</v>
      </c>
      <c r="E132" s="523" t="e">
        <f ca="1">gr(données_step[[#This Row],[E_NH4]])</f>
        <v>#NAME?</v>
      </c>
      <c r="F132" s="523" t="e">
        <f ca="1">gr(données_step[[#This Row],[E_NTOT]])</f>
        <v>#NAME?</v>
      </c>
      <c r="G132" s="523" t="e">
        <f ca="1">gr(données_step[[#This Row],[E_PTOT]])</f>
        <v>#NAME?</v>
      </c>
      <c r="H132" s="523" t="e">
        <f ca="1">gr(données_step[[#This Row],[S_DBO5]])</f>
        <v>#NAME?</v>
      </c>
      <c r="I132" s="523" t="e">
        <f ca="1">gr(données_step[[#This Row],[S_DCO]])</f>
        <v>#NAME?</v>
      </c>
      <c r="J132" s="523" t="e">
        <f ca="1">gr(données_step[[#This Row],[S_COD]])</f>
        <v>#NAME?</v>
      </c>
      <c r="K132" s="523" t="e">
        <f ca="1">gr(données_step[[#This Row],[S_NH4]])</f>
        <v>#NAME?</v>
      </c>
      <c r="L132" s="523" t="e">
        <f ca="1">gr(données_step[[#This Row],[S_NO2]])</f>
        <v>#NAME?</v>
      </c>
      <c r="M132" s="523" t="e">
        <f ca="1">gr(données_step[[#This Row],[S_NO3]])</f>
        <v>#NAME?</v>
      </c>
      <c r="N132" s="523" t="e">
        <f ca="1">gr(données_step[[#This Row],[S_PORTH]])</f>
        <v>#NAME?</v>
      </c>
      <c r="O132" s="523" t="e">
        <f ca="1">gr(données_step[[#This Row],[S_PTOT]])</f>
        <v>#NAME?</v>
      </c>
      <c r="P132" s="523" t="e">
        <f ca="1">gr(données_step[[#This Row],[S_MES]])</f>
        <v>#NAME?</v>
      </c>
      <c r="Q132" s="523" t="e">
        <v>#N/A</v>
      </c>
      <c r="R132" s="523" t="e">
        <v>#N/A</v>
      </c>
      <c r="S132" s="523" t="e">
        <v>#N/A</v>
      </c>
      <c r="T132" s="523" t="e">
        <v>#N/A</v>
      </c>
      <c r="U132" s="523" t="e">
        <v>#N/A</v>
      </c>
      <c r="V132" s="523" t="e">
        <v>#N/A</v>
      </c>
      <c r="W132" s="523" t="e">
        <v>#N/A</v>
      </c>
      <c r="X132" s="523" t="e">
        <v>#N/A</v>
      </c>
      <c r="Y132" s="523" t="e">
        <v>#N/A</v>
      </c>
      <c r="Z132" s="523"/>
      <c r="AA132" s="523"/>
    </row>
    <row r="133" spans="1:27" x14ac:dyDescent="0.2">
      <c r="A133" s="222">
        <f>calculs!A133</f>
        <v>44684</v>
      </c>
      <c r="B133" s="523" t="e">
        <f ca="1">gr(données_step[[#This Row],[E_DBO5]])</f>
        <v>#NAME?</v>
      </c>
      <c r="C133" s="523" t="e">
        <f ca="1">gr(données_step[[#This Row],[E_DCO]])</f>
        <v>#NAME?</v>
      </c>
      <c r="D133" s="523" t="e">
        <f ca="1">gr(données_step[[#This Row],[E_COT]])</f>
        <v>#NAME?</v>
      </c>
      <c r="E133" s="523" t="e">
        <f ca="1">gr(données_step[[#This Row],[E_NH4]])</f>
        <v>#NAME?</v>
      </c>
      <c r="F133" s="523" t="e">
        <f ca="1">gr(données_step[[#This Row],[E_NTOT]])</f>
        <v>#NAME?</v>
      </c>
      <c r="G133" s="523" t="e">
        <f ca="1">gr(données_step[[#This Row],[E_PTOT]])</f>
        <v>#NAME?</v>
      </c>
      <c r="H133" s="523" t="e">
        <f ca="1">gr(données_step[[#This Row],[S_DBO5]])</f>
        <v>#NAME?</v>
      </c>
      <c r="I133" s="523" t="e">
        <f ca="1">gr(données_step[[#This Row],[S_DCO]])</f>
        <v>#NAME?</v>
      </c>
      <c r="J133" s="523" t="e">
        <f ca="1">gr(données_step[[#This Row],[S_COD]])</f>
        <v>#NAME?</v>
      </c>
      <c r="K133" s="523" t="e">
        <f ca="1">gr(données_step[[#This Row],[S_NH4]])</f>
        <v>#NAME?</v>
      </c>
      <c r="L133" s="523" t="e">
        <f ca="1">gr(données_step[[#This Row],[S_NO2]])</f>
        <v>#NAME?</v>
      </c>
      <c r="M133" s="523" t="e">
        <f ca="1">gr(données_step[[#This Row],[S_NO3]])</f>
        <v>#NAME?</v>
      </c>
      <c r="N133" s="523" t="e">
        <f ca="1">gr(données_step[[#This Row],[S_PORTH]])</f>
        <v>#NAME?</v>
      </c>
      <c r="O133" s="523" t="e">
        <f ca="1">gr(données_step[[#This Row],[S_PTOT]])</f>
        <v>#NAME?</v>
      </c>
      <c r="P133" s="523" t="e">
        <f ca="1">gr(données_step[[#This Row],[S_MES]])</f>
        <v>#NAME?</v>
      </c>
      <c r="Q133" s="523" t="e">
        <v>#N/A</v>
      </c>
      <c r="R133" s="523" t="e">
        <v>#N/A</v>
      </c>
      <c r="S133" s="523" t="e">
        <v>#N/A</v>
      </c>
      <c r="T133" s="523" t="e">
        <v>#N/A</v>
      </c>
      <c r="U133" s="523" t="e">
        <v>#N/A</v>
      </c>
      <c r="V133" s="523" t="e">
        <v>#N/A</v>
      </c>
      <c r="W133" s="523" t="e">
        <v>#N/A</v>
      </c>
      <c r="X133" s="523" t="e">
        <v>#N/A</v>
      </c>
      <c r="Y133" s="523" t="e">
        <v>#N/A</v>
      </c>
      <c r="Z133" s="523"/>
      <c r="AA133" s="523"/>
    </row>
    <row r="134" spans="1:27" x14ac:dyDescent="0.2">
      <c r="A134" s="222">
        <f>calculs!A134</f>
        <v>44685</v>
      </c>
      <c r="B134" s="523" t="e">
        <f ca="1">gr(données_step[[#This Row],[E_DBO5]])</f>
        <v>#NAME?</v>
      </c>
      <c r="C134" s="523" t="e">
        <f ca="1">gr(données_step[[#This Row],[E_DCO]])</f>
        <v>#NAME?</v>
      </c>
      <c r="D134" s="523" t="e">
        <f ca="1">gr(données_step[[#This Row],[E_COT]])</f>
        <v>#NAME?</v>
      </c>
      <c r="E134" s="523" t="e">
        <f ca="1">gr(données_step[[#This Row],[E_NH4]])</f>
        <v>#NAME?</v>
      </c>
      <c r="F134" s="523" t="e">
        <f ca="1">gr(données_step[[#This Row],[E_NTOT]])</f>
        <v>#NAME?</v>
      </c>
      <c r="G134" s="523" t="e">
        <f ca="1">gr(données_step[[#This Row],[E_PTOT]])</f>
        <v>#NAME?</v>
      </c>
      <c r="H134" s="523" t="e">
        <f ca="1">gr(données_step[[#This Row],[S_DBO5]])</f>
        <v>#NAME?</v>
      </c>
      <c r="I134" s="523" t="e">
        <f ca="1">gr(données_step[[#This Row],[S_DCO]])</f>
        <v>#NAME?</v>
      </c>
      <c r="J134" s="523" t="e">
        <f ca="1">gr(données_step[[#This Row],[S_COD]])</f>
        <v>#NAME?</v>
      </c>
      <c r="K134" s="523" t="e">
        <f ca="1">gr(données_step[[#This Row],[S_NH4]])</f>
        <v>#NAME?</v>
      </c>
      <c r="L134" s="523" t="e">
        <f ca="1">gr(données_step[[#This Row],[S_NO2]])</f>
        <v>#NAME?</v>
      </c>
      <c r="M134" s="523" t="e">
        <f ca="1">gr(données_step[[#This Row],[S_NO3]])</f>
        <v>#NAME?</v>
      </c>
      <c r="N134" s="523" t="e">
        <f ca="1">gr(données_step[[#This Row],[S_PORTH]])</f>
        <v>#NAME?</v>
      </c>
      <c r="O134" s="523" t="e">
        <f ca="1">gr(données_step[[#This Row],[S_PTOT]])</f>
        <v>#NAME?</v>
      </c>
      <c r="P134" s="523" t="e">
        <f ca="1">gr(données_step[[#This Row],[S_MES]])</f>
        <v>#NAME?</v>
      </c>
      <c r="Q134" s="523" t="e">
        <v>#N/A</v>
      </c>
      <c r="R134" s="523" t="e">
        <v>#N/A</v>
      </c>
      <c r="S134" s="523" t="e">
        <v>#N/A</v>
      </c>
      <c r="T134" s="523" t="e">
        <v>#N/A</v>
      </c>
      <c r="U134" s="523" t="e">
        <v>#N/A</v>
      </c>
      <c r="V134" s="523" t="e">
        <v>#N/A</v>
      </c>
      <c r="W134" s="523" t="e">
        <v>#N/A</v>
      </c>
      <c r="X134" s="523" t="e">
        <v>#N/A</v>
      </c>
      <c r="Y134" s="523" t="e">
        <v>#N/A</v>
      </c>
      <c r="Z134" s="523"/>
      <c r="AA134" s="523"/>
    </row>
    <row r="135" spans="1:27" x14ac:dyDescent="0.2">
      <c r="A135" s="222">
        <f>calculs!A135</f>
        <v>44686</v>
      </c>
      <c r="B135" s="523" t="e">
        <f ca="1">gr(données_step[[#This Row],[E_DBO5]])</f>
        <v>#NAME?</v>
      </c>
      <c r="C135" s="523" t="e">
        <f ca="1">gr(données_step[[#This Row],[E_DCO]])</f>
        <v>#NAME?</v>
      </c>
      <c r="D135" s="523" t="e">
        <f ca="1">gr(données_step[[#This Row],[E_COT]])</f>
        <v>#NAME?</v>
      </c>
      <c r="E135" s="523" t="e">
        <f ca="1">gr(données_step[[#This Row],[E_NH4]])</f>
        <v>#NAME?</v>
      </c>
      <c r="F135" s="523" t="e">
        <f ca="1">gr(données_step[[#This Row],[E_NTOT]])</f>
        <v>#NAME?</v>
      </c>
      <c r="G135" s="523" t="e">
        <f ca="1">gr(données_step[[#This Row],[E_PTOT]])</f>
        <v>#NAME?</v>
      </c>
      <c r="H135" s="523" t="e">
        <f ca="1">gr(données_step[[#This Row],[S_DBO5]])</f>
        <v>#NAME?</v>
      </c>
      <c r="I135" s="523" t="e">
        <f ca="1">gr(données_step[[#This Row],[S_DCO]])</f>
        <v>#NAME?</v>
      </c>
      <c r="J135" s="523" t="e">
        <f ca="1">gr(données_step[[#This Row],[S_COD]])</f>
        <v>#NAME?</v>
      </c>
      <c r="K135" s="523" t="e">
        <f ca="1">gr(données_step[[#This Row],[S_NH4]])</f>
        <v>#NAME?</v>
      </c>
      <c r="L135" s="523" t="e">
        <f ca="1">gr(données_step[[#This Row],[S_NO2]])</f>
        <v>#NAME?</v>
      </c>
      <c r="M135" s="523" t="e">
        <f ca="1">gr(données_step[[#This Row],[S_NO3]])</f>
        <v>#NAME?</v>
      </c>
      <c r="N135" s="523" t="e">
        <f ca="1">gr(données_step[[#This Row],[S_PORTH]])</f>
        <v>#NAME?</v>
      </c>
      <c r="O135" s="523" t="e">
        <f ca="1">gr(données_step[[#This Row],[S_PTOT]])</f>
        <v>#NAME?</v>
      </c>
      <c r="P135" s="523" t="e">
        <f ca="1">gr(données_step[[#This Row],[S_MES]])</f>
        <v>#NAME?</v>
      </c>
      <c r="Q135" s="523" t="e">
        <v>#N/A</v>
      </c>
      <c r="R135" s="523" t="e">
        <v>#N/A</v>
      </c>
      <c r="S135" s="523" t="e">
        <v>#N/A</v>
      </c>
      <c r="T135" s="523" t="e">
        <v>#N/A</v>
      </c>
      <c r="U135" s="523" t="e">
        <v>#N/A</v>
      </c>
      <c r="V135" s="523" t="e">
        <v>#N/A</v>
      </c>
      <c r="W135" s="523" t="e">
        <v>#N/A</v>
      </c>
      <c r="X135" s="523" t="e">
        <v>#N/A</v>
      </c>
      <c r="Y135" s="523" t="e">
        <v>#N/A</v>
      </c>
      <c r="Z135" s="523"/>
      <c r="AA135" s="523"/>
    </row>
    <row r="136" spans="1:27" x14ac:dyDescent="0.2">
      <c r="A136" s="222">
        <f>calculs!A136</f>
        <v>44687</v>
      </c>
      <c r="B136" s="523" t="e">
        <f ca="1">gr(données_step[[#This Row],[E_DBO5]])</f>
        <v>#NAME?</v>
      </c>
      <c r="C136" s="523" t="e">
        <f ca="1">gr(données_step[[#This Row],[E_DCO]])</f>
        <v>#NAME?</v>
      </c>
      <c r="D136" s="523" t="e">
        <f ca="1">gr(données_step[[#This Row],[E_COT]])</f>
        <v>#NAME?</v>
      </c>
      <c r="E136" s="523" t="e">
        <f ca="1">gr(données_step[[#This Row],[E_NH4]])</f>
        <v>#NAME?</v>
      </c>
      <c r="F136" s="523" t="e">
        <f ca="1">gr(données_step[[#This Row],[E_NTOT]])</f>
        <v>#NAME?</v>
      </c>
      <c r="G136" s="523" t="e">
        <f ca="1">gr(données_step[[#This Row],[E_PTOT]])</f>
        <v>#NAME?</v>
      </c>
      <c r="H136" s="523" t="e">
        <f ca="1">gr(données_step[[#This Row],[S_DBO5]])</f>
        <v>#NAME?</v>
      </c>
      <c r="I136" s="523" t="e">
        <f ca="1">gr(données_step[[#This Row],[S_DCO]])</f>
        <v>#NAME?</v>
      </c>
      <c r="J136" s="523" t="e">
        <f ca="1">gr(données_step[[#This Row],[S_COD]])</f>
        <v>#NAME?</v>
      </c>
      <c r="K136" s="523" t="e">
        <f ca="1">gr(données_step[[#This Row],[S_NH4]])</f>
        <v>#NAME?</v>
      </c>
      <c r="L136" s="523" t="e">
        <f ca="1">gr(données_step[[#This Row],[S_NO2]])</f>
        <v>#NAME?</v>
      </c>
      <c r="M136" s="523" t="e">
        <f ca="1">gr(données_step[[#This Row],[S_NO3]])</f>
        <v>#NAME?</v>
      </c>
      <c r="N136" s="523" t="e">
        <f ca="1">gr(données_step[[#This Row],[S_PORTH]])</f>
        <v>#NAME?</v>
      </c>
      <c r="O136" s="523" t="e">
        <f ca="1">gr(données_step[[#This Row],[S_PTOT]])</f>
        <v>#NAME?</v>
      </c>
      <c r="P136" s="523" t="e">
        <f ca="1">gr(données_step[[#This Row],[S_MES]])</f>
        <v>#NAME?</v>
      </c>
      <c r="Q136" s="523" t="e">
        <v>#N/A</v>
      </c>
      <c r="R136" s="523" t="e">
        <v>#N/A</v>
      </c>
      <c r="S136" s="523" t="e">
        <v>#N/A</v>
      </c>
      <c r="T136" s="523" t="e">
        <v>#N/A</v>
      </c>
      <c r="U136" s="523" t="e">
        <v>#N/A</v>
      </c>
      <c r="V136" s="523" t="e">
        <v>#N/A</v>
      </c>
      <c r="W136" s="523" t="e">
        <v>#N/A</v>
      </c>
      <c r="X136" s="523" t="e">
        <v>#N/A</v>
      </c>
      <c r="Y136" s="523" t="e">
        <v>#N/A</v>
      </c>
      <c r="Z136" s="523"/>
      <c r="AA136" s="523"/>
    </row>
    <row r="137" spans="1:27" x14ac:dyDescent="0.2">
      <c r="A137" s="222">
        <f>calculs!A137</f>
        <v>44688</v>
      </c>
      <c r="B137" s="523" t="e">
        <f ca="1">gr(données_step[[#This Row],[E_DBO5]])</f>
        <v>#NAME?</v>
      </c>
      <c r="C137" s="523" t="e">
        <f ca="1">gr(données_step[[#This Row],[E_DCO]])</f>
        <v>#NAME?</v>
      </c>
      <c r="D137" s="523" t="e">
        <f ca="1">gr(données_step[[#This Row],[E_COT]])</f>
        <v>#NAME?</v>
      </c>
      <c r="E137" s="523" t="e">
        <f ca="1">gr(données_step[[#This Row],[E_NH4]])</f>
        <v>#NAME?</v>
      </c>
      <c r="F137" s="523" t="e">
        <f ca="1">gr(données_step[[#This Row],[E_NTOT]])</f>
        <v>#NAME?</v>
      </c>
      <c r="G137" s="523" t="e">
        <f ca="1">gr(données_step[[#This Row],[E_PTOT]])</f>
        <v>#NAME?</v>
      </c>
      <c r="H137" s="523" t="e">
        <f ca="1">gr(données_step[[#This Row],[S_DBO5]])</f>
        <v>#NAME?</v>
      </c>
      <c r="I137" s="523" t="e">
        <f ca="1">gr(données_step[[#This Row],[S_DCO]])</f>
        <v>#NAME?</v>
      </c>
      <c r="J137" s="523" t="e">
        <f ca="1">gr(données_step[[#This Row],[S_COD]])</f>
        <v>#NAME?</v>
      </c>
      <c r="K137" s="523" t="e">
        <f ca="1">gr(données_step[[#This Row],[S_NH4]])</f>
        <v>#NAME?</v>
      </c>
      <c r="L137" s="523" t="e">
        <f ca="1">gr(données_step[[#This Row],[S_NO2]])</f>
        <v>#NAME?</v>
      </c>
      <c r="M137" s="523" t="e">
        <f ca="1">gr(données_step[[#This Row],[S_NO3]])</f>
        <v>#NAME?</v>
      </c>
      <c r="N137" s="523" t="e">
        <f ca="1">gr(données_step[[#This Row],[S_PORTH]])</f>
        <v>#NAME?</v>
      </c>
      <c r="O137" s="523" t="e">
        <f ca="1">gr(données_step[[#This Row],[S_PTOT]])</f>
        <v>#NAME?</v>
      </c>
      <c r="P137" s="523" t="e">
        <f ca="1">gr(données_step[[#This Row],[S_MES]])</f>
        <v>#NAME?</v>
      </c>
      <c r="Q137" s="523" t="e">
        <v>#N/A</v>
      </c>
      <c r="R137" s="523" t="e">
        <v>#N/A</v>
      </c>
      <c r="S137" s="523" t="e">
        <v>#N/A</v>
      </c>
      <c r="T137" s="523" t="e">
        <v>#N/A</v>
      </c>
      <c r="U137" s="523" t="e">
        <v>#N/A</v>
      </c>
      <c r="V137" s="523" t="e">
        <v>#N/A</v>
      </c>
      <c r="W137" s="523" t="e">
        <v>#N/A</v>
      </c>
      <c r="X137" s="523" t="e">
        <v>#N/A</v>
      </c>
      <c r="Y137" s="523" t="e">
        <v>#N/A</v>
      </c>
      <c r="Z137" s="523"/>
      <c r="AA137" s="523"/>
    </row>
    <row r="138" spans="1:27" x14ac:dyDescent="0.2">
      <c r="A138" s="222">
        <f>calculs!A138</f>
        <v>44689</v>
      </c>
      <c r="B138" s="523" t="e">
        <f ca="1">gr(données_step[[#This Row],[E_DBO5]])</f>
        <v>#NAME?</v>
      </c>
      <c r="C138" s="523" t="e">
        <f ca="1">gr(données_step[[#This Row],[E_DCO]])</f>
        <v>#NAME?</v>
      </c>
      <c r="D138" s="523" t="e">
        <f ca="1">gr(données_step[[#This Row],[E_COT]])</f>
        <v>#NAME?</v>
      </c>
      <c r="E138" s="523" t="e">
        <f ca="1">gr(données_step[[#This Row],[E_NH4]])</f>
        <v>#NAME?</v>
      </c>
      <c r="F138" s="523" t="e">
        <f ca="1">gr(données_step[[#This Row],[E_NTOT]])</f>
        <v>#NAME?</v>
      </c>
      <c r="G138" s="523" t="e">
        <f ca="1">gr(données_step[[#This Row],[E_PTOT]])</f>
        <v>#NAME?</v>
      </c>
      <c r="H138" s="523" t="e">
        <f ca="1">gr(données_step[[#This Row],[S_DBO5]])</f>
        <v>#NAME?</v>
      </c>
      <c r="I138" s="523" t="e">
        <f ca="1">gr(données_step[[#This Row],[S_DCO]])</f>
        <v>#NAME?</v>
      </c>
      <c r="J138" s="523" t="e">
        <f ca="1">gr(données_step[[#This Row],[S_COD]])</f>
        <v>#NAME?</v>
      </c>
      <c r="K138" s="523" t="e">
        <f ca="1">gr(données_step[[#This Row],[S_NH4]])</f>
        <v>#NAME?</v>
      </c>
      <c r="L138" s="523" t="e">
        <f ca="1">gr(données_step[[#This Row],[S_NO2]])</f>
        <v>#NAME?</v>
      </c>
      <c r="M138" s="523" t="e">
        <f ca="1">gr(données_step[[#This Row],[S_NO3]])</f>
        <v>#NAME?</v>
      </c>
      <c r="N138" s="523" t="e">
        <f ca="1">gr(données_step[[#This Row],[S_PORTH]])</f>
        <v>#NAME?</v>
      </c>
      <c r="O138" s="523" t="e">
        <f ca="1">gr(données_step[[#This Row],[S_PTOT]])</f>
        <v>#NAME?</v>
      </c>
      <c r="P138" s="523" t="e">
        <f ca="1">gr(données_step[[#This Row],[S_MES]])</f>
        <v>#NAME?</v>
      </c>
      <c r="Q138" s="523" t="e">
        <v>#N/A</v>
      </c>
      <c r="R138" s="523" t="e">
        <v>#N/A</v>
      </c>
      <c r="S138" s="523" t="e">
        <v>#N/A</v>
      </c>
      <c r="T138" s="523" t="e">
        <v>#N/A</v>
      </c>
      <c r="U138" s="523" t="e">
        <v>#N/A</v>
      </c>
      <c r="V138" s="523" t="e">
        <v>#N/A</v>
      </c>
      <c r="W138" s="523" t="e">
        <v>#N/A</v>
      </c>
      <c r="X138" s="523" t="e">
        <v>#N/A</v>
      </c>
      <c r="Y138" s="523" t="e">
        <v>#N/A</v>
      </c>
      <c r="Z138" s="523"/>
      <c r="AA138" s="523"/>
    </row>
    <row r="139" spans="1:27" x14ac:dyDescent="0.2">
      <c r="A139" s="222">
        <f>calculs!A139</f>
        <v>44690</v>
      </c>
      <c r="B139" s="523" t="e">
        <f ca="1">gr(données_step[[#This Row],[E_DBO5]])</f>
        <v>#NAME?</v>
      </c>
      <c r="C139" s="523" t="e">
        <f ca="1">gr(données_step[[#This Row],[E_DCO]])</f>
        <v>#NAME?</v>
      </c>
      <c r="D139" s="523" t="e">
        <f ca="1">gr(données_step[[#This Row],[E_COT]])</f>
        <v>#NAME?</v>
      </c>
      <c r="E139" s="523" t="e">
        <f ca="1">gr(données_step[[#This Row],[E_NH4]])</f>
        <v>#NAME?</v>
      </c>
      <c r="F139" s="523" t="e">
        <f ca="1">gr(données_step[[#This Row],[E_NTOT]])</f>
        <v>#NAME?</v>
      </c>
      <c r="G139" s="523" t="e">
        <f ca="1">gr(données_step[[#This Row],[E_PTOT]])</f>
        <v>#NAME?</v>
      </c>
      <c r="H139" s="523" t="e">
        <f ca="1">gr(données_step[[#This Row],[S_DBO5]])</f>
        <v>#NAME?</v>
      </c>
      <c r="I139" s="523" t="e">
        <f ca="1">gr(données_step[[#This Row],[S_DCO]])</f>
        <v>#NAME?</v>
      </c>
      <c r="J139" s="523" t="e">
        <f ca="1">gr(données_step[[#This Row],[S_COD]])</f>
        <v>#NAME?</v>
      </c>
      <c r="K139" s="523" t="e">
        <f ca="1">gr(données_step[[#This Row],[S_NH4]])</f>
        <v>#NAME?</v>
      </c>
      <c r="L139" s="523" t="e">
        <f ca="1">gr(données_step[[#This Row],[S_NO2]])</f>
        <v>#NAME?</v>
      </c>
      <c r="M139" s="523" t="e">
        <f ca="1">gr(données_step[[#This Row],[S_NO3]])</f>
        <v>#NAME?</v>
      </c>
      <c r="N139" s="523" t="e">
        <f ca="1">gr(données_step[[#This Row],[S_PORTH]])</f>
        <v>#NAME?</v>
      </c>
      <c r="O139" s="523" t="e">
        <f ca="1">gr(données_step[[#This Row],[S_PTOT]])</f>
        <v>#NAME?</v>
      </c>
      <c r="P139" s="523" t="e">
        <f ca="1">gr(données_step[[#This Row],[S_MES]])</f>
        <v>#NAME?</v>
      </c>
      <c r="Q139" s="523" t="e">
        <v>#N/A</v>
      </c>
      <c r="R139" s="523" t="e">
        <v>#N/A</v>
      </c>
      <c r="S139" s="523" t="e">
        <v>#N/A</v>
      </c>
      <c r="T139" s="523" t="e">
        <v>#N/A</v>
      </c>
      <c r="U139" s="523" t="e">
        <v>#N/A</v>
      </c>
      <c r="V139" s="523" t="e">
        <v>#N/A</v>
      </c>
      <c r="W139" s="523" t="e">
        <v>#N/A</v>
      </c>
      <c r="X139" s="523" t="e">
        <v>#N/A</v>
      </c>
      <c r="Y139" s="523" t="e">
        <v>#N/A</v>
      </c>
      <c r="Z139" s="523"/>
      <c r="AA139" s="523"/>
    </row>
    <row r="140" spans="1:27" x14ac:dyDescent="0.2">
      <c r="A140" s="222">
        <f>calculs!A140</f>
        <v>44691</v>
      </c>
      <c r="B140" s="523" t="e">
        <f ca="1">gr(données_step[[#This Row],[E_DBO5]])</f>
        <v>#NAME?</v>
      </c>
      <c r="C140" s="523" t="e">
        <f ca="1">gr(données_step[[#This Row],[E_DCO]])</f>
        <v>#NAME?</v>
      </c>
      <c r="D140" s="523" t="e">
        <f ca="1">gr(données_step[[#This Row],[E_COT]])</f>
        <v>#NAME?</v>
      </c>
      <c r="E140" s="523" t="e">
        <f ca="1">gr(données_step[[#This Row],[E_NH4]])</f>
        <v>#NAME?</v>
      </c>
      <c r="F140" s="523" t="e">
        <f ca="1">gr(données_step[[#This Row],[E_NTOT]])</f>
        <v>#NAME?</v>
      </c>
      <c r="G140" s="523" t="e">
        <f ca="1">gr(données_step[[#This Row],[E_PTOT]])</f>
        <v>#NAME?</v>
      </c>
      <c r="H140" s="523" t="e">
        <f ca="1">gr(données_step[[#This Row],[S_DBO5]])</f>
        <v>#NAME?</v>
      </c>
      <c r="I140" s="523" t="e">
        <f ca="1">gr(données_step[[#This Row],[S_DCO]])</f>
        <v>#NAME?</v>
      </c>
      <c r="J140" s="523" t="e">
        <f ca="1">gr(données_step[[#This Row],[S_COD]])</f>
        <v>#NAME?</v>
      </c>
      <c r="K140" s="523" t="e">
        <f ca="1">gr(données_step[[#This Row],[S_NH4]])</f>
        <v>#NAME?</v>
      </c>
      <c r="L140" s="523" t="e">
        <f ca="1">gr(données_step[[#This Row],[S_NO2]])</f>
        <v>#NAME?</v>
      </c>
      <c r="M140" s="523" t="e">
        <f ca="1">gr(données_step[[#This Row],[S_NO3]])</f>
        <v>#NAME?</v>
      </c>
      <c r="N140" s="523" t="e">
        <f ca="1">gr(données_step[[#This Row],[S_PORTH]])</f>
        <v>#NAME?</v>
      </c>
      <c r="O140" s="523" t="e">
        <f ca="1">gr(données_step[[#This Row],[S_PTOT]])</f>
        <v>#NAME?</v>
      </c>
      <c r="P140" s="523" t="e">
        <f ca="1">gr(données_step[[#This Row],[S_MES]])</f>
        <v>#NAME?</v>
      </c>
      <c r="Q140" s="523" t="e">
        <v>#N/A</v>
      </c>
      <c r="R140" s="523" t="e">
        <v>#N/A</v>
      </c>
      <c r="S140" s="523" t="e">
        <v>#N/A</v>
      </c>
      <c r="T140" s="523" t="e">
        <v>#N/A</v>
      </c>
      <c r="U140" s="523" t="e">
        <v>#N/A</v>
      </c>
      <c r="V140" s="523" t="e">
        <v>#N/A</v>
      </c>
      <c r="W140" s="523" t="e">
        <v>#N/A</v>
      </c>
      <c r="X140" s="523" t="e">
        <v>#N/A</v>
      </c>
      <c r="Y140" s="523" t="e">
        <v>#N/A</v>
      </c>
      <c r="Z140" s="523"/>
      <c r="AA140" s="523"/>
    </row>
    <row r="141" spans="1:27" x14ac:dyDescent="0.2">
      <c r="A141" s="222">
        <f>calculs!A141</f>
        <v>44692</v>
      </c>
      <c r="B141" s="523" t="e">
        <f ca="1">gr(données_step[[#This Row],[E_DBO5]])</f>
        <v>#NAME?</v>
      </c>
      <c r="C141" s="523" t="e">
        <f ca="1">gr(données_step[[#This Row],[E_DCO]])</f>
        <v>#NAME?</v>
      </c>
      <c r="D141" s="523" t="e">
        <f ca="1">gr(données_step[[#This Row],[E_COT]])</f>
        <v>#NAME?</v>
      </c>
      <c r="E141" s="523" t="e">
        <f ca="1">gr(données_step[[#This Row],[E_NH4]])</f>
        <v>#NAME?</v>
      </c>
      <c r="F141" s="523" t="e">
        <f ca="1">gr(données_step[[#This Row],[E_NTOT]])</f>
        <v>#NAME?</v>
      </c>
      <c r="G141" s="523" t="e">
        <f ca="1">gr(données_step[[#This Row],[E_PTOT]])</f>
        <v>#NAME?</v>
      </c>
      <c r="H141" s="523" t="e">
        <f ca="1">gr(données_step[[#This Row],[S_DBO5]])</f>
        <v>#NAME?</v>
      </c>
      <c r="I141" s="523" t="e">
        <f ca="1">gr(données_step[[#This Row],[S_DCO]])</f>
        <v>#NAME?</v>
      </c>
      <c r="J141" s="523" t="e">
        <f ca="1">gr(données_step[[#This Row],[S_COD]])</f>
        <v>#NAME?</v>
      </c>
      <c r="K141" s="523" t="e">
        <f ca="1">gr(données_step[[#This Row],[S_NH4]])</f>
        <v>#NAME?</v>
      </c>
      <c r="L141" s="523" t="e">
        <f ca="1">gr(données_step[[#This Row],[S_NO2]])</f>
        <v>#NAME?</v>
      </c>
      <c r="M141" s="523" t="e">
        <f ca="1">gr(données_step[[#This Row],[S_NO3]])</f>
        <v>#NAME?</v>
      </c>
      <c r="N141" s="523" t="e">
        <f ca="1">gr(données_step[[#This Row],[S_PORTH]])</f>
        <v>#NAME?</v>
      </c>
      <c r="O141" s="523" t="e">
        <f ca="1">gr(données_step[[#This Row],[S_PTOT]])</f>
        <v>#NAME?</v>
      </c>
      <c r="P141" s="523" t="e">
        <f ca="1">gr(données_step[[#This Row],[S_MES]])</f>
        <v>#NAME?</v>
      </c>
      <c r="Q141" s="523" t="e">
        <v>#N/A</v>
      </c>
      <c r="R141" s="523" t="e">
        <v>#N/A</v>
      </c>
      <c r="S141" s="523" t="e">
        <v>#N/A</v>
      </c>
      <c r="T141" s="523" t="e">
        <v>#N/A</v>
      </c>
      <c r="U141" s="523" t="e">
        <v>#N/A</v>
      </c>
      <c r="V141" s="523" t="e">
        <v>#N/A</v>
      </c>
      <c r="W141" s="523" t="e">
        <v>#N/A</v>
      </c>
      <c r="X141" s="523" t="e">
        <v>#N/A</v>
      </c>
      <c r="Y141" s="523" t="e">
        <v>#N/A</v>
      </c>
      <c r="Z141" s="523"/>
      <c r="AA141" s="523"/>
    </row>
    <row r="142" spans="1:27" x14ac:dyDescent="0.2">
      <c r="A142" s="222">
        <f>calculs!A142</f>
        <v>44693</v>
      </c>
      <c r="B142" s="523" t="e">
        <f ca="1">gr(données_step[[#This Row],[E_DBO5]])</f>
        <v>#NAME?</v>
      </c>
      <c r="C142" s="523" t="e">
        <f ca="1">gr(données_step[[#This Row],[E_DCO]])</f>
        <v>#NAME?</v>
      </c>
      <c r="D142" s="523" t="e">
        <f ca="1">gr(données_step[[#This Row],[E_COT]])</f>
        <v>#NAME?</v>
      </c>
      <c r="E142" s="523" t="e">
        <f ca="1">gr(données_step[[#This Row],[E_NH4]])</f>
        <v>#NAME?</v>
      </c>
      <c r="F142" s="523" t="e">
        <f ca="1">gr(données_step[[#This Row],[E_NTOT]])</f>
        <v>#NAME?</v>
      </c>
      <c r="G142" s="523" t="e">
        <f ca="1">gr(données_step[[#This Row],[E_PTOT]])</f>
        <v>#NAME?</v>
      </c>
      <c r="H142" s="523" t="e">
        <f ca="1">gr(données_step[[#This Row],[S_DBO5]])</f>
        <v>#NAME?</v>
      </c>
      <c r="I142" s="523" t="e">
        <f ca="1">gr(données_step[[#This Row],[S_DCO]])</f>
        <v>#NAME?</v>
      </c>
      <c r="J142" s="523" t="e">
        <f ca="1">gr(données_step[[#This Row],[S_COD]])</f>
        <v>#NAME?</v>
      </c>
      <c r="K142" s="523" t="e">
        <f ca="1">gr(données_step[[#This Row],[S_NH4]])</f>
        <v>#NAME?</v>
      </c>
      <c r="L142" s="523" t="e">
        <f ca="1">gr(données_step[[#This Row],[S_NO2]])</f>
        <v>#NAME?</v>
      </c>
      <c r="M142" s="523" t="e">
        <f ca="1">gr(données_step[[#This Row],[S_NO3]])</f>
        <v>#NAME?</v>
      </c>
      <c r="N142" s="523" t="e">
        <f ca="1">gr(données_step[[#This Row],[S_PORTH]])</f>
        <v>#NAME?</v>
      </c>
      <c r="O142" s="523" t="e">
        <f ca="1">gr(données_step[[#This Row],[S_PTOT]])</f>
        <v>#NAME?</v>
      </c>
      <c r="P142" s="523" t="e">
        <f ca="1">gr(données_step[[#This Row],[S_MES]])</f>
        <v>#NAME?</v>
      </c>
      <c r="Q142" s="523" t="e">
        <v>#N/A</v>
      </c>
      <c r="R142" s="523" t="e">
        <v>#N/A</v>
      </c>
      <c r="S142" s="523" t="e">
        <v>#N/A</v>
      </c>
      <c r="T142" s="523" t="e">
        <v>#N/A</v>
      </c>
      <c r="U142" s="523" t="e">
        <v>#N/A</v>
      </c>
      <c r="V142" s="523" t="e">
        <v>#N/A</v>
      </c>
      <c r="W142" s="523" t="e">
        <v>#N/A</v>
      </c>
      <c r="X142" s="523" t="e">
        <v>#N/A</v>
      </c>
      <c r="Y142" s="523" t="e">
        <v>#N/A</v>
      </c>
      <c r="Z142" s="523"/>
      <c r="AA142" s="523"/>
    </row>
    <row r="143" spans="1:27" x14ac:dyDescent="0.2">
      <c r="A143" s="222">
        <f>calculs!A143</f>
        <v>44694</v>
      </c>
      <c r="B143" s="523" t="e">
        <f ca="1">gr(données_step[[#This Row],[E_DBO5]])</f>
        <v>#NAME?</v>
      </c>
      <c r="C143" s="523" t="e">
        <f ca="1">gr(données_step[[#This Row],[E_DCO]])</f>
        <v>#NAME?</v>
      </c>
      <c r="D143" s="523" t="e">
        <f ca="1">gr(données_step[[#This Row],[E_COT]])</f>
        <v>#NAME?</v>
      </c>
      <c r="E143" s="523" t="e">
        <f ca="1">gr(données_step[[#This Row],[E_NH4]])</f>
        <v>#NAME?</v>
      </c>
      <c r="F143" s="523" t="e">
        <f ca="1">gr(données_step[[#This Row],[E_NTOT]])</f>
        <v>#NAME?</v>
      </c>
      <c r="G143" s="523" t="e">
        <f ca="1">gr(données_step[[#This Row],[E_PTOT]])</f>
        <v>#NAME?</v>
      </c>
      <c r="H143" s="523" t="e">
        <f ca="1">gr(données_step[[#This Row],[S_DBO5]])</f>
        <v>#NAME?</v>
      </c>
      <c r="I143" s="523" t="e">
        <f ca="1">gr(données_step[[#This Row],[S_DCO]])</f>
        <v>#NAME?</v>
      </c>
      <c r="J143" s="523" t="e">
        <f ca="1">gr(données_step[[#This Row],[S_COD]])</f>
        <v>#NAME?</v>
      </c>
      <c r="K143" s="523" t="e">
        <f ca="1">gr(données_step[[#This Row],[S_NH4]])</f>
        <v>#NAME?</v>
      </c>
      <c r="L143" s="523" t="e">
        <f ca="1">gr(données_step[[#This Row],[S_NO2]])</f>
        <v>#NAME?</v>
      </c>
      <c r="M143" s="523" t="e">
        <f ca="1">gr(données_step[[#This Row],[S_NO3]])</f>
        <v>#NAME?</v>
      </c>
      <c r="N143" s="523" t="e">
        <f ca="1">gr(données_step[[#This Row],[S_PORTH]])</f>
        <v>#NAME?</v>
      </c>
      <c r="O143" s="523" t="e">
        <f ca="1">gr(données_step[[#This Row],[S_PTOT]])</f>
        <v>#NAME?</v>
      </c>
      <c r="P143" s="523" t="e">
        <f ca="1">gr(données_step[[#This Row],[S_MES]])</f>
        <v>#NAME?</v>
      </c>
      <c r="Q143" s="523" t="e">
        <v>#N/A</v>
      </c>
      <c r="R143" s="523" t="e">
        <v>#N/A</v>
      </c>
      <c r="S143" s="523" t="e">
        <v>#N/A</v>
      </c>
      <c r="T143" s="523" t="e">
        <v>#N/A</v>
      </c>
      <c r="U143" s="523" t="e">
        <v>#N/A</v>
      </c>
      <c r="V143" s="523" t="e">
        <v>#N/A</v>
      </c>
      <c r="W143" s="523" t="e">
        <v>#N/A</v>
      </c>
      <c r="X143" s="523" t="e">
        <v>#N/A</v>
      </c>
      <c r="Y143" s="523" t="e">
        <v>#N/A</v>
      </c>
      <c r="Z143" s="523"/>
      <c r="AA143" s="523"/>
    </row>
    <row r="144" spans="1:27" x14ac:dyDescent="0.2">
      <c r="A144" s="222">
        <f>calculs!A144</f>
        <v>44695</v>
      </c>
      <c r="B144" s="523" t="e">
        <f ca="1">gr(données_step[[#This Row],[E_DBO5]])</f>
        <v>#NAME?</v>
      </c>
      <c r="C144" s="523" t="e">
        <f ca="1">gr(données_step[[#This Row],[E_DCO]])</f>
        <v>#NAME?</v>
      </c>
      <c r="D144" s="523" t="e">
        <f ca="1">gr(données_step[[#This Row],[E_COT]])</f>
        <v>#NAME?</v>
      </c>
      <c r="E144" s="523" t="e">
        <f ca="1">gr(données_step[[#This Row],[E_NH4]])</f>
        <v>#NAME?</v>
      </c>
      <c r="F144" s="523" t="e">
        <f ca="1">gr(données_step[[#This Row],[E_NTOT]])</f>
        <v>#NAME?</v>
      </c>
      <c r="G144" s="523" t="e">
        <f ca="1">gr(données_step[[#This Row],[E_PTOT]])</f>
        <v>#NAME?</v>
      </c>
      <c r="H144" s="523" t="e">
        <f ca="1">gr(données_step[[#This Row],[S_DBO5]])</f>
        <v>#NAME?</v>
      </c>
      <c r="I144" s="523" t="e">
        <f ca="1">gr(données_step[[#This Row],[S_DCO]])</f>
        <v>#NAME?</v>
      </c>
      <c r="J144" s="523" t="e">
        <f ca="1">gr(données_step[[#This Row],[S_COD]])</f>
        <v>#NAME?</v>
      </c>
      <c r="K144" s="523" t="e">
        <f ca="1">gr(données_step[[#This Row],[S_NH4]])</f>
        <v>#NAME?</v>
      </c>
      <c r="L144" s="523" t="e">
        <f ca="1">gr(données_step[[#This Row],[S_NO2]])</f>
        <v>#NAME?</v>
      </c>
      <c r="M144" s="523" t="e">
        <f ca="1">gr(données_step[[#This Row],[S_NO3]])</f>
        <v>#NAME?</v>
      </c>
      <c r="N144" s="523" t="e">
        <f ca="1">gr(données_step[[#This Row],[S_PORTH]])</f>
        <v>#NAME?</v>
      </c>
      <c r="O144" s="523" t="e">
        <f ca="1">gr(données_step[[#This Row],[S_PTOT]])</f>
        <v>#NAME?</v>
      </c>
      <c r="P144" s="523" t="e">
        <f ca="1">gr(données_step[[#This Row],[S_MES]])</f>
        <v>#NAME?</v>
      </c>
      <c r="Q144" s="523" t="e">
        <v>#N/A</v>
      </c>
      <c r="R144" s="523" t="e">
        <v>#N/A</v>
      </c>
      <c r="S144" s="523" t="e">
        <v>#N/A</v>
      </c>
      <c r="T144" s="523" t="e">
        <v>#N/A</v>
      </c>
      <c r="U144" s="523" t="e">
        <v>#N/A</v>
      </c>
      <c r="V144" s="523" t="e">
        <v>#N/A</v>
      </c>
      <c r="W144" s="523" t="e">
        <v>#N/A</v>
      </c>
      <c r="X144" s="523" t="e">
        <v>#N/A</v>
      </c>
      <c r="Y144" s="523" t="e">
        <v>#N/A</v>
      </c>
      <c r="Z144" s="523"/>
      <c r="AA144" s="523"/>
    </row>
    <row r="145" spans="1:27" x14ac:dyDescent="0.2">
      <c r="A145" s="222">
        <f>calculs!A145</f>
        <v>44696</v>
      </c>
      <c r="B145" s="523" t="e">
        <f ca="1">gr(données_step[[#This Row],[E_DBO5]])</f>
        <v>#NAME?</v>
      </c>
      <c r="C145" s="523" t="e">
        <f ca="1">gr(données_step[[#This Row],[E_DCO]])</f>
        <v>#NAME?</v>
      </c>
      <c r="D145" s="523" t="e">
        <f ca="1">gr(données_step[[#This Row],[E_COT]])</f>
        <v>#NAME?</v>
      </c>
      <c r="E145" s="523" t="e">
        <f ca="1">gr(données_step[[#This Row],[E_NH4]])</f>
        <v>#NAME?</v>
      </c>
      <c r="F145" s="523" t="e">
        <f ca="1">gr(données_step[[#This Row],[E_NTOT]])</f>
        <v>#NAME?</v>
      </c>
      <c r="G145" s="523" t="e">
        <f ca="1">gr(données_step[[#This Row],[E_PTOT]])</f>
        <v>#NAME?</v>
      </c>
      <c r="H145" s="523" t="e">
        <f ca="1">gr(données_step[[#This Row],[S_DBO5]])</f>
        <v>#NAME?</v>
      </c>
      <c r="I145" s="523" t="e">
        <f ca="1">gr(données_step[[#This Row],[S_DCO]])</f>
        <v>#NAME?</v>
      </c>
      <c r="J145" s="523" t="e">
        <f ca="1">gr(données_step[[#This Row],[S_COD]])</f>
        <v>#NAME?</v>
      </c>
      <c r="K145" s="523" t="e">
        <f ca="1">gr(données_step[[#This Row],[S_NH4]])</f>
        <v>#NAME?</v>
      </c>
      <c r="L145" s="523" t="e">
        <f ca="1">gr(données_step[[#This Row],[S_NO2]])</f>
        <v>#NAME?</v>
      </c>
      <c r="M145" s="523" t="e">
        <f ca="1">gr(données_step[[#This Row],[S_NO3]])</f>
        <v>#NAME?</v>
      </c>
      <c r="N145" s="523" t="e">
        <f ca="1">gr(données_step[[#This Row],[S_PORTH]])</f>
        <v>#NAME?</v>
      </c>
      <c r="O145" s="523" t="e">
        <f ca="1">gr(données_step[[#This Row],[S_PTOT]])</f>
        <v>#NAME?</v>
      </c>
      <c r="P145" s="523" t="e">
        <f ca="1">gr(données_step[[#This Row],[S_MES]])</f>
        <v>#NAME?</v>
      </c>
      <c r="Q145" s="523" t="e">
        <v>#N/A</v>
      </c>
      <c r="R145" s="523" t="e">
        <v>#N/A</v>
      </c>
      <c r="S145" s="523" t="e">
        <v>#N/A</v>
      </c>
      <c r="T145" s="523" t="e">
        <v>#N/A</v>
      </c>
      <c r="U145" s="523" t="e">
        <v>#N/A</v>
      </c>
      <c r="V145" s="523" t="e">
        <v>#N/A</v>
      </c>
      <c r="W145" s="523" t="e">
        <v>#N/A</v>
      </c>
      <c r="X145" s="523" t="e">
        <v>#N/A</v>
      </c>
      <c r="Y145" s="523" t="e">
        <v>#N/A</v>
      </c>
      <c r="Z145" s="523"/>
      <c r="AA145" s="523"/>
    </row>
    <row r="146" spans="1:27" x14ac:dyDescent="0.2">
      <c r="A146" s="222">
        <f>calculs!A146</f>
        <v>44697</v>
      </c>
      <c r="B146" s="523" t="e">
        <f ca="1">gr(données_step[[#This Row],[E_DBO5]])</f>
        <v>#NAME?</v>
      </c>
      <c r="C146" s="523" t="e">
        <f ca="1">gr(données_step[[#This Row],[E_DCO]])</f>
        <v>#NAME?</v>
      </c>
      <c r="D146" s="523" t="e">
        <f ca="1">gr(données_step[[#This Row],[E_COT]])</f>
        <v>#NAME?</v>
      </c>
      <c r="E146" s="523" t="e">
        <f ca="1">gr(données_step[[#This Row],[E_NH4]])</f>
        <v>#NAME?</v>
      </c>
      <c r="F146" s="523" t="e">
        <f ca="1">gr(données_step[[#This Row],[E_NTOT]])</f>
        <v>#NAME?</v>
      </c>
      <c r="G146" s="523" t="e">
        <f ca="1">gr(données_step[[#This Row],[E_PTOT]])</f>
        <v>#NAME?</v>
      </c>
      <c r="H146" s="523" t="e">
        <f ca="1">gr(données_step[[#This Row],[S_DBO5]])</f>
        <v>#NAME?</v>
      </c>
      <c r="I146" s="523" t="e">
        <f ca="1">gr(données_step[[#This Row],[S_DCO]])</f>
        <v>#NAME?</v>
      </c>
      <c r="J146" s="523" t="e">
        <f ca="1">gr(données_step[[#This Row],[S_COD]])</f>
        <v>#NAME?</v>
      </c>
      <c r="K146" s="523" t="e">
        <f ca="1">gr(données_step[[#This Row],[S_NH4]])</f>
        <v>#NAME?</v>
      </c>
      <c r="L146" s="523" t="e">
        <f ca="1">gr(données_step[[#This Row],[S_NO2]])</f>
        <v>#NAME?</v>
      </c>
      <c r="M146" s="523" t="e">
        <f ca="1">gr(données_step[[#This Row],[S_NO3]])</f>
        <v>#NAME?</v>
      </c>
      <c r="N146" s="523" t="e">
        <f ca="1">gr(données_step[[#This Row],[S_PORTH]])</f>
        <v>#NAME?</v>
      </c>
      <c r="O146" s="523" t="e">
        <f ca="1">gr(données_step[[#This Row],[S_PTOT]])</f>
        <v>#NAME?</v>
      </c>
      <c r="P146" s="523" t="e">
        <f ca="1">gr(données_step[[#This Row],[S_MES]])</f>
        <v>#NAME?</v>
      </c>
      <c r="Q146" s="523" t="e">
        <v>#N/A</v>
      </c>
      <c r="R146" s="523" t="e">
        <v>#N/A</v>
      </c>
      <c r="S146" s="523" t="e">
        <v>#N/A</v>
      </c>
      <c r="T146" s="523" t="e">
        <v>#N/A</v>
      </c>
      <c r="U146" s="523" t="e">
        <v>#N/A</v>
      </c>
      <c r="V146" s="523" t="e">
        <v>#N/A</v>
      </c>
      <c r="W146" s="523" t="e">
        <v>#N/A</v>
      </c>
      <c r="X146" s="523" t="e">
        <v>#N/A</v>
      </c>
      <c r="Y146" s="523" t="e">
        <v>#N/A</v>
      </c>
      <c r="Z146" s="523"/>
      <c r="AA146" s="523"/>
    </row>
    <row r="147" spans="1:27" x14ac:dyDescent="0.2">
      <c r="A147" s="222">
        <f>calculs!A147</f>
        <v>44698</v>
      </c>
      <c r="B147" s="523" t="e">
        <f ca="1">gr(données_step[[#This Row],[E_DBO5]])</f>
        <v>#NAME?</v>
      </c>
      <c r="C147" s="523" t="e">
        <f ca="1">gr(données_step[[#This Row],[E_DCO]])</f>
        <v>#NAME?</v>
      </c>
      <c r="D147" s="523" t="e">
        <f ca="1">gr(données_step[[#This Row],[E_COT]])</f>
        <v>#NAME?</v>
      </c>
      <c r="E147" s="523" t="e">
        <f ca="1">gr(données_step[[#This Row],[E_NH4]])</f>
        <v>#NAME?</v>
      </c>
      <c r="F147" s="523" t="e">
        <f ca="1">gr(données_step[[#This Row],[E_NTOT]])</f>
        <v>#NAME?</v>
      </c>
      <c r="G147" s="523" t="e">
        <f ca="1">gr(données_step[[#This Row],[E_PTOT]])</f>
        <v>#NAME?</v>
      </c>
      <c r="H147" s="523" t="e">
        <f ca="1">gr(données_step[[#This Row],[S_DBO5]])</f>
        <v>#NAME?</v>
      </c>
      <c r="I147" s="523" t="e">
        <f ca="1">gr(données_step[[#This Row],[S_DCO]])</f>
        <v>#NAME?</v>
      </c>
      <c r="J147" s="523" t="e">
        <f ca="1">gr(données_step[[#This Row],[S_COD]])</f>
        <v>#NAME?</v>
      </c>
      <c r="K147" s="523" t="e">
        <f ca="1">gr(données_step[[#This Row],[S_NH4]])</f>
        <v>#NAME?</v>
      </c>
      <c r="L147" s="523" t="e">
        <f ca="1">gr(données_step[[#This Row],[S_NO2]])</f>
        <v>#NAME?</v>
      </c>
      <c r="M147" s="523" t="e">
        <f ca="1">gr(données_step[[#This Row],[S_NO3]])</f>
        <v>#NAME?</v>
      </c>
      <c r="N147" s="523" t="e">
        <f ca="1">gr(données_step[[#This Row],[S_PORTH]])</f>
        <v>#NAME?</v>
      </c>
      <c r="O147" s="523" t="e">
        <f ca="1">gr(données_step[[#This Row],[S_PTOT]])</f>
        <v>#NAME?</v>
      </c>
      <c r="P147" s="523" t="e">
        <f ca="1">gr(données_step[[#This Row],[S_MES]])</f>
        <v>#NAME?</v>
      </c>
      <c r="Q147" s="523" t="e">
        <v>#N/A</v>
      </c>
      <c r="R147" s="523" t="e">
        <v>#N/A</v>
      </c>
      <c r="S147" s="523" t="e">
        <v>#N/A</v>
      </c>
      <c r="T147" s="523" t="e">
        <v>#N/A</v>
      </c>
      <c r="U147" s="523" t="e">
        <v>#N/A</v>
      </c>
      <c r="V147" s="523" t="e">
        <v>#N/A</v>
      </c>
      <c r="W147" s="523" t="e">
        <v>#N/A</v>
      </c>
      <c r="X147" s="523" t="e">
        <v>#N/A</v>
      </c>
      <c r="Y147" s="523" t="e">
        <v>#N/A</v>
      </c>
      <c r="Z147" s="523"/>
      <c r="AA147" s="523"/>
    </row>
    <row r="148" spans="1:27" x14ac:dyDescent="0.2">
      <c r="A148" s="222">
        <f>calculs!A148</f>
        <v>44699</v>
      </c>
      <c r="B148" s="523" t="e">
        <f ca="1">gr(données_step[[#This Row],[E_DBO5]])</f>
        <v>#NAME?</v>
      </c>
      <c r="C148" s="523" t="e">
        <f ca="1">gr(données_step[[#This Row],[E_DCO]])</f>
        <v>#NAME?</v>
      </c>
      <c r="D148" s="523" t="e">
        <f ca="1">gr(données_step[[#This Row],[E_COT]])</f>
        <v>#NAME?</v>
      </c>
      <c r="E148" s="523" t="e">
        <f ca="1">gr(données_step[[#This Row],[E_NH4]])</f>
        <v>#NAME?</v>
      </c>
      <c r="F148" s="523" t="e">
        <f ca="1">gr(données_step[[#This Row],[E_NTOT]])</f>
        <v>#NAME?</v>
      </c>
      <c r="G148" s="523" t="e">
        <f ca="1">gr(données_step[[#This Row],[E_PTOT]])</f>
        <v>#NAME?</v>
      </c>
      <c r="H148" s="523" t="e">
        <f ca="1">gr(données_step[[#This Row],[S_DBO5]])</f>
        <v>#NAME?</v>
      </c>
      <c r="I148" s="523" t="e">
        <f ca="1">gr(données_step[[#This Row],[S_DCO]])</f>
        <v>#NAME?</v>
      </c>
      <c r="J148" s="523" t="e">
        <f ca="1">gr(données_step[[#This Row],[S_COD]])</f>
        <v>#NAME?</v>
      </c>
      <c r="K148" s="523" t="e">
        <f ca="1">gr(données_step[[#This Row],[S_NH4]])</f>
        <v>#NAME?</v>
      </c>
      <c r="L148" s="523" t="e">
        <f ca="1">gr(données_step[[#This Row],[S_NO2]])</f>
        <v>#NAME?</v>
      </c>
      <c r="M148" s="523" t="e">
        <f ca="1">gr(données_step[[#This Row],[S_NO3]])</f>
        <v>#NAME?</v>
      </c>
      <c r="N148" s="523" t="e">
        <f ca="1">gr(données_step[[#This Row],[S_PORTH]])</f>
        <v>#NAME?</v>
      </c>
      <c r="O148" s="523" t="e">
        <f ca="1">gr(données_step[[#This Row],[S_PTOT]])</f>
        <v>#NAME?</v>
      </c>
      <c r="P148" s="523" t="e">
        <f ca="1">gr(données_step[[#This Row],[S_MES]])</f>
        <v>#NAME?</v>
      </c>
      <c r="Q148" s="523" t="e">
        <v>#N/A</v>
      </c>
      <c r="R148" s="523" t="e">
        <v>#N/A</v>
      </c>
      <c r="S148" s="523" t="e">
        <v>#N/A</v>
      </c>
      <c r="T148" s="523" t="e">
        <v>#N/A</v>
      </c>
      <c r="U148" s="523" t="e">
        <v>#N/A</v>
      </c>
      <c r="V148" s="523" t="e">
        <v>#N/A</v>
      </c>
      <c r="W148" s="523" t="e">
        <v>#N/A</v>
      </c>
      <c r="X148" s="523" t="e">
        <v>#N/A</v>
      </c>
      <c r="Y148" s="523" t="e">
        <v>#N/A</v>
      </c>
      <c r="Z148" s="523"/>
      <c r="AA148" s="523"/>
    </row>
    <row r="149" spans="1:27" x14ac:dyDescent="0.2">
      <c r="A149" s="222">
        <f>calculs!A149</f>
        <v>44700</v>
      </c>
      <c r="B149" s="523" t="e">
        <f ca="1">gr(données_step[[#This Row],[E_DBO5]])</f>
        <v>#NAME?</v>
      </c>
      <c r="C149" s="523" t="e">
        <f ca="1">gr(données_step[[#This Row],[E_DCO]])</f>
        <v>#NAME?</v>
      </c>
      <c r="D149" s="523" t="e">
        <f ca="1">gr(données_step[[#This Row],[E_COT]])</f>
        <v>#NAME?</v>
      </c>
      <c r="E149" s="523" t="e">
        <f ca="1">gr(données_step[[#This Row],[E_NH4]])</f>
        <v>#NAME?</v>
      </c>
      <c r="F149" s="523" t="e">
        <f ca="1">gr(données_step[[#This Row],[E_NTOT]])</f>
        <v>#NAME?</v>
      </c>
      <c r="G149" s="523" t="e">
        <f ca="1">gr(données_step[[#This Row],[E_PTOT]])</f>
        <v>#NAME?</v>
      </c>
      <c r="H149" s="523" t="e">
        <f ca="1">gr(données_step[[#This Row],[S_DBO5]])</f>
        <v>#NAME?</v>
      </c>
      <c r="I149" s="523" t="e">
        <f ca="1">gr(données_step[[#This Row],[S_DCO]])</f>
        <v>#NAME?</v>
      </c>
      <c r="J149" s="523" t="e">
        <f ca="1">gr(données_step[[#This Row],[S_COD]])</f>
        <v>#NAME?</v>
      </c>
      <c r="K149" s="523" t="e">
        <f ca="1">gr(données_step[[#This Row],[S_NH4]])</f>
        <v>#NAME?</v>
      </c>
      <c r="L149" s="523" t="e">
        <f ca="1">gr(données_step[[#This Row],[S_NO2]])</f>
        <v>#NAME?</v>
      </c>
      <c r="M149" s="523" t="e">
        <f ca="1">gr(données_step[[#This Row],[S_NO3]])</f>
        <v>#NAME?</v>
      </c>
      <c r="N149" s="523" t="e">
        <f ca="1">gr(données_step[[#This Row],[S_PORTH]])</f>
        <v>#NAME?</v>
      </c>
      <c r="O149" s="523" t="e">
        <f ca="1">gr(données_step[[#This Row],[S_PTOT]])</f>
        <v>#NAME?</v>
      </c>
      <c r="P149" s="523" t="e">
        <f ca="1">gr(données_step[[#This Row],[S_MES]])</f>
        <v>#NAME?</v>
      </c>
      <c r="Q149" s="523" t="e">
        <v>#N/A</v>
      </c>
      <c r="R149" s="523" t="e">
        <v>#N/A</v>
      </c>
      <c r="S149" s="523" t="e">
        <v>#N/A</v>
      </c>
      <c r="T149" s="523" t="e">
        <v>#N/A</v>
      </c>
      <c r="U149" s="523" t="e">
        <v>#N/A</v>
      </c>
      <c r="V149" s="523" t="e">
        <v>#N/A</v>
      </c>
      <c r="W149" s="523" t="e">
        <v>#N/A</v>
      </c>
      <c r="X149" s="523" t="e">
        <v>#N/A</v>
      </c>
      <c r="Y149" s="523" t="e">
        <v>#N/A</v>
      </c>
      <c r="Z149" s="523"/>
      <c r="AA149" s="523"/>
    </row>
    <row r="150" spans="1:27" x14ac:dyDescent="0.2">
      <c r="A150" s="222">
        <f>calculs!A150</f>
        <v>44701</v>
      </c>
      <c r="B150" s="523" t="e">
        <f ca="1">gr(données_step[[#This Row],[E_DBO5]])</f>
        <v>#NAME?</v>
      </c>
      <c r="C150" s="523" t="e">
        <f ca="1">gr(données_step[[#This Row],[E_DCO]])</f>
        <v>#NAME?</v>
      </c>
      <c r="D150" s="523" t="e">
        <f ca="1">gr(données_step[[#This Row],[E_COT]])</f>
        <v>#NAME?</v>
      </c>
      <c r="E150" s="523" t="e">
        <f ca="1">gr(données_step[[#This Row],[E_NH4]])</f>
        <v>#NAME?</v>
      </c>
      <c r="F150" s="523" t="e">
        <f ca="1">gr(données_step[[#This Row],[E_NTOT]])</f>
        <v>#NAME?</v>
      </c>
      <c r="G150" s="523" t="e">
        <f ca="1">gr(données_step[[#This Row],[E_PTOT]])</f>
        <v>#NAME?</v>
      </c>
      <c r="H150" s="523" t="e">
        <f ca="1">gr(données_step[[#This Row],[S_DBO5]])</f>
        <v>#NAME?</v>
      </c>
      <c r="I150" s="523" t="e">
        <f ca="1">gr(données_step[[#This Row],[S_DCO]])</f>
        <v>#NAME?</v>
      </c>
      <c r="J150" s="523" t="e">
        <f ca="1">gr(données_step[[#This Row],[S_COD]])</f>
        <v>#NAME?</v>
      </c>
      <c r="K150" s="523" t="e">
        <f ca="1">gr(données_step[[#This Row],[S_NH4]])</f>
        <v>#NAME?</v>
      </c>
      <c r="L150" s="523" t="e">
        <f ca="1">gr(données_step[[#This Row],[S_NO2]])</f>
        <v>#NAME?</v>
      </c>
      <c r="M150" s="523" t="e">
        <f ca="1">gr(données_step[[#This Row],[S_NO3]])</f>
        <v>#NAME?</v>
      </c>
      <c r="N150" s="523" t="e">
        <f ca="1">gr(données_step[[#This Row],[S_PORTH]])</f>
        <v>#NAME?</v>
      </c>
      <c r="O150" s="523" t="e">
        <f ca="1">gr(données_step[[#This Row],[S_PTOT]])</f>
        <v>#NAME?</v>
      </c>
      <c r="P150" s="523" t="e">
        <f ca="1">gr(données_step[[#This Row],[S_MES]])</f>
        <v>#NAME?</v>
      </c>
      <c r="Q150" s="523" t="e">
        <v>#N/A</v>
      </c>
      <c r="R150" s="523" t="e">
        <v>#N/A</v>
      </c>
      <c r="S150" s="523" t="e">
        <v>#N/A</v>
      </c>
      <c r="T150" s="523" t="e">
        <v>#N/A</v>
      </c>
      <c r="U150" s="523" t="e">
        <v>#N/A</v>
      </c>
      <c r="V150" s="523" t="e">
        <v>#N/A</v>
      </c>
      <c r="W150" s="523" t="e">
        <v>#N/A</v>
      </c>
      <c r="X150" s="523" t="e">
        <v>#N/A</v>
      </c>
      <c r="Y150" s="523" t="e">
        <v>#N/A</v>
      </c>
      <c r="Z150" s="523"/>
      <c r="AA150" s="523"/>
    </row>
    <row r="151" spans="1:27" x14ac:dyDescent="0.2">
      <c r="A151" s="222">
        <f>calculs!A151</f>
        <v>44702</v>
      </c>
      <c r="B151" s="523" t="e">
        <f ca="1">gr(données_step[[#This Row],[E_DBO5]])</f>
        <v>#NAME?</v>
      </c>
      <c r="C151" s="523" t="e">
        <f ca="1">gr(données_step[[#This Row],[E_DCO]])</f>
        <v>#NAME?</v>
      </c>
      <c r="D151" s="523" t="e">
        <f ca="1">gr(données_step[[#This Row],[E_COT]])</f>
        <v>#NAME?</v>
      </c>
      <c r="E151" s="523" t="e">
        <f ca="1">gr(données_step[[#This Row],[E_NH4]])</f>
        <v>#NAME?</v>
      </c>
      <c r="F151" s="523" t="e">
        <f ca="1">gr(données_step[[#This Row],[E_NTOT]])</f>
        <v>#NAME?</v>
      </c>
      <c r="G151" s="523" t="e">
        <f ca="1">gr(données_step[[#This Row],[E_PTOT]])</f>
        <v>#NAME?</v>
      </c>
      <c r="H151" s="523" t="e">
        <f ca="1">gr(données_step[[#This Row],[S_DBO5]])</f>
        <v>#NAME?</v>
      </c>
      <c r="I151" s="523" t="e">
        <f ca="1">gr(données_step[[#This Row],[S_DCO]])</f>
        <v>#NAME?</v>
      </c>
      <c r="J151" s="523" t="e">
        <f ca="1">gr(données_step[[#This Row],[S_COD]])</f>
        <v>#NAME?</v>
      </c>
      <c r="K151" s="523" t="e">
        <f ca="1">gr(données_step[[#This Row],[S_NH4]])</f>
        <v>#NAME?</v>
      </c>
      <c r="L151" s="523" t="e">
        <f ca="1">gr(données_step[[#This Row],[S_NO2]])</f>
        <v>#NAME?</v>
      </c>
      <c r="M151" s="523" t="e">
        <f ca="1">gr(données_step[[#This Row],[S_NO3]])</f>
        <v>#NAME?</v>
      </c>
      <c r="N151" s="523" t="e">
        <f ca="1">gr(données_step[[#This Row],[S_PORTH]])</f>
        <v>#NAME?</v>
      </c>
      <c r="O151" s="523" t="e">
        <f ca="1">gr(données_step[[#This Row],[S_PTOT]])</f>
        <v>#NAME?</v>
      </c>
      <c r="P151" s="523" t="e">
        <f ca="1">gr(données_step[[#This Row],[S_MES]])</f>
        <v>#NAME?</v>
      </c>
      <c r="Q151" s="523" t="e">
        <v>#N/A</v>
      </c>
      <c r="R151" s="523" t="e">
        <v>#N/A</v>
      </c>
      <c r="S151" s="523" t="e">
        <v>#N/A</v>
      </c>
      <c r="T151" s="523" t="e">
        <v>#N/A</v>
      </c>
      <c r="U151" s="523" t="e">
        <v>#N/A</v>
      </c>
      <c r="V151" s="523" t="e">
        <v>#N/A</v>
      </c>
      <c r="W151" s="523" t="e">
        <v>#N/A</v>
      </c>
      <c r="X151" s="523" t="e">
        <v>#N/A</v>
      </c>
      <c r="Y151" s="523" t="e">
        <v>#N/A</v>
      </c>
      <c r="Z151" s="523"/>
      <c r="AA151" s="523"/>
    </row>
    <row r="152" spans="1:27" x14ac:dyDescent="0.2">
      <c r="A152" s="222">
        <f>calculs!A152</f>
        <v>44703</v>
      </c>
      <c r="B152" s="523" t="e">
        <f ca="1">gr(données_step[[#This Row],[E_DBO5]])</f>
        <v>#NAME?</v>
      </c>
      <c r="C152" s="523" t="e">
        <f ca="1">gr(données_step[[#This Row],[E_DCO]])</f>
        <v>#NAME?</v>
      </c>
      <c r="D152" s="523" t="e">
        <f ca="1">gr(données_step[[#This Row],[E_COT]])</f>
        <v>#NAME?</v>
      </c>
      <c r="E152" s="523" t="e">
        <f ca="1">gr(données_step[[#This Row],[E_NH4]])</f>
        <v>#NAME?</v>
      </c>
      <c r="F152" s="523" t="e">
        <f ca="1">gr(données_step[[#This Row],[E_NTOT]])</f>
        <v>#NAME?</v>
      </c>
      <c r="G152" s="523" t="e">
        <f ca="1">gr(données_step[[#This Row],[E_PTOT]])</f>
        <v>#NAME?</v>
      </c>
      <c r="H152" s="523" t="e">
        <f ca="1">gr(données_step[[#This Row],[S_DBO5]])</f>
        <v>#NAME?</v>
      </c>
      <c r="I152" s="523" t="e">
        <f ca="1">gr(données_step[[#This Row],[S_DCO]])</f>
        <v>#NAME?</v>
      </c>
      <c r="J152" s="523" t="e">
        <f ca="1">gr(données_step[[#This Row],[S_COD]])</f>
        <v>#NAME?</v>
      </c>
      <c r="K152" s="523" t="e">
        <f ca="1">gr(données_step[[#This Row],[S_NH4]])</f>
        <v>#NAME?</v>
      </c>
      <c r="L152" s="523" t="e">
        <f ca="1">gr(données_step[[#This Row],[S_NO2]])</f>
        <v>#NAME?</v>
      </c>
      <c r="M152" s="523" t="e">
        <f ca="1">gr(données_step[[#This Row],[S_NO3]])</f>
        <v>#NAME?</v>
      </c>
      <c r="N152" s="523" t="e">
        <f ca="1">gr(données_step[[#This Row],[S_PORTH]])</f>
        <v>#NAME?</v>
      </c>
      <c r="O152" s="523" t="e">
        <f ca="1">gr(données_step[[#This Row],[S_PTOT]])</f>
        <v>#NAME?</v>
      </c>
      <c r="P152" s="523" t="e">
        <f ca="1">gr(données_step[[#This Row],[S_MES]])</f>
        <v>#NAME?</v>
      </c>
      <c r="Q152" s="523" t="e">
        <v>#N/A</v>
      </c>
      <c r="R152" s="523" t="e">
        <v>#N/A</v>
      </c>
      <c r="S152" s="523" t="e">
        <v>#N/A</v>
      </c>
      <c r="T152" s="523" t="e">
        <v>#N/A</v>
      </c>
      <c r="U152" s="523" t="e">
        <v>#N/A</v>
      </c>
      <c r="V152" s="523" t="e">
        <v>#N/A</v>
      </c>
      <c r="W152" s="523" t="e">
        <v>#N/A</v>
      </c>
      <c r="X152" s="523" t="e">
        <v>#N/A</v>
      </c>
      <c r="Y152" s="523" t="e">
        <v>#N/A</v>
      </c>
      <c r="Z152" s="523"/>
      <c r="AA152" s="523"/>
    </row>
    <row r="153" spans="1:27" x14ac:dyDescent="0.2">
      <c r="A153" s="222">
        <f>calculs!A153</f>
        <v>44704</v>
      </c>
      <c r="B153" s="523" t="e">
        <f ca="1">gr(données_step[[#This Row],[E_DBO5]])</f>
        <v>#NAME?</v>
      </c>
      <c r="C153" s="523" t="e">
        <f ca="1">gr(données_step[[#This Row],[E_DCO]])</f>
        <v>#NAME?</v>
      </c>
      <c r="D153" s="523" t="e">
        <f ca="1">gr(données_step[[#This Row],[E_COT]])</f>
        <v>#NAME?</v>
      </c>
      <c r="E153" s="523" t="e">
        <f ca="1">gr(données_step[[#This Row],[E_NH4]])</f>
        <v>#NAME?</v>
      </c>
      <c r="F153" s="523" t="e">
        <f ca="1">gr(données_step[[#This Row],[E_NTOT]])</f>
        <v>#NAME?</v>
      </c>
      <c r="G153" s="523" t="e">
        <f ca="1">gr(données_step[[#This Row],[E_PTOT]])</f>
        <v>#NAME?</v>
      </c>
      <c r="H153" s="523" t="e">
        <f ca="1">gr(données_step[[#This Row],[S_DBO5]])</f>
        <v>#NAME?</v>
      </c>
      <c r="I153" s="523" t="e">
        <f ca="1">gr(données_step[[#This Row],[S_DCO]])</f>
        <v>#NAME?</v>
      </c>
      <c r="J153" s="523" t="e">
        <f ca="1">gr(données_step[[#This Row],[S_COD]])</f>
        <v>#NAME?</v>
      </c>
      <c r="K153" s="523" t="e">
        <f ca="1">gr(données_step[[#This Row],[S_NH4]])</f>
        <v>#NAME?</v>
      </c>
      <c r="L153" s="523" t="e">
        <f ca="1">gr(données_step[[#This Row],[S_NO2]])</f>
        <v>#NAME?</v>
      </c>
      <c r="M153" s="523" t="e">
        <f ca="1">gr(données_step[[#This Row],[S_NO3]])</f>
        <v>#NAME?</v>
      </c>
      <c r="N153" s="523" t="e">
        <f ca="1">gr(données_step[[#This Row],[S_PORTH]])</f>
        <v>#NAME?</v>
      </c>
      <c r="O153" s="523" t="e">
        <f ca="1">gr(données_step[[#This Row],[S_PTOT]])</f>
        <v>#NAME?</v>
      </c>
      <c r="P153" s="523" t="e">
        <f ca="1">gr(données_step[[#This Row],[S_MES]])</f>
        <v>#NAME?</v>
      </c>
      <c r="Q153" s="523" t="e">
        <v>#N/A</v>
      </c>
      <c r="R153" s="523" t="e">
        <v>#N/A</v>
      </c>
      <c r="S153" s="523" t="e">
        <v>#N/A</v>
      </c>
      <c r="T153" s="523" t="e">
        <v>#N/A</v>
      </c>
      <c r="U153" s="523" t="e">
        <v>#N/A</v>
      </c>
      <c r="V153" s="523" t="e">
        <v>#N/A</v>
      </c>
      <c r="W153" s="523" t="e">
        <v>#N/A</v>
      </c>
      <c r="X153" s="523" t="e">
        <v>#N/A</v>
      </c>
      <c r="Y153" s="523" t="e">
        <v>#N/A</v>
      </c>
      <c r="Z153" s="523"/>
      <c r="AA153" s="523"/>
    </row>
    <row r="154" spans="1:27" x14ac:dyDescent="0.2">
      <c r="A154" s="222">
        <f>calculs!A154</f>
        <v>44705</v>
      </c>
      <c r="B154" s="523" t="e">
        <f ca="1">gr(données_step[[#This Row],[E_DBO5]])</f>
        <v>#NAME?</v>
      </c>
      <c r="C154" s="523" t="e">
        <f ca="1">gr(données_step[[#This Row],[E_DCO]])</f>
        <v>#NAME?</v>
      </c>
      <c r="D154" s="523" t="e">
        <f ca="1">gr(données_step[[#This Row],[E_COT]])</f>
        <v>#NAME?</v>
      </c>
      <c r="E154" s="523" t="e">
        <f ca="1">gr(données_step[[#This Row],[E_NH4]])</f>
        <v>#NAME?</v>
      </c>
      <c r="F154" s="523" t="e">
        <f ca="1">gr(données_step[[#This Row],[E_NTOT]])</f>
        <v>#NAME?</v>
      </c>
      <c r="G154" s="523" t="e">
        <f ca="1">gr(données_step[[#This Row],[E_PTOT]])</f>
        <v>#NAME?</v>
      </c>
      <c r="H154" s="523" t="e">
        <f ca="1">gr(données_step[[#This Row],[S_DBO5]])</f>
        <v>#NAME?</v>
      </c>
      <c r="I154" s="523" t="e">
        <f ca="1">gr(données_step[[#This Row],[S_DCO]])</f>
        <v>#NAME?</v>
      </c>
      <c r="J154" s="523" t="e">
        <f ca="1">gr(données_step[[#This Row],[S_COD]])</f>
        <v>#NAME?</v>
      </c>
      <c r="K154" s="523" t="e">
        <f ca="1">gr(données_step[[#This Row],[S_NH4]])</f>
        <v>#NAME?</v>
      </c>
      <c r="L154" s="523" t="e">
        <f ca="1">gr(données_step[[#This Row],[S_NO2]])</f>
        <v>#NAME?</v>
      </c>
      <c r="M154" s="523" t="e">
        <f ca="1">gr(données_step[[#This Row],[S_NO3]])</f>
        <v>#NAME?</v>
      </c>
      <c r="N154" s="523" t="e">
        <f ca="1">gr(données_step[[#This Row],[S_PORTH]])</f>
        <v>#NAME?</v>
      </c>
      <c r="O154" s="523" t="e">
        <f ca="1">gr(données_step[[#This Row],[S_PTOT]])</f>
        <v>#NAME?</v>
      </c>
      <c r="P154" s="523" t="e">
        <f ca="1">gr(données_step[[#This Row],[S_MES]])</f>
        <v>#NAME?</v>
      </c>
      <c r="Q154" s="523" t="e">
        <v>#N/A</v>
      </c>
      <c r="R154" s="523" t="e">
        <v>#N/A</v>
      </c>
      <c r="S154" s="523" t="e">
        <v>#N/A</v>
      </c>
      <c r="T154" s="523" t="e">
        <v>#N/A</v>
      </c>
      <c r="U154" s="523" t="e">
        <v>#N/A</v>
      </c>
      <c r="V154" s="523" t="e">
        <v>#N/A</v>
      </c>
      <c r="W154" s="523" t="e">
        <v>#N/A</v>
      </c>
      <c r="X154" s="523" t="e">
        <v>#N/A</v>
      </c>
      <c r="Y154" s="523" t="e">
        <v>#N/A</v>
      </c>
      <c r="Z154" s="523"/>
      <c r="AA154" s="523"/>
    </row>
    <row r="155" spans="1:27" x14ac:dyDescent="0.2">
      <c r="A155" s="222">
        <f>calculs!A155</f>
        <v>44706</v>
      </c>
      <c r="B155" s="523" t="e">
        <f ca="1">gr(données_step[[#This Row],[E_DBO5]])</f>
        <v>#NAME?</v>
      </c>
      <c r="C155" s="523" t="e">
        <f ca="1">gr(données_step[[#This Row],[E_DCO]])</f>
        <v>#NAME?</v>
      </c>
      <c r="D155" s="523" t="e">
        <f ca="1">gr(données_step[[#This Row],[E_COT]])</f>
        <v>#NAME?</v>
      </c>
      <c r="E155" s="523" t="e">
        <f ca="1">gr(données_step[[#This Row],[E_NH4]])</f>
        <v>#NAME?</v>
      </c>
      <c r="F155" s="523" t="e">
        <f ca="1">gr(données_step[[#This Row],[E_NTOT]])</f>
        <v>#NAME?</v>
      </c>
      <c r="G155" s="523" t="e">
        <f ca="1">gr(données_step[[#This Row],[E_PTOT]])</f>
        <v>#NAME?</v>
      </c>
      <c r="H155" s="523" t="e">
        <f ca="1">gr(données_step[[#This Row],[S_DBO5]])</f>
        <v>#NAME?</v>
      </c>
      <c r="I155" s="523" t="e">
        <f ca="1">gr(données_step[[#This Row],[S_DCO]])</f>
        <v>#NAME?</v>
      </c>
      <c r="J155" s="523" t="e">
        <f ca="1">gr(données_step[[#This Row],[S_COD]])</f>
        <v>#NAME?</v>
      </c>
      <c r="K155" s="523" t="e">
        <f ca="1">gr(données_step[[#This Row],[S_NH4]])</f>
        <v>#NAME?</v>
      </c>
      <c r="L155" s="523" t="e">
        <f ca="1">gr(données_step[[#This Row],[S_NO2]])</f>
        <v>#NAME?</v>
      </c>
      <c r="M155" s="523" t="e">
        <f ca="1">gr(données_step[[#This Row],[S_NO3]])</f>
        <v>#NAME?</v>
      </c>
      <c r="N155" s="523" t="e">
        <f ca="1">gr(données_step[[#This Row],[S_PORTH]])</f>
        <v>#NAME?</v>
      </c>
      <c r="O155" s="523" t="e">
        <f ca="1">gr(données_step[[#This Row],[S_PTOT]])</f>
        <v>#NAME?</v>
      </c>
      <c r="P155" s="523" t="e">
        <f ca="1">gr(données_step[[#This Row],[S_MES]])</f>
        <v>#NAME?</v>
      </c>
      <c r="Q155" s="523" t="e">
        <v>#N/A</v>
      </c>
      <c r="R155" s="523" t="e">
        <v>#N/A</v>
      </c>
      <c r="S155" s="523" t="e">
        <v>#N/A</v>
      </c>
      <c r="T155" s="523" t="e">
        <v>#N/A</v>
      </c>
      <c r="U155" s="523" t="e">
        <v>#N/A</v>
      </c>
      <c r="V155" s="523" t="e">
        <v>#N/A</v>
      </c>
      <c r="W155" s="523" t="e">
        <v>#N/A</v>
      </c>
      <c r="X155" s="523" t="e">
        <v>#N/A</v>
      </c>
      <c r="Y155" s="523" t="e">
        <v>#N/A</v>
      </c>
      <c r="Z155" s="523"/>
      <c r="AA155" s="523"/>
    </row>
    <row r="156" spans="1:27" x14ac:dyDescent="0.2">
      <c r="A156" s="222">
        <f>calculs!A156</f>
        <v>44707</v>
      </c>
      <c r="B156" s="523" t="e">
        <f ca="1">gr(données_step[[#This Row],[E_DBO5]])</f>
        <v>#NAME?</v>
      </c>
      <c r="C156" s="523" t="e">
        <f ca="1">gr(données_step[[#This Row],[E_DCO]])</f>
        <v>#NAME?</v>
      </c>
      <c r="D156" s="523" t="e">
        <f ca="1">gr(données_step[[#This Row],[E_COT]])</f>
        <v>#NAME?</v>
      </c>
      <c r="E156" s="523" t="e">
        <f ca="1">gr(données_step[[#This Row],[E_NH4]])</f>
        <v>#NAME?</v>
      </c>
      <c r="F156" s="523" t="e">
        <f ca="1">gr(données_step[[#This Row],[E_NTOT]])</f>
        <v>#NAME?</v>
      </c>
      <c r="G156" s="523" t="e">
        <f ca="1">gr(données_step[[#This Row],[E_PTOT]])</f>
        <v>#NAME?</v>
      </c>
      <c r="H156" s="523" t="e">
        <f ca="1">gr(données_step[[#This Row],[S_DBO5]])</f>
        <v>#NAME?</v>
      </c>
      <c r="I156" s="523" t="e">
        <f ca="1">gr(données_step[[#This Row],[S_DCO]])</f>
        <v>#NAME?</v>
      </c>
      <c r="J156" s="523" t="e">
        <f ca="1">gr(données_step[[#This Row],[S_COD]])</f>
        <v>#NAME?</v>
      </c>
      <c r="K156" s="523" t="e">
        <f ca="1">gr(données_step[[#This Row],[S_NH4]])</f>
        <v>#NAME?</v>
      </c>
      <c r="L156" s="523" t="e">
        <f ca="1">gr(données_step[[#This Row],[S_NO2]])</f>
        <v>#NAME?</v>
      </c>
      <c r="M156" s="523" t="e">
        <f ca="1">gr(données_step[[#This Row],[S_NO3]])</f>
        <v>#NAME?</v>
      </c>
      <c r="N156" s="523" t="e">
        <f ca="1">gr(données_step[[#This Row],[S_PORTH]])</f>
        <v>#NAME?</v>
      </c>
      <c r="O156" s="523" t="e">
        <f ca="1">gr(données_step[[#This Row],[S_PTOT]])</f>
        <v>#NAME?</v>
      </c>
      <c r="P156" s="523" t="e">
        <f ca="1">gr(données_step[[#This Row],[S_MES]])</f>
        <v>#NAME?</v>
      </c>
      <c r="Q156" s="523" t="e">
        <v>#N/A</v>
      </c>
      <c r="R156" s="523" t="e">
        <v>#N/A</v>
      </c>
      <c r="S156" s="523" t="e">
        <v>#N/A</v>
      </c>
      <c r="T156" s="523" t="e">
        <v>#N/A</v>
      </c>
      <c r="U156" s="523" t="e">
        <v>#N/A</v>
      </c>
      <c r="V156" s="523" t="e">
        <v>#N/A</v>
      </c>
      <c r="W156" s="523" t="e">
        <v>#N/A</v>
      </c>
      <c r="X156" s="523" t="e">
        <v>#N/A</v>
      </c>
      <c r="Y156" s="523" t="e">
        <v>#N/A</v>
      </c>
      <c r="Z156" s="523"/>
      <c r="AA156" s="523"/>
    </row>
    <row r="157" spans="1:27" x14ac:dyDescent="0.2">
      <c r="A157" s="222">
        <f>calculs!A157</f>
        <v>44708</v>
      </c>
      <c r="B157" s="523" t="e">
        <f ca="1">gr(données_step[[#This Row],[E_DBO5]])</f>
        <v>#NAME?</v>
      </c>
      <c r="C157" s="523" t="e">
        <f ca="1">gr(données_step[[#This Row],[E_DCO]])</f>
        <v>#NAME?</v>
      </c>
      <c r="D157" s="523" t="e">
        <f ca="1">gr(données_step[[#This Row],[E_COT]])</f>
        <v>#NAME?</v>
      </c>
      <c r="E157" s="523" t="e">
        <f ca="1">gr(données_step[[#This Row],[E_NH4]])</f>
        <v>#NAME?</v>
      </c>
      <c r="F157" s="523" t="e">
        <f ca="1">gr(données_step[[#This Row],[E_NTOT]])</f>
        <v>#NAME?</v>
      </c>
      <c r="G157" s="523" t="e">
        <f ca="1">gr(données_step[[#This Row],[E_PTOT]])</f>
        <v>#NAME?</v>
      </c>
      <c r="H157" s="523" t="e">
        <f ca="1">gr(données_step[[#This Row],[S_DBO5]])</f>
        <v>#NAME?</v>
      </c>
      <c r="I157" s="523" t="e">
        <f ca="1">gr(données_step[[#This Row],[S_DCO]])</f>
        <v>#NAME?</v>
      </c>
      <c r="J157" s="523" t="e">
        <f ca="1">gr(données_step[[#This Row],[S_COD]])</f>
        <v>#NAME?</v>
      </c>
      <c r="K157" s="523" t="e">
        <f ca="1">gr(données_step[[#This Row],[S_NH4]])</f>
        <v>#NAME?</v>
      </c>
      <c r="L157" s="523" t="e">
        <f ca="1">gr(données_step[[#This Row],[S_NO2]])</f>
        <v>#NAME?</v>
      </c>
      <c r="M157" s="523" t="e">
        <f ca="1">gr(données_step[[#This Row],[S_NO3]])</f>
        <v>#NAME?</v>
      </c>
      <c r="N157" s="523" t="e">
        <f ca="1">gr(données_step[[#This Row],[S_PORTH]])</f>
        <v>#NAME?</v>
      </c>
      <c r="O157" s="523" t="e">
        <f ca="1">gr(données_step[[#This Row],[S_PTOT]])</f>
        <v>#NAME?</v>
      </c>
      <c r="P157" s="523" t="e">
        <f ca="1">gr(données_step[[#This Row],[S_MES]])</f>
        <v>#NAME?</v>
      </c>
      <c r="Q157" s="523" t="e">
        <v>#N/A</v>
      </c>
      <c r="R157" s="523" t="e">
        <v>#N/A</v>
      </c>
      <c r="S157" s="523" t="e">
        <v>#N/A</v>
      </c>
      <c r="T157" s="523" t="e">
        <v>#N/A</v>
      </c>
      <c r="U157" s="523" t="e">
        <v>#N/A</v>
      </c>
      <c r="V157" s="523" t="e">
        <v>#N/A</v>
      </c>
      <c r="W157" s="523" t="e">
        <v>#N/A</v>
      </c>
      <c r="X157" s="523" t="e">
        <v>#N/A</v>
      </c>
      <c r="Y157" s="523" t="e">
        <v>#N/A</v>
      </c>
      <c r="Z157" s="523"/>
      <c r="AA157" s="523"/>
    </row>
    <row r="158" spans="1:27" x14ac:dyDescent="0.2">
      <c r="A158" s="222">
        <f>calculs!A158</f>
        <v>44709</v>
      </c>
      <c r="B158" s="523" t="e">
        <f ca="1">gr(données_step[[#This Row],[E_DBO5]])</f>
        <v>#NAME?</v>
      </c>
      <c r="C158" s="523" t="e">
        <f ca="1">gr(données_step[[#This Row],[E_DCO]])</f>
        <v>#NAME?</v>
      </c>
      <c r="D158" s="523" t="e">
        <f ca="1">gr(données_step[[#This Row],[E_COT]])</f>
        <v>#NAME?</v>
      </c>
      <c r="E158" s="523" t="e">
        <f ca="1">gr(données_step[[#This Row],[E_NH4]])</f>
        <v>#NAME?</v>
      </c>
      <c r="F158" s="523" t="e">
        <f ca="1">gr(données_step[[#This Row],[E_NTOT]])</f>
        <v>#NAME?</v>
      </c>
      <c r="G158" s="523" t="e">
        <f ca="1">gr(données_step[[#This Row],[E_PTOT]])</f>
        <v>#NAME?</v>
      </c>
      <c r="H158" s="523" t="e">
        <f ca="1">gr(données_step[[#This Row],[S_DBO5]])</f>
        <v>#NAME?</v>
      </c>
      <c r="I158" s="523" t="e">
        <f ca="1">gr(données_step[[#This Row],[S_DCO]])</f>
        <v>#NAME?</v>
      </c>
      <c r="J158" s="523" t="e">
        <f ca="1">gr(données_step[[#This Row],[S_COD]])</f>
        <v>#NAME?</v>
      </c>
      <c r="K158" s="523" t="e">
        <f ca="1">gr(données_step[[#This Row],[S_NH4]])</f>
        <v>#NAME?</v>
      </c>
      <c r="L158" s="523" t="e">
        <f ca="1">gr(données_step[[#This Row],[S_NO2]])</f>
        <v>#NAME?</v>
      </c>
      <c r="M158" s="523" t="e">
        <f ca="1">gr(données_step[[#This Row],[S_NO3]])</f>
        <v>#NAME?</v>
      </c>
      <c r="N158" s="523" t="e">
        <f ca="1">gr(données_step[[#This Row],[S_PORTH]])</f>
        <v>#NAME?</v>
      </c>
      <c r="O158" s="523" t="e">
        <f ca="1">gr(données_step[[#This Row],[S_PTOT]])</f>
        <v>#NAME?</v>
      </c>
      <c r="P158" s="523" t="e">
        <f ca="1">gr(données_step[[#This Row],[S_MES]])</f>
        <v>#NAME?</v>
      </c>
      <c r="Q158" s="523" t="e">
        <v>#N/A</v>
      </c>
      <c r="R158" s="523" t="e">
        <v>#N/A</v>
      </c>
      <c r="S158" s="523" t="e">
        <v>#N/A</v>
      </c>
      <c r="T158" s="523" t="e">
        <v>#N/A</v>
      </c>
      <c r="U158" s="523" t="e">
        <v>#N/A</v>
      </c>
      <c r="V158" s="523" t="e">
        <v>#N/A</v>
      </c>
      <c r="W158" s="523" t="e">
        <v>#N/A</v>
      </c>
      <c r="X158" s="523" t="e">
        <v>#N/A</v>
      </c>
      <c r="Y158" s="523" t="e">
        <v>#N/A</v>
      </c>
      <c r="Z158" s="523"/>
      <c r="AA158" s="523"/>
    </row>
    <row r="159" spans="1:27" x14ac:dyDescent="0.2">
      <c r="A159" s="222">
        <f>calculs!A159</f>
        <v>44710</v>
      </c>
      <c r="B159" s="523" t="e">
        <f ca="1">gr(données_step[[#This Row],[E_DBO5]])</f>
        <v>#NAME?</v>
      </c>
      <c r="C159" s="523" t="e">
        <f ca="1">gr(données_step[[#This Row],[E_DCO]])</f>
        <v>#NAME?</v>
      </c>
      <c r="D159" s="523" t="e">
        <f ca="1">gr(données_step[[#This Row],[E_COT]])</f>
        <v>#NAME?</v>
      </c>
      <c r="E159" s="523" t="e">
        <f ca="1">gr(données_step[[#This Row],[E_NH4]])</f>
        <v>#NAME?</v>
      </c>
      <c r="F159" s="523" t="e">
        <f ca="1">gr(données_step[[#This Row],[E_NTOT]])</f>
        <v>#NAME?</v>
      </c>
      <c r="G159" s="523" t="e">
        <f ca="1">gr(données_step[[#This Row],[E_PTOT]])</f>
        <v>#NAME?</v>
      </c>
      <c r="H159" s="523" t="e">
        <f ca="1">gr(données_step[[#This Row],[S_DBO5]])</f>
        <v>#NAME?</v>
      </c>
      <c r="I159" s="523" t="e">
        <f ca="1">gr(données_step[[#This Row],[S_DCO]])</f>
        <v>#NAME?</v>
      </c>
      <c r="J159" s="523" t="e">
        <f ca="1">gr(données_step[[#This Row],[S_COD]])</f>
        <v>#NAME?</v>
      </c>
      <c r="K159" s="523" t="e">
        <f ca="1">gr(données_step[[#This Row],[S_NH4]])</f>
        <v>#NAME?</v>
      </c>
      <c r="L159" s="523" t="e">
        <f ca="1">gr(données_step[[#This Row],[S_NO2]])</f>
        <v>#NAME?</v>
      </c>
      <c r="M159" s="523" t="e">
        <f ca="1">gr(données_step[[#This Row],[S_NO3]])</f>
        <v>#NAME?</v>
      </c>
      <c r="N159" s="523" t="e">
        <f ca="1">gr(données_step[[#This Row],[S_PORTH]])</f>
        <v>#NAME?</v>
      </c>
      <c r="O159" s="523" t="e">
        <f ca="1">gr(données_step[[#This Row],[S_PTOT]])</f>
        <v>#NAME?</v>
      </c>
      <c r="P159" s="523" t="e">
        <f ca="1">gr(données_step[[#This Row],[S_MES]])</f>
        <v>#NAME?</v>
      </c>
      <c r="Q159" s="523" t="e">
        <v>#N/A</v>
      </c>
      <c r="R159" s="523" t="e">
        <v>#N/A</v>
      </c>
      <c r="S159" s="523" t="e">
        <v>#N/A</v>
      </c>
      <c r="T159" s="523" t="e">
        <v>#N/A</v>
      </c>
      <c r="U159" s="523" t="e">
        <v>#N/A</v>
      </c>
      <c r="V159" s="523" t="e">
        <v>#N/A</v>
      </c>
      <c r="W159" s="523" t="e">
        <v>#N/A</v>
      </c>
      <c r="X159" s="523" t="e">
        <v>#N/A</v>
      </c>
      <c r="Y159" s="523" t="e">
        <v>#N/A</v>
      </c>
      <c r="Z159" s="523"/>
      <c r="AA159" s="523"/>
    </row>
    <row r="160" spans="1:27" x14ac:dyDescent="0.2">
      <c r="A160" s="222">
        <f>calculs!A160</f>
        <v>44711</v>
      </c>
      <c r="B160" s="523" t="e">
        <f ca="1">gr(données_step[[#This Row],[E_DBO5]])</f>
        <v>#NAME?</v>
      </c>
      <c r="C160" s="523" t="e">
        <f ca="1">gr(données_step[[#This Row],[E_DCO]])</f>
        <v>#NAME?</v>
      </c>
      <c r="D160" s="523" t="e">
        <f ca="1">gr(données_step[[#This Row],[E_COT]])</f>
        <v>#NAME?</v>
      </c>
      <c r="E160" s="523" t="e">
        <f ca="1">gr(données_step[[#This Row],[E_NH4]])</f>
        <v>#NAME?</v>
      </c>
      <c r="F160" s="523" t="e">
        <f ca="1">gr(données_step[[#This Row],[E_NTOT]])</f>
        <v>#NAME?</v>
      </c>
      <c r="G160" s="523" t="e">
        <f ca="1">gr(données_step[[#This Row],[E_PTOT]])</f>
        <v>#NAME?</v>
      </c>
      <c r="H160" s="523" t="e">
        <f ca="1">gr(données_step[[#This Row],[S_DBO5]])</f>
        <v>#NAME?</v>
      </c>
      <c r="I160" s="523" t="e">
        <f ca="1">gr(données_step[[#This Row],[S_DCO]])</f>
        <v>#NAME?</v>
      </c>
      <c r="J160" s="523" t="e">
        <f ca="1">gr(données_step[[#This Row],[S_COD]])</f>
        <v>#NAME?</v>
      </c>
      <c r="K160" s="523" t="e">
        <f ca="1">gr(données_step[[#This Row],[S_NH4]])</f>
        <v>#NAME?</v>
      </c>
      <c r="L160" s="523" t="e">
        <f ca="1">gr(données_step[[#This Row],[S_NO2]])</f>
        <v>#NAME?</v>
      </c>
      <c r="M160" s="523" t="e">
        <f ca="1">gr(données_step[[#This Row],[S_NO3]])</f>
        <v>#NAME?</v>
      </c>
      <c r="N160" s="523" t="e">
        <f ca="1">gr(données_step[[#This Row],[S_PORTH]])</f>
        <v>#NAME?</v>
      </c>
      <c r="O160" s="523" t="e">
        <f ca="1">gr(données_step[[#This Row],[S_PTOT]])</f>
        <v>#NAME?</v>
      </c>
      <c r="P160" s="523" t="e">
        <f ca="1">gr(données_step[[#This Row],[S_MES]])</f>
        <v>#NAME?</v>
      </c>
      <c r="Q160" s="523" t="e">
        <v>#N/A</v>
      </c>
      <c r="R160" s="523" t="e">
        <v>#N/A</v>
      </c>
      <c r="S160" s="523" t="e">
        <v>#N/A</v>
      </c>
      <c r="T160" s="523" t="e">
        <v>#N/A</v>
      </c>
      <c r="U160" s="523" t="e">
        <v>#N/A</v>
      </c>
      <c r="V160" s="523" t="e">
        <v>#N/A</v>
      </c>
      <c r="W160" s="523" t="e">
        <v>#N/A</v>
      </c>
      <c r="X160" s="523" t="e">
        <v>#N/A</v>
      </c>
      <c r="Y160" s="523" t="e">
        <v>#N/A</v>
      </c>
      <c r="Z160" s="523"/>
      <c r="AA160" s="523"/>
    </row>
    <row r="161" spans="1:27" x14ac:dyDescent="0.2">
      <c r="A161" s="222">
        <f>calculs!A161</f>
        <v>44712</v>
      </c>
      <c r="B161" s="523" t="e">
        <f ca="1">gr(données_step[[#This Row],[E_DBO5]])</f>
        <v>#NAME?</v>
      </c>
      <c r="C161" s="523" t="e">
        <f ca="1">gr(données_step[[#This Row],[E_DCO]])</f>
        <v>#NAME?</v>
      </c>
      <c r="D161" s="523" t="e">
        <f ca="1">gr(données_step[[#This Row],[E_COT]])</f>
        <v>#NAME?</v>
      </c>
      <c r="E161" s="523" t="e">
        <f ca="1">gr(données_step[[#This Row],[E_NH4]])</f>
        <v>#NAME?</v>
      </c>
      <c r="F161" s="523" t="e">
        <f ca="1">gr(données_step[[#This Row],[E_NTOT]])</f>
        <v>#NAME?</v>
      </c>
      <c r="G161" s="523" t="e">
        <f ca="1">gr(données_step[[#This Row],[E_PTOT]])</f>
        <v>#NAME?</v>
      </c>
      <c r="H161" s="523" t="e">
        <f ca="1">gr(données_step[[#This Row],[S_DBO5]])</f>
        <v>#NAME?</v>
      </c>
      <c r="I161" s="523" t="e">
        <f ca="1">gr(données_step[[#This Row],[S_DCO]])</f>
        <v>#NAME?</v>
      </c>
      <c r="J161" s="523" t="e">
        <f ca="1">gr(données_step[[#This Row],[S_COD]])</f>
        <v>#NAME?</v>
      </c>
      <c r="K161" s="523" t="e">
        <f ca="1">gr(données_step[[#This Row],[S_NH4]])</f>
        <v>#NAME?</v>
      </c>
      <c r="L161" s="523" t="e">
        <f ca="1">gr(données_step[[#This Row],[S_NO2]])</f>
        <v>#NAME?</v>
      </c>
      <c r="M161" s="523" t="e">
        <f ca="1">gr(données_step[[#This Row],[S_NO3]])</f>
        <v>#NAME?</v>
      </c>
      <c r="N161" s="523" t="e">
        <f ca="1">gr(données_step[[#This Row],[S_PORTH]])</f>
        <v>#NAME?</v>
      </c>
      <c r="O161" s="523" t="e">
        <f ca="1">gr(données_step[[#This Row],[S_PTOT]])</f>
        <v>#NAME?</v>
      </c>
      <c r="P161" s="523" t="e">
        <f ca="1">gr(données_step[[#This Row],[S_MES]])</f>
        <v>#NAME?</v>
      </c>
      <c r="Q161" s="523" t="e">
        <v>#N/A</v>
      </c>
      <c r="R161" s="523" t="e">
        <v>#N/A</v>
      </c>
      <c r="S161" s="523" t="e">
        <v>#N/A</v>
      </c>
      <c r="T161" s="523" t="e">
        <v>#N/A</v>
      </c>
      <c r="U161" s="523" t="e">
        <v>#N/A</v>
      </c>
      <c r="V161" s="523" t="e">
        <v>#N/A</v>
      </c>
      <c r="W161" s="523" t="e">
        <v>#N/A</v>
      </c>
      <c r="X161" s="523" t="e">
        <v>#N/A</v>
      </c>
      <c r="Y161" s="523" t="e">
        <v>#N/A</v>
      </c>
      <c r="Z161" s="523"/>
      <c r="AA161" s="523"/>
    </row>
    <row r="162" spans="1:27" x14ac:dyDescent="0.2">
      <c r="A162" s="222">
        <f>calculs!A162</f>
        <v>44713</v>
      </c>
      <c r="B162" s="523" t="e">
        <f ca="1">gr(données_step[[#This Row],[E_DBO5]])</f>
        <v>#NAME?</v>
      </c>
      <c r="C162" s="523" t="e">
        <f ca="1">gr(données_step[[#This Row],[E_DCO]])</f>
        <v>#NAME?</v>
      </c>
      <c r="D162" s="523" t="e">
        <f ca="1">gr(données_step[[#This Row],[E_COT]])</f>
        <v>#NAME?</v>
      </c>
      <c r="E162" s="523" t="e">
        <f ca="1">gr(données_step[[#This Row],[E_NH4]])</f>
        <v>#NAME?</v>
      </c>
      <c r="F162" s="523" t="e">
        <f ca="1">gr(données_step[[#This Row],[E_NTOT]])</f>
        <v>#NAME?</v>
      </c>
      <c r="G162" s="523" t="e">
        <f ca="1">gr(données_step[[#This Row],[E_PTOT]])</f>
        <v>#NAME?</v>
      </c>
      <c r="H162" s="523" t="e">
        <f ca="1">gr(données_step[[#This Row],[S_DBO5]])</f>
        <v>#NAME?</v>
      </c>
      <c r="I162" s="523" t="e">
        <f ca="1">gr(données_step[[#This Row],[S_DCO]])</f>
        <v>#NAME?</v>
      </c>
      <c r="J162" s="523" t="e">
        <f ca="1">gr(données_step[[#This Row],[S_COD]])</f>
        <v>#NAME?</v>
      </c>
      <c r="K162" s="523" t="e">
        <f ca="1">gr(données_step[[#This Row],[S_NH4]])</f>
        <v>#NAME?</v>
      </c>
      <c r="L162" s="523" t="e">
        <f ca="1">gr(données_step[[#This Row],[S_NO2]])</f>
        <v>#NAME?</v>
      </c>
      <c r="M162" s="523" t="e">
        <f ca="1">gr(données_step[[#This Row],[S_NO3]])</f>
        <v>#NAME?</v>
      </c>
      <c r="N162" s="523" t="e">
        <f ca="1">gr(données_step[[#This Row],[S_PORTH]])</f>
        <v>#NAME?</v>
      </c>
      <c r="O162" s="523" t="e">
        <f ca="1">gr(données_step[[#This Row],[S_PTOT]])</f>
        <v>#NAME?</v>
      </c>
      <c r="P162" s="523" t="e">
        <f ca="1">gr(données_step[[#This Row],[S_MES]])</f>
        <v>#NAME?</v>
      </c>
      <c r="Q162" s="523" t="e">
        <v>#N/A</v>
      </c>
      <c r="R162" s="523" t="e">
        <v>#N/A</v>
      </c>
      <c r="S162" s="523" t="e">
        <v>#N/A</v>
      </c>
      <c r="T162" s="523" t="e">
        <v>#N/A</v>
      </c>
      <c r="U162" s="523" t="e">
        <v>#N/A</v>
      </c>
      <c r="V162" s="523" t="e">
        <v>#N/A</v>
      </c>
      <c r="W162" s="523" t="e">
        <v>#N/A</v>
      </c>
      <c r="X162" s="523" t="e">
        <v>#N/A</v>
      </c>
      <c r="Y162" s="523" t="e">
        <v>#N/A</v>
      </c>
      <c r="Z162" s="523"/>
      <c r="AA162" s="523"/>
    </row>
    <row r="163" spans="1:27" x14ac:dyDescent="0.2">
      <c r="A163" s="222">
        <f>calculs!A163</f>
        <v>44714</v>
      </c>
      <c r="B163" s="523" t="e">
        <f ca="1">gr(données_step[[#This Row],[E_DBO5]])</f>
        <v>#NAME?</v>
      </c>
      <c r="C163" s="523" t="e">
        <f ca="1">gr(données_step[[#This Row],[E_DCO]])</f>
        <v>#NAME?</v>
      </c>
      <c r="D163" s="523" t="e">
        <f ca="1">gr(données_step[[#This Row],[E_COT]])</f>
        <v>#NAME?</v>
      </c>
      <c r="E163" s="523" t="e">
        <f ca="1">gr(données_step[[#This Row],[E_NH4]])</f>
        <v>#NAME?</v>
      </c>
      <c r="F163" s="523" t="e">
        <f ca="1">gr(données_step[[#This Row],[E_NTOT]])</f>
        <v>#NAME?</v>
      </c>
      <c r="G163" s="523" t="e">
        <f ca="1">gr(données_step[[#This Row],[E_PTOT]])</f>
        <v>#NAME?</v>
      </c>
      <c r="H163" s="523" t="e">
        <f ca="1">gr(données_step[[#This Row],[S_DBO5]])</f>
        <v>#NAME?</v>
      </c>
      <c r="I163" s="523" t="e">
        <f ca="1">gr(données_step[[#This Row],[S_DCO]])</f>
        <v>#NAME?</v>
      </c>
      <c r="J163" s="523" t="e">
        <f ca="1">gr(données_step[[#This Row],[S_COD]])</f>
        <v>#NAME?</v>
      </c>
      <c r="K163" s="523" t="e">
        <f ca="1">gr(données_step[[#This Row],[S_NH4]])</f>
        <v>#NAME?</v>
      </c>
      <c r="L163" s="523" t="e">
        <f ca="1">gr(données_step[[#This Row],[S_NO2]])</f>
        <v>#NAME?</v>
      </c>
      <c r="M163" s="523" t="e">
        <f ca="1">gr(données_step[[#This Row],[S_NO3]])</f>
        <v>#NAME?</v>
      </c>
      <c r="N163" s="523" t="e">
        <f ca="1">gr(données_step[[#This Row],[S_PORTH]])</f>
        <v>#NAME?</v>
      </c>
      <c r="O163" s="523" t="e">
        <f ca="1">gr(données_step[[#This Row],[S_PTOT]])</f>
        <v>#NAME?</v>
      </c>
      <c r="P163" s="523" t="e">
        <f ca="1">gr(données_step[[#This Row],[S_MES]])</f>
        <v>#NAME?</v>
      </c>
      <c r="Q163" s="523" t="e">
        <v>#N/A</v>
      </c>
      <c r="R163" s="523" t="e">
        <v>#N/A</v>
      </c>
      <c r="S163" s="523" t="e">
        <v>#N/A</v>
      </c>
      <c r="T163" s="523" t="e">
        <v>#N/A</v>
      </c>
      <c r="U163" s="523" t="e">
        <v>#N/A</v>
      </c>
      <c r="V163" s="523" t="e">
        <v>#N/A</v>
      </c>
      <c r="W163" s="523" t="e">
        <v>#N/A</v>
      </c>
      <c r="X163" s="523" t="e">
        <v>#N/A</v>
      </c>
      <c r="Y163" s="523" t="e">
        <v>#N/A</v>
      </c>
      <c r="Z163" s="523"/>
      <c r="AA163" s="523"/>
    </row>
    <row r="164" spans="1:27" x14ac:dyDescent="0.2">
      <c r="A164" s="222">
        <f>calculs!A164</f>
        <v>44715</v>
      </c>
      <c r="B164" s="523" t="e">
        <f ca="1">gr(données_step[[#This Row],[E_DBO5]])</f>
        <v>#NAME?</v>
      </c>
      <c r="C164" s="523" t="e">
        <f ca="1">gr(données_step[[#This Row],[E_DCO]])</f>
        <v>#NAME?</v>
      </c>
      <c r="D164" s="523" t="e">
        <f ca="1">gr(données_step[[#This Row],[E_COT]])</f>
        <v>#NAME?</v>
      </c>
      <c r="E164" s="523" t="e">
        <f ca="1">gr(données_step[[#This Row],[E_NH4]])</f>
        <v>#NAME?</v>
      </c>
      <c r="F164" s="523" t="e">
        <f ca="1">gr(données_step[[#This Row],[E_NTOT]])</f>
        <v>#NAME?</v>
      </c>
      <c r="G164" s="523" t="e">
        <f ca="1">gr(données_step[[#This Row],[E_PTOT]])</f>
        <v>#NAME?</v>
      </c>
      <c r="H164" s="523" t="e">
        <f ca="1">gr(données_step[[#This Row],[S_DBO5]])</f>
        <v>#NAME?</v>
      </c>
      <c r="I164" s="523" t="e">
        <f ca="1">gr(données_step[[#This Row],[S_DCO]])</f>
        <v>#NAME?</v>
      </c>
      <c r="J164" s="523" t="e">
        <f ca="1">gr(données_step[[#This Row],[S_COD]])</f>
        <v>#NAME?</v>
      </c>
      <c r="K164" s="523" t="e">
        <f ca="1">gr(données_step[[#This Row],[S_NH4]])</f>
        <v>#NAME?</v>
      </c>
      <c r="L164" s="523" t="e">
        <f ca="1">gr(données_step[[#This Row],[S_NO2]])</f>
        <v>#NAME?</v>
      </c>
      <c r="M164" s="523" t="e">
        <f ca="1">gr(données_step[[#This Row],[S_NO3]])</f>
        <v>#NAME?</v>
      </c>
      <c r="N164" s="523" t="e">
        <f ca="1">gr(données_step[[#This Row],[S_PORTH]])</f>
        <v>#NAME?</v>
      </c>
      <c r="O164" s="523" t="e">
        <f ca="1">gr(données_step[[#This Row],[S_PTOT]])</f>
        <v>#NAME?</v>
      </c>
      <c r="P164" s="523" t="e">
        <f ca="1">gr(données_step[[#This Row],[S_MES]])</f>
        <v>#NAME?</v>
      </c>
      <c r="Q164" s="523" t="e">
        <v>#N/A</v>
      </c>
      <c r="R164" s="523" t="e">
        <v>#N/A</v>
      </c>
      <c r="S164" s="523" t="e">
        <v>#N/A</v>
      </c>
      <c r="T164" s="523" t="e">
        <v>#N/A</v>
      </c>
      <c r="U164" s="523" t="e">
        <v>#N/A</v>
      </c>
      <c r="V164" s="523" t="e">
        <v>#N/A</v>
      </c>
      <c r="W164" s="523" t="e">
        <v>#N/A</v>
      </c>
      <c r="X164" s="523" t="e">
        <v>#N/A</v>
      </c>
      <c r="Y164" s="523" t="e">
        <v>#N/A</v>
      </c>
      <c r="Z164" s="523"/>
      <c r="AA164" s="523"/>
    </row>
    <row r="165" spans="1:27" x14ac:dyDescent="0.2">
      <c r="A165" s="222">
        <f>calculs!A165</f>
        <v>44716</v>
      </c>
      <c r="B165" s="523" t="e">
        <f ca="1">gr(données_step[[#This Row],[E_DBO5]])</f>
        <v>#NAME?</v>
      </c>
      <c r="C165" s="523" t="e">
        <f ca="1">gr(données_step[[#This Row],[E_DCO]])</f>
        <v>#NAME?</v>
      </c>
      <c r="D165" s="523" t="e">
        <f ca="1">gr(données_step[[#This Row],[E_COT]])</f>
        <v>#NAME?</v>
      </c>
      <c r="E165" s="523" t="e">
        <f ca="1">gr(données_step[[#This Row],[E_NH4]])</f>
        <v>#NAME?</v>
      </c>
      <c r="F165" s="523" t="e">
        <f ca="1">gr(données_step[[#This Row],[E_NTOT]])</f>
        <v>#NAME?</v>
      </c>
      <c r="G165" s="523" t="e">
        <f ca="1">gr(données_step[[#This Row],[E_PTOT]])</f>
        <v>#NAME?</v>
      </c>
      <c r="H165" s="523" t="e">
        <f ca="1">gr(données_step[[#This Row],[S_DBO5]])</f>
        <v>#NAME?</v>
      </c>
      <c r="I165" s="523" t="e">
        <f ca="1">gr(données_step[[#This Row],[S_DCO]])</f>
        <v>#NAME?</v>
      </c>
      <c r="J165" s="523" t="e">
        <f ca="1">gr(données_step[[#This Row],[S_COD]])</f>
        <v>#NAME?</v>
      </c>
      <c r="K165" s="523" t="e">
        <f ca="1">gr(données_step[[#This Row],[S_NH4]])</f>
        <v>#NAME?</v>
      </c>
      <c r="L165" s="523" t="e">
        <f ca="1">gr(données_step[[#This Row],[S_NO2]])</f>
        <v>#NAME?</v>
      </c>
      <c r="M165" s="523" t="e">
        <f ca="1">gr(données_step[[#This Row],[S_NO3]])</f>
        <v>#NAME?</v>
      </c>
      <c r="N165" s="523" t="e">
        <f ca="1">gr(données_step[[#This Row],[S_PORTH]])</f>
        <v>#NAME?</v>
      </c>
      <c r="O165" s="523" t="e">
        <f ca="1">gr(données_step[[#This Row],[S_PTOT]])</f>
        <v>#NAME?</v>
      </c>
      <c r="P165" s="523" t="e">
        <f ca="1">gr(données_step[[#This Row],[S_MES]])</f>
        <v>#NAME?</v>
      </c>
      <c r="Q165" s="523" t="e">
        <v>#N/A</v>
      </c>
      <c r="R165" s="523" t="e">
        <v>#N/A</v>
      </c>
      <c r="S165" s="523" t="e">
        <v>#N/A</v>
      </c>
      <c r="T165" s="523" t="e">
        <v>#N/A</v>
      </c>
      <c r="U165" s="523" t="e">
        <v>#N/A</v>
      </c>
      <c r="V165" s="523" t="e">
        <v>#N/A</v>
      </c>
      <c r="W165" s="523" t="e">
        <v>#N/A</v>
      </c>
      <c r="X165" s="523" t="e">
        <v>#N/A</v>
      </c>
      <c r="Y165" s="523" t="e">
        <v>#N/A</v>
      </c>
      <c r="Z165" s="523"/>
      <c r="AA165" s="523"/>
    </row>
    <row r="166" spans="1:27" x14ac:dyDescent="0.2">
      <c r="A166" s="222">
        <f>calculs!A166</f>
        <v>44717</v>
      </c>
      <c r="B166" s="523" t="e">
        <f ca="1">gr(données_step[[#This Row],[E_DBO5]])</f>
        <v>#NAME?</v>
      </c>
      <c r="C166" s="523" t="e">
        <f ca="1">gr(données_step[[#This Row],[E_DCO]])</f>
        <v>#NAME?</v>
      </c>
      <c r="D166" s="523" t="e">
        <f ca="1">gr(données_step[[#This Row],[E_COT]])</f>
        <v>#NAME?</v>
      </c>
      <c r="E166" s="523" t="e">
        <f ca="1">gr(données_step[[#This Row],[E_NH4]])</f>
        <v>#NAME?</v>
      </c>
      <c r="F166" s="523" t="e">
        <f ca="1">gr(données_step[[#This Row],[E_NTOT]])</f>
        <v>#NAME?</v>
      </c>
      <c r="G166" s="523" t="e">
        <f ca="1">gr(données_step[[#This Row],[E_PTOT]])</f>
        <v>#NAME?</v>
      </c>
      <c r="H166" s="523" t="e">
        <f ca="1">gr(données_step[[#This Row],[S_DBO5]])</f>
        <v>#NAME?</v>
      </c>
      <c r="I166" s="523" t="e">
        <f ca="1">gr(données_step[[#This Row],[S_DCO]])</f>
        <v>#NAME?</v>
      </c>
      <c r="J166" s="523" t="e">
        <f ca="1">gr(données_step[[#This Row],[S_COD]])</f>
        <v>#NAME?</v>
      </c>
      <c r="K166" s="523" t="e">
        <f ca="1">gr(données_step[[#This Row],[S_NH4]])</f>
        <v>#NAME?</v>
      </c>
      <c r="L166" s="523" t="e">
        <f ca="1">gr(données_step[[#This Row],[S_NO2]])</f>
        <v>#NAME?</v>
      </c>
      <c r="M166" s="523" t="e">
        <f ca="1">gr(données_step[[#This Row],[S_NO3]])</f>
        <v>#NAME?</v>
      </c>
      <c r="N166" s="523" t="e">
        <f ca="1">gr(données_step[[#This Row],[S_PORTH]])</f>
        <v>#NAME?</v>
      </c>
      <c r="O166" s="523" t="e">
        <f ca="1">gr(données_step[[#This Row],[S_PTOT]])</f>
        <v>#NAME?</v>
      </c>
      <c r="P166" s="523" t="e">
        <f ca="1">gr(données_step[[#This Row],[S_MES]])</f>
        <v>#NAME?</v>
      </c>
      <c r="Q166" s="523" t="e">
        <v>#N/A</v>
      </c>
      <c r="R166" s="523" t="e">
        <v>#N/A</v>
      </c>
      <c r="S166" s="523" t="e">
        <v>#N/A</v>
      </c>
      <c r="T166" s="523" t="e">
        <v>#N/A</v>
      </c>
      <c r="U166" s="523" t="e">
        <v>#N/A</v>
      </c>
      <c r="V166" s="523" t="e">
        <v>#N/A</v>
      </c>
      <c r="W166" s="523" t="e">
        <v>#N/A</v>
      </c>
      <c r="X166" s="523" t="e">
        <v>#N/A</v>
      </c>
      <c r="Y166" s="523" t="e">
        <v>#N/A</v>
      </c>
      <c r="Z166" s="523"/>
      <c r="AA166" s="523"/>
    </row>
    <row r="167" spans="1:27" x14ac:dyDescent="0.2">
      <c r="A167" s="222">
        <f>calculs!A167</f>
        <v>44718</v>
      </c>
      <c r="B167" s="523" t="e">
        <f ca="1">gr(données_step[[#This Row],[E_DBO5]])</f>
        <v>#NAME?</v>
      </c>
      <c r="C167" s="523" t="e">
        <f ca="1">gr(données_step[[#This Row],[E_DCO]])</f>
        <v>#NAME?</v>
      </c>
      <c r="D167" s="523" t="e">
        <f ca="1">gr(données_step[[#This Row],[E_COT]])</f>
        <v>#NAME?</v>
      </c>
      <c r="E167" s="523" t="e">
        <f ca="1">gr(données_step[[#This Row],[E_NH4]])</f>
        <v>#NAME?</v>
      </c>
      <c r="F167" s="523" t="e">
        <f ca="1">gr(données_step[[#This Row],[E_NTOT]])</f>
        <v>#NAME?</v>
      </c>
      <c r="G167" s="523" t="e">
        <f ca="1">gr(données_step[[#This Row],[E_PTOT]])</f>
        <v>#NAME?</v>
      </c>
      <c r="H167" s="523" t="e">
        <f ca="1">gr(données_step[[#This Row],[S_DBO5]])</f>
        <v>#NAME?</v>
      </c>
      <c r="I167" s="523" t="e">
        <f ca="1">gr(données_step[[#This Row],[S_DCO]])</f>
        <v>#NAME?</v>
      </c>
      <c r="J167" s="523" t="e">
        <f ca="1">gr(données_step[[#This Row],[S_COD]])</f>
        <v>#NAME?</v>
      </c>
      <c r="K167" s="523" t="e">
        <f ca="1">gr(données_step[[#This Row],[S_NH4]])</f>
        <v>#NAME?</v>
      </c>
      <c r="L167" s="523" t="e">
        <f ca="1">gr(données_step[[#This Row],[S_NO2]])</f>
        <v>#NAME?</v>
      </c>
      <c r="M167" s="523" t="e">
        <f ca="1">gr(données_step[[#This Row],[S_NO3]])</f>
        <v>#NAME?</v>
      </c>
      <c r="N167" s="523" t="e">
        <f ca="1">gr(données_step[[#This Row],[S_PORTH]])</f>
        <v>#NAME?</v>
      </c>
      <c r="O167" s="523" t="e">
        <f ca="1">gr(données_step[[#This Row],[S_PTOT]])</f>
        <v>#NAME?</v>
      </c>
      <c r="P167" s="523" t="e">
        <f ca="1">gr(données_step[[#This Row],[S_MES]])</f>
        <v>#NAME?</v>
      </c>
      <c r="Q167" s="523" t="e">
        <v>#N/A</v>
      </c>
      <c r="R167" s="523" t="e">
        <v>#N/A</v>
      </c>
      <c r="S167" s="523" t="e">
        <v>#N/A</v>
      </c>
      <c r="T167" s="523" t="e">
        <v>#N/A</v>
      </c>
      <c r="U167" s="523" t="e">
        <v>#N/A</v>
      </c>
      <c r="V167" s="523" t="e">
        <v>#N/A</v>
      </c>
      <c r="W167" s="523" t="e">
        <v>#N/A</v>
      </c>
      <c r="X167" s="523" t="e">
        <v>#N/A</v>
      </c>
      <c r="Y167" s="523" t="e">
        <v>#N/A</v>
      </c>
      <c r="Z167" s="523"/>
      <c r="AA167" s="523"/>
    </row>
    <row r="168" spans="1:27" x14ac:dyDescent="0.2">
      <c r="A168" s="222">
        <f>calculs!A168</f>
        <v>44719</v>
      </c>
      <c r="B168" s="523" t="e">
        <f ca="1">gr(données_step[[#This Row],[E_DBO5]])</f>
        <v>#NAME?</v>
      </c>
      <c r="C168" s="523" t="e">
        <f ca="1">gr(données_step[[#This Row],[E_DCO]])</f>
        <v>#NAME?</v>
      </c>
      <c r="D168" s="523" t="e">
        <f ca="1">gr(données_step[[#This Row],[E_COT]])</f>
        <v>#NAME?</v>
      </c>
      <c r="E168" s="523" t="e">
        <f ca="1">gr(données_step[[#This Row],[E_NH4]])</f>
        <v>#NAME?</v>
      </c>
      <c r="F168" s="523" t="e">
        <f ca="1">gr(données_step[[#This Row],[E_NTOT]])</f>
        <v>#NAME?</v>
      </c>
      <c r="G168" s="523" t="e">
        <f ca="1">gr(données_step[[#This Row],[E_PTOT]])</f>
        <v>#NAME?</v>
      </c>
      <c r="H168" s="523" t="e">
        <f ca="1">gr(données_step[[#This Row],[S_DBO5]])</f>
        <v>#NAME?</v>
      </c>
      <c r="I168" s="523" t="e">
        <f ca="1">gr(données_step[[#This Row],[S_DCO]])</f>
        <v>#NAME?</v>
      </c>
      <c r="J168" s="523" t="e">
        <f ca="1">gr(données_step[[#This Row],[S_COD]])</f>
        <v>#NAME?</v>
      </c>
      <c r="K168" s="523" t="e">
        <f ca="1">gr(données_step[[#This Row],[S_NH4]])</f>
        <v>#NAME?</v>
      </c>
      <c r="L168" s="523" t="e">
        <f ca="1">gr(données_step[[#This Row],[S_NO2]])</f>
        <v>#NAME?</v>
      </c>
      <c r="M168" s="523" t="e">
        <f ca="1">gr(données_step[[#This Row],[S_NO3]])</f>
        <v>#NAME?</v>
      </c>
      <c r="N168" s="523" t="e">
        <f ca="1">gr(données_step[[#This Row],[S_PORTH]])</f>
        <v>#NAME?</v>
      </c>
      <c r="O168" s="523" t="e">
        <f ca="1">gr(données_step[[#This Row],[S_PTOT]])</f>
        <v>#NAME?</v>
      </c>
      <c r="P168" s="523" t="e">
        <f ca="1">gr(données_step[[#This Row],[S_MES]])</f>
        <v>#NAME?</v>
      </c>
      <c r="Q168" s="523" t="e">
        <v>#N/A</v>
      </c>
      <c r="R168" s="523" t="e">
        <v>#N/A</v>
      </c>
      <c r="S168" s="523" t="e">
        <v>#N/A</v>
      </c>
      <c r="T168" s="523" t="e">
        <v>#N/A</v>
      </c>
      <c r="U168" s="523" t="e">
        <v>#N/A</v>
      </c>
      <c r="V168" s="523" t="e">
        <v>#N/A</v>
      </c>
      <c r="W168" s="523" t="e">
        <v>#N/A</v>
      </c>
      <c r="X168" s="523" t="e">
        <v>#N/A</v>
      </c>
      <c r="Y168" s="523" t="e">
        <v>#N/A</v>
      </c>
      <c r="Z168" s="523"/>
      <c r="AA168" s="523"/>
    </row>
    <row r="169" spans="1:27" x14ac:dyDescent="0.2">
      <c r="A169" s="222">
        <f>calculs!A169</f>
        <v>44720</v>
      </c>
      <c r="B169" s="523" t="e">
        <f ca="1">gr(données_step[[#This Row],[E_DBO5]])</f>
        <v>#NAME?</v>
      </c>
      <c r="C169" s="523" t="e">
        <f ca="1">gr(données_step[[#This Row],[E_DCO]])</f>
        <v>#NAME?</v>
      </c>
      <c r="D169" s="523" t="e">
        <f ca="1">gr(données_step[[#This Row],[E_COT]])</f>
        <v>#NAME?</v>
      </c>
      <c r="E169" s="523" t="e">
        <f ca="1">gr(données_step[[#This Row],[E_NH4]])</f>
        <v>#NAME?</v>
      </c>
      <c r="F169" s="523" t="e">
        <f ca="1">gr(données_step[[#This Row],[E_NTOT]])</f>
        <v>#NAME?</v>
      </c>
      <c r="G169" s="523" t="e">
        <f ca="1">gr(données_step[[#This Row],[E_PTOT]])</f>
        <v>#NAME?</v>
      </c>
      <c r="H169" s="523" t="e">
        <f ca="1">gr(données_step[[#This Row],[S_DBO5]])</f>
        <v>#NAME?</v>
      </c>
      <c r="I169" s="523" t="e">
        <f ca="1">gr(données_step[[#This Row],[S_DCO]])</f>
        <v>#NAME?</v>
      </c>
      <c r="J169" s="523" t="e">
        <f ca="1">gr(données_step[[#This Row],[S_COD]])</f>
        <v>#NAME?</v>
      </c>
      <c r="K169" s="523" t="e">
        <f ca="1">gr(données_step[[#This Row],[S_NH4]])</f>
        <v>#NAME?</v>
      </c>
      <c r="L169" s="523" t="e">
        <f ca="1">gr(données_step[[#This Row],[S_NO2]])</f>
        <v>#NAME?</v>
      </c>
      <c r="M169" s="523" t="e">
        <f ca="1">gr(données_step[[#This Row],[S_NO3]])</f>
        <v>#NAME?</v>
      </c>
      <c r="N169" s="523" t="e">
        <f ca="1">gr(données_step[[#This Row],[S_PORTH]])</f>
        <v>#NAME?</v>
      </c>
      <c r="O169" s="523" t="e">
        <f ca="1">gr(données_step[[#This Row],[S_PTOT]])</f>
        <v>#NAME?</v>
      </c>
      <c r="P169" s="523" t="e">
        <f ca="1">gr(données_step[[#This Row],[S_MES]])</f>
        <v>#NAME?</v>
      </c>
      <c r="Q169" s="523" t="e">
        <v>#N/A</v>
      </c>
      <c r="R169" s="523" t="e">
        <v>#N/A</v>
      </c>
      <c r="S169" s="523" t="e">
        <v>#N/A</v>
      </c>
      <c r="T169" s="523" t="e">
        <v>#N/A</v>
      </c>
      <c r="U169" s="523" t="e">
        <v>#N/A</v>
      </c>
      <c r="V169" s="523" t="e">
        <v>#N/A</v>
      </c>
      <c r="W169" s="523" t="e">
        <v>#N/A</v>
      </c>
      <c r="X169" s="523" t="e">
        <v>#N/A</v>
      </c>
      <c r="Y169" s="523" t="e">
        <v>#N/A</v>
      </c>
      <c r="Z169" s="523"/>
      <c r="AA169" s="523"/>
    </row>
    <row r="170" spans="1:27" x14ac:dyDescent="0.2">
      <c r="A170" s="222">
        <f>calculs!A170</f>
        <v>44721</v>
      </c>
      <c r="B170" s="523" t="e">
        <f ca="1">gr(données_step[[#This Row],[E_DBO5]])</f>
        <v>#NAME?</v>
      </c>
      <c r="C170" s="523" t="e">
        <f ca="1">gr(données_step[[#This Row],[E_DCO]])</f>
        <v>#NAME?</v>
      </c>
      <c r="D170" s="523" t="e">
        <f ca="1">gr(données_step[[#This Row],[E_COT]])</f>
        <v>#NAME?</v>
      </c>
      <c r="E170" s="523" t="e">
        <f ca="1">gr(données_step[[#This Row],[E_NH4]])</f>
        <v>#NAME?</v>
      </c>
      <c r="F170" s="523" t="e">
        <f ca="1">gr(données_step[[#This Row],[E_NTOT]])</f>
        <v>#NAME?</v>
      </c>
      <c r="G170" s="523" t="e">
        <f ca="1">gr(données_step[[#This Row],[E_PTOT]])</f>
        <v>#NAME?</v>
      </c>
      <c r="H170" s="523" t="e">
        <f ca="1">gr(données_step[[#This Row],[S_DBO5]])</f>
        <v>#NAME?</v>
      </c>
      <c r="I170" s="523" t="e">
        <f ca="1">gr(données_step[[#This Row],[S_DCO]])</f>
        <v>#NAME?</v>
      </c>
      <c r="J170" s="523" t="e">
        <f ca="1">gr(données_step[[#This Row],[S_COD]])</f>
        <v>#NAME?</v>
      </c>
      <c r="K170" s="523" t="e">
        <f ca="1">gr(données_step[[#This Row],[S_NH4]])</f>
        <v>#NAME?</v>
      </c>
      <c r="L170" s="523" t="e">
        <f ca="1">gr(données_step[[#This Row],[S_NO2]])</f>
        <v>#NAME?</v>
      </c>
      <c r="M170" s="523" t="e">
        <f ca="1">gr(données_step[[#This Row],[S_NO3]])</f>
        <v>#NAME?</v>
      </c>
      <c r="N170" s="523" t="e">
        <f ca="1">gr(données_step[[#This Row],[S_PORTH]])</f>
        <v>#NAME?</v>
      </c>
      <c r="O170" s="523" t="e">
        <f ca="1">gr(données_step[[#This Row],[S_PTOT]])</f>
        <v>#NAME?</v>
      </c>
      <c r="P170" s="523" t="e">
        <f ca="1">gr(données_step[[#This Row],[S_MES]])</f>
        <v>#NAME?</v>
      </c>
      <c r="Q170" s="523" t="e">
        <v>#N/A</v>
      </c>
      <c r="R170" s="523" t="e">
        <v>#N/A</v>
      </c>
      <c r="S170" s="523" t="e">
        <v>#N/A</v>
      </c>
      <c r="T170" s="523" t="e">
        <v>#N/A</v>
      </c>
      <c r="U170" s="523" t="e">
        <v>#N/A</v>
      </c>
      <c r="V170" s="523" t="e">
        <v>#N/A</v>
      </c>
      <c r="W170" s="523" t="e">
        <v>#N/A</v>
      </c>
      <c r="X170" s="523" t="e">
        <v>#N/A</v>
      </c>
      <c r="Y170" s="523" t="e">
        <v>#N/A</v>
      </c>
      <c r="Z170" s="523"/>
      <c r="AA170" s="523"/>
    </row>
    <row r="171" spans="1:27" x14ac:dyDescent="0.2">
      <c r="A171" s="222">
        <f>calculs!A171</f>
        <v>44722</v>
      </c>
      <c r="B171" s="523" t="e">
        <f ca="1">gr(données_step[[#This Row],[E_DBO5]])</f>
        <v>#NAME?</v>
      </c>
      <c r="C171" s="523" t="e">
        <f ca="1">gr(données_step[[#This Row],[E_DCO]])</f>
        <v>#NAME?</v>
      </c>
      <c r="D171" s="523" t="e">
        <f ca="1">gr(données_step[[#This Row],[E_COT]])</f>
        <v>#NAME?</v>
      </c>
      <c r="E171" s="523" t="e">
        <f ca="1">gr(données_step[[#This Row],[E_NH4]])</f>
        <v>#NAME?</v>
      </c>
      <c r="F171" s="523" t="e">
        <f ca="1">gr(données_step[[#This Row],[E_NTOT]])</f>
        <v>#NAME?</v>
      </c>
      <c r="G171" s="523" t="e">
        <f ca="1">gr(données_step[[#This Row],[E_PTOT]])</f>
        <v>#NAME?</v>
      </c>
      <c r="H171" s="523" t="e">
        <f ca="1">gr(données_step[[#This Row],[S_DBO5]])</f>
        <v>#NAME?</v>
      </c>
      <c r="I171" s="523" t="e">
        <f ca="1">gr(données_step[[#This Row],[S_DCO]])</f>
        <v>#NAME?</v>
      </c>
      <c r="J171" s="523" t="e">
        <f ca="1">gr(données_step[[#This Row],[S_COD]])</f>
        <v>#NAME?</v>
      </c>
      <c r="K171" s="523" t="e">
        <f ca="1">gr(données_step[[#This Row],[S_NH4]])</f>
        <v>#NAME?</v>
      </c>
      <c r="L171" s="523" t="e">
        <f ca="1">gr(données_step[[#This Row],[S_NO2]])</f>
        <v>#NAME?</v>
      </c>
      <c r="M171" s="523" t="e">
        <f ca="1">gr(données_step[[#This Row],[S_NO3]])</f>
        <v>#NAME?</v>
      </c>
      <c r="N171" s="523" t="e">
        <f ca="1">gr(données_step[[#This Row],[S_PORTH]])</f>
        <v>#NAME?</v>
      </c>
      <c r="O171" s="523" t="e">
        <f ca="1">gr(données_step[[#This Row],[S_PTOT]])</f>
        <v>#NAME?</v>
      </c>
      <c r="P171" s="523" t="e">
        <f ca="1">gr(données_step[[#This Row],[S_MES]])</f>
        <v>#NAME?</v>
      </c>
      <c r="Q171" s="523" t="e">
        <v>#N/A</v>
      </c>
      <c r="R171" s="523" t="e">
        <v>#N/A</v>
      </c>
      <c r="S171" s="523" t="e">
        <v>#N/A</v>
      </c>
      <c r="T171" s="523" t="e">
        <v>#N/A</v>
      </c>
      <c r="U171" s="523" t="e">
        <v>#N/A</v>
      </c>
      <c r="V171" s="523" t="e">
        <v>#N/A</v>
      </c>
      <c r="W171" s="523" t="e">
        <v>#N/A</v>
      </c>
      <c r="X171" s="523" t="e">
        <v>#N/A</v>
      </c>
      <c r="Y171" s="523" t="e">
        <v>#N/A</v>
      </c>
      <c r="Z171" s="523"/>
      <c r="AA171" s="523"/>
    </row>
    <row r="172" spans="1:27" x14ac:dyDescent="0.2">
      <c r="A172" s="222">
        <f>calculs!A172</f>
        <v>44723</v>
      </c>
      <c r="B172" s="523" t="e">
        <f ca="1">gr(données_step[[#This Row],[E_DBO5]])</f>
        <v>#NAME?</v>
      </c>
      <c r="C172" s="523" t="e">
        <f ca="1">gr(données_step[[#This Row],[E_DCO]])</f>
        <v>#NAME?</v>
      </c>
      <c r="D172" s="523" t="e">
        <f ca="1">gr(données_step[[#This Row],[E_COT]])</f>
        <v>#NAME?</v>
      </c>
      <c r="E172" s="523" t="e">
        <f ca="1">gr(données_step[[#This Row],[E_NH4]])</f>
        <v>#NAME?</v>
      </c>
      <c r="F172" s="523" t="e">
        <f ca="1">gr(données_step[[#This Row],[E_NTOT]])</f>
        <v>#NAME?</v>
      </c>
      <c r="G172" s="523" t="e">
        <f ca="1">gr(données_step[[#This Row],[E_PTOT]])</f>
        <v>#NAME?</v>
      </c>
      <c r="H172" s="523" t="e">
        <f ca="1">gr(données_step[[#This Row],[S_DBO5]])</f>
        <v>#NAME?</v>
      </c>
      <c r="I172" s="523" t="e">
        <f ca="1">gr(données_step[[#This Row],[S_DCO]])</f>
        <v>#NAME?</v>
      </c>
      <c r="J172" s="523" t="e">
        <f ca="1">gr(données_step[[#This Row],[S_COD]])</f>
        <v>#NAME?</v>
      </c>
      <c r="K172" s="523" t="e">
        <f ca="1">gr(données_step[[#This Row],[S_NH4]])</f>
        <v>#NAME?</v>
      </c>
      <c r="L172" s="523" t="e">
        <f ca="1">gr(données_step[[#This Row],[S_NO2]])</f>
        <v>#NAME?</v>
      </c>
      <c r="M172" s="523" t="e">
        <f ca="1">gr(données_step[[#This Row],[S_NO3]])</f>
        <v>#NAME?</v>
      </c>
      <c r="N172" s="523" t="e">
        <f ca="1">gr(données_step[[#This Row],[S_PORTH]])</f>
        <v>#NAME?</v>
      </c>
      <c r="O172" s="523" t="e">
        <f ca="1">gr(données_step[[#This Row],[S_PTOT]])</f>
        <v>#NAME?</v>
      </c>
      <c r="P172" s="523" t="e">
        <f ca="1">gr(données_step[[#This Row],[S_MES]])</f>
        <v>#NAME?</v>
      </c>
      <c r="Q172" s="523" t="e">
        <v>#N/A</v>
      </c>
      <c r="R172" s="523" t="e">
        <v>#N/A</v>
      </c>
      <c r="S172" s="523" t="e">
        <v>#N/A</v>
      </c>
      <c r="T172" s="523" t="e">
        <v>#N/A</v>
      </c>
      <c r="U172" s="523" t="e">
        <v>#N/A</v>
      </c>
      <c r="V172" s="523" t="e">
        <v>#N/A</v>
      </c>
      <c r="W172" s="523" t="e">
        <v>#N/A</v>
      </c>
      <c r="X172" s="523" t="e">
        <v>#N/A</v>
      </c>
      <c r="Y172" s="523" t="e">
        <v>#N/A</v>
      </c>
      <c r="Z172" s="523"/>
      <c r="AA172" s="523"/>
    </row>
    <row r="173" spans="1:27" x14ac:dyDescent="0.2">
      <c r="A173" s="222">
        <f>calculs!A173</f>
        <v>44724</v>
      </c>
      <c r="B173" s="523" t="e">
        <f ca="1">gr(données_step[[#This Row],[E_DBO5]])</f>
        <v>#NAME?</v>
      </c>
      <c r="C173" s="523" t="e">
        <f ca="1">gr(données_step[[#This Row],[E_DCO]])</f>
        <v>#NAME?</v>
      </c>
      <c r="D173" s="523" t="e">
        <f ca="1">gr(données_step[[#This Row],[E_COT]])</f>
        <v>#NAME?</v>
      </c>
      <c r="E173" s="523" t="e">
        <f ca="1">gr(données_step[[#This Row],[E_NH4]])</f>
        <v>#NAME?</v>
      </c>
      <c r="F173" s="523" t="e">
        <f ca="1">gr(données_step[[#This Row],[E_NTOT]])</f>
        <v>#NAME?</v>
      </c>
      <c r="G173" s="523" t="e">
        <f ca="1">gr(données_step[[#This Row],[E_PTOT]])</f>
        <v>#NAME?</v>
      </c>
      <c r="H173" s="523" t="e">
        <f ca="1">gr(données_step[[#This Row],[S_DBO5]])</f>
        <v>#NAME?</v>
      </c>
      <c r="I173" s="523" t="e">
        <f ca="1">gr(données_step[[#This Row],[S_DCO]])</f>
        <v>#NAME?</v>
      </c>
      <c r="J173" s="523" t="e">
        <f ca="1">gr(données_step[[#This Row],[S_COD]])</f>
        <v>#NAME?</v>
      </c>
      <c r="K173" s="523" t="e">
        <f ca="1">gr(données_step[[#This Row],[S_NH4]])</f>
        <v>#NAME?</v>
      </c>
      <c r="L173" s="523" t="e">
        <f ca="1">gr(données_step[[#This Row],[S_NO2]])</f>
        <v>#NAME?</v>
      </c>
      <c r="M173" s="523" t="e">
        <f ca="1">gr(données_step[[#This Row],[S_NO3]])</f>
        <v>#NAME?</v>
      </c>
      <c r="N173" s="523" t="e">
        <f ca="1">gr(données_step[[#This Row],[S_PORTH]])</f>
        <v>#NAME?</v>
      </c>
      <c r="O173" s="523" t="e">
        <f ca="1">gr(données_step[[#This Row],[S_PTOT]])</f>
        <v>#NAME?</v>
      </c>
      <c r="P173" s="523" t="e">
        <f ca="1">gr(données_step[[#This Row],[S_MES]])</f>
        <v>#NAME?</v>
      </c>
      <c r="Q173" s="523" t="e">
        <v>#N/A</v>
      </c>
      <c r="R173" s="523" t="e">
        <v>#N/A</v>
      </c>
      <c r="S173" s="523" t="e">
        <v>#N/A</v>
      </c>
      <c r="T173" s="523" t="e">
        <v>#N/A</v>
      </c>
      <c r="U173" s="523" t="e">
        <v>#N/A</v>
      </c>
      <c r="V173" s="523" t="e">
        <v>#N/A</v>
      </c>
      <c r="W173" s="523" t="e">
        <v>#N/A</v>
      </c>
      <c r="X173" s="523" t="e">
        <v>#N/A</v>
      </c>
      <c r="Y173" s="523" t="e">
        <v>#N/A</v>
      </c>
      <c r="Z173" s="523"/>
      <c r="AA173" s="523"/>
    </row>
    <row r="174" spans="1:27" x14ac:dyDescent="0.2">
      <c r="A174" s="222">
        <f>calculs!A174</f>
        <v>44725</v>
      </c>
      <c r="B174" s="523" t="e">
        <f ca="1">gr(données_step[[#This Row],[E_DBO5]])</f>
        <v>#NAME?</v>
      </c>
      <c r="C174" s="523" t="e">
        <f ca="1">gr(données_step[[#This Row],[E_DCO]])</f>
        <v>#NAME?</v>
      </c>
      <c r="D174" s="523" t="e">
        <f ca="1">gr(données_step[[#This Row],[E_COT]])</f>
        <v>#NAME?</v>
      </c>
      <c r="E174" s="523" t="e">
        <f ca="1">gr(données_step[[#This Row],[E_NH4]])</f>
        <v>#NAME?</v>
      </c>
      <c r="F174" s="523" t="e">
        <f ca="1">gr(données_step[[#This Row],[E_NTOT]])</f>
        <v>#NAME?</v>
      </c>
      <c r="G174" s="523" t="e">
        <f ca="1">gr(données_step[[#This Row],[E_PTOT]])</f>
        <v>#NAME?</v>
      </c>
      <c r="H174" s="523" t="e">
        <f ca="1">gr(données_step[[#This Row],[S_DBO5]])</f>
        <v>#NAME?</v>
      </c>
      <c r="I174" s="523" t="e">
        <f ca="1">gr(données_step[[#This Row],[S_DCO]])</f>
        <v>#NAME?</v>
      </c>
      <c r="J174" s="523" t="e">
        <f ca="1">gr(données_step[[#This Row],[S_COD]])</f>
        <v>#NAME?</v>
      </c>
      <c r="K174" s="523" t="e">
        <f ca="1">gr(données_step[[#This Row],[S_NH4]])</f>
        <v>#NAME?</v>
      </c>
      <c r="L174" s="523" t="e">
        <f ca="1">gr(données_step[[#This Row],[S_NO2]])</f>
        <v>#NAME?</v>
      </c>
      <c r="M174" s="523" t="e">
        <f ca="1">gr(données_step[[#This Row],[S_NO3]])</f>
        <v>#NAME?</v>
      </c>
      <c r="N174" s="523" t="e">
        <f ca="1">gr(données_step[[#This Row],[S_PORTH]])</f>
        <v>#NAME?</v>
      </c>
      <c r="O174" s="523" t="e">
        <f ca="1">gr(données_step[[#This Row],[S_PTOT]])</f>
        <v>#NAME?</v>
      </c>
      <c r="P174" s="523" t="e">
        <f ca="1">gr(données_step[[#This Row],[S_MES]])</f>
        <v>#NAME?</v>
      </c>
      <c r="Q174" s="523" t="e">
        <v>#N/A</v>
      </c>
      <c r="R174" s="523" t="e">
        <v>#N/A</v>
      </c>
      <c r="S174" s="523" t="e">
        <v>#N/A</v>
      </c>
      <c r="T174" s="523" t="e">
        <v>#N/A</v>
      </c>
      <c r="U174" s="523" t="e">
        <v>#N/A</v>
      </c>
      <c r="V174" s="523" t="e">
        <v>#N/A</v>
      </c>
      <c r="W174" s="523" t="e">
        <v>#N/A</v>
      </c>
      <c r="X174" s="523" t="e">
        <v>#N/A</v>
      </c>
      <c r="Y174" s="523" t="e">
        <v>#N/A</v>
      </c>
      <c r="Z174" s="523"/>
      <c r="AA174" s="523"/>
    </row>
    <row r="175" spans="1:27" x14ac:dyDescent="0.2">
      <c r="A175" s="222">
        <f>calculs!A175</f>
        <v>44726</v>
      </c>
      <c r="B175" s="523" t="e">
        <f ca="1">gr(données_step[[#This Row],[E_DBO5]])</f>
        <v>#NAME?</v>
      </c>
      <c r="C175" s="523" t="e">
        <f ca="1">gr(données_step[[#This Row],[E_DCO]])</f>
        <v>#NAME?</v>
      </c>
      <c r="D175" s="523" t="e">
        <f ca="1">gr(données_step[[#This Row],[E_COT]])</f>
        <v>#NAME?</v>
      </c>
      <c r="E175" s="523" t="e">
        <f ca="1">gr(données_step[[#This Row],[E_NH4]])</f>
        <v>#NAME?</v>
      </c>
      <c r="F175" s="523" t="e">
        <f ca="1">gr(données_step[[#This Row],[E_NTOT]])</f>
        <v>#NAME?</v>
      </c>
      <c r="G175" s="523" t="e">
        <f ca="1">gr(données_step[[#This Row],[E_PTOT]])</f>
        <v>#NAME?</v>
      </c>
      <c r="H175" s="523" t="e">
        <f ca="1">gr(données_step[[#This Row],[S_DBO5]])</f>
        <v>#NAME?</v>
      </c>
      <c r="I175" s="523" t="e">
        <f ca="1">gr(données_step[[#This Row],[S_DCO]])</f>
        <v>#NAME?</v>
      </c>
      <c r="J175" s="523" t="e">
        <f ca="1">gr(données_step[[#This Row],[S_COD]])</f>
        <v>#NAME?</v>
      </c>
      <c r="K175" s="523" t="e">
        <f ca="1">gr(données_step[[#This Row],[S_NH4]])</f>
        <v>#NAME?</v>
      </c>
      <c r="L175" s="523" t="e">
        <f ca="1">gr(données_step[[#This Row],[S_NO2]])</f>
        <v>#NAME?</v>
      </c>
      <c r="M175" s="523" t="e">
        <f ca="1">gr(données_step[[#This Row],[S_NO3]])</f>
        <v>#NAME?</v>
      </c>
      <c r="N175" s="523" t="e">
        <f ca="1">gr(données_step[[#This Row],[S_PORTH]])</f>
        <v>#NAME?</v>
      </c>
      <c r="O175" s="523" t="e">
        <f ca="1">gr(données_step[[#This Row],[S_PTOT]])</f>
        <v>#NAME?</v>
      </c>
      <c r="P175" s="523" t="e">
        <f ca="1">gr(données_step[[#This Row],[S_MES]])</f>
        <v>#NAME?</v>
      </c>
      <c r="Q175" s="523" t="e">
        <v>#N/A</v>
      </c>
      <c r="R175" s="523" t="e">
        <v>#N/A</v>
      </c>
      <c r="S175" s="523" t="e">
        <v>#N/A</v>
      </c>
      <c r="T175" s="523" t="e">
        <v>#N/A</v>
      </c>
      <c r="U175" s="523" t="e">
        <v>#N/A</v>
      </c>
      <c r="V175" s="523" t="e">
        <v>#N/A</v>
      </c>
      <c r="W175" s="523" t="e">
        <v>#N/A</v>
      </c>
      <c r="X175" s="523" t="e">
        <v>#N/A</v>
      </c>
      <c r="Y175" s="523" t="e">
        <v>#N/A</v>
      </c>
      <c r="Z175" s="523"/>
      <c r="AA175" s="523"/>
    </row>
    <row r="176" spans="1:27" x14ac:dyDescent="0.2">
      <c r="A176" s="222">
        <f>calculs!A176</f>
        <v>44727</v>
      </c>
      <c r="B176" s="523" t="e">
        <f ca="1">gr(données_step[[#This Row],[E_DBO5]])</f>
        <v>#NAME?</v>
      </c>
      <c r="C176" s="523" t="e">
        <f ca="1">gr(données_step[[#This Row],[E_DCO]])</f>
        <v>#NAME?</v>
      </c>
      <c r="D176" s="523" t="e">
        <f ca="1">gr(données_step[[#This Row],[E_COT]])</f>
        <v>#NAME?</v>
      </c>
      <c r="E176" s="523" t="e">
        <f ca="1">gr(données_step[[#This Row],[E_NH4]])</f>
        <v>#NAME?</v>
      </c>
      <c r="F176" s="523" t="e">
        <f ca="1">gr(données_step[[#This Row],[E_NTOT]])</f>
        <v>#NAME?</v>
      </c>
      <c r="G176" s="523" t="e">
        <f ca="1">gr(données_step[[#This Row],[E_PTOT]])</f>
        <v>#NAME?</v>
      </c>
      <c r="H176" s="523" t="e">
        <f ca="1">gr(données_step[[#This Row],[S_DBO5]])</f>
        <v>#NAME?</v>
      </c>
      <c r="I176" s="523" t="e">
        <f ca="1">gr(données_step[[#This Row],[S_DCO]])</f>
        <v>#NAME?</v>
      </c>
      <c r="J176" s="523" t="e">
        <f ca="1">gr(données_step[[#This Row],[S_COD]])</f>
        <v>#NAME?</v>
      </c>
      <c r="K176" s="523" t="e">
        <f ca="1">gr(données_step[[#This Row],[S_NH4]])</f>
        <v>#NAME?</v>
      </c>
      <c r="L176" s="523" t="e">
        <f ca="1">gr(données_step[[#This Row],[S_NO2]])</f>
        <v>#NAME?</v>
      </c>
      <c r="M176" s="523" t="e">
        <f ca="1">gr(données_step[[#This Row],[S_NO3]])</f>
        <v>#NAME?</v>
      </c>
      <c r="N176" s="523" t="e">
        <f ca="1">gr(données_step[[#This Row],[S_PORTH]])</f>
        <v>#NAME?</v>
      </c>
      <c r="O176" s="523" t="e">
        <f ca="1">gr(données_step[[#This Row],[S_PTOT]])</f>
        <v>#NAME?</v>
      </c>
      <c r="P176" s="523" t="e">
        <f ca="1">gr(données_step[[#This Row],[S_MES]])</f>
        <v>#NAME?</v>
      </c>
      <c r="Q176" s="523" t="e">
        <v>#N/A</v>
      </c>
      <c r="R176" s="523" t="e">
        <v>#N/A</v>
      </c>
      <c r="S176" s="523" t="e">
        <v>#N/A</v>
      </c>
      <c r="T176" s="523" t="e">
        <v>#N/A</v>
      </c>
      <c r="U176" s="523" t="e">
        <v>#N/A</v>
      </c>
      <c r="V176" s="523" t="e">
        <v>#N/A</v>
      </c>
      <c r="W176" s="523" t="e">
        <v>#N/A</v>
      </c>
      <c r="X176" s="523" t="e">
        <v>#N/A</v>
      </c>
      <c r="Y176" s="523" t="e">
        <v>#N/A</v>
      </c>
      <c r="Z176" s="523"/>
      <c r="AA176" s="523"/>
    </row>
    <row r="177" spans="1:27" x14ac:dyDescent="0.2">
      <c r="A177" s="222">
        <f>calculs!A177</f>
        <v>44728</v>
      </c>
      <c r="B177" s="523" t="e">
        <f ca="1">gr(données_step[[#This Row],[E_DBO5]])</f>
        <v>#NAME?</v>
      </c>
      <c r="C177" s="523" t="e">
        <f ca="1">gr(données_step[[#This Row],[E_DCO]])</f>
        <v>#NAME?</v>
      </c>
      <c r="D177" s="523" t="e">
        <f ca="1">gr(données_step[[#This Row],[E_COT]])</f>
        <v>#NAME?</v>
      </c>
      <c r="E177" s="523" t="e">
        <f ca="1">gr(données_step[[#This Row],[E_NH4]])</f>
        <v>#NAME?</v>
      </c>
      <c r="F177" s="523" t="e">
        <f ca="1">gr(données_step[[#This Row],[E_NTOT]])</f>
        <v>#NAME?</v>
      </c>
      <c r="G177" s="523" t="e">
        <f ca="1">gr(données_step[[#This Row],[E_PTOT]])</f>
        <v>#NAME?</v>
      </c>
      <c r="H177" s="523" t="e">
        <f ca="1">gr(données_step[[#This Row],[S_DBO5]])</f>
        <v>#NAME?</v>
      </c>
      <c r="I177" s="523" t="e">
        <f ca="1">gr(données_step[[#This Row],[S_DCO]])</f>
        <v>#NAME?</v>
      </c>
      <c r="J177" s="523" t="e">
        <f ca="1">gr(données_step[[#This Row],[S_COD]])</f>
        <v>#NAME?</v>
      </c>
      <c r="K177" s="523" t="e">
        <f ca="1">gr(données_step[[#This Row],[S_NH4]])</f>
        <v>#NAME?</v>
      </c>
      <c r="L177" s="523" t="e">
        <f ca="1">gr(données_step[[#This Row],[S_NO2]])</f>
        <v>#NAME?</v>
      </c>
      <c r="M177" s="523" t="e">
        <f ca="1">gr(données_step[[#This Row],[S_NO3]])</f>
        <v>#NAME?</v>
      </c>
      <c r="N177" s="523" t="e">
        <f ca="1">gr(données_step[[#This Row],[S_PORTH]])</f>
        <v>#NAME?</v>
      </c>
      <c r="O177" s="523" t="e">
        <f ca="1">gr(données_step[[#This Row],[S_PTOT]])</f>
        <v>#NAME?</v>
      </c>
      <c r="P177" s="523" t="e">
        <f ca="1">gr(données_step[[#This Row],[S_MES]])</f>
        <v>#NAME?</v>
      </c>
      <c r="Q177" s="523" t="e">
        <v>#N/A</v>
      </c>
      <c r="R177" s="523" t="e">
        <v>#N/A</v>
      </c>
      <c r="S177" s="523" t="e">
        <v>#N/A</v>
      </c>
      <c r="T177" s="523" t="e">
        <v>#N/A</v>
      </c>
      <c r="U177" s="523" t="e">
        <v>#N/A</v>
      </c>
      <c r="V177" s="523" t="e">
        <v>#N/A</v>
      </c>
      <c r="W177" s="523" t="e">
        <v>#N/A</v>
      </c>
      <c r="X177" s="523" t="e">
        <v>#N/A</v>
      </c>
      <c r="Y177" s="523" t="e">
        <v>#N/A</v>
      </c>
      <c r="Z177" s="523"/>
      <c r="AA177" s="523"/>
    </row>
    <row r="178" spans="1:27" x14ac:dyDescent="0.2">
      <c r="A178" s="222">
        <f>calculs!A178</f>
        <v>44729</v>
      </c>
      <c r="B178" s="523" t="e">
        <f ca="1">gr(données_step[[#This Row],[E_DBO5]])</f>
        <v>#NAME?</v>
      </c>
      <c r="C178" s="523" t="e">
        <f ca="1">gr(données_step[[#This Row],[E_DCO]])</f>
        <v>#NAME?</v>
      </c>
      <c r="D178" s="523" t="e">
        <f ca="1">gr(données_step[[#This Row],[E_COT]])</f>
        <v>#NAME?</v>
      </c>
      <c r="E178" s="523" t="e">
        <f ca="1">gr(données_step[[#This Row],[E_NH4]])</f>
        <v>#NAME?</v>
      </c>
      <c r="F178" s="523" t="e">
        <f ca="1">gr(données_step[[#This Row],[E_NTOT]])</f>
        <v>#NAME?</v>
      </c>
      <c r="G178" s="523" t="e">
        <f ca="1">gr(données_step[[#This Row],[E_PTOT]])</f>
        <v>#NAME?</v>
      </c>
      <c r="H178" s="523" t="e">
        <f ca="1">gr(données_step[[#This Row],[S_DBO5]])</f>
        <v>#NAME?</v>
      </c>
      <c r="I178" s="523" t="e">
        <f ca="1">gr(données_step[[#This Row],[S_DCO]])</f>
        <v>#NAME?</v>
      </c>
      <c r="J178" s="523" t="e">
        <f ca="1">gr(données_step[[#This Row],[S_COD]])</f>
        <v>#NAME?</v>
      </c>
      <c r="K178" s="523" t="e">
        <f ca="1">gr(données_step[[#This Row],[S_NH4]])</f>
        <v>#NAME?</v>
      </c>
      <c r="L178" s="523" t="e">
        <f ca="1">gr(données_step[[#This Row],[S_NO2]])</f>
        <v>#NAME?</v>
      </c>
      <c r="M178" s="523" t="e">
        <f ca="1">gr(données_step[[#This Row],[S_NO3]])</f>
        <v>#NAME?</v>
      </c>
      <c r="N178" s="523" t="e">
        <f ca="1">gr(données_step[[#This Row],[S_PORTH]])</f>
        <v>#NAME?</v>
      </c>
      <c r="O178" s="523" t="e">
        <f ca="1">gr(données_step[[#This Row],[S_PTOT]])</f>
        <v>#NAME?</v>
      </c>
      <c r="P178" s="523" t="e">
        <f ca="1">gr(données_step[[#This Row],[S_MES]])</f>
        <v>#NAME?</v>
      </c>
      <c r="Q178" s="523" t="e">
        <v>#N/A</v>
      </c>
      <c r="R178" s="523" t="e">
        <v>#N/A</v>
      </c>
      <c r="S178" s="523" t="e">
        <v>#N/A</v>
      </c>
      <c r="T178" s="523" t="e">
        <v>#N/A</v>
      </c>
      <c r="U178" s="523" t="e">
        <v>#N/A</v>
      </c>
      <c r="V178" s="523" t="e">
        <v>#N/A</v>
      </c>
      <c r="W178" s="523" t="e">
        <v>#N/A</v>
      </c>
      <c r="X178" s="523" t="e">
        <v>#N/A</v>
      </c>
      <c r="Y178" s="523" t="e">
        <v>#N/A</v>
      </c>
      <c r="Z178" s="523"/>
      <c r="AA178" s="523"/>
    </row>
    <row r="179" spans="1:27" x14ac:dyDescent="0.2">
      <c r="A179" s="222">
        <f>calculs!A179</f>
        <v>44730</v>
      </c>
      <c r="B179" s="523" t="e">
        <f ca="1">gr(données_step[[#This Row],[E_DBO5]])</f>
        <v>#NAME?</v>
      </c>
      <c r="C179" s="523" t="e">
        <f ca="1">gr(données_step[[#This Row],[E_DCO]])</f>
        <v>#NAME?</v>
      </c>
      <c r="D179" s="523" t="e">
        <f ca="1">gr(données_step[[#This Row],[E_COT]])</f>
        <v>#NAME?</v>
      </c>
      <c r="E179" s="523" t="e">
        <f ca="1">gr(données_step[[#This Row],[E_NH4]])</f>
        <v>#NAME?</v>
      </c>
      <c r="F179" s="523" t="e">
        <f ca="1">gr(données_step[[#This Row],[E_NTOT]])</f>
        <v>#NAME?</v>
      </c>
      <c r="G179" s="523" t="e">
        <f ca="1">gr(données_step[[#This Row],[E_PTOT]])</f>
        <v>#NAME?</v>
      </c>
      <c r="H179" s="523" t="e">
        <f ca="1">gr(données_step[[#This Row],[S_DBO5]])</f>
        <v>#NAME?</v>
      </c>
      <c r="I179" s="523" t="e">
        <f ca="1">gr(données_step[[#This Row],[S_DCO]])</f>
        <v>#NAME?</v>
      </c>
      <c r="J179" s="523" t="e">
        <f ca="1">gr(données_step[[#This Row],[S_COD]])</f>
        <v>#NAME?</v>
      </c>
      <c r="K179" s="523" t="e">
        <f ca="1">gr(données_step[[#This Row],[S_NH4]])</f>
        <v>#NAME?</v>
      </c>
      <c r="L179" s="523" t="e">
        <f ca="1">gr(données_step[[#This Row],[S_NO2]])</f>
        <v>#NAME?</v>
      </c>
      <c r="M179" s="523" t="e">
        <f ca="1">gr(données_step[[#This Row],[S_NO3]])</f>
        <v>#NAME?</v>
      </c>
      <c r="N179" s="523" t="e">
        <f ca="1">gr(données_step[[#This Row],[S_PORTH]])</f>
        <v>#NAME?</v>
      </c>
      <c r="O179" s="523" t="e">
        <f ca="1">gr(données_step[[#This Row],[S_PTOT]])</f>
        <v>#NAME?</v>
      </c>
      <c r="P179" s="523" t="e">
        <f ca="1">gr(données_step[[#This Row],[S_MES]])</f>
        <v>#NAME?</v>
      </c>
      <c r="Q179" s="523" t="e">
        <v>#N/A</v>
      </c>
      <c r="R179" s="523" t="e">
        <v>#N/A</v>
      </c>
      <c r="S179" s="523" t="e">
        <v>#N/A</v>
      </c>
      <c r="T179" s="523" t="e">
        <v>#N/A</v>
      </c>
      <c r="U179" s="523" t="e">
        <v>#N/A</v>
      </c>
      <c r="V179" s="523" t="e">
        <v>#N/A</v>
      </c>
      <c r="W179" s="523" t="e">
        <v>#N/A</v>
      </c>
      <c r="X179" s="523" t="e">
        <v>#N/A</v>
      </c>
      <c r="Y179" s="523" t="e">
        <v>#N/A</v>
      </c>
      <c r="Z179" s="523"/>
      <c r="AA179" s="523"/>
    </row>
    <row r="180" spans="1:27" x14ac:dyDescent="0.2">
      <c r="A180" s="222">
        <f>calculs!A180</f>
        <v>44731</v>
      </c>
      <c r="B180" s="523" t="e">
        <f ca="1">gr(données_step[[#This Row],[E_DBO5]])</f>
        <v>#NAME?</v>
      </c>
      <c r="C180" s="523" t="e">
        <f ca="1">gr(données_step[[#This Row],[E_DCO]])</f>
        <v>#NAME?</v>
      </c>
      <c r="D180" s="523" t="e">
        <f ca="1">gr(données_step[[#This Row],[E_COT]])</f>
        <v>#NAME?</v>
      </c>
      <c r="E180" s="523" t="e">
        <f ca="1">gr(données_step[[#This Row],[E_NH4]])</f>
        <v>#NAME?</v>
      </c>
      <c r="F180" s="523" t="e">
        <f ca="1">gr(données_step[[#This Row],[E_NTOT]])</f>
        <v>#NAME?</v>
      </c>
      <c r="G180" s="523" t="e">
        <f ca="1">gr(données_step[[#This Row],[E_PTOT]])</f>
        <v>#NAME?</v>
      </c>
      <c r="H180" s="523" t="e">
        <f ca="1">gr(données_step[[#This Row],[S_DBO5]])</f>
        <v>#NAME?</v>
      </c>
      <c r="I180" s="523" t="e">
        <f ca="1">gr(données_step[[#This Row],[S_DCO]])</f>
        <v>#NAME?</v>
      </c>
      <c r="J180" s="523" t="e">
        <f ca="1">gr(données_step[[#This Row],[S_COD]])</f>
        <v>#NAME?</v>
      </c>
      <c r="K180" s="523" t="e">
        <f ca="1">gr(données_step[[#This Row],[S_NH4]])</f>
        <v>#NAME?</v>
      </c>
      <c r="L180" s="523" t="e">
        <f ca="1">gr(données_step[[#This Row],[S_NO2]])</f>
        <v>#NAME?</v>
      </c>
      <c r="M180" s="523" t="e">
        <f ca="1">gr(données_step[[#This Row],[S_NO3]])</f>
        <v>#NAME?</v>
      </c>
      <c r="N180" s="523" t="e">
        <f ca="1">gr(données_step[[#This Row],[S_PORTH]])</f>
        <v>#NAME?</v>
      </c>
      <c r="O180" s="523" t="e">
        <f ca="1">gr(données_step[[#This Row],[S_PTOT]])</f>
        <v>#NAME?</v>
      </c>
      <c r="P180" s="523" t="e">
        <f ca="1">gr(données_step[[#This Row],[S_MES]])</f>
        <v>#NAME?</v>
      </c>
      <c r="Q180" s="523" t="e">
        <v>#N/A</v>
      </c>
      <c r="R180" s="523" t="e">
        <v>#N/A</v>
      </c>
      <c r="S180" s="523" t="e">
        <v>#N/A</v>
      </c>
      <c r="T180" s="523" t="e">
        <v>#N/A</v>
      </c>
      <c r="U180" s="523" t="e">
        <v>#N/A</v>
      </c>
      <c r="V180" s="523" t="e">
        <v>#N/A</v>
      </c>
      <c r="W180" s="523" t="e">
        <v>#N/A</v>
      </c>
      <c r="X180" s="523" t="e">
        <v>#N/A</v>
      </c>
      <c r="Y180" s="523" t="e">
        <v>#N/A</v>
      </c>
      <c r="Z180" s="523"/>
      <c r="AA180" s="523"/>
    </row>
    <row r="181" spans="1:27" x14ac:dyDescent="0.2">
      <c r="A181" s="222">
        <f>calculs!A181</f>
        <v>44732</v>
      </c>
      <c r="B181" s="523" t="e">
        <f ca="1">gr(données_step[[#This Row],[E_DBO5]])</f>
        <v>#NAME?</v>
      </c>
      <c r="C181" s="523" t="e">
        <f ca="1">gr(données_step[[#This Row],[E_DCO]])</f>
        <v>#NAME?</v>
      </c>
      <c r="D181" s="523" t="e">
        <f ca="1">gr(données_step[[#This Row],[E_COT]])</f>
        <v>#NAME?</v>
      </c>
      <c r="E181" s="523" t="e">
        <f ca="1">gr(données_step[[#This Row],[E_NH4]])</f>
        <v>#NAME?</v>
      </c>
      <c r="F181" s="523" t="e">
        <f ca="1">gr(données_step[[#This Row],[E_NTOT]])</f>
        <v>#NAME?</v>
      </c>
      <c r="G181" s="523" t="e">
        <f ca="1">gr(données_step[[#This Row],[E_PTOT]])</f>
        <v>#NAME?</v>
      </c>
      <c r="H181" s="523" t="e">
        <f ca="1">gr(données_step[[#This Row],[S_DBO5]])</f>
        <v>#NAME?</v>
      </c>
      <c r="I181" s="523" t="e">
        <f ca="1">gr(données_step[[#This Row],[S_DCO]])</f>
        <v>#NAME?</v>
      </c>
      <c r="J181" s="523" t="e">
        <f ca="1">gr(données_step[[#This Row],[S_COD]])</f>
        <v>#NAME?</v>
      </c>
      <c r="K181" s="523" t="e">
        <f ca="1">gr(données_step[[#This Row],[S_NH4]])</f>
        <v>#NAME?</v>
      </c>
      <c r="L181" s="523" t="e">
        <f ca="1">gr(données_step[[#This Row],[S_NO2]])</f>
        <v>#NAME?</v>
      </c>
      <c r="M181" s="523" t="e">
        <f ca="1">gr(données_step[[#This Row],[S_NO3]])</f>
        <v>#NAME?</v>
      </c>
      <c r="N181" s="523" t="e">
        <f ca="1">gr(données_step[[#This Row],[S_PORTH]])</f>
        <v>#NAME?</v>
      </c>
      <c r="O181" s="523" t="e">
        <f ca="1">gr(données_step[[#This Row],[S_PTOT]])</f>
        <v>#NAME?</v>
      </c>
      <c r="P181" s="523" t="e">
        <f ca="1">gr(données_step[[#This Row],[S_MES]])</f>
        <v>#NAME?</v>
      </c>
      <c r="Q181" s="523" t="e">
        <v>#N/A</v>
      </c>
      <c r="R181" s="523" t="e">
        <v>#N/A</v>
      </c>
      <c r="S181" s="523" t="e">
        <v>#N/A</v>
      </c>
      <c r="T181" s="523" t="e">
        <v>#N/A</v>
      </c>
      <c r="U181" s="523" t="e">
        <v>#N/A</v>
      </c>
      <c r="V181" s="523" t="e">
        <v>#N/A</v>
      </c>
      <c r="W181" s="523" t="e">
        <v>#N/A</v>
      </c>
      <c r="X181" s="523" t="e">
        <v>#N/A</v>
      </c>
      <c r="Y181" s="523" t="e">
        <v>#N/A</v>
      </c>
      <c r="Z181" s="523"/>
      <c r="AA181" s="523"/>
    </row>
    <row r="182" spans="1:27" x14ac:dyDescent="0.2">
      <c r="A182" s="222">
        <f>calculs!A182</f>
        <v>44733</v>
      </c>
      <c r="B182" s="523" t="e">
        <f ca="1">gr(données_step[[#This Row],[E_DBO5]])</f>
        <v>#NAME?</v>
      </c>
      <c r="C182" s="523" t="e">
        <f ca="1">gr(données_step[[#This Row],[E_DCO]])</f>
        <v>#NAME?</v>
      </c>
      <c r="D182" s="523" t="e">
        <f ca="1">gr(données_step[[#This Row],[E_COT]])</f>
        <v>#NAME?</v>
      </c>
      <c r="E182" s="523" t="e">
        <f ca="1">gr(données_step[[#This Row],[E_NH4]])</f>
        <v>#NAME?</v>
      </c>
      <c r="F182" s="523" t="e">
        <f ca="1">gr(données_step[[#This Row],[E_NTOT]])</f>
        <v>#NAME?</v>
      </c>
      <c r="G182" s="523" t="e">
        <f ca="1">gr(données_step[[#This Row],[E_PTOT]])</f>
        <v>#NAME?</v>
      </c>
      <c r="H182" s="523" t="e">
        <f ca="1">gr(données_step[[#This Row],[S_DBO5]])</f>
        <v>#NAME?</v>
      </c>
      <c r="I182" s="523" t="e">
        <f ca="1">gr(données_step[[#This Row],[S_DCO]])</f>
        <v>#NAME?</v>
      </c>
      <c r="J182" s="523" t="e">
        <f ca="1">gr(données_step[[#This Row],[S_COD]])</f>
        <v>#NAME?</v>
      </c>
      <c r="K182" s="523" t="e">
        <f ca="1">gr(données_step[[#This Row],[S_NH4]])</f>
        <v>#NAME?</v>
      </c>
      <c r="L182" s="523" t="e">
        <f ca="1">gr(données_step[[#This Row],[S_NO2]])</f>
        <v>#NAME?</v>
      </c>
      <c r="M182" s="523" t="e">
        <f ca="1">gr(données_step[[#This Row],[S_NO3]])</f>
        <v>#NAME?</v>
      </c>
      <c r="N182" s="523" t="e">
        <f ca="1">gr(données_step[[#This Row],[S_PORTH]])</f>
        <v>#NAME?</v>
      </c>
      <c r="O182" s="523" t="e">
        <f ca="1">gr(données_step[[#This Row],[S_PTOT]])</f>
        <v>#NAME?</v>
      </c>
      <c r="P182" s="523" t="e">
        <f ca="1">gr(données_step[[#This Row],[S_MES]])</f>
        <v>#NAME?</v>
      </c>
      <c r="Q182" s="523" t="e">
        <v>#N/A</v>
      </c>
      <c r="R182" s="523" t="e">
        <v>#N/A</v>
      </c>
      <c r="S182" s="523" t="e">
        <v>#N/A</v>
      </c>
      <c r="T182" s="523" t="e">
        <v>#N/A</v>
      </c>
      <c r="U182" s="523" t="e">
        <v>#N/A</v>
      </c>
      <c r="V182" s="523" t="e">
        <v>#N/A</v>
      </c>
      <c r="W182" s="523" t="e">
        <v>#N/A</v>
      </c>
      <c r="X182" s="523" t="e">
        <v>#N/A</v>
      </c>
      <c r="Y182" s="523" t="e">
        <v>#N/A</v>
      </c>
      <c r="Z182" s="523"/>
      <c r="AA182" s="523"/>
    </row>
    <row r="183" spans="1:27" x14ac:dyDescent="0.2">
      <c r="A183" s="222">
        <f>calculs!A183</f>
        <v>44734</v>
      </c>
      <c r="B183" s="523" t="e">
        <f ca="1">gr(données_step[[#This Row],[E_DBO5]])</f>
        <v>#NAME?</v>
      </c>
      <c r="C183" s="523" t="e">
        <f ca="1">gr(données_step[[#This Row],[E_DCO]])</f>
        <v>#NAME?</v>
      </c>
      <c r="D183" s="523" t="e">
        <f ca="1">gr(données_step[[#This Row],[E_COT]])</f>
        <v>#NAME?</v>
      </c>
      <c r="E183" s="523" t="e">
        <f ca="1">gr(données_step[[#This Row],[E_NH4]])</f>
        <v>#NAME?</v>
      </c>
      <c r="F183" s="523" t="e">
        <f ca="1">gr(données_step[[#This Row],[E_NTOT]])</f>
        <v>#NAME?</v>
      </c>
      <c r="G183" s="523" t="e">
        <f ca="1">gr(données_step[[#This Row],[E_PTOT]])</f>
        <v>#NAME?</v>
      </c>
      <c r="H183" s="523" t="e">
        <f ca="1">gr(données_step[[#This Row],[S_DBO5]])</f>
        <v>#NAME?</v>
      </c>
      <c r="I183" s="523" t="e">
        <f ca="1">gr(données_step[[#This Row],[S_DCO]])</f>
        <v>#NAME?</v>
      </c>
      <c r="J183" s="523" t="e">
        <f ca="1">gr(données_step[[#This Row],[S_COD]])</f>
        <v>#NAME?</v>
      </c>
      <c r="K183" s="523" t="e">
        <f ca="1">gr(données_step[[#This Row],[S_NH4]])</f>
        <v>#NAME?</v>
      </c>
      <c r="L183" s="523" t="e">
        <f ca="1">gr(données_step[[#This Row],[S_NO2]])</f>
        <v>#NAME?</v>
      </c>
      <c r="M183" s="523" t="e">
        <f ca="1">gr(données_step[[#This Row],[S_NO3]])</f>
        <v>#NAME?</v>
      </c>
      <c r="N183" s="523" t="e">
        <f ca="1">gr(données_step[[#This Row],[S_PORTH]])</f>
        <v>#NAME?</v>
      </c>
      <c r="O183" s="523" t="e">
        <f ca="1">gr(données_step[[#This Row],[S_PTOT]])</f>
        <v>#NAME?</v>
      </c>
      <c r="P183" s="523" t="e">
        <f ca="1">gr(données_step[[#This Row],[S_MES]])</f>
        <v>#NAME?</v>
      </c>
      <c r="Q183" s="523" t="e">
        <v>#N/A</v>
      </c>
      <c r="R183" s="523" t="e">
        <v>#N/A</v>
      </c>
      <c r="S183" s="523" t="e">
        <v>#N/A</v>
      </c>
      <c r="T183" s="523" t="e">
        <v>#N/A</v>
      </c>
      <c r="U183" s="523" t="e">
        <v>#N/A</v>
      </c>
      <c r="V183" s="523" t="e">
        <v>#N/A</v>
      </c>
      <c r="W183" s="523" t="e">
        <v>#N/A</v>
      </c>
      <c r="X183" s="523" t="e">
        <v>#N/A</v>
      </c>
      <c r="Y183" s="523" t="e">
        <v>#N/A</v>
      </c>
      <c r="Z183" s="523"/>
      <c r="AA183" s="523"/>
    </row>
    <row r="184" spans="1:27" x14ac:dyDescent="0.2">
      <c r="A184" s="222">
        <f>calculs!A184</f>
        <v>44735</v>
      </c>
      <c r="B184" s="523" t="e">
        <f ca="1">gr(données_step[[#This Row],[E_DBO5]])</f>
        <v>#NAME?</v>
      </c>
      <c r="C184" s="523" t="e">
        <f ca="1">gr(données_step[[#This Row],[E_DCO]])</f>
        <v>#NAME?</v>
      </c>
      <c r="D184" s="523" t="e">
        <f ca="1">gr(données_step[[#This Row],[E_COT]])</f>
        <v>#NAME?</v>
      </c>
      <c r="E184" s="523" t="e">
        <f ca="1">gr(données_step[[#This Row],[E_NH4]])</f>
        <v>#NAME?</v>
      </c>
      <c r="F184" s="523" t="e">
        <f ca="1">gr(données_step[[#This Row],[E_NTOT]])</f>
        <v>#NAME?</v>
      </c>
      <c r="G184" s="523" t="e">
        <f ca="1">gr(données_step[[#This Row],[E_PTOT]])</f>
        <v>#NAME?</v>
      </c>
      <c r="H184" s="523" t="e">
        <f ca="1">gr(données_step[[#This Row],[S_DBO5]])</f>
        <v>#NAME?</v>
      </c>
      <c r="I184" s="523" t="e">
        <f ca="1">gr(données_step[[#This Row],[S_DCO]])</f>
        <v>#NAME?</v>
      </c>
      <c r="J184" s="523" t="e">
        <f ca="1">gr(données_step[[#This Row],[S_COD]])</f>
        <v>#NAME?</v>
      </c>
      <c r="K184" s="523" t="e">
        <f ca="1">gr(données_step[[#This Row],[S_NH4]])</f>
        <v>#NAME?</v>
      </c>
      <c r="L184" s="523" t="e">
        <f ca="1">gr(données_step[[#This Row],[S_NO2]])</f>
        <v>#NAME?</v>
      </c>
      <c r="M184" s="523" t="e">
        <f ca="1">gr(données_step[[#This Row],[S_NO3]])</f>
        <v>#NAME?</v>
      </c>
      <c r="N184" s="523" t="e">
        <f ca="1">gr(données_step[[#This Row],[S_PORTH]])</f>
        <v>#NAME?</v>
      </c>
      <c r="O184" s="523" t="e">
        <f ca="1">gr(données_step[[#This Row],[S_PTOT]])</f>
        <v>#NAME?</v>
      </c>
      <c r="P184" s="523" t="e">
        <f ca="1">gr(données_step[[#This Row],[S_MES]])</f>
        <v>#NAME?</v>
      </c>
      <c r="Q184" s="523" t="e">
        <v>#N/A</v>
      </c>
      <c r="R184" s="523" t="e">
        <v>#N/A</v>
      </c>
      <c r="S184" s="523" t="e">
        <v>#N/A</v>
      </c>
      <c r="T184" s="523" t="e">
        <v>#N/A</v>
      </c>
      <c r="U184" s="523" t="e">
        <v>#N/A</v>
      </c>
      <c r="V184" s="523" t="e">
        <v>#N/A</v>
      </c>
      <c r="W184" s="523" t="e">
        <v>#N/A</v>
      </c>
      <c r="X184" s="523" t="e">
        <v>#N/A</v>
      </c>
      <c r="Y184" s="523" t="e">
        <v>#N/A</v>
      </c>
      <c r="Z184" s="523"/>
      <c r="AA184" s="523"/>
    </row>
    <row r="185" spans="1:27" x14ac:dyDescent="0.2">
      <c r="A185" s="222">
        <f>calculs!A185</f>
        <v>44736</v>
      </c>
      <c r="B185" s="523" t="e">
        <f ca="1">gr(données_step[[#This Row],[E_DBO5]])</f>
        <v>#NAME?</v>
      </c>
      <c r="C185" s="523" t="e">
        <f ca="1">gr(données_step[[#This Row],[E_DCO]])</f>
        <v>#NAME?</v>
      </c>
      <c r="D185" s="523" t="e">
        <f ca="1">gr(données_step[[#This Row],[E_COT]])</f>
        <v>#NAME?</v>
      </c>
      <c r="E185" s="523" t="e">
        <f ca="1">gr(données_step[[#This Row],[E_NH4]])</f>
        <v>#NAME?</v>
      </c>
      <c r="F185" s="523" t="e">
        <f ca="1">gr(données_step[[#This Row],[E_NTOT]])</f>
        <v>#NAME?</v>
      </c>
      <c r="G185" s="523" t="e">
        <f ca="1">gr(données_step[[#This Row],[E_PTOT]])</f>
        <v>#NAME?</v>
      </c>
      <c r="H185" s="523" t="e">
        <f ca="1">gr(données_step[[#This Row],[S_DBO5]])</f>
        <v>#NAME?</v>
      </c>
      <c r="I185" s="523" t="e">
        <f ca="1">gr(données_step[[#This Row],[S_DCO]])</f>
        <v>#NAME?</v>
      </c>
      <c r="J185" s="523" t="e">
        <f ca="1">gr(données_step[[#This Row],[S_COD]])</f>
        <v>#NAME?</v>
      </c>
      <c r="K185" s="523" t="e">
        <f ca="1">gr(données_step[[#This Row],[S_NH4]])</f>
        <v>#NAME?</v>
      </c>
      <c r="L185" s="523" t="e">
        <f ca="1">gr(données_step[[#This Row],[S_NO2]])</f>
        <v>#NAME?</v>
      </c>
      <c r="M185" s="523" t="e">
        <f ca="1">gr(données_step[[#This Row],[S_NO3]])</f>
        <v>#NAME?</v>
      </c>
      <c r="N185" s="523" t="e">
        <f ca="1">gr(données_step[[#This Row],[S_PORTH]])</f>
        <v>#NAME?</v>
      </c>
      <c r="O185" s="523" t="e">
        <f ca="1">gr(données_step[[#This Row],[S_PTOT]])</f>
        <v>#NAME?</v>
      </c>
      <c r="P185" s="523" t="e">
        <f ca="1">gr(données_step[[#This Row],[S_MES]])</f>
        <v>#NAME?</v>
      </c>
      <c r="Q185" s="523" t="e">
        <v>#N/A</v>
      </c>
      <c r="R185" s="523" t="e">
        <v>#N/A</v>
      </c>
      <c r="S185" s="523" t="e">
        <v>#N/A</v>
      </c>
      <c r="T185" s="523" t="e">
        <v>#N/A</v>
      </c>
      <c r="U185" s="523" t="e">
        <v>#N/A</v>
      </c>
      <c r="V185" s="523" t="e">
        <v>#N/A</v>
      </c>
      <c r="W185" s="523" t="e">
        <v>#N/A</v>
      </c>
      <c r="X185" s="523" t="e">
        <v>#N/A</v>
      </c>
      <c r="Y185" s="523" t="e">
        <v>#N/A</v>
      </c>
      <c r="Z185" s="523"/>
      <c r="AA185" s="523"/>
    </row>
    <row r="186" spans="1:27" x14ac:dyDescent="0.2">
      <c r="A186" s="222">
        <f>calculs!A186</f>
        <v>44737</v>
      </c>
      <c r="B186" s="523" t="e">
        <f ca="1">gr(données_step[[#This Row],[E_DBO5]])</f>
        <v>#NAME?</v>
      </c>
      <c r="C186" s="523" t="e">
        <f ca="1">gr(données_step[[#This Row],[E_DCO]])</f>
        <v>#NAME?</v>
      </c>
      <c r="D186" s="523" t="e">
        <f ca="1">gr(données_step[[#This Row],[E_COT]])</f>
        <v>#NAME?</v>
      </c>
      <c r="E186" s="523" t="e">
        <f ca="1">gr(données_step[[#This Row],[E_NH4]])</f>
        <v>#NAME?</v>
      </c>
      <c r="F186" s="523" t="e">
        <f ca="1">gr(données_step[[#This Row],[E_NTOT]])</f>
        <v>#NAME?</v>
      </c>
      <c r="G186" s="523" t="e">
        <f ca="1">gr(données_step[[#This Row],[E_PTOT]])</f>
        <v>#NAME?</v>
      </c>
      <c r="H186" s="523" t="e">
        <f ca="1">gr(données_step[[#This Row],[S_DBO5]])</f>
        <v>#NAME?</v>
      </c>
      <c r="I186" s="523" t="e">
        <f ca="1">gr(données_step[[#This Row],[S_DCO]])</f>
        <v>#NAME?</v>
      </c>
      <c r="J186" s="523" t="e">
        <f ca="1">gr(données_step[[#This Row],[S_COD]])</f>
        <v>#NAME?</v>
      </c>
      <c r="K186" s="523" t="e">
        <f ca="1">gr(données_step[[#This Row],[S_NH4]])</f>
        <v>#NAME?</v>
      </c>
      <c r="L186" s="523" t="e">
        <f ca="1">gr(données_step[[#This Row],[S_NO2]])</f>
        <v>#NAME?</v>
      </c>
      <c r="M186" s="523" t="e">
        <f ca="1">gr(données_step[[#This Row],[S_NO3]])</f>
        <v>#NAME?</v>
      </c>
      <c r="N186" s="523" t="e">
        <f ca="1">gr(données_step[[#This Row],[S_PORTH]])</f>
        <v>#NAME?</v>
      </c>
      <c r="O186" s="523" t="e">
        <f ca="1">gr(données_step[[#This Row],[S_PTOT]])</f>
        <v>#NAME?</v>
      </c>
      <c r="P186" s="523" t="e">
        <f ca="1">gr(données_step[[#This Row],[S_MES]])</f>
        <v>#NAME?</v>
      </c>
      <c r="Q186" s="523" t="e">
        <v>#N/A</v>
      </c>
      <c r="R186" s="523" t="e">
        <v>#N/A</v>
      </c>
      <c r="S186" s="523" t="e">
        <v>#N/A</v>
      </c>
      <c r="T186" s="523" t="e">
        <v>#N/A</v>
      </c>
      <c r="U186" s="523" t="e">
        <v>#N/A</v>
      </c>
      <c r="V186" s="523" t="e">
        <v>#N/A</v>
      </c>
      <c r="W186" s="523" t="e">
        <v>#N/A</v>
      </c>
      <c r="X186" s="523" t="e">
        <v>#N/A</v>
      </c>
      <c r="Y186" s="523" t="e">
        <v>#N/A</v>
      </c>
      <c r="Z186" s="523"/>
      <c r="AA186" s="523"/>
    </row>
    <row r="187" spans="1:27" x14ac:dyDescent="0.2">
      <c r="A187" s="222">
        <f>calculs!A187</f>
        <v>44738</v>
      </c>
      <c r="B187" s="523" t="e">
        <f ca="1">gr(données_step[[#This Row],[E_DBO5]])</f>
        <v>#NAME?</v>
      </c>
      <c r="C187" s="523" t="e">
        <f ca="1">gr(données_step[[#This Row],[E_DCO]])</f>
        <v>#NAME?</v>
      </c>
      <c r="D187" s="523" t="e">
        <f ca="1">gr(données_step[[#This Row],[E_COT]])</f>
        <v>#NAME?</v>
      </c>
      <c r="E187" s="523" t="e">
        <f ca="1">gr(données_step[[#This Row],[E_NH4]])</f>
        <v>#NAME?</v>
      </c>
      <c r="F187" s="523" t="e">
        <f ca="1">gr(données_step[[#This Row],[E_NTOT]])</f>
        <v>#NAME?</v>
      </c>
      <c r="G187" s="523" t="e">
        <f ca="1">gr(données_step[[#This Row],[E_PTOT]])</f>
        <v>#NAME?</v>
      </c>
      <c r="H187" s="523" t="e">
        <f ca="1">gr(données_step[[#This Row],[S_DBO5]])</f>
        <v>#NAME?</v>
      </c>
      <c r="I187" s="523" t="e">
        <f ca="1">gr(données_step[[#This Row],[S_DCO]])</f>
        <v>#NAME?</v>
      </c>
      <c r="J187" s="523" t="e">
        <f ca="1">gr(données_step[[#This Row],[S_COD]])</f>
        <v>#NAME?</v>
      </c>
      <c r="K187" s="523" t="e">
        <f ca="1">gr(données_step[[#This Row],[S_NH4]])</f>
        <v>#NAME?</v>
      </c>
      <c r="L187" s="523" t="e">
        <f ca="1">gr(données_step[[#This Row],[S_NO2]])</f>
        <v>#NAME?</v>
      </c>
      <c r="M187" s="523" t="e">
        <f ca="1">gr(données_step[[#This Row],[S_NO3]])</f>
        <v>#NAME?</v>
      </c>
      <c r="N187" s="523" t="e">
        <f ca="1">gr(données_step[[#This Row],[S_PORTH]])</f>
        <v>#NAME?</v>
      </c>
      <c r="O187" s="523" t="e">
        <f ca="1">gr(données_step[[#This Row],[S_PTOT]])</f>
        <v>#NAME?</v>
      </c>
      <c r="P187" s="523" t="e">
        <f ca="1">gr(données_step[[#This Row],[S_MES]])</f>
        <v>#NAME?</v>
      </c>
      <c r="Q187" s="523" t="e">
        <v>#N/A</v>
      </c>
      <c r="R187" s="523" t="e">
        <v>#N/A</v>
      </c>
      <c r="S187" s="523" t="e">
        <v>#N/A</v>
      </c>
      <c r="T187" s="523" t="e">
        <v>#N/A</v>
      </c>
      <c r="U187" s="523" t="e">
        <v>#N/A</v>
      </c>
      <c r="V187" s="523" t="e">
        <v>#N/A</v>
      </c>
      <c r="W187" s="523" t="e">
        <v>#N/A</v>
      </c>
      <c r="X187" s="523" t="e">
        <v>#N/A</v>
      </c>
      <c r="Y187" s="523" t="e">
        <v>#N/A</v>
      </c>
      <c r="Z187" s="523"/>
      <c r="AA187" s="523"/>
    </row>
    <row r="188" spans="1:27" x14ac:dyDescent="0.2">
      <c r="A188" s="222">
        <f>calculs!A188</f>
        <v>44739</v>
      </c>
      <c r="B188" s="523" t="e">
        <f ca="1">gr(données_step[[#This Row],[E_DBO5]])</f>
        <v>#NAME?</v>
      </c>
      <c r="C188" s="523" t="e">
        <f ca="1">gr(données_step[[#This Row],[E_DCO]])</f>
        <v>#NAME?</v>
      </c>
      <c r="D188" s="523" t="e">
        <f ca="1">gr(données_step[[#This Row],[E_COT]])</f>
        <v>#NAME?</v>
      </c>
      <c r="E188" s="523" t="e">
        <f ca="1">gr(données_step[[#This Row],[E_NH4]])</f>
        <v>#NAME?</v>
      </c>
      <c r="F188" s="523" t="e">
        <f ca="1">gr(données_step[[#This Row],[E_NTOT]])</f>
        <v>#NAME?</v>
      </c>
      <c r="G188" s="523" t="e">
        <f ca="1">gr(données_step[[#This Row],[E_PTOT]])</f>
        <v>#NAME?</v>
      </c>
      <c r="H188" s="523" t="e">
        <f ca="1">gr(données_step[[#This Row],[S_DBO5]])</f>
        <v>#NAME?</v>
      </c>
      <c r="I188" s="523" t="e">
        <f ca="1">gr(données_step[[#This Row],[S_DCO]])</f>
        <v>#NAME?</v>
      </c>
      <c r="J188" s="523" t="e">
        <f ca="1">gr(données_step[[#This Row],[S_COD]])</f>
        <v>#NAME?</v>
      </c>
      <c r="K188" s="523" t="e">
        <f ca="1">gr(données_step[[#This Row],[S_NH4]])</f>
        <v>#NAME?</v>
      </c>
      <c r="L188" s="523" t="e">
        <f ca="1">gr(données_step[[#This Row],[S_NO2]])</f>
        <v>#NAME?</v>
      </c>
      <c r="M188" s="523" t="e">
        <f ca="1">gr(données_step[[#This Row],[S_NO3]])</f>
        <v>#NAME?</v>
      </c>
      <c r="N188" s="523" t="e">
        <f ca="1">gr(données_step[[#This Row],[S_PORTH]])</f>
        <v>#NAME?</v>
      </c>
      <c r="O188" s="523" t="e">
        <f ca="1">gr(données_step[[#This Row],[S_PTOT]])</f>
        <v>#NAME?</v>
      </c>
      <c r="P188" s="523" t="e">
        <f ca="1">gr(données_step[[#This Row],[S_MES]])</f>
        <v>#NAME?</v>
      </c>
      <c r="Q188" s="523" t="e">
        <v>#N/A</v>
      </c>
      <c r="R188" s="523" t="e">
        <v>#N/A</v>
      </c>
      <c r="S188" s="523" t="e">
        <v>#N/A</v>
      </c>
      <c r="T188" s="523" t="e">
        <v>#N/A</v>
      </c>
      <c r="U188" s="523" t="e">
        <v>#N/A</v>
      </c>
      <c r="V188" s="523" t="e">
        <v>#N/A</v>
      </c>
      <c r="W188" s="523" t="e">
        <v>#N/A</v>
      </c>
      <c r="X188" s="523" t="e">
        <v>#N/A</v>
      </c>
      <c r="Y188" s="523" t="e">
        <v>#N/A</v>
      </c>
      <c r="Z188" s="523"/>
      <c r="AA188" s="523"/>
    </row>
    <row r="189" spans="1:27" x14ac:dyDescent="0.2">
      <c r="A189" s="222">
        <f>calculs!A189</f>
        <v>44740</v>
      </c>
      <c r="B189" s="523" t="e">
        <f ca="1">gr(données_step[[#This Row],[E_DBO5]])</f>
        <v>#NAME?</v>
      </c>
      <c r="C189" s="523" t="e">
        <f ca="1">gr(données_step[[#This Row],[E_DCO]])</f>
        <v>#NAME?</v>
      </c>
      <c r="D189" s="523" t="e">
        <f ca="1">gr(données_step[[#This Row],[E_COT]])</f>
        <v>#NAME?</v>
      </c>
      <c r="E189" s="523" t="e">
        <f ca="1">gr(données_step[[#This Row],[E_NH4]])</f>
        <v>#NAME?</v>
      </c>
      <c r="F189" s="523" t="e">
        <f ca="1">gr(données_step[[#This Row],[E_NTOT]])</f>
        <v>#NAME?</v>
      </c>
      <c r="G189" s="523" t="e">
        <f ca="1">gr(données_step[[#This Row],[E_PTOT]])</f>
        <v>#NAME?</v>
      </c>
      <c r="H189" s="523" t="e">
        <f ca="1">gr(données_step[[#This Row],[S_DBO5]])</f>
        <v>#NAME?</v>
      </c>
      <c r="I189" s="523" t="e">
        <f ca="1">gr(données_step[[#This Row],[S_DCO]])</f>
        <v>#NAME?</v>
      </c>
      <c r="J189" s="523" t="e">
        <f ca="1">gr(données_step[[#This Row],[S_COD]])</f>
        <v>#NAME?</v>
      </c>
      <c r="K189" s="523" t="e">
        <f ca="1">gr(données_step[[#This Row],[S_NH4]])</f>
        <v>#NAME?</v>
      </c>
      <c r="L189" s="523" t="e">
        <f ca="1">gr(données_step[[#This Row],[S_NO2]])</f>
        <v>#NAME?</v>
      </c>
      <c r="M189" s="523" t="e">
        <f ca="1">gr(données_step[[#This Row],[S_NO3]])</f>
        <v>#NAME?</v>
      </c>
      <c r="N189" s="523" t="e">
        <f ca="1">gr(données_step[[#This Row],[S_PORTH]])</f>
        <v>#NAME?</v>
      </c>
      <c r="O189" s="523" t="e">
        <f ca="1">gr(données_step[[#This Row],[S_PTOT]])</f>
        <v>#NAME?</v>
      </c>
      <c r="P189" s="523" t="e">
        <f ca="1">gr(données_step[[#This Row],[S_MES]])</f>
        <v>#NAME?</v>
      </c>
      <c r="Q189" s="523" t="e">
        <v>#N/A</v>
      </c>
      <c r="R189" s="523" t="e">
        <v>#N/A</v>
      </c>
      <c r="S189" s="523" t="e">
        <v>#N/A</v>
      </c>
      <c r="T189" s="523" t="e">
        <v>#N/A</v>
      </c>
      <c r="U189" s="523" t="e">
        <v>#N/A</v>
      </c>
      <c r="V189" s="523" t="e">
        <v>#N/A</v>
      </c>
      <c r="W189" s="523" t="e">
        <v>#N/A</v>
      </c>
      <c r="X189" s="523" t="e">
        <v>#N/A</v>
      </c>
      <c r="Y189" s="523" t="e">
        <v>#N/A</v>
      </c>
      <c r="Z189" s="523"/>
      <c r="AA189" s="523"/>
    </row>
    <row r="190" spans="1:27" x14ac:dyDescent="0.2">
      <c r="A190" s="222">
        <f>calculs!A190</f>
        <v>44741</v>
      </c>
      <c r="B190" s="523" t="e">
        <f ca="1">gr(données_step[[#This Row],[E_DBO5]])</f>
        <v>#NAME?</v>
      </c>
      <c r="C190" s="523" t="e">
        <f ca="1">gr(données_step[[#This Row],[E_DCO]])</f>
        <v>#NAME?</v>
      </c>
      <c r="D190" s="523" t="e">
        <f ca="1">gr(données_step[[#This Row],[E_COT]])</f>
        <v>#NAME?</v>
      </c>
      <c r="E190" s="523" t="e">
        <f ca="1">gr(données_step[[#This Row],[E_NH4]])</f>
        <v>#NAME?</v>
      </c>
      <c r="F190" s="523" t="e">
        <f ca="1">gr(données_step[[#This Row],[E_NTOT]])</f>
        <v>#NAME?</v>
      </c>
      <c r="G190" s="523" t="e">
        <f ca="1">gr(données_step[[#This Row],[E_PTOT]])</f>
        <v>#NAME?</v>
      </c>
      <c r="H190" s="523" t="e">
        <f ca="1">gr(données_step[[#This Row],[S_DBO5]])</f>
        <v>#NAME?</v>
      </c>
      <c r="I190" s="523" t="e">
        <f ca="1">gr(données_step[[#This Row],[S_DCO]])</f>
        <v>#NAME?</v>
      </c>
      <c r="J190" s="523" t="e">
        <f ca="1">gr(données_step[[#This Row],[S_COD]])</f>
        <v>#NAME?</v>
      </c>
      <c r="K190" s="523" t="e">
        <f ca="1">gr(données_step[[#This Row],[S_NH4]])</f>
        <v>#NAME?</v>
      </c>
      <c r="L190" s="523" t="e">
        <f ca="1">gr(données_step[[#This Row],[S_NO2]])</f>
        <v>#NAME?</v>
      </c>
      <c r="M190" s="523" t="e">
        <f ca="1">gr(données_step[[#This Row],[S_NO3]])</f>
        <v>#NAME?</v>
      </c>
      <c r="N190" s="523" t="e">
        <f ca="1">gr(données_step[[#This Row],[S_PORTH]])</f>
        <v>#NAME?</v>
      </c>
      <c r="O190" s="523" t="e">
        <f ca="1">gr(données_step[[#This Row],[S_PTOT]])</f>
        <v>#NAME?</v>
      </c>
      <c r="P190" s="523" t="e">
        <f ca="1">gr(données_step[[#This Row],[S_MES]])</f>
        <v>#NAME?</v>
      </c>
      <c r="Q190" s="523" t="e">
        <v>#N/A</v>
      </c>
      <c r="R190" s="523" t="e">
        <v>#N/A</v>
      </c>
      <c r="S190" s="523" t="e">
        <v>#N/A</v>
      </c>
      <c r="T190" s="523" t="e">
        <v>#N/A</v>
      </c>
      <c r="U190" s="523" t="e">
        <v>#N/A</v>
      </c>
      <c r="V190" s="523" t="e">
        <v>#N/A</v>
      </c>
      <c r="W190" s="523" t="e">
        <v>#N/A</v>
      </c>
      <c r="X190" s="523" t="e">
        <v>#N/A</v>
      </c>
      <c r="Y190" s="523" t="e">
        <v>#N/A</v>
      </c>
      <c r="Z190" s="523"/>
      <c r="AA190" s="523"/>
    </row>
    <row r="191" spans="1:27" x14ac:dyDescent="0.2">
      <c r="A191" s="222">
        <f>calculs!A191</f>
        <v>44742</v>
      </c>
      <c r="B191" s="523" t="e">
        <f ca="1">gr(données_step[[#This Row],[E_DBO5]])</f>
        <v>#NAME?</v>
      </c>
      <c r="C191" s="523" t="e">
        <f ca="1">gr(données_step[[#This Row],[E_DCO]])</f>
        <v>#NAME?</v>
      </c>
      <c r="D191" s="523" t="e">
        <f ca="1">gr(données_step[[#This Row],[E_COT]])</f>
        <v>#NAME?</v>
      </c>
      <c r="E191" s="523" t="e">
        <f ca="1">gr(données_step[[#This Row],[E_NH4]])</f>
        <v>#NAME?</v>
      </c>
      <c r="F191" s="523" t="e">
        <f ca="1">gr(données_step[[#This Row],[E_NTOT]])</f>
        <v>#NAME?</v>
      </c>
      <c r="G191" s="523" t="e">
        <f ca="1">gr(données_step[[#This Row],[E_PTOT]])</f>
        <v>#NAME?</v>
      </c>
      <c r="H191" s="523" t="e">
        <f ca="1">gr(données_step[[#This Row],[S_DBO5]])</f>
        <v>#NAME?</v>
      </c>
      <c r="I191" s="523" t="e">
        <f ca="1">gr(données_step[[#This Row],[S_DCO]])</f>
        <v>#NAME?</v>
      </c>
      <c r="J191" s="523" t="e">
        <f ca="1">gr(données_step[[#This Row],[S_COD]])</f>
        <v>#NAME?</v>
      </c>
      <c r="K191" s="523" t="e">
        <f ca="1">gr(données_step[[#This Row],[S_NH4]])</f>
        <v>#NAME?</v>
      </c>
      <c r="L191" s="523" t="e">
        <f ca="1">gr(données_step[[#This Row],[S_NO2]])</f>
        <v>#NAME?</v>
      </c>
      <c r="M191" s="523" t="e">
        <f ca="1">gr(données_step[[#This Row],[S_NO3]])</f>
        <v>#NAME?</v>
      </c>
      <c r="N191" s="523" t="e">
        <f ca="1">gr(données_step[[#This Row],[S_PORTH]])</f>
        <v>#NAME?</v>
      </c>
      <c r="O191" s="523" t="e">
        <f ca="1">gr(données_step[[#This Row],[S_PTOT]])</f>
        <v>#NAME?</v>
      </c>
      <c r="P191" s="523" t="e">
        <f ca="1">gr(données_step[[#This Row],[S_MES]])</f>
        <v>#NAME?</v>
      </c>
      <c r="Q191" s="523" t="e">
        <v>#N/A</v>
      </c>
      <c r="R191" s="523" t="e">
        <v>#N/A</v>
      </c>
      <c r="S191" s="523" t="e">
        <v>#N/A</v>
      </c>
      <c r="T191" s="523" t="e">
        <v>#N/A</v>
      </c>
      <c r="U191" s="523" t="e">
        <v>#N/A</v>
      </c>
      <c r="V191" s="523" t="e">
        <v>#N/A</v>
      </c>
      <c r="W191" s="523" t="e">
        <v>#N/A</v>
      </c>
      <c r="X191" s="523" t="e">
        <v>#N/A</v>
      </c>
      <c r="Y191" s="523" t="e">
        <v>#N/A</v>
      </c>
      <c r="Z191" s="523"/>
      <c r="AA191" s="523"/>
    </row>
    <row r="192" spans="1:27" x14ac:dyDescent="0.2">
      <c r="A192" s="222">
        <f>calculs!A192</f>
        <v>44743</v>
      </c>
      <c r="B192" s="523" t="e">
        <f ca="1">gr(données_step[[#This Row],[E_DBO5]])</f>
        <v>#NAME?</v>
      </c>
      <c r="C192" s="523" t="e">
        <f ca="1">gr(données_step[[#This Row],[E_DCO]])</f>
        <v>#NAME?</v>
      </c>
      <c r="D192" s="523" t="e">
        <f ca="1">gr(données_step[[#This Row],[E_COT]])</f>
        <v>#NAME?</v>
      </c>
      <c r="E192" s="523" t="e">
        <f ca="1">gr(données_step[[#This Row],[E_NH4]])</f>
        <v>#NAME?</v>
      </c>
      <c r="F192" s="523" t="e">
        <f ca="1">gr(données_step[[#This Row],[E_NTOT]])</f>
        <v>#NAME?</v>
      </c>
      <c r="G192" s="523" t="e">
        <f ca="1">gr(données_step[[#This Row],[E_PTOT]])</f>
        <v>#NAME?</v>
      </c>
      <c r="H192" s="523" t="e">
        <f ca="1">gr(données_step[[#This Row],[S_DBO5]])</f>
        <v>#NAME?</v>
      </c>
      <c r="I192" s="523" t="e">
        <f ca="1">gr(données_step[[#This Row],[S_DCO]])</f>
        <v>#NAME?</v>
      </c>
      <c r="J192" s="523" t="e">
        <f ca="1">gr(données_step[[#This Row],[S_COD]])</f>
        <v>#NAME?</v>
      </c>
      <c r="K192" s="523" t="e">
        <f ca="1">gr(données_step[[#This Row],[S_NH4]])</f>
        <v>#NAME?</v>
      </c>
      <c r="L192" s="523" t="e">
        <f ca="1">gr(données_step[[#This Row],[S_NO2]])</f>
        <v>#NAME?</v>
      </c>
      <c r="M192" s="523" t="e">
        <f ca="1">gr(données_step[[#This Row],[S_NO3]])</f>
        <v>#NAME?</v>
      </c>
      <c r="N192" s="523" t="e">
        <f ca="1">gr(données_step[[#This Row],[S_PORTH]])</f>
        <v>#NAME?</v>
      </c>
      <c r="O192" s="523" t="e">
        <f ca="1">gr(données_step[[#This Row],[S_PTOT]])</f>
        <v>#NAME?</v>
      </c>
      <c r="P192" s="523" t="e">
        <f ca="1">gr(données_step[[#This Row],[S_MES]])</f>
        <v>#NAME?</v>
      </c>
      <c r="Q192" s="523" t="e">
        <v>#N/A</v>
      </c>
      <c r="R192" s="523" t="e">
        <v>#N/A</v>
      </c>
      <c r="S192" s="523" t="e">
        <v>#N/A</v>
      </c>
      <c r="T192" s="523" t="e">
        <v>#N/A</v>
      </c>
      <c r="U192" s="523" t="e">
        <v>#N/A</v>
      </c>
      <c r="V192" s="523" t="e">
        <v>#N/A</v>
      </c>
      <c r="W192" s="523" t="e">
        <v>#N/A</v>
      </c>
      <c r="X192" s="523" t="e">
        <v>#N/A</v>
      </c>
      <c r="Y192" s="523" t="e">
        <v>#N/A</v>
      </c>
      <c r="Z192" s="523"/>
      <c r="AA192" s="523"/>
    </row>
    <row r="193" spans="1:27" x14ac:dyDescent="0.2">
      <c r="A193" s="222">
        <f>calculs!A193</f>
        <v>44744</v>
      </c>
      <c r="B193" s="523" t="e">
        <f ca="1">gr(données_step[[#This Row],[E_DBO5]])</f>
        <v>#NAME?</v>
      </c>
      <c r="C193" s="523" t="e">
        <f ca="1">gr(données_step[[#This Row],[E_DCO]])</f>
        <v>#NAME?</v>
      </c>
      <c r="D193" s="523" t="e">
        <f ca="1">gr(données_step[[#This Row],[E_COT]])</f>
        <v>#NAME?</v>
      </c>
      <c r="E193" s="523" t="e">
        <f ca="1">gr(données_step[[#This Row],[E_NH4]])</f>
        <v>#NAME?</v>
      </c>
      <c r="F193" s="523" t="e">
        <f ca="1">gr(données_step[[#This Row],[E_NTOT]])</f>
        <v>#NAME?</v>
      </c>
      <c r="G193" s="523" t="e">
        <f ca="1">gr(données_step[[#This Row],[E_PTOT]])</f>
        <v>#NAME?</v>
      </c>
      <c r="H193" s="523" t="e">
        <f ca="1">gr(données_step[[#This Row],[S_DBO5]])</f>
        <v>#NAME?</v>
      </c>
      <c r="I193" s="523" t="e">
        <f ca="1">gr(données_step[[#This Row],[S_DCO]])</f>
        <v>#NAME?</v>
      </c>
      <c r="J193" s="523" t="e">
        <f ca="1">gr(données_step[[#This Row],[S_COD]])</f>
        <v>#NAME?</v>
      </c>
      <c r="K193" s="523" t="e">
        <f ca="1">gr(données_step[[#This Row],[S_NH4]])</f>
        <v>#NAME?</v>
      </c>
      <c r="L193" s="523" t="e">
        <f ca="1">gr(données_step[[#This Row],[S_NO2]])</f>
        <v>#NAME?</v>
      </c>
      <c r="M193" s="523" t="e">
        <f ca="1">gr(données_step[[#This Row],[S_NO3]])</f>
        <v>#NAME?</v>
      </c>
      <c r="N193" s="523" t="e">
        <f ca="1">gr(données_step[[#This Row],[S_PORTH]])</f>
        <v>#NAME?</v>
      </c>
      <c r="O193" s="523" t="e">
        <f ca="1">gr(données_step[[#This Row],[S_PTOT]])</f>
        <v>#NAME?</v>
      </c>
      <c r="P193" s="523" t="e">
        <f ca="1">gr(données_step[[#This Row],[S_MES]])</f>
        <v>#NAME?</v>
      </c>
      <c r="Q193" s="523" t="e">
        <v>#N/A</v>
      </c>
      <c r="R193" s="523" t="e">
        <v>#N/A</v>
      </c>
      <c r="S193" s="523" t="e">
        <v>#N/A</v>
      </c>
      <c r="T193" s="523" t="e">
        <v>#N/A</v>
      </c>
      <c r="U193" s="523" t="e">
        <v>#N/A</v>
      </c>
      <c r="V193" s="523" t="e">
        <v>#N/A</v>
      </c>
      <c r="W193" s="523" t="e">
        <v>#N/A</v>
      </c>
      <c r="X193" s="523" t="e">
        <v>#N/A</v>
      </c>
      <c r="Y193" s="523" t="e">
        <v>#N/A</v>
      </c>
      <c r="Z193" s="523"/>
      <c r="AA193" s="523"/>
    </row>
    <row r="194" spans="1:27" x14ac:dyDescent="0.2">
      <c r="A194" s="222">
        <f>calculs!A194</f>
        <v>44745</v>
      </c>
      <c r="B194" s="523" t="e">
        <f ca="1">gr(données_step[[#This Row],[E_DBO5]])</f>
        <v>#NAME?</v>
      </c>
      <c r="C194" s="523" t="e">
        <f ca="1">gr(données_step[[#This Row],[E_DCO]])</f>
        <v>#NAME?</v>
      </c>
      <c r="D194" s="523" t="e">
        <f ca="1">gr(données_step[[#This Row],[E_COT]])</f>
        <v>#NAME?</v>
      </c>
      <c r="E194" s="523" t="e">
        <f ca="1">gr(données_step[[#This Row],[E_NH4]])</f>
        <v>#NAME?</v>
      </c>
      <c r="F194" s="523" t="e">
        <f ca="1">gr(données_step[[#This Row],[E_NTOT]])</f>
        <v>#NAME?</v>
      </c>
      <c r="G194" s="523" t="e">
        <f ca="1">gr(données_step[[#This Row],[E_PTOT]])</f>
        <v>#NAME?</v>
      </c>
      <c r="H194" s="523" t="e">
        <f ca="1">gr(données_step[[#This Row],[S_DBO5]])</f>
        <v>#NAME?</v>
      </c>
      <c r="I194" s="523" t="e">
        <f ca="1">gr(données_step[[#This Row],[S_DCO]])</f>
        <v>#NAME?</v>
      </c>
      <c r="J194" s="523" t="e">
        <f ca="1">gr(données_step[[#This Row],[S_COD]])</f>
        <v>#NAME?</v>
      </c>
      <c r="K194" s="523" t="e">
        <f ca="1">gr(données_step[[#This Row],[S_NH4]])</f>
        <v>#NAME?</v>
      </c>
      <c r="L194" s="523" t="e">
        <f ca="1">gr(données_step[[#This Row],[S_NO2]])</f>
        <v>#NAME?</v>
      </c>
      <c r="M194" s="523" t="e">
        <f ca="1">gr(données_step[[#This Row],[S_NO3]])</f>
        <v>#NAME?</v>
      </c>
      <c r="N194" s="523" t="e">
        <f ca="1">gr(données_step[[#This Row],[S_PORTH]])</f>
        <v>#NAME?</v>
      </c>
      <c r="O194" s="523" t="e">
        <f ca="1">gr(données_step[[#This Row],[S_PTOT]])</f>
        <v>#NAME?</v>
      </c>
      <c r="P194" s="523" t="e">
        <f ca="1">gr(données_step[[#This Row],[S_MES]])</f>
        <v>#NAME?</v>
      </c>
      <c r="Q194" s="523" t="e">
        <v>#N/A</v>
      </c>
      <c r="R194" s="523" t="e">
        <v>#N/A</v>
      </c>
      <c r="S194" s="523" t="e">
        <v>#N/A</v>
      </c>
      <c r="T194" s="523" t="e">
        <v>#N/A</v>
      </c>
      <c r="U194" s="523" t="e">
        <v>#N/A</v>
      </c>
      <c r="V194" s="523" t="e">
        <v>#N/A</v>
      </c>
      <c r="W194" s="523" t="e">
        <v>#N/A</v>
      </c>
      <c r="X194" s="523" t="e">
        <v>#N/A</v>
      </c>
      <c r="Y194" s="523" t="e">
        <v>#N/A</v>
      </c>
      <c r="Z194" s="523"/>
      <c r="AA194" s="523"/>
    </row>
    <row r="195" spans="1:27" x14ac:dyDescent="0.2">
      <c r="A195" s="222">
        <f>calculs!A195</f>
        <v>44746</v>
      </c>
      <c r="B195" s="523" t="e">
        <f ca="1">gr(données_step[[#This Row],[E_DBO5]])</f>
        <v>#NAME?</v>
      </c>
      <c r="C195" s="523" t="e">
        <f ca="1">gr(données_step[[#This Row],[E_DCO]])</f>
        <v>#NAME?</v>
      </c>
      <c r="D195" s="523" t="e">
        <f ca="1">gr(données_step[[#This Row],[E_COT]])</f>
        <v>#NAME?</v>
      </c>
      <c r="E195" s="523" t="e">
        <f ca="1">gr(données_step[[#This Row],[E_NH4]])</f>
        <v>#NAME?</v>
      </c>
      <c r="F195" s="523" t="e">
        <f ca="1">gr(données_step[[#This Row],[E_NTOT]])</f>
        <v>#NAME?</v>
      </c>
      <c r="G195" s="523" t="e">
        <f ca="1">gr(données_step[[#This Row],[E_PTOT]])</f>
        <v>#NAME?</v>
      </c>
      <c r="H195" s="523" t="e">
        <f ca="1">gr(données_step[[#This Row],[S_DBO5]])</f>
        <v>#NAME?</v>
      </c>
      <c r="I195" s="523" t="e">
        <f ca="1">gr(données_step[[#This Row],[S_DCO]])</f>
        <v>#NAME?</v>
      </c>
      <c r="J195" s="523" t="e">
        <f ca="1">gr(données_step[[#This Row],[S_COD]])</f>
        <v>#NAME?</v>
      </c>
      <c r="K195" s="523" t="e">
        <f ca="1">gr(données_step[[#This Row],[S_NH4]])</f>
        <v>#NAME?</v>
      </c>
      <c r="L195" s="523" t="e">
        <f ca="1">gr(données_step[[#This Row],[S_NO2]])</f>
        <v>#NAME?</v>
      </c>
      <c r="M195" s="523" t="e">
        <f ca="1">gr(données_step[[#This Row],[S_NO3]])</f>
        <v>#NAME?</v>
      </c>
      <c r="N195" s="523" t="e">
        <f ca="1">gr(données_step[[#This Row],[S_PORTH]])</f>
        <v>#NAME?</v>
      </c>
      <c r="O195" s="523" t="e">
        <f ca="1">gr(données_step[[#This Row],[S_PTOT]])</f>
        <v>#NAME?</v>
      </c>
      <c r="P195" s="523" t="e">
        <f ca="1">gr(données_step[[#This Row],[S_MES]])</f>
        <v>#NAME?</v>
      </c>
      <c r="Q195" s="523" t="e">
        <v>#N/A</v>
      </c>
      <c r="R195" s="523" t="e">
        <v>#N/A</v>
      </c>
      <c r="S195" s="523" t="e">
        <v>#N/A</v>
      </c>
      <c r="T195" s="523" t="e">
        <v>#N/A</v>
      </c>
      <c r="U195" s="523" t="e">
        <v>#N/A</v>
      </c>
      <c r="V195" s="523" t="e">
        <v>#N/A</v>
      </c>
      <c r="W195" s="523" t="e">
        <v>#N/A</v>
      </c>
      <c r="X195" s="523" t="e">
        <v>#N/A</v>
      </c>
      <c r="Y195" s="523" t="e">
        <v>#N/A</v>
      </c>
      <c r="Z195" s="523"/>
      <c r="AA195" s="523"/>
    </row>
    <row r="196" spans="1:27" x14ac:dyDescent="0.2">
      <c r="A196" s="222">
        <f>calculs!A196</f>
        <v>44747</v>
      </c>
      <c r="B196" s="523" t="e">
        <f ca="1">gr(données_step[[#This Row],[E_DBO5]])</f>
        <v>#NAME?</v>
      </c>
      <c r="C196" s="523" t="e">
        <f ca="1">gr(données_step[[#This Row],[E_DCO]])</f>
        <v>#NAME?</v>
      </c>
      <c r="D196" s="523" t="e">
        <f ca="1">gr(données_step[[#This Row],[E_COT]])</f>
        <v>#NAME?</v>
      </c>
      <c r="E196" s="523" t="e">
        <f ca="1">gr(données_step[[#This Row],[E_NH4]])</f>
        <v>#NAME?</v>
      </c>
      <c r="F196" s="523" t="e">
        <f ca="1">gr(données_step[[#This Row],[E_NTOT]])</f>
        <v>#NAME?</v>
      </c>
      <c r="G196" s="523" t="e">
        <f ca="1">gr(données_step[[#This Row],[E_PTOT]])</f>
        <v>#NAME?</v>
      </c>
      <c r="H196" s="523" t="e">
        <f ca="1">gr(données_step[[#This Row],[S_DBO5]])</f>
        <v>#NAME?</v>
      </c>
      <c r="I196" s="523" t="e">
        <f ca="1">gr(données_step[[#This Row],[S_DCO]])</f>
        <v>#NAME?</v>
      </c>
      <c r="J196" s="523" t="e">
        <f ca="1">gr(données_step[[#This Row],[S_COD]])</f>
        <v>#NAME?</v>
      </c>
      <c r="K196" s="523" t="e">
        <f ca="1">gr(données_step[[#This Row],[S_NH4]])</f>
        <v>#NAME?</v>
      </c>
      <c r="L196" s="523" t="e">
        <f ca="1">gr(données_step[[#This Row],[S_NO2]])</f>
        <v>#NAME?</v>
      </c>
      <c r="M196" s="523" t="e">
        <f ca="1">gr(données_step[[#This Row],[S_NO3]])</f>
        <v>#NAME?</v>
      </c>
      <c r="N196" s="523" t="e">
        <f ca="1">gr(données_step[[#This Row],[S_PORTH]])</f>
        <v>#NAME?</v>
      </c>
      <c r="O196" s="523" t="e">
        <f ca="1">gr(données_step[[#This Row],[S_PTOT]])</f>
        <v>#NAME?</v>
      </c>
      <c r="P196" s="523" t="e">
        <f ca="1">gr(données_step[[#This Row],[S_MES]])</f>
        <v>#NAME?</v>
      </c>
      <c r="Q196" s="523" t="e">
        <v>#N/A</v>
      </c>
      <c r="R196" s="523" t="e">
        <v>#N/A</v>
      </c>
      <c r="S196" s="523" t="e">
        <v>#N/A</v>
      </c>
      <c r="T196" s="523" t="e">
        <v>#N/A</v>
      </c>
      <c r="U196" s="523" t="e">
        <v>#N/A</v>
      </c>
      <c r="V196" s="523" t="e">
        <v>#N/A</v>
      </c>
      <c r="W196" s="523" t="e">
        <v>#N/A</v>
      </c>
      <c r="X196" s="523" t="e">
        <v>#N/A</v>
      </c>
      <c r="Y196" s="523" t="e">
        <v>#N/A</v>
      </c>
      <c r="Z196" s="523"/>
      <c r="AA196" s="523"/>
    </row>
    <row r="197" spans="1:27" x14ac:dyDescent="0.2">
      <c r="A197" s="222">
        <f>calculs!A197</f>
        <v>44748</v>
      </c>
      <c r="B197" s="523" t="e">
        <f ca="1">gr(données_step[[#This Row],[E_DBO5]])</f>
        <v>#NAME?</v>
      </c>
      <c r="C197" s="523" t="e">
        <f ca="1">gr(données_step[[#This Row],[E_DCO]])</f>
        <v>#NAME?</v>
      </c>
      <c r="D197" s="523" t="e">
        <f ca="1">gr(données_step[[#This Row],[E_COT]])</f>
        <v>#NAME?</v>
      </c>
      <c r="E197" s="523" t="e">
        <f ca="1">gr(données_step[[#This Row],[E_NH4]])</f>
        <v>#NAME?</v>
      </c>
      <c r="F197" s="523" t="e">
        <f ca="1">gr(données_step[[#This Row],[E_NTOT]])</f>
        <v>#NAME?</v>
      </c>
      <c r="G197" s="523" t="e">
        <f ca="1">gr(données_step[[#This Row],[E_PTOT]])</f>
        <v>#NAME?</v>
      </c>
      <c r="H197" s="523" t="e">
        <f ca="1">gr(données_step[[#This Row],[S_DBO5]])</f>
        <v>#NAME?</v>
      </c>
      <c r="I197" s="523" t="e">
        <f ca="1">gr(données_step[[#This Row],[S_DCO]])</f>
        <v>#NAME?</v>
      </c>
      <c r="J197" s="523" t="e">
        <f ca="1">gr(données_step[[#This Row],[S_COD]])</f>
        <v>#NAME?</v>
      </c>
      <c r="K197" s="523" t="e">
        <f ca="1">gr(données_step[[#This Row],[S_NH4]])</f>
        <v>#NAME?</v>
      </c>
      <c r="L197" s="523" t="e">
        <f ca="1">gr(données_step[[#This Row],[S_NO2]])</f>
        <v>#NAME?</v>
      </c>
      <c r="M197" s="523" t="e">
        <f ca="1">gr(données_step[[#This Row],[S_NO3]])</f>
        <v>#NAME?</v>
      </c>
      <c r="N197" s="523" t="e">
        <f ca="1">gr(données_step[[#This Row],[S_PORTH]])</f>
        <v>#NAME?</v>
      </c>
      <c r="O197" s="523" t="e">
        <f ca="1">gr(données_step[[#This Row],[S_PTOT]])</f>
        <v>#NAME?</v>
      </c>
      <c r="P197" s="523" t="e">
        <f ca="1">gr(données_step[[#This Row],[S_MES]])</f>
        <v>#NAME?</v>
      </c>
      <c r="Q197" s="523" t="e">
        <v>#N/A</v>
      </c>
      <c r="R197" s="523" t="e">
        <v>#N/A</v>
      </c>
      <c r="S197" s="523" t="e">
        <v>#N/A</v>
      </c>
      <c r="T197" s="523" t="e">
        <v>#N/A</v>
      </c>
      <c r="U197" s="523" t="e">
        <v>#N/A</v>
      </c>
      <c r="V197" s="523" t="e">
        <v>#N/A</v>
      </c>
      <c r="W197" s="523" t="e">
        <v>#N/A</v>
      </c>
      <c r="X197" s="523" t="e">
        <v>#N/A</v>
      </c>
      <c r="Y197" s="523" t="e">
        <v>#N/A</v>
      </c>
      <c r="Z197" s="523"/>
      <c r="AA197" s="523"/>
    </row>
    <row r="198" spans="1:27" x14ac:dyDescent="0.2">
      <c r="A198" s="222">
        <f>calculs!A198</f>
        <v>44749</v>
      </c>
      <c r="B198" s="523" t="e">
        <f ca="1">gr(données_step[[#This Row],[E_DBO5]])</f>
        <v>#NAME?</v>
      </c>
      <c r="C198" s="523" t="e">
        <f ca="1">gr(données_step[[#This Row],[E_DCO]])</f>
        <v>#NAME?</v>
      </c>
      <c r="D198" s="523" t="e">
        <f ca="1">gr(données_step[[#This Row],[E_COT]])</f>
        <v>#NAME?</v>
      </c>
      <c r="E198" s="523" t="e">
        <f ca="1">gr(données_step[[#This Row],[E_NH4]])</f>
        <v>#NAME?</v>
      </c>
      <c r="F198" s="523" t="e">
        <f ca="1">gr(données_step[[#This Row],[E_NTOT]])</f>
        <v>#NAME?</v>
      </c>
      <c r="G198" s="523" t="e">
        <f ca="1">gr(données_step[[#This Row],[E_PTOT]])</f>
        <v>#NAME?</v>
      </c>
      <c r="H198" s="523" t="e">
        <f ca="1">gr(données_step[[#This Row],[S_DBO5]])</f>
        <v>#NAME?</v>
      </c>
      <c r="I198" s="523" t="e">
        <f ca="1">gr(données_step[[#This Row],[S_DCO]])</f>
        <v>#NAME?</v>
      </c>
      <c r="J198" s="523" t="e">
        <f ca="1">gr(données_step[[#This Row],[S_COD]])</f>
        <v>#NAME?</v>
      </c>
      <c r="K198" s="523" t="e">
        <f ca="1">gr(données_step[[#This Row],[S_NH4]])</f>
        <v>#NAME?</v>
      </c>
      <c r="L198" s="523" t="e">
        <f ca="1">gr(données_step[[#This Row],[S_NO2]])</f>
        <v>#NAME?</v>
      </c>
      <c r="M198" s="523" t="e">
        <f ca="1">gr(données_step[[#This Row],[S_NO3]])</f>
        <v>#NAME?</v>
      </c>
      <c r="N198" s="523" t="e">
        <f ca="1">gr(données_step[[#This Row],[S_PORTH]])</f>
        <v>#NAME?</v>
      </c>
      <c r="O198" s="523" t="e">
        <f ca="1">gr(données_step[[#This Row],[S_PTOT]])</f>
        <v>#NAME?</v>
      </c>
      <c r="P198" s="523" t="e">
        <f ca="1">gr(données_step[[#This Row],[S_MES]])</f>
        <v>#NAME?</v>
      </c>
      <c r="Q198" s="523" t="e">
        <v>#N/A</v>
      </c>
      <c r="R198" s="523" t="e">
        <v>#N/A</v>
      </c>
      <c r="S198" s="523" t="e">
        <v>#N/A</v>
      </c>
      <c r="T198" s="523" t="e">
        <v>#N/A</v>
      </c>
      <c r="U198" s="523" t="e">
        <v>#N/A</v>
      </c>
      <c r="V198" s="523" t="e">
        <v>#N/A</v>
      </c>
      <c r="W198" s="523" t="e">
        <v>#N/A</v>
      </c>
      <c r="X198" s="523" t="e">
        <v>#N/A</v>
      </c>
      <c r="Y198" s="523" t="e">
        <v>#N/A</v>
      </c>
      <c r="Z198" s="523"/>
      <c r="AA198" s="523"/>
    </row>
    <row r="199" spans="1:27" x14ac:dyDescent="0.2">
      <c r="A199" s="222">
        <f>calculs!A199</f>
        <v>44750</v>
      </c>
      <c r="B199" s="523" t="e">
        <f ca="1">gr(données_step[[#This Row],[E_DBO5]])</f>
        <v>#NAME?</v>
      </c>
      <c r="C199" s="523" t="e">
        <f ca="1">gr(données_step[[#This Row],[E_DCO]])</f>
        <v>#NAME?</v>
      </c>
      <c r="D199" s="523" t="e">
        <f ca="1">gr(données_step[[#This Row],[E_COT]])</f>
        <v>#NAME?</v>
      </c>
      <c r="E199" s="523" t="e">
        <f ca="1">gr(données_step[[#This Row],[E_NH4]])</f>
        <v>#NAME?</v>
      </c>
      <c r="F199" s="523" t="e">
        <f ca="1">gr(données_step[[#This Row],[E_NTOT]])</f>
        <v>#NAME?</v>
      </c>
      <c r="G199" s="523" t="e">
        <f ca="1">gr(données_step[[#This Row],[E_PTOT]])</f>
        <v>#NAME?</v>
      </c>
      <c r="H199" s="523" t="e">
        <f ca="1">gr(données_step[[#This Row],[S_DBO5]])</f>
        <v>#NAME?</v>
      </c>
      <c r="I199" s="523" t="e">
        <f ca="1">gr(données_step[[#This Row],[S_DCO]])</f>
        <v>#NAME?</v>
      </c>
      <c r="J199" s="523" t="e">
        <f ca="1">gr(données_step[[#This Row],[S_COD]])</f>
        <v>#NAME?</v>
      </c>
      <c r="K199" s="523" t="e">
        <f ca="1">gr(données_step[[#This Row],[S_NH4]])</f>
        <v>#NAME?</v>
      </c>
      <c r="L199" s="523" t="e">
        <f ca="1">gr(données_step[[#This Row],[S_NO2]])</f>
        <v>#NAME?</v>
      </c>
      <c r="M199" s="523" t="e">
        <f ca="1">gr(données_step[[#This Row],[S_NO3]])</f>
        <v>#NAME?</v>
      </c>
      <c r="N199" s="523" t="e">
        <f ca="1">gr(données_step[[#This Row],[S_PORTH]])</f>
        <v>#NAME?</v>
      </c>
      <c r="O199" s="523" t="e">
        <f ca="1">gr(données_step[[#This Row],[S_PTOT]])</f>
        <v>#NAME?</v>
      </c>
      <c r="P199" s="523" t="e">
        <f ca="1">gr(données_step[[#This Row],[S_MES]])</f>
        <v>#NAME?</v>
      </c>
      <c r="Q199" s="523" t="e">
        <v>#N/A</v>
      </c>
      <c r="R199" s="523" t="e">
        <v>#N/A</v>
      </c>
      <c r="S199" s="523" t="e">
        <v>#N/A</v>
      </c>
      <c r="T199" s="523" t="e">
        <v>#N/A</v>
      </c>
      <c r="U199" s="523" t="e">
        <v>#N/A</v>
      </c>
      <c r="V199" s="523" t="e">
        <v>#N/A</v>
      </c>
      <c r="W199" s="523" t="e">
        <v>#N/A</v>
      </c>
      <c r="X199" s="523" t="e">
        <v>#N/A</v>
      </c>
      <c r="Y199" s="523" t="e">
        <v>#N/A</v>
      </c>
      <c r="Z199" s="523"/>
      <c r="AA199" s="523"/>
    </row>
    <row r="200" spans="1:27" x14ac:dyDescent="0.2">
      <c r="A200" s="222">
        <f>calculs!A200</f>
        <v>44751</v>
      </c>
      <c r="B200" s="523" t="e">
        <f ca="1">gr(données_step[[#This Row],[E_DBO5]])</f>
        <v>#NAME?</v>
      </c>
      <c r="C200" s="523" t="e">
        <f ca="1">gr(données_step[[#This Row],[E_DCO]])</f>
        <v>#NAME?</v>
      </c>
      <c r="D200" s="523" t="e">
        <f ca="1">gr(données_step[[#This Row],[E_COT]])</f>
        <v>#NAME?</v>
      </c>
      <c r="E200" s="523" t="e">
        <f ca="1">gr(données_step[[#This Row],[E_NH4]])</f>
        <v>#NAME?</v>
      </c>
      <c r="F200" s="523" t="e">
        <f ca="1">gr(données_step[[#This Row],[E_NTOT]])</f>
        <v>#NAME?</v>
      </c>
      <c r="G200" s="523" t="e">
        <f ca="1">gr(données_step[[#This Row],[E_PTOT]])</f>
        <v>#NAME?</v>
      </c>
      <c r="H200" s="523" t="e">
        <f ca="1">gr(données_step[[#This Row],[S_DBO5]])</f>
        <v>#NAME?</v>
      </c>
      <c r="I200" s="523" t="e">
        <f ca="1">gr(données_step[[#This Row],[S_DCO]])</f>
        <v>#NAME?</v>
      </c>
      <c r="J200" s="523" t="e">
        <f ca="1">gr(données_step[[#This Row],[S_COD]])</f>
        <v>#NAME?</v>
      </c>
      <c r="K200" s="523" t="e">
        <f ca="1">gr(données_step[[#This Row],[S_NH4]])</f>
        <v>#NAME?</v>
      </c>
      <c r="L200" s="523" t="e">
        <f ca="1">gr(données_step[[#This Row],[S_NO2]])</f>
        <v>#NAME?</v>
      </c>
      <c r="M200" s="523" t="e">
        <f ca="1">gr(données_step[[#This Row],[S_NO3]])</f>
        <v>#NAME?</v>
      </c>
      <c r="N200" s="523" t="e">
        <f ca="1">gr(données_step[[#This Row],[S_PORTH]])</f>
        <v>#NAME?</v>
      </c>
      <c r="O200" s="523" t="e">
        <f ca="1">gr(données_step[[#This Row],[S_PTOT]])</f>
        <v>#NAME?</v>
      </c>
      <c r="P200" s="523" t="e">
        <f ca="1">gr(données_step[[#This Row],[S_MES]])</f>
        <v>#NAME?</v>
      </c>
      <c r="Q200" s="523" t="e">
        <v>#N/A</v>
      </c>
      <c r="R200" s="523" t="e">
        <v>#N/A</v>
      </c>
      <c r="S200" s="523" t="e">
        <v>#N/A</v>
      </c>
      <c r="T200" s="523" t="e">
        <v>#N/A</v>
      </c>
      <c r="U200" s="523" t="e">
        <v>#N/A</v>
      </c>
      <c r="V200" s="523" t="e">
        <v>#N/A</v>
      </c>
      <c r="W200" s="523" t="e">
        <v>#N/A</v>
      </c>
      <c r="X200" s="523" t="e">
        <v>#N/A</v>
      </c>
      <c r="Y200" s="523" t="e">
        <v>#N/A</v>
      </c>
      <c r="Z200" s="523"/>
      <c r="AA200" s="523"/>
    </row>
    <row r="201" spans="1:27" x14ac:dyDescent="0.2">
      <c r="A201" s="222">
        <f>calculs!A201</f>
        <v>44752</v>
      </c>
      <c r="B201" s="523" t="e">
        <f ca="1">gr(données_step[[#This Row],[E_DBO5]])</f>
        <v>#NAME?</v>
      </c>
      <c r="C201" s="523" t="e">
        <f ca="1">gr(données_step[[#This Row],[E_DCO]])</f>
        <v>#NAME?</v>
      </c>
      <c r="D201" s="523" t="e">
        <f ca="1">gr(données_step[[#This Row],[E_COT]])</f>
        <v>#NAME?</v>
      </c>
      <c r="E201" s="523" t="e">
        <f ca="1">gr(données_step[[#This Row],[E_NH4]])</f>
        <v>#NAME?</v>
      </c>
      <c r="F201" s="523" t="e">
        <f ca="1">gr(données_step[[#This Row],[E_NTOT]])</f>
        <v>#NAME?</v>
      </c>
      <c r="G201" s="523" t="e">
        <f ca="1">gr(données_step[[#This Row],[E_PTOT]])</f>
        <v>#NAME?</v>
      </c>
      <c r="H201" s="523" t="e">
        <f ca="1">gr(données_step[[#This Row],[S_DBO5]])</f>
        <v>#NAME?</v>
      </c>
      <c r="I201" s="523" t="e">
        <f ca="1">gr(données_step[[#This Row],[S_DCO]])</f>
        <v>#NAME?</v>
      </c>
      <c r="J201" s="523" t="e">
        <f ca="1">gr(données_step[[#This Row],[S_COD]])</f>
        <v>#NAME?</v>
      </c>
      <c r="K201" s="523" t="e">
        <f ca="1">gr(données_step[[#This Row],[S_NH4]])</f>
        <v>#NAME?</v>
      </c>
      <c r="L201" s="523" t="e">
        <f ca="1">gr(données_step[[#This Row],[S_NO2]])</f>
        <v>#NAME?</v>
      </c>
      <c r="M201" s="523" t="e">
        <f ca="1">gr(données_step[[#This Row],[S_NO3]])</f>
        <v>#NAME?</v>
      </c>
      <c r="N201" s="523" t="e">
        <f ca="1">gr(données_step[[#This Row],[S_PORTH]])</f>
        <v>#NAME?</v>
      </c>
      <c r="O201" s="523" t="e">
        <f ca="1">gr(données_step[[#This Row],[S_PTOT]])</f>
        <v>#NAME?</v>
      </c>
      <c r="P201" s="523" t="e">
        <f ca="1">gr(données_step[[#This Row],[S_MES]])</f>
        <v>#NAME?</v>
      </c>
      <c r="Q201" s="523" t="e">
        <v>#N/A</v>
      </c>
      <c r="R201" s="523" t="e">
        <v>#N/A</v>
      </c>
      <c r="S201" s="523" t="e">
        <v>#N/A</v>
      </c>
      <c r="T201" s="523" t="e">
        <v>#N/A</v>
      </c>
      <c r="U201" s="523" t="e">
        <v>#N/A</v>
      </c>
      <c r="V201" s="523" t="e">
        <v>#N/A</v>
      </c>
      <c r="W201" s="523" t="e">
        <v>#N/A</v>
      </c>
      <c r="X201" s="523" t="e">
        <v>#N/A</v>
      </c>
      <c r="Y201" s="523" t="e">
        <v>#N/A</v>
      </c>
      <c r="Z201" s="523"/>
      <c r="AA201" s="523"/>
    </row>
    <row r="202" spans="1:27" x14ac:dyDescent="0.2">
      <c r="A202" s="222">
        <f>calculs!A202</f>
        <v>44753</v>
      </c>
      <c r="B202" s="523" t="e">
        <f ca="1">gr(données_step[[#This Row],[E_DBO5]])</f>
        <v>#NAME?</v>
      </c>
      <c r="C202" s="523" t="e">
        <f ca="1">gr(données_step[[#This Row],[E_DCO]])</f>
        <v>#NAME?</v>
      </c>
      <c r="D202" s="523" t="e">
        <f ca="1">gr(données_step[[#This Row],[E_COT]])</f>
        <v>#NAME?</v>
      </c>
      <c r="E202" s="523" t="e">
        <f ca="1">gr(données_step[[#This Row],[E_NH4]])</f>
        <v>#NAME?</v>
      </c>
      <c r="F202" s="523" t="e">
        <f ca="1">gr(données_step[[#This Row],[E_NTOT]])</f>
        <v>#NAME?</v>
      </c>
      <c r="G202" s="523" t="e">
        <f ca="1">gr(données_step[[#This Row],[E_PTOT]])</f>
        <v>#NAME?</v>
      </c>
      <c r="H202" s="523" t="e">
        <f ca="1">gr(données_step[[#This Row],[S_DBO5]])</f>
        <v>#NAME?</v>
      </c>
      <c r="I202" s="523" t="e">
        <f ca="1">gr(données_step[[#This Row],[S_DCO]])</f>
        <v>#NAME?</v>
      </c>
      <c r="J202" s="523" t="e">
        <f ca="1">gr(données_step[[#This Row],[S_COD]])</f>
        <v>#NAME?</v>
      </c>
      <c r="K202" s="523" t="e">
        <f ca="1">gr(données_step[[#This Row],[S_NH4]])</f>
        <v>#NAME?</v>
      </c>
      <c r="L202" s="523" t="e">
        <f ca="1">gr(données_step[[#This Row],[S_NO2]])</f>
        <v>#NAME?</v>
      </c>
      <c r="M202" s="523" t="e">
        <f ca="1">gr(données_step[[#This Row],[S_NO3]])</f>
        <v>#NAME?</v>
      </c>
      <c r="N202" s="523" t="e">
        <f ca="1">gr(données_step[[#This Row],[S_PORTH]])</f>
        <v>#NAME?</v>
      </c>
      <c r="O202" s="523" t="e">
        <f ca="1">gr(données_step[[#This Row],[S_PTOT]])</f>
        <v>#NAME?</v>
      </c>
      <c r="P202" s="523" t="e">
        <f ca="1">gr(données_step[[#This Row],[S_MES]])</f>
        <v>#NAME?</v>
      </c>
      <c r="Q202" s="523" t="e">
        <v>#N/A</v>
      </c>
      <c r="R202" s="523" t="e">
        <v>#N/A</v>
      </c>
      <c r="S202" s="523" t="e">
        <v>#N/A</v>
      </c>
      <c r="T202" s="523" t="e">
        <v>#N/A</v>
      </c>
      <c r="U202" s="523" t="e">
        <v>#N/A</v>
      </c>
      <c r="V202" s="523" t="e">
        <v>#N/A</v>
      </c>
      <c r="W202" s="523" t="e">
        <v>#N/A</v>
      </c>
      <c r="X202" s="523" t="e">
        <v>#N/A</v>
      </c>
      <c r="Y202" s="523" t="e">
        <v>#N/A</v>
      </c>
      <c r="Z202" s="523"/>
      <c r="AA202" s="523"/>
    </row>
    <row r="203" spans="1:27" x14ac:dyDescent="0.2">
      <c r="A203" s="222">
        <f>calculs!A203</f>
        <v>44754</v>
      </c>
      <c r="B203" s="523" t="e">
        <f ca="1">gr(données_step[[#This Row],[E_DBO5]])</f>
        <v>#NAME?</v>
      </c>
      <c r="C203" s="523" t="e">
        <f ca="1">gr(données_step[[#This Row],[E_DCO]])</f>
        <v>#NAME?</v>
      </c>
      <c r="D203" s="523" t="e">
        <f ca="1">gr(données_step[[#This Row],[E_COT]])</f>
        <v>#NAME?</v>
      </c>
      <c r="E203" s="523" t="e">
        <f ca="1">gr(données_step[[#This Row],[E_NH4]])</f>
        <v>#NAME?</v>
      </c>
      <c r="F203" s="523" t="e">
        <f ca="1">gr(données_step[[#This Row],[E_NTOT]])</f>
        <v>#NAME?</v>
      </c>
      <c r="G203" s="523" t="e">
        <f ca="1">gr(données_step[[#This Row],[E_PTOT]])</f>
        <v>#NAME?</v>
      </c>
      <c r="H203" s="523" t="e">
        <f ca="1">gr(données_step[[#This Row],[S_DBO5]])</f>
        <v>#NAME?</v>
      </c>
      <c r="I203" s="523" t="e">
        <f ca="1">gr(données_step[[#This Row],[S_DCO]])</f>
        <v>#NAME?</v>
      </c>
      <c r="J203" s="523" t="e">
        <f ca="1">gr(données_step[[#This Row],[S_COD]])</f>
        <v>#NAME?</v>
      </c>
      <c r="K203" s="523" t="e">
        <f ca="1">gr(données_step[[#This Row],[S_NH4]])</f>
        <v>#NAME?</v>
      </c>
      <c r="L203" s="523" t="e">
        <f ca="1">gr(données_step[[#This Row],[S_NO2]])</f>
        <v>#NAME?</v>
      </c>
      <c r="M203" s="523" t="e">
        <f ca="1">gr(données_step[[#This Row],[S_NO3]])</f>
        <v>#NAME?</v>
      </c>
      <c r="N203" s="523" t="e">
        <f ca="1">gr(données_step[[#This Row],[S_PORTH]])</f>
        <v>#NAME?</v>
      </c>
      <c r="O203" s="523" t="e">
        <f ca="1">gr(données_step[[#This Row],[S_PTOT]])</f>
        <v>#NAME?</v>
      </c>
      <c r="P203" s="523" t="e">
        <f ca="1">gr(données_step[[#This Row],[S_MES]])</f>
        <v>#NAME?</v>
      </c>
      <c r="Q203" s="523" t="e">
        <v>#N/A</v>
      </c>
      <c r="R203" s="523" t="e">
        <v>#N/A</v>
      </c>
      <c r="S203" s="523" t="e">
        <v>#N/A</v>
      </c>
      <c r="T203" s="523" t="e">
        <v>#N/A</v>
      </c>
      <c r="U203" s="523" t="e">
        <v>#N/A</v>
      </c>
      <c r="V203" s="523" t="e">
        <v>#N/A</v>
      </c>
      <c r="W203" s="523" t="e">
        <v>#N/A</v>
      </c>
      <c r="X203" s="523" t="e">
        <v>#N/A</v>
      </c>
      <c r="Y203" s="523" t="e">
        <v>#N/A</v>
      </c>
      <c r="Z203" s="523"/>
      <c r="AA203" s="523"/>
    </row>
    <row r="204" spans="1:27" x14ac:dyDescent="0.2">
      <c r="A204" s="222">
        <f>calculs!A204</f>
        <v>44755</v>
      </c>
      <c r="B204" s="523" t="e">
        <f ca="1">gr(données_step[[#This Row],[E_DBO5]])</f>
        <v>#NAME?</v>
      </c>
      <c r="C204" s="523" t="e">
        <f ca="1">gr(données_step[[#This Row],[E_DCO]])</f>
        <v>#NAME?</v>
      </c>
      <c r="D204" s="523" t="e">
        <f ca="1">gr(données_step[[#This Row],[E_COT]])</f>
        <v>#NAME?</v>
      </c>
      <c r="E204" s="523" t="e">
        <f ca="1">gr(données_step[[#This Row],[E_NH4]])</f>
        <v>#NAME?</v>
      </c>
      <c r="F204" s="523" t="e">
        <f ca="1">gr(données_step[[#This Row],[E_NTOT]])</f>
        <v>#NAME?</v>
      </c>
      <c r="G204" s="523" t="e">
        <f ca="1">gr(données_step[[#This Row],[E_PTOT]])</f>
        <v>#NAME?</v>
      </c>
      <c r="H204" s="523" t="e">
        <f ca="1">gr(données_step[[#This Row],[S_DBO5]])</f>
        <v>#NAME?</v>
      </c>
      <c r="I204" s="523" t="e">
        <f ca="1">gr(données_step[[#This Row],[S_DCO]])</f>
        <v>#NAME?</v>
      </c>
      <c r="J204" s="523" t="e">
        <f ca="1">gr(données_step[[#This Row],[S_COD]])</f>
        <v>#NAME?</v>
      </c>
      <c r="K204" s="523" t="e">
        <f ca="1">gr(données_step[[#This Row],[S_NH4]])</f>
        <v>#NAME?</v>
      </c>
      <c r="L204" s="523" t="e">
        <f ca="1">gr(données_step[[#This Row],[S_NO2]])</f>
        <v>#NAME?</v>
      </c>
      <c r="M204" s="523" t="e">
        <f ca="1">gr(données_step[[#This Row],[S_NO3]])</f>
        <v>#NAME?</v>
      </c>
      <c r="N204" s="523" t="e">
        <f ca="1">gr(données_step[[#This Row],[S_PORTH]])</f>
        <v>#NAME?</v>
      </c>
      <c r="O204" s="523" t="e">
        <f ca="1">gr(données_step[[#This Row],[S_PTOT]])</f>
        <v>#NAME?</v>
      </c>
      <c r="P204" s="523" t="e">
        <f ca="1">gr(données_step[[#This Row],[S_MES]])</f>
        <v>#NAME?</v>
      </c>
      <c r="Q204" s="523" t="e">
        <v>#N/A</v>
      </c>
      <c r="R204" s="523" t="e">
        <v>#N/A</v>
      </c>
      <c r="S204" s="523" t="e">
        <v>#N/A</v>
      </c>
      <c r="T204" s="523" t="e">
        <v>#N/A</v>
      </c>
      <c r="U204" s="523" t="e">
        <v>#N/A</v>
      </c>
      <c r="V204" s="523" t="e">
        <v>#N/A</v>
      </c>
      <c r="W204" s="523" t="e">
        <v>#N/A</v>
      </c>
      <c r="X204" s="523" t="e">
        <v>#N/A</v>
      </c>
      <c r="Y204" s="523" t="e">
        <v>#N/A</v>
      </c>
      <c r="Z204" s="523"/>
      <c r="AA204" s="523"/>
    </row>
    <row r="205" spans="1:27" x14ac:dyDescent="0.2">
      <c r="A205" s="222">
        <f>calculs!A205</f>
        <v>44756</v>
      </c>
      <c r="B205" s="523" t="e">
        <f ca="1">gr(données_step[[#This Row],[E_DBO5]])</f>
        <v>#NAME?</v>
      </c>
      <c r="C205" s="523" t="e">
        <f ca="1">gr(données_step[[#This Row],[E_DCO]])</f>
        <v>#NAME?</v>
      </c>
      <c r="D205" s="523" t="e">
        <f ca="1">gr(données_step[[#This Row],[E_COT]])</f>
        <v>#NAME?</v>
      </c>
      <c r="E205" s="523" t="e">
        <f ca="1">gr(données_step[[#This Row],[E_NH4]])</f>
        <v>#NAME?</v>
      </c>
      <c r="F205" s="523" t="e">
        <f ca="1">gr(données_step[[#This Row],[E_NTOT]])</f>
        <v>#NAME?</v>
      </c>
      <c r="G205" s="523" t="e">
        <f ca="1">gr(données_step[[#This Row],[E_PTOT]])</f>
        <v>#NAME?</v>
      </c>
      <c r="H205" s="523" t="e">
        <f ca="1">gr(données_step[[#This Row],[S_DBO5]])</f>
        <v>#NAME?</v>
      </c>
      <c r="I205" s="523" t="e">
        <f ca="1">gr(données_step[[#This Row],[S_DCO]])</f>
        <v>#NAME?</v>
      </c>
      <c r="J205" s="523" t="e">
        <f ca="1">gr(données_step[[#This Row],[S_COD]])</f>
        <v>#NAME?</v>
      </c>
      <c r="K205" s="523" t="e">
        <f ca="1">gr(données_step[[#This Row],[S_NH4]])</f>
        <v>#NAME?</v>
      </c>
      <c r="L205" s="523" t="e">
        <f ca="1">gr(données_step[[#This Row],[S_NO2]])</f>
        <v>#NAME?</v>
      </c>
      <c r="M205" s="523" t="e">
        <f ca="1">gr(données_step[[#This Row],[S_NO3]])</f>
        <v>#NAME?</v>
      </c>
      <c r="N205" s="523" t="e">
        <f ca="1">gr(données_step[[#This Row],[S_PORTH]])</f>
        <v>#NAME?</v>
      </c>
      <c r="O205" s="523" t="e">
        <f ca="1">gr(données_step[[#This Row],[S_PTOT]])</f>
        <v>#NAME?</v>
      </c>
      <c r="P205" s="523" t="e">
        <f ca="1">gr(données_step[[#This Row],[S_MES]])</f>
        <v>#NAME?</v>
      </c>
      <c r="Q205" s="523" t="e">
        <v>#N/A</v>
      </c>
      <c r="R205" s="523" t="e">
        <v>#N/A</v>
      </c>
      <c r="S205" s="523" t="e">
        <v>#N/A</v>
      </c>
      <c r="T205" s="523" t="e">
        <v>#N/A</v>
      </c>
      <c r="U205" s="523" t="e">
        <v>#N/A</v>
      </c>
      <c r="V205" s="523" t="e">
        <v>#N/A</v>
      </c>
      <c r="W205" s="523" t="e">
        <v>#N/A</v>
      </c>
      <c r="X205" s="523" t="e">
        <v>#N/A</v>
      </c>
      <c r="Y205" s="523" t="e">
        <v>#N/A</v>
      </c>
      <c r="Z205" s="523"/>
      <c r="AA205" s="523"/>
    </row>
    <row r="206" spans="1:27" x14ac:dyDescent="0.2">
      <c r="A206" s="222">
        <f>calculs!A206</f>
        <v>44757</v>
      </c>
      <c r="B206" s="523" t="e">
        <f ca="1">gr(données_step[[#This Row],[E_DBO5]])</f>
        <v>#NAME?</v>
      </c>
      <c r="C206" s="523" t="e">
        <f ca="1">gr(données_step[[#This Row],[E_DCO]])</f>
        <v>#NAME?</v>
      </c>
      <c r="D206" s="523" t="e">
        <f ca="1">gr(données_step[[#This Row],[E_COT]])</f>
        <v>#NAME?</v>
      </c>
      <c r="E206" s="523" t="e">
        <f ca="1">gr(données_step[[#This Row],[E_NH4]])</f>
        <v>#NAME?</v>
      </c>
      <c r="F206" s="523" t="e">
        <f ca="1">gr(données_step[[#This Row],[E_NTOT]])</f>
        <v>#NAME?</v>
      </c>
      <c r="G206" s="523" t="e">
        <f ca="1">gr(données_step[[#This Row],[E_PTOT]])</f>
        <v>#NAME?</v>
      </c>
      <c r="H206" s="523" t="e">
        <f ca="1">gr(données_step[[#This Row],[S_DBO5]])</f>
        <v>#NAME?</v>
      </c>
      <c r="I206" s="523" t="e">
        <f ca="1">gr(données_step[[#This Row],[S_DCO]])</f>
        <v>#NAME?</v>
      </c>
      <c r="J206" s="523" t="e">
        <f ca="1">gr(données_step[[#This Row],[S_COD]])</f>
        <v>#NAME?</v>
      </c>
      <c r="K206" s="523" t="e">
        <f ca="1">gr(données_step[[#This Row],[S_NH4]])</f>
        <v>#NAME?</v>
      </c>
      <c r="L206" s="523" t="e">
        <f ca="1">gr(données_step[[#This Row],[S_NO2]])</f>
        <v>#NAME?</v>
      </c>
      <c r="M206" s="523" t="e">
        <f ca="1">gr(données_step[[#This Row],[S_NO3]])</f>
        <v>#NAME?</v>
      </c>
      <c r="N206" s="523" t="e">
        <f ca="1">gr(données_step[[#This Row],[S_PORTH]])</f>
        <v>#NAME?</v>
      </c>
      <c r="O206" s="523" t="e">
        <f ca="1">gr(données_step[[#This Row],[S_PTOT]])</f>
        <v>#NAME?</v>
      </c>
      <c r="P206" s="523" t="e">
        <f ca="1">gr(données_step[[#This Row],[S_MES]])</f>
        <v>#NAME?</v>
      </c>
      <c r="Q206" s="523" t="e">
        <v>#N/A</v>
      </c>
      <c r="R206" s="523" t="e">
        <v>#N/A</v>
      </c>
      <c r="S206" s="523" t="e">
        <v>#N/A</v>
      </c>
      <c r="T206" s="523" t="e">
        <v>#N/A</v>
      </c>
      <c r="U206" s="523" t="e">
        <v>#N/A</v>
      </c>
      <c r="V206" s="523" t="e">
        <v>#N/A</v>
      </c>
      <c r="W206" s="523" t="e">
        <v>#N/A</v>
      </c>
      <c r="X206" s="523" t="e">
        <v>#N/A</v>
      </c>
      <c r="Y206" s="523" t="e">
        <v>#N/A</v>
      </c>
      <c r="Z206" s="523"/>
      <c r="AA206" s="523"/>
    </row>
    <row r="207" spans="1:27" x14ac:dyDescent="0.2">
      <c r="A207" s="222">
        <f>calculs!A207</f>
        <v>44758</v>
      </c>
      <c r="B207" s="523" t="e">
        <f ca="1">gr(données_step[[#This Row],[E_DBO5]])</f>
        <v>#NAME?</v>
      </c>
      <c r="C207" s="523" t="e">
        <f ca="1">gr(données_step[[#This Row],[E_DCO]])</f>
        <v>#NAME?</v>
      </c>
      <c r="D207" s="523" t="e">
        <f ca="1">gr(données_step[[#This Row],[E_COT]])</f>
        <v>#NAME?</v>
      </c>
      <c r="E207" s="523" t="e">
        <f ca="1">gr(données_step[[#This Row],[E_NH4]])</f>
        <v>#NAME?</v>
      </c>
      <c r="F207" s="523" t="e">
        <f ca="1">gr(données_step[[#This Row],[E_NTOT]])</f>
        <v>#NAME?</v>
      </c>
      <c r="G207" s="523" t="e">
        <f ca="1">gr(données_step[[#This Row],[E_PTOT]])</f>
        <v>#NAME?</v>
      </c>
      <c r="H207" s="523" t="e">
        <f ca="1">gr(données_step[[#This Row],[S_DBO5]])</f>
        <v>#NAME?</v>
      </c>
      <c r="I207" s="523" t="e">
        <f ca="1">gr(données_step[[#This Row],[S_DCO]])</f>
        <v>#NAME?</v>
      </c>
      <c r="J207" s="523" t="e">
        <f ca="1">gr(données_step[[#This Row],[S_COD]])</f>
        <v>#NAME?</v>
      </c>
      <c r="K207" s="523" t="e">
        <f ca="1">gr(données_step[[#This Row],[S_NH4]])</f>
        <v>#NAME?</v>
      </c>
      <c r="L207" s="523" t="e">
        <f ca="1">gr(données_step[[#This Row],[S_NO2]])</f>
        <v>#NAME?</v>
      </c>
      <c r="M207" s="523" t="e">
        <f ca="1">gr(données_step[[#This Row],[S_NO3]])</f>
        <v>#NAME?</v>
      </c>
      <c r="N207" s="523" t="e">
        <f ca="1">gr(données_step[[#This Row],[S_PORTH]])</f>
        <v>#NAME?</v>
      </c>
      <c r="O207" s="523" t="e">
        <f ca="1">gr(données_step[[#This Row],[S_PTOT]])</f>
        <v>#NAME?</v>
      </c>
      <c r="P207" s="523" t="e">
        <f ca="1">gr(données_step[[#This Row],[S_MES]])</f>
        <v>#NAME?</v>
      </c>
      <c r="Q207" s="523" t="e">
        <v>#N/A</v>
      </c>
      <c r="R207" s="523" t="e">
        <v>#N/A</v>
      </c>
      <c r="S207" s="523" t="e">
        <v>#N/A</v>
      </c>
      <c r="T207" s="523" t="e">
        <v>#N/A</v>
      </c>
      <c r="U207" s="523" t="e">
        <v>#N/A</v>
      </c>
      <c r="V207" s="523" t="e">
        <v>#N/A</v>
      </c>
      <c r="W207" s="523" t="e">
        <v>#N/A</v>
      </c>
      <c r="X207" s="523" t="e">
        <v>#N/A</v>
      </c>
      <c r="Y207" s="523" t="e">
        <v>#N/A</v>
      </c>
      <c r="Z207" s="523"/>
      <c r="AA207" s="523"/>
    </row>
    <row r="208" spans="1:27" x14ac:dyDescent="0.2">
      <c r="A208" s="222">
        <f>calculs!A208</f>
        <v>44759</v>
      </c>
      <c r="B208" s="523" t="e">
        <f ca="1">gr(données_step[[#This Row],[E_DBO5]])</f>
        <v>#NAME?</v>
      </c>
      <c r="C208" s="523" t="e">
        <f ca="1">gr(données_step[[#This Row],[E_DCO]])</f>
        <v>#NAME?</v>
      </c>
      <c r="D208" s="523" t="e">
        <f ca="1">gr(données_step[[#This Row],[E_COT]])</f>
        <v>#NAME?</v>
      </c>
      <c r="E208" s="523" t="e">
        <f ca="1">gr(données_step[[#This Row],[E_NH4]])</f>
        <v>#NAME?</v>
      </c>
      <c r="F208" s="523" t="e">
        <f ca="1">gr(données_step[[#This Row],[E_NTOT]])</f>
        <v>#NAME?</v>
      </c>
      <c r="G208" s="523" t="e">
        <f ca="1">gr(données_step[[#This Row],[E_PTOT]])</f>
        <v>#NAME?</v>
      </c>
      <c r="H208" s="523" t="e">
        <f ca="1">gr(données_step[[#This Row],[S_DBO5]])</f>
        <v>#NAME?</v>
      </c>
      <c r="I208" s="523" t="e">
        <f ca="1">gr(données_step[[#This Row],[S_DCO]])</f>
        <v>#NAME?</v>
      </c>
      <c r="J208" s="523" t="e">
        <f ca="1">gr(données_step[[#This Row],[S_COD]])</f>
        <v>#NAME?</v>
      </c>
      <c r="K208" s="523" t="e">
        <f ca="1">gr(données_step[[#This Row],[S_NH4]])</f>
        <v>#NAME?</v>
      </c>
      <c r="L208" s="523" t="e">
        <f ca="1">gr(données_step[[#This Row],[S_NO2]])</f>
        <v>#NAME?</v>
      </c>
      <c r="M208" s="523" t="e">
        <f ca="1">gr(données_step[[#This Row],[S_NO3]])</f>
        <v>#NAME?</v>
      </c>
      <c r="N208" s="523" t="e">
        <f ca="1">gr(données_step[[#This Row],[S_PORTH]])</f>
        <v>#NAME?</v>
      </c>
      <c r="O208" s="523" t="e">
        <f ca="1">gr(données_step[[#This Row],[S_PTOT]])</f>
        <v>#NAME?</v>
      </c>
      <c r="P208" s="523" t="e">
        <f ca="1">gr(données_step[[#This Row],[S_MES]])</f>
        <v>#NAME?</v>
      </c>
      <c r="Q208" s="523" t="e">
        <v>#N/A</v>
      </c>
      <c r="R208" s="523" t="e">
        <v>#N/A</v>
      </c>
      <c r="S208" s="523" t="e">
        <v>#N/A</v>
      </c>
      <c r="T208" s="523" t="e">
        <v>#N/A</v>
      </c>
      <c r="U208" s="523" t="e">
        <v>#N/A</v>
      </c>
      <c r="V208" s="523" t="e">
        <v>#N/A</v>
      </c>
      <c r="W208" s="523" t="e">
        <v>#N/A</v>
      </c>
      <c r="X208" s="523" t="e">
        <v>#N/A</v>
      </c>
      <c r="Y208" s="523" t="e">
        <v>#N/A</v>
      </c>
      <c r="Z208" s="523"/>
      <c r="AA208" s="523"/>
    </row>
    <row r="209" spans="1:27" x14ac:dyDescent="0.2">
      <c r="A209" s="222">
        <f>calculs!A209</f>
        <v>44760</v>
      </c>
      <c r="B209" s="523" t="e">
        <f ca="1">gr(données_step[[#This Row],[E_DBO5]])</f>
        <v>#NAME?</v>
      </c>
      <c r="C209" s="523" t="e">
        <f ca="1">gr(données_step[[#This Row],[E_DCO]])</f>
        <v>#NAME?</v>
      </c>
      <c r="D209" s="523" t="e">
        <f ca="1">gr(données_step[[#This Row],[E_COT]])</f>
        <v>#NAME?</v>
      </c>
      <c r="E209" s="523" t="e">
        <f ca="1">gr(données_step[[#This Row],[E_NH4]])</f>
        <v>#NAME?</v>
      </c>
      <c r="F209" s="523" t="e">
        <f ca="1">gr(données_step[[#This Row],[E_NTOT]])</f>
        <v>#NAME?</v>
      </c>
      <c r="G209" s="523" t="e">
        <f ca="1">gr(données_step[[#This Row],[E_PTOT]])</f>
        <v>#NAME?</v>
      </c>
      <c r="H209" s="523" t="e">
        <f ca="1">gr(données_step[[#This Row],[S_DBO5]])</f>
        <v>#NAME?</v>
      </c>
      <c r="I209" s="523" t="e">
        <f ca="1">gr(données_step[[#This Row],[S_DCO]])</f>
        <v>#NAME?</v>
      </c>
      <c r="J209" s="523" t="e">
        <f ca="1">gr(données_step[[#This Row],[S_COD]])</f>
        <v>#NAME?</v>
      </c>
      <c r="K209" s="523" t="e">
        <f ca="1">gr(données_step[[#This Row],[S_NH4]])</f>
        <v>#NAME?</v>
      </c>
      <c r="L209" s="523" t="e">
        <f ca="1">gr(données_step[[#This Row],[S_NO2]])</f>
        <v>#NAME?</v>
      </c>
      <c r="M209" s="523" t="e">
        <f ca="1">gr(données_step[[#This Row],[S_NO3]])</f>
        <v>#NAME?</v>
      </c>
      <c r="N209" s="523" t="e">
        <f ca="1">gr(données_step[[#This Row],[S_PORTH]])</f>
        <v>#NAME?</v>
      </c>
      <c r="O209" s="523" t="e">
        <f ca="1">gr(données_step[[#This Row],[S_PTOT]])</f>
        <v>#NAME?</v>
      </c>
      <c r="P209" s="523" t="e">
        <f ca="1">gr(données_step[[#This Row],[S_MES]])</f>
        <v>#NAME?</v>
      </c>
      <c r="Q209" s="523" t="e">
        <v>#N/A</v>
      </c>
      <c r="R209" s="523" t="e">
        <v>#N/A</v>
      </c>
      <c r="S209" s="523" t="e">
        <v>#N/A</v>
      </c>
      <c r="T209" s="523" t="e">
        <v>#N/A</v>
      </c>
      <c r="U209" s="523" t="e">
        <v>#N/A</v>
      </c>
      <c r="V209" s="523" t="e">
        <v>#N/A</v>
      </c>
      <c r="W209" s="523" t="e">
        <v>#N/A</v>
      </c>
      <c r="X209" s="523" t="e">
        <v>#N/A</v>
      </c>
      <c r="Y209" s="523" t="e">
        <v>#N/A</v>
      </c>
      <c r="Z209" s="523"/>
      <c r="AA209" s="523"/>
    </row>
    <row r="210" spans="1:27" x14ac:dyDescent="0.2">
      <c r="A210" s="222">
        <f>calculs!A210</f>
        <v>44761</v>
      </c>
      <c r="B210" s="523" t="e">
        <f ca="1">gr(données_step[[#This Row],[E_DBO5]])</f>
        <v>#NAME?</v>
      </c>
      <c r="C210" s="523" t="e">
        <f ca="1">gr(données_step[[#This Row],[E_DCO]])</f>
        <v>#NAME?</v>
      </c>
      <c r="D210" s="523" t="e">
        <f ca="1">gr(données_step[[#This Row],[E_COT]])</f>
        <v>#NAME?</v>
      </c>
      <c r="E210" s="523" t="e">
        <f ca="1">gr(données_step[[#This Row],[E_NH4]])</f>
        <v>#NAME?</v>
      </c>
      <c r="F210" s="523" t="e">
        <f ca="1">gr(données_step[[#This Row],[E_NTOT]])</f>
        <v>#NAME?</v>
      </c>
      <c r="G210" s="523" t="e">
        <f ca="1">gr(données_step[[#This Row],[E_PTOT]])</f>
        <v>#NAME?</v>
      </c>
      <c r="H210" s="523" t="e">
        <f ca="1">gr(données_step[[#This Row],[S_DBO5]])</f>
        <v>#NAME?</v>
      </c>
      <c r="I210" s="523" t="e">
        <f ca="1">gr(données_step[[#This Row],[S_DCO]])</f>
        <v>#NAME?</v>
      </c>
      <c r="J210" s="523" t="e">
        <f ca="1">gr(données_step[[#This Row],[S_COD]])</f>
        <v>#NAME?</v>
      </c>
      <c r="K210" s="523" t="e">
        <f ca="1">gr(données_step[[#This Row],[S_NH4]])</f>
        <v>#NAME?</v>
      </c>
      <c r="L210" s="523" t="e">
        <f ca="1">gr(données_step[[#This Row],[S_NO2]])</f>
        <v>#NAME?</v>
      </c>
      <c r="M210" s="523" t="e">
        <f ca="1">gr(données_step[[#This Row],[S_NO3]])</f>
        <v>#NAME?</v>
      </c>
      <c r="N210" s="523" t="e">
        <f ca="1">gr(données_step[[#This Row],[S_PORTH]])</f>
        <v>#NAME?</v>
      </c>
      <c r="O210" s="523" t="e">
        <f ca="1">gr(données_step[[#This Row],[S_PTOT]])</f>
        <v>#NAME?</v>
      </c>
      <c r="P210" s="523" t="e">
        <f ca="1">gr(données_step[[#This Row],[S_MES]])</f>
        <v>#NAME?</v>
      </c>
      <c r="Q210" s="523" t="e">
        <v>#N/A</v>
      </c>
      <c r="R210" s="523" t="e">
        <v>#N/A</v>
      </c>
      <c r="S210" s="523" t="e">
        <v>#N/A</v>
      </c>
      <c r="T210" s="523" t="e">
        <v>#N/A</v>
      </c>
      <c r="U210" s="523" t="e">
        <v>#N/A</v>
      </c>
      <c r="V210" s="523" t="e">
        <v>#N/A</v>
      </c>
      <c r="W210" s="523" t="e">
        <v>#N/A</v>
      </c>
      <c r="X210" s="523" t="e">
        <v>#N/A</v>
      </c>
      <c r="Y210" s="523" t="e">
        <v>#N/A</v>
      </c>
      <c r="Z210" s="523"/>
      <c r="AA210" s="523"/>
    </row>
    <row r="211" spans="1:27" x14ac:dyDescent="0.2">
      <c r="A211" s="222">
        <f>calculs!A211</f>
        <v>44762</v>
      </c>
      <c r="B211" s="523" t="e">
        <f ca="1">gr(données_step[[#This Row],[E_DBO5]])</f>
        <v>#NAME?</v>
      </c>
      <c r="C211" s="523" t="e">
        <f ca="1">gr(données_step[[#This Row],[E_DCO]])</f>
        <v>#NAME?</v>
      </c>
      <c r="D211" s="523" t="e">
        <f ca="1">gr(données_step[[#This Row],[E_COT]])</f>
        <v>#NAME?</v>
      </c>
      <c r="E211" s="523" t="e">
        <f ca="1">gr(données_step[[#This Row],[E_NH4]])</f>
        <v>#NAME?</v>
      </c>
      <c r="F211" s="523" t="e">
        <f ca="1">gr(données_step[[#This Row],[E_NTOT]])</f>
        <v>#NAME?</v>
      </c>
      <c r="G211" s="523" t="e">
        <f ca="1">gr(données_step[[#This Row],[E_PTOT]])</f>
        <v>#NAME?</v>
      </c>
      <c r="H211" s="523" t="e">
        <f ca="1">gr(données_step[[#This Row],[S_DBO5]])</f>
        <v>#NAME?</v>
      </c>
      <c r="I211" s="523" t="e">
        <f ca="1">gr(données_step[[#This Row],[S_DCO]])</f>
        <v>#NAME?</v>
      </c>
      <c r="J211" s="523" t="e">
        <f ca="1">gr(données_step[[#This Row],[S_COD]])</f>
        <v>#NAME?</v>
      </c>
      <c r="K211" s="523" t="e">
        <f ca="1">gr(données_step[[#This Row],[S_NH4]])</f>
        <v>#NAME?</v>
      </c>
      <c r="L211" s="523" t="e">
        <f ca="1">gr(données_step[[#This Row],[S_NO2]])</f>
        <v>#NAME?</v>
      </c>
      <c r="M211" s="523" t="e">
        <f ca="1">gr(données_step[[#This Row],[S_NO3]])</f>
        <v>#NAME?</v>
      </c>
      <c r="N211" s="523" t="e">
        <f ca="1">gr(données_step[[#This Row],[S_PORTH]])</f>
        <v>#NAME?</v>
      </c>
      <c r="O211" s="523" t="e">
        <f ca="1">gr(données_step[[#This Row],[S_PTOT]])</f>
        <v>#NAME?</v>
      </c>
      <c r="P211" s="523" t="e">
        <f ca="1">gr(données_step[[#This Row],[S_MES]])</f>
        <v>#NAME?</v>
      </c>
      <c r="Q211" s="523" t="e">
        <v>#N/A</v>
      </c>
      <c r="R211" s="523" t="e">
        <v>#N/A</v>
      </c>
      <c r="S211" s="523" t="e">
        <v>#N/A</v>
      </c>
      <c r="T211" s="523" t="e">
        <v>#N/A</v>
      </c>
      <c r="U211" s="523" t="e">
        <v>#N/A</v>
      </c>
      <c r="V211" s="523" t="e">
        <v>#N/A</v>
      </c>
      <c r="W211" s="523" t="e">
        <v>#N/A</v>
      </c>
      <c r="X211" s="523" t="e">
        <v>#N/A</v>
      </c>
      <c r="Y211" s="523" t="e">
        <v>#N/A</v>
      </c>
      <c r="Z211" s="523"/>
      <c r="AA211" s="523"/>
    </row>
    <row r="212" spans="1:27" x14ac:dyDescent="0.2">
      <c r="A212" s="222">
        <f>calculs!A212</f>
        <v>44763</v>
      </c>
      <c r="B212" s="523" t="e">
        <f ca="1">gr(données_step[[#This Row],[E_DBO5]])</f>
        <v>#NAME?</v>
      </c>
      <c r="C212" s="523" t="e">
        <f ca="1">gr(données_step[[#This Row],[E_DCO]])</f>
        <v>#NAME?</v>
      </c>
      <c r="D212" s="523" t="e">
        <f ca="1">gr(données_step[[#This Row],[E_COT]])</f>
        <v>#NAME?</v>
      </c>
      <c r="E212" s="523" t="e">
        <f ca="1">gr(données_step[[#This Row],[E_NH4]])</f>
        <v>#NAME?</v>
      </c>
      <c r="F212" s="523" t="e">
        <f ca="1">gr(données_step[[#This Row],[E_NTOT]])</f>
        <v>#NAME?</v>
      </c>
      <c r="G212" s="523" t="e">
        <f ca="1">gr(données_step[[#This Row],[E_PTOT]])</f>
        <v>#NAME?</v>
      </c>
      <c r="H212" s="523" t="e">
        <f ca="1">gr(données_step[[#This Row],[S_DBO5]])</f>
        <v>#NAME?</v>
      </c>
      <c r="I212" s="523" t="e">
        <f ca="1">gr(données_step[[#This Row],[S_DCO]])</f>
        <v>#NAME?</v>
      </c>
      <c r="J212" s="523" t="e">
        <f ca="1">gr(données_step[[#This Row],[S_COD]])</f>
        <v>#NAME?</v>
      </c>
      <c r="K212" s="523" t="e">
        <f ca="1">gr(données_step[[#This Row],[S_NH4]])</f>
        <v>#NAME?</v>
      </c>
      <c r="L212" s="523" t="e">
        <f ca="1">gr(données_step[[#This Row],[S_NO2]])</f>
        <v>#NAME?</v>
      </c>
      <c r="M212" s="523" t="e">
        <f ca="1">gr(données_step[[#This Row],[S_NO3]])</f>
        <v>#NAME?</v>
      </c>
      <c r="N212" s="523" t="e">
        <f ca="1">gr(données_step[[#This Row],[S_PORTH]])</f>
        <v>#NAME?</v>
      </c>
      <c r="O212" s="523" t="e">
        <f ca="1">gr(données_step[[#This Row],[S_PTOT]])</f>
        <v>#NAME?</v>
      </c>
      <c r="P212" s="523" t="e">
        <f ca="1">gr(données_step[[#This Row],[S_MES]])</f>
        <v>#NAME?</v>
      </c>
      <c r="Q212" s="523" t="e">
        <v>#N/A</v>
      </c>
      <c r="R212" s="523" t="e">
        <v>#N/A</v>
      </c>
      <c r="S212" s="523" t="e">
        <v>#N/A</v>
      </c>
      <c r="T212" s="523" t="e">
        <v>#N/A</v>
      </c>
      <c r="U212" s="523" t="e">
        <v>#N/A</v>
      </c>
      <c r="V212" s="523" t="e">
        <v>#N/A</v>
      </c>
      <c r="W212" s="523" t="e">
        <v>#N/A</v>
      </c>
      <c r="X212" s="523" t="e">
        <v>#N/A</v>
      </c>
      <c r="Y212" s="523" t="e">
        <v>#N/A</v>
      </c>
      <c r="Z212" s="523"/>
      <c r="AA212" s="523"/>
    </row>
    <row r="213" spans="1:27" x14ac:dyDescent="0.2">
      <c r="A213" s="222">
        <f>calculs!A213</f>
        <v>44764</v>
      </c>
      <c r="B213" s="523" t="e">
        <f ca="1">gr(données_step[[#This Row],[E_DBO5]])</f>
        <v>#NAME?</v>
      </c>
      <c r="C213" s="523" t="e">
        <f ca="1">gr(données_step[[#This Row],[E_DCO]])</f>
        <v>#NAME?</v>
      </c>
      <c r="D213" s="523" t="e">
        <f ca="1">gr(données_step[[#This Row],[E_COT]])</f>
        <v>#NAME?</v>
      </c>
      <c r="E213" s="523" t="e">
        <f ca="1">gr(données_step[[#This Row],[E_NH4]])</f>
        <v>#NAME?</v>
      </c>
      <c r="F213" s="523" t="e">
        <f ca="1">gr(données_step[[#This Row],[E_NTOT]])</f>
        <v>#NAME?</v>
      </c>
      <c r="G213" s="523" t="e">
        <f ca="1">gr(données_step[[#This Row],[E_PTOT]])</f>
        <v>#NAME?</v>
      </c>
      <c r="H213" s="523" t="e">
        <f ca="1">gr(données_step[[#This Row],[S_DBO5]])</f>
        <v>#NAME?</v>
      </c>
      <c r="I213" s="523" t="e">
        <f ca="1">gr(données_step[[#This Row],[S_DCO]])</f>
        <v>#NAME?</v>
      </c>
      <c r="J213" s="523" t="e">
        <f ca="1">gr(données_step[[#This Row],[S_COD]])</f>
        <v>#NAME?</v>
      </c>
      <c r="K213" s="523" t="e">
        <f ca="1">gr(données_step[[#This Row],[S_NH4]])</f>
        <v>#NAME?</v>
      </c>
      <c r="L213" s="523" t="e">
        <f ca="1">gr(données_step[[#This Row],[S_NO2]])</f>
        <v>#NAME?</v>
      </c>
      <c r="M213" s="523" t="e">
        <f ca="1">gr(données_step[[#This Row],[S_NO3]])</f>
        <v>#NAME?</v>
      </c>
      <c r="N213" s="523" t="e">
        <f ca="1">gr(données_step[[#This Row],[S_PORTH]])</f>
        <v>#NAME?</v>
      </c>
      <c r="O213" s="523" t="e">
        <f ca="1">gr(données_step[[#This Row],[S_PTOT]])</f>
        <v>#NAME?</v>
      </c>
      <c r="P213" s="523" t="e">
        <f ca="1">gr(données_step[[#This Row],[S_MES]])</f>
        <v>#NAME?</v>
      </c>
      <c r="Q213" s="523" t="e">
        <v>#N/A</v>
      </c>
      <c r="R213" s="523" t="e">
        <v>#N/A</v>
      </c>
      <c r="S213" s="523" t="e">
        <v>#N/A</v>
      </c>
      <c r="T213" s="523" t="e">
        <v>#N/A</v>
      </c>
      <c r="U213" s="523" t="e">
        <v>#N/A</v>
      </c>
      <c r="V213" s="523" t="e">
        <v>#N/A</v>
      </c>
      <c r="W213" s="523" t="e">
        <v>#N/A</v>
      </c>
      <c r="X213" s="523" t="e">
        <v>#N/A</v>
      </c>
      <c r="Y213" s="523" t="e">
        <v>#N/A</v>
      </c>
      <c r="Z213" s="523"/>
      <c r="AA213" s="523"/>
    </row>
    <row r="214" spans="1:27" x14ac:dyDescent="0.2">
      <c r="A214" s="222">
        <f>calculs!A214</f>
        <v>44765</v>
      </c>
      <c r="B214" s="523" t="e">
        <f ca="1">gr(données_step[[#This Row],[E_DBO5]])</f>
        <v>#NAME?</v>
      </c>
      <c r="C214" s="523" t="e">
        <f ca="1">gr(données_step[[#This Row],[E_DCO]])</f>
        <v>#NAME?</v>
      </c>
      <c r="D214" s="523" t="e">
        <f ca="1">gr(données_step[[#This Row],[E_COT]])</f>
        <v>#NAME?</v>
      </c>
      <c r="E214" s="523" t="e">
        <f ca="1">gr(données_step[[#This Row],[E_NH4]])</f>
        <v>#NAME?</v>
      </c>
      <c r="F214" s="523" t="e">
        <f ca="1">gr(données_step[[#This Row],[E_NTOT]])</f>
        <v>#NAME?</v>
      </c>
      <c r="G214" s="523" t="e">
        <f ca="1">gr(données_step[[#This Row],[E_PTOT]])</f>
        <v>#NAME?</v>
      </c>
      <c r="H214" s="523" t="e">
        <f ca="1">gr(données_step[[#This Row],[S_DBO5]])</f>
        <v>#NAME?</v>
      </c>
      <c r="I214" s="523" t="e">
        <f ca="1">gr(données_step[[#This Row],[S_DCO]])</f>
        <v>#NAME?</v>
      </c>
      <c r="J214" s="523" t="e">
        <f ca="1">gr(données_step[[#This Row],[S_COD]])</f>
        <v>#NAME?</v>
      </c>
      <c r="K214" s="523" t="e">
        <f ca="1">gr(données_step[[#This Row],[S_NH4]])</f>
        <v>#NAME?</v>
      </c>
      <c r="L214" s="523" t="e">
        <f ca="1">gr(données_step[[#This Row],[S_NO2]])</f>
        <v>#NAME?</v>
      </c>
      <c r="M214" s="523" t="e">
        <f ca="1">gr(données_step[[#This Row],[S_NO3]])</f>
        <v>#NAME?</v>
      </c>
      <c r="N214" s="523" t="e">
        <f ca="1">gr(données_step[[#This Row],[S_PORTH]])</f>
        <v>#NAME?</v>
      </c>
      <c r="O214" s="523" t="e">
        <f ca="1">gr(données_step[[#This Row],[S_PTOT]])</f>
        <v>#NAME?</v>
      </c>
      <c r="P214" s="523" t="e">
        <f ca="1">gr(données_step[[#This Row],[S_MES]])</f>
        <v>#NAME?</v>
      </c>
      <c r="Q214" s="523" t="e">
        <v>#N/A</v>
      </c>
      <c r="R214" s="523" t="e">
        <v>#N/A</v>
      </c>
      <c r="S214" s="523" t="e">
        <v>#N/A</v>
      </c>
      <c r="T214" s="523" t="e">
        <v>#N/A</v>
      </c>
      <c r="U214" s="523" t="e">
        <v>#N/A</v>
      </c>
      <c r="V214" s="523" t="e">
        <v>#N/A</v>
      </c>
      <c r="W214" s="523" t="e">
        <v>#N/A</v>
      </c>
      <c r="X214" s="523" t="e">
        <v>#N/A</v>
      </c>
      <c r="Y214" s="523" t="e">
        <v>#N/A</v>
      </c>
      <c r="Z214" s="523"/>
      <c r="AA214" s="523"/>
    </row>
    <row r="215" spans="1:27" x14ac:dyDescent="0.2">
      <c r="A215" s="222">
        <f>calculs!A215</f>
        <v>44766</v>
      </c>
      <c r="B215" s="523" t="e">
        <f ca="1">gr(données_step[[#This Row],[E_DBO5]])</f>
        <v>#NAME?</v>
      </c>
      <c r="C215" s="523" t="e">
        <f ca="1">gr(données_step[[#This Row],[E_DCO]])</f>
        <v>#NAME?</v>
      </c>
      <c r="D215" s="523" t="e">
        <f ca="1">gr(données_step[[#This Row],[E_COT]])</f>
        <v>#NAME?</v>
      </c>
      <c r="E215" s="523" t="e">
        <f ca="1">gr(données_step[[#This Row],[E_NH4]])</f>
        <v>#NAME?</v>
      </c>
      <c r="F215" s="523" t="e">
        <f ca="1">gr(données_step[[#This Row],[E_NTOT]])</f>
        <v>#NAME?</v>
      </c>
      <c r="G215" s="523" t="e">
        <f ca="1">gr(données_step[[#This Row],[E_PTOT]])</f>
        <v>#NAME?</v>
      </c>
      <c r="H215" s="523" t="e">
        <f ca="1">gr(données_step[[#This Row],[S_DBO5]])</f>
        <v>#NAME?</v>
      </c>
      <c r="I215" s="523" t="e">
        <f ca="1">gr(données_step[[#This Row],[S_DCO]])</f>
        <v>#NAME?</v>
      </c>
      <c r="J215" s="523" t="e">
        <f ca="1">gr(données_step[[#This Row],[S_COD]])</f>
        <v>#NAME?</v>
      </c>
      <c r="K215" s="523" t="e">
        <f ca="1">gr(données_step[[#This Row],[S_NH4]])</f>
        <v>#NAME?</v>
      </c>
      <c r="L215" s="523" t="e">
        <f ca="1">gr(données_step[[#This Row],[S_NO2]])</f>
        <v>#NAME?</v>
      </c>
      <c r="M215" s="523" t="e">
        <f ca="1">gr(données_step[[#This Row],[S_NO3]])</f>
        <v>#NAME?</v>
      </c>
      <c r="N215" s="523" t="e">
        <f ca="1">gr(données_step[[#This Row],[S_PORTH]])</f>
        <v>#NAME?</v>
      </c>
      <c r="O215" s="523" t="e">
        <f ca="1">gr(données_step[[#This Row],[S_PTOT]])</f>
        <v>#NAME?</v>
      </c>
      <c r="P215" s="523" t="e">
        <f ca="1">gr(données_step[[#This Row],[S_MES]])</f>
        <v>#NAME?</v>
      </c>
      <c r="Q215" s="523" t="e">
        <v>#N/A</v>
      </c>
      <c r="R215" s="523" t="e">
        <v>#N/A</v>
      </c>
      <c r="S215" s="523" t="e">
        <v>#N/A</v>
      </c>
      <c r="T215" s="523" t="e">
        <v>#N/A</v>
      </c>
      <c r="U215" s="523" t="e">
        <v>#N/A</v>
      </c>
      <c r="V215" s="523" t="e">
        <v>#N/A</v>
      </c>
      <c r="W215" s="523" t="e">
        <v>#N/A</v>
      </c>
      <c r="X215" s="523" t="e">
        <v>#N/A</v>
      </c>
      <c r="Y215" s="523" t="e">
        <v>#N/A</v>
      </c>
      <c r="Z215" s="523"/>
      <c r="AA215" s="523"/>
    </row>
    <row r="216" spans="1:27" x14ac:dyDescent="0.2">
      <c r="A216" s="222">
        <f>calculs!A216</f>
        <v>44767</v>
      </c>
      <c r="B216" s="523" t="e">
        <f ca="1">gr(données_step[[#This Row],[E_DBO5]])</f>
        <v>#NAME?</v>
      </c>
      <c r="C216" s="523" t="e">
        <f ca="1">gr(données_step[[#This Row],[E_DCO]])</f>
        <v>#NAME?</v>
      </c>
      <c r="D216" s="523" t="e">
        <f ca="1">gr(données_step[[#This Row],[E_COT]])</f>
        <v>#NAME?</v>
      </c>
      <c r="E216" s="523" t="e">
        <f ca="1">gr(données_step[[#This Row],[E_NH4]])</f>
        <v>#NAME?</v>
      </c>
      <c r="F216" s="523" t="e">
        <f ca="1">gr(données_step[[#This Row],[E_NTOT]])</f>
        <v>#NAME?</v>
      </c>
      <c r="G216" s="523" t="e">
        <f ca="1">gr(données_step[[#This Row],[E_PTOT]])</f>
        <v>#NAME?</v>
      </c>
      <c r="H216" s="523" t="e">
        <f ca="1">gr(données_step[[#This Row],[S_DBO5]])</f>
        <v>#NAME?</v>
      </c>
      <c r="I216" s="523" t="e">
        <f ca="1">gr(données_step[[#This Row],[S_DCO]])</f>
        <v>#NAME?</v>
      </c>
      <c r="J216" s="523" t="e">
        <f ca="1">gr(données_step[[#This Row],[S_COD]])</f>
        <v>#NAME?</v>
      </c>
      <c r="K216" s="523" t="e">
        <f ca="1">gr(données_step[[#This Row],[S_NH4]])</f>
        <v>#NAME?</v>
      </c>
      <c r="L216" s="523" t="e">
        <f ca="1">gr(données_step[[#This Row],[S_NO2]])</f>
        <v>#NAME?</v>
      </c>
      <c r="M216" s="523" t="e">
        <f ca="1">gr(données_step[[#This Row],[S_NO3]])</f>
        <v>#NAME?</v>
      </c>
      <c r="N216" s="523" t="e">
        <f ca="1">gr(données_step[[#This Row],[S_PORTH]])</f>
        <v>#NAME?</v>
      </c>
      <c r="O216" s="523" t="e">
        <f ca="1">gr(données_step[[#This Row],[S_PTOT]])</f>
        <v>#NAME?</v>
      </c>
      <c r="P216" s="523" t="e">
        <f ca="1">gr(données_step[[#This Row],[S_MES]])</f>
        <v>#NAME?</v>
      </c>
      <c r="Q216" s="523" t="e">
        <v>#N/A</v>
      </c>
      <c r="R216" s="523" t="e">
        <v>#N/A</v>
      </c>
      <c r="S216" s="523" t="e">
        <v>#N/A</v>
      </c>
      <c r="T216" s="523" t="e">
        <v>#N/A</v>
      </c>
      <c r="U216" s="523" t="e">
        <v>#N/A</v>
      </c>
      <c r="V216" s="523" t="e">
        <v>#N/A</v>
      </c>
      <c r="W216" s="523" t="e">
        <v>#N/A</v>
      </c>
      <c r="X216" s="523" t="e">
        <v>#N/A</v>
      </c>
      <c r="Y216" s="523" t="e">
        <v>#N/A</v>
      </c>
      <c r="Z216" s="523"/>
      <c r="AA216" s="523"/>
    </row>
    <row r="217" spans="1:27" x14ac:dyDescent="0.2">
      <c r="A217" s="222">
        <f>calculs!A217</f>
        <v>44768</v>
      </c>
      <c r="B217" s="523" t="e">
        <f ca="1">gr(données_step[[#This Row],[E_DBO5]])</f>
        <v>#NAME?</v>
      </c>
      <c r="C217" s="523" t="e">
        <f ca="1">gr(données_step[[#This Row],[E_DCO]])</f>
        <v>#NAME?</v>
      </c>
      <c r="D217" s="523" t="e">
        <f ca="1">gr(données_step[[#This Row],[E_COT]])</f>
        <v>#NAME?</v>
      </c>
      <c r="E217" s="523" t="e">
        <f ca="1">gr(données_step[[#This Row],[E_NH4]])</f>
        <v>#NAME?</v>
      </c>
      <c r="F217" s="523" t="e">
        <f ca="1">gr(données_step[[#This Row],[E_NTOT]])</f>
        <v>#NAME?</v>
      </c>
      <c r="G217" s="523" t="e">
        <f ca="1">gr(données_step[[#This Row],[E_PTOT]])</f>
        <v>#NAME?</v>
      </c>
      <c r="H217" s="523" t="e">
        <f ca="1">gr(données_step[[#This Row],[S_DBO5]])</f>
        <v>#NAME?</v>
      </c>
      <c r="I217" s="523" t="e">
        <f ca="1">gr(données_step[[#This Row],[S_DCO]])</f>
        <v>#NAME?</v>
      </c>
      <c r="J217" s="523" t="e">
        <f ca="1">gr(données_step[[#This Row],[S_COD]])</f>
        <v>#NAME?</v>
      </c>
      <c r="K217" s="523" t="e">
        <f ca="1">gr(données_step[[#This Row],[S_NH4]])</f>
        <v>#NAME?</v>
      </c>
      <c r="L217" s="523" t="e">
        <f ca="1">gr(données_step[[#This Row],[S_NO2]])</f>
        <v>#NAME?</v>
      </c>
      <c r="M217" s="523" t="e">
        <f ca="1">gr(données_step[[#This Row],[S_NO3]])</f>
        <v>#NAME?</v>
      </c>
      <c r="N217" s="523" t="e">
        <f ca="1">gr(données_step[[#This Row],[S_PORTH]])</f>
        <v>#NAME?</v>
      </c>
      <c r="O217" s="523" t="e">
        <f ca="1">gr(données_step[[#This Row],[S_PTOT]])</f>
        <v>#NAME?</v>
      </c>
      <c r="P217" s="523" t="e">
        <f ca="1">gr(données_step[[#This Row],[S_MES]])</f>
        <v>#NAME?</v>
      </c>
      <c r="Q217" s="523" t="e">
        <v>#N/A</v>
      </c>
      <c r="R217" s="523" t="e">
        <v>#N/A</v>
      </c>
      <c r="S217" s="523" t="e">
        <v>#N/A</v>
      </c>
      <c r="T217" s="523" t="e">
        <v>#N/A</v>
      </c>
      <c r="U217" s="523" t="e">
        <v>#N/A</v>
      </c>
      <c r="V217" s="523" t="e">
        <v>#N/A</v>
      </c>
      <c r="W217" s="523" t="e">
        <v>#N/A</v>
      </c>
      <c r="X217" s="523" t="e">
        <v>#N/A</v>
      </c>
      <c r="Y217" s="523" t="e">
        <v>#N/A</v>
      </c>
      <c r="Z217" s="523"/>
      <c r="AA217" s="523"/>
    </row>
    <row r="218" spans="1:27" x14ac:dyDescent="0.2">
      <c r="A218" s="222">
        <f>calculs!A218</f>
        <v>44769</v>
      </c>
      <c r="B218" s="523" t="e">
        <f ca="1">gr(données_step[[#This Row],[E_DBO5]])</f>
        <v>#NAME?</v>
      </c>
      <c r="C218" s="523" t="e">
        <f ca="1">gr(données_step[[#This Row],[E_DCO]])</f>
        <v>#NAME?</v>
      </c>
      <c r="D218" s="523" t="e">
        <f ca="1">gr(données_step[[#This Row],[E_COT]])</f>
        <v>#NAME?</v>
      </c>
      <c r="E218" s="523" t="e">
        <f ca="1">gr(données_step[[#This Row],[E_NH4]])</f>
        <v>#NAME?</v>
      </c>
      <c r="F218" s="523" t="e">
        <f ca="1">gr(données_step[[#This Row],[E_NTOT]])</f>
        <v>#NAME?</v>
      </c>
      <c r="G218" s="523" t="e">
        <f ca="1">gr(données_step[[#This Row],[E_PTOT]])</f>
        <v>#NAME?</v>
      </c>
      <c r="H218" s="523" t="e">
        <f ca="1">gr(données_step[[#This Row],[S_DBO5]])</f>
        <v>#NAME?</v>
      </c>
      <c r="I218" s="523" t="e">
        <f ca="1">gr(données_step[[#This Row],[S_DCO]])</f>
        <v>#NAME?</v>
      </c>
      <c r="J218" s="523" t="e">
        <f ca="1">gr(données_step[[#This Row],[S_COD]])</f>
        <v>#NAME?</v>
      </c>
      <c r="K218" s="523" t="e">
        <f ca="1">gr(données_step[[#This Row],[S_NH4]])</f>
        <v>#NAME?</v>
      </c>
      <c r="L218" s="523" t="e">
        <f ca="1">gr(données_step[[#This Row],[S_NO2]])</f>
        <v>#NAME?</v>
      </c>
      <c r="M218" s="523" t="e">
        <f ca="1">gr(données_step[[#This Row],[S_NO3]])</f>
        <v>#NAME?</v>
      </c>
      <c r="N218" s="523" t="e">
        <f ca="1">gr(données_step[[#This Row],[S_PORTH]])</f>
        <v>#NAME?</v>
      </c>
      <c r="O218" s="523" t="e">
        <f ca="1">gr(données_step[[#This Row],[S_PTOT]])</f>
        <v>#NAME?</v>
      </c>
      <c r="P218" s="523" t="e">
        <f ca="1">gr(données_step[[#This Row],[S_MES]])</f>
        <v>#NAME?</v>
      </c>
      <c r="Q218" s="523" t="e">
        <v>#N/A</v>
      </c>
      <c r="R218" s="523" t="e">
        <v>#N/A</v>
      </c>
      <c r="S218" s="523" t="e">
        <v>#N/A</v>
      </c>
      <c r="T218" s="523" t="e">
        <v>#N/A</v>
      </c>
      <c r="U218" s="523" t="e">
        <v>#N/A</v>
      </c>
      <c r="V218" s="523" t="e">
        <v>#N/A</v>
      </c>
      <c r="W218" s="523" t="e">
        <v>#N/A</v>
      </c>
      <c r="X218" s="523" t="e">
        <v>#N/A</v>
      </c>
      <c r="Y218" s="523" t="e">
        <v>#N/A</v>
      </c>
      <c r="Z218" s="523"/>
      <c r="AA218" s="523"/>
    </row>
    <row r="219" spans="1:27" x14ac:dyDescent="0.2">
      <c r="A219" s="222">
        <f>calculs!A219</f>
        <v>44770</v>
      </c>
      <c r="B219" s="523" t="e">
        <f ca="1">gr(données_step[[#This Row],[E_DBO5]])</f>
        <v>#NAME?</v>
      </c>
      <c r="C219" s="523" t="e">
        <f ca="1">gr(données_step[[#This Row],[E_DCO]])</f>
        <v>#NAME?</v>
      </c>
      <c r="D219" s="523" t="e">
        <f ca="1">gr(données_step[[#This Row],[E_COT]])</f>
        <v>#NAME?</v>
      </c>
      <c r="E219" s="523" t="e">
        <f ca="1">gr(données_step[[#This Row],[E_NH4]])</f>
        <v>#NAME?</v>
      </c>
      <c r="F219" s="523" t="e">
        <f ca="1">gr(données_step[[#This Row],[E_NTOT]])</f>
        <v>#NAME?</v>
      </c>
      <c r="G219" s="523" t="e">
        <f ca="1">gr(données_step[[#This Row],[E_PTOT]])</f>
        <v>#NAME?</v>
      </c>
      <c r="H219" s="523" t="e">
        <f ca="1">gr(données_step[[#This Row],[S_DBO5]])</f>
        <v>#NAME?</v>
      </c>
      <c r="I219" s="523" t="e">
        <f ca="1">gr(données_step[[#This Row],[S_DCO]])</f>
        <v>#NAME?</v>
      </c>
      <c r="J219" s="523" t="e">
        <f ca="1">gr(données_step[[#This Row],[S_COD]])</f>
        <v>#NAME?</v>
      </c>
      <c r="K219" s="523" t="e">
        <f ca="1">gr(données_step[[#This Row],[S_NH4]])</f>
        <v>#NAME?</v>
      </c>
      <c r="L219" s="523" t="e">
        <f ca="1">gr(données_step[[#This Row],[S_NO2]])</f>
        <v>#NAME?</v>
      </c>
      <c r="M219" s="523" t="e">
        <f ca="1">gr(données_step[[#This Row],[S_NO3]])</f>
        <v>#NAME?</v>
      </c>
      <c r="N219" s="523" t="e">
        <f ca="1">gr(données_step[[#This Row],[S_PORTH]])</f>
        <v>#NAME?</v>
      </c>
      <c r="O219" s="523" t="e">
        <f ca="1">gr(données_step[[#This Row],[S_PTOT]])</f>
        <v>#NAME?</v>
      </c>
      <c r="P219" s="523" t="e">
        <f ca="1">gr(données_step[[#This Row],[S_MES]])</f>
        <v>#NAME?</v>
      </c>
      <c r="Q219" s="523" t="e">
        <v>#N/A</v>
      </c>
      <c r="R219" s="523" t="e">
        <v>#N/A</v>
      </c>
      <c r="S219" s="523" t="e">
        <v>#N/A</v>
      </c>
      <c r="T219" s="523" t="e">
        <v>#N/A</v>
      </c>
      <c r="U219" s="523" t="e">
        <v>#N/A</v>
      </c>
      <c r="V219" s="523" t="e">
        <v>#N/A</v>
      </c>
      <c r="W219" s="523" t="e">
        <v>#N/A</v>
      </c>
      <c r="X219" s="523" t="e">
        <v>#N/A</v>
      </c>
      <c r="Y219" s="523" t="e">
        <v>#N/A</v>
      </c>
      <c r="Z219" s="523"/>
      <c r="AA219" s="523"/>
    </row>
    <row r="220" spans="1:27" x14ac:dyDescent="0.2">
      <c r="A220" s="222">
        <f>calculs!A220</f>
        <v>44771</v>
      </c>
      <c r="B220" s="523" t="e">
        <f ca="1">gr(données_step[[#This Row],[E_DBO5]])</f>
        <v>#NAME?</v>
      </c>
      <c r="C220" s="523" t="e">
        <f ca="1">gr(données_step[[#This Row],[E_DCO]])</f>
        <v>#NAME?</v>
      </c>
      <c r="D220" s="523" t="e">
        <f ca="1">gr(données_step[[#This Row],[E_COT]])</f>
        <v>#NAME?</v>
      </c>
      <c r="E220" s="523" t="e">
        <f ca="1">gr(données_step[[#This Row],[E_NH4]])</f>
        <v>#NAME?</v>
      </c>
      <c r="F220" s="523" t="e">
        <f ca="1">gr(données_step[[#This Row],[E_NTOT]])</f>
        <v>#NAME?</v>
      </c>
      <c r="G220" s="523" t="e">
        <f ca="1">gr(données_step[[#This Row],[E_PTOT]])</f>
        <v>#NAME?</v>
      </c>
      <c r="H220" s="523" t="e">
        <f ca="1">gr(données_step[[#This Row],[S_DBO5]])</f>
        <v>#NAME?</v>
      </c>
      <c r="I220" s="523" t="e">
        <f ca="1">gr(données_step[[#This Row],[S_DCO]])</f>
        <v>#NAME?</v>
      </c>
      <c r="J220" s="523" t="e">
        <f ca="1">gr(données_step[[#This Row],[S_COD]])</f>
        <v>#NAME?</v>
      </c>
      <c r="K220" s="523" t="e">
        <f ca="1">gr(données_step[[#This Row],[S_NH4]])</f>
        <v>#NAME?</v>
      </c>
      <c r="L220" s="523" t="e">
        <f ca="1">gr(données_step[[#This Row],[S_NO2]])</f>
        <v>#NAME?</v>
      </c>
      <c r="M220" s="523" t="e">
        <f ca="1">gr(données_step[[#This Row],[S_NO3]])</f>
        <v>#NAME?</v>
      </c>
      <c r="N220" s="523" t="e">
        <f ca="1">gr(données_step[[#This Row],[S_PORTH]])</f>
        <v>#NAME?</v>
      </c>
      <c r="O220" s="523" t="e">
        <f ca="1">gr(données_step[[#This Row],[S_PTOT]])</f>
        <v>#NAME?</v>
      </c>
      <c r="P220" s="523" t="e">
        <f ca="1">gr(données_step[[#This Row],[S_MES]])</f>
        <v>#NAME?</v>
      </c>
      <c r="Q220" s="523" t="e">
        <v>#N/A</v>
      </c>
      <c r="R220" s="523" t="e">
        <v>#N/A</v>
      </c>
      <c r="S220" s="523" t="e">
        <v>#N/A</v>
      </c>
      <c r="T220" s="523" t="e">
        <v>#N/A</v>
      </c>
      <c r="U220" s="523" t="e">
        <v>#N/A</v>
      </c>
      <c r="V220" s="523" t="e">
        <v>#N/A</v>
      </c>
      <c r="W220" s="523" t="e">
        <v>#N/A</v>
      </c>
      <c r="X220" s="523" t="e">
        <v>#N/A</v>
      </c>
      <c r="Y220" s="523" t="e">
        <v>#N/A</v>
      </c>
      <c r="Z220" s="523"/>
      <c r="AA220" s="523"/>
    </row>
    <row r="221" spans="1:27" x14ac:dyDescent="0.2">
      <c r="A221" s="222">
        <f>calculs!A221</f>
        <v>44772</v>
      </c>
      <c r="B221" s="523" t="e">
        <f ca="1">gr(données_step[[#This Row],[E_DBO5]])</f>
        <v>#NAME?</v>
      </c>
      <c r="C221" s="523" t="e">
        <f ca="1">gr(données_step[[#This Row],[E_DCO]])</f>
        <v>#NAME?</v>
      </c>
      <c r="D221" s="523" t="e">
        <f ca="1">gr(données_step[[#This Row],[E_COT]])</f>
        <v>#NAME?</v>
      </c>
      <c r="E221" s="523" t="e">
        <f ca="1">gr(données_step[[#This Row],[E_NH4]])</f>
        <v>#NAME?</v>
      </c>
      <c r="F221" s="523" t="e">
        <f ca="1">gr(données_step[[#This Row],[E_NTOT]])</f>
        <v>#NAME?</v>
      </c>
      <c r="G221" s="523" t="e">
        <f ca="1">gr(données_step[[#This Row],[E_PTOT]])</f>
        <v>#NAME?</v>
      </c>
      <c r="H221" s="523" t="e">
        <f ca="1">gr(données_step[[#This Row],[S_DBO5]])</f>
        <v>#NAME?</v>
      </c>
      <c r="I221" s="523" t="e">
        <f ca="1">gr(données_step[[#This Row],[S_DCO]])</f>
        <v>#NAME?</v>
      </c>
      <c r="J221" s="523" t="e">
        <f ca="1">gr(données_step[[#This Row],[S_COD]])</f>
        <v>#NAME?</v>
      </c>
      <c r="K221" s="523" t="e">
        <f ca="1">gr(données_step[[#This Row],[S_NH4]])</f>
        <v>#NAME?</v>
      </c>
      <c r="L221" s="523" t="e">
        <f ca="1">gr(données_step[[#This Row],[S_NO2]])</f>
        <v>#NAME?</v>
      </c>
      <c r="M221" s="523" t="e">
        <f ca="1">gr(données_step[[#This Row],[S_NO3]])</f>
        <v>#NAME?</v>
      </c>
      <c r="N221" s="523" t="e">
        <f ca="1">gr(données_step[[#This Row],[S_PORTH]])</f>
        <v>#NAME?</v>
      </c>
      <c r="O221" s="523" t="e">
        <f ca="1">gr(données_step[[#This Row],[S_PTOT]])</f>
        <v>#NAME?</v>
      </c>
      <c r="P221" s="523" t="e">
        <f ca="1">gr(données_step[[#This Row],[S_MES]])</f>
        <v>#NAME?</v>
      </c>
      <c r="Q221" s="523" t="e">
        <v>#N/A</v>
      </c>
      <c r="R221" s="523" t="e">
        <v>#N/A</v>
      </c>
      <c r="S221" s="523" t="e">
        <v>#N/A</v>
      </c>
      <c r="T221" s="523" t="e">
        <v>#N/A</v>
      </c>
      <c r="U221" s="523" t="e">
        <v>#N/A</v>
      </c>
      <c r="V221" s="523" t="e">
        <v>#N/A</v>
      </c>
      <c r="W221" s="523" t="e">
        <v>#N/A</v>
      </c>
      <c r="X221" s="523" t="e">
        <v>#N/A</v>
      </c>
      <c r="Y221" s="523" t="e">
        <v>#N/A</v>
      </c>
      <c r="Z221" s="523"/>
      <c r="AA221" s="523"/>
    </row>
    <row r="222" spans="1:27" x14ac:dyDescent="0.2">
      <c r="A222" s="222">
        <f>calculs!A222</f>
        <v>44773</v>
      </c>
      <c r="B222" s="523" t="e">
        <f ca="1">gr(données_step[[#This Row],[E_DBO5]])</f>
        <v>#NAME?</v>
      </c>
      <c r="C222" s="523" t="e">
        <f ca="1">gr(données_step[[#This Row],[E_DCO]])</f>
        <v>#NAME?</v>
      </c>
      <c r="D222" s="523" t="e">
        <f ca="1">gr(données_step[[#This Row],[E_COT]])</f>
        <v>#NAME?</v>
      </c>
      <c r="E222" s="523" t="e">
        <f ca="1">gr(données_step[[#This Row],[E_NH4]])</f>
        <v>#NAME?</v>
      </c>
      <c r="F222" s="523" t="e">
        <f ca="1">gr(données_step[[#This Row],[E_NTOT]])</f>
        <v>#NAME?</v>
      </c>
      <c r="G222" s="523" t="e">
        <f ca="1">gr(données_step[[#This Row],[E_PTOT]])</f>
        <v>#NAME?</v>
      </c>
      <c r="H222" s="523" t="e">
        <f ca="1">gr(données_step[[#This Row],[S_DBO5]])</f>
        <v>#NAME?</v>
      </c>
      <c r="I222" s="523" t="e">
        <f ca="1">gr(données_step[[#This Row],[S_DCO]])</f>
        <v>#NAME?</v>
      </c>
      <c r="J222" s="523" t="e">
        <f ca="1">gr(données_step[[#This Row],[S_COD]])</f>
        <v>#NAME?</v>
      </c>
      <c r="K222" s="523" t="e">
        <f ca="1">gr(données_step[[#This Row],[S_NH4]])</f>
        <v>#NAME?</v>
      </c>
      <c r="L222" s="523" t="e">
        <f ca="1">gr(données_step[[#This Row],[S_NO2]])</f>
        <v>#NAME?</v>
      </c>
      <c r="M222" s="523" t="e">
        <f ca="1">gr(données_step[[#This Row],[S_NO3]])</f>
        <v>#NAME?</v>
      </c>
      <c r="N222" s="523" t="e">
        <f ca="1">gr(données_step[[#This Row],[S_PORTH]])</f>
        <v>#NAME?</v>
      </c>
      <c r="O222" s="523" t="e">
        <f ca="1">gr(données_step[[#This Row],[S_PTOT]])</f>
        <v>#NAME?</v>
      </c>
      <c r="P222" s="523" t="e">
        <f ca="1">gr(données_step[[#This Row],[S_MES]])</f>
        <v>#NAME?</v>
      </c>
      <c r="Q222" s="523" t="e">
        <v>#N/A</v>
      </c>
      <c r="R222" s="523" t="e">
        <v>#N/A</v>
      </c>
      <c r="S222" s="523" t="e">
        <v>#N/A</v>
      </c>
      <c r="T222" s="523" t="e">
        <v>#N/A</v>
      </c>
      <c r="U222" s="523" t="e">
        <v>#N/A</v>
      </c>
      <c r="V222" s="523" t="e">
        <v>#N/A</v>
      </c>
      <c r="W222" s="523" t="e">
        <v>#N/A</v>
      </c>
      <c r="X222" s="523" t="e">
        <v>#N/A</v>
      </c>
      <c r="Y222" s="523" t="e">
        <v>#N/A</v>
      </c>
      <c r="Z222" s="523"/>
      <c r="AA222" s="523"/>
    </row>
    <row r="223" spans="1:27" x14ac:dyDescent="0.2">
      <c r="A223" s="222">
        <f>calculs!A223</f>
        <v>44774</v>
      </c>
      <c r="B223" s="523" t="e">
        <f ca="1">gr(données_step[[#This Row],[E_DBO5]])</f>
        <v>#NAME?</v>
      </c>
      <c r="C223" s="523" t="e">
        <f ca="1">gr(données_step[[#This Row],[E_DCO]])</f>
        <v>#NAME?</v>
      </c>
      <c r="D223" s="523" t="e">
        <f ca="1">gr(données_step[[#This Row],[E_COT]])</f>
        <v>#NAME?</v>
      </c>
      <c r="E223" s="523" t="e">
        <f ca="1">gr(données_step[[#This Row],[E_NH4]])</f>
        <v>#NAME?</v>
      </c>
      <c r="F223" s="523" t="e">
        <f ca="1">gr(données_step[[#This Row],[E_NTOT]])</f>
        <v>#NAME?</v>
      </c>
      <c r="G223" s="523" t="e">
        <f ca="1">gr(données_step[[#This Row],[E_PTOT]])</f>
        <v>#NAME?</v>
      </c>
      <c r="H223" s="523" t="e">
        <f ca="1">gr(données_step[[#This Row],[S_DBO5]])</f>
        <v>#NAME?</v>
      </c>
      <c r="I223" s="523" t="e">
        <f ca="1">gr(données_step[[#This Row],[S_DCO]])</f>
        <v>#NAME?</v>
      </c>
      <c r="J223" s="523" t="e">
        <f ca="1">gr(données_step[[#This Row],[S_COD]])</f>
        <v>#NAME?</v>
      </c>
      <c r="K223" s="523" t="e">
        <f ca="1">gr(données_step[[#This Row],[S_NH4]])</f>
        <v>#NAME?</v>
      </c>
      <c r="L223" s="523" t="e">
        <f ca="1">gr(données_step[[#This Row],[S_NO2]])</f>
        <v>#NAME?</v>
      </c>
      <c r="M223" s="523" t="e">
        <f ca="1">gr(données_step[[#This Row],[S_NO3]])</f>
        <v>#NAME?</v>
      </c>
      <c r="N223" s="523" t="e">
        <f ca="1">gr(données_step[[#This Row],[S_PORTH]])</f>
        <v>#NAME?</v>
      </c>
      <c r="O223" s="523" t="e">
        <f ca="1">gr(données_step[[#This Row],[S_PTOT]])</f>
        <v>#NAME?</v>
      </c>
      <c r="P223" s="523" t="e">
        <f ca="1">gr(données_step[[#This Row],[S_MES]])</f>
        <v>#NAME?</v>
      </c>
      <c r="Q223" s="523" t="e">
        <v>#N/A</v>
      </c>
      <c r="R223" s="523" t="e">
        <v>#N/A</v>
      </c>
      <c r="S223" s="523" t="e">
        <v>#N/A</v>
      </c>
      <c r="T223" s="523" t="e">
        <v>#N/A</v>
      </c>
      <c r="U223" s="523" t="e">
        <v>#N/A</v>
      </c>
      <c r="V223" s="523" t="e">
        <v>#N/A</v>
      </c>
      <c r="W223" s="523" t="e">
        <v>#N/A</v>
      </c>
      <c r="X223" s="523" t="e">
        <v>#N/A</v>
      </c>
      <c r="Y223" s="523" t="e">
        <v>#N/A</v>
      </c>
      <c r="Z223" s="523"/>
      <c r="AA223" s="523"/>
    </row>
    <row r="224" spans="1:27" x14ac:dyDescent="0.2">
      <c r="A224" s="222">
        <f>calculs!A224</f>
        <v>44775</v>
      </c>
      <c r="B224" s="523" t="e">
        <f ca="1">gr(données_step[[#This Row],[E_DBO5]])</f>
        <v>#NAME?</v>
      </c>
      <c r="C224" s="523" t="e">
        <f ca="1">gr(données_step[[#This Row],[E_DCO]])</f>
        <v>#NAME?</v>
      </c>
      <c r="D224" s="523" t="e">
        <f ca="1">gr(données_step[[#This Row],[E_COT]])</f>
        <v>#NAME?</v>
      </c>
      <c r="E224" s="523" t="e">
        <f ca="1">gr(données_step[[#This Row],[E_NH4]])</f>
        <v>#NAME?</v>
      </c>
      <c r="F224" s="523" t="e">
        <f ca="1">gr(données_step[[#This Row],[E_NTOT]])</f>
        <v>#NAME?</v>
      </c>
      <c r="G224" s="523" t="e">
        <f ca="1">gr(données_step[[#This Row],[E_PTOT]])</f>
        <v>#NAME?</v>
      </c>
      <c r="H224" s="523" t="e">
        <f ca="1">gr(données_step[[#This Row],[S_DBO5]])</f>
        <v>#NAME?</v>
      </c>
      <c r="I224" s="523" t="e">
        <f ca="1">gr(données_step[[#This Row],[S_DCO]])</f>
        <v>#NAME?</v>
      </c>
      <c r="J224" s="523" t="e">
        <f ca="1">gr(données_step[[#This Row],[S_COD]])</f>
        <v>#NAME?</v>
      </c>
      <c r="K224" s="523" t="e">
        <f ca="1">gr(données_step[[#This Row],[S_NH4]])</f>
        <v>#NAME?</v>
      </c>
      <c r="L224" s="523" t="e">
        <f ca="1">gr(données_step[[#This Row],[S_NO2]])</f>
        <v>#NAME?</v>
      </c>
      <c r="M224" s="523" t="e">
        <f ca="1">gr(données_step[[#This Row],[S_NO3]])</f>
        <v>#NAME?</v>
      </c>
      <c r="N224" s="523" t="e">
        <f ca="1">gr(données_step[[#This Row],[S_PORTH]])</f>
        <v>#NAME?</v>
      </c>
      <c r="O224" s="523" t="e">
        <f ca="1">gr(données_step[[#This Row],[S_PTOT]])</f>
        <v>#NAME?</v>
      </c>
      <c r="P224" s="523" t="e">
        <f ca="1">gr(données_step[[#This Row],[S_MES]])</f>
        <v>#NAME?</v>
      </c>
      <c r="Q224" s="523" t="e">
        <v>#N/A</v>
      </c>
      <c r="R224" s="523" t="e">
        <v>#N/A</v>
      </c>
      <c r="S224" s="523" t="e">
        <v>#N/A</v>
      </c>
      <c r="T224" s="523" t="e">
        <v>#N/A</v>
      </c>
      <c r="U224" s="523" t="e">
        <v>#N/A</v>
      </c>
      <c r="V224" s="523" t="e">
        <v>#N/A</v>
      </c>
      <c r="W224" s="523" t="e">
        <v>#N/A</v>
      </c>
      <c r="X224" s="523" t="e">
        <v>#N/A</v>
      </c>
      <c r="Y224" s="523" t="e">
        <v>#N/A</v>
      </c>
      <c r="Z224" s="523"/>
      <c r="AA224" s="523"/>
    </row>
    <row r="225" spans="1:27" x14ac:dyDescent="0.2">
      <c r="A225" s="222">
        <f>calculs!A225</f>
        <v>44776</v>
      </c>
      <c r="B225" s="523" t="e">
        <f ca="1">gr(données_step[[#This Row],[E_DBO5]])</f>
        <v>#NAME?</v>
      </c>
      <c r="C225" s="523" t="e">
        <f ca="1">gr(données_step[[#This Row],[E_DCO]])</f>
        <v>#NAME?</v>
      </c>
      <c r="D225" s="523" t="e">
        <f ca="1">gr(données_step[[#This Row],[E_COT]])</f>
        <v>#NAME?</v>
      </c>
      <c r="E225" s="523" t="e">
        <f ca="1">gr(données_step[[#This Row],[E_NH4]])</f>
        <v>#NAME?</v>
      </c>
      <c r="F225" s="523" t="e">
        <f ca="1">gr(données_step[[#This Row],[E_NTOT]])</f>
        <v>#NAME?</v>
      </c>
      <c r="G225" s="523" t="e">
        <f ca="1">gr(données_step[[#This Row],[E_PTOT]])</f>
        <v>#NAME?</v>
      </c>
      <c r="H225" s="523" t="e">
        <f ca="1">gr(données_step[[#This Row],[S_DBO5]])</f>
        <v>#NAME?</v>
      </c>
      <c r="I225" s="523" t="e">
        <f ca="1">gr(données_step[[#This Row],[S_DCO]])</f>
        <v>#NAME?</v>
      </c>
      <c r="J225" s="523" t="e">
        <f ca="1">gr(données_step[[#This Row],[S_COD]])</f>
        <v>#NAME?</v>
      </c>
      <c r="K225" s="523" t="e">
        <f ca="1">gr(données_step[[#This Row],[S_NH4]])</f>
        <v>#NAME?</v>
      </c>
      <c r="L225" s="523" t="e">
        <f ca="1">gr(données_step[[#This Row],[S_NO2]])</f>
        <v>#NAME?</v>
      </c>
      <c r="M225" s="523" t="e">
        <f ca="1">gr(données_step[[#This Row],[S_NO3]])</f>
        <v>#NAME?</v>
      </c>
      <c r="N225" s="523" t="e">
        <f ca="1">gr(données_step[[#This Row],[S_PORTH]])</f>
        <v>#NAME?</v>
      </c>
      <c r="O225" s="523" t="e">
        <f ca="1">gr(données_step[[#This Row],[S_PTOT]])</f>
        <v>#NAME?</v>
      </c>
      <c r="P225" s="523" t="e">
        <f ca="1">gr(données_step[[#This Row],[S_MES]])</f>
        <v>#NAME?</v>
      </c>
      <c r="Q225" s="523" t="e">
        <v>#N/A</v>
      </c>
      <c r="R225" s="523" t="e">
        <v>#N/A</v>
      </c>
      <c r="S225" s="523" t="e">
        <v>#N/A</v>
      </c>
      <c r="T225" s="523" t="e">
        <v>#N/A</v>
      </c>
      <c r="U225" s="523" t="e">
        <v>#N/A</v>
      </c>
      <c r="V225" s="523" t="e">
        <v>#N/A</v>
      </c>
      <c r="W225" s="523" t="e">
        <v>#N/A</v>
      </c>
      <c r="X225" s="523" t="e">
        <v>#N/A</v>
      </c>
      <c r="Y225" s="523" t="e">
        <v>#N/A</v>
      </c>
      <c r="Z225" s="523"/>
      <c r="AA225" s="523"/>
    </row>
    <row r="226" spans="1:27" x14ac:dyDescent="0.2">
      <c r="A226" s="222">
        <f>calculs!A226</f>
        <v>44777</v>
      </c>
      <c r="B226" s="523" t="e">
        <f ca="1">gr(données_step[[#This Row],[E_DBO5]])</f>
        <v>#NAME?</v>
      </c>
      <c r="C226" s="523" t="e">
        <f ca="1">gr(données_step[[#This Row],[E_DCO]])</f>
        <v>#NAME?</v>
      </c>
      <c r="D226" s="523" t="e">
        <f ca="1">gr(données_step[[#This Row],[E_COT]])</f>
        <v>#NAME?</v>
      </c>
      <c r="E226" s="523" t="e">
        <f ca="1">gr(données_step[[#This Row],[E_NH4]])</f>
        <v>#NAME?</v>
      </c>
      <c r="F226" s="523" t="e">
        <f ca="1">gr(données_step[[#This Row],[E_NTOT]])</f>
        <v>#NAME?</v>
      </c>
      <c r="G226" s="523" t="e">
        <f ca="1">gr(données_step[[#This Row],[E_PTOT]])</f>
        <v>#NAME?</v>
      </c>
      <c r="H226" s="523" t="e">
        <f ca="1">gr(données_step[[#This Row],[S_DBO5]])</f>
        <v>#NAME?</v>
      </c>
      <c r="I226" s="523" t="e">
        <f ca="1">gr(données_step[[#This Row],[S_DCO]])</f>
        <v>#NAME?</v>
      </c>
      <c r="J226" s="523" t="e">
        <f ca="1">gr(données_step[[#This Row],[S_COD]])</f>
        <v>#NAME?</v>
      </c>
      <c r="K226" s="523" t="e">
        <f ca="1">gr(données_step[[#This Row],[S_NH4]])</f>
        <v>#NAME?</v>
      </c>
      <c r="L226" s="523" t="e">
        <f ca="1">gr(données_step[[#This Row],[S_NO2]])</f>
        <v>#NAME?</v>
      </c>
      <c r="M226" s="523" t="e">
        <f ca="1">gr(données_step[[#This Row],[S_NO3]])</f>
        <v>#NAME?</v>
      </c>
      <c r="N226" s="523" t="e">
        <f ca="1">gr(données_step[[#This Row],[S_PORTH]])</f>
        <v>#NAME?</v>
      </c>
      <c r="O226" s="523" t="e">
        <f ca="1">gr(données_step[[#This Row],[S_PTOT]])</f>
        <v>#NAME?</v>
      </c>
      <c r="P226" s="523" t="e">
        <f ca="1">gr(données_step[[#This Row],[S_MES]])</f>
        <v>#NAME?</v>
      </c>
      <c r="Q226" s="523" t="e">
        <v>#N/A</v>
      </c>
      <c r="R226" s="523" t="e">
        <v>#N/A</v>
      </c>
      <c r="S226" s="523" t="e">
        <v>#N/A</v>
      </c>
      <c r="T226" s="523" t="e">
        <v>#N/A</v>
      </c>
      <c r="U226" s="523" t="e">
        <v>#N/A</v>
      </c>
      <c r="V226" s="523" t="e">
        <v>#N/A</v>
      </c>
      <c r="W226" s="523" t="e">
        <v>#N/A</v>
      </c>
      <c r="X226" s="523" t="e">
        <v>#N/A</v>
      </c>
      <c r="Y226" s="523" t="e">
        <v>#N/A</v>
      </c>
      <c r="Z226" s="523"/>
      <c r="AA226" s="523"/>
    </row>
    <row r="227" spans="1:27" x14ac:dyDescent="0.2">
      <c r="A227" s="222">
        <f>calculs!A227</f>
        <v>44778</v>
      </c>
      <c r="B227" s="523" t="e">
        <f ca="1">gr(données_step[[#This Row],[E_DBO5]])</f>
        <v>#NAME?</v>
      </c>
      <c r="C227" s="523" t="e">
        <f ca="1">gr(données_step[[#This Row],[E_DCO]])</f>
        <v>#NAME?</v>
      </c>
      <c r="D227" s="523" t="e">
        <f ca="1">gr(données_step[[#This Row],[E_COT]])</f>
        <v>#NAME?</v>
      </c>
      <c r="E227" s="523" t="e">
        <f ca="1">gr(données_step[[#This Row],[E_NH4]])</f>
        <v>#NAME?</v>
      </c>
      <c r="F227" s="523" t="e">
        <f ca="1">gr(données_step[[#This Row],[E_NTOT]])</f>
        <v>#NAME?</v>
      </c>
      <c r="G227" s="523" t="e">
        <f ca="1">gr(données_step[[#This Row],[E_PTOT]])</f>
        <v>#NAME?</v>
      </c>
      <c r="H227" s="523" t="e">
        <f ca="1">gr(données_step[[#This Row],[S_DBO5]])</f>
        <v>#NAME?</v>
      </c>
      <c r="I227" s="523" t="e">
        <f ca="1">gr(données_step[[#This Row],[S_DCO]])</f>
        <v>#NAME?</v>
      </c>
      <c r="J227" s="523" t="e">
        <f ca="1">gr(données_step[[#This Row],[S_COD]])</f>
        <v>#NAME?</v>
      </c>
      <c r="K227" s="523" t="e">
        <f ca="1">gr(données_step[[#This Row],[S_NH4]])</f>
        <v>#NAME?</v>
      </c>
      <c r="L227" s="523" t="e">
        <f ca="1">gr(données_step[[#This Row],[S_NO2]])</f>
        <v>#NAME?</v>
      </c>
      <c r="M227" s="523" t="e">
        <f ca="1">gr(données_step[[#This Row],[S_NO3]])</f>
        <v>#NAME?</v>
      </c>
      <c r="N227" s="523" t="e">
        <f ca="1">gr(données_step[[#This Row],[S_PORTH]])</f>
        <v>#NAME?</v>
      </c>
      <c r="O227" s="523" t="e">
        <f ca="1">gr(données_step[[#This Row],[S_PTOT]])</f>
        <v>#NAME?</v>
      </c>
      <c r="P227" s="523" t="e">
        <f ca="1">gr(données_step[[#This Row],[S_MES]])</f>
        <v>#NAME?</v>
      </c>
      <c r="Q227" s="523" t="e">
        <v>#N/A</v>
      </c>
      <c r="R227" s="523" t="e">
        <v>#N/A</v>
      </c>
      <c r="S227" s="523" t="e">
        <v>#N/A</v>
      </c>
      <c r="T227" s="523" t="e">
        <v>#N/A</v>
      </c>
      <c r="U227" s="523" t="e">
        <v>#N/A</v>
      </c>
      <c r="V227" s="523" t="e">
        <v>#N/A</v>
      </c>
      <c r="W227" s="523" t="e">
        <v>#N/A</v>
      </c>
      <c r="X227" s="523" t="e">
        <v>#N/A</v>
      </c>
      <c r="Y227" s="523" t="e">
        <v>#N/A</v>
      </c>
      <c r="Z227" s="523"/>
      <c r="AA227" s="523"/>
    </row>
    <row r="228" spans="1:27" x14ac:dyDescent="0.2">
      <c r="A228" s="222">
        <f>calculs!A228</f>
        <v>44779</v>
      </c>
      <c r="B228" s="523" t="e">
        <f ca="1">gr(données_step[[#This Row],[E_DBO5]])</f>
        <v>#NAME?</v>
      </c>
      <c r="C228" s="523" t="e">
        <f ca="1">gr(données_step[[#This Row],[E_DCO]])</f>
        <v>#NAME?</v>
      </c>
      <c r="D228" s="523" t="e">
        <f ca="1">gr(données_step[[#This Row],[E_COT]])</f>
        <v>#NAME?</v>
      </c>
      <c r="E228" s="523" t="e">
        <f ca="1">gr(données_step[[#This Row],[E_NH4]])</f>
        <v>#NAME?</v>
      </c>
      <c r="F228" s="523" t="e">
        <f ca="1">gr(données_step[[#This Row],[E_NTOT]])</f>
        <v>#NAME?</v>
      </c>
      <c r="G228" s="523" t="e">
        <f ca="1">gr(données_step[[#This Row],[E_PTOT]])</f>
        <v>#NAME?</v>
      </c>
      <c r="H228" s="523" t="e">
        <f ca="1">gr(données_step[[#This Row],[S_DBO5]])</f>
        <v>#NAME?</v>
      </c>
      <c r="I228" s="523" t="e">
        <f ca="1">gr(données_step[[#This Row],[S_DCO]])</f>
        <v>#NAME?</v>
      </c>
      <c r="J228" s="523" t="e">
        <f ca="1">gr(données_step[[#This Row],[S_COD]])</f>
        <v>#NAME?</v>
      </c>
      <c r="K228" s="523" t="e">
        <f ca="1">gr(données_step[[#This Row],[S_NH4]])</f>
        <v>#NAME?</v>
      </c>
      <c r="L228" s="523" t="e">
        <f ca="1">gr(données_step[[#This Row],[S_NO2]])</f>
        <v>#NAME?</v>
      </c>
      <c r="M228" s="523" t="e">
        <f ca="1">gr(données_step[[#This Row],[S_NO3]])</f>
        <v>#NAME?</v>
      </c>
      <c r="N228" s="523" t="e">
        <f ca="1">gr(données_step[[#This Row],[S_PORTH]])</f>
        <v>#NAME?</v>
      </c>
      <c r="O228" s="523" t="e">
        <f ca="1">gr(données_step[[#This Row],[S_PTOT]])</f>
        <v>#NAME?</v>
      </c>
      <c r="P228" s="523" t="e">
        <f ca="1">gr(données_step[[#This Row],[S_MES]])</f>
        <v>#NAME?</v>
      </c>
      <c r="Q228" s="523" t="e">
        <v>#N/A</v>
      </c>
      <c r="R228" s="523" t="e">
        <v>#N/A</v>
      </c>
      <c r="S228" s="523" t="e">
        <v>#N/A</v>
      </c>
      <c r="T228" s="523" t="e">
        <v>#N/A</v>
      </c>
      <c r="U228" s="523" t="e">
        <v>#N/A</v>
      </c>
      <c r="V228" s="523" t="e">
        <v>#N/A</v>
      </c>
      <c r="W228" s="523" t="e">
        <v>#N/A</v>
      </c>
      <c r="X228" s="523" t="e">
        <v>#N/A</v>
      </c>
      <c r="Y228" s="523" t="e">
        <v>#N/A</v>
      </c>
      <c r="Z228" s="523"/>
      <c r="AA228" s="523"/>
    </row>
    <row r="229" spans="1:27" x14ac:dyDescent="0.2">
      <c r="A229" s="222">
        <f>calculs!A229</f>
        <v>44780</v>
      </c>
      <c r="B229" s="523" t="e">
        <f ca="1">gr(données_step[[#This Row],[E_DBO5]])</f>
        <v>#NAME?</v>
      </c>
      <c r="C229" s="523" t="e">
        <f ca="1">gr(données_step[[#This Row],[E_DCO]])</f>
        <v>#NAME?</v>
      </c>
      <c r="D229" s="523" t="e">
        <f ca="1">gr(données_step[[#This Row],[E_COT]])</f>
        <v>#NAME?</v>
      </c>
      <c r="E229" s="523" t="e">
        <f ca="1">gr(données_step[[#This Row],[E_NH4]])</f>
        <v>#NAME?</v>
      </c>
      <c r="F229" s="523" t="e">
        <f ca="1">gr(données_step[[#This Row],[E_NTOT]])</f>
        <v>#NAME?</v>
      </c>
      <c r="G229" s="523" t="e">
        <f ca="1">gr(données_step[[#This Row],[E_PTOT]])</f>
        <v>#NAME?</v>
      </c>
      <c r="H229" s="523" t="e">
        <f ca="1">gr(données_step[[#This Row],[S_DBO5]])</f>
        <v>#NAME?</v>
      </c>
      <c r="I229" s="523" t="e">
        <f ca="1">gr(données_step[[#This Row],[S_DCO]])</f>
        <v>#NAME?</v>
      </c>
      <c r="J229" s="523" t="e">
        <f ca="1">gr(données_step[[#This Row],[S_COD]])</f>
        <v>#NAME?</v>
      </c>
      <c r="K229" s="523" t="e">
        <f ca="1">gr(données_step[[#This Row],[S_NH4]])</f>
        <v>#NAME?</v>
      </c>
      <c r="L229" s="523" t="e">
        <f ca="1">gr(données_step[[#This Row],[S_NO2]])</f>
        <v>#NAME?</v>
      </c>
      <c r="M229" s="523" t="e">
        <f ca="1">gr(données_step[[#This Row],[S_NO3]])</f>
        <v>#NAME?</v>
      </c>
      <c r="N229" s="523" t="e">
        <f ca="1">gr(données_step[[#This Row],[S_PORTH]])</f>
        <v>#NAME?</v>
      </c>
      <c r="O229" s="523" t="e">
        <f ca="1">gr(données_step[[#This Row],[S_PTOT]])</f>
        <v>#NAME?</v>
      </c>
      <c r="P229" s="523" t="e">
        <f ca="1">gr(données_step[[#This Row],[S_MES]])</f>
        <v>#NAME?</v>
      </c>
      <c r="Q229" s="523" t="e">
        <v>#N/A</v>
      </c>
      <c r="R229" s="523" t="e">
        <v>#N/A</v>
      </c>
      <c r="S229" s="523" t="e">
        <v>#N/A</v>
      </c>
      <c r="T229" s="523" t="e">
        <v>#N/A</v>
      </c>
      <c r="U229" s="523" t="e">
        <v>#N/A</v>
      </c>
      <c r="V229" s="523" t="e">
        <v>#N/A</v>
      </c>
      <c r="W229" s="523" t="e">
        <v>#N/A</v>
      </c>
      <c r="X229" s="523" t="e">
        <v>#N/A</v>
      </c>
      <c r="Y229" s="523" t="e">
        <v>#N/A</v>
      </c>
      <c r="Z229" s="523"/>
      <c r="AA229" s="523"/>
    </row>
    <row r="230" spans="1:27" x14ac:dyDescent="0.2">
      <c r="A230" s="222">
        <f>calculs!A230</f>
        <v>44781</v>
      </c>
      <c r="B230" s="523" t="e">
        <f ca="1">gr(données_step[[#This Row],[E_DBO5]])</f>
        <v>#NAME?</v>
      </c>
      <c r="C230" s="523" t="e">
        <f ca="1">gr(données_step[[#This Row],[E_DCO]])</f>
        <v>#NAME?</v>
      </c>
      <c r="D230" s="523" t="e">
        <f ca="1">gr(données_step[[#This Row],[E_COT]])</f>
        <v>#NAME?</v>
      </c>
      <c r="E230" s="523" t="e">
        <f ca="1">gr(données_step[[#This Row],[E_NH4]])</f>
        <v>#NAME?</v>
      </c>
      <c r="F230" s="523" t="e">
        <f ca="1">gr(données_step[[#This Row],[E_NTOT]])</f>
        <v>#NAME?</v>
      </c>
      <c r="G230" s="523" t="e">
        <f ca="1">gr(données_step[[#This Row],[E_PTOT]])</f>
        <v>#NAME?</v>
      </c>
      <c r="H230" s="523" t="e">
        <f ca="1">gr(données_step[[#This Row],[S_DBO5]])</f>
        <v>#NAME?</v>
      </c>
      <c r="I230" s="523" t="e">
        <f ca="1">gr(données_step[[#This Row],[S_DCO]])</f>
        <v>#NAME?</v>
      </c>
      <c r="J230" s="523" t="e">
        <f ca="1">gr(données_step[[#This Row],[S_COD]])</f>
        <v>#NAME?</v>
      </c>
      <c r="K230" s="523" t="e">
        <f ca="1">gr(données_step[[#This Row],[S_NH4]])</f>
        <v>#NAME?</v>
      </c>
      <c r="L230" s="523" t="e">
        <f ca="1">gr(données_step[[#This Row],[S_NO2]])</f>
        <v>#NAME?</v>
      </c>
      <c r="M230" s="523" t="e">
        <f ca="1">gr(données_step[[#This Row],[S_NO3]])</f>
        <v>#NAME?</v>
      </c>
      <c r="N230" s="523" t="e">
        <f ca="1">gr(données_step[[#This Row],[S_PORTH]])</f>
        <v>#NAME?</v>
      </c>
      <c r="O230" s="523" t="e">
        <f ca="1">gr(données_step[[#This Row],[S_PTOT]])</f>
        <v>#NAME?</v>
      </c>
      <c r="P230" s="523" t="e">
        <f ca="1">gr(données_step[[#This Row],[S_MES]])</f>
        <v>#NAME?</v>
      </c>
      <c r="Q230" s="523" t="e">
        <v>#N/A</v>
      </c>
      <c r="R230" s="523" t="e">
        <v>#N/A</v>
      </c>
      <c r="S230" s="523" t="e">
        <v>#N/A</v>
      </c>
      <c r="T230" s="523" t="e">
        <v>#N/A</v>
      </c>
      <c r="U230" s="523" t="e">
        <v>#N/A</v>
      </c>
      <c r="V230" s="523" t="e">
        <v>#N/A</v>
      </c>
      <c r="W230" s="523" t="e">
        <v>#N/A</v>
      </c>
      <c r="X230" s="523" t="e">
        <v>#N/A</v>
      </c>
      <c r="Y230" s="523" t="e">
        <v>#N/A</v>
      </c>
      <c r="Z230" s="523"/>
      <c r="AA230" s="523"/>
    </row>
    <row r="231" spans="1:27" x14ac:dyDescent="0.2">
      <c r="A231" s="222">
        <f>calculs!A231</f>
        <v>44782</v>
      </c>
      <c r="B231" s="523" t="e">
        <f ca="1">gr(données_step[[#This Row],[E_DBO5]])</f>
        <v>#NAME?</v>
      </c>
      <c r="C231" s="523" t="e">
        <f ca="1">gr(données_step[[#This Row],[E_DCO]])</f>
        <v>#NAME?</v>
      </c>
      <c r="D231" s="523" t="e">
        <f ca="1">gr(données_step[[#This Row],[E_COT]])</f>
        <v>#NAME?</v>
      </c>
      <c r="E231" s="523" t="e">
        <f ca="1">gr(données_step[[#This Row],[E_NH4]])</f>
        <v>#NAME?</v>
      </c>
      <c r="F231" s="523" t="e">
        <f ca="1">gr(données_step[[#This Row],[E_NTOT]])</f>
        <v>#NAME?</v>
      </c>
      <c r="G231" s="523" t="e">
        <f ca="1">gr(données_step[[#This Row],[E_PTOT]])</f>
        <v>#NAME?</v>
      </c>
      <c r="H231" s="523" t="e">
        <f ca="1">gr(données_step[[#This Row],[S_DBO5]])</f>
        <v>#NAME?</v>
      </c>
      <c r="I231" s="523" t="e">
        <f ca="1">gr(données_step[[#This Row],[S_DCO]])</f>
        <v>#NAME?</v>
      </c>
      <c r="J231" s="523" t="e">
        <f ca="1">gr(données_step[[#This Row],[S_COD]])</f>
        <v>#NAME?</v>
      </c>
      <c r="K231" s="523" t="e">
        <f ca="1">gr(données_step[[#This Row],[S_NH4]])</f>
        <v>#NAME?</v>
      </c>
      <c r="L231" s="523" t="e">
        <f ca="1">gr(données_step[[#This Row],[S_NO2]])</f>
        <v>#NAME?</v>
      </c>
      <c r="M231" s="523" t="e">
        <f ca="1">gr(données_step[[#This Row],[S_NO3]])</f>
        <v>#NAME?</v>
      </c>
      <c r="N231" s="523" t="e">
        <f ca="1">gr(données_step[[#This Row],[S_PORTH]])</f>
        <v>#NAME?</v>
      </c>
      <c r="O231" s="523" t="e">
        <f ca="1">gr(données_step[[#This Row],[S_PTOT]])</f>
        <v>#NAME?</v>
      </c>
      <c r="P231" s="523" t="e">
        <f ca="1">gr(données_step[[#This Row],[S_MES]])</f>
        <v>#NAME?</v>
      </c>
      <c r="Q231" s="523" t="e">
        <v>#N/A</v>
      </c>
      <c r="R231" s="523" t="e">
        <v>#N/A</v>
      </c>
      <c r="S231" s="523" t="e">
        <v>#N/A</v>
      </c>
      <c r="T231" s="523" t="e">
        <v>#N/A</v>
      </c>
      <c r="U231" s="523" t="e">
        <v>#N/A</v>
      </c>
      <c r="V231" s="523" t="e">
        <v>#N/A</v>
      </c>
      <c r="W231" s="523" t="e">
        <v>#N/A</v>
      </c>
      <c r="X231" s="523" t="e">
        <v>#N/A</v>
      </c>
      <c r="Y231" s="523" t="e">
        <v>#N/A</v>
      </c>
      <c r="Z231" s="523"/>
      <c r="AA231" s="523"/>
    </row>
    <row r="232" spans="1:27" x14ac:dyDescent="0.2">
      <c r="A232" s="222">
        <f>calculs!A232</f>
        <v>44783</v>
      </c>
      <c r="B232" s="523" t="e">
        <f ca="1">gr(données_step[[#This Row],[E_DBO5]])</f>
        <v>#NAME?</v>
      </c>
      <c r="C232" s="523" t="e">
        <f ca="1">gr(données_step[[#This Row],[E_DCO]])</f>
        <v>#NAME?</v>
      </c>
      <c r="D232" s="523" t="e">
        <f ca="1">gr(données_step[[#This Row],[E_COT]])</f>
        <v>#NAME?</v>
      </c>
      <c r="E232" s="523" t="e">
        <f ca="1">gr(données_step[[#This Row],[E_NH4]])</f>
        <v>#NAME?</v>
      </c>
      <c r="F232" s="523" t="e">
        <f ca="1">gr(données_step[[#This Row],[E_NTOT]])</f>
        <v>#NAME?</v>
      </c>
      <c r="G232" s="523" t="e">
        <f ca="1">gr(données_step[[#This Row],[E_PTOT]])</f>
        <v>#NAME?</v>
      </c>
      <c r="H232" s="523" t="e">
        <f ca="1">gr(données_step[[#This Row],[S_DBO5]])</f>
        <v>#NAME?</v>
      </c>
      <c r="I232" s="523" t="e">
        <f ca="1">gr(données_step[[#This Row],[S_DCO]])</f>
        <v>#NAME?</v>
      </c>
      <c r="J232" s="523" t="e">
        <f ca="1">gr(données_step[[#This Row],[S_COD]])</f>
        <v>#NAME?</v>
      </c>
      <c r="K232" s="523" t="e">
        <f ca="1">gr(données_step[[#This Row],[S_NH4]])</f>
        <v>#NAME?</v>
      </c>
      <c r="L232" s="523" t="e">
        <f ca="1">gr(données_step[[#This Row],[S_NO2]])</f>
        <v>#NAME?</v>
      </c>
      <c r="M232" s="523" t="e">
        <f ca="1">gr(données_step[[#This Row],[S_NO3]])</f>
        <v>#NAME?</v>
      </c>
      <c r="N232" s="523" t="e">
        <f ca="1">gr(données_step[[#This Row],[S_PORTH]])</f>
        <v>#NAME?</v>
      </c>
      <c r="O232" s="523" t="e">
        <f ca="1">gr(données_step[[#This Row],[S_PTOT]])</f>
        <v>#NAME?</v>
      </c>
      <c r="P232" s="523" t="e">
        <f ca="1">gr(données_step[[#This Row],[S_MES]])</f>
        <v>#NAME?</v>
      </c>
      <c r="Q232" s="523" t="e">
        <v>#N/A</v>
      </c>
      <c r="R232" s="523" t="e">
        <v>#N/A</v>
      </c>
      <c r="S232" s="523" t="e">
        <v>#N/A</v>
      </c>
      <c r="T232" s="523" t="e">
        <v>#N/A</v>
      </c>
      <c r="U232" s="523" t="e">
        <v>#N/A</v>
      </c>
      <c r="V232" s="523" t="e">
        <v>#N/A</v>
      </c>
      <c r="W232" s="523" t="e">
        <v>#N/A</v>
      </c>
      <c r="X232" s="523" t="e">
        <v>#N/A</v>
      </c>
      <c r="Y232" s="523" t="e">
        <v>#N/A</v>
      </c>
      <c r="Z232" s="523"/>
      <c r="AA232" s="523"/>
    </row>
    <row r="233" spans="1:27" x14ac:dyDescent="0.2">
      <c r="A233" s="222">
        <f>calculs!A233</f>
        <v>44784</v>
      </c>
      <c r="B233" s="523" t="e">
        <f ca="1">gr(données_step[[#This Row],[E_DBO5]])</f>
        <v>#NAME?</v>
      </c>
      <c r="C233" s="523" t="e">
        <f ca="1">gr(données_step[[#This Row],[E_DCO]])</f>
        <v>#NAME?</v>
      </c>
      <c r="D233" s="523" t="e">
        <f ca="1">gr(données_step[[#This Row],[E_COT]])</f>
        <v>#NAME?</v>
      </c>
      <c r="E233" s="523" t="e">
        <f ca="1">gr(données_step[[#This Row],[E_NH4]])</f>
        <v>#NAME?</v>
      </c>
      <c r="F233" s="523" t="e">
        <f ca="1">gr(données_step[[#This Row],[E_NTOT]])</f>
        <v>#NAME?</v>
      </c>
      <c r="G233" s="523" t="e">
        <f ca="1">gr(données_step[[#This Row],[E_PTOT]])</f>
        <v>#NAME?</v>
      </c>
      <c r="H233" s="523" t="e">
        <f ca="1">gr(données_step[[#This Row],[S_DBO5]])</f>
        <v>#NAME?</v>
      </c>
      <c r="I233" s="523" t="e">
        <f ca="1">gr(données_step[[#This Row],[S_DCO]])</f>
        <v>#NAME?</v>
      </c>
      <c r="J233" s="523" t="e">
        <f ca="1">gr(données_step[[#This Row],[S_COD]])</f>
        <v>#NAME?</v>
      </c>
      <c r="K233" s="523" t="e">
        <f ca="1">gr(données_step[[#This Row],[S_NH4]])</f>
        <v>#NAME?</v>
      </c>
      <c r="L233" s="523" t="e">
        <f ca="1">gr(données_step[[#This Row],[S_NO2]])</f>
        <v>#NAME?</v>
      </c>
      <c r="M233" s="523" t="e">
        <f ca="1">gr(données_step[[#This Row],[S_NO3]])</f>
        <v>#NAME?</v>
      </c>
      <c r="N233" s="523" t="e">
        <f ca="1">gr(données_step[[#This Row],[S_PORTH]])</f>
        <v>#NAME?</v>
      </c>
      <c r="O233" s="523" t="e">
        <f ca="1">gr(données_step[[#This Row],[S_PTOT]])</f>
        <v>#NAME?</v>
      </c>
      <c r="P233" s="523" t="e">
        <f ca="1">gr(données_step[[#This Row],[S_MES]])</f>
        <v>#NAME?</v>
      </c>
      <c r="Q233" s="523" t="e">
        <v>#N/A</v>
      </c>
      <c r="R233" s="523" t="e">
        <v>#N/A</v>
      </c>
      <c r="S233" s="523" t="e">
        <v>#N/A</v>
      </c>
      <c r="T233" s="523" t="e">
        <v>#N/A</v>
      </c>
      <c r="U233" s="523" t="e">
        <v>#N/A</v>
      </c>
      <c r="V233" s="523" t="e">
        <v>#N/A</v>
      </c>
      <c r="W233" s="523" t="e">
        <v>#N/A</v>
      </c>
      <c r="X233" s="523" t="e">
        <v>#N/A</v>
      </c>
      <c r="Y233" s="523" t="e">
        <v>#N/A</v>
      </c>
      <c r="Z233" s="523"/>
      <c r="AA233" s="523"/>
    </row>
    <row r="234" spans="1:27" x14ac:dyDescent="0.2">
      <c r="A234" s="222">
        <f>calculs!A234</f>
        <v>44785</v>
      </c>
      <c r="B234" s="523" t="e">
        <f ca="1">gr(données_step[[#This Row],[E_DBO5]])</f>
        <v>#NAME?</v>
      </c>
      <c r="C234" s="523" t="e">
        <f ca="1">gr(données_step[[#This Row],[E_DCO]])</f>
        <v>#NAME?</v>
      </c>
      <c r="D234" s="523" t="e">
        <f ca="1">gr(données_step[[#This Row],[E_COT]])</f>
        <v>#NAME?</v>
      </c>
      <c r="E234" s="523" t="e">
        <f ca="1">gr(données_step[[#This Row],[E_NH4]])</f>
        <v>#NAME?</v>
      </c>
      <c r="F234" s="523" t="e">
        <f ca="1">gr(données_step[[#This Row],[E_NTOT]])</f>
        <v>#NAME?</v>
      </c>
      <c r="G234" s="523" t="e">
        <f ca="1">gr(données_step[[#This Row],[E_PTOT]])</f>
        <v>#NAME?</v>
      </c>
      <c r="H234" s="523" t="e">
        <f ca="1">gr(données_step[[#This Row],[S_DBO5]])</f>
        <v>#NAME?</v>
      </c>
      <c r="I234" s="523" t="e">
        <f ca="1">gr(données_step[[#This Row],[S_DCO]])</f>
        <v>#NAME?</v>
      </c>
      <c r="J234" s="523" t="e">
        <f ca="1">gr(données_step[[#This Row],[S_COD]])</f>
        <v>#NAME?</v>
      </c>
      <c r="K234" s="523" t="e">
        <f ca="1">gr(données_step[[#This Row],[S_NH4]])</f>
        <v>#NAME?</v>
      </c>
      <c r="L234" s="523" t="e">
        <f ca="1">gr(données_step[[#This Row],[S_NO2]])</f>
        <v>#NAME?</v>
      </c>
      <c r="M234" s="523" t="e">
        <f ca="1">gr(données_step[[#This Row],[S_NO3]])</f>
        <v>#NAME?</v>
      </c>
      <c r="N234" s="523" t="e">
        <f ca="1">gr(données_step[[#This Row],[S_PORTH]])</f>
        <v>#NAME?</v>
      </c>
      <c r="O234" s="523" t="e">
        <f ca="1">gr(données_step[[#This Row],[S_PTOT]])</f>
        <v>#NAME?</v>
      </c>
      <c r="P234" s="523" t="e">
        <f ca="1">gr(données_step[[#This Row],[S_MES]])</f>
        <v>#NAME?</v>
      </c>
      <c r="Q234" s="523" t="e">
        <v>#N/A</v>
      </c>
      <c r="R234" s="523" t="e">
        <v>#N/A</v>
      </c>
      <c r="S234" s="523" t="e">
        <v>#N/A</v>
      </c>
      <c r="T234" s="523" t="e">
        <v>#N/A</v>
      </c>
      <c r="U234" s="523" t="e">
        <v>#N/A</v>
      </c>
      <c r="V234" s="523" t="e">
        <v>#N/A</v>
      </c>
      <c r="W234" s="523" t="e">
        <v>#N/A</v>
      </c>
      <c r="X234" s="523" t="e">
        <v>#N/A</v>
      </c>
      <c r="Y234" s="523" t="e">
        <v>#N/A</v>
      </c>
      <c r="Z234" s="523"/>
      <c r="AA234" s="523"/>
    </row>
    <row r="235" spans="1:27" x14ac:dyDescent="0.2">
      <c r="A235" s="222">
        <f>calculs!A235</f>
        <v>44786</v>
      </c>
      <c r="B235" s="523" t="e">
        <f ca="1">gr(données_step[[#This Row],[E_DBO5]])</f>
        <v>#NAME?</v>
      </c>
      <c r="C235" s="523" t="e">
        <f ca="1">gr(données_step[[#This Row],[E_DCO]])</f>
        <v>#NAME?</v>
      </c>
      <c r="D235" s="523" t="e">
        <f ca="1">gr(données_step[[#This Row],[E_COT]])</f>
        <v>#NAME?</v>
      </c>
      <c r="E235" s="523" t="e">
        <f ca="1">gr(données_step[[#This Row],[E_NH4]])</f>
        <v>#NAME?</v>
      </c>
      <c r="F235" s="523" t="e">
        <f ca="1">gr(données_step[[#This Row],[E_NTOT]])</f>
        <v>#NAME?</v>
      </c>
      <c r="G235" s="523" t="e">
        <f ca="1">gr(données_step[[#This Row],[E_PTOT]])</f>
        <v>#NAME?</v>
      </c>
      <c r="H235" s="523" t="e">
        <f ca="1">gr(données_step[[#This Row],[S_DBO5]])</f>
        <v>#NAME?</v>
      </c>
      <c r="I235" s="523" t="e">
        <f ca="1">gr(données_step[[#This Row],[S_DCO]])</f>
        <v>#NAME?</v>
      </c>
      <c r="J235" s="523" t="e">
        <f ca="1">gr(données_step[[#This Row],[S_COD]])</f>
        <v>#NAME?</v>
      </c>
      <c r="K235" s="523" t="e">
        <f ca="1">gr(données_step[[#This Row],[S_NH4]])</f>
        <v>#NAME?</v>
      </c>
      <c r="L235" s="523" t="e">
        <f ca="1">gr(données_step[[#This Row],[S_NO2]])</f>
        <v>#NAME?</v>
      </c>
      <c r="M235" s="523" t="e">
        <f ca="1">gr(données_step[[#This Row],[S_NO3]])</f>
        <v>#NAME?</v>
      </c>
      <c r="N235" s="523" t="e">
        <f ca="1">gr(données_step[[#This Row],[S_PORTH]])</f>
        <v>#NAME?</v>
      </c>
      <c r="O235" s="523" t="e">
        <f ca="1">gr(données_step[[#This Row],[S_PTOT]])</f>
        <v>#NAME?</v>
      </c>
      <c r="P235" s="523" t="e">
        <f ca="1">gr(données_step[[#This Row],[S_MES]])</f>
        <v>#NAME?</v>
      </c>
      <c r="Q235" s="523" t="e">
        <v>#N/A</v>
      </c>
      <c r="R235" s="523" t="e">
        <v>#N/A</v>
      </c>
      <c r="S235" s="523" t="e">
        <v>#N/A</v>
      </c>
      <c r="T235" s="523" t="e">
        <v>#N/A</v>
      </c>
      <c r="U235" s="523" t="e">
        <v>#N/A</v>
      </c>
      <c r="V235" s="523" t="e">
        <v>#N/A</v>
      </c>
      <c r="W235" s="523" t="e">
        <v>#N/A</v>
      </c>
      <c r="X235" s="523" t="e">
        <v>#N/A</v>
      </c>
      <c r="Y235" s="523" t="e">
        <v>#N/A</v>
      </c>
      <c r="Z235" s="523"/>
      <c r="AA235" s="523"/>
    </row>
    <row r="236" spans="1:27" x14ac:dyDescent="0.2">
      <c r="A236" s="222">
        <f>calculs!A236</f>
        <v>44787</v>
      </c>
      <c r="B236" s="523" t="e">
        <f ca="1">gr(données_step[[#This Row],[E_DBO5]])</f>
        <v>#NAME?</v>
      </c>
      <c r="C236" s="523" t="e">
        <f ca="1">gr(données_step[[#This Row],[E_DCO]])</f>
        <v>#NAME?</v>
      </c>
      <c r="D236" s="523" t="e">
        <f ca="1">gr(données_step[[#This Row],[E_COT]])</f>
        <v>#NAME?</v>
      </c>
      <c r="E236" s="523" t="e">
        <f ca="1">gr(données_step[[#This Row],[E_NH4]])</f>
        <v>#NAME?</v>
      </c>
      <c r="F236" s="523" t="e">
        <f ca="1">gr(données_step[[#This Row],[E_NTOT]])</f>
        <v>#NAME?</v>
      </c>
      <c r="G236" s="523" t="e">
        <f ca="1">gr(données_step[[#This Row],[E_PTOT]])</f>
        <v>#NAME?</v>
      </c>
      <c r="H236" s="523" t="e">
        <f ca="1">gr(données_step[[#This Row],[S_DBO5]])</f>
        <v>#NAME?</v>
      </c>
      <c r="I236" s="523" t="e">
        <f ca="1">gr(données_step[[#This Row],[S_DCO]])</f>
        <v>#NAME?</v>
      </c>
      <c r="J236" s="523" t="e">
        <f ca="1">gr(données_step[[#This Row],[S_COD]])</f>
        <v>#NAME?</v>
      </c>
      <c r="K236" s="523" t="e">
        <f ca="1">gr(données_step[[#This Row],[S_NH4]])</f>
        <v>#NAME?</v>
      </c>
      <c r="L236" s="523" t="e">
        <f ca="1">gr(données_step[[#This Row],[S_NO2]])</f>
        <v>#NAME?</v>
      </c>
      <c r="M236" s="523" t="e">
        <f ca="1">gr(données_step[[#This Row],[S_NO3]])</f>
        <v>#NAME?</v>
      </c>
      <c r="N236" s="523" t="e">
        <f ca="1">gr(données_step[[#This Row],[S_PORTH]])</f>
        <v>#NAME?</v>
      </c>
      <c r="O236" s="523" t="e">
        <f ca="1">gr(données_step[[#This Row],[S_PTOT]])</f>
        <v>#NAME?</v>
      </c>
      <c r="P236" s="523" t="e">
        <f ca="1">gr(données_step[[#This Row],[S_MES]])</f>
        <v>#NAME?</v>
      </c>
      <c r="Q236" s="523" t="e">
        <v>#N/A</v>
      </c>
      <c r="R236" s="523" t="e">
        <v>#N/A</v>
      </c>
      <c r="S236" s="523" t="e">
        <v>#N/A</v>
      </c>
      <c r="T236" s="523" t="e">
        <v>#N/A</v>
      </c>
      <c r="U236" s="523" t="e">
        <v>#N/A</v>
      </c>
      <c r="V236" s="523" t="e">
        <v>#N/A</v>
      </c>
      <c r="W236" s="523" t="e">
        <v>#N/A</v>
      </c>
      <c r="X236" s="523" t="e">
        <v>#N/A</v>
      </c>
      <c r="Y236" s="523" t="e">
        <v>#N/A</v>
      </c>
      <c r="Z236" s="523"/>
      <c r="AA236" s="523"/>
    </row>
    <row r="237" spans="1:27" x14ac:dyDescent="0.2">
      <c r="A237" s="222">
        <f>calculs!A237</f>
        <v>44788</v>
      </c>
      <c r="B237" s="523" t="e">
        <f ca="1">gr(données_step[[#This Row],[E_DBO5]])</f>
        <v>#NAME?</v>
      </c>
      <c r="C237" s="523" t="e">
        <f ca="1">gr(données_step[[#This Row],[E_DCO]])</f>
        <v>#NAME?</v>
      </c>
      <c r="D237" s="523" t="e">
        <f ca="1">gr(données_step[[#This Row],[E_COT]])</f>
        <v>#NAME?</v>
      </c>
      <c r="E237" s="523" t="e">
        <f ca="1">gr(données_step[[#This Row],[E_NH4]])</f>
        <v>#NAME?</v>
      </c>
      <c r="F237" s="523" t="e">
        <f ca="1">gr(données_step[[#This Row],[E_NTOT]])</f>
        <v>#NAME?</v>
      </c>
      <c r="G237" s="523" t="e">
        <f ca="1">gr(données_step[[#This Row],[E_PTOT]])</f>
        <v>#NAME?</v>
      </c>
      <c r="H237" s="523" t="e">
        <f ca="1">gr(données_step[[#This Row],[S_DBO5]])</f>
        <v>#NAME?</v>
      </c>
      <c r="I237" s="523" t="e">
        <f ca="1">gr(données_step[[#This Row],[S_DCO]])</f>
        <v>#NAME?</v>
      </c>
      <c r="J237" s="523" t="e">
        <f ca="1">gr(données_step[[#This Row],[S_COD]])</f>
        <v>#NAME?</v>
      </c>
      <c r="K237" s="523" t="e">
        <f ca="1">gr(données_step[[#This Row],[S_NH4]])</f>
        <v>#NAME?</v>
      </c>
      <c r="L237" s="523" t="e">
        <f ca="1">gr(données_step[[#This Row],[S_NO2]])</f>
        <v>#NAME?</v>
      </c>
      <c r="M237" s="523" t="e">
        <f ca="1">gr(données_step[[#This Row],[S_NO3]])</f>
        <v>#NAME?</v>
      </c>
      <c r="N237" s="523" t="e">
        <f ca="1">gr(données_step[[#This Row],[S_PORTH]])</f>
        <v>#NAME?</v>
      </c>
      <c r="O237" s="523" t="e">
        <f ca="1">gr(données_step[[#This Row],[S_PTOT]])</f>
        <v>#NAME?</v>
      </c>
      <c r="P237" s="523" t="e">
        <f ca="1">gr(données_step[[#This Row],[S_MES]])</f>
        <v>#NAME?</v>
      </c>
      <c r="Q237" s="523" t="e">
        <v>#N/A</v>
      </c>
      <c r="R237" s="523" t="e">
        <v>#N/A</v>
      </c>
      <c r="S237" s="523" t="e">
        <v>#N/A</v>
      </c>
      <c r="T237" s="523" t="e">
        <v>#N/A</v>
      </c>
      <c r="U237" s="523" t="e">
        <v>#N/A</v>
      </c>
      <c r="V237" s="523" t="e">
        <v>#N/A</v>
      </c>
      <c r="W237" s="523" t="e">
        <v>#N/A</v>
      </c>
      <c r="X237" s="523" t="e">
        <v>#N/A</v>
      </c>
      <c r="Y237" s="523" t="e">
        <v>#N/A</v>
      </c>
      <c r="Z237" s="523"/>
      <c r="AA237" s="523"/>
    </row>
    <row r="238" spans="1:27" x14ac:dyDescent="0.2">
      <c r="A238" s="222">
        <f>calculs!A238</f>
        <v>44789</v>
      </c>
      <c r="B238" s="523" t="e">
        <f ca="1">gr(données_step[[#This Row],[E_DBO5]])</f>
        <v>#NAME?</v>
      </c>
      <c r="C238" s="523" t="e">
        <f ca="1">gr(données_step[[#This Row],[E_DCO]])</f>
        <v>#NAME?</v>
      </c>
      <c r="D238" s="523" t="e">
        <f ca="1">gr(données_step[[#This Row],[E_COT]])</f>
        <v>#NAME?</v>
      </c>
      <c r="E238" s="523" t="e">
        <f ca="1">gr(données_step[[#This Row],[E_NH4]])</f>
        <v>#NAME?</v>
      </c>
      <c r="F238" s="523" t="e">
        <f ca="1">gr(données_step[[#This Row],[E_NTOT]])</f>
        <v>#NAME?</v>
      </c>
      <c r="G238" s="523" t="e">
        <f ca="1">gr(données_step[[#This Row],[E_PTOT]])</f>
        <v>#NAME?</v>
      </c>
      <c r="H238" s="523" t="e">
        <f ca="1">gr(données_step[[#This Row],[S_DBO5]])</f>
        <v>#NAME?</v>
      </c>
      <c r="I238" s="523" t="e">
        <f ca="1">gr(données_step[[#This Row],[S_DCO]])</f>
        <v>#NAME?</v>
      </c>
      <c r="J238" s="523" t="e">
        <f ca="1">gr(données_step[[#This Row],[S_COD]])</f>
        <v>#NAME?</v>
      </c>
      <c r="K238" s="523" t="e">
        <f ca="1">gr(données_step[[#This Row],[S_NH4]])</f>
        <v>#NAME?</v>
      </c>
      <c r="L238" s="523" t="e">
        <f ca="1">gr(données_step[[#This Row],[S_NO2]])</f>
        <v>#NAME?</v>
      </c>
      <c r="M238" s="523" t="e">
        <f ca="1">gr(données_step[[#This Row],[S_NO3]])</f>
        <v>#NAME?</v>
      </c>
      <c r="N238" s="523" t="e">
        <f ca="1">gr(données_step[[#This Row],[S_PORTH]])</f>
        <v>#NAME?</v>
      </c>
      <c r="O238" s="523" t="e">
        <f ca="1">gr(données_step[[#This Row],[S_PTOT]])</f>
        <v>#NAME?</v>
      </c>
      <c r="P238" s="523" t="e">
        <f ca="1">gr(données_step[[#This Row],[S_MES]])</f>
        <v>#NAME?</v>
      </c>
      <c r="Q238" s="523" t="e">
        <v>#N/A</v>
      </c>
      <c r="R238" s="523" t="e">
        <v>#N/A</v>
      </c>
      <c r="S238" s="523" t="e">
        <v>#N/A</v>
      </c>
      <c r="T238" s="523" t="e">
        <v>#N/A</v>
      </c>
      <c r="U238" s="523" t="e">
        <v>#N/A</v>
      </c>
      <c r="V238" s="523" t="e">
        <v>#N/A</v>
      </c>
      <c r="W238" s="523" t="e">
        <v>#N/A</v>
      </c>
      <c r="X238" s="523" t="e">
        <v>#N/A</v>
      </c>
      <c r="Y238" s="523" t="e">
        <v>#N/A</v>
      </c>
      <c r="Z238" s="523"/>
      <c r="AA238" s="523"/>
    </row>
    <row r="239" spans="1:27" x14ac:dyDescent="0.2">
      <c r="A239" s="222">
        <f>calculs!A239</f>
        <v>44790</v>
      </c>
      <c r="B239" s="523" t="e">
        <f ca="1">gr(données_step[[#This Row],[E_DBO5]])</f>
        <v>#NAME?</v>
      </c>
      <c r="C239" s="523" t="e">
        <f ca="1">gr(données_step[[#This Row],[E_DCO]])</f>
        <v>#NAME?</v>
      </c>
      <c r="D239" s="523" t="e">
        <f ca="1">gr(données_step[[#This Row],[E_COT]])</f>
        <v>#NAME?</v>
      </c>
      <c r="E239" s="523" t="e">
        <f ca="1">gr(données_step[[#This Row],[E_NH4]])</f>
        <v>#NAME?</v>
      </c>
      <c r="F239" s="523" t="e">
        <f ca="1">gr(données_step[[#This Row],[E_NTOT]])</f>
        <v>#NAME?</v>
      </c>
      <c r="G239" s="523" t="e">
        <f ca="1">gr(données_step[[#This Row],[E_PTOT]])</f>
        <v>#NAME?</v>
      </c>
      <c r="H239" s="523" t="e">
        <f ca="1">gr(données_step[[#This Row],[S_DBO5]])</f>
        <v>#NAME?</v>
      </c>
      <c r="I239" s="523" t="e">
        <f ca="1">gr(données_step[[#This Row],[S_DCO]])</f>
        <v>#NAME?</v>
      </c>
      <c r="J239" s="523" t="e">
        <f ca="1">gr(données_step[[#This Row],[S_COD]])</f>
        <v>#NAME?</v>
      </c>
      <c r="K239" s="523" t="e">
        <f ca="1">gr(données_step[[#This Row],[S_NH4]])</f>
        <v>#NAME?</v>
      </c>
      <c r="L239" s="523" t="e">
        <f ca="1">gr(données_step[[#This Row],[S_NO2]])</f>
        <v>#NAME?</v>
      </c>
      <c r="M239" s="523" t="e">
        <f ca="1">gr(données_step[[#This Row],[S_NO3]])</f>
        <v>#NAME?</v>
      </c>
      <c r="N239" s="523" t="e">
        <f ca="1">gr(données_step[[#This Row],[S_PORTH]])</f>
        <v>#NAME?</v>
      </c>
      <c r="O239" s="523" t="e">
        <f ca="1">gr(données_step[[#This Row],[S_PTOT]])</f>
        <v>#NAME?</v>
      </c>
      <c r="P239" s="523" t="e">
        <f ca="1">gr(données_step[[#This Row],[S_MES]])</f>
        <v>#NAME?</v>
      </c>
      <c r="Q239" s="523" t="e">
        <v>#N/A</v>
      </c>
      <c r="R239" s="523" t="e">
        <v>#N/A</v>
      </c>
      <c r="S239" s="523" t="e">
        <v>#N/A</v>
      </c>
      <c r="T239" s="523" t="e">
        <v>#N/A</v>
      </c>
      <c r="U239" s="523" t="e">
        <v>#N/A</v>
      </c>
      <c r="V239" s="523" t="e">
        <v>#N/A</v>
      </c>
      <c r="W239" s="523" t="e">
        <v>#N/A</v>
      </c>
      <c r="X239" s="523" t="e">
        <v>#N/A</v>
      </c>
      <c r="Y239" s="523" t="e">
        <v>#N/A</v>
      </c>
      <c r="Z239" s="523"/>
      <c r="AA239" s="523"/>
    </row>
    <row r="240" spans="1:27" x14ac:dyDescent="0.2">
      <c r="A240" s="222">
        <f>calculs!A240</f>
        <v>44791</v>
      </c>
      <c r="B240" s="523" t="e">
        <f ca="1">gr(données_step[[#This Row],[E_DBO5]])</f>
        <v>#NAME?</v>
      </c>
      <c r="C240" s="523" t="e">
        <f ca="1">gr(données_step[[#This Row],[E_DCO]])</f>
        <v>#NAME?</v>
      </c>
      <c r="D240" s="523" t="e">
        <f ca="1">gr(données_step[[#This Row],[E_COT]])</f>
        <v>#NAME?</v>
      </c>
      <c r="E240" s="523" t="e">
        <f ca="1">gr(données_step[[#This Row],[E_NH4]])</f>
        <v>#NAME?</v>
      </c>
      <c r="F240" s="523" t="e">
        <f ca="1">gr(données_step[[#This Row],[E_NTOT]])</f>
        <v>#NAME?</v>
      </c>
      <c r="G240" s="523" t="e">
        <f ca="1">gr(données_step[[#This Row],[E_PTOT]])</f>
        <v>#NAME?</v>
      </c>
      <c r="H240" s="523" t="e">
        <f ca="1">gr(données_step[[#This Row],[S_DBO5]])</f>
        <v>#NAME?</v>
      </c>
      <c r="I240" s="523" t="e">
        <f ca="1">gr(données_step[[#This Row],[S_DCO]])</f>
        <v>#NAME?</v>
      </c>
      <c r="J240" s="523" t="e">
        <f ca="1">gr(données_step[[#This Row],[S_COD]])</f>
        <v>#NAME?</v>
      </c>
      <c r="K240" s="523" t="e">
        <f ca="1">gr(données_step[[#This Row],[S_NH4]])</f>
        <v>#NAME?</v>
      </c>
      <c r="L240" s="523" t="e">
        <f ca="1">gr(données_step[[#This Row],[S_NO2]])</f>
        <v>#NAME?</v>
      </c>
      <c r="M240" s="523" t="e">
        <f ca="1">gr(données_step[[#This Row],[S_NO3]])</f>
        <v>#NAME?</v>
      </c>
      <c r="N240" s="523" t="e">
        <f ca="1">gr(données_step[[#This Row],[S_PORTH]])</f>
        <v>#NAME?</v>
      </c>
      <c r="O240" s="523" t="e">
        <f ca="1">gr(données_step[[#This Row],[S_PTOT]])</f>
        <v>#NAME?</v>
      </c>
      <c r="P240" s="523" t="e">
        <f ca="1">gr(données_step[[#This Row],[S_MES]])</f>
        <v>#NAME?</v>
      </c>
      <c r="Q240" s="523" t="e">
        <v>#N/A</v>
      </c>
      <c r="R240" s="523" t="e">
        <v>#N/A</v>
      </c>
      <c r="S240" s="523" t="e">
        <v>#N/A</v>
      </c>
      <c r="T240" s="523" t="e">
        <v>#N/A</v>
      </c>
      <c r="U240" s="523" t="e">
        <v>#N/A</v>
      </c>
      <c r="V240" s="523" t="e">
        <v>#N/A</v>
      </c>
      <c r="W240" s="523" t="e">
        <v>#N/A</v>
      </c>
      <c r="X240" s="523" t="e">
        <v>#N/A</v>
      </c>
      <c r="Y240" s="523" t="e">
        <v>#N/A</v>
      </c>
      <c r="Z240" s="523"/>
      <c r="AA240" s="523"/>
    </row>
    <row r="241" spans="1:27" x14ac:dyDescent="0.2">
      <c r="A241" s="222">
        <f>calculs!A241</f>
        <v>44792</v>
      </c>
      <c r="B241" s="523" t="e">
        <f ca="1">gr(données_step[[#This Row],[E_DBO5]])</f>
        <v>#NAME?</v>
      </c>
      <c r="C241" s="523" t="e">
        <f ca="1">gr(données_step[[#This Row],[E_DCO]])</f>
        <v>#NAME?</v>
      </c>
      <c r="D241" s="523" t="e">
        <f ca="1">gr(données_step[[#This Row],[E_COT]])</f>
        <v>#NAME?</v>
      </c>
      <c r="E241" s="523" t="e">
        <f ca="1">gr(données_step[[#This Row],[E_NH4]])</f>
        <v>#NAME?</v>
      </c>
      <c r="F241" s="523" t="e">
        <f ca="1">gr(données_step[[#This Row],[E_NTOT]])</f>
        <v>#NAME?</v>
      </c>
      <c r="G241" s="523" t="e">
        <f ca="1">gr(données_step[[#This Row],[E_PTOT]])</f>
        <v>#NAME?</v>
      </c>
      <c r="H241" s="523" t="e">
        <f ca="1">gr(données_step[[#This Row],[S_DBO5]])</f>
        <v>#NAME?</v>
      </c>
      <c r="I241" s="523" t="e">
        <f ca="1">gr(données_step[[#This Row],[S_DCO]])</f>
        <v>#NAME?</v>
      </c>
      <c r="J241" s="523" t="e">
        <f ca="1">gr(données_step[[#This Row],[S_COD]])</f>
        <v>#NAME?</v>
      </c>
      <c r="K241" s="523" t="e">
        <f ca="1">gr(données_step[[#This Row],[S_NH4]])</f>
        <v>#NAME?</v>
      </c>
      <c r="L241" s="523" t="e">
        <f ca="1">gr(données_step[[#This Row],[S_NO2]])</f>
        <v>#NAME?</v>
      </c>
      <c r="M241" s="523" t="e">
        <f ca="1">gr(données_step[[#This Row],[S_NO3]])</f>
        <v>#NAME?</v>
      </c>
      <c r="N241" s="523" t="e">
        <f ca="1">gr(données_step[[#This Row],[S_PORTH]])</f>
        <v>#NAME?</v>
      </c>
      <c r="O241" s="523" t="e">
        <f ca="1">gr(données_step[[#This Row],[S_PTOT]])</f>
        <v>#NAME?</v>
      </c>
      <c r="P241" s="523" t="e">
        <f ca="1">gr(données_step[[#This Row],[S_MES]])</f>
        <v>#NAME?</v>
      </c>
      <c r="Q241" s="523" t="e">
        <v>#N/A</v>
      </c>
      <c r="R241" s="523" t="e">
        <v>#N/A</v>
      </c>
      <c r="S241" s="523" t="e">
        <v>#N/A</v>
      </c>
      <c r="T241" s="523" t="e">
        <v>#N/A</v>
      </c>
      <c r="U241" s="523" t="e">
        <v>#N/A</v>
      </c>
      <c r="V241" s="523" t="e">
        <v>#N/A</v>
      </c>
      <c r="W241" s="523" t="e">
        <v>#N/A</v>
      </c>
      <c r="X241" s="523" t="e">
        <v>#N/A</v>
      </c>
      <c r="Y241" s="523" t="e">
        <v>#N/A</v>
      </c>
      <c r="Z241" s="523"/>
      <c r="AA241" s="523"/>
    </row>
    <row r="242" spans="1:27" x14ac:dyDescent="0.2">
      <c r="A242" s="222">
        <f>calculs!A242</f>
        <v>44793</v>
      </c>
      <c r="B242" s="523" t="e">
        <f ca="1">gr(données_step[[#This Row],[E_DBO5]])</f>
        <v>#NAME?</v>
      </c>
      <c r="C242" s="523" t="e">
        <f ca="1">gr(données_step[[#This Row],[E_DCO]])</f>
        <v>#NAME?</v>
      </c>
      <c r="D242" s="523" t="e">
        <f ca="1">gr(données_step[[#This Row],[E_COT]])</f>
        <v>#NAME?</v>
      </c>
      <c r="E242" s="523" t="e">
        <f ca="1">gr(données_step[[#This Row],[E_NH4]])</f>
        <v>#NAME?</v>
      </c>
      <c r="F242" s="523" t="e">
        <f ca="1">gr(données_step[[#This Row],[E_NTOT]])</f>
        <v>#NAME?</v>
      </c>
      <c r="G242" s="523" t="e">
        <f ca="1">gr(données_step[[#This Row],[E_PTOT]])</f>
        <v>#NAME?</v>
      </c>
      <c r="H242" s="523" t="e">
        <f ca="1">gr(données_step[[#This Row],[S_DBO5]])</f>
        <v>#NAME?</v>
      </c>
      <c r="I242" s="523" t="e">
        <f ca="1">gr(données_step[[#This Row],[S_DCO]])</f>
        <v>#NAME?</v>
      </c>
      <c r="J242" s="523" t="e">
        <f ca="1">gr(données_step[[#This Row],[S_COD]])</f>
        <v>#NAME?</v>
      </c>
      <c r="K242" s="523" t="e">
        <f ca="1">gr(données_step[[#This Row],[S_NH4]])</f>
        <v>#NAME?</v>
      </c>
      <c r="L242" s="523" t="e">
        <f ca="1">gr(données_step[[#This Row],[S_NO2]])</f>
        <v>#NAME?</v>
      </c>
      <c r="M242" s="523" t="e">
        <f ca="1">gr(données_step[[#This Row],[S_NO3]])</f>
        <v>#NAME?</v>
      </c>
      <c r="N242" s="523" t="e">
        <f ca="1">gr(données_step[[#This Row],[S_PORTH]])</f>
        <v>#NAME?</v>
      </c>
      <c r="O242" s="523" t="e">
        <f ca="1">gr(données_step[[#This Row],[S_PTOT]])</f>
        <v>#NAME?</v>
      </c>
      <c r="P242" s="523" t="e">
        <f ca="1">gr(données_step[[#This Row],[S_MES]])</f>
        <v>#NAME?</v>
      </c>
      <c r="Q242" s="523" t="e">
        <v>#N/A</v>
      </c>
      <c r="R242" s="523" t="e">
        <v>#N/A</v>
      </c>
      <c r="S242" s="523" t="e">
        <v>#N/A</v>
      </c>
      <c r="T242" s="523" t="e">
        <v>#N/A</v>
      </c>
      <c r="U242" s="523" t="e">
        <v>#N/A</v>
      </c>
      <c r="V242" s="523" t="e">
        <v>#N/A</v>
      </c>
      <c r="W242" s="523" t="e">
        <v>#N/A</v>
      </c>
      <c r="X242" s="523" t="e">
        <v>#N/A</v>
      </c>
      <c r="Y242" s="523" t="e">
        <v>#N/A</v>
      </c>
      <c r="Z242" s="523"/>
      <c r="AA242" s="523"/>
    </row>
    <row r="243" spans="1:27" x14ac:dyDescent="0.2">
      <c r="A243" s="222">
        <f>calculs!A243</f>
        <v>44794</v>
      </c>
      <c r="B243" s="523" t="e">
        <f ca="1">gr(données_step[[#This Row],[E_DBO5]])</f>
        <v>#NAME?</v>
      </c>
      <c r="C243" s="523" t="e">
        <f ca="1">gr(données_step[[#This Row],[E_DCO]])</f>
        <v>#NAME?</v>
      </c>
      <c r="D243" s="523" t="e">
        <f ca="1">gr(données_step[[#This Row],[E_COT]])</f>
        <v>#NAME?</v>
      </c>
      <c r="E243" s="523" t="e">
        <f ca="1">gr(données_step[[#This Row],[E_NH4]])</f>
        <v>#NAME?</v>
      </c>
      <c r="F243" s="523" t="e">
        <f ca="1">gr(données_step[[#This Row],[E_NTOT]])</f>
        <v>#NAME?</v>
      </c>
      <c r="G243" s="523" t="e">
        <f ca="1">gr(données_step[[#This Row],[E_PTOT]])</f>
        <v>#NAME?</v>
      </c>
      <c r="H243" s="523" t="e">
        <f ca="1">gr(données_step[[#This Row],[S_DBO5]])</f>
        <v>#NAME?</v>
      </c>
      <c r="I243" s="523" t="e">
        <f ca="1">gr(données_step[[#This Row],[S_DCO]])</f>
        <v>#NAME?</v>
      </c>
      <c r="J243" s="523" t="e">
        <f ca="1">gr(données_step[[#This Row],[S_COD]])</f>
        <v>#NAME?</v>
      </c>
      <c r="K243" s="523" t="e">
        <f ca="1">gr(données_step[[#This Row],[S_NH4]])</f>
        <v>#NAME?</v>
      </c>
      <c r="L243" s="523" t="e">
        <f ca="1">gr(données_step[[#This Row],[S_NO2]])</f>
        <v>#NAME?</v>
      </c>
      <c r="M243" s="523" t="e">
        <f ca="1">gr(données_step[[#This Row],[S_NO3]])</f>
        <v>#NAME?</v>
      </c>
      <c r="N243" s="523" t="e">
        <f ca="1">gr(données_step[[#This Row],[S_PORTH]])</f>
        <v>#NAME?</v>
      </c>
      <c r="O243" s="523" t="e">
        <f ca="1">gr(données_step[[#This Row],[S_PTOT]])</f>
        <v>#NAME?</v>
      </c>
      <c r="P243" s="523" t="e">
        <f ca="1">gr(données_step[[#This Row],[S_MES]])</f>
        <v>#NAME?</v>
      </c>
      <c r="Q243" s="523" t="e">
        <v>#N/A</v>
      </c>
      <c r="R243" s="523" t="e">
        <v>#N/A</v>
      </c>
      <c r="S243" s="523" t="e">
        <v>#N/A</v>
      </c>
      <c r="T243" s="523" t="e">
        <v>#N/A</v>
      </c>
      <c r="U243" s="523" t="e">
        <v>#N/A</v>
      </c>
      <c r="V243" s="523" t="e">
        <v>#N/A</v>
      </c>
      <c r="W243" s="523" t="e">
        <v>#N/A</v>
      </c>
      <c r="X243" s="523" t="e">
        <v>#N/A</v>
      </c>
      <c r="Y243" s="523" t="e">
        <v>#N/A</v>
      </c>
      <c r="Z243" s="523"/>
      <c r="AA243" s="523"/>
    </row>
    <row r="244" spans="1:27" x14ac:dyDescent="0.2">
      <c r="A244" s="222">
        <f>calculs!A244</f>
        <v>44795</v>
      </c>
      <c r="B244" s="523" t="e">
        <f ca="1">gr(données_step[[#This Row],[E_DBO5]])</f>
        <v>#NAME?</v>
      </c>
      <c r="C244" s="523" t="e">
        <f ca="1">gr(données_step[[#This Row],[E_DCO]])</f>
        <v>#NAME?</v>
      </c>
      <c r="D244" s="523" t="e">
        <f ca="1">gr(données_step[[#This Row],[E_COT]])</f>
        <v>#NAME?</v>
      </c>
      <c r="E244" s="523" t="e">
        <f ca="1">gr(données_step[[#This Row],[E_NH4]])</f>
        <v>#NAME?</v>
      </c>
      <c r="F244" s="523" t="e">
        <f ca="1">gr(données_step[[#This Row],[E_NTOT]])</f>
        <v>#NAME?</v>
      </c>
      <c r="G244" s="523" t="e">
        <f ca="1">gr(données_step[[#This Row],[E_PTOT]])</f>
        <v>#NAME?</v>
      </c>
      <c r="H244" s="523" t="e">
        <f ca="1">gr(données_step[[#This Row],[S_DBO5]])</f>
        <v>#NAME?</v>
      </c>
      <c r="I244" s="523" t="e">
        <f ca="1">gr(données_step[[#This Row],[S_DCO]])</f>
        <v>#NAME?</v>
      </c>
      <c r="J244" s="523" t="e">
        <f ca="1">gr(données_step[[#This Row],[S_COD]])</f>
        <v>#NAME?</v>
      </c>
      <c r="K244" s="523" t="e">
        <f ca="1">gr(données_step[[#This Row],[S_NH4]])</f>
        <v>#NAME?</v>
      </c>
      <c r="L244" s="523" t="e">
        <f ca="1">gr(données_step[[#This Row],[S_NO2]])</f>
        <v>#NAME?</v>
      </c>
      <c r="M244" s="523" t="e">
        <f ca="1">gr(données_step[[#This Row],[S_NO3]])</f>
        <v>#NAME?</v>
      </c>
      <c r="N244" s="523" t="e">
        <f ca="1">gr(données_step[[#This Row],[S_PORTH]])</f>
        <v>#NAME?</v>
      </c>
      <c r="O244" s="523" t="e">
        <f ca="1">gr(données_step[[#This Row],[S_PTOT]])</f>
        <v>#NAME?</v>
      </c>
      <c r="P244" s="523" t="e">
        <f ca="1">gr(données_step[[#This Row],[S_MES]])</f>
        <v>#NAME?</v>
      </c>
      <c r="Q244" s="523" t="e">
        <v>#N/A</v>
      </c>
      <c r="R244" s="523" t="e">
        <v>#N/A</v>
      </c>
      <c r="S244" s="523" t="e">
        <v>#N/A</v>
      </c>
      <c r="T244" s="523" t="e">
        <v>#N/A</v>
      </c>
      <c r="U244" s="523" t="e">
        <v>#N/A</v>
      </c>
      <c r="V244" s="523" t="e">
        <v>#N/A</v>
      </c>
      <c r="W244" s="523" t="e">
        <v>#N/A</v>
      </c>
      <c r="X244" s="523" t="e">
        <v>#N/A</v>
      </c>
      <c r="Y244" s="523" t="e">
        <v>#N/A</v>
      </c>
      <c r="Z244" s="523"/>
      <c r="AA244" s="523"/>
    </row>
    <row r="245" spans="1:27" x14ac:dyDescent="0.2">
      <c r="A245" s="222">
        <f>calculs!A245</f>
        <v>44796</v>
      </c>
      <c r="B245" s="523" t="e">
        <f ca="1">gr(données_step[[#This Row],[E_DBO5]])</f>
        <v>#NAME?</v>
      </c>
      <c r="C245" s="523" t="e">
        <f ca="1">gr(données_step[[#This Row],[E_DCO]])</f>
        <v>#NAME?</v>
      </c>
      <c r="D245" s="523" t="e">
        <f ca="1">gr(données_step[[#This Row],[E_COT]])</f>
        <v>#NAME?</v>
      </c>
      <c r="E245" s="523" t="e">
        <f ca="1">gr(données_step[[#This Row],[E_NH4]])</f>
        <v>#NAME?</v>
      </c>
      <c r="F245" s="523" t="e">
        <f ca="1">gr(données_step[[#This Row],[E_NTOT]])</f>
        <v>#NAME?</v>
      </c>
      <c r="G245" s="523" t="e">
        <f ca="1">gr(données_step[[#This Row],[E_PTOT]])</f>
        <v>#NAME?</v>
      </c>
      <c r="H245" s="523" t="e">
        <f ca="1">gr(données_step[[#This Row],[S_DBO5]])</f>
        <v>#NAME?</v>
      </c>
      <c r="I245" s="523" t="e">
        <f ca="1">gr(données_step[[#This Row],[S_DCO]])</f>
        <v>#NAME?</v>
      </c>
      <c r="J245" s="523" t="e">
        <f ca="1">gr(données_step[[#This Row],[S_COD]])</f>
        <v>#NAME?</v>
      </c>
      <c r="K245" s="523" t="e">
        <f ca="1">gr(données_step[[#This Row],[S_NH4]])</f>
        <v>#NAME?</v>
      </c>
      <c r="L245" s="523" t="e">
        <f ca="1">gr(données_step[[#This Row],[S_NO2]])</f>
        <v>#NAME?</v>
      </c>
      <c r="M245" s="523" t="e">
        <f ca="1">gr(données_step[[#This Row],[S_NO3]])</f>
        <v>#NAME?</v>
      </c>
      <c r="N245" s="523" t="e">
        <f ca="1">gr(données_step[[#This Row],[S_PORTH]])</f>
        <v>#NAME?</v>
      </c>
      <c r="O245" s="523" t="e">
        <f ca="1">gr(données_step[[#This Row],[S_PTOT]])</f>
        <v>#NAME?</v>
      </c>
      <c r="P245" s="523" t="e">
        <f ca="1">gr(données_step[[#This Row],[S_MES]])</f>
        <v>#NAME?</v>
      </c>
      <c r="Q245" s="523" t="e">
        <v>#N/A</v>
      </c>
      <c r="R245" s="523" t="e">
        <v>#N/A</v>
      </c>
      <c r="S245" s="523" t="e">
        <v>#N/A</v>
      </c>
      <c r="T245" s="523" t="e">
        <v>#N/A</v>
      </c>
      <c r="U245" s="523" t="e">
        <v>#N/A</v>
      </c>
      <c r="V245" s="523" t="e">
        <v>#N/A</v>
      </c>
      <c r="W245" s="523" t="e">
        <v>#N/A</v>
      </c>
      <c r="X245" s="523" t="e">
        <v>#N/A</v>
      </c>
      <c r="Y245" s="523" t="e">
        <v>#N/A</v>
      </c>
      <c r="Z245" s="523"/>
      <c r="AA245" s="523"/>
    </row>
    <row r="246" spans="1:27" x14ac:dyDescent="0.2">
      <c r="A246" s="222">
        <f>calculs!A246</f>
        <v>44797</v>
      </c>
      <c r="B246" s="523" t="e">
        <f ca="1">gr(données_step[[#This Row],[E_DBO5]])</f>
        <v>#NAME?</v>
      </c>
      <c r="C246" s="523" t="e">
        <f ca="1">gr(données_step[[#This Row],[E_DCO]])</f>
        <v>#NAME?</v>
      </c>
      <c r="D246" s="523" t="e">
        <f ca="1">gr(données_step[[#This Row],[E_COT]])</f>
        <v>#NAME?</v>
      </c>
      <c r="E246" s="523" t="e">
        <f ca="1">gr(données_step[[#This Row],[E_NH4]])</f>
        <v>#NAME?</v>
      </c>
      <c r="F246" s="523" t="e">
        <f ca="1">gr(données_step[[#This Row],[E_NTOT]])</f>
        <v>#NAME?</v>
      </c>
      <c r="G246" s="523" t="e">
        <f ca="1">gr(données_step[[#This Row],[E_PTOT]])</f>
        <v>#NAME?</v>
      </c>
      <c r="H246" s="523" t="e">
        <f ca="1">gr(données_step[[#This Row],[S_DBO5]])</f>
        <v>#NAME?</v>
      </c>
      <c r="I246" s="523" t="e">
        <f ca="1">gr(données_step[[#This Row],[S_DCO]])</f>
        <v>#NAME?</v>
      </c>
      <c r="J246" s="523" t="e">
        <f ca="1">gr(données_step[[#This Row],[S_COD]])</f>
        <v>#NAME?</v>
      </c>
      <c r="K246" s="523" t="e">
        <f ca="1">gr(données_step[[#This Row],[S_NH4]])</f>
        <v>#NAME?</v>
      </c>
      <c r="L246" s="523" t="e">
        <f ca="1">gr(données_step[[#This Row],[S_NO2]])</f>
        <v>#NAME?</v>
      </c>
      <c r="M246" s="523" t="e">
        <f ca="1">gr(données_step[[#This Row],[S_NO3]])</f>
        <v>#NAME?</v>
      </c>
      <c r="N246" s="523" t="e">
        <f ca="1">gr(données_step[[#This Row],[S_PORTH]])</f>
        <v>#NAME?</v>
      </c>
      <c r="O246" s="523" t="e">
        <f ca="1">gr(données_step[[#This Row],[S_PTOT]])</f>
        <v>#NAME?</v>
      </c>
      <c r="P246" s="523" t="e">
        <f ca="1">gr(données_step[[#This Row],[S_MES]])</f>
        <v>#NAME?</v>
      </c>
      <c r="Q246" s="523" t="e">
        <v>#N/A</v>
      </c>
      <c r="R246" s="523" t="e">
        <v>#N/A</v>
      </c>
      <c r="S246" s="523" t="e">
        <v>#N/A</v>
      </c>
      <c r="T246" s="523" t="e">
        <v>#N/A</v>
      </c>
      <c r="U246" s="523" t="e">
        <v>#N/A</v>
      </c>
      <c r="V246" s="523" t="e">
        <v>#N/A</v>
      </c>
      <c r="W246" s="523" t="e">
        <v>#N/A</v>
      </c>
      <c r="X246" s="523" t="e">
        <v>#N/A</v>
      </c>
      <c r="Y246" s="523" t="e">
        <v>#N/A</v>
      </c>
      <c r="Z246" s="523"/>
      <c r="AA246" s="523"/>
    </row>
    <row r="247" spans="1:27" x14ac:dyDescent="0.2">
      <c r="A247" s="222">
        <f>calculs!A247</f>
        <v>44798</v>
      </c>
      <c r="B247" s="523" t="e">
        <f ca="1">gr(données_step[[#This Row],[E_DBO5]])</f>
        <v>#NAME?</v>
      </c>
      <c r="C247" s="523" t="e">
        <f ca="1">gr(données_step[[#This Row],[E_DCO]])</f>
        <v>#NAME?</v>
      </c>
      <c r="D247" s="523" t="e">
        <f ca="1">gr(données_step[[#This Row],[E_COT]])</f>
        <v>#NAME?</v>
      </c>
      <c r="E247" s="523" t="e">
        <f ca="1">gr(données_step[[#This Row],[E_NH4]])</f>
        <v>#NAME?</v>
      </c>
      <c r="F247" s="523" t="e">
        <f ca="1">gr(données_step[[#This Row],[E_NTOT]])</f>
        <v>#NAME?</v>
      </c>
      <c r="G247" s="523" t="e">
        <f ca="1">gr(données_step[[#This Row],[E_PTOT]])</f>
        <v>#NAME?</v>
      </c>
      <c r="H247" s="523" t="e">
        <f ca="1">gr(données_step[[#This Row],[S_DBO5]])</f>
        <v>#NAME?</v>
      </c>
      <c r="I247" s="523" t="e">
        <f ca="1">gr(données_step[[#This Row],[S_DCO]])</f>
        <v>#NAME?</v>
      </c>
      <c r="J247" s="523" t="e">
        <f ca="1">gr(données_step[[#This Row],[S_COD]])</f>
        <v>#NAME?</v>
      </c>
      <c r="K247" s="523" t="e">
        <f ca="1">gr(données_step[[#This Row],[S_NH4]])</f>
        <v>#NAME?</v>
      </c>
      <c r="L247" s="523" t="e">
        <f ca="1">gr(données_step[[#This Row],[S_NO2]])</f>
        <v>#NAME?</v>
      </c>
      <c r="M247" s="523" t="e">
        <f ca="1">gr(données_step[[#This Row],[S_NO3]])</f>
        <v>#NAME?</v>
      </c>
      <c r="N247" s="523" t="e">
        <f ca="1">gr(données_step[[#This Row],[S_PORTH]])</f>
        <v>#NAME?</v>
      </c>
      <c r="O247" s="523" t="e">
        <f ca="1">gr(données_step[[#This Row],[S_PTOT]])</f>
        <v>#NAME?</v>
      </c>
      <c r="P247" s="523" t="e">
        <f ca="1">gr(données_step[[#This Row],[S_MES]])</f>
        <v>#NAME?</v>
      </c>
      <c r="Q247" s="523" t="e">
        <v>#N/A</v>
      </c>
      <c r="R247" s="523" t="e">
        <v>#N/A</v>
      </c>
      <c r="S247" s="523" t="e">
        <v>#N/A</v>
      </c>
      <c r="T247" s="523" t="e">
        <v>#N/A</v>
      </c>
      <c r="U247" s="523" t="e">
        <v>#N/A</v>
      </c>
      <c r="V247" s="523" t="e">
        <v>#N/A</v>
      </c>
      <c r="W247" s="523" t="e">
        <v>#N/A</v>
      </c>
      <c r="X247" s="523" t="e">
        <v>#N/A</v>
      </c>
      <c r="Y247" s="523" t="e">
        <v>#N/A</v>
      </c>
      <c r="Z247" s="523"/>
      <c r="AA247" s="523"/>
    </row>
    <row r="248" spans="1:27" x14ac:dyDescent="0.2">
      <c r="A248" s="222">
        <f>calculs!A248</f>
        <v>44799</v>
      </c>
      <c r="B248" s="523" t="e">
        <f ca="1">gr(données_step[[#This Row],[E_DBO5]])</f>
        <v>#NAME?</v>
      </c>
      <c r="C248" s="523" t="e">
        <f ca="1">gr(données_step[[#This Row],[E_DCO]])</f>
        <v>#NAME?</v>
      </c>
      <c r="D248" s="523" t="e">
        <f ca="1">gr(données_step[[#This Row],[E_COT]])</f>
        <v>#NAME?</v>
      </c>
      <c r="E248" s="523" t="e">
        <f ca="1">gr(données_step[[#This Row],[E_NH4]])</f>
        <v>#NAME?</v>
      </c>
      <c r="F248" s="523" t="e">
        <f ca="1">gr(données_step[[#This Row],[E_NTOT]])</f>
        <v>#NAME?</v>
      </c>
      <c r="G248" s="523" t="e">
        <f ca="1">gr(données_step[[#This Row],[E_PTOT]])</f>
        <v>#NAME?</v>
      </c>
      <c r="H248" s="523" t="e">
        <f ca="1">gr(données_step[[#This Row],[S_DBO5]])</f>
        <v>#NAME?</v>
      </c>
      <c r="I248" s="523" t="e">
        <f ca="1">gr(données_step[[#This Row],[S_DCO]])</f>
        <v>#NAME?</v>
      </c>
      <c r="J248" s="523" t="e">
        <f ca="1">gr(données_step[[#This Row],[S_COD]])</f>
        <v>#NAME?</v>
      </c>
      <c r="K248" s="523" t="e">
        <f ca="1">gr(données_step[[#This Row],[S_NH4]])</f>
        <v>#NAME?</v>
      </c>
      <c r="L248" s="523" t="e">
        <f ca="1">gr(données_step[[#This Row],[S_NO2]])</f>
        <v>#NAME?</v>
      </c>
      <c r="M248" s="523" t="e">
        <f ca="1">gr(données_step[[#This Row],[S_NO3]])</f>
        <v>#NAME?</v>
      </c>
      <c r="N248" s="523" t="e">
        <f ca="1">gr(données_step[[#This Row],[S_PORTH]])</f>
        <v>#NAME?</v>
      </c>
      <c r="O248" s="523" t="e">
        <f ca="1">gr(données_step[[#This Row],[S_PTOT]])</f>
        <v>#NAME?</v>
      </c>
      <c r="P248" s="523" t="e">
        <f ca="1">gr(données_step[[#This Row],[S_MES]])</f>
        <v>#NAME?</v>
      </c>
      <c r="Q248" s="523" t="e">
        <v>#N/A</v>
      </c>
      <c r="R248" s="523" t="e">
        <v>#N/A</v>
      </c>
      <c r="S248" s="523" t="e">
        <v>#N/A</v>
      </c>
      <c r="T248" s="523" t="e">
        <v>#N/A</v>
      </c>
      <c r="U248" s="523" t="e">
        <v>#N/A</v>
      </c>
      <c r="V248" s="523" t="e">
        <v>#N/A</v>
      </c>
      <c r="W248" s="523" t="e">
        <v>#N/A</v>
      </c>
      <c r="X248" s="523" t="e">
        <v>#N/A</v>
      </c>
      <c r="Y248" s="523" t="e">
        <v>#N/A</v>
      </c>
      <c r="Z248" s="523"/>
      <c r="AA248" s="523"/>
    </row>
    <row r="249" spans="1:27" x14ac:dyDescent="0.2">
      <c r="A249" s="222">
        <f>calculs!A249</f>
        <v>44800</v>
      </c>
      <c r="B249" s="523" t="e">
        <f ca="1">gr(données_step[[#This Row],[E_DBO5]])</f>
        <v>#NAME?</v>
      </c>
      <c r="C249" s="523" t="e">
        <f ca="1">gr(données_step[[#This Row],[E_DCO]])</f>
        <v>#NAME?</v>
      </c>
      <c r="D249" s="523" t="e">
        <f ca="1">gr(données_step[[#This Row],[E_COT]])</f>
        <v>#NAME?</v>
      </c>
      <c r="E249" s="523" t="e">
        <f ca="1">gr(données_step[[#This Row],[E_NH4]])</f>
        <v>#NAME?</v>
      </c>
      <c r="F249" s="523" t="e">
        <f ca="1">gr(données_step[[#This Row],[E_NTOT]])</f>
        <v>#NAME?</v>
      </c>
      <c r="G249" s="523" t="e">
        <f ca="1">gr(données_step[[#This Row],[E_PTOT]])</f>
        <v>#NAME?</v>
      </c>
      <c r="H249" s="523" t="e">
        <f ca="1">gr(données_step[[#This Row],[S_DBO5]])</f>
        <v>#NAME?</v>
      </c>
      <c r="I249" s="523" t="e">
        <f ca="1">gr(données_step[[#This Row],[S_DCO]])</f>
        <v>#NAME?</v>
      </c>
      <c r="J249" s="523" t="e">
        <f ca="1">gr(données_step[[#This Row],[S_COD]])</f>
        <v>#NAME?</v>
      </c>
      <c r="K249" s="523" t="e">
        <f ca="1">gr(données_step[[#This Row],[S_NH4]])</f>
        <v>#NAME?</v>
      </c>
      <c r="L249" s="523" t="e">
        <f ca="1">gr(données_step[[#This Row],[S_NO2]])</f>
        <v>#NAME?</v>
      </c>
      <c r="M249" s="523" t="e">
        <f ca="1">gr(données_step[[#This Row],[S_NO3]])</f>
        <v>#NAME?</v>
      </c>
      <c r="N249" s="523" t="e">
        <f ca="1">gr(données_step[[#This Row],[S_PORTH]])</f>
        <v>#NAME?</v>
      </c>
      <c r="O249" s="523" t="e">
        <f ca="1">gr(données_step[[#This Row],[S_PTOT]])</f>
        <v>#NAME?</v>
      </c>
      <c r="P249" s="523" t="e">
        <f ca="1">gr(données_step[[#This Row],[S_MES]])</f>
        <v>#NAME?</v>
      </c>
      <c r="Q249" s="523" t="e">
        <v>#N/A</v>
      </c>
      <c r="R249" s="523" t="e">
        <v>#N/A</v>
      </c>
      <c r="S249" s="523" t="e">
        <v>#N/A</v>
      </c>
      <c r="T249" s="523" t="e">
        <v>#N/A</v>
      </c>
      <c r="U249" s="523" t="e">
        <v>#N/A</v>
      </c>
      <c r="V249" s="523" t="e">
        <v>#N/A</v>
      </c>
      <c r="W249" s="523" t="e">
        <v>#N/A</v>
      </c>
      <c r="X249" s="523" t="e">
        <v>#N/A</v>
      </c>
      <c r="Y249" s="523" t="e">
        <v>#N/A</v>
      </c>
      <c r="Z249" s="523"/>
      <c r="AA249" s="523"/>
    </row>
    <row r="250" spans="1:27" x14ac:dyDescent="0.2">
      <c r="A250" s="222">
        <f>calculs!A250</f>
        <v>44801</v>
      </c>
      <c r="B250" s="523" t="e">
        <f ca="1">gr(données_step[[#This Row],[E_DBO5]])</f>
        <v>#NAME?</v>
      </c>
      <c r="C250" s="523" t="e">
        <f ca="1">gr(données_step[[#This Row],[E_DCO]])</f>
        <v>#NAME?</v>
      </c>
      <c r="D250" s="523" t="e">
        <f ca="1">gr(données_step[[#This Row],[E_COT]])</f>
        <v>#NAME?</v>
      </c>
      <c r="E250" s="523" t="e">
        <f ca="1">gr(données_step[[#This Row],[E_NH4]])</f>
        <v>#NAME?</v>
      </c>
      <c r="F250" s="523" t="e">
        <f ca="1">gr(données_step[[#This Row],[E_NTOT]])</f>
        <v>#NAME?</v>
      </c>
      <c r="G250" s="523" t="e">
        <f ca="1">gr(données_step[[#This Row],[E_PTOT]])</f>
        <v>#NAME?</v>
      </c>
      <c r="H250" s="523" t="e">
        <f ca="1">gr(données_step[[#This Row],[S_DBO5]])</f>
        <v>#NAME?</v>
      </c>
      <c r="I250" s="523" t="e">
        <f ca="1">gr(données_step[[#This Row],[S_DCO]])</f>
        <v>#NAME?</v>
      </c>
      <c r="J250" s="523" t="e">
        <f ca="1">gr(données_step[[#This Row],[S_COD]])</f>
        <v>#NAME?</v>
      </c>
      <c r="K250" s="523" t="e">
        <f ca="1">gr(données_step[[#This Row],[S_NH4]])</f>
        <v>#NAME?</v>
      </c>
      <c r="L250" s="523" t="e">
        <f ca="1">gr(données_step[[#This Row],[S_NO2]])</f>
        <v>#NAME?</v>
      </c>
      <c r="M250" s="523" t="e">
        <f ca="1">gr(données_step[[#This Row],[S_NO3]])</f>
        <v>#NAME?</v>
      </c>
      <c r="N250" s="523" t="e">
        <f ca="1">gr(données_step[[#This Row],[S_PORTH]])</f>
        <v>#NAME?</v>
      </c>
      <c r="O250" s="523" t="e">
        <f ca="1">gr(données_step[[#This Row],[S_PTOT]])</f>
        <v>#NAME?</v>
      </c>
      <c r="P250" s="523" t="e">
        <f ca="1">gr(données_step[[#This Row],[S_MES]])</f>
        <v>#NAME?</v>
      </c>
      <c r="Q250" s="523" t="e">
        <v>#N/A</v>
      </c>
      <c r="R250" s="523" t="e">
        <v>#N/A</v>
      </c>
      <c r="S250" s="523" t="e">
        <v>#N/A</v>
      </c>
      <c r="T250" s="523" t="e">
        <v>#N/A</v>
      </c>
      <c r="U250" s="523" t="e">
        <v>#N/A</v>
      </c>
      <c r="V250" s="523" t="e">
        <v>#N/A</v>
      </c>
      <c r="W250" s="523" t="e">
        <v>#N/A</v>
      </c>
      <c r="X250" s="523" t="e">
        <v>#N/A</v>
      </c>
      <c r="Y250" s="523" t="e">
        <v>#N/A</v>
      </c>
      <c r="Z250" s="523"/>
      <c r="AA250" s="523"/>
    </row>
    <row r="251" spans="1:27" x14ac:dyDescent="0.2">
      <c r="A251" s="222">
        <f>calculs!A251</f>
        <v>44802</v>
      </c>
      <c r="B251" s="523" t="e">
        <f ca="1">gr(données_step[[#This Row],[E_DBO5]])</f>
        <v>#NAME?</v>
      </c>
      <c r="C251" s="523" t="e">
        <f ca="1">gr(données_step[[#This Row],[E_DCO]])</f>
        <v>#NAME?</v>
      </c>
      <c r="D251" s="523" t="e">
        <f ca="1">gr(données_step[[#This Row],[E_COT]])</f>
        <v>#NAME?</v>
      </c>
      <c r="E251" s="523" t="e">
        <f ca="1">gr(données_step[[#This Row],[E_NH4]])</f>
        <v>#NAME?</v>
      </c>
      <c r="F251" s="523" t="e">
        <f ca="1">gr(données_step[[#This Row],[E_NTOT]])</f>
        <v>#NAME?</v>
      </c>
      <c r="G251" s="523" t="e">
        <f ca="1">gr(données_step[[#This Row],[E_PTOT]])</f>
        <v>#NAME?</v>
      </c>
      <c r="H251" s="523" t="e">
        <f ca="1">gr(données_step[[#This Row],[S_DBO5]])</f>
        <v>#NAME?</v>
      </c>
      <c r="I251" s="523" t="e">
        <f ca="1">gr(données_step[[#This Row],[S_DCO]])</f>
        <v>#NAME?</v>
      </c>
      <c r="J251" s="523" t="e">
        <f ca="1">gr(données_step[[#This Row],[S_COD]])</f>
        <v>#NAME?</v>
      </c>
      <c r="K251" s="523" t="e">
        <f ca="1">gr(données_step[[#This Row],[S_NH4]])</f>
        <v>#NAME?</v>
      </c>
      <c r="L251" s="523" t="e">
        <f ca="1">gr(données_step[[#This Row],[S_NO2]])</f>
        <v>#NAME?</v>
      </c>
      <c r="M251" s="523" t="e">
        <f ca="1">gr(données_step[[#This Row],[S_NO3]])</f>
        <v>#NAME?</v>
      </c>
      <c r="N251" s="523" t="e">
        <f ca="1">gr(données_step[[#This Row],[S_PORTH]])</f>
        <v>#NAME?</v>
      </c>
      <c r="O251" s="523" t="e">
        <f ca="1">gr(données_step[[#This Row],[S_PTOT]])</f>
        <v>#NAME?</v>
      </c>
      <c r="P251" s="523" t="e">
        <f ca="1">gr(données_step[[#This Row],[S_MES]])</f>
        <v>#NAME?</v>
      </c>
      <c r="Q251" s="523" t="e">
        <v>#N/A</v>
      </c>
      <c r="R251" s="523" t="e">
        <v>#N/A</v>
      </c>
      <c r="S251" s="523" t="e">
        <v>#N/A</v>
      </c>
      <c r="T251" s="523" t="e">
        <v>#N/A</v>
      </c>
      <c r="U251" s="523" t="e">
        <v>#N/A</v>
      </c>
      <c r="V251" s="523" t="e">
        <v>#N/A</v>
      </c>
      <c r="W251" s="523" t="e">
        <v>#N/A</v>
      </c>
      <c r="X251" s="523" t="e">
        <v>#N/A</v>
      </c>
      <c r="Y251" s="523" t="e">
        <v>#N/A</v>
      </c>
      <c r="Z251" s="523"/>
      <c r="AA251" s="523"/>
    </row>
    <row r="252" spans="1:27" x14ac:dyDescent="0.2">
      <c r="A252" s="222">
        <f>calculs!A252</f>
        <v>44803</v>
      </c>
      <c r="B252" s="523" t="e">
        <f ca="1">gr(données_step[[#This Row],[E_DBO5]])</f>
        <v>#NAME?</v>
      </c>
      <c r="C252" s="523" t="e">
        <f ca="1">gr(données_step[[#This Row],[E_DCO]])</f>
        <v>#NAME?</v>
      </c>
      <c r="D252" s="523" t="e">
        <f ca="1">gr(données_step[[#This Row],[E_COT]])</f>
        <v>#NAME?</v>
      </c>
      <c r="E252" s="523" t="e">
        <f ca="1">gr(données_step[[#This Row],[E_NH4]])</f>
        <v>#NAME?</v>
      </c>
      <c r="F252" s="523" t="e">
        <f ca="1">gr(données_step[[#This Row],[E_NTOT]])</f>
        <v>#NAME?</v>
      </c>
      <c r="G252" s="523" t="e">
        <f ca="1">gr(données_step[[#This Row],[E_PTOT]])</f>
        <v>#NAME?</v>
      </c>
      <c r="H252" s="523" t="e">
        <f ca="1">gr(données_step[[#This Row],[S_DBO5]])</f>
        <v>#NAME?</v>
      </c>
      <c r="I252" s="523" t="e">
        <f ca="1">gr(données_step[[#This Row],[S_DCO]])</f>
        <v>#NAME?</v>
      </c>
      <c r="J252" s="523" t="e">
        <f ca="1">gr(données_step[[#This Row],[S_COD]])</f>
        <v>#NAME?</v>
      </c>
      <c r="K252" s="523" t="e">
        <f ca="1">gr(données_step[[#This Row],[S_NH4]])</f>
        <v>#NAME?</v>
      </c>
      <c r="L252" s="523" t="e">
        <f ca="1">gr(données_step[[#This Row],[S_NO2]])</f>
        <v>#NAME?</v>
      </c>
      <c r="M252" s="523" t="e">
        <f ca="1">gr(données_step[[#This Row],[S_NO3]])</f>
        <v>#NAME?</v>
      </c>
      <c r="N252" s="523" t="e">
        <f ca="1">gr(données_step[[#This Row],[S_PORTH]])</f>
        <v>#NAME?</v>
      </c>
      <c r="O252" s="523" t="e">
        <f ca="1">gr(données_step[[#This Row],[S_PTOT]])</f>
        <v>#NAME?</v>
      </c>
      <c r="P252" s="523" t="e">
        <f ca="1">gr(données_step[[#This Row],[S_MES]])</f>
        <v>#NAME?</v>
      </c>
      <c r="Q252" s="523" t="e">
        <v>#N/A</v>
      </c>
      <c r="R252" s="523" t="e">
        <v>#N/A</v>
      </c>
      <c r="S252" s="523" t="e">
        <v>#N/A</v>
      </c>
      <c r="T252" s="523" t="e">
        <v>#N/A</v>
      </c>
      <c r="U252" s="523" t="e">
        <v>#N/A</v>
      </c>
      <c r="V252" s="523" t="e">
        <v>#N/A</v>
      </c>
      <c r="W252" s="523" t="e">
        <v>#N/A</v>
      </c>
      <c r="X252" s="523" t="e">
        <v>#N/A</v>
      </c>
      <c r="Y252" s="523" t="e">
        <v>#N/A</v>
      </c>
      <c r="Z252" s="523"/>
      <c r="AA252" s="523"/>
    </row>
    <row r="253" spans="1:27" x14ac:dyDescent="0.2">
      <c r="A253" s="222">
        <f>calculs!A253</f>
        <v>44804</v>
      </c>
      <c r="B253" s="523" t="e">
        <f ca="1">gr(données_step[[#This Row],[E_DBO5]])</f>
        <v>#NAME?</v>
      </c>
      <c r="C253" s="523" t="e">
        <f ca="1">gr(données_step[[#This Row],[E_DCO]])</f>
        <v>#NAME?</v>
      </c>
      <c r="D253" s="523" t="e">
        <f ca="1">gr(données_step[[#This Row],[E_COT]])</f>
        <v>#NAME?</v>
      </c>
      <c r="E253" s="523" t="e">
        <f ca="1">gr(données_step[[#This Row],[E_NH4]])</f>
        <v>#NAME?</v>
      </c>
      <c r="F253" s="523" t="e">
        <f ca="1">gr(données_step[[#This Row],[E_NTOT]])</f>
        <v>#NAME?</v>
      </c>
      <c r="G253" s="523" t="e">
        <f ca="1">gr(données_step[[#This Row],[E_PTOT]])</f>
        <v>#NAME?</v>
      </c>
      <c r="H253" s="523" t="e">
        <f ca="1">gr(données_step[[#This Row],[S_DBO5]])</f>
        <v>#NAME?</v>
      </c>
      <c r="I253" s="523" t="e">
        <f ca="1">gr(données_step[[#This Row],[S_DCO]])</f>
        <v>#NAME?</v>
      </c>
      <c r="J253" s="523" t="e">
        <f ca="1">gr(données_step[[#This Row],[S_COD]])</f>
        <v>#NAME?</v>
      </c>
      <c r="K253" s="523" t="e">
        <f ca="1">gr(données_step[[#This Row],[S_NH4]])</f>
        <v>#NAME?</v>
      </c>
      <c r="L253" s="523" t="e">
        <f ca="1">gr(données_step[[#This Row],[S_NO2]])</f>
        <v>#NAME?</v>
      </c>
      <c r="M253" s="523" t="e">
        <f ca="1">gr(données_step[[#This Row],[S_NO3]])</f>
        <v>#NAME?</v>
      </c>
      <c r="N253" s="523" t="e">
        <f ca="1">gr(données_step[[#This Row],[S_PORTH]])</f>
        <v>#NAME?</v>
      </c>
      <c r="O253" s="523" t="e">
        <f ca="1">gr(données_step[[#This Row],[S_PTOT]])</f>
        <v>#NAME?</v>
      </c>
      <c r="P253" s="523" t="e">
        <f ca="1">gr(données_step[[#This Row],[S_MES]])</f>
        <v>#NAME?</v>
      </c>
      <c r="Q253" s="523" t="e">
        <v>#N/A</v>
      </c>
      <c r="R253" s="523" t="e">
        <v>#N/A</v>
      </c>
      <c r="S253" s="523" t="e">
        <v>#N/A</v>
      </c>
      <c r="T253" s="523" t="e">
        <v>#N/A</v>
      </c>
      <c r="U253" s="523" t="e">
        <v>#N/A</v>
      </c>
      <c r="V253" s="523" t="e">
        <v>#N/A</v>
      </c>
      <c r="W253" s="523" t="e">
        <v>#N/A</v>
      </c>
      <c r="X253" s="523" t="e">
        <v>#N/A</v>
      </c>
      <c r="Y253" s="523" t="e">
        <v>#N/A</v>
      </c>
      <c r="Z253" s="523"/>
      <c r="AA253" s="523"/>
    </row>
    <row r="254" spans="1:27" x14ac:dyDescent="0.2">
      <c r="A254" s="222">
        <f>calculs!A254</f>
        <v>44805</v>
      </c>
      <c r="B254" s="523" t="e">
        <f ca="1">gr(données_step[[#This Row],[E_DBO5]])</f>
        <v>#NAME?</v>
      </c>
      <c r="C254" s="523" t="e">
        <f ca="1">gr(données_step[[#This Row],[E_DCO]])</f>
        <v>#NAME?</v>
      </c>
      <c r="D254" s="523" t="e">
        <f ca="1">gr(données_step[[#This Row],[E_COT]])</f>
        <v>#NAME?</v>
      </c>
      <c r="E254" s="523" t="e">
        <f ca="1">gr(données_step[[#This Row],[E_NH4]])</f>
        <v>#NAME?</v>
      </c>
      <c r="F254" s="523" t="e">
        <f ca="1">gr(données_step[[#This Row],[E_NTOT]])</f>
        <v>#NAME?</v>
      </c>
      <c r="G254" s="523" t="e">
        <f ca="1">gr(données_step[[#This Row],[E_PTOT]])</f>
        <v>#NAME?</v>
      </c>
      <c r="H254" s="523" t="e">
        <f ca="1">gr(données_step[[#This Row],[S_DBO5]])</f>
        <v>#NAME?</v>
      </c>
      <c r="I254" s="523" t="e">
        <f ca="1">gr(données_step[[#This Row],[S_DCO]])</f>
        <v>#NAME?</v>
      </c>
      <c r="J254" s="523" t="e">
        <f ca="1">gr(données_step[[#This Row],[S_COD]])</f>
        <v>#NAME?</v>
      </c>
      <c r="K254" s="523" t="e">
        <f ca="1">gr(données_step[[#This Row],[S_NH4]])</f>
        <v>#NAME?</v>
      </c>
      <c r="L254" s="523" t="e">
        <f ca="1">gr(données_step[[#This Row],[S_NO2]])</f>
        <v>#NAME?</v>
      </c>
      <c r="M254" s="523" t="e">
        <f ca="1">gr(données_step[[#This Row],[S_NO3]])</f>
        <v>#NAME?</v>
      </c>
      <c r="N254" s="523" t="e">
        <f ca="1">gr(données_step[[#This Row],[S_PORTH]])</f>
        <v>#NAME?</v>
      </c>
      <c r="O254" s="523" t="e">
        <f ca="1">gr(données_step[[#This Row],[S_PTOT]])</f>
        <v>#NAME?</v>
      </c>
      <c r="P254" s="523" t="e">
        <f ca="1">gr(données_step[[#This Row],[S_MES]])</f>
        <v>#NAME?</v>
      </c>
      <c r="Q254" s="523" t="e">
        <v>#N/A</v>
      </c>
      <c r="R254" s="523" t="e">
        <v>#N/A</v>
      </c>
      <c r="S254" s="523" t="e">
        <v>#N/A</v>
      </c>
      <c r="T254" s="523" t="e">
        <v>#N/A</v>
      </c>
      <c r="U254" s="523" t="e">
        <v>#N/A</v>
      </c>
      <c r="V254" s="523" t="e">
        <v>#N/A</v>
      </c>
      <c r="W254" s="523" t="e">
        <v>#N/A</v>
      </c>
      <c r="X254" s="523" t="e">
        <v>#N/A</v>
      </c>
      <c r="Y254" s="523" t="e">
        <v>#N/A</v>
      </c>
      <c r="Z254" s="523"/>
      <c r="AA254" s="523"/>
    </row>
    <row r="255" spans="1:27" x14ac:dyDescent="0.2">
      <c r="A255" s="222">
        <f>calculs!A255</f>
        <v>44806</v>
      </c>
      <c r="B255" s="523" t="e">
        <f ca="1">gr(données_step[[#This Row],[E_DBO5]])</f>
        <v>#NAME?</v>
      </c>
      <c r="C255" s="523" t="e">
        <f ca="1">gr(données_step[[#This Row],[E_DCO]])</f>
        <v>#NAME?</v>
      </c>
      <c r="D255" s="523" t="e">
        <f ca="1">gr(données_step[[#This Row],[E_COT]])</f>
        <v>#NAME?</v>
      </c>
      <c r="E255" s="523" t="e">
        <f ca="1">gr(données_step[[#This Row],[E_NH4]])</f>
        <v>#NAME?</v>
      </c>
      <c r="F255" s="523" t="e">
        <f ca="1">gr(données_step[[#This Row],[E_NTOT]])</f>
        <v>#NAME?</v>
      </c>
      <c r="G255" s="523" t="e">
        <f ca="1">gr(données_step[[#This Row],[E_PTOT]])</f>
        <v>#NAME?</v>
      </c>
      <c r="H255" s="523" t="e">
        <f ca="1">gr(données_step[[#This Row],[S_DBO5]])</f>
        <v>#NAME?</v>
      </c>
      <c r="I255" s="523" t="e">
        <f ca="1">gr(données_step[[#This Row],[S_DCO]])</f>
        <v>#NAME?</v>
      </c>
      <c r="J255" s="523" t="e">
        <f ca="1">gr(données_step[[#This Row],[S_COD]])</f>
        <v>#NAME?</v>
      </c>
      <c r="K255" s="523" t="e">
        <f ca="1">gr(données_step[[#This Row],[S_NH4]])</f>
        <v>#NAME?</v>
      </c>
      <c r="L255" s="523" t="e">
        <f ca="1">gr(données_step[[#This Row],[S_NO2]])</f>
        <v>#NAME?</v>
      </c>
      <c r="M255" s="523" t="e">
        <f ca="1">gr(données_step[[#This Row],[S_NO3]])</f>
        <v>#NAME?</v>
      </c>
      <c r="N255" s="523" t="e">
        <f ca="1">gr(données_step[[#This Row],[S_PORTH]])</f>
        <v>#NAME?</v>
      </c>
      <c r="O255" s="523" t="e">
        <f ca="1">gr(données_step[[#This Row],[S_PTOT]])</f>
        <v>#NAME?</v>
      </c>
      <c r="P255" s="523" t="e">
        <f ca="1">gr(données_step[[#This Row],[S_MES]])</f>
        <v>#NAME?</v>
      </c>
      <c r="Q255" s="523" t="e">
        <v>#N/A</v>
      </c>
      <c r="R255" s="523" t="e">
        <v>#N/A</v>
      </c>
      <c r="S255" s="523" t="e">
        <v>#N/A</v>
      </c>
      <c r="T255" s="523" t="e">
        <v>#N/A</v>
      </c>
      <c r="U255" s="523" t="e">
        <v>#N/A</v>
      </c>
      <c r="V255" s="523" t="e">
        <v>#N/A</v>
      </c>
      <c r="W255" s="523" t="e">
        <v>#N/A</v>
      </c>
      <c r="X255" s="523" t="e">
        <v>#N/A</v>
      </c>
      <c r="Y255" s="523" t="e">
        <v>#N/A</v>
      </c>
      <c r="Z255" s="523"/>
      <c r="AA255" s="523"/>
    </row>
    <row r="256" spans="1:27" x14ac:dyDescent="0.2">
      <c r="A256" s="222">
        <f>calculs!A256</f>
        <v>44807</v>
      </c>
      <c r="B256" s="523" t="e">
        <f ca="1">gr(données_step[[#This Row],[E_DBO5]])</f>
        <v>#NAME?</v>
      </c>
      <c r="C256" s="523" t="e">
        <f ca="1">gr(données_step[[#This Row],[E_DCO]])</f>
        <v>#NAME?</v>
      </c>
      <c r="D256" s="523" t="e">
        <f ca="1">gr(données_step[[#This Row],[E_COT]])</f>
        <v>#NAME?</v>
      </c>
      <c r="E256" s="523" t="e">
        <f ca="1">gr(données_step[[#This Row],[E_NH4]])</f>
        <v>#NAME?</v>
      </c>
      <c r="F256" s="523" t="e">
        <f ca="1">gr(données_step[[#This Row],[E_NTOT]])</f>
        <v>#NAME?</v>
      </c>
      <c r="G256" s="523" t="e">
        <f ca="1">gr(données_step[[#This Row],[E_PTOT]])</f>
        <v>#NAME?</v>
      </c>
      <c r="H256" s="523" t="e">
        <f ca="1">gr(données_step[[#This Row],[S_DBO5]])</f>
        <v>#NAME?</v>
      </c>
      <c r="I256" s="523" t="e">
        <f ca="1">gr(données_step[[#This Row],[S_DCO]])</f>
        <v>#NAME?</v>
      </c>
      <c r="J256" s="523" t="e">
        <f ca="1">gr(données_step[[#This Row],[S_COD]])</f>
        <v>#NAME?</v>
      </c>
      <c r="K256" s="523" t="e">
        <f ca="1">gr(données_step[[#This Row],[S_NH4]])</f>
        <v>#NAME?</v>
      </c>
      <c r="L256" s="523" t="e">
        <f ca="1">gr(données_step[[#This Row],[S_NO2]])</f>
        <v>#NAME?</v>
      </c>
      <c r="M256" s="523" t="e">
        <f ca="1">gr(données_step[[#This Row],[S_NO3]])</f>
        <v>#NAME?</v>
      </c>
      <c r="N256" s="523" t="e">
        <f ca="1">gr(données_step[[#This Row],[S_PORTH]])</f>
        <v>#NAME?</v>
      </c>
      <c r="O256" s="523" t="e">
        <f ca="1">gr(données_step[[#This Row],[S_PTOT]])</f>
        <v>#NAME?</v>
      </c>
      <c r="P256" s="523" t="e">
        <f ca="1">gr(données_step[[#This Row],[S_MES]])</f>
        <v>#NAME?</v>
      </c>
      <c r="Q256" s="523" t="e">
        <v>#N/A</v>
      </c>
      <c r="R256" s="523" t="e">
        <v>#N/A</v>
      </c>
      <c r="S256" s="523" t="e">
        <v>#N/A</v>
      </c>
      <c r="T256" s="523" t="e">
        <v>#N/A</v>
      </c>
      <c r="U256" s="523" t="e">
        <v>#N/A</v>
      </c>
      <c r="V256" s="523" t="e">
        <v>#N/A</v>
      </c>
      <c r="W256" s="523" t="e">
        <v>#N/A</v>
      </c>
      <c r="X256" s="523" t="e">
        <v>#N/A</v>
      </c>
      <c r="Y256" s="523" t="e">
        <v>#N/A</v>
      </c>
      <c r="Z256" s="523"/>
      <c r="AA256" s="523"/>
    </row>
    <row r="257" spans="1:27" x14ac:dyDescent="0.2">
      <c r="A257" s="222">
        <f>calculs!A257</f>
        <v>44808</v>
      </c>
      <c r="B257" s="523" t="e">
        <f ca="1">gr(données_step[[#This Row],[E_DBO5]])</f>
        <v>#NAME?</v>
      </c>
      <c r="C257" s="523" t="e">
        <f ca="1">gr(données_step[[#This Row],[E_DCO]])</f>
        <v>#NAME?</v>
      </c>
      <c r="D257" s="523" t="e">
        <f ca="1">gr(données_step[[#This Row],[E_COT]])</f>
        <v>#NAME?</v>
      </c>
      <c r="E257" s="523" t="e">
        <f ca="1">gr(données_step[[#This Row],[E_NH4]])</f>
        <v>#NAME?</v>
      </c>
      <c r="F257" s="523" t="e">
        <f ca="1">gr(données_step[[#This Row],[E_NTOT]])</f>
        <v>#NAME?</v>
      </c>
      <c r="G257" s="523" t="e">
        <f ca="1">gr(données_step[[#This Row],[E_PTOT]])</f>
        <v>#NAME?</v>
      </c>
      <c r="H257" s="523" t="e">
        <f ca="1">gr(données_step[[#This Row],[S_DBO5]])</f>
        <v>#NAME?</v>
      </c>
      <c r="I257" s="523" t="e">
        <f ca="1">gr(données_step[[#This Row],[S_DCO]])</f>
        <v>#NAME?</v>
      </c>
      <c r="J257" s="523" t="e">
        <f ca="1">gr(données_step[[#This Row],[S_COD]])</f>
        <v>#NAME?</v>
      </c>
      <c r="K257" s="523" t="e">
        <f ca="1">gr(données_step[[#This Row],[S_NH4]])</f>
        <v>#NAME?</v>
      </c>
      <c r="L257" s="523" t="e">
        <f ca="1">gr(données_step[[#This Row],[S_NO2]])</f>
        <v>#NAME?</v>
      </c>
      <c r="M257" s="523" t="e">
        <f ca="1">gr(données_step[[#This Row],[S_NO3]])</f>
        <v>#NAME?</v>
      </c>
      <c r="N257" s="523" t="e">
        <f ca="1">gr(données_step[[#This Row],[S_PORTH]])</f>
        <v>#NAME?</v>
      </c>
      <c r="O257" s="523" t="e">
        <f ca="1">gr(données_step[[#This Row],[S_PTOT]])</f>
        <v>#NAME?</v>
      </c>
      <c r="P257" s="523" t="e">
        <f ca="1">gr(données_step[[#This Row],[S_MES]])</f>
        <v>#NAME?</v>
      </c>
      <c r="Q257" s="523" t="e">
        <v>#N/A</v>
      </c>
      <c r="R257" s="523" t="e">
        <v>#N/A</v>
      </c>
      <c r="S257" s="523" t="e">
        <v>#N/A</v>
      </c>
      <c r="T257" s="523" t="e">
        <v>#N/A</v>
      </c>
      <c r="U257" s="523" t="e">
        <v>#N/A</v>
      </c>
      <c r="V257" s="523" t="e">
        <v>#N/A</v>
      </c>
      <c r="W257" s="523" t="e">
        <v>#N/A</v>
      </c>
      <c r="X257" s="523" t="e">
        <v>#N/A</v>
      </c>
      <c r="Y257" s="523" t="e">
        <v>#N/A</v>
      </c>
      <c r="Z257" s="523"/>
      <c r="AA257" s="523"/>
    </row>
    <row r="258" spans="1:27" x14ac:dyDescent="0.2">
      <c r="A258" s="222">
        <f>calculs!A258</f>
        <v>44809</v>
      </c>
      <c r="B258" s="523" t="e">
        <f ca="1">gr(données_step[[#This Row],[E_DBO5]])</f>
        <v>#NAME?</v>
      </c>
      <c r="C258" s="523" t="e">
        <f ca="1">gr(données_step[[#This Row],[E_DCO]])</f>
        <v>#NAME?</v>
      </c>
      <c r="D258" s="523" t="e">
        <f ca="1">gr(données_step[[#This Row],[E_COT]])</f>
        <v>#NAME?</v>
      </c>
      <c r="E258" s="523" t="e">
        <f ca="1">gr(données_step[[#This Row],[E_NH4]])</f>
        <v>#NAME?</v>
      </c>
      <c r="F258" s="523" t="e">
        <f ca="1">gr(données_step[[#This Row],[E_NTOT]])</f>
        <v>#NAME?</v>
      </c>
      <c r="G258" s="523" t="e">
        <f ca="1">gr(données_step[[#This Row],[E_PTOT]])</f>
        <v>#NAME?</v>
      </c>
      <c r="H258" s="523" t="e">
        <f ca="1">gr(données_step[[#This Row],[S_DBO5]])</f>
        <v>#NAME?</v>
      </c>
      <c r="I258" s="523" t="e">
        <f ca="1">gr(données_step[[#This Row],[S_DCO]])</f>
        <v>#NAME?</v>
      </c>
      <c r="J258" s="523" t="e">
        <f ca="1">gr(données_step[[#This Row],[S_COD]])</f>
        <v>#NAME?</v>
      </c>
      <c r="K258" s="523" t="e">
        <f ca="1">gr(données_step[[#This Row],[S_NH4]])</f>
        <v>#NAME?</v>
      </c>
      <c r="L258" s="523" t="e">
        <f ca="1">gr(données_step[[#This Row],[S_NO2]])</f>
        <v>#NAME?</v>
      </c>
      <c r="M258" s="523" t="e">
        <f ca="1">gr(données_step[[#This Row],[S_NO3]])</f>
        <v>#NAME?</v>
      </c>
      <c r="N258" s="523" t="e">
        <f ca="1">gr(données_step[[#This Row],[S_PORTH]])</f>
        <v>#NAME?</v>
      </c>
      <c r="O258" s="523" t="e">
        <f ca="1">gr(données_step[[#This Row],[S_PTOT]])</f>
        <v>#NAME?</v>
      </c>
      <c r="P258" s="523" t="e">
        <f ca="1">gr(données_step[[#This Row],[S_MES]])</f>
        <v>#NAME?</v>
      </c>
      <c r="Q258" s="523" t="e">
        <v>#N/A</v>
      </c>
      <c r="R258" s="523" t="e">
        <v>#N/A</v>
      </c>
      <c r="S258" s="523" t="e">
        <v>#N/A</v>
      </c>
      <c r="T258" s="523" t="e">
        <v>#N/A</v>
      </c>
      <c r="U258" s="523" t="e">
        <v>#N/A</v>
      </c>
      <c r="V258" s="523" t="e">
        <v>#N/A</v>
      </c>
      <c r="W258" s="523" t="e">
        <v>#N/A</v>
      </c>
      <c r="X258" s="523" t="e">
        <v>#N/A</v>
      </c>
      <c r="Y258" s="523" t="e">
        <v>#N/A</v>
      </c>
      <c r="Z258" s="523"/>
      <c r="AA258" s="523"/>
    </row>
    <row r="259" spans="1:27" x14ac:dyDescent="0.2">
      <c r="A259" s="222">
        <f>calculs!A259</f>
        <v>44810</v>
      </c>
      <c r="B259" s="523" t="e">
        <f ca="1">gr(données_step[[#This Row],[E_DBO5]])</f>
        <v>#NAME?</v>
      </c>
      <c r="C259" s="523" t="e">
        <f ca="1">gr(données_step[[#This Row],[E_DCO]])</f>
        <v>#NAME?</v>
      </c>
      <c r="D259" s="523" t="e">
        <f ca="1">gr(données_step[[#This Row],[E_COT]])</f>
        <v>#NAME?</v>
      </c>
      <c r="E259" s="523" t="e">
        <f ca="1">gr(données_step[[#This Row],[E_NH4]])</f>
        <v>#NAME?</v>
      </c>
      <c r="F259" s="523" t="e">
        <f ca="1">gr(données_step[[#This Row],[E_NTOT]])</f>
        <v>#NAME?</v>
      </c>
      <c r="G259" s="523" t="e">
        <f ca="1">gr(données_step[[#This Row],[E_PTOT]])</f>
        <v>#NAME?</v>
      </c>
      <c r="H259" s="523" t="e">
        <f ca="1">gr(données_step[[#This Row],[S_DBO5]])</f>
        <v>#NAME?</v>
      </c>
      <c r="I259" s="523" t="e">
        <f ca="1">gr(données_step[[#This Row],[S_DCO]])</f>
        <v>#NAME?</v>
      </c>
      <c r="J259" s="523" t="e">
        <f ca="1">gr(données_step[[#This Row],[S_COD]])</f>
        <v>#NAME?</v>
      </c>
      <c r="K259" s="523" t="e">
        <f ca="1">gr(données_step[[#This Row],[S_NH4]])</f>
        <v>#NAME?</v>
      </c>
      <c r="L259" s="523" t="e">
        <f ca="1">gr(données_step[[#This Row],[S_NO2]])</f>
        <v>#NAME?</v>
      </c>
      <c r="M259" s="523" t="e">
        <f ca="1">gr(données_step[[#This Row],[S_NO3]])</f>
        <v>#NAME?</v>
      </c>
      <c r="N259" s="523" t="e">
        <f ca="1">gr(données_step[[#This Row],[S_PORTH]])</f>
        <v>#NAME?</v>
      </c>
      <c r="O259" s="523" t="e">
        <f ca="1">gr(données_step[[#This Row],[S_PTOT]])</f>
        <v>#NAME?</v>
      </c>
      <c r="P259" s="523" t="e">
        <f ca="1">gr(données_step[[#This Row],[S_MES]])</f>
        <v>#NAME?</v>
      </c>
      <c r="Q259" s="523" t="e">
        <v>#N/A</v>
      </c>
      <c r="R259" s="523" t="e">
        <v>#N/A</v>
      </c>
      <c r="S259" s="523" t="e">
        <v>#N/A</v>
      </c>
      <c r="T259" s="523" t="e">
        <v>#N/A</v>
      </c>
      <c r="U259" s="523" t="e">
        <v>#N/A</v>
      </c>
      <c r="V259" s="523" t="e">
        <v>#N/A</v>
      </c>
      <c r="W259" s="523" t="e">
        <v>#N/A</v>
      </c>
      <c r="X259" s="523" t="e">
        <v>#N/A</v>
      </c>
      <c r="Y259" s="523" t="e">
        <v>#N/A</v>
      </c>
      <c r="Z259" s="523"/>
      <c r="AA259" s="523"/>
    </row>
    <row r="260" spans="1:27" x14ac:dyDescent="0.2">
      <c r="A260" s="222">
        <f>calculs!A260</f>
        <v>44811</v>
      </c>
      <c r="B260" s="523" t="e">
        <f ca="1">gr(données_step[[#This Row],[E_DBO5]])</f>
        <v>#NAME?</v>
      </c>
      <c r="C260" s="523" t="e">
        <f ca="1">gr(données_step[[#This Row],[E_DCO]])</f>
        <v>#NAME?</v>
      </c>
      <c r="D260" s="523" t="e">
        <f ca="1">gr(données_step[[#This Row],[E_COT]])</f>
        <v>#NAME?</v>
      </c>
      <c r="E260" s="523" t="e">
        <f ca="1">gr(données_step[[#This Row],[E_NH4]])</f>
        <v>#NAME?</v>
      </c>
      <c r="F260" s="523" t="e">
        <f ca="1">gr(données_step[[#This Row],[E_NTOT]])</f>
        <v>#NAME?</v>
      </c>
      <c r="G260" s="523" t="e">
        <f ca="1">gr(données_step[[#This Row],[E_PTOT]])</f>
        <v>#NAME?</v>
      </c>
      <c r="H260" s="523" t="e">
        <f ca="1">gr(données_step[[#This Row],[S_DBO5]])</f>
        <v>#NAME?</v>
      </c>
      <c r="I260" s="523" t="e">
        <f ca="1">gr(données_step[[#This Row],[S_DCO]])</f>
        <v>#NAME?</v>
      </c>
      <c r="J260" s="523" t="e">
        <f ca="1">gr(données_step[[#This Row],[S_COD]])</f>
        <v>#NAME?</v>
      </c>
      <c r="K260" s="523" t="e">
        <f ca="1">gr(données_step[[#This Row],[S_NH4]])</f>
        <v>#NAME?</v>
      </c>
      <c r="L260" s="523" t="e">
        <f ca="1">gr(données_step[[#This Row],[S_NO2]])</f>
        <v>#NAME?</v>
      </c>
      <c r="M260" s="523" t="e">
        <f ca="1">gr(données_step[[#This Row],[S_NO3]])</f>
        <v>#NAME?</v>
      </c>
      <c r="N260" s="523" t="e">
        <f ca="1">gr(données_step[[#This Row],[S_PORTH]])</f>
        <v>#NAME?</v>
      </c>
      <c r="O260" s="523" t="e">
        <f ca="1">gr(données_step[[#This Row],[S_PTOT]])</f>
        <v>#NAME?</v>
      </c>
      <c r="P260" s="523" t="e">
        <f ca="1">gr(données_step[[#This Row],[S_MES]])</f>
        <v>#NAME?</v>
      </c>
      <c r="Q260" s="523" t="e">
        <v>#N/A</v>
      </c>
      <c r="R260" s="523" t="e">
        <v>#N/A</v>
      </c>
      <c r="S260" s="523" t="e">
        <v>#N/A</v>
      </c>
      <c r="T260" s="523" t="e">
        <v>#N/A</v>
      </c>
      <c r="U260" s="523" t="e">
        <v>#N/A</v>
      </c>
      <c r="V260" s="523" t="e">
        <v>#N/A</v>
      </c>
      <c r="W260" s="523" t="e">
        <v>#N/A</v>
      </c>
      <c r="X260" s="523" t="e">
        <v>#N/A</v>
      </c>
      <c r="Y260" s="523" t="e">
        <v>#N/A</v>
      </c>
      <c r="Z260" s="523"/>
      <c r="AA260" s="523"/>
    </row>
    <row r="261" spans="1:27" x14ac:dyDescent="0.2">
      <c r="A261" s="222">
        <f>calculs!A261</f>
        <v>44812</v>
      </c>
      <c r="B261" s="523" t="e">
        <f ca="1">gr(données_step[[#This Row],[E_DBO5]])</f>
        <v>#NAME?</v>
      </c>
      <c r="C261" s="523" t="e">
        <f ca="1">gr(données_step[[#This Row],[E_DCO]])</f>
        <v>#NAME?</v>
      </c>
      <c r="D261" s="523" t="e">
        <f ca="1">gr(données_step[[#This Row],[E_COT]])</f>
        <v>#NAME?</v>
      </c>
      <c r="E261" s="523" t="e">
        <f ca="1">gr(données_step[[#This Row],[E_NH4]])</f>
        <v>#NAME?</v>
      </c>
      <c r="F261" s="523" t="e">
        <f ca="1">gr(données_step[[#This Row],[E_NTOT]])</f>
        <v>#NAME?</v>
      </c>
      <c r="G261" s="523" t="e">
        <f ca="1">gr(données_step[[#This Row],[E_PTOT]])</f>
        <v>#NAME?</v>
      </c>
      <c r="H261" s="523" t="e">
        <f ca="1">gr(données_step[[#This Row],[S_DBO5]])</f>
        <v>#NAME?</v>
      </c>
      <c r="I261" s="523" t="e">
        <f ca="1">gr(données_step[[#This Row],[S_DCO]])</f>
        <v>#NAME?</v>
      </c>
      <c r="J261" s="523" t="e">
        <f ca="1">gr(données_step[[#This Row],[S_COD]])</f>
        <v>#NAME?</v>
      </c>
      <c r="K261" s="523" t="e">
        <f ca="1">gr(données_step[[#This Row],[S_NH4]])</f>
        <v>#NAME?</v>
      </c>
      <c r="L261" s="523" t="e">
        <f ca="1">gr(données_step[[#This Row],[S_NO2]])</f>
        <v>#NAME?</v>
      </c>
      <c r="M261" s="523" t="e">
        <f ca="1">gr(données_step[[#This Row],[S_NO3]])</f>
        <v>#NAME?</v>
      </c>
      <c r="N261" s="523" t="e">
        <f ca="1">gr(données_step[[#This Row],[S_PORTH]])</f>
        <v>#NAME?</v>
      </c>
      <c r="O261" s="523" t="e">
        <f ca="1">gr(données_step[[#This Row],[S_PTOT]])</f>
        <v>#NAME?</v>
      </c>
      <c r="P261" s="523" t="e">
        <f ca="1">gr(données_step[[#This Row],[S_MES]])</f>
        <v>#NAME?</v>
      </c>
      <c r="Q261" s="523" t="e">
        <v>#N/A</v>
      </c>
      <c r="R261" s="523" t="e">
        <v>#N/A</v>
      </c>
      <c r="S261" s="523" t="e">
        <v>#N/A</v>
      </c>
      <c r="T261" s="523" t="e">
        <v>#N/A</v>
      </c>
      <c r="U261" s="523" t="e">
        <v>#N/A</v>
      </c>
      <c r="V261" s="523" t="e">
        <v>#N/A</v>
      </c>
      <c r="W261" s="523" t="e">
        <v>#N/A</v>
      </c>
      <c r="X261" s="523" t="e">
        <v>#N/A</v>
      </c>
      <c r="Y261" s="523" t="e">
        <v>#N/A</v>
      </c>
      <c r="Z261" s="523"/>
      <c r="AA261" s="523"/>
    </row>
    <row r="262" spans="1:27" x14ac:dyDescent="0.2">
      <c r="A262" s="222">
        <f>calculs!A262</f>
        <v>44813</v>
      </c>
      <c r="B262" s="523" t="e">
        <f ca="1">gr(données_step[[#This Row],[E_DBO5]])</f>
        <v>#NAME?</v>
      </c>
      <c r="C262" s="523" t="e">
        <f ca="1">gr(données_step[[#This Row],[E_DCO]])</f>
        <v>#NAME?</v>
      </c>
      <c r="D262" s="523" t="e">
        <f ca="1">gr(données_step[[#This Row],[E_COT]])</f>
        <v>#NAME?</v>
      </c>
      <c r="E262" s="523" t="e">
        <f ca="1">gr(données_step[[#This Row],[E_NH4]])</f>
        <v>#NAME?</v>
      </c>
      <c r="F262" s="523" t="e">
        <f ca="1">gr(données_step[[#This Row],[E_NTOT]])</f>
        <v>#NAME?</v>
      </c>
      <c r="G262" s="523" t="e">
        <f ca="1">gr(données_step[[#This Row],[E_PTOT]])</f>
        <v>#NAME?</v>
      </c>
      <c r="H262" s="523" t="e">
        <f ca="1">gr(données_step[[#This Row],[S_DBO5]])</f>
        <v>#NAME?</v>
      </c>
      <c r="I262" s="523" t="e">
        <f ca="1">gr(données_step[[#This Row],[S_DCO]])</f>
        <v>#NAME?</v>
      </c>
      <c r="J262" s="523" t="e">
        <f ca="1">gr(données_step[[#This Row],[S_COD]])</f>
        <v>#NAME?</v>
      </c>
      <c r="K262" s="523" t="e">
        <f ca="1">gr(données_step[[#This Row],[S_NH4]])</f>
        <v>#NAME?</v>
      </c>
      <c r="L262" s="523" t="e">
        <f ca="1">gr(données_step[[#This Row],[S_NO2]])</f>
        <v>#NAME?</v>
      </c>
      <c r="M262" s="523" t="e">
        <f ca="1">gr(données_step[[#This Row],[S_NO3]])</f>
        <v>#NAME?</v>
      </c>
      <c r="N262" s="523" t="e">
        <f ca="1">gr(données_step[[#This Row],[S_PORTH]])</f>
        <v>#NAME?</v>
      </c>
      <c r="O262" s="523" t="e">
        <f ca="1">gr(données_step[[#This Row],[S_PTOT]])</f>
        <v>#NAME?</v>
      </c>
      <c r="P262" s="523" t="e">
        <f ca="1">gr(données_step[[#This Row],[S_MES]])</f>
        <v>#NAME?</v>
      </c>
      <c r="Q262" s="523" t="e">
        <v>#N/A</v>
      </c>
      <c r="R262" s="523" t="e">
        <v>#N/A</v>
      </c>
      <c r="S262" s="523" t="e">
        <v>#N/A</v>
      </c>
      <c r="T262" s="523" t="e">
        <v>#N/A</v>
      </c>
      <c r="U262" s="523" t="e">
        <v>#N/A</v>
      </c>
      <c r="V262" s="523" t="e">
        <v>#N/A</v>
      </c>
      <c r="W262" s="523" t="e">
        <v>#N/A</v>
      </c>
      <c r="X262" s="523" t="e">
        <v>#N/A</v>
      </c>
      <c r="Y262" s="523" t="e">
        <v>#N/A</v>
      </c>
      <c r="Z262" s="523"/>
      <c r="AA262" s="523"/>
    </row>
    <row r="263" spans="1:27" x14ac:dyDescent="0.2">
      <c r="A263" s="222">
        <f>calculs!A263</f>
        <v>44814</v>
      </c>
      <c r="B263" s="523" t="e">
        <f ca="1">gr(données_step[[#This Row],[E_DBO5]])</f>
        <v>#NAME?</v>
      </c>
      <c r="C263" s="523" t="e">
        <f ca="1">gr(données_step[[#This Row],[E_DCO]])</f>
        <v>#NAME?</v>
      </c>
      <c r="D263" s="523" t="e">
        <f ca="1">gr(données_step[[#This Row],[E_COT]])</f>
        <v>#NAME?</v>
      </c>
      <c r="E263" s="523" t="e">
        <f ca="1">gr(données_step[[#This Row],[E_NH4]])</f>
        <v>#NAME?</v>
      </c>
      <c r="F263" s="523" t="e">
        <f ca="1">gr(données_step[[#This Row],[E_NTOT]])</f>
        <v>#NAME?</v>
      </c>
      <c r="G263" s="523" t="e">
        <f ca="1">gr(données_step[[#This Row],[E_PTOT]])</f>
        <v>#NAME?</v>
      </c>
      <c r="H263" s="523" t="e">
        <f ca="1">gr(données_step[[#This Row],[S_DBO5]])</f>
        <v>#NAME?</v>
      </c>
      <c r="I263" s="523" t="e">
        <f ca="1">gr(données_step[[#This Row],[S_DCO]])</f>
        <v>#NAME?</v>
      </c>
      <c r="J263" s="523" t="e">
        <f ca="1">gr(données_step[[#This Row],[S_COD]])</f>
        <v>#NAME?</v>
      </c>
      <c r="K263" s="523" t="e">
        <f ca="1">gr(données_step[[#This Row],[S_NH4]])</f>
        <v>#NAME?</v>
      </c>
      <c r="L263" s="523" t="e">
        <f ca="1">gr(données_step[[#This Row],[S_NO2]])</f>
        <v>#NAME?</v>
      </c>
      <c r="M263" s="523" t="e">
        <f ca="1">gr(données_step[[#This Row],[S_NO3]])</f>
        <v>#NAME?</v>
      </c>
      <c r="N263" s="523" t="e">
        <f ca="1">gr(données_step[[#This Row],[S_PORTH]])</f>
        <v>#NAME?</v>
      </c>
      <c r="O263" s="523" t="e">
        <f ca="1">gr(données_step[[#This Row],[S_PTOT]])</f>
        <v>#NAME?</v>
      </c>
      <c r="P263" s="523" t="e">
        <f ca="1">gr(données_step[[#This Row],[S_MES]])</f>
        <v>#NAME?</v>
      </c>
      <c r="Q263" s="523" t="e">
        <v>#N/A</v>
      </c>
      <c r="R263" s="523" t="e">
        <v>#N/A</v>
      </c>
      <c r="S263" s="523" t="e">
        <v>#N/A</v>
      </c>
      <c r="T263" s="523" t="e">
        <v>#N/A</v>
      </c>
      <c r="U263" s="523" t="e">
        <v>#N/A</v>
      </c>
      <c r="V263" s="523" t="e">
        <v>#N/A</v>
      </c>
      <c r="W263" s="523" t="e">
        <v>#N/A</v>
      </c>
      <c r="X263" s="523" t="e">
        <v>#N/A</v>
      </c>
      <c r="Y263" s="523" t="e">
        <v>#N/A</v>
      </c>
      <c r="Z263" s="523"/>
      <c r="AA263" s="523"/>
    </row>
    <row r="264" spans="1:27" x14ac:dyDescent="0.2">
      <c r="A264" s="222">
        <f>calculs!A264</f>
        <v>44815</v>
      </c>
      <c r="B264" s="523" t="e">
        <f ca="1">gr(données_step[[#This Row],[E_DBO5]])</f>
        <v>#NAME?</v>
      </c>
      <c r="C264" s="523" t="e">
        <f ca="1">gr(données_step[[#This Row],[E_DCO]])</f>
        <v>#NAME?</v>
      </c>
      <c r="D264" s="523" t="e">
        <f ca="1">gr(données_step[[#This Row],[E_COT]])</f>
        <v>#NAME?</v>
      </c>
      <c r="E264" s="523" t="e">
        <f ca="1">gr(données_step[[#This Row],[E_NH4]])</f>
        <v>#NAME?</v>
      </c>
      <c r="F264" s="523" t="e">
        <f ca="1">gr(données_step[[#This Row],[E_NTOT]])</f>
        <v>#NAME?</v>
      </c>
      <c r="G264" s="523" t="e">
        <f ca="1">gr(données_step[[#This Row],[E_PTOT]])</f>
        <v>#NAME?</v>
      </c>
      <c r="H264" s="523" t="e">
        <f ca="1">gr(données_step[[#This Row],[S_DBO5]])</f>
        <v>#NAME?</v>
      </c>
      <c r="I264" s="523" t="e">
        <f ca="1">gr(données_step[[#This Row],[S_DCO]])</f>
        <v>#NAME?</v>
      </c>
      <c r="J264" s="523" t="e">
        <f ca="1">gr(données_step[[#This Row],[S_COD]])</f>
        <v>#NAME?</v>
      </c>
      <c r="K264" s="523" t="e">
        <f ca="1">gr(données_step[[#This Row],[S_NH4]])</f>
        <v>#NAME?</v>
      </c>
      <c r="L264" s="523" t="e">
        <f ca="1">gr(données_step[[#This Row],[S_NO2]])</f>
        <v>#NAME?</v>
      </c>
      <c r="M264" s="523" t="e">
        <f ca="1">gr(données_step[[#This Row],[S_NO3]])</f>
        <v>#NAME?</v>
      </c>
      <c r="N264" s="523" t="e">
        <f ca="1">gr(données_step[[#This Row],[S_PORTH]])</f>
        <v>#NAME?</v>
      </c>
      <c r="O264" s="523" t="e">
        <f ca="1">gr(données_step[[#This Row],[S_PTOT]])</f>
        <v>#NAME?</v>
      </c>
      <c r="P264" s="523" t="e">
        <f ca="1">gr(données_step[[#This Row],[S_MES]])</f>
        <v>#NAME?</v>
      </c>
      <c r="Q264" s="523" t="e">
        <v>#N/A</v>
      </c>
      <c r="R264" s="523" t="e">
        <v>#N/A</v>
      </c>
      <c r="S264" s="523" t="e">
        <v>#N/A</v>
      </c>
      <c r="T264" s="523" t="e">
        <v>#N/A</v>
      </c>
      <c r="U264" s="523" t="e">
        <v>#N/A</v>
      </c>
      <c r="V264" s="523" t="e">
        <v>#N/A</v>
      </c>
      <c r="W264" s="523" t="e">
        <v>#N/A</v>
      </c>
      <c r="X264" s="523" t="e">
        <v>#N/A</v>
      </c>
      <c r="Y264" s="523" t="e">
        <v>#N/A</v>
      </c>
      <c r="Z264" s="523"/>
      <c r="AA264" s="523"/>
    </row>
    <row r="265" spans="1:27" x14ac:dyDescent="0.2">
      <c r="A265" s="222">
        <f>calculs!A265</f>
        <v>44816</v>
      </c>
      <c r="B265" s="523" t="e">
        <f ca="1">gr(données_step[[#This Row],[E_DBO5]])</f>
        <v>#NAME?</v>
      </c>
      <c r="C265" s="523" t="e">
        <f ca="1">gr(données_step[[#This Row],[E_DCO]])</f>
        <v>#NAME?</v>
      </c>
      <c r="D265" s="523" t="e">
        <f ca="1">gr(données_step[[#This Row],[E_COT]])</f>
        <v>#NAME?</v>
      </c>
      <c r="E265" s="523" t="e">
        <f ca="1">gr(données_step[[#This Row],[E_NH4]])</f>
        <v>#NAME?</v>
      </c>
      <c r="F265" s="523" t="e">
        <f ca="1">gr(données_step[[#This Row],[E_NTOT]])</f>
        <v>#NAME?</v>
      </c>
      <c r="G265" s="523" t="e">
        <f ca="1">gr(données_step[[#This Row],[E_PTOT]])</f>
        <v>#NAME?</v>
      </c>
      <c r="H265" s="523" t="e">
        <f ca="1">gr(données_step[[#This Row],[S_DBO5]])</f>
        <v>#NAME?</v>
      </c>
      <c r="I265" s="523" t="e">
        <f ca="1">gr(données_step[[#This Row],[S_DCO]])</f>
        <v>#NAME?</v>
      </c>
      <c r="J265" s="523" t="e">
        <f ca="1">gr(données_step[[#This Row],[S_COD]])</f>
        <v>#NAME?</v>
      </c>
      <c r="K265" s="523" t="e">
        <f ca="1">gr(données_step[[#This Row],[S_NH4]])</f>
        <v>#NAME?</v>
      </c>
      <c r="L265" s="523" t="e">
        <f ca="1">gr(données_step[[#This Row],[S_NO2]])</f>
        <v>#NAME?</v>
      </c>
      <c r="M265" s="523" t="e">
        <f ca="1">gr(données_step[[#This Row],[S_NO3]])</f>
        <v>#NAME?</v>
      </c>
      <c r="N265" s="523" t="e">
        <f ca="1">gr(données_step[[#This Row],[S_PORTH]])</f>
        <v>#NAME?</v>
      </c>
      <c r="O265" s="523" t="e">
        <f ca="1">gr(données_step[[#This Row],[S_PTOT]])</f>
        <v>#NAME?</v>
      </c>
      <c r="P265" s="523" t="e">
        <f ca="1">gr(données_step[[#This Row],[S_MES]])</f>
        <v>#NAME?</v>
      </c>
      <c r="Q265" s="523" t="e">
        <v>#N/A</v>
      </c>
      <c r="R265" s="523" t="e">
        <v>#N/A</v>
      </c>
      <c r="S265" s="523" t="e">
        <v>#N/A</v>
      </c>
      <c r="T265" s="523" t="e">
        <v>#N/A</v>
      </c>
      <c r="U265" s="523" t="e">
        <v>#N/A</v>
      </c>
      <c r="V265" s="523" t="e">
        <v>#N/A</v>
      </c>
      <c r="W265" s="523" t="e">
        <v>#N/A</v>
      </c>
      <c r="X265" s="523" t="e">
        <v>#N/A</v>
      </c>
      <c r="Y265" s="523" t="e">
        <v>#N/A</v>
      </c>
      <c r="Z265" s="523"/>
      <c r="AA265" s="523"/>
    </row>
    <row r="266" spans="1:27" x14ac:dyDescent="0.2">
      <c r="A266" s="222">
        <f>calculs!A266</f>
        <v>44817</v>
      </c>
      <c r="B266" s="523" t="e">
        <f ca="1">gr(données_step[[#This Row],[E_DBO5]])</f>
        <v>#NAME?</v>
      </c>
      <c r="C266" s="523" t="e">
        <f ca="1">gr(données_step[[#This Row],[E_DCO]])</f>
        <v>#NAME?</v>
      </c>
      <c r="D266" s="523" t="e">
        <f ca="1">gr(données_step[[#This Row],[E_COT]])</f>
        <v>#NAME?</v>
      </c>
      <c r="E266" s="523" t="e">
        <f ca="1">gr(données_step[[#This Row],[E_NH4]])</f>
        <v>#NAME?</v>
      </c>
      <c r="F266" s="523" t="e">
        <f ca="1">gr(données_step[[#This Row],[E_NTOT]])</f>
        <v>#NAME?</v>
      </c>
      <c r="G266" s="523" t="e">
        <f ca="1">gr(données_step[[#This Row],[E_PTOT]])</f>
        <v>#NAME?</v>
      </c>
      <c r="H266" s="523" t="e">
        <f ca="1">gr(données_step[[#This Row],[S_DBO5]])</f>
        <v>#NAME?</v>
      </c>
      <c r="I266" s="523" t="e">
        <f ca="1">gr(données_step[[#This Row],[S_DCO]])</f>
        <v>#NAME?</v>
      </c>
      <c r="J266" s="523" t="e">
        <f ca="1">gr(données_step[[#This Row],[S_COD]])</f>
        <v>#NAME?</v>
      </c>
      <c r="K266" s="523" t="e">
        <f ca="1">gr(données_step[[#This Row],[S_NH4]])</f>
        <v>#NAME?</v>
      </c>
      <c r="L266" s="523" t="e">
        <f ca="1">gr(données_step[[#This Row],[S_NO2]])</f>
        <v>#NAME?</v>
      </c>
      <c r="M266" s="523" t="e">
        <f ca="1">gr(données_step[[#This Row],[S_NO3]])</f>
        <v>#NAME?</v>
      </c>
      <c r="N266" s="523" t="e">
        <f ca="1">gr(données_step[[#This Row],[S_PORTH]])</f>
        <v>#NAME?</v>
      </c>
      <c r="O266" s="523" t="e">
        <f ca="1">gr(données_step[[#This Row],[S_PTOT]])</f>
        <v>#NAME?</v>
      </c>
      <c r="P266" s="523" t="e">
        <f ca="1">gr(données_step[[#This Row],[S_MES]])</f>
        <v>#NAME?</v>
      </c>
      <c r="Q266" s="523" t="e">
        <v>#N/A</v>
      </c>
      <c r="R266" s="523" t="e">
        <v>#N/A</v>
      </c>
      <c r="S266" s="523" t="e">
        <v>#N/A</v>
      </c>
      <c r="T266" s="523" t="e">
        <v>#N/A</v>
      </c>
      <c r="U266" s="523" t="e">
        <v>#N/A</v>
      </c>
      <c r="V266" s="523" t="e">
        <v>#N/A</v>
      </c>
      <c r="W266" s="523" t="e">
        <v>#N/A</v>
      </c>
      <c r="X266" s="523" t="e">
        <v>#N/A</v>
      </c>
      <c r="Y266" s="523" t="e">
        <v>#N/A</v>
      </c>
      <c r="Z266" s="523"/>
      <c r="AA266" s="523"/>
    </row>
    <row r="267" spans="1:27" x14ac:dyDescent="0.2">
      <c r="A267" s="222">
        <f>calculs!A267</f>
        <v>44818</v>
      </c>
      <c r="B267" s="523" t="e">
        <f ca="1">gr(données_step[[#This Row],[E_DBO5]])</f>
        <v>#NAME?</v>
      </c>
      <c r="C267" s="523" t="e">
        <f ca="1">gr(données_step[[#This Row],[E_DCO]])</f>
        <v>#NAME?</v>
      </c>
      <c r="D267" s="523" t="e">
        <f ca="1">gr(données_step[[#This Row],[E_COT]])</f>
        <v>#NAME?</v>
      </c>
      <c r="E267" s="523" t="e">
        <f ca="1">gr(données_step[[#This Row],[E_NH4]])</f>
        <v>#NAME?</v>
      </c>
      <c r="F267" s="523" t="e">
        <f ca="1">gr(données_step[[#This Row],[E_NTOT]])</f>
        <v>#NAME?</v>
      </c>
      <c r="G267" s="523" t="e">
        <f ca="1">gr(données_step[[#This Row],[E_PTOT]])</f>
        <v>#NAME?</v>
      </c>
      <c r="H267" s="523" t="e">
        <f ca="1">gr(données_step[[#This Row],[S_DBO5]])</f>
        <v>#NAME?</v>
      </c>
      <c r="I267" s="523" t="e">
        <f ca="1">gr(données_step[[#This Row],[S_DCO]])</f>
        <v>#NAME?</v>
      </c>
      <c r="J267" s="523" t="e">
        <f ca="1">gr(données_step[[#This Row],[S_COD]])</f>
        <v>#NAME?</v>
      </c>
      <c r="K267" s="523" t="e">
        <f ca="1">gr(données_step[[#This Row],[S_NH4]])</f>
        <v>#NAME?</v>
      </c>
      <c r="L267" s="523" t="e">
        <f ca="1">gr(données_step[[#This Row],[S_NO2]])</f>
        <v>#NAME?</v>
      </c>
      <c r="M267" s="523" t="e">
        <f ca="1">gr(données_step[[#This Row],[S_NO3]])</f>
        <v>#NAME?</v>
      </c>
      <c r="N267" s="523" t="e">
        <f ca="1">gr(données_step[[#This Row],[S_PORTH]])</f>
        <v>#NAME?</v>
      </c>
      <c r="O267" s="523" t="e">
        <f ca="1">gr(données_step[[#This Row],[S_PTOT]])</f>
        <v>#NAME?</v>
      </c>
      <c r="P267" s="523" t="e">
        <f ca="1">gr(données_step[[#This Row],[S_MES]])</f>
        <v>#NAME?</v>
      </c>
      <c r="Q267" s="523" t="e">
        <v>#N/A</v>
      </c>
      <c r="R267" s="523" t="e">
        <v>#N/A</v>
      </c>
      <c r="S267" s="523" t="e">
        <v>#N/A</v>
      </c>
      <c r="T267" s="523" t="e">
        <v>#N/A</v>
      </c>
      <c r="U267" s="523" t="e">
        <v>#N/A</v>
      </c>
      <c r="V267" s="523" t="e">
        <v>#N/A</v>
      </c>
      <c r="W267" s="523" t="e">
        <v>#N/A</v>
      </c>
      <c r="X267" s="523" t="e">
        <v>#N/A</v>
      </c>
      <c r="Y267" s="523" t="e">
        <v>#N/A</v>
      </c>
      <c r="Z267" s="523"/>
      <c r="AA267" s="523"/>
    </row>
    <row r="268" spans="1:27" x14ac:dyDescent="0.2">
      <c r="A268" s="222">
        <f>calculs!A268</f>
        <v>44819</v>
      </c>
      <c r="B268" s="523" t="e">
        <f ca="1">gr(données_step[[#This Row],[E_DBO5]])</f>
        <v>#NAME?</v>
      </c>
      <c r="C268" s="523" t="e">
        <f ca="1">gr(données_step[[#This Row],[E_DCO]])</f>
        <v>#NAME?</v>
      </c>
      <c r="D268" s="523" t="e">
        <f ca="1">gr(données_step[[#This Row],[E_COT]])</f>
        <v>#NAME?</v>
      </c>
      <c r="E268" s="523" t="e">
        <f ca="1">gr(données_step[[#This Row],[E_NH4]])</f>
        <v>#NAME?</v>
      </c>
      <c r="F268" s="523" t="e">
        <f ca="1">gr(données_step[[#This Row],[E_NTOT]])</f>
        <v>#NAME?</v>
      </c>
      <c r="G268" s="523" t="e">
        <f ca="1">gr(données_step[[#This Row],[E_PTOT]])</f>
        <v>#NAME?</v>
      </c>
      <c r="H268" s="523" t="e">
        <f ca="1">gr(données_step[[#This Row],[S_DBO5]])</f>
        <v>#NAME?</v>
      </c>
      <c r="I268" s="523" t="e">
        <f ca="1">gr(données_step[[#This Row],[S_DCO]])</f>
        <v>#NAME?</v>
      </c>
      <c r="J268" s="523" t="e">
        <f ca="1">gr(données_step[[#This Row],[S_COD]])</f>
        <v>#NAME?</v>
      </c>
      <c r="K268" s="523" t="e">
        <f ca="1">gr(données_step[[#This Row],[S_NH4]])</f>
        <v>#NAME?</v>
      </c>
      <c r="L268" s="523" t="e">
        <f ca="1">gr(données_step[[#This Row],[S_NO2]])</f>
        <v>#NAME?</v>
      </c>
      <c r="M268" s="523" t="e">
        <f ca="1">gr(données_step[[#This Row],[S_NO3]])</f>
        <v>#NAME?</v>
      </c>
      <c r="N268" s="523" t="e">
        <f ca="1">gr(données_step[[#This Row],[S_PORTH]])</f>
        <v>#NAME?</v>
      </c>
      <c r="O268" s="523" t="e">
        <f ca="1">gr(données_step[[#This Row],[S_PTOT]])</f>
        <v>#NAME?</v>
      </c>
      <c r="P268" s="523" t="e">
        <f ca="1">gr(données_step[[#This Row],[S_MES]])</f>
        <v>#NAME?</v>
      </c>
      <c r="Q268" s="523" t="e">
        <v>#N/A</v>
      </c>
      <c r="R268" s="523" t="e">
        <v>#N/A</v>
      </c>
      <c r="S268" s="523" t="e">
        <v>#N/A</v>
      </c>
      <c r="T268" s="523" t="e">
        <v>#N/A</v>
      </c>
      <c r="U268" s="523" t="e">
        <v>#N/A</v>
      </c>
      <c r="V268" s="523" t="e">
        <v>#N/A</v>
      </c>
      <c r="W268" s="523" t="e">
        <v>#N/A</v>
      </c>
      <c r="X268" s="523" t="e">
        <v>#N/A</v>
      </c>
      <c r="Y268" s="523" t="e">
        <v>#N/A</v>
      </c>
      <c r="Z268" s="523"/>
      <c r="AA268" s="523"/>
    </row>
    <row r="269" spans="1:27" x14ac:dyDescent="0.2">
      <c r="A269" s="222">
        <f>calculs!A269</f>
        <v>44820</v>
      </c>
      <c r="B269" s="523" t="e">
        <f ca="1">gr(données_step[[#This Row],[E_DBO5]])</f>
        <v>#NAME?</v>
      </c>
      <c r="C269" s="523" t="e">
        <f ca="1">gr(données_step[[#This Row],[E_DCO]])</f>
        <v>#NAME?</v>
      </c>
      <c r="D269" s="523" t="e">
        <f ca="1">gr(données_step[[#This Row],[E_COT]])</f>
        <v>#NAME?</v>
      </c>
      <c r="E269" s="523" t="e">
        <f ca="1">gr(données_step[[#This Row],[E_NH4]])</f>
        <v>#NAME?</v>
      </c>
      <c r="F269" s="523" t="e">
        <f ca="1">gr(données_step[[#This Row],[E_NTOT]])</f>
        <v>#NAME?</v>
      </c>
      <c r="G269" s="523" t="e">
        <f ca="1">gr(données_step[[#This Row],[E_PTOT]])</f>
        <v>#NAME?</v>
      </c>
      <c r="H269" s="523" t="e">
        <f ca="1">gr(données_step[[#This Row],[S_DBO5]])</f>
        <v>#NAME?</v>
      </c>
      <c r="I269" s="523" t="e">
        <f ca="1">gr(données_step[[#This Row],[S_DCO]])</f>
        <v>#NAME?</v>
      </c>
      <c r="J269" s="523" t="e">
        <f ca="1">gr(données_step[[#This Row],[S_COD]])</f>
        <v>#NAME?</v>
      </c>
      <c r="K269" s="523" t="e">
        <f ca="1">gr(données_step[[#This Row],[S_NH4]])</f>
        <v>#NAME?</v>
      </c>
      <c r="L269" s="523" t="e">
        <f ca="1">gr(données_step[[#This Row],[S_NO2]])</f>
        <v>#NAME?</v>
      </c>
      <c r="M269" s="523" t="e">
        <f ca="1">gr(données_step[[#This Row],[S_NO3]])</f>
        <v>#NAME?</v>
      </c>
      <c r="N269" s="523" t="e">
        <f ca="1">gr(données_step[[#This Row],[S_PORTH]])</f>
        <v>#NAME?</v>
      </c>
      <c r="O269" s="523" t="e">
        <f ca="1">gr(données_step[[#This Row],[S_PTOT]])</f>
        <v>#NAME?</v>
      </c>
      <c r="P269" s="523" t="e">
        <f ca="1">gr(données_step[[#This Row],[S_MES]])</f>
        <v>#NAME?</v>
      </c>
      <c r="Q269" s="523" t="e">
        <v>#N/A</v>
      </c>
      <c r="R269" s="523" t="e">
        <v>#N/A</v>
      </c>
      <c r="S269" s="523" t="e">
        <v>#N/A</v>
      </c>
      <c r="T269" s="523" t="e">
        <v>#N/A</v>
      </c>
      <c r="U269" s="523" t="e">
        <v>#N/A</v>
      </c>
      <c r="V269" s="523" t="e">
        <v>#N/A</v>
      </c>
      <c r="W269" s="523" t="e">
        <v>#N/A</v>
      </c>
      <c r="X269" s="523" t="e">
        <v>#N/A</v>
      </c>
      <c r="Y269" s="523" t="e">
        <v>#N/A</v>
      </c>
      <c r="Z269" s="523"/>
      <c r="AA269" s="523"/>
    </row>
    <row r="270" spans="1:27" x14ac:dyDescent="0.2">
      <c r="A270" s="222">
        <f>calculs!A270</f>
        <v>44821</v>
      </c>
      <c r="B270" s="523" t="e">
        <f ca="1">gr(données_step[[#This Row],[E_DBO5]])</f>
        <v>#NAME?</v>
      </c>
      <c r="C270" s="523" t="e">
        <f ca="1">gr(données_step[[#This Row],[E_DCO]])</f>
        <v>#NAME?</v>
      </c>
      <c r="D270" s="523" t="e">
        <f ca="1">gr(données_step[[#This Row],[E_COT]])</f>
        <v>#NAME?</v>
      </c>
      <c r="E270" s="523" t="e">
        <f ca="1">gr(données_step[[#This Row],[E_NH4]])</f>
        <v>#NAME?</v>
      </c>
      <c r="F270" s="523" t="e">
        <f ca="1">gr(données_step[[#This Row],[E_NTOT]])</f>
        <v>#NAME?</v>
      </c>
      <c r="G270" s="523" t="e">
        <f ca="1">gr(données_step[[#This Row],[E_PTOT]])</f>
        <v>#NAME?</v>
      </c>
      <c r="H270" s="523" t="e">
        <f ca="1">gr(données_step[[#This Row],[S_DBO5]])</f>
        <v>#NAME?</v>
      </c>
      <c r="I270" s="523" t="e">
        <f ca="1">gr(données_step[[#This Row],[S_DCO]])</f>
        <v>#NAME?</v>
      </c>
      <c r="J270" s="523" t="e">
        <f ca="1">gr(données_step[[#This Row],[S_COD]])</f>
        <v>#NAME?</v>
      </c>
      <c r="K270" s="523" t="e">
        <f ca="1">gr(données_step[[#This Row],[S_NH4]])</f>
        <v>#NAME?</v>
      </c>
      <c r="L270" s="523" t="e">
        <f ca="1">gr(données_step[[#This Row],[S_NO2]])</f>
        <v>#NAME?</v>
      </c>
      <c r="M270" s="523" t="e">
        <f ca="1">gr(données_step[[#This Row],[S_NO3]])</f>
        <v>#NAME?</v>
      </c>
      <c r="N270" s="523" t="e">
        <f ca="1">gr(données_step[[#This Row],[S_PORTH]])</f>
        <v>#NAME?</v>
      </c>
      <c r="O270" s="523" t="e">
        <f ca="1">gr(données_step[[#This Row],[S_PTOT]])</f>
        <v>#NAME?</v>
      </c>
      <c r="P270" s="523" t="e">
        <f ca="1">gr(données_step[[#This Row],[S_MES]])</f>
        <v>#NAME?</v>
      </c>
      <c r="Q270" s="523" t="e">
        <v>#N/A</v>
      </c>
      <c r="R270" s="523" t="e">
        <v>#N/A</v>
      </c>
      <c r="S270" s="523" t="e">
        <v>#N/A</v>
      </c>
      <c r="T270" s="523" t="e">
        <v>#N/A</v>
      </c>
      <c r="U270" s="523" t="e">
        <v>#N/A</v>
      </c>
      <c r="V270" s="523" t="e">
        <v>#N/A</v>
      </c>
      <c r="W270" s="523" t="e">
        <v>#N/A</v>
      </c>
      <c r="X270" s="523" t="e">
        <v>#N/A</v>
      </c>
      <c r="Y270" s="523" t="e">
        <v>#N/A</v>
      </c>
      <c r="Z270" s="523"/>
      <c r="AA270" s="523"/>
    </row>
    <row r="271" spans="1:27" x14ac:dyDescent="0.2">
      <c r="A271" s="222">
        <f>calculs!A271</f>
        <v>44822</v>
      </c>
      <c r="B271" s="523" t="e">
        <f ca="1">gr(données_step[[#This Row],[E_DBO5]])</f>
        <v>#NAME?</v>
      </c>
      <c r="C271" s="523" t="e">
        <f ca="1">gr(données_step[[#This Row],[E_DCO]])</f>
        <v>#NAME?</v>
      </c>
      <c r="D271" s="523" t="e">
        <f ca="1">gr(données_step[[#This Row],[E_COT]])</f>
        <v>#NAME?</v>
      </c>
      <c r="E271" s="523" t="e">
        <f ca="1">gr(données_step[[#This Row],[E_NH4]])</f>
        <v>#NAME?</v>
      </c>
      <c r="F271" s="523" t="e">
        <f ca="1">gr(données_step[[#This Row],[E_NTOT]])</f>
        <v>#NAME?</v>
      </c>
      <c r="G271" s="523" t="e">
        <f ca="1">gr(données_step[[#This Row],[E_PTOT]])</f>
        <v>#NAME?</v>
      </c>
      <c r="H271" s="523" t="e">
        <f ca="1">gr(données_step[[#This Row],[S_DBO5]])</f>
        <v>#NAME?</v>
      </c>
      <c r="I271" s="523" t="e">
        <f ca="1">gr(données_step[[#This Row],[S_DCO]])</f>
        <v>#NAME?</v>
      </c>
      <c r="J271" s="523" t="e">
        <f ca="1">gr(données_step[[#This Row],[S_COD]])</f>
        <v>#NAME?</v>
      </c>
      <c r="K271" s="523" t="e">
        <f ca="1">gr(données_step[[#This Row],[S_NH4]])</f>
        <v>#NAME?</v>
      </c>
      <c r="L271" s="523" t="e">
        <f ca="1">gr(données_step[[#This Row],[S_NO2]])</f>
        <v>#NAME?</v>
      </c>
      <c r="M271" s="523" t="e">
        <f ca="1">gr(données_step[[#This Row],[S_NO3]])</f>
        <v>#NAME?</v>
      </c>
      <c r="N271" s="523" t="e">
        <f ca="1">gr(données_step[[#This Row],[S_PORTH]])</f>
        <v>#NAME?</v>
      </c>
      <c r="O271" s="523" t="e">
        <f ca="1">gr(données_step[[#This Row],[S_PTOT]])</f>
        <v>#NAME?</v>
      </c>
      <c r="P271" s="523" t="e">
        <f ca="1">gr(données_step[[#This Row],[S_MES]])</f>
        <v>#NAME?</v>
      </c>
      <c r="Q271" s="523" t="e">
        <v>#N/A</v>
      </c>
      <c r="R271" s="523" t="e">
        <v>#N/A</v>
      </c>
      <c r="S271" s="523" t="e">
        <v>#N/A</v>
      </c>
      <c r="T271" s="523" t="e">
        <v>#N/A</v>
      </c>
      <c r="U271" s="523" t="e">
        <v>#N/A</v>
      </c>
      <c r="V271" s="523" t="e">
        <v>#N/A</v>
      </c>
      <c r="W271" s="523" t="e">
        <v>#N/A</v>
      </c>
      <c r="X271" s="523" t="e">
        <v>#N/A</v>
      </c>
      <c r="Y271" s="523" t="e">
        <v>#N/A</v>
      </c>
      <c r="Z271" s="523"/>
      <c r="AA271" s="523"/>
    </row>
    <row r="272" spans="1:27" x14ac:dyDescent="0.2">
      <c r="A272" s="222">
        <f>calculs!A272</f>
        <v>44823</v>
      </c>
      <c r="B272" s="523" t="e">
        <f ca="1">gr(données_step[[#This Row],[E_DBO5]])</f>
        <v>#NAME?</v>
      </c>
      <c r="C272" s="523" t="e">
        <f ca="1">gr(données_step[[#This Row],[E_DCO]])</f>
        <v>#NAME?</v>
      </c>
      <c r="D272" s="523" t="e">
        <f ca="1">gr(données_step[[#This Row],[E_COT]])</f>
        <v>#NAME?</v>
      </c>
      <c r="E272" s="523" t="e">
        <f ca="1">gr(données_step[[#This Row],[E_NH4]])</f>
        <v>#NAME?</v>
      </c>
      <c r="F272" s="523" t="e">
        <f ca="1">gr(données_step[[#This Row],[E_NTOT]])</f>
        <v>#NAME?</v>
      </c>
      <c r="G272" s="523" t="e">
        <f ca="1">gr(données_step[[#This Row],[E_PTOT]])</f>
        <v>#NAME?</v>
      </c>
      <c r="H272" s="523" t="e">
        <f ca="1">gr(données_step[[#This Row],[S_DBO5]])</f>
        <v>#NAME?</v>
      </c>
      <c r="I272" s="523" t="e">
        <f ca="1">gr(données_step[[#This Row],[S_DCO]])</f>
        <v>#NAME?</v>
      </c>
      <c r="J272" s="523" t="e">
        <f ca="1">gr(données_step[[#This Row],[S_COD]])</f>
        <v>#NAME?</v>
      </c>
      <c r="K272" s="523" t="e">
        <f ca="1">gr(données_step[[#This Row],[S_NH4]])</f>
        <v>#NAME?</v>
      </c>
      <c r="L272" s="523" t="e">
        <f ca="1">gr(données_step[[#This Row],[S_NO2]])</f>
        <v>#NAME?</v>
      </c>
      <c r="M272" s="523" t="e">
        <f ca="1">gr(données_step[[#This Row],[S_NO3]])</f>
        <v>#NAME?</v>
      </c>
      <c r="N272" s="523" t="e">
        <f ca="1">gr(données_step[[#This Row],[S_PORTH]])</f>
        <v>#NAME?</v>
      </c>
      <c r="O272" s="523" t="e">
        <f ca="1">gr(données_step[[#This Row],[S_PTOT]])</f>
        <v>#NAME?</v>
      </c>
      <c r="P272" s="523" t="e">
        <f ca="1">gr(données_step[[#This Row],[S_MES]])</f>
        <v>#NAME?</v>
      </c>
      <c r="Q272" s="523" t="e">
        <v>#N/A</v>
      </c>
      <c r="R272" s="523" t="e">
        <v>#N/A</v>
      </c>
      <c r="S272" s="523" t="e">
        <v>#N/A</v>
      </c>
      <c r="T272" s="523" t="e">
        <v>#N/A</v>
      </c>
      <c r="U272" s="523" t="e">
        <v>#N/A</v>
      </c>
      <c r="V272" s="523" t="e">
        <v>#N/A</v>
      </c>
      <c r="W272" s="523" t="e">
        <v>#N/A</v>
      </c>
      <c r="X272" s="523" t="e">
        <v>#N/A</v>
      </c>
      <c r="Y272" s="523" t="e">
        <v>#N/A</v>
      </c>
      <c r="Z272" s="523"/>
      <c r="AA272" s="523"/>
    </row>
    <row r="273" spans="1:27" x14ac:dyDescent="0.2">
      <c r="A273" s="222">
        <f>calculs!A273</f>
        <v>44824</v>
      </c>
      <c r="B273" s="523" t="e">
        <f ca="1">gr(données_step[[#This Row],[E_DBO5]])</f>
        <v>#NAME?</v>
      </c>
      <c r="C273" s="523" t="e">
        <f ca="1">gr(données_step[[#This Row],[E_DCO]])</f>
        <v>#NAME?</v>
      </c>
      <c r="D273" s="523" t="e">
        <f ca="1">gr(données_step[[#This Row],[E_COT]])</f>
        <v>#NAME?</v>
      </c>
      <c r="E273" s="523" t="e">
        <f ca="1">gr(données_step[[#This Row],[E_NH4]])</f>
        <v>#NAME?</v>
      </c>
      <c r="F273" s="523" t="e">
        <f ca="1">gr(données_step[[#This Row],[E_NTOT]])</f>
        <v>#NAME?</v>
      </c>
      <c r="G273" s="523" t="e">
        <f ca="1">gr(données_step[[#This Row],[E_PTOT]])</f>
        <v>#NAME?</v>
      </c>
      <c r="H273" s="523" t="e">
        <f ca="1">gr(données_step[[#This Row],[S_DBO5]])</f>
        <v>#NAME?</v>
      </c>
      <c r="I273" s="523" t="e">
        <f ca="1">gr(données_step[[#This Row],[S_DCO]])</f>
        <v>#NAME?</v>
      </c>
      <c r="J273" s="523" t="e">
        <f ca="1">gr(données_step[[#This Row],[S_COD]])</f>
        <v>#NAME?</v>
      </c>
      <c r="K273" s="523" t="e">
        <f ca="1">gr(données_step[[#This Row],[S_NH4]])</f>
        <v>#NAME?</v>
      </c>
      <c r="L273" s="523" t="e">
        <f ca="1">gr(données_step[[#This Row],[S_NO2]])</f>
        <v>#NAME?</v>
      </c>
      <c r="M273" s="523" t="e">
        <f ca="1">gr(données_step[[#This Row],[S_NO3]])</f>
        <v>#NAME?</v>
      </c>
      <c r="N273" s="523" t="e">
        <f ca="1">gr(données_step[[#This Row],[S_PORTH]])</f>
        <v>#NAME?</v>
      </c>
      <c r="O273" s="523" t="e">
        <f ca="1">gr(données_step[[#This Row],[S_PTOT]])</f>
        <v>#NAME?</v>
      </c>
      <c r="P273" s="523" t="e">
        <f ca="1">gr(données_step[[#This Row],[S_MES]])</f>
        <v>#NAME?</v>
      </c>
      <c r="Q273" s="523" t="e">
        <v>#N/A</v>
      </c>
      <c r="R273" s="523" t="e">
        <v>#N/A</v>
      </c>
      <c r="S273" s="523" t="e">
        <v>#N/A</v>
      </c>
      <c r="T273" s="523" t="e">
        <v>#N/A</v>
      </c>
      <c r="U273" s="523" t="e">
        <v>#N/A</v>
      </c>
      <c r="V273" s="523" t="e">
        <v>#N/A</v>
      </c>
      <c r="W273" s="523" t="e">
        <v>#N/A</v>
      </c>
      <c r="X273" s="523" t="e">
        <v>#N/A</v>
      </c>
      <c r="Y273" s="523" t="e">
        <v>#N/A</v>
      </c>
      <c r="Z273" s="523"/>
      <c r="AA273" s="523"/>
    </row>
    <row r="274" spans="1:27" x14ac:dyDescent="0.2">
      <c r="A274" s="222">
        <f>calculs!A274</f>
        <v>44825</v>
      </c>
      <c r="B274" s="523" t="e">
        <f ca="1">gr(données_step[[#This Row],[E_DBO5]])</f>
        <v>#NAME?</v>
      </c>
      <c r="C274" s="523" t="e">
        <f ca="1">gr(données_step[[#This Row],[E_DCO]])</f>
        <v>#NAME?</v>
      </c>
      <c r="D274" s="523" t="e">
        <f ca="1">gr(données_step[[#This Row],[E_COT]])</f>
        <v>#NAME?</v>
      </c>
      <c r="E274" s="523" t="e">
        <f ca="1">gr(données_step[[#This Row],[E_NH4]])</f>
        <v>#NAME?</v>
      </c>
      <c r="F274" s="523" t="e">
        <f ca="1">gr(données_step[[#This Row],[E_NTOT]])</f>
        <v>#NAME?</v>
      </c>
      <c r="G274" s="523" t="e">
        <f ca="1">gr(données_step[[#This Row],[E_PTOT]])</f>
        <v>#NAME?</v>
      </c>
      <c r="H274" s="523" t="e">
        <f ca="1">gr(données_step[[#This Row],[S_DBO5]])</f>
        <v>#NAME?</v>
      </c>
      <c r="I274" s="523" t="e">
        <f ca="1">gr(données_step[[#This Row],[S_DCO]])</f>
        <v>#NAME?</v>
      </c>
      <c r="J274" s="523" t="e">
        <f ca="1">gr(données_step[[#This Row],[S_COD]])</f>
        <v>#NAME?</v>
      </c>
      <c r="K274" s="523" t="e">
        <f ca="1">gr(données_step[[#This Row],[S_NH4]])</f>
        <v>#NAME?</v>
      </c>
      <c r="L274" s="523" t="e">
        <f ca="1">gr(données_step[[#This Row],[S_NO2]])</f>
        <v>#NAME?</v>
      </c>
      <c r="M274" s="523" t="e">
        <f ca="1">gr(données_step[[#This Row],[S_NO3]])</f>
        <v>#NAME?</v>
      </c>
      <c r="N274" s="523" t="e">
        <f ca="1">gr(données_step[[#This Row],[S_PORTH]])</f>
        <v>#NAME?</v>
      </c>
      <c r="O274" s="523" t="e">
        <f ca="1">gr(données_step[[#This Row],[S_PTOT]])</f>
        <v>#NAME?</v>
      </c>
      <c r="P274" s="523" t="e">
        <f ca="1">gr(données_step[[#This Row],[S_MES]])</f>
        <v>#NAME?</v>
      </c>
      <c r="Q274" s="523" t="e">
        <v>#N/A</v>
      </c>
      <c r="R274" s="523" t="e">
        <v>#N/A</v>
      </c>
      <c r="S274" s="523" t="e">
        <v>#N/A</v>
      </c>
      <c r="T274" s="523" t="e">
        <v>#N/A</v>
      </c>
      <c r="U274" s="523" t="e">
        <v>#N/A</v>
      </c>
      <c r="V274" s="523" t="e">
        <v>#N/A</v>
      </c>
      <c r="W274" s="523" t="e">
        <v>#N/A</v>
      </c>
      <c r="X274" s="523" t="e">
        <v>#N/A</v>
      </c>
      <c r="Y274" s="523" t="e">
        <v>#N/A</v>
      </c>
      <c r="Z274" s="523"/>
      <c r="AA274" s="523"/>
    </row>
    <row r="275" spans="1:27" x14ac:dyDescent="0.2">
      <c r="A275" s="222">
        <f>calculs!A275</f>
        <v>44826</v>
      </c>
      <c r="B275" s="523" t="e">
        <f ca="1">gr(données_step[[#This Row],[E_DBO5]])</f>
        <v>#NAME?</v>
      </c>
      <c r="C275" s="523" t="e">
        <f ca="1">gr(données_step[[#This Row],[E_DCO]])</f>
        <v>#NAME?</v>
      </c>
      <c r="D275" s="523" t="e">
        <f ca="1">gr(données_step[[#This Row],[E_COT]])</f>
        <v>#NAME?</v>
      </c>
      <c r="E275" s="523" t="e">
        <f ca="1">gr(données_step[[#This Row],[E_NH4]])</f>
        <v>#NAME?</v>
      </c>
      <c r="F275" s="523" t="e">
        <f ca="1">gr(données_step[[#This Row],[E_NTOT]])</f>
        <v>#NAME?</v>
      </c>
      <c r="G275" s="523" t="e">
        <f ca="1">gr(données_step[[#This Row],[E_PTOT]])</f>
        <v>#NAME?</v>
      </c>
      <c r="H275" s="523" t="e">
        <f ca="1">gr(données_step[[#This Row],[S_DBO5]])</f>
        <v>#NAME?</v>
      </c>
      <c r="I275" s="523" t="e">
        <f ca="1">gr(données_step[[#This Row],[S_DCO]])</f>
        <v>#NAME?</v>
      </c>
      <c r="J275" s="523" t="e">
        <f ca="1">gr(données_step[[#This Row],[S_COD]])</f>
        <v>#NAME?</v>
      </c>
      <c r="K275" s="523" t="e">
        <f ca="1">gr(données_step[[#This Row],[S_NH4]])</f>
        <v>#NAME?</v>
      </c>
      <c r="L275" s="523" t="e">
        <f ca="1">gr(données_step[[#This Row],[S_NO2]])</f>
        <v>#NAME?</v>
      </c>
      <c r="M275" s="523" t="e">
        <f ca="1">gr(données_step[[#This Row],[S_NO3]])</f>
        <v>#NAME?</v>
      </c>
      <c r="N275" s="523" t="e">
        <f ca="1">gr(données_step[[#This Row],[S_PORTH]])</f>
        <v>#NAME?</v>
      </c>
      <c r="O275" s="523" t="e">
        <f ca="1">gr(données_step[[#This Row],[S_PTOT]])</f>
        <v>#NAME?</v>
      </c>
      <c r="P275" s="523" t="e">
        <f ca="1">gr(données_step[[#This Row],[S_MES]])</f>
        <v>#NAME?</v>
      </c>
      <c r="Q275" s="523" t="e">
        <v>#N/A</v>
      </c>
      <c r="R275" s="523" t="e">
        <v>#N/A</v>
      </c>
      <c r="S275" s="523" t="e">
        <v>#N/A</v>
      </c>
      <c r="T275" s="523" t="e">
        <v>#N/A</v>
      </c>
      <c r="U275" s="523" t="e">
        <v>#N/A</v>
      </c>
      <c r="V275" s="523" t="e">
        <v>#N/A</v>
      </c>
      <c r="W275" s="523" t="e">
        <v>#N/A</v>
      </c>
      <c r="X275" s="523" t="e">
        <v>#N/A</v>
      </c>
      <c r="Y275" s="523" t="e">
        <v>#N/A</v>
      </c>
      <c r="Z275" s="523"/>
      <c r="AA275" s="523"/>
    </row>
    <row r="276" spans="1:27" x14ac:dyDescent="0.2">
      <c r="A276" s="222">
        <f>calculs!A276</f>
        <v>44827</v>
      </c>
      <c r="B276" s="523" t="e">
        <f ca="1">gr(données_step[[#This Row],[E_DBO5]])</f>
        <v>#NAME?</v>
      </c>
      <c r="C276" s="523" t="e">
        <f ca="1">gr(données_step[[#This Row],[E_DCO]])</f>
        <v>#NAME?</v>
      </c>
      <c r="D276" s="523" t="e">
        <f ca="1">gr(données_step[[#This Row],[E_COT]])</f>
        <v>#NAME?</v>
      </c>
      <c r="E276" s="523" t="e">
        <f ca="1">gr(données_step[[#This Row],[E_NH4]])</f>
        <v>#NAME?</v>
      </c>
      <c r="F276" s="523" t="e">
        <f ca="1">gr(données_step[[#This Row],[E_NTOT]])</f>
        <v>#NAME?</v>
      </c>
      <c r="G276" s="523" t="e">
        <f ca="1">gr(données_step[[#This Row],[E_PTOT]])</f>
        <v>#NAME?</v>
      </c>
      <c r="H276" s="523" t="e">
        <f ca="1">gr(données_step[[#This Row],[S_DBO5]])</f>
        <v>#NAME?</v>
      </c>
      <c r="I276" s="523" t="e">
        <f ca="1">gr(données_step[[#This Row],[S_DCO]])</f>
        <v>#NAME?</v>
      </c>
      <c r="J276" s="523" t="e">
        <f ca="1">gr(données_step[[#This Row],[S_COD]])</f>
        <v>#NAME?</v>
      </c>
      <c r="K276" s="523" t="e">
        <f ca="1">gr(données_step[[#This Row],[S_NH4]])</f>
        <v>#NAME?</v>
      </c>
      <c r="L276" s="523" t="e">
        <f ca="1">gr(données_step[[#This Row],[S_NO2]])</f>
        <v>#NAME?</v>
      </c>
      <c r="M276" s="523" t="e">
        <f ca="1">gr(données_step[[#This Row],[S_NO3]])</f>
        <v>#NAME?</v>
      </c>
      <c r="N276" s="523" t="e">
        <f ca="1">gr(données_step[[#This Row],[S_PORTH]])</f>
        <v>#NAME?</v>
      </c>
      <c r="O276" s="523" t="e">
        <f ca="1">gr(données_step[[#This Row],[S_PTOT]])</f>
        <v>#NAME?</v>
      </c>
      <c r="P276" s="523" t="e">
        <f ca="1">gr(données_step[[#This Row],[S_MES]])</f>
        <v>#NAME?</v>
      </c>
      <c r="Q276" s="523" t="e">
        <v>#N/A</v>
      </c>
      <c r="R276" s="523" t="e">
        <v>#N/A</v>
      </c>
      <c r="S276" s="523" t="e">
        <v>#N/A</v>
      </c>
      <c r="T276" s="523" t="e">
        <v>#N/A</v>
      </c>
      <c r="U276" s="523" t="e">
        <v>#N/A</v>
      </c>
      <c r="V276" s="523" t="e">
        <v>#N/A</v>
      </c>
      <c r="W276" s="523" t="e">
        <v>#N/A</v>
      </c>
      <c r="X276" s="523" t="e">
        <v>#N/A</v>
      </c>
      <c r="Y276" s="523" t="e">
        <v>#N/A</v>
      </c>
      <c r="Z276" s="523"/>
      <c r="AA276" s="523"/>
    </row>
    <row r="277" spans="1:27" x14ac:dyDescent="0.2">
      <c r="A277" s="222">
        <f>calculs!A277</f>
        <v>44828</v>
      </c>
      <c r="B277" s="523" t="e">
        <f ca="1">gr(données_step[[#This Row],[E_DBO5]])</f>
        <v>#NAME?</v>
      </c>
      <c r="C277" s="523" t="e">
        <f ca="1">gr(données_step[[#This Row],[E_DCO]])</f>
        <v>#NAME?</v>
      </c>
      <c r="D277" s="523" t="e">
        <f ca="1">gr(données_step[[#This Row],[E_COT]])</f>
        <v>#NAME?</v>
      </c>
      <c r="E277" s="523" t="e">
        <f ca="1">gr(données_step[[#This Row],[E_NH4]])</f>
        <v>#NAME?</v>
      </c>
      <c r="F277" s="523" t="e">
        <f ca="1">gr(données_step[[#This Row],[E_NTOT]])</f>
        <v>#NAME?</v>
      </c>
      <c r="G277" s="523" t="e">
        <f ca="1">gr(données_step[[#This Row],[E_PTOT]])</f>
        <v>#NAME?</v>
      </c>
      <c r="H277" s="523" t="e">
        <f ca="1">gr(données_step[[#This Row],[S_DBO5]])</f>
        <v>#NAME?</v>
      </c>
      <c r="I277" s="523" t="e">
        <f ca="1">gr(données_step[[#This Row],[S_DCO]])</f>
        <v>#NAME?</v>
      </c>
      <c r="J277" s="523" t="e">
        <f ca="1">gr(données_step[[#This Row],[S_COD]])</f>
        <v>#NAME?</v>
      </c>
      <c r="K277" s="523" t="e">
        <f ca="1">gr(données_step[[#This Row],[S_NH4]])</f>
        <v>#NAME?</v>
      </c>
      <c r="L277" s="523" t="e">
        <f ca="1">gr(données_step[[#This Row],[S_NO2]])</f>
        <v>#NAME?</v>
      </c>
      <c r="M277" s="523" t="e">
        <f ca="1">gr(données_step[[#This Row],[S_NO3]])</f>
        <v>#NAME?</v>
      </c>
      <c r="N277" s="523" t="e">
        <f ca="1">gr(données_step[[#This Row],[S_PORTH]])</f>
        <v>#NAME?</v>
      </c>
      <c r="O277" s="523" t="e">
        <f ca="1">gr(données_step[[#This Row],[S_PTOT]])</f>
        <v>#NAME?</v>
      </c>
      <c r="P277" s="523" t="e">
        <f ca="1">gr(données_step[[#This Row],[S_MES]])</f>
        <v>#NAME?</v>
      </c>
      <c r="Q277" s="523" t="e">
        <v>#N/A</v>
      </c>
      <c r="R277" s="523" t="e">
        <v>#N/A</v>
      </c>
      <c r="S277" s="523" t="e">
        <v>#N/A</v>
      </c>
      <c r="T277" s="523" t="e">
        <v>#N/A</v>
      </c>
      <c r="U277" s="523" t="e">
        <v>#N/A</v>
      </c>
      <c r="V277" s="523" t="e">
        <v>#N/A</v>
      </c>
      <c r="W277" s="523" t="e">
        <v>#N/A</v>
      </c>
      <c r="X277" s="523" t="e">
        <v>#N/A</v>
      </c>
      <c r="Y277" s="523" t="e">
        <v>#N/A</v>
      </c>
      <c r="Z277" s="523"/>
      <c r="AA277" s="523"/>
    </row>
    <row r="278" spans="1:27" x14ac:dyDescent="0.2">
      <c r="A278" s="222">
        <f>calculs!A278</f>
        <v>44829</v>
      </c>
      <c r="B278" s="523" t="e">
        <f ca="1">gr(données_step[[#This Row],[E_DBO5]])</f>
        <v>#NAME?</v>
      </c>
      <c r="C278" s="523" t="e">
        <f ca="1">gr(données_step[[#This Row],[E_DCO]])</f>
        <v>#NAME?</v>
      </c>
      <c r="D278" s="523" t="e">
        <f ca="1">gr(données_step[[#This Row],[E_COT]])</f>
        <v>#NAME?</v>
      </c>
      <c r="E278" s="523" t="e">
        <f ca="1">gr(données_step[[#This Row],[E_NH4]])</f>
        <v>#NAME?</v>
      </c>
      <c r="F278" s="523" t="e">
        <f ca="1">gr(données_step[[#This Row],[E_NTOT]])</f>
        <v>#NAME?</v>
      </c>
      <c r="G278" s="523" t="e">
        <f ca="1">gr(données_step[[#This Row],[E_PTOT]])</f>
        <v>#NAME?</v>
      </c>
      <c r="H278" s="523" t="e">
        <f ca="1">gr(données_step[[#This Row],[S_DBO5]])</f>
        <v>#NAME?</v>
      </c>
      <c r="I278" s="523" t="e">
        <f ca="1">gr(données_step[[#This Row],[S_DCO]])</f>
        <v>#NAME?</v>
      </c>
      <c r="J278" s="523" t="e">
        <f ca="1">gr(données_step[[#This Row],[S_COD]])</f>
        <v>#NAME?</v>
      </c>
      <c r="K278" s="523" t="e">
        <f ca="1">gr(données_step[[#This Row],[S_NH4]])</f>
        <v>#NAME?</v>
      </c>
      <c r="L278" s="523" t="e">
        <f ca="1">gr(données_step[[#This Row],[S_NO2]])</f>
        <v>#NAME?</v>
      </c>
      <c r="M278" s="523" t="e">
        <f ca="1">gr(données_step[[#This Row],[S_NO3]])</f>
        <v>#NAME?</v>
      </c>
      <c r="N278" s="523" t="e">
        <f ca="1">gr(données_step[[#This Row],[S_PORTH]])</f>
        <v>#NAME?</v>
      </c>
      <c r="O278" s="523" t="e">
        <f ca="1">gr(données_step[[#This Row],[S_PTOT]])</f>
        <v>#NAME?</v>
      </c>
      <c r="P278" s="523" t="e">
        <f ca="1">gr(données_step[[#This Row],[S_MES]])</f>
        <v>#NAME?</v>
      </c>
      <c r="Q278" s="523" t="e">
        <v>#N/A</v>
      </c>
      <c r="R278" s="523" t="e">
        <v>#N/A</v>
      </c>
      <c r="S278" s="523" t="e">
        <v>#N/A</v>
      </c>
      <c r="T278" s="523" t="e">
        <v>#N/A</v>
      </c>
      <c r="U278" s="523" t="e">
        <v>#N/A</v>
      </c>
      <c r="V278" s="523" t="e">
        <v>#N/A</v>
      </c>
      <c r="W278" s="523" t="e">
        <v>#N/A</v>
      </c>
      <c r="X278" s="523" t="e">
        <v>#N/A</v>
      </c>
      <c r="Y278" s="523" t="e">
        <v>#N/A</v>
      </c>
      <c r="Z278" s="523"/>
      <c r="AA278" s="523"/>
    </row>
    <row r="279" spans="1:27" x14ac:dyDescent="0.2">
      <c r="A279" s="222">
        <f>calculs!A279</f>
        <v>44830</v>
      </c>
      <c r="B279" s="523" t="e">
        <f ca="1">gr(données_step[[#This Row],[E_DBO5]])</f>
        <v>#NAME?</v>
      </c>
      <c r="C279" s="523" t="e">
        <f ca="1">gr(données_step[[#This Row],[E_DCO]])</f>
        <v>#NAME?</v>
      </c>
      <c r="D279" s="523" t="e">
        <f ca="1">gr(données_step[[#This Row],[E_COT]])</f>
        <v>#NAME?</v>
      </c>
      <c r="E279" s="523" t="e">
        <f ca="1">gr(données_step[[#This Row],[E_NH4]])</f>
        <v>#NAME?</v>
      </c>
      <c r="F279" s="523" t="e">
        <f ca="1">gr(données_step[[#This Row],[E_NTOT]])</f>
        <v>#NAME?</v>
      </c>
      <c r="G279" s="523" t="e">
        <f ca="1">gr(données_step[[#This Row],[E_PTOT]])</f>
        <v>#NAME?</v>
      </c>
      <c r="H279" s="523" t="e">
        <f ca="1">gr(données_step[[#This Row],[S_DBO5]])</f>
        <v>#NAME?</v>
      </c>
      <c r="I279" s="523" t="e">
        <f ca="1">gr(données_step[[#This Row],[S_DCO]])</f>
        <v>#NAME?</v>
      </c>
      <c r="J279" s="523" t="e">
        <f ca="1">gr(données_step[[#This Row],[S_COD]])</f>
        <v>#NAME?</v>
      </c>
      <c r="K279" s="523" t="e">
        <f ca="1">gr(données_step[[#This Row],[S_NH4]])</f>
        <v>#NAME?</v>
      </c>
      <c r="L279" s="523" t="e">
        <f ca="1">gr(données_step[[#This Row],[S_NO2]])</f>
        <v>#NAME?</v>
      </c>
      <c r="M279" s="523" t="e">
        <f ca="1">gr(données_step[[#This Row],[S_NO3]])</f>
        <v>#NAME?</v>
      </c>
      <c r="N279" s="523" t="e">
        <f ca="1">gr(données_step[[#This Row],[S_PORTH]])</f>
        <v>#NAME?</v>
      </c>
      <c r="O279" s="523" t="e">
        <f ca="1">gr(données_step[[#This Row],[S_PTOT]])</f>
        <v>#NAME?</v>
      </c>
      <c r="P279" s="523" t="e">
        <f ca="1">gr(données_step[[#This Row],[S_MES]])</f>
        <v>#NAME?</v>
      </c>
      <c r="Q279" s="523" t="e">
        <v>#N/A</v>
      </c>
      <c r="R279" s="523" t="e">
        <v>#N/A</v>
      </c>
      <c r="S279" s="523" t="e">
        <v>#N/A</v>
      </c>
      <c r="T279" s="523" t="e">
        <v>#N/A</v>
      </c>
      <c r="U279" s="523" t="e">
        <v>#N/A</v>
      </c>
      <c r="V279" s="523" t="e">
        <v>#N/A</v>
      </c>
      <c r="W279" s="523" t="e">
        <v>#N/A</v>
      </c>
      <c r="X279" s="523" t="e">
        <v>#N/A</v>
      </c>
      <c r="Y279" s="523" t="e">
        <v>#N/A</v>
      </c>
      <c r="Z279" s="523"/>
      <c r="AA279" s="523"/>
    </row>
    <row r="280" spans="1:27" x14ac:dyDescent="0.2">
      <c r="A280" s="222">
        <f>calculs!A280</f>
        <v>44831</v>
      </c>
      <c r="B280" s="523" t="e">
        <f ca="1">gr(données_step[[#This Row],[E_DBO5]])</f>
        <v>#NAME?</v>
      </c>
      <c r="C280" s="523" t="e">
        <f ca="1">gr(données_step[[#This Row],[E_DCO]])</f>
        <v>#NAME?</v>
      </c>
      <c r="D280" s="523" t="e">
        <f ca="1">gr(données_step[[#This Row],[E_COT]])</f>
        <v>#NAME?</v>
      </c>
      <c r="E280" s="523" t="e">
        <f ca="1">gr(données_step[[#This Row],[E_NH4]])</f>
        <v>#NAME?</v>
      </c>
      <c r="F280" s="523" t="e">
        <f ca="1">gr(données_step[[#This Row],[E_NTOT]])</f>
        <v>#NAME?</v>
      </c>
      <c r="G280" s="523" t="e">
        <f ca="1">gr(données_step[[#This Row],[E_PTOT]])</f>
        <v>#NAME?</v>
      </c>
      <c r="H280" s="523" t="e">
        <f ca="1">gr(données_step[[#This Row],[S_DBO5]])</f>
        <v>#NAME?</v>
      </c>
      <c r="I280" s="523" t="e">
        <f ca="1">gr(données_step[[#This Row],[S_DCO]])</f>
        <v>#NAME?</v>
      </c>
      <c r="J280" s="523" t="e">
        <f ca="1">gr(données_step[[#This Row],[S_COD]])</f>
        <v>#NAME?</v>
      </c>
      <c r="K280" s="523" t="e">
        <f ca="1">gr(données_step[[#This Row],[S_NH4]])</f>
        <v>#NAME?</v>
      </c>
      <c r="L280" s="523" t="e">
        <f ca="1">gr(données_step[[#This Row],[S_NO2]])</f>
        <v>#NAME?</v>
      </c>
      <c r="M280" s="523" t="e">
        <f ca="1">gr(données_step[[#This Row],[S_NO3]])</f>
        <v>#NAME?</v>
      </c>
      <c r="N280" s="523" t="e">
        <f ca="1">gr(données_step[[#This Row],[S_PORTH]])</f>
        <v>#NAME?</v>
      </c>
      <c r="O280" s="523" t="e">
        <f ca="1">gr(données_step[[#This Row],[S_PTOT]])</f>
        <v>#NAME?</v>
      </c>
      <c r="P280" s="523" t="e">
        <f ca="1">gr(données_step[[#This Row],[S_MES]])</f>
        <v>#NAME?</v>
      </c>
      <c r="Q280" s="523" t="e">
        <v>#N/A</v>
      </c>
      <c r="R280" s="523" t="e">
        <v>#N/A</v>
      </c>
      <c r="S280" s="523" t="e">
        <v>#N/A</v>
      </c>
      <c r="T280" s="523" t="e">
        <v>#N/A</v>
      </c>
      <c r="U280" s="523" t="e">
        <v>#N/A</v>
      </c>
      <c r="V280" s="523" t="e">
        <v>#N/A</v>
      </c>
      <c r="W280" s="523" t="e">
        <v>#N/A</v>
      </c>
      <c r="X280" s="523" t="e">
        <v>#N/A</v>
      </c>
      <c r="Y280" s="523" t="e">
        <v>#N/A</v>
      </c>
      <c r="Z280" s="523"/>
      <c r="AA280" s="523"/>
    </row>
    <row r="281" spans="1:27" x14ac:dyDescent="0.2">
      <c r="A281" s="222">
        <f>calculs!A281</f>
        <v>44832</v>
      </c>
      <c r="B281" s="523" t="e">
        <f ca="1">gr(données_step[[#This Row],[E_DBO5]])</f>
        <v>#NAME?</v>
      </c>
      <c r="C281" s="523" t="e">
        <f ca="1">gr(données_step[[#This Row],[E_DCO]])</f>
        <v>#NAME?</v>
      </c>
      <c r="D281" s="523" t="e">
        <f ca="1">gr(données_step[[#This Row],[E_COT]])</f>
        <v>#NAME?</v>
      </c>
      <c r="E281" s="523" t="e">
        <f ca="1">gr(données_step[[#This Row],[E_NH4]])</f>
        <v>#NAME?</v>
      </c>
      <c r="F281" s="523" t="e">
        <f ca="1">gr(données_step[[#This Row],[E_NTOT]])</f>
        <v>#NAME?</v>
      </c>
      <c r="G281" s="523" t="e">
        <f ca="1">gr(données_step[[#This Row],[E_PTOT]])</f>
        <v>#NAME?</v>
      </c>
      <c r="H281" s="523" t="e">
        <f ca="1">gr(données_step[[#This Row],[S_DBO5]])</f>
        <v>#NAME?</v>
      </c>
      <c r="I281" s="523" t="e">
        <f ca="1">gr(données_step[[#This Row],[S_DCO]])</f>
        <v>#NAME?</v>
      </c>
      <c r="J281" s="523" t="e">
        <f ca="1">gr(données_step[[#This Row],[S_COD]])</f>
        <v>#NAME?</v>
      </c>
      <c r="K281" s="523" t="e">
        <f ca="1">gr(données_step[[#This Row],[S_NH4]])</f>
        <v>#NAME?</v>
      </c>
      <c r="L281" s="523" t="e">
        <f ca="1">gr(données_step[[#This Row],[S_NO2]])</f>
        <v>#NAME?</v>
      </c>
      <c r="M281" s="523" t="e">
        <f ca="1">gr(données_step[[#This Row],[S_NO3]])</f>
        <v>#NAME?</v>
      </c>
      <c r="N281" s="523" t="e">
        <f ca="1">gr(données_step[[#This Row],[S_PORTH]])</f>
        <v>#NAME?</v>
      </c>
      <c r="O281" s="523" t="e">
        <f ca="1">gr(données_step[[#This Row],[S_PTOT]])</f>
        <v>#NAME?</v>
      </c>
      <c r="P281" s="523" t="e">
        <f ca="1">gr(données_step[[#This Row],[S_MES]])</f>
        <v>#NAME?</v>
      </c>
      <c r="Q281" s="523" t="e">
        <v>#N/A</v>
      </c>
      <c r="R281" s="523" t="e">
        <v>#N/A</v>
      </c>
      <c r="S281" s="523" t="e">
        <v>#N/A</v>
      </c>
      <c r="T281" s="523" t="e">
        <v>#N/A</v>
      </c>
      <c r="U281" s="523" t="e">
        <v>#N/A</v>
      </c>
      <c r="V281" s="523" t="e">
        <v>#N/A</v>
      </c>
      <c r="W281" s="523" t="e">
        <v>#N/A</v>
      </c>
      <c r="X281" s="523" t="e">
        <v>#N/A</v>
      </c>
      <c r="Y281" s="523" t="e">
        <v>#N/A</v>
      </c>
      <c r="Z281" s="523"/>
      <c r="AA281" s="523"/>
    </row>
    <row r="282" spans="1:27" x14ac:dyDescent="0.2">
      <c r="A282" s="222">
        <f>calculs!A282</f>
        <v>44833</v>
      </c>
      <c r="B282" s="523" t="e">
        <f ca="1">gr(données_step[[#This Row],[E_DBO5]])</f>
        <v>#NAME?</v>
      </c>
      <c r="C282" s="523" t="e">
        <f ca="1">gr(données_step[[#This Row],[E_DCO]])</f>
        <v>#NAME?</v>
      </c>
      <c r="D282" s="523" t="e">
        <f ca="1">gr(données_step[[#This Row],[E_COT]])</f>
        <v>#NAME?</v>
      </c>
      <c r="E282" s="523" t="e">
        <f ca="1">gr(données_step[[#This Row],[E_NH4]])</f>
        <v>#NAME?</v>
      </c>
      <c r="F282" s="523" t="e">
        <f ca="1">gr(données_step[[#This Row],[E_NTOT]])</f>
        <v>#NAME?</v>
      </c>
      <c r="G282" s="523" t="e">
        <f ca="1">gr(données_step[[#This Row],[E_PTOT]])</f>
        <v>#NAME?</v>
      </c>
      <c r="H282" s="523" t="e">
        <f ca="1">gr(données_step[[#This Row],[S_DBO5]])</f>
        <v>#NAME?</v>
      </c>
      <c r="I282" s="523" t="e">
        <f ca="1">gr(données_step[[#This Row],[S_DCO]])</f>
        <v>#NAME?</v>
      </c>
      <c r="J282" s="523" t="e">
        <f ca="1">gr(données_step[[#This Row],[S_COD]])</f>
        <v>#NAME?</v>
      </c>
      <c r="K282" s="523" t="e">
        <f ca="1">gr(données_step[[#This Row],[S_NH4]])</f>
        <v>#NAME?</v>
      </c>
      <c r="L282" s="523" t="e">
        <f ca="1">gr(données_step[[#This Row],[S_NO2]])</f>
        <v>#NAME?</v>
      </c>
      <c r="M282" s="523" t="e">
        <f ca="1">gr(données_step[[#This Row],[S_NO3]])</f>
        <v>#NAME?</v>
      </c>
      <c r="N282" s="523" t="e">
        <f ca="1">gr(données_step[[#This Row],[S_PORTH]])</f>
        <v>#NAME?</v>
      </c>
      <c r="O282" s="523" t="e">
        <f ca="1">gr(données_step[[#This Row],[S_PTOT]])</f>
        <v>#NAME?</v>
      </c>
      <c r="P282" s="523" t="e">
        <f ca="1">gr(données_step[[#This Row],[S_MES]])</f>
        <v>#NAME?</v>
      </c>
      <c r="Q282" s="523" t="e">
        <v>#N/A</v>
      </c>
      <c r="R282" s="523" t="e">
        <v>#N/A</v>
      </c>
      <c r="S282" s="523" t="e">
        <v>#N/A</v>
      </c>
      <c r="T282" s="523" t="e">
        <v>#N/A</v>
      </c>
      <c r="U282" s="523" t="e">
        <v>#N/A</v>
      </c>
      <c r="V282" s="523" t="e">
        <v>#N/A</v>
      </c>
      <c r="W282" s="523" t="e">
        <v>#N/A</v>
      </c>
      <c r="X282" s="523" t="e">
        <v>#N/A</v>
      </c>
      <c r="Y282" s="523" t="e">
        <v>#N/A</v>
      </c>
      <c r="Z282" s="523"/>
      <c r="AA282" s="523"/>
    </row>
    <row r="283" spans="1:27" x14ac:dyDescent="0.2">
      <c r="A283" s="222">
        <f>calculs!A283</f>
        <v>44834</v>
      </c>
      <c r="B283" s="523" t="e">
        <f ca="1">gr(données_step[[#This Row],[E_DBO5]])</f>
        <v>#NAME?</v>
      </c>
      <c r="C283" s="523" t="e">
        <f ca="1">gr(données_step[[#This Row],[E_DCO]])</f>
        <v>#NAME?</v>
      </c>
      <c r="D283" s="523" t="e">
        <f ca="1">gr(données_step[[#This Row],[E_COT]])</f>
        <v>#NAME?</v>
      </c>
      <c r="E283" s="523" t="e">
        <f ca="1">gr(données_step[[#This Row],[E_NH4]])</f>
        <v>#NAME?</v>
      </c>
      <c r="F283" s="523" t="e">
        <f ca="1">gr(données_step[[#This Row],[E_NTOT]])</f>
        <v>#NAME?</v>
      </c>
      <c r="G283" s="523" t="e">
        <f ca="1">gr(données_step[[#This Row],[E_PTOT]])</f>
        <v>#NAME?</v>
      </c>
      <c r="H283" s="523" t="e">
        <f ca="1">gr(données_step[[#This Row],[S_DBO5]])</f>
        <v>#NAME?</v>
      </c>
      <c r="I283" s="523" t="e">
        <f ca="1">gr(données_step[[#This Row],[S_DCO]])</f>
        <v>#NAME?</v>
      </c>
      <c r="J283" s="523" t="e">
        <f ca="1">gr(données_step[[#This Row],[S_COD]])</f>
        <v>#NAME?</v>
      </c>
      <c r="K283" s="523" t="e">
        <f ca="1">gr(données_step[[#This Row],[S_NH4]])</f>
        <v>#NAME?</v>
      </c>
      <c r="L283" s="523" t="e">
        <f ca="1">gr(données_step[[#This Row],[S_NO2]])</f>
        <v>#NAME?</v>
      </c>
      <c r="M283" s="523" t="e">
        <f ca="1">gr(données_step[[#This Row],[S_NO3]])</f>
        <v>#NAME?</v>
      </c>
      <c r="N283" s="523" t="e">
        <f ca="1">gr(données_step[[#This Row],[S_PORTH]])</f>
        <v>#NAME?</v>
      </c>
      <c r="O283" s="523" t="e">
        <f ca="1">gr(données_step[[#This Row],[S_PTOT]])</f>
        <v>#NAME?</v>
      </c>
      <c r="P283" s="523" t="e">
        <f ca="1">gr(données_step[[#This Row],[S_MES]])</f>
        <v>#NAME?</v>
      </c>
      <c r="Q283" s="523" t="e">
        <v>#N/A</v>
      </c>
      <c r="R283" s="523" t="e">
        <v>#N/A</v>
      </c>
      <c r="S283" s="523" t="e">
        <v>#N/A</v>
      </c>
      <c r="T283" s="523" t="e">
        <v>#N/A</v>
      </c>
      <c r="U283" s="523" t="e">
        <v>#N/A</v>
      </c>
      <c r="V283" s="523" t="e">
        <v>#N/A</v>
      </c>
      <c r="W283" s="523" t="e">
        <v>#N/A</v>
      </c>
      <c r="X283" s="523" t="e">
        <v>#N/A</v>
      </c>
      <c r="Y283" s="523" t="e">
        <v>#N/A</v>
      </c>
      <c r="Z283" s="523"/>
      <c r="AA283" s="523"/>
    </row>
    <row r="284" spans="1:27" x14ac:dyDescent="0.2">
      <c r="A284" s="222">
        <f>calculs!A284</f>
        <v>44835</v>
      </c>
      <c r="B284" s="523" t="e">
        <f ca="1">gr(données_step[[#This Row],[E_DBO5]])</f>
        <v>#NAME?</v>
      </c>
      <c r="C284" s="523" t="e">
        <f ca="1">gr(données_step[[#This Row],[E_DCO]])</f>
        <v>#NAME?</v>
      </c>
      <c r="D284" s="523" t="e">
        <f ca="1">gr(données_step[[#This Row],[E_COT]])</f>
        <v>#NAME?</v>
      </c>
      <c r="E284" s="523" t="e">
        <f ca="1">gr(données_step[[#This Row],[E_NH4]])</f>
        <v>#NAME?</v>
      </c>
      <c r="F284" s="523" t="e">
        <f ca="1">gr(données_step[[#This Row],[E_NTOT]])</f>
        <v>#NAME?</v>
      </c>
      <c r="G284" s="523" t="e">
        <f ca="1">gr(données_step[[#This Row],[E_PTOT]])</f>
        <v>#NAME?</v>
      </c>
      <c r="H284" s="523" t="e">
        <f ca="1">gr(données_step[[#This Row],[S_DBO5]])</f>
        <v>#NAME?</v>
      </c>
      <c r="I284" s="523" t="e">
        <f ca="1">gr(données_step[[#This Row],[S_DCO]])</f>
        <v>#NAME?</v>
      </c>
      <c r="J284" s="523" t="e">
        <f ca="1">gr(données_step[[#This Row],[S_COD]])</f>
        <v>#NAME?</v>
      </c>
      <c r="K284" s="523" t="e">
        <f ca="1">gr(données_step[[#This Row],[S_NH4]])</f>
        <v>#NAME?</v>
      </c>
      <c r="L284" s="523" t="e">
        <f ca="1">gr(données_step[[#This Row],[S_NO2]])</f>
        <v>#NAME?</v>
      </c>
      <c r="M284" s="523" t="e">
        <f ca="1">gr(données_step[[#This Row],[S_NO3]])</f>
        <v>#NAME?</v>
      </c>
      <c r="N284" s="523" t="e">
        <f ca="1">gr(données_step[[#This Row],[S_PORTH]])</f>
        <v>#NAME?</v>
      </c>
      <c r="O284" s="523" t="e">
        <f ca="1">gr(données_step[[#This Row],[S_PTOT]])</f>
        <v>#NAME?</v>
      </c>
      <c r="P284" s="523" t="e">
        <f ca="1">gr(données_step[[#This Row],[S_MES]])</f>
        <v>#NAME?</v>
      </c>
      <c r="Q284" s="523" t="e">
        <v>#N/A</v>
      </c>
      <c r="R284" s="523" t="e">
        <v>#N/A</v>
      </c>
      <c r="S284" s="523" t="e">
        <v>#N/A</v>
      </c>
      <c r="T284" s="523" t="e">
        <v>#N/A</v>
      </c>
      <c r="U284" s="523" t="e">
        <v>#N/A</v>
      </c>
      <c r="V284" s="523" t="e">
        <v>#N/A</v>
      </c>
      <c r="W284" s="523" t="e">
        <v>#N/A</v>
      </c>
      <c r="X284" s="523" t="e">
        <v>#N/A</v>
      </c>
      <c r="Y284" s="523" t="e">
        <v>#N/A</v>
      </c>
      <c r="Z284" s="523"/>
      <c r="AA284" s="523"/>
    </row>
    <row r="285" spans="1:27" x14ac:dyDescent="0.2">
      <c r="A285" s="222">
        <f>calculs!A285</f>
        <v>44836</v>
      </c>
      <c r="B285" s="523" t="e">
        <f ca="1">gr(données_step[[#This Row],[E_DBO5]])</f>
        <v>#NAME?</v>
      </c>
      <c r="C285" s="523" t="e">
        <f ca="1">gr(données_step[[#This Row],[E_DCO]])</f>
        <v>#NAME?</v>
      </c>
      <c r="D285" s="523" t="e">
        <f ca="1">gr(données_step[[#This Row],[E_COT]])</f>
        <v>#NAME?</v>
      </c>
      <c r="E285" s="523" t="e">
        <f ca="1">gr(données_step[[#This Row],[E_NH4]])</f>
        <v>#NAME?</v>
      </c>
      <c r="F285" s="523" t="e">
        <f ca="1">gr(données_step[[#This Row],[E_NTOT]])</f>
        <v>#NAME?</v>
      </c>
      <c r="G285" s="523" t="e">
        <f ca="1">gr(données_step[[#This Row],[E_PTOT]])</f>
        <v>#NAME?</v>
      </c>
      <c r="H285" s="523" t="e">
        <f ca="1">gr(données_step[[#This Row],[S_DBO5]])</f>
        <v>#NAME?</v>
      </c>
      <c r="I285" s="523" t="e">
        <f ca="1">gr(données_step[[#This Row],[S_DCO]])</f>
        <v>#NAME?</v>
      </c>
      <c r="J285" s="523" t="e">
        <f ca="1">gr(données_step[[#This Row],[S_COD]])</f>
        <v>#NAME?</v>
      </c>
      <c r="K285" s="523" t="e">
        <f ca="1">gr(données_step[[#This Row],[S_NH4]])</f>
        <v>#NAME?</v>
      </c>
      <c r="L285" s="523" t="e">
        <f ca="1">gr(données_step[[#This Row],[S_NO2]])</f>
        <v>#NAME?</v>
      </c>
      <c r="M285" s="523" t="e">
        <f ca="1">gr(données_step[[#This Row],[S_NO3]])</f>
        <v>#NAME?</v>
      </c>
      <c r="N285" s="523" t="e">
        <f ca="1">gr(données_step[[#This Row],[S_PORTH]])</f>
        <v>#NAME?</v>
      </c>
      <c r="O285" s="523" t="e">
        <f ca="1">gr(données_step[[#This Row],[S_PTOT]])</f>
        <v>#NAME?</v>
      </c>
      <c r="P285" s="523" t="e">
        <f ca="1">gr(données_step[[#This Row],[S_MES]])</f>
        <v>#NAME?</v>
      </c>
      <c r="Q285" s="523" t="e">
        <v>#N/A</v>
      </c>
      <c r="R285" s="523" t="e">
        <v>#N/A</v>
      </c>
      <c r="S285" s="523" t="e">
        <v>#N/A</v>
      </c>
      <c r="T285" s="523" t="e">
        <v>#N/A</v>
      </c>
      <c r="U285" s="523" t="e">
        <v>#N/A</v>
      </c>
      <c r="V285" s="523" t="e">
        <v>#N/A</v>
      </c>
      <c r="W285" s="523" t="e">
        <v>#N/A</v>
      </c>
      <c r="X285" s="523" t="e">
        <v>#N/A</v>
      </c>
      <c r="Y285" s="523" t="e">
        <v>#N/A</v>
      </c>
      <c r="Z285" s="523"/>
      <c r="AA285" s="523"/>
    </row>
    <row r="286" spans="1:27" x14ac:dyDescent="0.2">
      <c r="A286" s="222">
        <f>calculs!A286</f>
        <v>44837</v>
      </c>
      <c r="B286" s="523" t="e">
        <f ca="1">gr(données_step[[#This Row],[E_DBO5]])</f>
        <v>#NAME?</v>
      </c>
      <c r="C286" s="523" t="e">
        <f ca="1">gr(données_step[[#This Row],[E_DCO]])</f>
        <v>#NAME?</v>
      </c>
      <c r="D286" s="523" t="e">
        <f ca="1">gr(données_step[[#This Row],[E_COT]])</f>
        <v>#NAME?</v>
      </c>
      <c r="E286" s="523" t="e">
        <f ca="1">gr(données_step[[#This Row],[E_NH4]])</f>
        <v>#NAME?</v>
      </c>
      <c r="F286" s="523" t="e">
        <f ca="1">gr(données_step[[#This Row],[E_NTOT]])</f>
        <v>#NAME?</v>
      </c>
      <c r="G286" s="523" t="e">
        <f ca="1">gr(données_step[[#This Row],[E_PTOT]])</f>
        <v>#NAME?</v>
      </c>
      <c r="H286" s="523" t="e">
        <f ca="1">gr(données_step[[#This Row],[S_DBO5]])</f>
        <v>#NAME?</v>
      </c>
      <c r="I286" s="523" t="e">
        <f ca="1">gr(données_step[[#This Row],[S_DCO]])</f>
        <v>#NAME?</v>
      </c>
      <c r="J286" s="523" t="e">
        <f ca="1">gr(données_step[[#This Row],[S_COD]])</f>
        <v>#NAME?</v>
      </c>
      <c r="K286" s="523" t="e">
        <f ca="1">gr(données_step[[#This Row],[S_NH4]])</f>
        <v>#NAME?</v>
      </c>
      <c r="L286" s="523" t="e">
        <f ca="1">gr(données_step[[#This Row],[S_NO2]])</f>
        <v>#NAME?</v>
      </c>
      <c r="M286" s="523" t="e">
        <f ca="1">gr(données_step[[#This Row],[S_NO3]])</f>
        <v>#NAME?</v>
      </c>
      <c r="N286" s="523" t="e">
        <f ca="1">gr(données_step[[#This Row],[S_PORTH]])</f>
        <v>#NAME?</v>
      </c>
      <c r="O286" s="523" t="e">
        <f ca="1">gr(données_step[[#This Row],[S_PTOT]])</f>
        <v>#NAME?</v>
      </c>
      <c r="P286" s="523" t="e">
        <f ca="1">gr(données_step[[#This Row],[S_MES]])</f>
        <v>#NAME?</v>
      </c>
      <c r="Q286" s="523" t="e">
        <v>#N/A</v>
      </c>
      <c r="R286" s="523" t="e">
        <v>#N/A</v>
      </c>
      <c r="S286" s="523" t="e">
        <v>#N/A</v>
      </c>
      <c r="T286" s="523" t="e">
        <v>#N/A</v>
      </c>
      <c r="U286" s="523" t="e">
        <v>#N/A</v>
      </c>
      <c r="V286" s="523" t="e">
        <v>#N/A</v>
      </c>
      <c r="W286" s="523" t="e">
        <v>#N/A</v>
      </c>
      <c r="X286" s="523" t="e">
        <v>#N/A</v>
      </c>
      <c r="Y286" s="523" t="e">
        <v>#N/A</v>
      </c>
      <c r="Z286" s="523"/>
      <c r="AA286" s="523"/>
    </row>
    <row r="287" spans="1:27" x14ac:dyDescent="0.2">
      <c r="A287" s="222">
        <f>calculs!A287</f>
        <v>44838</v>
      </c>
      <c r="B287" s="523" t="e">
        <f ca="1">gr(données_step[[#This Row],[E_DBO5]])</f>
        <v>#NAME?</v>
      </c>
      <c r="C287" s="523" t="e">
        <f ca="1">gr(données_step[[#This Row],[E_DCO]])</f>
        <v>#NAME?</v>
      </c>
      <c r="D287" s="523" t="e">
        <f ca="1">gr(données_step[[#This Row],[E_COT]])</f>
        <v>#NAME?</v>
      </c>
      <c r="E287" s="523" t="e">
        <f ca="1">gr(données_step[[#This Row],[E_NH4]])</f>
        <v>#NAME?</v>
      </c>
      <c r="F287" s="523" t="e">
        <f ca="1">gr(données_step[[#This Row],[E_NTOT]])</f>
        <v>#NAME?</v>
      </c>
      <c r="G287" s="523" t="e">
        <f ca="1">gr(données_step[[#This Row],[E_PTOT]])</f>
        <v>#NAME?</v>
      </c>
      <c r="H287" s="523" t="e">
        <f ca="1">gr(données_step[[#This Row],[S_DBO5]])</f>
        <v>#NAME?</v>
      </c>
      <c r="I287" s="523" t="e">
        <f ca="1">gr(données_step[[#This Row],[S_DCO]])</f>
        <v>#NAME?</v>
      </c>
      <c r="J287" s="523" t="e">
        <f ca="1">gr(données_step[[#This Row],[S_COD]])</f>
        <v>#NAME?</v>
      </c>
      <c r="K287" s="523" t="e">
        <f ca="1">gr(données_step[[#This Row],[S_NH4]])</f>
        <v>#NAME?</v>
      </c>
      <c r="L287" s="523" t="e">
        <f ca="1">gr(données_step[[#This Row],[S_NO2]])</f>
        <v>#NAME?</v>
      </c>
      <c r="M287" s="523" t="e">
        <f ca="1">gr(données_step[[#This Row],[S_NO3]])</f>
        <v>#NAME?</v>
      </c>
      <c r="N287" s="523" t="e">
        <f ca="1">gr(données_step[[#This Row],[S_PORTH]])</f>
        <v>#NAME?</v>
      </c>
      <c r="O287" s="523" t="e">
        <f ca="1">gr(données_step[[#This Row],[S_PTOT]])</f>
        <v>#NAME?</v>
      </c>
      <c r="P287" s="523" t="e">
        <f ca="1">gr(données_step[[#This Row],[S_MES]])</f>
        <v>#NAME?</v>
      </c>
      <c r="Q287" s="523" t="e">
        <v>#N/A</v>
      </c>
      <c r="R287" s="523" t="e">
        <v>#N/A</v>
      </c>
      <c r="S287" s="523" t="e">
        <v>#N/A</v>
      </c>
      <c r="T287" s="523" t="e">
        <v>#N/A</v>
      </c>
      <c r="U287" s="523" t="e">
        <v>#N/A</v>
      </c>
      <c r="V287" s="523" t="e">
        <v>#N/A</v>
      </c>
      <c r="W287" s="523" t="e">
        <v>#N/A</v>
      </c>
      <c r="X287" s="523" t="e">
        <v>#N/A</v>
      </c>
      <c r="Y287" s="523" t="e">
        <v>#N/A</v>
      </c>
      <c r="Z287" s="523"/>
      <c r="AA287" s="523"/>
    </row>
    <row r="288" spans="1:27" x14ac:dyDescent="0.2">
      <c r="A288" s="222">
        <f>calculs!A288</f>
        <v>44839</v>
      </c>
      <c r="B288" s="523" t="e">
        <f ca="1">gr(données_step[[#This Row],[E_DBO5]])</f>
        <v>#NAME?</v>
      </c>
      <c r="C288" s="523" t="e">
        <f ca="1">gr(données_step[[#This Row],[E_DCO]])</f>
        <v>#NAME?</v>
      </c>
      <c r="D288" s="523" t="e">
        <f ca="1">gr(données_step[[#This Row],[E_COT]])</f>
        <v>#NAME?</v>
      </c>
      <c r="E288" s="523" t="e">
        <f ca="1">gr(données_step[[#This Row],[E_NH4]])</f>
        <v>#NAME?</v>
      </c>
      <c r="F288" s="523" t="e">
        <f ca="1">gr(données_step[[#This Row],[E_NTOT]])</f>
        <v>#NAME?</v>
      </c>
      <c r="G288" s="523" t="e">
        <f ca="1">gr(données_step[[#This Row],[E_PTOT]])</f>
        <v>#NAME?</v>
      </c>
      <c r="H288" s="523" t="e">
        <f ca="1">gr(données_step[[#This Row],[S_DBO5]])</f>
        <v>#NAME?</v>
      </c>
      <c r="I288" s="523" t="e">
        <f ca="1">gr(données_step[[#This Row],[S_DCO]])</f>
        <v>#NAME?</v>
      </c>
      <c r="J288" s="523" t="e">
        <f ca="1">gr(données_step[[#This Row],[S_COD]])</f>
        <v>#NAME?</v>
      </c>
      <c r="K288" s="523" t="e">
        <f ca="1">gr(données_step[[#This Row],[S_NH4]])</f>
        <v>#NAME?</v>
      </c>
      <c r="L288" s="523" t="e">
        <f ca="1">gr(données_step[[#This Row],[S_NO2]])</f>
        <v>#NAME?</v>
      </c>
      <c r="M288" s="523" t="e">
        <f ca="1">gr(données_step[[#This Row],[S_NO3]])</f>
        <v>#NAME?</v>
      </c>
      <c r="N288" s="523" t="e">
        <f ca="1">gr(données_step[[#This Row],[S_PORTH]])</f>
        <v>#NAME?</v>
      </c>
      <c r="O288" s="523" t="e">
        <f ca="1">gr(données_step[[#This Row],[S_PTOT]])</f>
        <v>#NAME?</v>
      </c>
      <c r="P288" s="523" t="e">
        <f ca="1">gr(données_step[[#This Row],[S_MES]])</f>
        <v>#NAME?</v>
      </c>
      <c r="Q288" s="523" t="e">
        <v>#N/A</v>
      </c>
      <c r="R288" s="523" t="e">
        <v>#N/A</v>
      </c>
      <c r="S288" s="523" t="e">
        <v>#N/A</v>
      </c>
      <c r="T288" s="523" t="e">
        <v>#N/A</v>
      </c>
      <c r="U288" s="523" t="e">
        <v>#N/A</v>
      </c>
      <c r="V288" s="523" t="e">
        <v>#N/A</v>
      </c>
      <c r="W288" s="523" t="e">
        <v>#N/A</v>
      </c>
      <c r="X288" s="523" t="e">
        <v>#N/A</v>
      </c>
      <c r="Y288" s="523" t="e">
        <v>#N/A</v>
      </c>
      <c r="Z288" s="523"/>
      <c r="AA288" s="523"/>
    </row>
    <row r="289" spans="1:27" x14ac:dyDescent="0.2">
      <c r="A289" s="222">
        <f>calculs!A289</f>
        <v>44840</v>
      </c>
      <c r="B289" s="523" t="e">
        <f ca="1">gr(données_step[[#This Row],[E_DBO5]])</f>
        <v>#NAME?</v>
      </c>
      <c r="C289" s="523" t="e">
        <f ca="1">gr(données_step[[#This Row],[E_DCO]])</f>
        <v>#NAME?</v>
      </c>
      <c r="D289" s="523" t="e">
        <f ca="1">gr(données_step[[#This Row],[E_COT]])</f>
        <v>#NAME?</v>
      </c>
      <c r="E289" s="523" t="e">
        <f ca="1">gr(données_step[[#This Row],[E_NH4]])</f>
        <v>#NAME?</v>
      </c>
      <c r="F289" s="523" t="e">
        <f ca="1">gr(données_step[[#This Row],[E_NTOT]])</f>
        <v>#NAME?</v>
      </c>
      <c r="G289" s="523" t="e">
        <f ca="1">gr(données_step[[#This Row],[E_PTOT]])</f>
        <v>#NAME?</v>
      </c>
      <c r="H289" s="523" t="e">
        <f ca="1">gr(données_step[[#This Row],[S_DBO5]])</f>
        <v>#NAME?</v>
      </c>
      <c r="I289" s="523" t="e">
        <f ca="1">gr(données_step[[#This Row],[S_DCO]])</f>
        <v>#NAME?</v>
      </c>
      <c r="J289" s="523" t="e">
        <f ca="1">gr(données_step[[#This Row],[S_COD]])</f>
        <v>#NAME?</v>
      </c>
      <c r="K289" s="523" t="e">
        <f ca="1">gr(données_step[[#This Row],[S_NH4]])</f>
        <v>#NAME?</v>
      </c>
      <c r="L289" s="523" t="e">
        <f ca="1">gr(données_step[[#This Row],[S_NO2]])</f>
        <v>#NAME?</v>
      </c>
      <c r="M289" s="523" t="e">
        <f ca="1">gr(données_step[[#This Row],[S_NO3]])</f>
        <v>#NAME?</v>
      </c>
      <c r="N289" s="523" t="e">
        <f ca="1">gr(données_step[[#This Row],[S_PORTH]])</f>
        <v>#NAME?</v>
      </c>
      <c r="O289" s="523" t="e">
        <f ca="1">gr(données_step[[#This Row],[S_PTOT]])</f>
        <v>#NAME?</v>
      </c>
      <c r="P289" s="523" t="e">
        <f ca="1">gr(données_step[[#This Row],[S_MES]])</f>
        <v>#NAME?</v>
      </c>
      <c r="Q289" s="523" t="e">
        <v>#N/A</v>
      </c>
      <c r="R289" s="523" t="e">
        <v>#N/A</v>
      </c>
      <c r="S289" s="523" t="e">
        <v>#N/A</v>
      </c>
      <c r="T289" s="523" t="e">
        <v>#N/A</v>
      </c>
      <c r="U289" s="523" t="e">
        <v>#N/A</v>
      </c>
      <c r="V289" s="523" t="e">
        <v>#N/A</v>
      </c>
      <c r="W289" s="523" t="e">
        <v>#N/A</v>
      </c>
      <c r="X289" s="523" t="e">
        <v>#N/A</v>
      </c>
      <c r="Y289" s="523" t="e">
        <v>#N/A</v>
      </c>
      <c r="Z289" s="523"/>
      <c r="AA289" s="523"/>
    </row>
    <row r="290" spans="1:27" x14ac:dyDescent="0.2">
      <c r="A290" s="222">
        <f>calculs!A290</f>
        <v>44841</v>
      </c>
      <c r="B290" s="523" t="e">
        <f ca="1">gr(données_step[[#This Row],[E_DBO5]])</f>
        <v>#NAME?</v>
      </c>
      <c r="C290" s="523" t="e">
        <f ca="1">gr(données_step[[#This Row],[E_DCO]])</f>
        <v>#NAME?</v>
      </c>
      <c r="D290" s="523" t="e">
        <f ca="1">gr(données_step[[#This Row],[E_COT]])</f>
        <v>#NAME?</v>
      </c>
      <c r="E290" s="523" t="e">
        <f ca="1">gr(données_step[[#This Row],[E_NH4]])</f>
        <v>#NAME?</v>
      </c>
      <c r="F290" s="523" t="e">
        <f ca="1">gr(données_step[[#This Row],[E_NTOT]])</f>
        <v>#NAME?</v>
      </c>
      <c r="G290" s="523" t="e">
        <f ca="1">gr(données_step[[#This Row],[E_PTOT]])</f>
        <v>#NAME?</v>
      </c>
      <c r="H290" s="523" t="e">
        <f ca="1">gr(données_step[[#This Row],[S_DBO5]])</f>
        <v>#NAME?</v>
      </c>
      <c r="I290" s="523" t="e">
        <f ca="1">gr(données_step[[#This Row],[S_DCO]])</f>
        <v>#NAME?</v>
      </c>
      <c r="J290" s="523" t="e">
        <f ca="1">gr(données_step[[#This Row],[S_COD]])</f>
        <v>#NAME?</v>
      </c>
      <c r="K290" s="523" t="e">
        <f ca="1">gr(données_step[[#This Row],[S_NH4]])</f>
        <v>#NAME?</v>
      </c>
      <c r="L290" s="523" t="e">
        <f ca="1">gr(données_step[[#This Row],[S_NO2]])</f>
        <v>#NAME?</v>
      </c>
      <c r="M290" s="523" t="e">
        <f ca="1">gr(données_step[[#This Row],[S_NO3]])</f>
        <v>#NAME?</v>
      </c>
      <c r="N290" s="523" t="e">
        <f ca="1">gr(données_step[[#This Row],[S_PORTH]])</f>
        <v>#NAME?</v>
      </c>
      <c r="O290" s="523" t="e">
        <f ca="1">gr(données_step[[#This Row],[S_PTOT]])</f>
        <v>#NAME?</v>
      </c>
      <c r="P290" s="523" t="e">
        <f ca="1">gr(données_step[[#This Row],[S_MES]])</f>
        <v>#NAME?</v>
      </c>
      <c r="Q290" s="523" t="e">
        <v>#N/A</v>
      </c>
      <c r="R290" s="523" t="e">
        <v>#N/A</v>
      </c>
      <c r="S290" s="523" t="e">
        <v>#N/A</v>
      </c>
      <c r="T290" s="523" t="e">
        <v>#N/A</v>
      </c>
      <c r="U290" s="523" t="e">
        <v>#N/A</v>
      </c>
      <c r="V290" s="523" t="e">
        <v>#N/A</v>
      </c>
      <c r="W290" s="523" t="e">
        <v>#N/A</v>
      </c>
      <c r="X290" s="523" t="e">
        <v>#N/A</v>
      </c>
      <c r="Y290" s="523" t="e">
        <v>#N/A</v>
      </c>
      <c r="Z290" s="523"/>
      <c r="AA290" s="523"/>
    </row>
    <row r="291" spans="1:27" x14ac:dyDescent="0.2">
      <c r="A291" s="222">
        <f>calculs!A291</f>
        <v>44842</v>
      </c>
      <c r="B291" s="523" t="e">
        <f ca="1">gr(données_step[[#This Row],[E_DBO5]])</f>
        <v>#NAME?</v>
      </c>
      <c r="C291" s="523" t="e">
        <f ca="1">gr(données_step[[#This Row],[E_DCO]])</f>
        <v>#NAME?</v>
      </c>
      <c r="D291" s="523" t="e">
        <f ca="1">gr(données_step[[#This Row],[E_COT]])</f>
        <v>#NAME?</v>
      </c>
      <c r="E291" s="523" t="e">
        <f ca="1">gr(données_step[[#This Row],[E_NH4]])</f>
        <v>#NAME?</v>
      </c>
      <c r="F291" s="523" t="e">
        <f ca="1">gr(données_step[[#This Row],[E_NTOT]])</f>
        <v>#NAME?</v>
      </c>
      <c r="G291" s="523" t="e">
        <f ca="1">gr(données_step[[#This Row],[E_PTOT]])</f>
        <v>#NAME?</v>
      </c>
      <c r="H291" s="523" t="e">
        <f ca="1">gr(données_step[[#This Row],[S_DBO5]])</f>
        <v>#NAME?</v>
      </c>
      <c r="I291" s="523" t="e">
        <f ca="1">gr(données_step[[#This Row],[S_DCO]])</f>
        <v>#NAME?</v>
      </c>
      <c r="J291" s="523" t="e">
        <f ca="1">gr(données_step[[#This Row],[S_COD]])</f>
        <v>#NAME?</v>
      </c>
      <c r="K291" s="523" t="e">
        <f ca="1">gr(données_step[[#This Row],[S_NH4]])</f>
        <v>#NAME?</v>
      </c>
      <c r="L291" s="523" t="e">
        <f ca="1">gr(données_step[[#This Row],[S_NO2]])</f>
        <v>#NAME?</v>
      </c>
      <c r="M291" s="523" t="e">
        <f ca="1">gr(données_step[[#This Row],[S_NO3]])</f>
        <v>#NAME?</v>
      </c>
      <c r="N291" s="523" t="e">
        <f ca="1">gr(données_step[[#This Row],[S_PORTH]])</f>
        <v>#NAME?</v>
      </c>
      <c r="O291" s="523" t="e">
        <f ca="1">gr(données_step[[#This Row],[S_PTOT]])</f>
        <v>#NAME?</v>
      </c>
      <c r="P291" s="523" t="e">
        <f ca="1">gr(données_step[[#This Row],[S_MES]])</f>
        <v>#NAME?</v>
      </c>
      <c r="Q291" s="523" t="e">
        <v>#N/A</v>
      </c>
      <c r="R291" s="523" t="e">
        <v>#N/A</v>
      </c>
      <c r="S291" s="523" t="e">
        <v>#N/A</v>
      </c>
      <c r="T291" s="523" t="e">
        <v>#N/A</v>
      </c>
      <c r="U291" s="523" t="e">
        <v>#N/A</v>
      </c>
      <c r="V291" s="523" t="e">
        <v>#N/A</v>
      </c>
      <c r="W291" s="523" t="e">
        <v>#N/A</v>
      </c>
      <c r="X291" s="523" t="e">
        <v>#N/A</v>
      </c>
      <c r="Y291" s="523" t="e">
        <v>#N/A</v>
      </c>
      <c r="Z291" s="523"/>
      <c r="AA291" s="523"/>
    </row>
    <row r="292" spans="1:27" x14ac:dyDescent="0.2">
      <c r="A292" s="222">
        <f>calculs!A292</f>
        <v>44843</v>
      </c>
      <c r="B292" s="523" t="e">
        <f ca="1">gr(données_step[[#This Row],[E_DBO5]])</f>
        <v>#NAME?</v>
      </c>
      <c r="C292" s="523" t="e">
        <f ca="1">gr(données_step[[#This Row],[E_DCO]])</f>
        <v>#NAME?</v>
      </c>
      <c r="D292" s="523" t="e">
        <f ca="1">gr(données_step[[#This Row],[E_COT]])</f>
        <v>#NAME?</v>
      </c>
      <c r="E292" s="523" t="e">
        <f ca="1">gr(données_step[[#This Row],[E_NH4]])</f>
        <v>#NAME?</v>
      </c>
      <c r="F292" s="523" t="e">
        <f ca="1">gr(données_step[[#This Row],[E_NTOT]])</f>
        <v>#NAME?</v>
      </c>
      <c r="G292" s="523" t="e">
        <f ca="1">gr(données_step[[#This Row],[E_PTOT]])</f>
        <v>#NAME?</v>
      </c>
      <c r="H292" s="523" t="e">
        <f ca="1">gr(données_step[[#This Row],[S_DBO5]])</f>
        <v>#NAME?</v>
      </c>
      <c r="I292" s="523" t="e">
        <f ca="1">gr(données_step[[#This Row],[S_DCO]])</f>
        <v>#NAME?</v>
      </c>
      <c r="J292" s="523" t="e">
        <f ca="1">gr(données_step[[#This Row],[S_COD]])</f>
        <v>#NAME?</v>
      </c>
      <c r="K292" s="523" t="e">
        <f ca="1">gr(données_step[[#This Row],[S_NH4]])</f>
        <v>#NAME?</v>
      </c>
      <c r="L292" s="523" t="e">
        <f ca="1">gr(données_step[[#This Row],[S_NO2]])</f>
        <v>#NAME?</v>
      </c>
      <c r="M292" s="523" t="e">
        <f ca="1">gr(données_step[[#This Row],[S_NO3]])</f>
        <v>#NAME?</v>
      </c>
      <c r="N292" s="523" t="e">
        <f ca="1">gr(données_step[[#This Row],[S_PORTH]])</f>
        <v>#NAME?</v>
      </c>
      <c r="O292" s="523" t="e">
        <f ca="1">gr(données_step[[#This Row],[S_PTOT]])</f>
        <v>#NAME?</v>
      </c>
      <c r="P292" s="523" t="e">
        <f ca="1">gr(données_step[[#This Row],[S_MES]])</f>
        <v>#NAME?</v>
      </c>
      <c r="Q292" s="523" t="e">
        <v>#N/A</v>
      </c>
      <c r="R292" s="523" t="e">
        <v>#N/A</v>
      </c>
      <c r="S292" s="523" t="e">
        <v>#N/A</v>
      </c>
      <c r="T292" s="523" t="e">
        <v>#N/A</v>
      </c>
      <c r="U292" s="523" t="e">
        <v>#N/A</v>
      </c>
      <c r="V292" s="523" t="e">
        <v>#N/A</v>
      </c>
      <c r="W292" s="523" t="e">
        <v>#N/A</v>
      </c>
      <c r="X292" s="523" t="e">
        <v>#N/A</v>
      </c>
      <c r="Y292" s="523" t="e">
        <v>#N/A</v>
      </c>
      <c r="Z292" s="523"/>
      <c r="AA292" s="523"/>
    </row>
    <row r="293" spans="1:27" x14ac:dyDescent="0.2">
      <c r="A293" s="222">
        <f>calculs!A293</f>
        <v>44844</v>
      </c>
      <c r="B293" s="523" t="e">
        <f ca="1">gr(données_step[[#This Row],[E_DBO5]])</f>
        <v>#NAME?</v>
      </c>
      <c r="C293" s="523" t="e">
        <f ca="1">gr(données_step[[#This Row],[E_DCO]])</f>
        <v>#NAME?</v>
      </c>
      <c r="D293" s="523" t="e">
        <f ca="1">gr(données_step[[#This Row],[E_COT]])</f>
        <v>#NAME?</v>
      </c>
      <c r="E293" s="523" t="e">
        <f ca="1">gr(données_step[[#This Row],[E_NH4]])</f>
        <v>#NAME?</v>
      </c>
      <c r="F293" s="523" t="e">
        <f ca="1">gr(données_step[[#This Row],[E_NTOT]])</f>
        <v>#NAME?</v>
      </c>
      <c r="G293" s="523" t="e">
        <f ca="1">gr(données_step[[#This Row],[E_PTOT]])</f>
        <v>#NAME?</v>
      </c>
      <c r="H293" s="523" t="e">
        <f ca="1">gr(données_step[[#This Row],[S_DBO5]])</f>
        <v>#NAME?</v>
      </c>
      <c r="I293" s="523" t="e">
        <f ca="1">gr(données_step[[#This Row],[S_DCO]])</f>
        <v>#NAME?</v>
      </c>
      <c r="J293" s="523" t="e">
        <f ca="1">gr(données_step[[#This Row],[S_COD]])</f>
        <v>#NAME?</v>
      </c>
      <c r="K293" s="523" t="e">
        <f ca="1">gr(données_step[[#This Row],[S_NH4]])</f>
        <v>#NAME?</v>
      </c>
      <c r="L293" s="523" t="e">
        <f ca="1">gr(données_step[[#This Row],[S_NO2]])</f>
        <v>#NAME?</v>
      </c>
      <c r="M293" s="523" t="e">
        <f ca="1">gr(données_step[[#This Row],[S_NO3]])</f>
        <v>#NAME?</v>
      </c>
      <c r="N293" s="523" t="e">
        <f ca="1">gr(données_step[[#This Row],[S_PORTH]])</f>
        <v>#NAME?</v>
      </c>
      <c r="O293" s="523" t="e">
        <f ca="1">gr(données_step[[#This Row],[S_PTOT]])</f>
        <v>#NAME?</v>
      </c>
      <c r="P293" s="523" t="e">
        <f ca="1">gr(données_step[[#This Row],[S_MES]])</f>
        <v>#NAME?</v>
      </c>
      <c r="Q293" s="523" t="e">
        <v>#N/A</v>
      </c>
      <c r="R293" s="523" t="e">
        <v>#N/A</v>
      </c>
      <c r="S293" s="523" t="e">
        <v>#N/A</v>
      </c>
      <c r="T293" s="523" t="e">
        <v>#N/A</v>
      </c>
      <c r="U293" s="523" t="e">
        <v>#N/A</v>
      </c>
      <c r="V293" s="523" t="e">
        <v>#N/A</v>
      </c>
      <c r="W293" s="523" t="e">
        <v>#N/A</v>
      </c>
      <c r="X293" s="523" t="e">
        <v>#N/A</v>
      </c>
      <c r="Y293" s="523" t="e">
        <v>#N/A</v>
      </c>
      <c r="Z293" s="523"/>
      <c r="AA293" s="523"/>
    </row>
    <row r="294" spans="1:27" x14ac:dyDescent="0.2">
      <c r="A294" s="222">
        <f>calculs!A294</f>
        <v>44845</v>
      </c>
      <c r="B294" s="523" t="e">
        <f ca="1">gr(données_step[[#This Row],[E_DBO5]])</f>
        <v>#NAME?</v>
      </c>
      <c r="C294" s="523" t="e">
        <f ca="1">gr(données_step[[#This Row],[E_DCO]])</f>
        <v>#NAME?</v>
      </c>
      <c r="D294" s="523" t="e">
        <f ca="1">gr(données_step[[#This Row],[E_COT]])</f>
        <v>#NAME?</v>
      </c>
      <c r="E294" s="523" t="e">
        <f ca="1">gr(données_step[[#This Row],[E_NH4]])</f>
        <v>#NAME?</v>
      </c>
      <c r="F294" s="523" t="e">
        <f ca="1">gr(données_step[[#This Row],[E_NTOT]])</f>
        <v>#NAME?</v>
      </c>
      <c r="G294" s="523" t="e">
        <f ca="1">gr(données_step[[#This Row],[E_PTOT]])</f>
        <v>#NAME?</v>
      </c>
      <c r="H294" s="523" t="e">
        <f ca="1">gr(données_step[[#This Row],[S_DBO5]])</f>
        <v>#NAME?</v>
      </c>
      <c r="I294" s="523" t="e">
        <f ca="1">gr(données_step[[#This Row],[S_DCO]])</f>
        <v>#NAME?</v>
      </c>
      <c r="J294" s="523" t="e">
        <f ca="1">gr(données_step[[#This Row],[S_COD]])</f>
        <v>#NAME?</v>
      </c>
      <c r="K294" s="523" t="e">
        <f ca="1">gr(données_step[[#This Row],[S_NH4]])</f>
        <v>#NAME?</v>
      </c>
      <c r="L294" s="523" t="e">
        <f ca="1">gr(données_step[[#This Row],[S_NO2]])</f>
        <v>#NAME?</v>
      </c>
      <c r="M294" s="523" t="e">
        <f ca="1">gr(données_step[[#This Row],[S_NO3]])</f>
        <v>#NAME?</v>
      </c>
      <c r="N294" s="523" t="e">
        <f ca="1">gr(données_step[[#This Row],[S_PORTH]])</f>
        <v>#NAME?</v>
      </c>
      <c r="O294" s="523" t="e">
        <f ca="1">gr(données_step[[#This Row],[S_PTOT]])</f>
        <v>#NAME?</v>
      </c>
      <c r="P294" s="523" t="e">
        <f ca="1">gr(données_step[[#This Row],[S_MES]])</f>
        <v>#NAME?</v>
      </c>
      <c r="Q294" s="523" t="e">
        <v>#N/A</v>
      </c>
      <c r="R294" s="523" t="e">
        <v>#N/A</v>
      </c>
      <c r="S294" s="523" t="e">
        <v>#N/A</v>
      </c>
      <c r="T294" s="523" t="e">
        <v>#N/A</v>
      </c>
      <c r="U294" s="523" t="e">
        <v>#N/A</v>
      </c>
      <c r="V294" s="523" t="e">
        <v>#N/A</v>
      </c>
      <c r="W294" s="523" t="e">
        <v>#N/A</v>
      </c>
      <c r="X294" s="523" t="e">
        <v>#N/A</v>
      </c>
      <c r="Y294" s="523" t="e">
        <v>#N/A</v>
      </c>
      <c r="Z294" s="523"/>
      <c r="AA294" s="523"/>
    </row>
    <row r="295" spans="1:27" x14ac:dyDescent="0.2">
      <c r="A295" s="222">
        <f>calculs!A295</f>
        <v>44846</v>
      </c>
      <c r="B295" s="523" t="e">
        <f ca="1">gr(données_step[[#This Row],[E_DBO5]])</f>
        <v>#NAME?</v>
      </c>
      <c r="C295" s="523" t="e">
        <f ca="1">gr(données_step[[#This Row],[E_DCO]])</f>
        <v>#NAME?</v>
      </c>
      <c r="D295" s="523" t="e">
        <f ca="1">gr(données_step[[#This Row],[E_COT]])</f>
        <v>#NAME?</v>
      </c>
      <c r="E295" s="523" t="e">
        <f ca="1">gr(données_step[[#This Row],[E_NH4]])</f>
        <v>#NAME?</v>
      </c>
      <c r="F295" s="523" t="e">
        <f ca="1">gr(données_step[[#This Row],[E_NTOT]])</f>
        <v>#NAME?</v>
      </c>
      <c r="G295" s="523" t="e">
        <f ca="1">gr(données_step[[#This Row],[E_PTOT]])</f>
        <v>#NAME?</v>
      </c>
      <c r="H295" s="523" t="e">
        <f ca="1">gr(données_step[[#This Row],[S_DBO5]])</f>
        <v>#NAME?</v>
      </c>
      <c r="I295" s="523" t="e">
        <f ca="1">gr(données_step[[#This Row],[S_DCO]])</f>
        <v>#NAME?</v>
      </c>
      <c r="J295" s="523" t="e">
        <f ca="1">gr(données_step[[#This Row],[S_COD]])</f>
        <v>#NAME?</v>
      </c>
      <c r="K295" s="523" t="e">
        <f ca="1">gr(données_step[[#This Row],[S_NH4]])</f>
        <v>#NAME?</v>
      </c>
      <c r="L295" s="523" t="e">
        <f ca="1">gr(données_step[[#This Row],[S_NO2]])</f>
        <v>#NAME?</v>
      </c>
      <c r="M295" s="523" t="e">
        <f ca="1">gr(données_step[[#This Row],[S_NO3]])</f>
        <v>#NAME?</v>
      </c>
      <c r="N295" s="523" t="e">
        <f ca="1">gr(données_step[[#This Row],[S_PORTH]])</f>
        <v>#NAME?</v>
      </c>
      <c r="O295" s="523" t="e">
        <f ca="1">gr(données_step[[#This Row],[S_PTOT]])</f>
        <v>#NAME?</v>
      </c>
      <c r="P295" s="523" t="e">
        <f ca="1">gr(données_step[[#This Row],[S_MES]])</f>
        <v>#NAME?</v>
      </c>
      <c r="Q295" s="523" t="e">
        <v>#N/A</v>
      </c>
      <c r="R295" s="523" t="e">
        <v>#N/A</v>
      </c>
      <c r="S295" s="523" t="e">
        <v>#N/A</v>
      </c>
      <c r="T295" s="523" t="e">
        <v>#N/A</v>
      </c>
      <c r="U295" s="523" t="e">
        <v>#N/A</v>
      </c>
      <c r="V295" s="523" t="e">
        <v>#N/A</v>
      </c>
      <c r="W295" s="523" t="e">
        <v>#N/A</v>
      </c>
      <c r="X295" s="523" t="e">
        <v>#N/A</v>
      </c>
      <c r="Y295" s="523" t="e">
        <v>#N/A</v>
      </c>
      <c r="Z295" s="523"/>
      <c r="AA295" s="523"/>
    </row>
    <row r="296" spans="1:27" x14ac:dyDescent="0.2">
      <c r="A296" s="222">
        <f>calculs!A296</f>
        <v>44847</v>
      </c>
      <c r="B296" s="523" t="e">
        <f ca="1">gr(données_step[[#This Row],[E_DBO5]])</f>
        <v>#NAME?</v>
      </c>
      <c r="C296" s="523" t="e">
        <f ca="1">gr(données_step[[#This Row],[E_DCO]])</f>
        <v>#NAME?</v>
      </c>
      <c r="D296" s="523" t="e">
        <f ca="1">gr(données_step[[#This Row],[E_COT]])</f>
        <v>#NAME?</v>
      </c>
      <c r="E296" s="523" t="e">
        <f ca="1">gr(données_step[[#This Row],[E_NH4]])</f>
        <v>#NAME?</v>
      </c>
      <c r="F296" s="523" t="e">
        <f ca="1">gr(données_step[[#This Row],[E_NTOT]])</f>
        <v>#NAME?</v>
      </c>
      <c r="G296" s="523" t="e">
        <f ca="1">gr(données_step[[#This Row],[E_PTOT]])</f>
        <v>#NAME?</v>
      </c>
      <c r="H296" s="523" t="e">
        <f ca="1">gr(données_step[[#This Row],[S_DBO5]])</f>
        <v>#NAME?</v>
      </c>
      <c r="I296" s="523" t="e">
        <f ca="1">gr(données_step[[#This Row],[S_DCO]])</f>
        <v>#NAME?</v>
      </c>
      <c r="J296" s="523" t="e">
        <f ca="1">gr(données_step[[#This Row],[S_COD]])</f>
        <v>#NAME?</v>
      </c>
      <c r="K296" s="523" t="e">
        <f ca="1">gr(données_step[[#This Row],[S_NH4]])</f>
        <v>#NAME?</v>
      </c>
      <c r="L296" s="523" t="e">
        <f ca="1">gr(données_step[[#This Row],[S_NO2]])</f>
        <v>#NAME?</v>
      </c>
      <c r="M296" s="523" t="e">
        <f ca="1">gr(données_step[[#This Row],[S_NO3]])</f>
        <v>#NAME?</v>
      </c>
      <c r="N296" s="523" t="e">
        <f ca="1">gr(données_step[[#This Row],[S_PORTH]])</f>
        <v>#NAME?</v>
      </c>
      <c r="O296" s="523" t="e">
        <f ca="1">gr(données_step[[#This Row],[S_PTOT]])</f>
        <v>#NAME?</v>
      </c>
      <c r="P296" s="523" t="e">
        <f ca="1">gr(données_step[[#This Row],[S_MES]])</f>
        <v>#NAME?</v>
      </c>
      <c r="Q296" s="523" t="e">
        <v>#N/A</v>
      </c>
      <c r="R296" s="523" t="e">
        <v>#N/A</v>
      </c>
      <c r="S296" s="523" t="e">
        <v>#N/A</v>
      </c>
      <c r="T296" s="523" t="e">
        <v>#N/A</v>
      </c>
      <c r="U296" s="523" t="e">
        <v>#N/A</v>
      </c>
      <c r="V296" s="523" t="e">
        <v>#N/A</v>
      </c>
      <c r="W296" s="523" t="e">
        <v>#N/A</v>
      </c>
      <c r="X296" s="523" t="e">
        <v>#N/A</v>
      </c>
      <c r="Y296" s="523" t="e">
        <v>#N/A</v>
      </c>
      <c r="Z296" s="523"/>
      <c r="AA296" s="523"/>
    </row>
    <row r="297" spans="1:27" x14ac:dyDescent="0.2">
      <c r="A297" s="222">
        <f>calculs!A297</f>
        <v>44848</v>
      </c>
      <c r="B297" s="523" t="e">
        <f ca="1">gr(données_step[[#This Row],[E_DBO5]])</f>
        <v>#NAME?</v>
      </c>
      <c r="C297" s="523" t="e">
        <f ca="1">gr(données_step[[#This Row],[E_DCO]])</f>
        <v>#NAME?</v>
      </c>
      <c r="D297" s="523" t="e">
        <f ca="1">gr(données_step[[#This Row],[E_COT]])</f>
        <v>#NAME?</v>
      </c>
      <c r="E297" s="523" t="e">
        <f ca="1">gr(données_step[[#This Row],[E_NH4]])</f>
        <v>#NAME?</v>
      </c>
      <c r="F297" s="523" t="e">
        <f ca="1">gr(données_step[[#This Row],[E_NTOT]])</f>
        <v>#NAME?</v>
      </c>
      <c r="G297" s="523" t="e">
        <f ca="1">gr(données_step[[#This Row],[E_PTOT]])</f>
        <v>#NAME?</v>
      </c>
      <c r="H297" s="523" t="e">
        <f ca="1">gr(données_step[[#This Row],[S_DBO5]])</f>
        <v>#NAME?</v>
      </c>
      <c r="I297" s="523" t="e">
        <f ca="1">gr(données_step[[#This Row],[S_DCO]])</f>
        <v>#NAME?</v>
      </c>
      <c r="J297" s="523" t="e">
        <f ca="1">gr(données_step[[#This Row],[S_COD]])</f>
        <v>#NAME?</v>
      </c>
      <c r="K297" s="523" t="e">
        <f ca="1">gr(données_step[[#This Row],[S_NH4]])</f>
        <v>#NAME?</v>
      </c>
      <c r="L297" s="523" t="e">
        <f ca="1">gr(données_step[[#This Row],[S_NO2]])</f>
        <v>#NAME?</v>
      </c>
      <c r="M297" s="523" t="e">
        <f ca="1">gr(données_step[[#This Row],[S_NO3]])</f>
        <v>#NAME?</v>
      </c>
      <c r="N297" s="523" t="e">
        <f ca="1">gr(données_step[[#This Row],[S_PORTH]])</f>
        <v>#NAME?</v>
      </c>
      <c r="O297" s="523" t="e">
        <f ca="1">gr(données_step[[#This Row],[S_PTOT]])</f>
        <v>#NAME?</v>
      </c>
      <c r="P297" s="523" t="e">
        <f ca="1">gr(données_step[[#This Row],[S_MES]])</f>
        <v>#NAME?</v>
      </c>
      <c r="Q297" s="523" t="e">
        <v>#N/A</v>
      </c>
      <c r="R297" s="523" t="e">
        <v>#N/A</v>
      </c>
      <c r="S297" s="523" t="e">
        <v>#N/A</v>
      </c>
      <c r="T297" s="523" t="e">
        <v>#N/A</v>
      </c>
      <c r="U297" s="523" t="e">
        <v>#N/A</v>
      </c>
      <c r="V297" s="523" t="e">
        <v>#N/A</v>
      </c>
      <c r="W297" s="523" t="e">
        <v>#N/A</v>
      </c>
      <c r="X297" s="523" t="e">
        <v>#N/A</v>
      </c>
      <c r="Y297" s="523" t="e">
        <v>#N/A</v>
      </c>
      <c r="Z297" s="523"/>
      <c r="AA297" s="523"/>
    </row>
    <row r="298" spans="1:27" x14ac:dyDescent="0.2">
      <c r="A298" s="222">
        <f>calculs!A298</f>
        <v>44849</v>
      </c>
      <c r="B298" s="523" t="e">
        <f ca="1">gr(données_step[[#This Row],[E_DBO5]])</f>
        <v>#NAME?</v>
      </c>
      <c r="C298" s="523" t="e">
        <f ca="1">gr(données_step[[#This Row],[E_DCO]])</f>
        <v>#NAME?</v>
      </c>
      <c r="D298" s="523" t="e">
        <f ca="1">gr(données_step[[#This Row],[E_COT]])</f>
        <v>#NAME?</v>
      </c>
      <c r="E298" s="523" t="e">
        <f ca="1">gr(données_step[[#This Row],[E_NH4]])</f>
        <v>#NAME?</v>
      </c>
      <c r="F298" s="523" t="e">
        <f ca="1">gr(données_step[[#This Row],[E_NTOT]])</f>
        <v>#NAME?</v>
      </c>
      <c r="G298" s="523" t="e">
        <f ca="1">gr(données_step[[#This Row],[E_PTOT]])</f>
        <v>#NAME?</v>
      </c>
      <c r="H298" s="523" t="e">
        <f ca="1">gr(données_step[[#This Row],[S_DBO5]])</f>
        <v>#NAME?</v>
      </c>
      <c r="I298" s="523" t="e">
        <f ca="1">gr(données_step[[#This Row],[S_DCO]])</f>
        <v>#NAME?</v>
      </c>
      <c r="J298" s="523" t="e">
        <f ca="1">gr(données_step[[#This Row],[S_COD]])</f>
        <v>#NAME?</v>
      </c>
      <c r="K298" s="523" t="e">
        <f ca="1">gr(données_step[[#This Row],[S_NH4]])</f>
        <v>#NAME?</v>
      </c>
      <c r="L298" s="523" t="e">
        <f ca="1">gr(données_step[[#This Row],[S_NO2]])</f>
        <v>#NAME?</v>
      </c>
      <c r="M298" s="523" t="e">
        <f ca="1">gr(données_step[[#This Row],[S_NO3]])</f>
        <v>#NAME?</v>
      </c>
      <c r="N298" s="523" t="e">
        <f ca="1">gr(données_step[[#This Row],[S_PORTH]])</f>
        <v>#NAME?</v>
      </c>
      <c r="O298" s="523" t="e">
        <f ca="1">gr(données_step[[#This Row],[S_PTOT]])</f>
        <v>#NAME?</v>
      </c>
      <c r="P298" s="523" t="e">
        <f ca="1">gr(données_step[[#This Row],[S_MES]])</f>
        <v>#NAME?</v>
      </c>
      <c r="Q298" s="523" t="e">
        <v>#N/A</v>
      </c>
      <c r="R298" s="523" t="e">
        <v>#N/A</v>
      </c>
      <c r="S298" s="523" t="e">
        <v>#N/A</v>
      </c>
      <c r="T298" s="523" t="e">
        <v>#N/A</v>
      </c>
      <c r="U298" s="523" t="e">
        <v>#N/A</v>
      </c>
      <c r="V298" s="523" t="e">
        <v>#N/A</v>
      </c>
      <c r="W298" s="523" t="e">
        <v>#N/A</v>
      </c>
      <c r="X298" s="523" t="e">
        <v>#N/A</v>
      </c>
      <c r="Y298" s="523" t="e">
        <v>#N/A</v>
      </c>
      <c r="Z298" s="523"/>
      <c r="AA298" s="523"/>
    </row>
    <row r="299" spans="1:27" x14ac:dyDescent="0.2">
      <c r="A299" s="222">
        <f>calculs!A299</f>
        <v>44850</v>
      </c>
      <c r="B299" s="523" t="e">
        <f ca="1">gr(données_step[[#This Row],[E_DBO5]])</f>
        <v>#NAME?</v>
      </c>
      <c r="C299" s="523" t="e">
        <f ca="1">gr(données_step[[#This Row],[E_DCO]])</f>
        <v>#NAME?</v>
      </c>
      <c r="D299" s="523" t="e">
        <f ca="1">gr(données_step[[#This Row],[E_COT]])</f>
        <v>#NAME?</v>
      </c>
      <c r="E299" s="523" t="e">
        <f ca="1">gr(données_step[[#This Row],[E_NH4]])</f>
        <v>#NAME?</v>
      </c>
      <c r="F299" s="523" t="e">
        <f ca="1">gr(données_step[[#This Row],[E_NTOT]])</f>
        <v>#NAME?</v>
      </c>
      <c r="G299" s="523" t="e">
        <f ca="1">gr(données_step[[#This Row],[E_PTOT]])</f>
        <v>#NAME?</v>
      </c>
      <c r="H299" s="523" t="e">
        <f ca="1">gr(données_step[[#This Row],[S_DBO5]])</f>
        <v>#NAME?</v>
      </c>
      <c r="I299" s="523" t="e">
        <f ca="1">gr(données_step[[#This Row],[S_DCO]])</f>
        <v>#NAME?</v>
      </c>
      <c r="J299" s="523" t="e">
        <f ca="1">gr(données_step[[#This Row],[S_COD]])</f>
        <v>#NAME?</v>
      </c>
      <c r="K299" s="523" t="e">
        <f ca="1">gr(données_step[[#This Row],[S_NH4]])</f>
        <v>#NAME?</v>
      </c>
      <c r="L299" s="523" t="e">
        <f ca="1">gr(données_step[[#This Row],[S_NO2]])</f>
        <v>#NAME?</v>
      </c>
      <c r="M299" s="523" t="e">
        <f ca="1">gr(données_step[[#This Row],[S_NO3]])</f>
        <v>#NAME?</v>
      </c>
      <c r="N299" s="523" t="e">
        <f ca="1">gr(données_step[[#This Row],[S_PORTH]])</f>
        <v>#NAME?</v>
      </c>
      <c r="O299" s="523" t="e">
        <f ca="1">gr(données_step[[#This Row],[S_PTOT]])</f>
        <v>#NAME?</v>
      </c>
      <c r="P299" s="523" t="e">
        <f ca="1">gr(données_step[[#This Row],[S_MES]])</f>
        <v>#NAME?</v>
      </c>
      <c r="Q299" s="523" t="e">
        <v>#N/A</v>
      </c>
      <c r="R299" s="523" t="e">
        <v>#N/A</v>
      </c>
      <c r="S299" s="523" t="e">
        <v>#N/A</v>
      </c>
      <c r="T299" s="523" t="e">
        <v>#N/A</v>
      </c>
      <c r="U299" s="523" t="e">
        <v>#N/A</v>
      </c>
      <c r="V299" s="523" t="e">
        <v>#N/A</v>
      </c>
      <c r="W299" s="523" t="e">
        <v>#N/A</v>
      </c>
      <c r="X299" s="523" t="e">
        <v>#N/A</v>
      </c>
      <c r="Y299" s="523" t="e">
        <v>#N/A</v>
      </c>
      <c r="Z299" s="523"/>
      <c r="AA299" s="523"/>
    </row>
    <row r="300" spans="1:27" x14ac:dyDescent="0.2">
      <c r="A300" s="222">
        <f>calculs!A300</f>
        <v>44851</v>
      </c>
      <c r="B300" s="523" t="e">
        <f ca="1">gr(données_step[[#This Row],[E_DBO5]])</f>
        <v>#NAME?</v>
      </c>
      <c r="C300" s="523" t="e">
        <f ca="1">gr(données_step[[#This Row],[E_DCO]])</f>
        <v>#NAME?</v>
      </c>
      <c r="D300" s="523" t="e">
        <f ca="1">gr(données_step[[#This Row],[E_COT]])</f>
        <v>#NAME?</v>
      </c>
      <c r="E300" s="523" t="e">
        <f ca="1">gr(données_step[[#This Row],[E_NH4]])</f>
        <v>#NAME?</v>
      </c>
      <c r="F300" s="523" t="e">
        <f ca="1">gr(données_step[[#This Row],[E_NTOT]])</f>
        <v>#NAME?</v>
      </c>
      <c r="G300" s="523" t="e">
        <f ca="1">gr(données_step[[#This Row],[E_PTOT]])</f>
        <v>#NAME?</v>
      </c>
      <c r="H300" s="523" t="e">
        <f ca="1">gr(données_step[[#This Row],[S_DBO5]])</f>
        <v>#NAME?</v>
      </c>
      <c r="I300" s="523" t="e">
        <f ca="1">gr(données_step[[#This Row],[S_DCO]])</f>
        <v>#NAME?</v>
      </c>
      <c r="J300" s="523" t="e">
        <f ca="1">gr(données_step[[#This Row],[S_COD]])</f>
        <v>#NAME?</v>
      </c>
      <c r="K300" s="523" t="e">
        <f ca="1">gr(données_step[[#This Row],[S_NH4]])</f>
        <v>#NAME?</v>
      </c>
      <c r="L300" s="523" t="e">
        <f ca="1">gr(données_step[[#This Row],[S_NO2]])</f>
        <v>#NAME?</v>
      </c>
      <c r="M300" s="523" t="e">
        <f ca="1">gr(données_step[[#This Row],[S_NO3]])</f>
        <v>#NAME?</v>
      </c>
      <c r="N300" s="523" t="e">
        <f ca="1">gr(données_step[[#This Row],[S_PORTH]])</f>
        <v>#NAME?</v>
      </c>
      <c r="O300" s="523" t="e">
        <f ca="1">gr(données_step[[#This Row],[S_PTOT]])</f>
        <v>#NAME?</v>
      </c>
      <c r="P300" s="523" t="e">
        <f ca="1">gr(données_step[[#This Row],[S_MES]])</f>
        <v>#NAME?</v>
      </c>
      <c r="Q300" s="523" t="e">
        <v>#N/A</v>
      </c>
      <c r="R300" s="523" t="e">
        <v>#N/A</v>
      </c>
      <c r="S300" s="523" t="e">
        <v>#N/A</v>
      </c>
      <c r="T300" s="523" t="e">
        <v>#N/A</v>
      </c>
      <c r="U300" s="523" t="e">
        <v>#N/A</v>
      </c>
      <c r="V300" s="523" t="e">
        <v>#N/A</v>
      </c>
      <c r="W300" s="523" t="e">
        <v>#N/A</v>
      </c>
      <c r="X300" s="523" t="e">
        <v>#N/A</v>
      </c>
      <c r="Y300" s="523" t="e">
        <v>#N/A</v>
      </c>
      <c r="Z300" s="523"/>
      <c r="AA300" s="523"/>
    </row>
    <row r="301" spans="1:27" x14ac:dyDescent="0.2">
      <c r="A301" s="222">
        <f>calculs!A301</f>
        <v>44852</v>
      </c>
      <c r="B301" s="523" t="e">
        <f ca="1">gr(données_step[[#This Row],[E_DBO5]])</f>
        <v>#NAME?</v>
      </c>
      <c r="C301" s="523" t="e">
        <f ca="1">gr(données_step[[#This Row],[E_DCO]])</f>
        <v>#NAME?</v>
      </c>
      <c r="D301" s="523" t="e">
        <f ca="1">gr(données_step[[#This Row],[E_COT]])</f>
        <v>#NAME?</v>
      </c>
      <c r="E301" s="523" t="e">
        <f ca="1">gr(données_step[[#This Row],[E_NH4]])</f>
        <v>#NAME?</v>
      </c>
      <c r="F301" s="523" t="e">
        <f ca="1">gr(données_step[[#This Row],[E_NTOT]])</f>
        <v>#NAME?</v>
      </c>
      <c r="G301" s="523" t="e">
        <f ca="1">gr(données_step[[#This Row],[E_PTOT]])</f>
        <v>#NAME?</v>
      </c>
      <c r="H301" s="523" t="e">
        <f ca="1">gr(données_step[[#This Row],[S_DBO5]])</f>
        <v>#NAME?</v>
      </c>
      <c r="I301" s="523" t="e">
        <f ca="1">gr(données_step[[#This Row],[S_DCO]])</f>
        <v>#NAME?</v>
      </c>
      <c r="J301" s="523" t="e">
        <f ca="1">gr(données_step[[#This Row],[S_COD]])</f>
        <v>#NAME?</v>
      </c>
      <c r="K301" s="523" t="e">
        <f ca="1">gr(données_step[[#This Row],[S_NH4]])</f>
        <v>#NAME?</v>
      </c>
      <c r="L301" s="523" t="e">
        <f ca="1">gr(données_step[[#This Row],[S_NO2]])</f>
        <v>#NAME?</v>
      </c>
      <c r="M301" s="523" t="e">
        <f ca="1">gr(données_step[[#This Row],[S_NO3]])</f>
        <v>#NAME?</v>
      </c>
      <c r="N301" s="523" t="e">
        <f ca="1">gr(données_step[[#This Row],[S_PORTH]])</f>
        <v>#NAME?</v>
      </c>
      <c r="O301" s="523" t="e">
        <f ca="1">gr(données_step[[#This Row],[S_PTOT]])</f>
        <v>#NAME?</v>
      </c>
      <c r="P301" s="523" t="e">
        <f ca="1">gr(données_step[[#This Row],[S_MES]])</f>
        <v>#NAME?</v>
      </c>
      <c r="Q301" s="523" t="e">
        <v>#N/A</v>
      </c>
      <c r="R301" s="523" t="e">
        <v>#N/A</v>
      </c>
      <c r="S301" s="523" t="e">
        <v>#N/A</v>
      </c>
      <c r="T301" s="523" t="e">
        <v>#N/A</v>
      </c>
      <c r="U301" s="523" t="e">
        <v>#N/A</v>
      </c>
      <c r="V301" s="523" t="e">
        <v>#N/A</v>
      </c>
      <c r="W301" s="523" t="e">
        <v>#N/A</v>
      </c>
      <c r="X301" s="523" t="e">
        <v>#N/A</v>
      </c>
      <c r="Y301" s="523" t="e">
        <v>#N/A</v>
      </c>
      <c r="Z301" s="523"/>
      <c r="AA301" s="523"/>
    </row>
    <row r="302" spans="1:27" x14ac:dyDescent="0.2">
      <c r="A302" s="222">
        <f>calculs!A302</f>
        <v>44853</v>
      </c>
      <c r="B302" s="523" t="e">
        <f ca="1">gr(données_step[[#This Row],[E_DBO5]])</f>
        <v>#NAME?</v>
      </c>
      <c r="C302" s="523" t="e">
        <f ca="1">gr(données_step[[#This Row],[E_DCO]])</f>
        <v>#NAME?</v>
      </c>
      <c r="D302" s="523" t="e">
        <f ca="1">gr(données_step[[#This Row],[E_COT]])</f>
        <v>#NAME?</v>
      </c>
      <c r="E302" s="523" t="e">
        <f ca="1">gr(données_step[[#This Row],[E_NH4]])</f>
        <v>#NAME?</v>
      </c>
      <c r="F302" s="523" t="e">
        <f ca="1">gr(données_step[[#This Row],[E_NTOT]])</f>
        <v>#NAME?</v>
      </c>
      <c r="G302" s="523" t="e">
        <f ca="1">gr(données_step[[#This Row],[E_PTOT]])</f>
        <v>#NAME?</v>
      </c>
      <c r="H302" s="523" t="e">
        <f ca="1">gr(données_step[[#This Row],[S_DBO5]])</f>
        <v>#NAME?</v>
      </c>
      <c r="I302" s="523" t="e">
        <f ca="1">gr(données_step[[#This Row],[S_DCO]])</f>
        <v>#NAME?</v>
      </c>
      <c r="J302" s="523" t="e">
        <f ca="1">gr(données_step[[#This Row],[S_COD]])</f>
        <v>#NAME?</v>
      </c>
      <c r="K302" s="523" t="e">
        <f ca="1">gr(données_step[[#This Row],[S_NH4]])</f>
        <v>#NAME?</v>
      </c>
      <c r="L302" s="523" t="e">
        <f ca="1">gr(données_step[[#This Row],[S_NO2]])</f>
        <v>#NAME?</v>
      </c>
      <c r="M302" s="523" t="e">
        <f ca="1">gr(données_step[[#This Row],[S_NO3]])</f>
        <v>#NAME?</v>
      </c>
      <c r="N302" s="523" t="e">
        <f ca="1">gr(données_step[[#This Row],[S_PORTH]])</f>
        <v>#NAME?</v>
      </c>
      <c r="O302" s="523" t="e">
        <f ca="1">gr(données_step[[#This Row],[S_PTOT]])</f>
        <v>#NAME?</v>
      </c>
      <c r="P302" s="523" t="e">
        <f ca="1">gr(données_step[[#This Row],[S_MES]])</f>
        <v>#NAME?</v>
      </c>
      <c r="Q302" s="523" t="e">
        <v>#N/A</v>
      </c>
      <c r="R302" s="523" t="e">
        <v>#N/A</v>
      </c>
      <c r="S302" s="523" t="e">
        <v>#N/A</v>
      </c>
      <c r="T302" s="523" t="e">
        <v>#N/A</v>
      </c>
      <c r="U302" s="523" t="e">
        <v>#N/A</v>
      </c>
      <c r="V302" s="523" t="e">
        <v>#N/A</v>
      </c>
      <c r="W302" s="523" t="e">
        <v>#N/A</v>
      </c>
      <c r="X302" s="523" t="e">
        <v>#N/A</v>
      </c>
      <c r="Y302" s="523" t="e">
        <v>#N/A</v>
      </c>
      <c r="Z302" s="523"/>
      <c r="AA302" s="523"/>
    </row>
    <row r="303" spans="1:27" x14ac:dyDescent="0.2">
      <c r="A303" s="222">
        <f>calculs!A303</f>
        <v>44854</v>
      </c>
      <c r="B303" s="523" t="e">
        <f ca="1">gr(données_step[[#This Row],[E_DBO5]])</f>
        <v>#NAME?</v>
      </c>
      <c r="C303" s="523" t="e">
        <f ca="1">gr(données_step[[#This Row],[E_DCO]])</f>
        <v>#NAME?</v>
      </c>
      <c r="D303" s="523" t="e">
        <f ca="1">gr(données_step[[#This Row],[E_COT]])</f>
        <v>#NAME?</v>
      </c>
      <c r="E303" s="523" t="e">
        <f ca="1">gr(données_step[[#This Row],[E_NH4]])</f>
        <v>#NAME?</v>
      </c>
      <c r="F303" s="523" t="e">
        <f ca="1">gr(données_step[[#This Row],[E_NTOT]])</f>
        <v>#NAME?</v>
      </c>
      <c r="G303" s="523" t="e">
        <f ca="1">gr(données_step[[#This Row],[E_PTOT]])</f>
        <v>#NAME?</v>
      </c>
      <c r="H303" s="523" t="e">
        <f ca="1">gr(données_step[[#This Row],[S_DBO5]])</f>
        <v>#NAME?</v>
      </c>
      <c r="I303" s="523" t="e">
        <f ca="1">gr(données_step[[#This Row],[S_DCO]])</f>
        <v>#NAME?</v>
      </c>
      <c r="J303" s="523" t="e">
        <f ca="1">gr(données_step[[#This Row],[S_COD]])</f>
        <v>#NAME?</v>
      </c>
      <c r="K303" s="523" t="e">
        <f ca="1">gr(données_step[[#This Row],[S_NH4]])</f>
        <v>#NAME?</v>
      </c>
      <c r="L303" s="523" t="e">
        <f ca="1">gr(données_step[[#This Row],[S_NO2]])</f>
        <v>#NAME?</v>
      </c>
      <c r="M303" s="523" t="e">
        <f ca="1">gr(données_step[[#This Row],[S_NO3]])</f>
        <v>#NAME?</v>
      </c>
      <c r="N303" s="523" t="e">
        <f ca="1">gr(données_step[[#This Row],[S_PORTH]])</f>
        <v>#NAME?</v>
      </c>
      <c r="O303" s="523" t="e">
        <f ca="1">gr(données_step[[#This Row],[S_PTOT]])</f>
        <v>#NAME?</v>
      </c>
      <c r="P303" s="523" t="e">
        <f ca="1">gr(données_step[[#This Row],[S_MES]])</f>
        <v>#NAME?</v>
      </c>
      <c r="Q303" s="523" t="e">
        <v>#N/A</v>
      </c>
      <c r="R303" s="523" t="e">
        <v>#N/A</v>
      </c>
      <c r="S303" s="523" t="e">
        <v>#N/A</v>
      </c>
      <c r="T303" s="523" t="e">
        <v>#N/A</v>
      </c>
      <c r="U303" s="523" t="e">
        <v>#N/A</v>
      </c>
      <c r="V303" s="523" t="e">
        <v>#N/A</v>
      </c>
      <c r="W303" s="523" t="e">
        <v>#N/A</v>
      </c>
      <c r="X303" s="523" t="e">
        <v>#N/A</v>
      </c>
      <c r="Y303" s="523" t="e">
        <v>#N/A</v>
      </c>
      <c r="Z303" s="523"/>
      <c r="AA303" s="523"/>
    </row>
    <row r="304" spans="1:27" x14ac:dyDescent="0.2">
      <c r="A304" s="222">
        <f>calculs!A304</f>
        <v>44855</v>
      </c>
      <c r="B304" s="523" t="e">
        <f ca="1">gr(données_step[[#This Row],[E_DBO5]])</f>
        <v>#NAME?</v>
      </c>
      <c r="C304" s="523" t="e">
        <f ca="1">gr(données_step[[#This Row],[E_DCO]])</f>
        <v>#NAME?</v>
      </c>
      <c r="D304" s="523" t="e">
        <f ca="1">gr(données_step[[#This Row],[E_COT]])</f>
        <v>#NAME?</v>
      </c>
      <c r="E304" s="523" t="e">
        <f ca="1">gr(données_step[[#This Row],[E_NH4]])</f>
        <v>#NAME?</v>
      </c>
      <c r="F304" s="523" t="e">
        <f ca="1">gr(données_step[[#This Row],[E_NTOT]])</f>
        <v>#NAME?</v>
      </c>
      <c r="G304" s="523" t="e">
        <f ca="1">gr(données_step[[#This Row],[E_PTOT]])</f>
        <v>#NAME?</v>
      </c>
      <c r="H304" s="523" t="e">
        <f ca="1">gr(données_step[[#This Row],[S_DBO5]])</f>
        <v>#NAME?</v>
      </c>
      <c r="I304" s="523" t="e">
        <f ca="1">gr(données_step[[#This Row],[S_DCO]])</f>
        <v>#NAME?</v>
      </c>
      <c r="J304" s="523" t="e">
        <f ca="1">gr(données_step[[#This Row],[S_COD]])</f>
        <v>#NAME?</v>
      </c>
      <c r="K304" s="523" t="e">
        <f ca="1">gr(données_step[[#This Row],[S_NH4]])</f>
        <v>#NAME?</v>
      </c>
      <c r="L304" s="523" t="e">
        <f ca="1">gr(données_step[[#This Row],[S_NO2]])</f>
        <v>#NAME?</v>
      </c>
      <c r="M304" s="523" t="e">
        <f ca="1">gr(données_step[[#This Row],[S_NO3]])</f>
        <v>#NAME?</v>
      </c>
      <c r="N304" s="523" t="e">
        <f ca="1">gr(données_step[[#This Row],[S_PORTH]])</f>
        <v>#NAME?</v>
      </c>
      <c r="O304" s="523" t="e">
        <f ca="1">gr(données_step[[#This Row],[S_PTOT]])</f>
        <v>#NAME?</v>
      </c>
      <c r="P304" s="523" t="e">
        <f ca="1">gr(données_step[[#This Row],[S_MES]])</f>
        <v>#NAME?</v>
      </c>
      <c r="Q304" s="523" t="e">
        <v>#N/A</v>
      </c>
      <c r="R304" s="523" t="e">
        <v>#N/A</v>
      </c>
      <c r="S304" s="523" t="e">
        <v>#N/A</v>
      </c>
      <c r="T304" s="523" t="e">
        <v>#N/A</v>
      </c>
      <c r="U304" s="523" t="e">
        <v>#N/A</v>
      </c>
      <c r="V304" s="523" t="e">
        <v>#N/A</v>
      </c>
      <c r="W304" s="523" t="e">
        <v>#N/A</v>
      </c>
      <c r="X304" s="523" t="e">
        <v>#N/A</v>
      </c>
      <c r="Y304" s="523" t="e">
        <v>#N/A</v>
      </c>
      <c r="Z304" s="523"/>
      <c r="AA304" s="523"/>
    </row>
    <row r="305" spans="1:27" x14ac:dyDescent="0.2">
      <c r="A305" s="222">
        <f>calculs!A305</f>
        <v>44856</v>
      </c>
      <c r="B305" s="523" t="e">
        <f ca="1">gr(données_step[[#This Row],[E_DBO5]])</f>
        <v>#NAME?</v>
      </c>
      <c r="C305" s="523" t="e">
        <f ca="1">gr(données_step[[#This Row],[E_DCO]])</f>
        <v>#NAME?</v>
      </c>
      <c r="D305" s="523" t="e">
        <f ca="1">gr(données_step[[#This Row],[E_COT]])</f>
        <v>#NAME?</v>
      </c>
      <c r="E305" s="523" t="e">
        <f ca="1">gr(données_step[[#This Row],[E_NH4]])</f>
        <v>#NAME?</v>
      </c>
      <c r="F305" s="523" t="e">
        <f ca="1">gr(données_step[[#This Row],[E_NTOT]])</f>
        <v>#NAME?</v>
      </c>
      <c r="G305" s="523" t="e">
        <f ca="1">gr(données_step[[#This Row],[E_PTOT]])</f>
        <v>#NAME?</v>
      </c>
      <c r="H305" s="523" t="e">
        <f ca="1">gr(données_step[[#This Row],[S_DBO5]])</f>
        <v>#NAME?</v>
      </c>
      <c r="I305" s="523" t="e">
        <f ca="1">gr(données_step[[#This Row],[S_DCO]])</f>
        <v>#NAME?</v>
      </c>
      <c r="J305" s="523" t="e">
        <f ca="1">gr(données_step[[#This Row],[S_COD]])</f>
        <v>#NAME?</v>
      </c>
      <c r="K305" s="523" t="e">
        <f ca="1">gr(données_step[[#This Row],[S_NH4]])</f>
        <v>#NAME?</v>
      </c>
      <c r="L305" s="523" t="e">
        <f ca="1">gr(données_step[[#This Row],[S_NO2]])</f>
        <v>#NAME?</v>
      </c>
      <c r="M305" s="523" t="e">
        <f ca="1">gr(données_step[[#This Row],[S_NO3]])</f>
        <v>#NAME?</v>
      </c>
      <c r="N305" s="523" t="e">
        <f ca="1">gr(données_step[[#This Row],[S_PORTH]])</f>
        <v>#NAME?</v>
      </c>
      <c r="O305" s="523" t="e">
        <f ca="1">gr(données_step[[#This Row],[S_PTOT]])</f>
        <v>#NAME?</v>
      </c>
      <c r="P305" s="523" t="e">
        <f ca="1">gr(données_step[[#This Row],[S_MES]])</f>
        <v>#NAME?</v>
      </c>
      <c r="Q305" s="523" t="e">
        <v>#N/A</v>
      </c>
      <c r="R305" s="523" t="e">
        <v>#N/A</v>
      </c>
      <c r="S305" s="523" t="e">
        <v>#N/A</v>
      </c>
      <c r="T305" s="523" t="e">
        <v>#N/A</v>
      </c>
      <c r="U305" s="523" t="e">
        <v>#N/A</v>
      </c>
      <c r="V305" s="523" t="e">
        <v>#N/A</v>
      </c>
      <c r="W305" s="523" t="e">
        <v>#N/A</v>
      </c>
      <c r="X305" s="523" t="e">
        <v>#N/A</v>
      </c>
      <c r="Y305" s="523" t="e">
        <v>#N/A</v>
      </c>
      <c r="Z305" s="523"/>
      <c r="AA305" s="523"/>
    </row>
    <row r="306" spans="1:27" x14ac:dyDescent="0.2">
      <c r="A306" s="222">
        <f>calculs!A306</f>
        <v>44857</v>
      </c>
      <c r="B306" s="523" t="e">
        <f ca="1">gr(données_step[[#This Row],[E_DBO5]])</f>
        <v>#NAME?</v>
      </c>
      <c r="C306" s="523" t="e">
        <f ca="1">gr(données_step[[#This Row],[E_DCO]])</f>
        <v>#NAME?</v>
      </c>
      <c r="D306" s="523" t="e">
        <f ca="1">gr(données_step[[#This Row],[E_COT]])</f>
        <v>#NAME?</v>
      </c>
      <c r="E306" s="523" t="e">
        <f ca="1">gr(données_step[[#This Row],[E_NH4]])</f>
        <v>#NAME?</v>
      </c>
      <c r="F306" s="523" t="e">
        <f ca="1">gr(données_step[[#This Row],[E_NTOT]])</f>
        <v>#NAME?</v>
      </c>
      <c r="G306" s="523" t="e">
        <f ca="1">gr(données_step[[#This Row],[E_PTOT]])</f>
        <v>#NAME?</v>
      </c>
      <c r="H306" s="523" t="e">
        <f ca="1">gr(données_step[[#This Row],[S_DBO5]])</f>
        <v>#NAME?</v>
      </c>
      <c r="I306" s="523" t="e">
        <f ca="1">gr(données_step[[#This Row],[S_DCO]])</f>
        <v>#NAME?</v>
      </c>
      <c r="J306" s="523" t="e">
        <f ca="1">gr(données_step[[#This Row],[S_COD]])</f>
        <v>#NAME?</v>
      </c>
      <c r="K306" s="523" t="e">
        <f ca="1">gr(données_step[[#This Row],[S_NH4]])</f>
        <v>#NAME?</v>
      </c>
      <c r="L306" s="523" t="e">
        <f ca="1">gr(données_step[[#This Row],[S_NO2]])</f>
        <v>#NAME?</v>
      </c>
      <c r="M306" s="523" t="e">
        <f ca="1">gr(données_step[[#This Row],[S_NO3]])</f>
        <v>#NAME?</v>
      </c>
      <c r="N306" s="523" t="e">
        <f ca="1">gr(données_step[[#This Row],[S_PORTH]])</f>
        <v>#NAME?</v>
      </c>
      <c r="O306" s="523" t="e">
        <f ca="1">gr(données_step[[#This Row],[S_PTOT]])</f>
        <v>#NAME?</v>
      </c>
      <c r="P306" s="523" t="e">
        <f ca="1">gr(données_step[[#This Row],[S_MES]])</f>
        <v>#NAME?</v>
      </c>
      <c r="Q306" s="523" t="e">
        <v>#N/A</v>
      </c>
      <c r="R306" s="523" t="e">
        <v>#N/A</v>
      </c>
      <c r="S306" s="523" t="e">
        <v>#N/A</v>
      </c>
      <c r="T306" s="523" t="e">
        <v>#N/A</v>
      </c>
      <c r="U306" s="523" t="e">
        <v>#N/A</v>
      </c>
      <c r="V306" s="523" t="e">
        <v>#N/A</v>
      </c>
      <c r="W306" s="523" t="e">
        <v>#N/A</v>
      </c>
      <c r="X306" s="523" t="e">
        <v>#N/A</v>
      </c>
      <c r="Y306" s="523" t="e">
        <v>#N/A</v>
      </c>
      <c r="Z306" s="523"/>
      <c r="AA306" s="523"/>
    </row>
    <row r="307" spans="1:27" x14ac:dyDescent="0.2">
      <c r="A307" s="222">
        <f>calculs!A307</f>
        <v>44858</v>
      </c>
      <c r="B307" s="523" t="e">
        <f ca="1">gr(données_step[[#This Row],[E_DBO5]])</f>
        <v>#NAME?</v>
      </c>
      <c r="C307" s="523" t="e">
        <f ca="1">gr(données_step[[#This Row],[E_DCO]])</f>
        <v>#NAME?</v>
      </c>
      <c r="D307" s="523" t="e">
        <f ca="1">gr(données_step[[#This Row],[E_COT]])</f>
        <v>#NAME?</v>
      </c>
      <c r="E307" s="523" t="e">
        <f ca="1">gr(données_step[[#This Row],[E_NH4]])</f>
        <v>#NAME?</v>
      </c>
      <c r="F307" s="523" t="e">
        <f ca="1">gr(données_step[[#This Row],[E_NTOT]])</f>
        <v>#NAME?</v>
      </c>
      <c r="G307" s="523" t="e">
        <f ca="1">gr(données_step[[#This Row],[E_PTOT]])</f>
        <v>#NAME?</v>
      </c>
      <c r="H307" s="523" t="e">
        <f ca="1">gr(données_step[[#This Row],[S_DBO5]])</f>
        <v>#NAME?</v>
      </c>
      <c r="I307" s="523" t="e">
        <f ca="1">gr(données_step[[#This Row],[S_DCO]])</f>
        <v>#NAME?</v>
      </c>
      <c r="J307" s="523" t="e">
        <f ca="1">gr(données_step[[#This Row],[S_COD]])</f>
        <v>#NAME?</v>
      </c>
      <c r="K307" s="523" t="e">
        <f ca="1">gr(données_step[[#This Row],[S_NH4]])</f>
        <v>#NAME?</v>
      </c>
      <c r="L307" s="523" t="e">
        <f ca="1">gr(données_step[[#This Row],[S_NO2]])</f>
        <v>#NAME?</v>
      </c>
      <c r="M307" s="523" t="e">
        <f ca="1">gr(données_step[[#This Row],[S_NO3]])</f>
        <v>#NAME?</v>
      </c>
      <c r="N307" s="523" t="e">
        <f ca="1">gr(données_step[[#This Row],[S_PORTH]])</f>
        <v>#NAME?</v>
      </c>
      <c r="O307" s="523" t="e">
        <f ca="1">gr(données_step[[#This Row],[S_PTOT]])</f>
        <v>#NAME?</v>
      </c>
      <c r="P307" s="523" t="e">
        <f ca="1">gr(données_step[[#This Row],[S_MES]])</f>
        <v>#NAME?</v>
      </c>
      <c r="Q307" s="523" t="e">
        <v>#N/A</v>
      </c>
      <c r="R307" s="523" t="e">
        <v>#N/A</v>
      </c>
      <c r="S307" s="523" t="e">
        <v>#N/A</v>
      </c>
      <c r="T307" s="523" t="e">
        <v>#N/A</v>
      </c>
      <c r="U307" s="523" t="e">
        <v>#N/A</v>
      </c>
      <c r="V307" s="523" t="e">
        <v>#N/A</v>
      </c>
      <c r="W307" s="523" t="e">
        <v>#N/A</v>
      </c>
      <c r="X307" s="523" t="e">
        <v>#N/A</v>
      </c>
      <c r="Y307" s="523" t="e">
        <v>#N/A</v>
      </c>
      <c r="Z307" s="523"/>
      <c r="AA307" s="523"/>
    </row>
    <row r="308" spans="1:27" x14ac:dyDescent="0.2">
      <c r="A308" s="222">
        <f>calculs!A308</f>
        <v>44859</v>
      </c>
      <c r="B308" s="523" t="e">
        <f ca="1">gr(données_step[[#This Row],[E_DBO5]])</f>
        <v>#NAME?</v>
      </c>
      <c r="C308" s="523" t="e">
        <f ca="1">gr(données_step[[#This Row],[E_DCO]])</f>
        <v>#NAME?</v>
      </c>
      <c r="D308" s="523" t="e">
        <f ca="1">gr(données_step[[#This Row],[E_COT]])</f>
        <v>#NAME?</v>
      </c>
      <c r="E308" s="523" t="e">
        <f ca="1">gr(données_step[[#This Row],[E_NH4]])</f>
        <v>#NAME?</v>
      </c>
      <c r="F308" s="523" t="e">
        <f ca="1">gr(données_step[[#This Row],[E_NTOT]])</f>
        <v>#NAME?</v>
      </c>
      <c r="G308" s="523" t="e">
        <f ca="1">gr(données_step[[#This Row],[E_PTOT]])</f>
        <v>#NAME?</v>
      </c>
      <c r="H308" s="523" t="e">
        <f ca="1">gr(données_step[[#This Row],[S_DBO5]])</f>
        <v>#NAME?</v>
      </c>
      <c r="I308" s="523" t="e">
        <f ca="1">gr(données_step[[#This Row],[S_DCO]])</f>
        <v>#NAME?</v>
      </c>
      <c r="J308" s="523" t="e">
        <f ca="1">gr(données_step[[#This Row],[S_COD]])</f>
        <v>#NAME?</v>
      </c>
      <c r="K308" s="523" t="e">
        <f ca="1">gr(données_step[[#This Row],[S_NH4]])</f>
        <v>#NAME?</v>
      </c>
      <c r="L308" s="523" t="e">
        <f ca="1">gr(données_step[[#This Row],[S_NO2]])</f>
        <v>#NAME?</v>
      </c>
      <c r="M308" s="523" t="e">
        <f ca="1">gr(données_step[[#This Row],[S_NO3]])</f>
        <v>#NAME?</v>
      </c>
      <c r="N308" s="523" t="e">
        <f ca="1">gr(données_step[[#This Row],[S_PORTH]])</f>
        <v>#NAME?</v>
      </c>
      <c r="O308" s="523" t="e">
        <f ca="1">gr(données_step[[#This Row],[S_PTOT]])</f>
        <v>#NAME?</v>
      </c>
      <c r="P308" s="523" t="e">
        <f ca="1">gr(données_step[[#This Row],[S_MES]])</f>
        <v>#NAME?</v>
      </c>
      <c r="Q308" s="523" t="e">
        <v>#N/A</v>
      </c>
      <c r="R308" s="523" t="e">
        <v>#N/A</v>
      </c>
      <c r="S308" s="523" t="e">
        <v>#N/A</v>
      </c>
      <c r="T308" s="523" t="e">
        <v>#N/A</v>
      </c>
      <c r="U308" s="523" t="e">
        <v>#N/A</v>
      </c>
      <c r="V308" s="523" t="e">
        <v>#N/A</v>
      </c>
      <c r="W308" s="523" t="e">
        <v>#N/A</v>
      </c>
      <c r="X308" s="523" t="e">
        <v>#N/A</v>
      </c>
      <c r="Y308" s="523" t="e">
        <v>#N/A</v>
      </c>
      <c r="Z308" s="523"/>
      <c r="AA308" s="523"/>
    </row>
    <row r="309" spans="1:27" x14ac:dyDescent="0.2">
      <c r="A309" s="222">
        <f>calculs!A309</f>
        <v>44860</v>
      </c>
      <c r="B309" s="523" t="e">
        <f ca="1">gr(données_step[[#This Row],[E_DBO5]])</f>
        <v>#NAME?</v>
      </c>
      <c r="C309" s="523" t="e">
        <f ca="1">gr(données_step[[#This Row],[E_DCO]])</f>
        <v>#NAME?</v>
      </c>
      <c r="D309" s="523" t="e">
        <f ca="1">gr(données_step[[#This Row],[E_COT]])</f>
        <v>#NAME?</v>
      </c>
      <c r="E309" s="523" t="e">
        <f ca="1">gr(données_step[[#This Row],[E_NH4]])</f>
        <v>#NAME?</v>
      </c>
      <c r="F309" s="523" t="e">
        <f ca="1">gr(données_step[[#This Row],[E_NTOT]])</f>
        <v>#NAME?</v>
      </c>
      <c r="G309" s="523" t="e">
        <f ca="1">gr(données_step[[#This Row],[E_PTOT]])</f>
        <v>#NAME?</v>
      </c>
      <c r="H309" s="523" t="e">
        <f ca="1">gr(données_step[[#This Row],[S_DBO5]])</f>
        <v>#NAME?</v>
      </c>
      <c r="I309" s="523" t="e">
        <f ca="1">gr(données_step[[#This Row],[S_DCO]])</f>
        <v>#NAME?</v>
      </c>
      <c r="J309" s="523" t="e">
        <f ca="1">gr(données_step[[#This Row],[S_COD]])</f>
        <v>#NAME?</v>
      </c>
      <c r="K309" s="523" t="e">
        <f ca="1">gr(données_step[[#This Row],[S_NH4]])</f>
        <v>#NAME?</v>
      </c>
      <c r="L309" s="523" t="e">
        <f ca="1">gr(données_step[[#This Row],[S_NO2]])</f>
        <v>#NAME?</v>
      </c>
      <c r="M309" s="523" t="e">
        <f ca="1">gr(données_step[[#This Row],[S_NO3]])</f>
        <v>#NAME?</v>
      </c>
      <c r="N309" s="523" t="e">
        <f ca="1">gr(données_step[[#This Row],[S_PORTH]])</f>
        <v>#NAME?</v>
      </c>
      <c r="O309" s="523" t="e">
        <f ca="1">gr(données_step[[#This Row],[S_PTOT]])</f>
        <v>#NAME?</v>
      </c>
      <c r="P309" s="523" t="e">
        <f ca="1">gr(données_step[[#This Row],[S_MES]])</f>
        <v>#NAME?</v>
      </c>
      <c r="Q309" s="523" t="e">
        <v>#N/A</v>
      </c>
      <c r="R309" s="523" t="e">
        <v>#N/A</v>
      </c>
      <c r="S309" s="523" t="e">
        <v>#N/A</v>
      </c>
      <c r="T309" s="523" t="e">
        <v>#N/A</v>
      </c>
      <c r="U309" s="523" t="e">
        <v>#N/A</v>
      </c>
      <c r="V309" s="523" t="e">
        <v>#N/A</v>
      </c>
      <c r="W309" s="523" t="e">
        <v>#N/A</v>
      </c>
      <c r="X309" s="523" t="e">
        <v>#N/A</v>
      </c>
      <c r="Y309" s="523" t="e">
        <v>#N/A</v>
      </c>
      <c r="Z309" s="523"/>
      <c r="AA309" s="523"/>
    </row>
    <row r="310" spans="1:27" x14ac:dyDescent="0.2">
      <c r="A310" s="222">
        <f>calculs!A310</f>
        <v>44861</v>
      </c>
      <c r="B310" s="523" t="e">
        <f ca="1">gr(données_step[[#This Row],[E_DBO5]])</f>
        <v>#NAME?</v>
      </c>
      <c r="C310" s="523" t="e">
        <f ca="1">gr(données_step[[#This Row],[E_DCO]])</f>
        <v>#NAME?</v>
      </c>
      <c r="D310" s="523" t="e">
        <f ca="1">gr(données_step[[#This Row],[E_COT]])</f>
        <v>#NAME?</v>
      </c>
      <c r="E310" s="523" t="e">
        <f ca="1">gr(données_step[[#This Row],[E_NH4]])</f>
        <v>#NAME?</v>
      </c>
      <c r="F310" s="523" t="e">
        <f ca="1">gr(données_step[[#This Row],[E_NTOT]])</f>
        <v>#NAME?</v>
      </c>
      <c r="G310" s="523" t="e">
        <f ca="1">gr(données_step[[#This Row],[E_PTOT]])</f>
        <v>#NAME?</v>
      </c>
      <c r="H310" s="523" t="e">
        <f ca="1">gr(données_step[[#This Row],[S_DBO5]])</f>
        <v>#NAME?</v>
      </c>
      <c r="I310" s="523" t="e">
        <f ca="1">gr(données_step[[#This Row],[S_DCO]])</f>
        <v>#NAME?</v>
      </c>
      <c r="J310" s="523" t="e">
        <f ca="1">gr(données_step[[#This Row],[S_COD]])</f>
        <v>#NAME?</v>
      </c>
      <c r="K310" s="523" t="e">
        <f ca="1">gr(données_step[[#This Row],[S_NH4]])</f>
        <v>#NAME?</v>
      </c>
      <c r="L310" s="523" t="e">
        <f ca="1">gr(données_step[[#This Row],[S_NO2]])</f>
        <v>#NAME?</v>
      </c>
      <c r="M310" s="523" t="e">
        <f ca="1">gr(données_step[[#This Row],[S_NO3]])</f>
        <v>#NAME?</v>
      </c>
      <c r="N310" s="523" t="e">
        <f ca="1">gr(données_step[[#This Row],[S_PORTH]])</f>
        <v>#NAME?</v>
      </c>
      <c r="O310" s="523" t="e">
        <f ca="1">gr(données_step[[#This Row],[S_PTOT]])</f>
        <v>#NAME?</v>
      </c>
      <c r="P310" s="523" t="e">
        <f ca="1">gr(données_step[[#This Row],[S_MES]])</f>
        <v>#NAME?</v>
      </c>
      <c r="Q310" s="523" t="e">
        <v>#N/A</v>
      </c>
      <c r="R310" s="523" t="e">
        <v>#N/A</v>
      </c>
      <c r="S310" s="523" t="e">
        <v>#N/A</v>
      </c>
      <c r="T310" s="523" t="e">
        <v>#N/A</v>
      </c>
      <c r="U310" s="523" t="e">
        <v>#N/A</v>
      </c>
      <c r="V310" s="523" t="e">
        <v>#N/A</v>
      </c>
      <c r="W310" s="523" t="e">
        <v>#N/A</v>
      </c>
      <c r="X310" s="523" t="e">
        <v>#N/A</v>
      </c>
      <c r="Y310" s="523" t="e">
        <v>#N/A</v>
      </c>
      <c r="Z310" s="523"/>
      <c r="AA310" s="523"/>
    </row>
    <row r="311" spans="1:27" x14ac:dyDescent="0.2">
      <c r="A311" s="222">
        <f>calculs!A311</f>
        <v>44862</v>
      </c>
      <c r="B311" s="523" t="e">
        <f ca="1">gr(données_step[[#This Row],[E_DBO5]])</f>
        <v>#NAME?</v>
      </c>
      <c r="C311" s="523" t="e">
        <f ca="1">gr(données_step[[#This Row],[E_DCO]])</f>
        <v>#NAME?</v>
      </c>
      <c r="D311" s="523" t="e">
        <f ca="1">gr(données_step[[#This Row],[E_COT]])</f>
        <v>#NAME?</v>
      </c>
      <c r="E311" s="523" t="e">
        <f ca="1">gr(données_step[[#This Row],[E_NH4]])</f>
        <v>#NAME?</v>
      </c>
      <c r="F311" s="523" t="e">
        <f ca="1">gr(données_step[[#This Row],[E_NTOT]])</f>
        <v>#NAME?</v>
      </c>
      <c r="G311" s="523" t="e">
        <f ca="1">gr(données_step[[#This Row],[E_PTOT]])</f>
        <v>#NAME?</v>
      </c>
      <c r="H311" s="523" t="e">
        <f ca="1">gr(données_step[[#This Row],[S_DBO5]])</f>
        <v>#NAME?</v>
      </c>
      <c r="I311" s="523" t="e">
        <f ca="1">gr(données_step[[#This Row],[S_DCO]])</f>
        <v>#NAME?</v>
      </c>
      <c r="J311" s="523" t="e">
        <f ca="1">gr(données_step[[#This Row],[S_COD]])</f>
        <v>#NAME?</v>
      </c>
      <c r="K311" s="523" t="e">
        <f ca="1">gr(données_step[[#This Row],[S_NH4]])</f>
        <v>#NAME?</v>
      </c>
      <c r="L311" s="523" t="e">
        <f ca="1">gr(données_step[[#This Row],[S_NO2]])</f>
        <v>#NAME?</v>
      </c>
      <c r="M311" s="523" t="e">
        <f ca="1">gr(données_step[[#This Row],[S_NO3]])</f>
        <v>#NAME?</v>
      </c>
      <c r="N311" s="523" t="e">
        <f ca="1">gr(données_step[[#This Row],[S_PORTH]])</f>
        <v>#NAME?</v>
      </c>
      <c r="O311" s="523" t="e">
        <f ca="1">gr(données_step[[#This Row],[S_PTOT]])</f>
        <v>#NAME?</v>
      </c>
      <c r="P311" s="523" t="e">
        <f ca="1">gr(données_step[[#This Row],[S_MES]])</f>
        <v>#NAME?</v>
      </c>
      <c r="Q311" s="523" t="e">
        <v>#N/A</v>
      </c>
      <c r="R311" s="523" t="e">
        <v>#N/A</v>
      </c>
      <c r="S311" s="523" t="e">
        <v>#N/A</v>
      </c>
      <c r="T311" s="523" t="e">
        <v>#N/A</v>
      </c>
      <c r="U311" s="523" t="e">
        <v>#N/A</v>
      </c>
      <c r="V311" s="523" t="e">
        <v>#N/A</v>
      </c>
      <c r="W311" s="523" t="e">
        <v>#N/A</v>
      </c>
      <c r="X311" s="523" t="e">
        <v>#N/A</v>
      </c>
      <c r="Y311" s="523" t="e">
        <v>#N/A</v>
      </c>
      <c r="Z311" s="523"/>
      <c r="AA311" s="523"/>
    </row>
    <row r="312" spans="1:27" x14ac:dyDescent="0.2">
      <c r="A312" s="222">
        <f>calculs!A312</f>
        <v>44863</v>
      </c>
      <c r="B312" s="523" t="e">
        <f ca="1">gr(données_step[[#This Row],[E_DBO5]])</f>
        <v>#NAME?</v>
      </c>
      <c r="C312" s="523" t="e">
        <f ca="1">gr(données_step[[#This Row],[E_DCO]])</f>
        <v>#NAME?</v>
      </c>
      <c r="D312" s="523" t="e">
        <f ca="1">gr(données_step[[#This Row],[E_COT]])</f>
        <v>#NAME?</v>
      </c>
      <c r="E312" s="523" t="e">
        <f ca="1">gr(données_step[[#This Row],[E_NH4]])</f>
        <v>#NAME?</v>
      </c>
      <c r="F312" s="523" t="e">
        <f ca="1">gr(données_step[[#This Row],[E_NTOT]])</f>
        <v>#NAME?</v>
      </c>
      <c r="G312" s="523" t="e">
        <f ca="1">gr(données_step[[#This Row],[E_PTOT]])</f>
        <v>#NAME?</v>
      </c>
      <c r="H312" s="523" t="e">
        <f ca="1">gr(données_step[[#This Row],[S_DBO5]])</f>
        <v>#NAME?</v>
      </c>
      <c r="I312" s="523" t="e">
        <f ca="1">gr(données_step[[#This Row],[S_DCO]])</f>
        <v>#NAME?</v>
      </c>
      <c r="J312" s="523" t="e">
        <f ca="1">gr(données_step[[#This Row],[S_COD]])</f>
        <v>#NAME?</v>
      </c>
      <c r="K312" s="523" t="e">
        <f ca="1">gr(données_step[[#This Row],[S_NH4]])</f>
        <v>#NAME?</v>
      </c>
      <c r="L312" s="523" t="e">
        <f ca="1">gr(données_step[[#This Row],[S_NO2]])</f>
        <v>#NAME?</v>
      </c>
      <c r="M312" s="523" t="e">
        <f ca="1">gr(données_step[[#This Row],[S_NO3]])</f>
        <v>#NAME?</v>
      </c>
      <c r="N312" s="523" t="e">
        <f ca="1">gr(données_step[[#This Row],[S_PORTH]])</f>
        <v>#NAME?</v>
      </c>
      <c r="O312" s="523" t="e">
        <f ca="1">gr(données_step[[#This Row],[S_PTOT]])</f>
        <v>#NAME?</v>
      </c>
      <c r="P312" s="523" t="e">
        <f ca="1">gr(données_step[[#This Row],[S_MES]])</f>
        <v>#NAME?</v>
      </c>
      <c r="Q312" s="523" t="e">
        <v>#N/A</v>
      </c>
      <c r="R312" s="523" t="e">
        <v>#N/A</v>
      </c>
      <c r="S312" s="523" t="e">
        <v>#N/A</v>
      </c>
      <c r="T312" s="523" t="e">
        <v>#N/A</v>
      </c>
      <c r="U312" s="523" t="e">
        <v>#N/A</v>
      </c>
      <c r="V312" s="523" t="e">
        <v>#N/A</v>
      </c>
      <c r="W312" s="523" t="e">
        <v>#N/A</v>
      </c>
      <c r="X312" s="523" t="e">
        <v>#N/A</v>
      </c>
      <c r="Y312" s="523" t="e">
        <v>#N/A</v>
      </c>
      <c r="Z312" s="523"/>
      <c r="AA312" s="523"/>
    </row>
    <row r="313" spans="1:27" x14ac:dyDescent="0.2">
      <c r="A313" s="222">
        <f>calculs!A313</f>
        <v>44864</v>
      </c>
      <c r="B313" s="523" t="e">
        <f ca="1">gr(données_step[[#This Row],[E_DBO5]])</f>
        <v>#NAME?</v>
      </c>
      <c r="C313" s="523" t="e">
        <f ca="1">gr(données_step[[#This Row],[E_DCO]])</f>
        <v>#NAME?</v>
      </c>
      <c r="D313" s="523" t="e">
        <f ca="1">gr(données_step[[#This Row],[E_COT]])</f>
        <v>#NAME?</v>
      </c>
      <c r="E313" s="523" t="e">
        <f ca="1">gr(données_step[[#This Row],[E_NH4]])</f>
        <v>#NAME?</v>
      </c>
      <c r="F313" s="523" t="e">
        <f ca="1">gr(données_step[[#This Row],[E_NTOT]])</f>
        <v>#NAME?</v>
      </c>
      <c r="G313" s="523" t="e">
        <f ca="1">gr(données_step[[#This Row],[E_PTOT]])</f>
        <v>#NAME?</v>
      </c>
      <c r="H313" s="523" t="e">
        <f ca="1">gr(données_step[[#This Row],[S_DBO5]])</f>
        <v>#NAME?</v>
      </c>
      <c r="I313" s="523" t="e">
        <f ca="1">gr(données_step[[#This Row],[S_DCO]])</f>
        <v>#NAME?</v>
      </c>
      <c r="J313" s="523" t="e">
        <f ca="1">gr(données_step[[#This Row],[S_COD]])</f>
        <v>#NAME?</v>
      </c>
      <c r="K313" s="523" t="e">
        <f ca="1">gr(données_step[[#This Row],[S_NH4]])</f>
        <v>#NAME?</v>
      </c>
      <c r="L313" s="523" t="e">
        <f ca="1">gr(données_step[[#This Row],[S_NO2]])</f>
        <v>#NAME?</v>
      </c>
      <c r="M313" s="523" t="e">
        <f ca="1">gr(données_step[[#This Row],[S_NO3]])</f>
        <v>#NAME?</v>
      </c>
      <c r="N313" s="523" t="e">
        <f ca="1">gr(données_step[[#This Row],[S_PORTH]])</f>
        <v>#NAME?</v>
      </c>
      <c r="O313" s="523" t="e">
        <f ca="1">gr(données_step[[#This Row],[S_PTOT]])</f>
        <v>#NAME?</v>
      </c>
      <c r="P313" s="523" t="e">
        <f ca="1">gr(données_step[[#This Row],[S_MES]])</f>
        <v>#NAME?</v>
      </c>
      <c r="Q313" s="523" t="e">
        <v>#N/A</v>
      </c>
      <c r="R313" s="523" t="e">
        <v>#N/A</v>
      </c>
      <c r="S313" s="523" t="e">
        <v>#N/A</v>
      </c>
      <c r="T313" s="523" t="e">
        <v>#N/A</v>
      </c>
      <c r="U313" s="523" t="e">
        <v>#N/A</v>
      </c>
      <c r="V313" s="523" t="e">
        <v>#N/A</v>
      </c>
      <c r="W313" s="523" t="e">
        <v>#N/A</v>
      </c>
      <c r="X313" s="523" t="e">
        <v>#N/A</v>
      </c>
      <c r="Y313" s="523" t="e">
        <v>#N/A</v>
      </c>
      <c r="Z313" s="523"/>
      <c r="AA313" s="523"/>
    </row>
    <row r="314" spans="1:27" x14ac:dyDescent="0.2">
      <c r="A314" s="222">
        <f>calculs!A314</f>
        <v>44865</v>
      </c>
      <c r="B314" s="523" t="e">
        <f ca="1">gr(données_step[[#This Row],[E_DBO5]])</f>
        <v>#NAME?</v>
      </c>
      <c r="C314" s="523" t="e">
        <f ca="1">gr(données_step[[#This Row],[E_DCO]])</f>
        <v>#NAME?</v>
      </c>
      <c r="D314" s="523" t="e">
        <f ca="1">gr(données_step[[#This Row],[E_COT]])</f>
        <v>#NAME?</v>
      </c>
      <c r="E314" s="523" t="e">
        <f ca="1">gr(données_step[[#This Row],[E_NH4]])</f>
        <v>#NAME?</v>
      </c>
      <c r="F314" s="523" t="e">
        <f ca="1">gr(données_step[[#This Row],[E_NTOT]])</f>
        <v>#NAME?</v>
      </c>
      <c r="G314" s="523" t="e">
        <f ca="1">gr(données_step[[#This Row],[E_PTOT]])</f>
        <v>#NAME?</v>
      </c>
      <c r="H314" s="523" t="e">
        <f ca="1">gr(données_step[[#This Row],[S_DBO5]])</f>
        <v>#NAME?</v>
      </c>
      <c r="I314" s="523" t="e">
        <f ca="1">gr(données_step[[#This Row],[S_DCO]])</f>
        <v>#NAME?</v>
      </c>
      <c r="J314" s="523" t="e">
        <f ca="1">gr(données_step[[#This Row],[S_COD]])</f>
        <v>#NAME?</v>
      </c>
      <c r="K314" s="523" t="e">
        <f ca="1">gr(données_step[[#This Row],[S_NH4]])</f>
        <v>#NAME?</v>
      </c>
      <c r="L314" s="523" t="e">
        <f ca="1">gr(données_step[[#This Row],[S_NO2]])</f>
        <v>#NAME?</v>
      </c>
      <c r="M314" s="523" t="e">
        <f ca="1">gr(données_step[[#This Row],[S_NO3]])</f>
        <v>#NAME?</v>
      </c>
      <c r="N314" s="523" t="e">
        <f ca="1">gr(données_step[[#This Row],[S_PORTH]])</f>
        <v>#NAME?</v>
      </c>
      <c r="O314" s="523" t="e">
        <f ca="1">gr(données_step[[#This Row],[S_PTOT]])</f>
        <v>#NAME?</v>
      </c>
      <c r="P314" s="523" t="e">
        <f ca="1">gr(données_step[[#This Row],[S_MES]])</f>
        <v>#NAME?</v>
      </c>
      <c r="Q314" s="523" t="e">
        <v>#N/A</v>
      </c>
      <c r="R314" s="523" t="e">
        <v>#N/A</v>
      </c>
      <c r="S314" s="523" t="e">
        <v>#N/A</v>
      </c>
      <c r="T314" s="523" t="e">
        <v>#N/A</v>
      </c>
      <c r="U314" s="523" t="e">
        <v>#N/A</v>
      </c>
      <c r="V314" s="523" t="e">
        <v>#N/A</v>
      </c>
      <c r="W314" s="523" t="e">
        <v>#N/A</v>
      </c>
      <c r="X314" s="523" t="e">
        <v>#N/A</v>
      </c>
      <c r="Y314" s="523" t="e">
        <v>#N/A</v>
      </c>
      <c r="Z314" s="523"/>
      <c r="AA314" s="523"/>
    </row>
    <row r="315" spans="1:27" x14ac:dyDescent="0.2">
      <c r="A315" s="222">
        <f>calculs!A315</f>
        <v>44866</v>
      </c>
      <c r="B315" s="523" t="e">
        <f ca="1">gr(données_step[[#This Row],[E_DBO5]])</f>
        <v>#NAME?</v>
      </c>
      <c r="C315" s="523" t="e">
        <f ca="1">gr(données_step[[#This Row],[E_DCO]])</f>
        <v>#NAME?</v>
      </c>
      <c r="D315" s="523" t="e">
        <f ca="1">gr(données_step[[#This Row],[E_COT]])</f>
        <v>#NAME?</v>
      </c>
      <c r="E315" s="523" t="e">
        <f ca="1">gr(données_step[[#This Row],[E_NH4]])</f>
        <v>#NAME?</v>
      </c>
      <c r="F315" s="523" t="e">
        <f ca="1">gr(données_step[[#This Row],[E_NTOT]])</f>
        <v>#NAME?</v>
      </c>
      <c r="G315" s="523" t="e">
        <f ca="1">gr(données_step[[#This Row],[E_PTOT]])</f>
        <v>#NAME?</v>
      </c>
      <c r="H315" s="523" t="e">
        <f ca="1">gr(données_step[[#This Row],[S_DBO5]])</f>
        <v>#NAME?</v>
      </c>
      <c r="I315" s="523" t="e">
        <f ca="1">gr(données_step[[#This Row],[S_DCO]])</f>
        <v>#NAME?</v>
      </c>
      <c r="J315" s="523" t="e">
        <f ca="1">gr(données_step[[#This Row],[S_COD]])</f>
        <v>#NAME?</v>
      </c>
      <c r="K315" s="523" t="e">
        <f ca="1">gr(données_step[[#This Row],[S_NH4]])</f>
        <v>#NAME?</v>
      </c>
      <c r="L315" s="523" t="e">
        <f ca="1">gr(données_step[[#This Row],[S_NO2]])</f>
        <v>#NAME?</v>
      </c>
      <c r="M315" s="523" t="e">
        <f ca="1">gr(données_step[[#This Row],[S_NO3]])</f>
        <v>#NAME?</v>
      </c>
      <c r="N315" s="523" t="e">
        <f ca="1">gr(données_step[[#This Row],[S_PORTH]])</f>
        <v>#NAME?</v>
      </c>
      <c r="O315" s="523" t="e">
        <f ca="1">gr(données_step[[#This Row],[S_PTOT]])</f>
        <v>#NAME?</v>
      </c>
      <c r="P315" s="523" t="e">
        <f ca="1">gr(données_step[[#This Row],[S_MES]])</f>
        <v>#NAME?</v>
      </c>
      <c r="Q315" s="523" t="e">
        <v>#N/A</v>
      </c>
      <c r="R315" s="523" t="e">
        <v>#N/A</v>
      </c>
      <c r="S315" s="523" t="e">
        <v>#N/A</v>
      </c>
      <c r="T315" s="523" t="e">
        <v>#N/A</v>
      </c>
      <c r="U315" s="523" t="e">
        <v>#N/A</v>
      </c>
      <c r="V315" s="523" t="e">
        <v>#N/A</v>
      </c>
      <c r="W315" s="523" t="e">
        <v>#N/A</v>
      </c>
      <c r="X315" s="523" t="e">
        <v>#N/A</v>
      </c>
      <c r="Y315" s="523" t="e">
        <v>#N/A</v>
      </c>
      <c r="Z315" s="523"/>
      <c r="AA315" s="523"/>
    </row>
    <row r="316" spans="1:27" x14ac:dyDescent="0.2">
      <c r="A316" s="222">
        <f>calculs!A316</f>
        <v>44867</v>
      </c>
      <c r="B316" s="523" t="e">
        <f ca="1">gr(données_step[[#This Row],[E_DBO5]])</f>
        <v>#NAME?</v>
      </c>
      <c r="C316" s="523" t="e">
        <f ca="1">gr(données_step[[#This Row],[E_DCO]])</f>
        <v>#NAME?</v>
      </c>
      <c r="D316" s="523" t="e">
        <f ca="1">gr(données_step[[#This Row],[E_COT]])</f>
        <v>#NAME?</v>
      </c>
      <c r="E316" s="523" t="e">
        <f ca="1">gr(données_step[[#This Row],[E_NH4]])</f>
        <v>#NAME?</v>
      </c>
      <c r="F316" s="523" t="e">
        <f ca="1">gr(données_step[[#This Row],[E_NTOT]])</f>
        <v>#NAME?</v>
      </c>
      <c r="G316" s="523" t="e">
        <f ca="1">gr(données_step[[#This Row],[E_PTOT]])</f>
        <v>#NAME?</v>
      </c>
      <c r="H316" s="523" t="e">
        <f ca="1">gr(données_step[[#This Row],[S_DBO5]])</f>
        <v>#NAME?</v>
      </c>
      <c r="I316" s="523" t="e">
        <f ca="1">gr(données_step[[#This Row],[S_DCO]])</f>
        <v>#NAME?</v>
      </c>
      <c r="J316" s="523" t="e">
        <f ca="1">gr(données_step[[#This Row],[S_COD]])</f>
        <v>#NAME?</v>
      </c>
      <c r="K316" s="523" t="e">
        <f ca="1">gr(données_step[[#This Row],[S_NH4]])</f>
        <v>#NAME?</v>
      </c>
      <c r="L316" s="523" t="e">
        <f ca="1">gr(données_step[[#This Row],[S_NO2]])</f>
        <v>#NAME?</v>
      </c>
      <c r="M316" s="523" t="e">
        <f ca="1">gr(données_step[[#This Row],[S_NO3]])</f>
        <v>#NAME?</v>
      </c>
      <c r="N316" s="523" t="e">
        <f ca="1">gr(données_step[[#This Row],[S_PORTH]])</f>
        <v>#NAME?</v>
      </c>
      <c r="O316" s="523" t="e">
        <f ca="1">gr(données_step[[#This Row],[S_PTOT]])</f>
        <v>#NAME?</v>
      </c>
      <c r="P316" s="523" t="e">
        <f ca="1">gr(données_step[[#This Row],[S_MES]])</f>
        <v>#NAME?</v>
      </c>
      <c r="Q316" s="523" t="e">
        <v>#N/A</v>
      </c>
      <c r="R316" s="523" t="e">
        <v>#N/A</v>
      </c>
      <c r="S316" s="523" t="e">
        <v>#N/A</v>
      </c>
      <c r="T316" s="523" t="e">
        <v>#N/A</v>
      </c>
      <c r="U316" s="523" t="e">
        <v>#N/A</v>
      </c>
      <c r="V316" s="523" t="e">
        <v>#N/A</v>
      </c>
      <c r="W316" s="523" t="e">
        <v>#N/A</v>
      </c>
      <c r="X316" s="523" t="e">
        <v>#N/A</v>
      </c>
      <c r="Y316" s="523" t="e">
        <v>#N/A</v>
      </c>
      <c r="Z316" s="523"/>
      <c r="AA316" s="523"/>
    </row>
    <row r="317" spans="1:27" x14ac:dyDescent="0.2">
      <c r="A317" s="222">
        <f>calculs!A317</f>
        <v>44868</v>
      </c>
      <c r="B317" s="523" t="e">
        <f ca="1">gr(données_step[[#This Row],[E_DBO5]])</f>
        <v>#NAME?</v>
      </c>
      <c r="C317" s="523" t="e">
        <f ca="1">gr(données_step[[#This Row],[E_DCO]])</f>
        <v>#NAME?</v>
      </c>
      <c r="D317" s="523" t="e">
        <f ca="1">gr(données_step[[#This Row],[E_COT]])</f>
        <v>#NAME?</v>
      </c>
      <c r="E317" s="523" t="e">
        <f ca="1">gr(données_step[[#This Row],[E_NH4]])</f>
        <v>#NAME?</v>
      </c>
      <c r="F317" s="523" t="e">
        <f ca="1">gr(données_step[[#This Row],[E_NTOT]])</f>
        <v>#NAME?</v>
      </c>
      <c r="G317" s="523" t="e">
        <f ca="1">gr(données_step[[#This Row],[E_PTOT]])</f>
        <v>#NAME?</v>
      </c>
      <c r="H317" s="523" t="e">
        <f ca="1">gr(données_step[[#This Row],[S_DBO5]])</f>
        <v>#NAME?</v>
      </c>
      <c r="I317" s="523" t="e">
        <f ca="1">gr(données_step[[#This Row],[S_DCO]])</f>
        <v>#NAME?</v>
      </c>
      <c r="J317" s="523" t="e">
        <f ca="1">gr(données_step[[#This Row],[S_COD]])</f>
        <v>#NAME?</v>
      </c>
      <c r="K317" s="523" t="e">
        <f ca="1">gr(données_step[[#This Row],[S_NH4]])</f>
        <v>#NAME?</v>
      </c>
      <c r="L317" s="523" t="e">
        <f ca="1">gr(données_step[[#This Row],[S_NO2]])</f>
        <v>#NAME?</v>
      </c>
      <c r="M317" s="523" t="e">
        <f ca="1">gr(données_step[[#This Row],[S_NO3]])</f>
        <v>#NAME?</v>
      </c>
      <c r="N317" s="523" t="e">
        <f ca="1">gr(données_step[[#This Row],[S_PORTH]])</f>
        <v>#NAME?</v>
      </c>
      <c r="O317" s="523" t="e">
        <f ca="1">gr(données_step[[#This Row],[S_PTOT]])</f>
        <v>#NAME?</v>
      </c>
      <c r="P317" s="523" t="e">
        <f ca="1">gr(données_step[[#This Row],[S_MES]])</f>
        <v>#NAME?</v>
      </c>
      <c r="Q317" s="523" t="e">
        <v>#N/A</v>
      </c>
      <c r="R317" s="523" t="e">
        <v>#N/A</v>
      </c>
      <c r="S317" s="523" t="e">
        <v>#N/A</v>
      </c>
      <c r="T317" s="523" t="e">
        <v>#N/A</v>
      </c>
      <c r="U317" s="523" t="e">
        <v>#N/A</v>
      </c>
      <c r="V317" s="523" t="e">
        <v>#N/A</v>
      </c>
      <c r="W317" s="523" t="e">
        <v>#N/A</v>
      </c>
      <c r="X317" s="523" t="e">
        <v>#N/A</v>
      </c>
      <c r="Y317" s="523" t="e">
        <v>#N/A</v>
      </c>
      <c r="Z317" s="523"/>
      <c r="AA317" s="523"/>
    </row>
    <row r="318" spans="1:27" x14ac:dyDescent="0.2">
      <c r="A318" s="222">
        <f>calculs!A318</f>
        <v>44869</v>
      </c>
      <c r="B318" s="523" t="e">
        <f ca="1">gr(données_step[[#This Row],[E_DBO5]])</f>
        <v>#NAME?</v>
      </c>
      <c r="C318" s="523" t="e">
        <f ca="1">gr(données_step[[#This Row],[E_DCO]])</f>
        <v>#NAME?</v>
      </c>
      <c r="D318" s="523" t="e">
        <f ca="1">gr(données_step[[#This Row],[E_COT]])</f>
        <v>#NAME?</v>
      </c>
      <c r="E318" s="523" t="e">
        <f ca="1">gr(données_step[[#This Row],[E_NH4]])</f>
        <v>#NAME?</v>
      </c>
      <c r="F318" s="523" t="e">
        <f ca="1">gr(données_step[[#This Row],[E_NTOT]])</f>
        <v>#NAME?</v>
      </c>
      <c r="G318" s="523" t="e">
        <f ca="1">gr(données_step[[#This Row],[E_PTOT]])</f>
        <v>#NAME?</v>
      </c>
      <c r="H318" s="523" t="e">
        <f ca="1">gr(données_step[[#This Row],[S_DBO5]])</f>
        <v>#NAME?</v>
      </c>
      <c r="I318" s="523" t="e">
        <f ca="1">gr(données_step[[#This Row],[S_DCO]])</f>
        <v>#NAME?</v>
      </c>
      <c r="J318" s="523" t="e">
        <f ca="1">gr(données_step[[#This Row],[S_COD]])</f>
        <v>#NAME?</v>
      </c>
      <c r="K318" s="523" t="e">
        <f ca="1">gr(données_step[[#This Row],[S_NH4]])</f>
        <v>#NAME?</v>
      </c>
      <c r="L318" s="523" t="e">
        <f ca="1">gr(données_step[[#This Row],[S_NO2]])</f>
        <v>#NAME?</v>
      </c>
      <c r="M318" s="523" t="e">
        <f ca="1">gr(données_step[[#This Row],[S_NO3]])</f>
        <v>#NAME?</v>
      </c>
      <c r="N318" s="523" t="e">
        <f ca="1">gr(données_step[[#This Row],[S_PORTH]])</f>
        <v>#NAME?</v>
      </c>
      <c r="O318" s="523" t="e">
        <f ca="1">gr(données_step[[#This Row],[S_PTOT]])</f>
        <v>#NAME?</v>
      </c>
      <c r="P318" s="523" t="e">
        <f ca="1">gr(données_step[[#This Row],[S_MES]])</f>
        <v>#NAME?</v>
      </c>
      <c r="Q318" s="523" t="e">
        <v>#N/A</v>
      </c>
      <c r="R318" s="523" t="e">
        <v>#N/A</v>
      </c>
      <c r="S318" s="523" t="e">
        <v>#N/A</v>
      </c>
      <c r="T318" s="523" t="e">
        <v>#N/A</v>
      </c>
      <c r="U318" s="523" t="e">
        <v>#N/A</v>
      </c>
      <c r="V318" s="523" t="e">
        <v>#N/A</v>
      </c>
      <c r="W318" s="523" t="e">
        <v>#N/A</v>
      </c>
      <c r="X318" s="523" t="e">
        <v>#N/A</v>
      </c>
      <c r="Y318" s="523" t="e">
        <v>#N/A</v>
      </c>
      <c r="Z318" s="523"/>
      <c r="AA318" s="523"/>
    </row>
    <row r="319" spans="1:27" x14ac:dyDescent="0.2">
      <c r="A319" s="222">
        <f>calculs!A319</f>
        <v>44870</v>
      </c>
      <c r="B319" s="523" t="e">
        <f ca="1">gr(données_step[[#This Row],[E_DBO5]])</f>
        <v>#NAME?</v>
      </c>
      <c r="C319" s="523" t="e">
        <f ca="1">gr(données_step[[#This Row],[E_DCO]])</f>
        <v>#NAME?</v>
      </c>
      <c r="D319" s="523" t="e">
        <f ca="1">gr(données_step[[#This Row],[E_COT]])</f>
        <v>#NAME?</v>
      </c>
      <c r="E319" s="523" t="e">
        <f ca="1">gr(données_step[[#This Row],[E_NH4]])</f>
        <v>#NAME?</v>
      </c>
      <c r="F319" s="523" t="e">
        <f ca="1">gr(données_step[[#This Row],[E_NTOT]])</f>
        <v>#NAME?</v>
      </c>
      <c r="G319" s="523" t="e">
        <f ca="1">gr(données_step[[#This Row],[E_PTOT]])</f>
        <v>#NAME?</v>
      </c>
      <c r="H319" s="523" t="e">
        <f ca="1">gr(données_step[[#This Row],[S_DBO5]])</f>
        <v>#NAME?</v>
      </c>
      <c r="I319" s="523" t="e">
        <f ca="1">gr(données_step[[#This Row],[S_DCO]])</f>
        <v>#NAME?</v>
      </c>
      <c r="J319" s="523" t="e">
        <f ca="1">gr(données_step[[#This Row],[S_COD]])</f>
        <v>#NAME?</v>
      </c>
      <c r="K319" s="523" t="e">
        <f ca="1">gr(données_step[[#This Row],[S_NH4]])</f>
        <v>#NAME?</v>
      </c>
      <c r="L319" s="523" t="e">
        <f ca="1">gr(données_step[[#This Row],[S_NO2]])</f>
        <v>#NAME?</v>
      </c>
      <c r="M319" s="523" t="e">
        <f ca="1">gr(données_step[[#This Row],[S_NO3]])</f>
        <v>#NAME?</v>
      </c>
      <c r="N319" s="523" t="e">
        <f ca="1">gr(données_step[[#This Row],[S_PORTH]])</f>
        <v>#NAME?</v>
      </c>
      <c r="O319" s="523" t="e">
        <f ca="1">gr(données_step[[#This Row],[S_PTOT]])</f>
        <v>#NAME?</v>
      </c>
      <c r="P319" s="523" t="e">
        <f ca="1">gr(données_step[[#This Row],[S_MES]])</f>
        <v>#NAME?</v>
      </c>
      <c r="Q319" s="523" t="e">
        <v>#N/A</v>
      </c>
      <c r="R319" s="523" t="e">
        <v>#N/A</v>
      </c>
      <c r="S319" s="523" t="e">
        <v>#N/A</v>
      </c>
      <c r="T319" s="523" t="e">
        <v>#N/A</v>
      </c>
      <c r="U319" s="523" t="e">
        <v>#N/A</v>
      </c>
      <c r="V319" s="523" t="e">
        <v>#N/A</v>
      </c>
      <c r="W319" s="523" t="e">
        <v>#N/A</v>
      </c>
      <c r="X319" s="523" t="e">
        <v>#N/A</v>
      </c>
      <c r="Y319" s="523" t="e">
        <v>#N/A</v>
      </c>
      <c r="Z319" s="523"/>
      <c r="AA319" s="523"/>
    </row>
    <row r="320" spans="1:27" x14ac:dyDescent="0.2">
      <c r="A320" s="222">
        <f>calculs!A320</f>
        <v>44871</v>
      </c>
      <c r="B320" s="523" t="e">
        <f ca="1">gr(données_step[[#This Row],[E_DBO5]])</f>
        <v>#NAME?</v>
      </c>
      <c r="C320" s="523" t="e">
        <f ca="1">gr(données_step[[#This Row],[E_DCO]])</f>
        <v>#NAME?</v>
      </c>
      <c r="D320" s="523" t="e">
        <f ca="1">gr(données_step[[#This Row],[E_COT]])</f>
        <v>#NAME?</v>
      </c>
      <c r="E320" s="523" t="e">
        <f ca="1">gr(données_step[[#This Row],[E_NH4]])</f>
        <v>#NAME?</v>
      </c>
      <c r="F320" s="523" t="e">
        <f ca="1">gr(données_step[[#This Row],[E_NTOT]])</f>
        <v>#NAME?</v>
      </c>
      <c r="G320" s="523" t="e">
        <f ca="1">gr(données_step[[#This Row],[E_PTOT]])</f>
        <v>#NAME?</v>
      </c>
      <c r="H320" s="523" t="e">
        <f ca="1">gr(données_step[[#This Row],[S_DBO5]])</f>
        <v>#NAME?</v>
      </c>
      <c r="I320" s="523" t="e">
        <f ca="1">gr(données_step[[#This Row],[S_DCO]])</f>
        <v>#NAME?</v>
      </c>
      <c r="J320" s="523" t="e">
        <f ca="1">gr(données_step[[#This Row],[S_COD]])</f>
        <v>#NAME?</v>
      </c>
      <c r="K320" s="523" t="e">
        <f ca="1">gr(données_step[[#This Row],[S_NH4]])</f>
        <v>#NAME?</v>
      </c>
      <c r="L320" s="523" t="e">
        <f ca="1">gr(données_step[[#This Row],[S_NO2]])</f>
        <v>#NAME?</v>
      </c>
      <c r="M320" s="523" t="e">
        <f ca="1">gr(données_step[[#This Row],[S_NO3]])</f>
        <v>#NAME?</v>
      </c>
      <c r="N320" s="523" t="e">
        <f ca="1">gr(données_step[[#This Row],[S_PORTH]])</f>
        <v>#NAME?</v>
      </c>
      <c r="O320" s="523" t="e">
        <f ca="1">gr(données_step[[#This Row],[S_PTOT]])</f>
        <v>#NAME?</v>
      </c>
      <c r="P320" s="523" t="e">
        <f ca="1">gr(données_step[[#This Row],[S_MES]])</f>
        <v>#NAME?</v>
      </c>
      <c r="Q320" s="523" t="e">
        <v>#N/A</v>
      </c>
      <c r="R320" s="523" t="e">
        <v>#N/A</v>
      </c>
      <c r="S320" s="523" t="e">
        <v>#N/A</v>
      </c>
      <c r="T320" s="523" t="e">
        <v>#N/A</v>
      </c>
      <c r="U320" s="523" t="e">
        <v>#N/A</v>
      </c>
      <c r="V320" s="523" t="e">
        <v>#N/A</v>
      </c>
      <c r="W320" s="523" t="e">
        <v>#N/A</v>
      </c>
      <c r="X320" s="523" t="e">
        <v>#N/A</v>
      </c>
      <c r="Y320" s="523" t="e">
        <v>#N/A</v>
      </c>
      <c r="Z320" s="523"/>
      <c r="AA320" s="523"/>
    </row>
    <row r="321" spans="1:27" x14ac:dyDescent="0.2">
      <c r="A321" s="222">
        <f>calculs!A321</f>
        <v>44872</v>
      </c>
      <c r="B321" s="523" t="e">
        <f ca="1">gr(données_step[[#This Row],[E_DBO5]])</f>
        <v>#NAME?</v>
      </c>
      <c r="C321" s="523" t="e">
        <f ca="1">gr(données_step[[#This Row],[E_DCO]])</f>
        <v>#NAME?</v>
      </c>
      <c r="D321" s="523" t="e">
        <f ca="1">gr(données_step[[#This Row],[E_COT]])</f>
        <v>#NAME?</v>
      </c>
      <c r="E321" s="523" t="e">
        <f ca="1">gr(données_step[[#This Row],[E_NH4]])</f>
        <v>#NAME?</v>
      </c>
      <c r="F321" s="523" t="e">
        <f ca="1">gr(données_step[[#This Row],[E_NTOT]])</f>
        <v>#NAME?</v>
      </c>
      <c r="G321" s="523" t="e">
        <f ca="1">gr(données_step[[#This Row],[E_PTOT]])</f>
        <v>#NAME?</v>
      </c>
      <c r="H321" s="523" t="e">
        <f ca="1">gr(données_step[[#This Row],[S_DBO5]])</f>
        <v>#NAME?</v>
      </c>
      <c r="I321" s="523" t="e">
        <f ca="1">gr(données_step[[#This Row],[S_DCO]])</f>
        <v>#NAME?</v>
      </c>
      <c r="J321" s="523" t="e">
        <f ca="1">gr(données_step[[#This Row],[S_COD]])</f>
        <v>#NAME?</v>
      </c>
      <c r="K321" s="523" t="e">
        <f ca="1">gr(données_step[[#This Row],[S_NH4]])</f>
        <v>#NAME?</v>
      </c>
      <c r="L321" s="523" t="e">
        <f ca="1">gr(données_step[[#This Row],[S_NO2]])</f>
        <v>#NAME?</v>
      </c>
      <c r="M321" s="523" t="e">
        <f ca="1">gr(données_step[[#This Row],[S_NO3]])</f>
        <v>#NAME?</v>
      </c>
      <c r="N321" s="523" t="e">
        <f ca="1">gr(données_step[[#This Row],[S_PORTH]])</f>
        <v>#NAME?</v>
      </c>
      <c r="O321" s="523" t="e">
        <f ca="1">gr(données_step[[#This Row],[S_PTOT]])</f>
        <v>#NAME?</v>
      </c>
      <c r="P321" s="523" t="e">
        <f ca="1">gr(données_step[[#This Row],[S_MES]])</f>
        <v>#NAME?</v>
      </c>
      <c r="Q321" s="523" t="e">
        <v>#N/A</v>
      </c>
      <c r="R321" s="523" t="e">
        <v>#N/A</v>
      </c>
      <c r="S321" s="523" t="e">
        <v>#N/A</v>
      </c>
      <c r="T321" s="523" t="e">
        <v>#N/A</v>
      </c>
      <c r="U321" s="523" t="e">
        <v>#N/A</v>
      </c>
      <c r="V321" s="523" t="e">
        <v>#N/A</v>
      </c>
      <c r="W321" s="523" t="e">
        <v>#N/A</v>
      </c>
      <c r="X321" s="523" t="e">
        <v>#N/A</v>
      </c>
      <c r="Y321" s="523" t="e">
        <v>#N/A</v>
      </c>
      <c r="Z321" s="523"/>
      <c r="AA321" s="523"/>
    </row>
    <row r="322" spans="1:27" x14ac:dyDescent="0.2">
      <c r="A322" s="222">
        <f>calculs!A322</f>
        <v>44873</v>
      </c>
      <c r="B322" s="523" t="e">
        <f ca="1">gr(données_step[[#This Row],[E_DBO5]])</f>
        <v>#NAME?</v>
      </c>
      <c r="C322" s="523" t="e">
        <f ca="1">gr(données_step[[#This Row],[E_DCO]])</f>
        <v>#NAME?</v>
      </c>
      <c r="D322" s="523" t="e">
        <f ca="1">gr(données_step[[#This Row],[E_COT]])</f>
        <v>#NAME?</v>
      </c>
      <c r="E322" s="523" t="e">
        <f ca="1">gr(données_step[[#This Row],[E_NH4]])</f>
        <v>#NAME?</v>
      </c>
      <c r="F322" s="523" t="e">
        <f ca="1">gr(données_step[[#This Row],[E_NTOT]])</f>
        <v>#NAME?</v>
      </c>
      <c r="G322" s="523" t="e">
        <f ca="1">gr(données_step[[#This Row],[E_PTOT]])</f>
        <v>#NAME?</v>
      </c>
      <c r="H322" s="523" t="e">
        <f ca="1">gr(données_step[[#This Row],[S_DBO5]])</f>
        <v>#NAME?</v>
      </c>
      <c r="I322" s="523" t="e">
        <f ca="1">gr(données_step[[#This Row],[S_DCO]])</f>
        <v>#NAME?</v>
      </c>
      <c r="J322" s="523" t="e">
        <f ca="1">gr(données_step[[#This Row],[S_COD]])</f>
        <v>#NAME?</v>
      </c>
      <c r="K322" s="523" t="e">
        <f ca="1">gr(données_step[[#This Row],[S_NH4]])</f>
        <v>#NAME?</v>
      </c>
      <c r="L322" s="523" t="e">
        <f ca="1">gr(données_step[[#This Row],[S_NO2]])</f>
        <v>#NAME?</v>
      </c>
      <c r="M322" s="523" t="e">
        <f ca="1">gr(données_step[[#This Row],[S_NO3]])</f>
        <v>#NAME?</v>
      </c>
      <c r="N322" s="523" t="e">
        <f ca="1">gr(données_step[[#This Row],[S_PORTH]])</f>
        <v>#NAME?</v>
      </c>
      <c r="O322" s="523" t="e">
        <f ca="1">gr(données_step[[#This Row],[S_PTOT]])</f>
        <v>#NAME?</v>
      </c>
      <c r="P322" s="523" t="e">
        <f ca="1">gr(données_step[[#This Row],[S_MES]])</f>
        <v>#NAME?</v>
      </c>
      <c r="Q322" s="523" t="e">
        <v>#N/A</v>
      </c>
      <c r="R322" s="523" t="e">
        <v>#N/A</v>
      </c>
      <c r="S322" s="523" t="e">
        <v>#N/A</v>
      </c>
      <c r="T322" s="523" t="e">
        <v>#N/A</v>
      </c>
      <c r="U322" s="523" t="e">
        <v>#N/A</v>
      </c>
      <c r="V322" s="523" t="e">
        <v>#N/A</v>
      </c>
      <c r="W322" s="523" t="e">
        <v>#N/A</v>
      </c>
      <c r="X322" s="523" t="e">
        <v>#N/A</v>
      </c>
      <c r="Y322" s="523" t="e">
        <v>#N/A</v>
      </c>
      <c r="Z322" s="523"/>
      <c r="AA322" s="523"/>
    </row>
    <row r="323" spans="1:27" x14ac:dyDescent="0.2">
      <c r="A323" s="222">
        <f>calculs!A323</f>
        <v>44874</v>
      </c>
      <c r="B323" s="523" t="e">
        <f ca="1">gr(données_step[[#This Row],[E_DBO5]])</f>
        <v>#NAME?</v>
      </c>
      <c r="C323" s="523" t="e">
        <f ca="1">gr(données_step[[#This Row],[E_DCO]])</f>
        <v>#NAME?</v>
      </c>
      <c r="D323" s="523" t="e">
        <f ca="1">gr(données_step[[#This Row],[E_COT]])</f>
        <v>#NAME?</v>
      </c>
      <c r="E323" s="523" t="e">
        <f ca="1">gr(données_step[[#This Row],[E_NH4]])</f>
        <v>#NAME?</v>
      </c>
      <c r="F323" s="523" t="e">
        <f ca="1">gr(données_step[[#This Row],[E_NTOT]])</f>
        <v>#NAME?</v>
      </c>
      <c r="G323" s="523" t="e">
        <f ca="1">gr(données_step[[#This Row],[E_PTOT]])</f>
        <v>#NAME?</v>
      </c>
      <c r="H323" s="523" t="e">
        <f ca="1">gr(données_step[[#This Row],[S_DBO5]])</f>
        <v>#NAME?</v>
      </c>
      <c r="I323" s="523" t="e">
        <f ca="1">gr(données_step[[#This Row],[S_DCO]])</f>
        <v>#NAME?</v>
      </c>
      <c r="J323" s="523" t="e">
        <f ca="1">gr(données_step[[#This Row],[S_COD]])</f>
        <v>#NAME?</v>
      </c>
      <c r="K323" s="523" t="e">
        <f ca="1">gr(données_step[[#This Row],[S_NH4]])</f>
        <v>#NAME?</v>
      </c>
      <c r="L323" s="523" t="e">
        <f ca="1">gr(données_step[[#This Row],[S_NO2]])</f>
        <v>#NAME?</v>
      </c>
      <c r="M323" s="523" t="e">
        <f ca="1">gr(données_step[[#This Row],[S_NO3]])</f>
        <v>#NAME?</v>
      </c>
      <c r="N323" s="523" t="e">
        <f ca="1">gr(données_step[[#This Row],[S_PORTH]])</f>
        <v>#NAME?</v>
      </c>
      <c r="O323" s="523" t="e">
        <f ca="1">gr(données_step[[#This Row],[S_PTOT]])</f>
        <v>#NAME?</v>
      </c>
      <c r="P323" s="523" t="e">
        <f ca="1">gr(données_step[[#This Row],[S_MES]])</f>
        <v>#NAME?</v>
      </c>
      <c r="Q323" s="523" t="e">
        <v>#N/A</v>
      </c>
      <c r="R323" s="523" t="e">
        <v>#N/A</v>
      </c>
      <c r="S323" s="523" t="e">
        <v>#N/A</v>
      </c>
      <c r="T323" s="523" t="e">
        <v>#N/A</v>
      </c>
      <c r="U323" s="523" t="e">
        <v>#N/A</v>
      </c>
      <c r="V323" s="523" t="e">
        <v>#N/A</v>
      </c>
      <c r="W323" s="523" t="e">
        <v>#N/A</v>
      </c>
      <c r="X323" s="523" t="e">
        <v>#N/A</v>
      </c>
      <c r="Y323" s="523" t="e">
        <v>#N/A</v>
      </c>
      <c r="Z323" s="523"/>
      <c r="AA323" s="523"/>
    </row>
    <row r="324" spans="1:27" x14ac:dyDescent="0.2">
      <c r="A324" s="222">
        <f>calculs!A324</f>
        <v>44875</v>
      </c>
      <c r="B324" s="523" t="e">
        <f ca="1">gr(données_step[[#This Row],[E_DBO5]])</f>
        <v>#NAME?</v>
      </c>
      <c r="C324" s="523" t="e">
        <f ca="1">gr(données_step[[#This Row],[E_DCO]])</f>
        <v>#NAME?</v>
      </c>
      <c r="D324" s="523" t="e">
        <f ca="1">gr(données_step[[#This Row],[E_COT]])</f>
        <v>#NAME?</v>
      </c>
      <c r="E324" s="523" t="e">
        <f ca="1">gr(données_step[[#This Row],[E_NH4]])</f>
        <v>#NAME?</v>
      </c>
      <c r="F324" s="523" t="e">
        <f ca="1">gr(données_step[[#This Row],[E_NTOT]])</f>
        <v>#NAME?</v>
      </c>
      <c r="G324" s="523" t="e">
        <f ca="1">gr(données_step[[#This Row],[E_PTOT]])</f>
        <v>#NAME?</v>
      </c>
      <c r="H324" s="523" t="e">
        <f ca="1">gr(données_step[[#This Row],[S_DBO5]])</f>
        <v>#NAME?</v>
      </c>
      <c r="I324" s="523" t="e">
        <f ca="1">gr(données_step[[#This Row],[S_DCO]])</f>
        <v>#NAME?</v>
      </c>
      <c r="J324" s="523" t="e">
        <f ca="1">gr(données_step[[#This Row],[S_COD]])</f>
        <v>#NAME?</v>
      </c>
      <c r="K324" s="523" t="e">
        <f ca="1">gr(données_step[[#This Row],[S_NH4]])</f>
        <v>#NAME?</v>
      </c>
      <c r="L324" s="523" t="e">
        <f ca="1">gr(données_step[[#This Row],[S_NO2]])</f>
        <v>#NAME?</v>
      </c>
      <c r="M324" s="523" t="e">
        <f ca="1">gr(données_step[[#This Row],[S_NO3]])</f>
        <v>#NAME?</v>
      </c>
      <c r="N324" s="523" t="e">
        <f ca="1">gr(données_step[[#This Row],[S_PORTH]])</f>
        <v>#NAME?</v>
      </c>
      <c r="O324" s="523" t="e">
        <f ca="1">gr(données_step[[#This Row],[S_PTOT]])</f>
        <v>#NAME?</v>
      </c>
      <c r="P324" s="523" t="e">
        <f ca="1">gr(données_step[[#This Row],[S_MES]])</f>
        <v>#NAME?</v>
      </c>
      <c r="Q324" s="523" t="e">
        <v>#N/A</v>
      </c>
      <c r="R324" s="523" t="e">
        <v>#N/A</v>
      </c>
      <c r="S324" s="523" t="e">
        <v>#N/A</v>
      </c>
      <c r="T324" s="523" t="e">
        <v>#N/A</v>
      </c>
      <c r="U324" s="523" t="e">
        <v>#N/A</v>
      </c>
      <c r="V324" s="523" t="e">
        <v>#N/A</v>
      </c>
      <c r="W324" s="523" t="e">
        <v>#N/A</v>
      </c>
      <c r="X324" s="523" t="e">
        <v>#N/A</v>
      </c>
      <c r="Y324" s="523" t="e">
        <v>#N/A</v>
      </c>
      <c r="Z324" s="523"/>
      <c r="AA324" s="523"/>
    </row>
    <row r="325" spans="1:27" x14ac:dyDescent="0.2">
      <c r="A325" s="222">
        <f>calculs!A325</f>
        <v>44876</v>
      </c>
      <c r="B325" s="523" t="e">
        <f ca="1">gr(données_step[[#This Row],[E_DBO5]])</f>
        <v>#NAME?</v>
      </c>
      <c r="C325" s="523" t="e">
        <f ca="1">gr(données_step[[#This Row],[E_DCO]])</f>
        <v>#NAME?</v>
      </c>
      <c r="D325" s="523" t="e">
        <f ca="1">gr(données_step[[#This Row],[E_COT]])</f>
        <v>#NAME?</v>
      </c>
      <c r="E325" s="523" t="e">
        <f ca="1">gr(données_step[[#This Row],[E_NH4]])</f>
        <v>#NAME?</v>
      </c>
      <c r="F325" s="523" t="e">
        <f ca="1">gr(données_step[[#This Row],[E_NTOT]])</f>
        <v>#NAME?</v>
      </c>
      <c r="G325" s="523" t="e">
        <f ca="1">gr(données_step[[#This Row],[E_PTOT]])</f>
        <v>#NAME?</v>
      </c>
      <c r="H325" s="523" t="e">
        <f ca="1">gr(données_step[[#This Row],[S_DBO5]])</f>
        <v>#NAME?</v>
      </c>
      <c r="I325" s="523" t="e">
        <f ca="1">gr(données_step[[#This Row],[S_DCO]])</f>
        <v>#NAME?</v>
      </c>
      <c r="J325" s="523" t="e">
        <f ca="1">gr(données_step[[#This Row],[S_COD]])</f>
        <v>#NAME?</v>
      </c>
      <c r="K325" s="523" t="e">
        <f ca="1">gr(données_step[[#This Row],[S_NH4]])</f>
        <v>#NAME?</v>
      </c>
      <c r="L325" s="523" t="e">
        <f ca="1">gr(données_step[[#This Row],[S_NO2]])</f>
        <v>#NAME?</v>
      </c>
      <c r="M325" s="523" t="e">
        <f ca="1">gr(données_step[[#This Row],[S_NO3]])</f>
        <v>#NAME?</v>
      </c>
      <c r="N325" s="523" t="e">
        <f ca="1">gr(données_step[[#This Row],[S_PORTH]])</f>
        <v>#NAME?</v>
      </c>
      <c r="O325" s="523" t="e">
        <f ca="1">gr(données_step[[#This Row],[S_PTOT]])</f>
        <v>#NAME?</v>
      </c>
      <c r="P325" s="523" t="e">
        <f ca="1">gr(données_step[[#This Row],[S_MES]])</f>
        <v>#NAME?</v>
      </c>
      <c r="Q325" s="523" t="e">
        <v>#N/A</v>
      </c>
      <c r="R325" s="523" t="e">
        <v>#N/A</v>
      </c>
      <c r="S325" s="523" t="e">
        <v>#N/A</v>
      </c>
      <c r="T325" s="523" t="e">
        <v>#N/A</v>
      </c>
      <c r="U325" s="523" t="e">
        <v>#N/A</v>
      </c>
      <c r="V325" s="523" t="e">
        <v>#N/A</v>
      </c>
      <c r="W325" s="523" t="e">
        <v>#N/A</v>
      </c>
      <c r="X325" s="523" t="e">
        <v>#N/A</v>
      </c>
      <c r="Y325" s="523" t="e">
        <v>#N/A</v>
      </c>
      <c r="Z325" s="523"/>
      <c r="AA325" s="523"/>
    </row>
    <row r="326" spans="1:27" x14ac:dyDescent="0.2">
      <c r="A326" s="222">
        <f>calculs!A326</f>
        <v>44877</v>
      </c>
      <c r="B326" s="523" t="e">
        <f ca="1">gr(données_step[[#This Row],[E_DBO5]])</f>
        <v>#NAME?</v>
      </c>
      <c r="C326" s="523" t="e">
        <f ca="1">gr(données_step[[#This Row],[E_DCO]])</f>
        <v>#NAME?</v>
      </c>
      <c r="D326" s="523" t="e">
        <f ca="1">gr(données_step[[#This Row],[E_COT]])</f>
        <v>#NAME?</v>
      </c>
      <c r="E326" s="523" t="e">
        <f ca="1">gr(données_step[[#This Row],[E_NH4]])</f>
        <v>#NAME?</v>
      </c>
      <c r="F326" s="523" t="e">
        <f ca="1">gr(données_step[[#This Row],[E_NTOT]])</f>
        <v>#NAME?</v>
      </c>
      <c r="G326" s="523" t="e">
        <f ca="1">gr(données_step[[#This Row],[E_PTOT]])</f>
        <v>#NAME?</v>
      </c>
      <c r="H326" s="523" t="e">
        <f ca="1">gr(données_step[[#This Row],[S_DBO5]])</f>
        <v>#NAME?</v>
      </c>
      <c r="I326" s="523" t="e">
        <f ca="1">gr(données_step[[#This Row],[S_DCO]])</f>
        <v>#NAME?</v>
      </c>
      <c r="J326" s="523" t="e">
        <f ca="1">gr(données_step[[#This Row],[S_COD]])</f>
        <v>#NAME?</v>
      </c>
      <c r="K326" s="523" t="e">
        <f ca="1">gr(données_step[[#This Row],[S_NH4]])</f>
        <v>#NAME?</v>
      </c>
      <c r="L326" s="523" t="e">
        <f ca="1">gr(données_step[[#This Row],[S_NO2]])</f>
        <v>#NAME?</v>
      </c>
      <c r="M326" s="523" t="e">
        <f ca="1">gr(données_step[[#This Row],[S_NO3]])</f>
        <v>#NAME?</v>
      </c>
      <c r="N326" s="523" t="e">
        <f ca="1">gr(données_step[[#This Row],[S_PORTH]])</f>
        <v>#NAME?</v>
      </c>
      <c r="O326" s="523" t="e">
        <f ca="1">gr(données_step[[#This Row],[S_PTOT]])</f>
        <v>#NAME?</v>
      </c>
      <c r="P326" s="523" t="e">
        <f ca="1">gr(données_step[[#This Row],[S_MES]])</f>
        <v>#NAME?</v>
      </c>
      <c r="Q326" s="523" t="e">
        <v>#N/A</v>
      </c>
      <c r="R326" s="523" t="e">
        <v>#N/A</v>
      </c>
      <c r="S326" s="523" t="e">
        <v>#N/A</v>
      </c>
      <c r="T326" s="523" t="e">
        <v>#N/A</v>
      </c>
      <c r="U326" s="523" t="e">
        <v>#N/A</v>
      </c>
      <c r="V326" s="523" t="e">
        <v>#N/A</v>
      </c>
      <c r="W326" s="523" t="e">
        <v>#N/A</v>
      </c>
      <c r="X326" s="523" t="e">
        <v>#N/A</v>
      </c>
      <c r="Y326" s="523" t="e">
        <v>#N/A</v>
      </c>
      <c r="Z326" s="523"/>
      <c r="AA326" s="523"/>
    </row>
    <row r="327" spans="1:27" x14ac:dyDescent="0.2">
      <c r="A327" s="222">
        <f>calculs!A327</f>
        <v>44878</v>
      </c>
      <c r="B327" s="523" t="e">
        <f ca="1">gr(données_step[[#This Row],[E_DBO5]])</f>
        <v>#NAME?</v>
      </c>
      <c r="C327" s="523" t="e">
        <f ca="1">gr(données_step[[#This Row],[E_DCO]])</f>
        <v>#NAME?</v>
      </c>
      <c r="D327" s="523" t="e">
        <f ca="1">gr(données_step[[#This Row],[E_COT]])</f>
        <v>#NAME?</v>
      </c>
      <c r="E327" s="523" t="e">
        <f ca="1">gr(données_step[[#This Row],[E_NH4]])</f>
        <v>#NAME?</v>
      </c>
      <c r="F327" s="523" t="e">
        <f ca="1">gr(données_step[[#This Row],[E_NTOT]])</f>
        <v>#NAME?</v>
      </c>
      <c r="G327" s="523" t="e">
        <f ca="1">gr(données_step[[#This Row],[E_PTOT]])</f>
        <v>#NAME?</v>
      </c>
      <c r="H327" s="523" t="e">
        <f ca="1">gr(données_step[[#This Row],[S_DBO5]])</f>
        <v>#NAME?</v>
      </c>
      <c r="I327" s="523" t="e">
        <f ca="1">gr(données_step[[#This Row],[S_DCO]])</f>
        <v>#NAME?</v>
      </c>
      <c r="J327" s="523" t="e">
        <f ca="1">gr(données_step[[#This Row],[S_COD]])</f>
        <v>#NAME?</v>
      </c>
      <c r="K327" s="523" t="e">
        <f ca="1">gr(données_step[[#This Row],[S_NH4]])</f>
        <v>#NAME?</v>
      </c>
      <c r="L327" s="523" t="e">
        <f ca="1">gr(données_step[[#This Row],[S_NO2]])</f>
        <v>#NAME?</v>
      </c>
      <c r="M327" s="523" t="e">
        <f ca="1">gr(données_step[[#This Row],[S_NO3]])</f>
        <v>#NAME?</v>
      </c>
      <c r="N327" s="523" t="e">
        <f ca="1">gr(données_step[[#This Row],[S_PORTH]])</f>
        <v>#NAME?</v>
      </c>
      <c r="O327" s="523" t="e">
        <f ca="1">gr(données_step[[#This Row],[S_PTOT]])</f>
        <v>#NAME?</v>
      </c>
      <c r="P327" s="523" t="e">
        <f ca="1">gr(données_step[[#This Row],[S_MES]])</f>
        <v>#NAME?</v>
      </c>
      <c r="Q327" s="523" t="e">
        <v>#N/A</v>
      </c>
      <c r="R327" s="523" t="e">
        <v>#N/A</v>
      </c>
      <c r="S327" s="523" t="e">
        <v>#N/A</v>
      </c>
      <c r="T327" s="523" t="e">
        <v>#N/A</v>
      </c>
      <c r="U327" s="523" t="e">
        <v>#N/A</v>
      </c>
      <c r="V327" s="523" t="e">
        <v>#N/A</v>
      </c>
      <c r="W327" s="523" t="e">
        <v>#N/A</v>
      </c>
      <c r="X327" s="523" t="e">
        <v>#N/A</v>
      </c>
      <c r="Y327" s="523" t="e">
        <v>#N/A</v>
      </c>
      <c r="Z327" s="523"/>
      <c r="AA327" s="523"/>
    </row>
    <row r="328" spans="1:27" x14ac:dyDescent="0.2">
      <c r="A328" s="222">
        <f>calculs!A328</f>
        <v>44879</v>
      </c>
      <c r="B328" s="523" t="e">
        <f ca="1">gr(données_step[[#This Row],[E_DBO5]])</f>
        <v>#NAME?</v>
      </c>
      <c r="C328" s="523" t="e">
        <f ca="1">gr(données_step[[#This Row],[E_DCO]])</f>
        <v>#NAME?</v>
      </c>
      <c r="D328" s="523" t="e">
        <f ca="1">gr(données_step[[#This Row],[E_COT]])</f>
        <v>#NAME?</v>
      </c>
      <c r="E328" s="523" t="e">
        <f ca="1">gr(données_step[[#This Row],[E_NH4]])</f>
        <v>#NAME?</v>
      </c>
      <c r="F328" s="523" t="e">
        <f ca="1">gr(données_step[[#This Row],[E_NTOT]])</f>
        <v>#NAME?</v>
      </c>
      <c r="G328" s="523" t="e">
        <f ca="1">gr(données_step[[#This Row],[E_PTOT]])</f>
        <v>#NAME?</v>
      </c>
      <c r="H328" s="523" t="e">
        <f ca="1">gr(données_step[[#This Row],[S_DBO5]])</f>
        <v>#NAME?</v>
      </c>
      <c r="I328" s="523" t="e">
        <f ca="1">gr(données_step[[#This Row],[S_DCO]])</f>
        <v>#NAME?</v>
      </c>
      <c r="J328" s="523" t="e">
        <f ca="1">gr(données_step[[#This Row],[S_COD]])</f>
        <v>#NAME?</v>
      </c>
      <c r="K328" s="523" t="e">
        <f ca="1">gr(données_step[[#This Row],[S_NH4]])</f>
        <v>#NAME?</v>
      </c>
      <c r="L328" s="523" t="e">
        <f ca="1">gr(données_step[[#This Row],[S_NO2]])</f>
        <v>#NAME?</v>
      </c>
      <c r="M328" s="523" t="e">
        <f ca="1">gr(données_step[[#This Row],[S_NO3]])</f>
        <v>#NAME?</v>
      </c>
      <c r="N328" s="523" t="e">
        <f ca="1">gr(données_step[[#This Row],[S_PORTH]])</f>
        <v>#NAME?</v>
      </c>
      <c r="O328" s="523" t="e">
        <f ca="1">gr(données_step[[#This Row],[S_PTOT]])</f>
        <v>#NAME?</v>
      </c>
      <c r="P328" s="523" t="e">
        <f ca="1">gr(données_step[[#This Row],[S_MES]])</f>
        <v>#NAME?</v>
      </c>
      <c r="Q328" s="523" t="e">
        <v>#N/A</v>
      </c>
      <c r="R328" s="523" t="e">
        <v>#N/A</v>
      </c>
      <c r="S328" s="523" t="e">
        <v>#N/A</v>
      </c>
      <c r="T328" s="523" t="e">
        <v>#N/A</v>
      </c>
      <c r="U328" s="523" t="e">
        <v>#N/A</v>
      </c>
      <c r="V328" s="523" t="e">
        <v>#N/A</v>
      </c>
      <c r="W328" s="523" t="e">
        <v>#N/A</v>
      </c>
      <c r="X328" s="523" t="e">
        <v>#N/A</v>
      </c>
      <c r="Y328" s="523" t="e">
        <v>#N/A</v>
      </c>
      <c r="Z328" s="523"/>
      <c r="AA328" s="523"/>
    </row>
    <row r="329" spans="1:27" x14ac:dyDescent="0.2">
      <c r="A329" s="222">
        <f>calculs!A329</f>
        <v>44880</v>
      </c>
      <c r="B329" s="523" t="e">
        <f ca="1">gr(données_step[[#This Row],[E_DBO5]])</f>
        <v>#NAME?</v>
      </c>
      <c r="C329" s="523" t="e">
        <f ca="1">gr(données_step[[#This Row],[E_DCO]])</f>
        <v>#NAME?</v>
      </c>
      <c r="D329" s="523" t="e">
        <f ca="1">gr(données_step[[#This Row],[E_COT]])</f>
        <v>#NAME?</v>
      </c>
      <c r="E329" s="523" t="e">
        <f ca="1">gr(données_step[[#This Row],[E_NH4]])</f>
        <v>#NAME?</v>
      </c>
      <c r="F329" s="523" t="e">
        <f ca="1">gr(données_step[[#This Row],[E_NTOT]])</f>
        <v>#NAME?</v>
      </c>
      <c r="G329" s="523" t="e">
        <f ca="1">gr(données_step[[#This Row],[E_PTOT]])</f>
        <v>#NAME?</v>
      </c>
      <c r="H329" s="523" t="e">
        <f ca="1">gr(données_step[[#This Row],[S_DBO5]])</f>
        <v>#NAME?</v>
      </c>
      <c r="I329" s="523" t="e">
        <f ca="1">gr(données_step[[#This Row],[S_DCO]])</f>
        <v>#NAME?</v>
      </c>
      <c r="J329" s="523" t="e">
        <f ca="1">gr(données_step[[#This Row],[S_COD]])</f>
        <v>#NAME?</v>
      </c>
      <c r="K329" s="523" t="e">
        <f ca="1">gr(données_step[[#This Row],[S_NH4]])</f>
        <v>#NAME?</v>
      </c>
      <c r="L329" s="523" t="e">
        <f ca="1">gr(données_step[[#This Row],[S_NO2]])</f>
        <v>#NAME?</v>
      </c>
      <c r="M329" s="523" t="e">
        <f ca="1">gr(données_step[[#This Row],[S_NO3]])</f>
        <v>#NAME?</v>
      </c>
      <c r="N329" s="523" t="e">
        <f ca="1">gr(données_step[[#This Row],[S_PORTH]])</f>
        <v>#NAME?</v>
      </c>
      <c r="O329" s="523" t="e">
        <f ca="1">gr(données_step[[#This Row],[S_PTOT]])</f>
        <v>#NAME?</v>
      </c>
      <c r="P329" s="523" t="e">
        <f ca="1">gr(données_step[[#This Row],[S_MES]])</f>
        <v>#NAME?</v>
      </c>
      <c r="Q329" s="523" t="e">
        <v>#N/A</v>
      </c>
      <c r="R329" s="523" t="e">
        <v>#N/A</v>
      </c>
      <c r="S329" s="523" t="e">
        <v>#N/A</v>
      </c>
      <c r="T329" s="523" t="e">
        <v>#N/A</v>
      </c>
      <c r="U329" s="523" t="e">
        <v>#N/A</v>
      </c>
      <c r="V329" s="523" t="e">
        <v>#N/A</v>
      </c>
      <c r="W329" s="523" t="e">
        <v>#N/A</v>
      </c>
      <c r="X329" s="523" t="e">
        <v>#N/A</v>
      </c>
      <c r="Y329" s="523" t="e">
        <v>#N/A</v>
      </c>
      <c r="Z329" s="523"/>
      <c r="AA329" s="523"/>
    </row>
    <row r="330" spans="1:27" x14ac:dyDescent="0.2">
      <c r="A330" s="222">
        <f>calculs!A330</f>
        <v>44881</v>
      </c>
      <c r="B330" s="523" t="e">
        <f ca="1">gr(données_step[[#This Row],[E_DBO5]])</f>
        <v>#NAME?</v>
      </c>
      <c r="C330" s="523" t="e">
        <f ca="1">gr(données_step[[#This Row],[E_DCO]])</f>
        <v>#NAME?</v>
      </c>
      <c r="D330" s="523" t="e">
        <f ca="1">gr(données_step[[#This Row],[E_COT]])</f>
        <v>#NAME?</v>
      </c>
      <c r="E330" s="523" t="e">
        <f ca="1">gr(données_step[[#This Row],[E_NH4]])</f>
        <v>#NAME?</v>
      </c>
      <c r="F330" s="523" t="e">
        <f ca="1">gr(données_step[[#This Row],[E_NTOT]])</f>
        <v>#NAME?</v>
      </c>
      <c r="G330" s="523" t="e">
        <f ca="1">gr(données_step[[#This Row],[E_PTOT]])</f>
        <v>#NAME?</v>
      </c>
      <c r="H330" s="523" t="e">
        <f ca="1">gr(données_step[[#This Row],[S_DBO5]])</f>
        <v>#NAME?</v>
      </c>
      <c r="I330" s="523" t="e">
        <f ca="1">gr(données_step[[#This Row],[S_DCO]])</f>
        <v>#NAME?</v>
      </c>
      <c r="J330" s="523" t="e">
        <f ca="1">gr(données_step[[#This Row],[S_COD]])</f>
        <v>#NAME?</v>
      </c>
      <c r="K330" s="523" t="e">
        <f ca="1">gr(données_step[[#This Row],[S_NH4]])</f>
        <v>#NAME?</v>
      </c>
      <c r="L330" s="523" t="e">
        <f ca="1">gr(données_step[[#This Row],[S_NO2]])</f>
        <v>#NAME?</v>
      </c>
      <c r="M330" s="523" t="e">
        <f ca="1">gr(données_step[[#This Row],[S_NO3]])</f>
        <v>#NAME?</v>
      </c>
      <c r="N330" s="523" t="e">
        <f ca="1">gr(données_step[[#This Row],[S_PORTH]])</f>
        <v>#NAME?</v>
      </c>
      <c r="O330" s="523" t="e">
        <f ca="1">gr(données_step[[#This Row],[S_PTOT]])</f>
        <v>#NAME?</v>
      </c>
      <c r="P330" s="523" t="e">
        <f ca="1">gr(données_step[[#This Row],[S_MES]])</f>
        <v>#NAME?</v>
      </c>
      <c r="Q330" s="523" t="e">
        <v>#N/A</v>
      </c>
      <c r="R330" s="523" t="e">
        <v>#N/A</v>
      </c>
      <c r="S330" s="523" t="e">
        <v>#N/A</v>
      </c>
      <c r="T330" s="523" t="e">
        <v>#N/A</v>
      </c>
      <c r="U330" s="523" t="e">
        <v>#N/A</v>
      </c>
      <c r="V330" s="523" t="e">
        <v>#N/A</v>
      </c>
      <c r="W330" s="523" t="e">
        <v>#N/A</v>
      </c>
      <c r="X330" s="523" t="e">
        <v>#N/A</v>
      </c>
      <c r="Y330" s="523" t="e">
        <v>#N/A</v>
      </c>
      <c r="Z330" s="523"/>
      <c r="AA330" s="523"/>
    </row>
    <row r="331" spans="1:27" x14ac:dyDescent="0.2">
      <c r="A331" s="222">
        <f>calculs!A331</f>
        <v>44882</v>
      </c>
      <c r="B331" s="523" t="e">
        <f ca="1">gr(données_step[[#This Row],[E_DBO5]])</f>
        <v>#NAME?</v>
      </c>
      <c r="C331" s="523" t="e">
        <f ca="1">gr(données_step[[#This Row],[E_DCO]])</f>
        <v>#NAME?</v>
      </c>
      <c r="D331" s="523" t="e">
        <f ca="1">gr(données_step[[#This Row],[E_COT]])</f>
        <v>#NAME?</v>
      </c>
      <c r="E331" s="523" t="e">
        <f ca="1">gr(données_step[[#This Row],[E_NH4]])</f>
        <v>#NAME?</v>
      </c>
      <c r="F331" s="523" t="e">
        <f ca="1">gr(données_step[[#This Row],[E_NTOT]])</f>
        <v>#NAME?</v>
      </c>
      <c r="G331" s="523" t="e">
        <f ca="1">gr(données_step[[#This Row],[E_PTOT]])</f>
        <v>#NAME?</v>
      </c>
      <c r="H331" s="523" t="e">
        <f ca="1">gr(données_step[[#This Row],[S_DBO5]])</f>
        <v>#NAME?</v>
      </c>
      <c r="I331" s="523" t="e">
        <f ca="1">gr(données_step[[#This Row],[S_DCO]])</f>
        <v>#NAME?</v>
      </c>
      <c r="J331" s="523" t="e">
        <f ca="1">gr(données_step[[#This Row],[S_COD]])</f>
        <v>#NAME?</v>
      </c>
      <c r="K331" s="523" t="e">
        <f ca="1">gr(données_step[[#This Row],[S_NH4]])</f>
        <v>#NAME?</v>
      </c>
      <c r="L331" s="523" t="e">
        <f ca="1">gr(données_step[[#This Row],[S_NO2]])</f>
        <v>#NAME?</v>
      </c>
      <c r="M331" s="523" t="e">
        <f ca="1">gr(données_step[[#This Row],[S_NO3]])</f>
        <v>#NAME?</v>
      </c>
      <c r="N331" s="523" t="e">
        <f ca="1">gr(données_step[[#This Row],[S_PORTH]])</f>
        <v>#NAME?</v>
      </c>
      <c r="O331" s="523" t="e">
        <f ca="1">gr(données_step[[#This Row],[S_PTOT]])</f>
        <v>#NAME?</v>
      </c>
      <c r="P331" s="523" t="e">
        <f ca="1">gr(données_step[[#This Row],[S_MES]])</f>
        <v>#NAME?</v>
      </c>
      <c r="Q331" s="523" t="e">
        <v>#N/A</v>
      </c>
      <c r="R331" s="523" t="e">
        <v>#N/A</v>
      </c>
      <c r="S331" s="523" t="e">
        <v>#N/A</v>
      </c>
      <c r="T331" s="523" t="e">
        <v>#N/A</v>
      </c>
      <c r="U331" s="523" t="e">
        <v>#N/A</v>
      </c>
      <c r="V331" s="523" t="e">
        <v>#N/A</v>
      </c>
      <c r="W331" s="523" t="e">
        <v>#N/A</v>
      </c>
      <c r="X331" s="523" t="e">
        <v>#N/A</v>
      </c>
      <c r="Y331" s="523" t="e">
        <v>#N/A</v>
      </c>
      <c r="Z331" s="523"/>
      <c r="AA331" s="523"/>
    </row>
    <row r="332" spans="1:27" x14ac:dyDescent="0.2">
      <c r="A332" s="222">
        <f>calculs!A332</f>
        <v>44883</v>
      </c>
      <c r="B332" s="523" t="e">
        <f ca="1">gr(données_step[[#This Row],[E_DBO5]])</f>
        <v>#NAME?</v>
      </c>
      <c r="C332" s="523" t="e">
        <f ca="1">gr(données_step[[#This Row],[E_DCO]])</f>
        <v>#NAME?</v>
      </c>
      <c r="D332" s="523" t="e">
        <f ca="1">gr(données_step[[#This Row],[E_COT]])</f>
        <v>#NAME?</v>
      </c>
      <c r="E332" s="523" t="e">
        <f ca="1">gr(données_step[[#This Row],[E_NH4]])</f>
        <v>#NAME?</v>
      </c>
      <c r="F332" s="523" t="e">
        <f ca="1">gr(données_step[[#This Row],[E_NTOT]])</f>
        <v>#NAME?</v>
      </c>
      <c r="G332" s="523" t="e">
        <f ca="1">gr(données_step[[#This Row],[E_PTOT]])</f>
        <v>#NAME?</v>
      </c>
      <c r="H332" s="523" t="e">
        <f ca="1">gr(données_step[[#This Row],[S_DBO5]])</f>
        <v>#NAME?</v>
      </c>
      <c r="I332" s="523" t="e">
        <f ca="1">gr(données_step[[#This Row],[S_DCO]])</f>
        <v>#NAME?</v>
      </c>
      <c r="J332" s="523" t="e">
        <f ca="1">gr(données_step[[#This Row],[S_COD]])</f>
        <v>#NAME?</v>
      </c>
      <c r="K332" s="523" t="e">
        <f ca="1">gr(données_step[[#This Row],[S_NH4]])</f>
        <v>#NAME?</v>
      </c>
      <c r="L332" s="523" t="e">
        <f ca="1">gr(données_step[[#This Row],[S_NO2]])</f>
        <v>#NAME?</v>
      </c>
      <c r="M332" s="523" t="e">
        <f ca="1">gr(données_step[[#This Row],[S_NO3]])</f>
        <v>#NAME?</v>
      </c>
      <c r="N332" s="523" t="e">
        <f ca="1">gr(données_step[[#This Row],[S_PORTH]])</f>
        <v>#NAME?</v>
      </c>
      <c r="O332" s="523" t="e">
        <f ca="1">gr(données_step[[#This Row],[S_PTOT]])</f>
        <v>#NAME?</v>
      </c>
      <c r="P332" s="523" t="e">
        <f ca="1">gr(données_step[[#This Row],[S_MES]])</f>
        <v>#NAME?</v>
      </c>
      <c r="Q332" s="523" t="e">
        <v>#N/A</v>
      </c>
      <c r="R332" s="523" t="e">
        <v>#N/A</v>
      </c>
      <c r="S332" s="523" t="e">
        <v>#N/A</v>
      </c>
      <c r="T332" s="523" t="e">
        <v>#N/A</v>
      </c>
      <c r="U332" s="523" t="e">
        <v>#N/A</v>
      </c>
      <c r="V332" s="523" t="e">
        <v>#N/A</v>
      </c>
      <c r="W332" s="523" t="e">
        <v>#N/A</v>
      </c>
      <c r="X332" s="523" t="e">
        <v>#N/A</v>
      </c>
      <c r="Y332" s="523" t="e">
        <v>#N/A</v>
      </c>
      <c r="Z332" s="523"/>
      <c r="AA332" s="523"/>
    </row>
    <row r="333" spans="1:27" x14ac:dyDescent="0.2">
      <c r="A333" s="222">
        <f>calculs!A333</f>
        <v>44884</v>
      </c>
      <c r="B333" s="523" t="e">
        <f ca="1">gr(données_step[[#This Row],[E_DBO5]])</f>
        <v>#NAME?</v>
      </c>
      <c r="C333" s="523" t="e">
        <f ca="1">gr(données_step[[#This Row],[E_DCO]])</f>
        <v>#NAME?</v>
      </c>
      <c r="D333" s="523" t="e">
        <f ca="1">gr(données_step[[#This Row],[E_COT]])</f>
        <v>#NAME?</v>
      </c>
      <c r="E333" s="523" t="e">
        <f ca="1">gr(données_step[[#This Row],[E_NH4]])</f>
        <v>#NAME?</v>
      </c>
      <c r="F333" s="523" t="e">
        <f ca="1">gr(données_step[[#This Row],[E_NTOT]])</f>
        <v>#NAME?</v>
      </c>
      <c r="G333" s="523" t="e">
        <f ca="1">gr(données_step[[#This Row],[E_PTOT]])</f>
        <v>#NAME?</v>
      </c>
      <c r="H333" s="523" t="e">
        <f ca="1">gr(données_step[[#This Row],[S_DBO5]])</f>
        <v>#NAME?</v>
      </c>
      <c r="I333" s="523" t="e">
        <f ca="1">gr(données_step[[#This Row],[S_DCO]])</f>
        <v>#NAME?</v>
      </c>
      <c r="J333" s="523" t="e">
        <f ca="1">gr(données_step[[#This Row],[S_COD]])</f>
        <v>#NAME?</v>
      </c>
      <c r="K333" s="523" t="e">
        <f ca="1">gr(données_step[[#This Row],[S_NH4]])</f>
        <v>#NAME?</v>
      </c>
      <c r="L333" s="523" t="e">
        <f ca="1">gr(données_step[[#This Row],[S_NO2]])</f>
        <v>#NAME?</v>
      </c>
      <c r="M333" s="523" t="e">
        <f ca="1">gr(données_step[[#This Row],[S_NO3]])</f>
        <v>#NAME?</v>
      </c>
      <c r="N333" s="523" t="e">
        <f ca="1">gr(données_step[[#This Row],[S_PORTH]])</f>
        <v>#NAME?</v>
      </c>
      <c r="O333" s="523" t="e">
        <f ca="1">gr(données_step[[#This Row],[S_PTOT]])</f>
        <v>#NAME?</v>
      </c>
      <c r="P333" s="523" t="e">
        <f ca="1">gr(données_step[[#This Row],[S_MES]])</f>
        <v>#NAME?</v>
      </c>
      <c r="Q333" s="523" t="e">
        <v>#N/A</v>
      </c>
      <c r="R333" s="523" t="e">
        <v>#N/A</v>
      </c>
      <c r="S333" s="523" t="e">
        <v>#N/A</v>
      </c>
      <c r="T333" s="523" t="e">
        <v>#N/A</v>
      </c>
      <c r="U333" s="523" t="e">
        <v>#N/A</v>
      </c>
      <c r="V333" s="523" t="e">
        <v>#N/A</v>
      </c>
      <c r="W333" s="523" t="e">
        <v>#N/A</v>
      </c>
      <c r="X333" s="523" t="e">
        <v>#N/A</v>
      </c>
      <c r="Y333" s="523" t="e">
        <v>#N/A</v>
      </c>
      <c r="Z333" s="523"/>
      <c r="AA333" s="523"/>
    </row>
    <row r="334" spans="1:27" x14ac:dyDescent="0.2">
      <c r="A334" s="222">
        <f>calculs!A334</f>
        <v>44885</v>
      </c>
      <c r="B334" s="523" t="e">
        <f ca="1">gr(données_step[[#This Row],[E_DBO5]])</f>
        <v>#NAME?</v>
      </c>
      <c r="C334" s="523" t="e">
        <f ca="1">gr(données_step[[#This Row],[E_DCO]])</f>
        <v>#NAME?</v>
      </c>
      <c r="D334" s="523" t="e">
        <f ca="1">gr(données_step[[#This Row],[E_COT]])</f>
        <v>#NAME?</v>
      </c>
      <c r="E334" s="523" t="e">
        <f ca="1">gr(données_step[[#This Row],[E_NH4]])</f>
        <v>#NAME?</v>
      </c>
      <c r="F334" s="523" t="e">
        <f ca="1">gr(données_step[[#This Row],[E_NTOT]])</f>
        <v>#NAME?</v>
      </c>
      <c r="G334" s="523" t="e">
        <f ca="1">gr(données_step[[#This Row],[E_PTOT]])</f>
        <v>#NAME?</v>
      </c>
      <c r="H334" s="523" t="e">
        <f ca="1">gr(données_step[[#This Row],[S_DBO5]])</f>
        <v>#NAME?</v>
      </c>
      <c r="I334" s="523" t="e">
        <f ca="1">gr(données_step[[#This Row],[S_DCO]])</f>
        <v>#NAME?</v>
      </c>
      <c r="J334" s="523" t="e">
        <f ca="1">gr(données_step[[#This Row],[S_COD]])</f>
        <v>#NAME?</v>
      </c>
      <c r="K334" s="523" t="e">
        <f ca="1">gr(données_step[[#This Row],[S_NH4]])</f>
        <v>#NAME?</v>
      </c>
      <c r="L334" s="523" t="e">
        <f ca="1">gr(données_step[[#This Row],[S_NO2]])</f>
        <v>#NAME?</v>
      </c>
      <c r="M334" s="523" t="e">
        <f ca="1">gr(données_step[[#This Row],[S_NO3]])</f>
        <v>#NAME?</v>
      </c>
      <c r="N334" s="523" t="e">
        <f ca="1">gr(données_step[[#This Row],[S_PORTH]])</f>
        <v>#NAME?</v>
      </c>
      <c r="O334" s="523" t="e">
        <f ca="1">gr(données_step[[#This Row],[S_PTOT]])</f>
        <v>#NAME?</v>
      </c>
      <c r="P334" s="523" t="e">
        <f ca="1">gr(données_step[[#This Row],[S_MES]])</f>
        <v>#NAME?</v>
      </c>
      <c r="Q334" s="523" t="e">
        <v>#N/A</v>
      </c>
      <c r="R334" s="523" t="e">
        <v>#N/A</v>
      </c>
      <c r="S334" s="523" t="e">
        <v>#N/A</v>
      </c>
      <c r="T334" s="523" t="e">
        <v>#N/A</v>
      </c>
      <c r="U334" s="523" t="e">
        <v>#N/A</v>
      </c>
      <c r="V334" s="523" t="e">
        <v>#N/A</v>
      </c>
      <c r="W334" s="523" t="e">
        <v>#N/A</v>
      </c>
      <c r="X334" s="523" t="e">
        <v>#N/A</v>
      </c>
      <c r="Y334" s="523" t="e">
        <v>#N/A</v>
      </c>
      <c r="Z334" s="523"/>
      <c r="AA334" s="523"/>
    </row>
    <row r="335" spans="1:27" x14ac:dyDescent="0.2">
      <c r="A335" s="222">
        <f>calculs!A335</f>
        <v>44886</v>
      </c>
      <c r="B335" s="523" t="e">
        <f ca="1">gr(données_step[[#This Row],[E_DBO5]])</f>
        <v>#NAME?</v>
      </c>
      <c r="C335" s="523" t="e">
        <f ca="1">gr(données_step[[#This Row],[E_DCO]])</f>
        <v>#NAME?</v>
      </c>
      <c r="D335" s="523" t="e">
        <f ca="1">gr(données_step[[#This Row],[E_COT]])</f>
        <v>#NAME?</v>
      </c>
      <c r="E335" s="523" t="e">
        <f ca="1">gr(données_step[[#This Row],[E_NH4]])</f>
        <v>#NAME?</v>
      </c>
      <c r="F335" s="523" t="e">
        <f ca="1">gr(données_step[[#This Row],[E_NTOT]])</f>
        <v>#NAME?</v>
      </c>
      <c r="G335" s="523" t="e">
        <f ca="1">gr(données_step[[#This Row],[E_PTOT]])</f>
        <v>#NAME?</v>
      </c>
      <c r="H335" s="523" t="e">
        <f ca="1">gr(données_step[[#This Row],[S_DBO5]])</f>
        <v>#NAME?</v>
      </c>
      <c r="I335" s="523" t="e">
        <f ca="1">gr(données_step[[#This Row],[S_DCO]])</f>
        <v>#NAME?</v>
      </c>
      <c r="J335" s="523" t="e">
        <f ca="1">gr(données_step[[#This Row],[S_COD]])</f>
        <v>#NAME?</v>
      </c>
      <c r="K335" s="523" t="e">
        <f ca="1">gr(données_step[[#This Row],[S_NH4]])</f>
        <v>#NAME?</v>
      </c>
      <c r="L335" s="523" t="e">
        <f ca="1">gr(données_step[[#This Row],[S_NO2]])</f>
        <v>#NAME?</v>
      </c>
      <c r="M335" s="523" t="e">
        <f ca="1">gr(données_step[[#This Row],[S_NO3]])</f>
        <v>#NAME?</v>
      </c>
      <c r="N335" s="523" t="e">
        <f ca="1">gr(données_step[[#This Row],[S_PORTH]])</f>
        <v>#NAME?</v>
      </c>
      <c r="O335" s="523" t="e">
        <f ca="1">gr(données_step[[#This Row],[S_PTOT]])</f>
        <v>#NAME?</v>
      </c>
      <c r="P335" s="523" t="e">
        <f ca="1">gr(données_step[[#This Row],[S_MES]])</f>
        <v>#NAME?</v>
      </c>
      <c r="Q335" s="523" t="e">
        <v>#N/A</v>
      </c>
      <c r="R335" s="523" t="e">
        <v>#N/A</v>
      </c>
      <c r="S335" s="523" t="e">
        <v>#N/A</v>
      </c>
      <c r="T335" s="523" t="e">
        <v>#N/A</v>
      </c>
      <c r="U335" s="523" t="e">
        <v>#N/A</v>
      </c>
      <c r="V335" s="523" t="e">
        <v>#N/A</v>
      </c>
      <c r="W335" s="523" t="e">
        <v>#N/A</v>
      </c>
      <c r="X335" s="523" t="e">
        <v>#N/A</v>
      </c>
      <c r="Y335" s="523" t="e">
        <v>#N/A</v>
      </c>
      <c r="Z335" s="523"/>
      <c r="AA335" s="523"/>
    </row>
    <row r="336" spans="1:27" x14ac:dyDescent="0.2">
      <c r="A336" s="222">
        <f>calculs!A336</f>
        <v>44887</v>
      </c>
      <c r="B336" s="523" t="e">
        <f ca="1">gr(données_step[[#This Row],[E_DBO5]])</f>
        <v>#NAME?</v>
      </c>
      <c r="C336" s="523" t="e">
        <f ca="1">gr(données_step[[#This Row],[E_DCO]])</f>
        <v>#NAME?</v>
      </c>
      <c r="D336" s="523" t="e">
        <f ca="1">gr(données_step[[#This Row],[E_COT]])</f>
        <v>#NAME?</v>
      </c>
      <c r="E336" s="523" t="e">
        <f ca="1">gr(données_step[[#This Row],[E_NH4]])</f>
        <v>#NAME?</v>
      </c>
      <c r="F336" s="523" t="e">
        <f ca="1">gr(données_step[[#This Row],[E_NTOT]])</f>
        <v>#NAME?</v>
      </c>
      <c r="G336" s="523" t="e">
        <f ca="1">gr(données_step[[#This Row],[E_PTOT]])</f>
        <v>#NAME?</v>
      </c>
      <c r="H336" s="523" t="e">
        <f ca="1">gr(données_step[[#This Row],[S_DBO5]])</f>
        <v>#NAME?</v>
      </c>
      <c r="I336" s="523" t="e">
        <f ca="1">gr(données_step[[#This Row],[S_DCO]])</f>
        <v>#NAME?</v>
      </c>
      <c r="J336" s="523" t="e">
        <f ca="1">gr(données_step[[#This Row],[S_COD]])</f>
        <v>#NAME?</v>
      </c>
      <c r="K336" s="523" t="e">
        <f ca="1">gr(données_step[[#This Row],[S_NH4]])</f>
        <v>#NAME?</v>
      </c>
      <c r="L336" s="523" t="e">
        <f ca="1">gr(données_step[[#This Row],[S_NO2]])</f>
        <v>#NAME?</v>
      </c>
      <c r="M336" s="523" t="e">
        <f ca="1">gr(données_step[[#This Row],[S_NO3]])</f>
        <v>#NAME?</v>
      </c>
      <c r="N336" s="523" t="e">
        <f ca="1">gr(données_step[[#This Row],[S_PORTH]])</f>
        <v>#NAME?</v>
      </c>
      <c r="O336" s="523" t="e">
        <f ca="1">gr(données_step[[#This Row],[S_PTOT]])</f>
        <v>#NAME?</v>
      </c>
      <c r="P336" s="523" t="e">
        <f ca="1">gr(données_step[[#This Row],[S_MES]])</f>
        <v>#NAME?</v>
      </c>
      <c r="Q336" s="523" t="e">
        <v>#N/A</v>
      </c>
      <c r="R336" s="523" t="e">
        <v>#N/A</v>
      </c>
      <c r="S336" s="523" t="e">
        <v>#N/A</v>
      </c>
      <c r="T336" s="523" t="e">
        <v>#N/A</v>
      </c>
      <c r="U336" s="523" t="e">
        <v>#N/A</v>
      </c>
      <c r="V336" s="523" t="e">
        <v>#N/A</v>
      </c>
      <c r="W336" s="523" t="e">
        <v>#N/A</v>
      </c>
      <c r="X336" s="523" t="e">
        <v>#N/A</v>
      </c>
      <c r="Y336" s="523" t="e">
        <v>#N/A</v>
      </c>
      <c r="Z336" s="523"/>
      <c r="AA336" s="523"/>
    </row>
    <row r="337" spans="1:27" x14ac:dyDescent="0.2">
      <c r="A337" s="222">
        <f>calculs!A337</f>
        <v>44888</v>
      </c>
      <c r="B337" s="523" t="e">
        <f ca="1">gr(données_step[[#This Row],[E_DBO5]])</f>
        <v>#NAME?</v>
      </c>
      <c r="C337" s="523" t="e">
        <f ca="1">gr(données_step[[#This Row],[E_DCO]])</f>
        <v>#NAME?</v>
      </c>
      <c r="D337" s="523" t="e">
        <f ca="1">gr(données_step[[#This Row],[E_COT]])</f>
        <v>#NAME?</v>
      </c>
      <c r="E337" s="523" t="e">
        <f ca="1">gr(données_step[[#This Row],[E_NH4]])</f>
        <v>#NAME?</v>
      </c>
      <c r="F337" s="523" t="e">
        <f ca="1">gr(données_step[[#This Row],[E_NTOT]])</f>
        <v>#NAME?</v>
      </c>
      <c r="G337" s="523" t="e">
        <f ca="1">gr(données_step[[#This Row],[E_PTOT]])</f>
        <v>#NAME?</v>
      </c>
      <c r="H337" s="523" t="e">
        <f ca="1">gr(données_step[[#This Row],[S_DBO5]])</f>
        <v>#NAME?</v>
      </c>
      <c r="I337" s="523" t="e">
        <f ca="1">gr(données_step[[#This Row],[S_DCO]])</f>
        <v>#NAME?</v>
      </c>
      <c r="J337" s="523" t="e">
        <f ca="1">gr(données_step[[#This Row],[S_COD]])</f>
        <v>#NAME?</v>
      </c>
      <c r="K337" s="523" t="e">
        <f ca="1">gr(données_step[[#This Row],[S_NH4]])</f>
        <v>#NAME?</v>
      </c>
      <c r="L337" s="523" t="e">
        <f ca="1">gr(données_step[[#This Row],[S_NO2]])</f>
        <v>#NAME?</v>
      </c>
      <c r="M337" s="523" t="e">
        <f ca="1">gr(données_step[[#This Row],[S_NO3]])</f>
        <v>#NAME?</v>
      </c>
      <c r="N337" s="523" t="e">
        <f ca="1">gr(données_step[[#This Row],[S_PORTH]])</f>
        <v>#NAME?</v>
      </c>
      <c r="O337" s="523" t="e">
        <f ca="1">gr(données_step[[#This Row],[S_PTOT]])</f>
        <v>#NAME?</v>
      </c>
      <c r="P337" s="523" t="e">
        <f ca="1">gr(données_step[[#This Row],[S_MES]])</f>
        <v>#NAME?</v>
      </c>
      <c r="Q337" s="523" t="e">
        <v>#N/A</v>
      </c>
      <c r="R337" s="523" t="e">
        <v>#N/A</v>
      </c>
      <c r="S337" s="523" t="e">
        <v>#N/A</v>
      </c>
      <c r="T337" s="523" t="e">
        <v>#N/A</v>
      </c>
      <c r="U337" s="523" t="e">
        <v>#N/A</v>
      </c>
      <c r="V337" s="523" t="e">
        <v>#N/A</v>
      </c>
      <c r="W337" s="523" t="e">
        <v>#N/A</v>
      </c>
      <c r="X337" s="523" t="e">
        <v>#N/A</v>
      </c>
      <c r="Y337" s="523" t="e">
        <v>#N/A</v>
      </c>
      <c r="Z337" s="523"/>
      <c r="AA337" s="523"/>
    </row>
    <row r="338" spans="1:27" x14ac:dyDescent="0.2">
      <c r="A338" s="222">
        <f>calculs!A338</f>
        <v>44889</v>
      </c>
      <c r="B338" s="523" t="e">
        <f ca="1">gr(données_step[[#This Row],[E_DBO5]])</f>
        <v>#NAME?</v>
      </c>
      <c r="C338" s="523" t="e">
        <f ca="1">gr(données_step[[#This Row],[E_DCO]])</f>
        <v>#NAME?</v>
      </c>
      <c r="D338" s="523" t="e">
        <f ca="1">gr(données_step[[#This Row],[E_COT]])</f>
        <v>#NAME?</v>
      </c>
      <c r="E338" s="523" t="e">
        <f ca="1">gr(données_step[[#This Row],[E_NH4]])</f>
        <v>#NAME?</v>
      </c>
      <c r="F338" s="523" t="e">
        <f ca="1">gr(données_step[[#This Row],[E_NTOT]])</f>
        <v>#NAME?</v>
      </c>
      <c r="G338" s="523" t="e">
        <f ca="1">gr(données_step[[#This Row],[E_PTOT]])</f>
        <v>#NAME?</v>
      </c>
      <c r="H338" s="523" t="e">
        <f ca="1">gr(données_step[[#This Row],[S_DBO5]])</f>
        <v>#NAME?</v>
      </c>
      <c r="I338" s="523" t="e">
        <f ca="1">gr(données_step[[#This Row],[S_DCO]])</f>
        <v>#NAME?</v>
      </c>
      <c r="J338" s="523" t="e">
        <f ca="1">gr(données_step[[#This Row],[S_COD]])</f>
        <v>#NAME?</v>
      </c>
      <c r="K338" s="523" t="e">
        <f ca="1">gr(données_step[[#This Row],[S_NH4]])</f>
        <v>#NAME?</v>
      </c>
      <c r="L338" s="523" t="e">
        <f ca="1">gr(données_step[[#This Row],[S_NO2]])</f>
        <v>#NAME?</v>
      </c>
      <c r="M338" s="523" t="e">
        <f ca="1">gr(données_step[[#This Row],[S_NO3]])</f>
        <v>#NAME?</v>
      </c>
      <c r="N338" s="523" t="e">
        <f ca="1">gr(données_step[[#This Row],[S_PORTH]])</f>
        <v>#NAME?</v>
      </c>
      <c r="O338" s="523" t="e">
        <f ca="1">gr(données_step[[#This Row],[S_PTOT]])</f>
        <v>#NAME?</v>
      </c>
      <c r="P338" s="523" t="e">
        <f ca="1">gr(données_step[[#This Row],[S_MES]])</f>
        <v>#NAME?</v>
      </c>
      <c r="Q338" s="523" t="e">
        <v>#N/A</v>
      </c>
      <c r="R338" s="523" t="e">
        <v>#N/A</v>
      </c>
      <c r="S338" s="523" t="e">
        <v>#N/A</v>
      </c>
      <c r="T338" s="523" t="e">
        <v>#N/A</v>
      </c>
      <c r="U338" s="523" t="e">
        <v>#N/A</v>
      </c>
      <c r="V338" s="523" t="e">
        <v>#N/A</v>
      </c>
      <c r="W338" s="523" t="e">
        <v>#N/A</v>
      </c>
      <c r="X338" s="523" t="e">
        <v>#N/A</v>
      </c>
      <c r="Y338" s="523" t="e">
        <v>#N/A</v>
      </c>
      <c r="Z338" s="523"/>
      <c r="AA338" s="523"/>
    </row>
    <row r="339" spans="1:27" x14ac:dyDescent="0.2">
      <c r="A339" s="222">
        <f>calculs!A339</f>
        <v>44890</v>
      </c>
      <c r="B339" s="523" t="e">
        <f ca="1">gr(données_step[[#This Row],[E_DBO5]])</f>
        <v>#NAME?</v>
      </c>
      <c r="C339" s="523" t="e">
        <f ca="1">gr(données_step[[#This Row],[E_DCO]])</f>
        <v>#NAME?</v>
      </c>
      <c r="D339" s="523" t="e">
        <f ca="1">gr(données_step[[#This Row],[E_COT]])</f>
        <v>#NAME?</v>
      </c>
      <c r="E339" s="523" t="e">
        <f ca="1">gr(données_step[[#This Row],[E_NH4]])</f>
        <v>#NAME?</v>
      </c>
      <c r="F339" s="523" t="e">
        <f ca="1">gr(données_step[[#This Row],[E_NTOT]])</f>
        <v>#NAME?</v>
      </c>
      <c r="G339" s="523" t="e">
        <f ca="1">gr(données_step[[#This Row],[E_PTOT]])</f>
        <v>#NAME?</v>
      </c>
      <c r="H339" s="523" t="e">
        <f ca="1">gr(données_step[[#This Row],[S_DBO5]])</f>
        <v>#NAME?</v>
      </c>
      <c r="I339" s="523" t="e">
        <f ca="1">gr(données_step[[#This Row],[S_DCO]])</f>
        <v>#NAME?</v>
      </c>
      <c r="J339" s="523" t="e">
        <f ca="1">gr(données_step[[#This Row],[S_COD]])</f>
        <v>#NAME?</v>
      </c>
      <c r="K339" s="523" t="e">
        <f ca="1">gr(données_step[[#This Row],[S_NH4]])</f>
        <v>#NAME?</v>
      </c>
      <c r="L339" s="523" t="e">
        <f ca="1">gr(données_step[[#This Row],[S_NO2]])</f>
        <v>#NAME?</v>
      </c>
      <c r="M339" s="523" t="e">
        <f ca="1">gr(données_step[[#This Row],[S_NO3]])</f>
        <v>#NAME?</v>
      </c>
      <c r="N339" s="523" t="e">
        <f ca="1">gr(données_step[[#This Row],[S_PORTH]])</f>
        <v>#NAME?</v>
      </c>
      <c r="O339" s="523" t="e">
        <f ca="1">gr(données_step[[#This Row],[S_PTOT]])</f>
        <v>#NAME?</v>
      </c>
      <c r="P339" s="523" t="e">
        <f ca="1">gr(données_step[[#This Row],[S_MES]])</f>
        <v>#NAME?</v>
      </c>
      <c r="Q339" s="523" t="e">
        <v>#N/A</v>
      </c>
      <c r="R339" s="523" t="e">
        <v>#N/A</v>
      </c>
      <c r="S339" s="523" t="e">
        <v>#N/A</v>
      </c>
      <c r="T339" s="523" t="e">
        <v>#N/A</v>
      </c>
      <c r="U339" s="523" t="e">
        <v>#N/A</v>
      </c>
      <c r="V339" s="523" t="e">
        <v>#N/A</v>
      </c>
      <c r="W339" s="523" t="e">
        <v>#N/A</v>
      </c>
      <c r="X339" s="523" t="e">
        <v>#N/A</v>
      </c>
      <c r="Y339" s="523" t="e">
        <v>#N/A</v>
      </c>
      <c r="Z339" s="523"/>
      <c r="AA339" s="523"/>
    </row>
    <row r="340" spans="1:27" x14ac:dyDescent="0.2">
      <c r="A340" s="222">
        <f>calculs!A340</f>
        <v>44891</v>
      </c>
      <c r="B340" s="523" t="e">
        <f ca="1">gr(données_step[[#This Row],[E_DBO5]])</f>
        <v>#NAME?</v>
      </c>
      <c r="C340" s="523" t="e">
        <f ca="1">gr(données_step[[#This Row],[E_DCO]])</f>
        <v>#NAME?</v>
      </c>
      <c r="D340" s="523" t="e">
        <f ca="1">gr(données_step[[#This Row],[E_COT]])</f>
        <v>#NAME?</v>
      </c>
      <c r="E340" s="523" t="e">
        <f ca="1">gr(données_step[[#This Row],[E_NH4]])</f>
        <v>#NAME?</v>
      </c>
      <c r="F340" s="523" t="e">
        <f ca="1">gr(données_step[[#This Row],[E_NTOT]])</f>
        <v>#NAME?</v>
      </c>
      <c r="G340" s="523" t="e">
        <f ca="1">gr(données_step[[#This Row],[E_PTOT]])</f>
        <v>#NAME?</v>
      </c>
      <c r="H340" s="523" t="e">
        <f ca="1">gr(données_step[[#This Row],[S_DBO5]])</f>
        <v>#NAME?</v>
      </c>
      <c r="I340" s="523" t="e">
        <f ca="1">gr(données_step[[#This Row],[S_DCO]])</f>
        <v>#NAME?</v>
      </c>
      <c r="J340" s="523" t="e">
        <f ca="1">gr(données_step[[#This Row],[S_COD]])</f>
        <v>#NAME?</v>
      </c>
      <c r="K340" s="523" t="e">
        <f ca="1">gr(données_step[[#This Row],[S_NH4]])</f>
        <v>#NAME?</v>
      </c>
      <c r="L340" s="523" t="e">
        <f ca="1">gr(données_step[[#This Row],[S_NO2]])</f>
        <v>#NAME?</v>
      </c>
      <c r="M340" s="523" t="e">
        <f ca="1">gr(données_step[[#This Row],[S_NO3]])</f>
        <v>#NAME?</v>
      </c>
      <c r="N340" s="523" t="e">
        <f ca="1">gr(données_step[[#This Row],[S_PORTH]])</f>
        <v>#NAME?</v>
      </c>
      <c r="O340" s="523" t="e">
        <f ca="1">gr(données_step[[#This Row],[S_PTOT]])</f>
        <v>#NAME?</v>
      </c>
      <c r="P340" s="523" t="e">
        <f ca="1">gr(données_step[[#This Row],[S_MES]])</f>
        <v>#NAME?</v>
      </c>
      <c r="Q340" s="523" t="e">
        <v>#N/A</v>
      </c>
      <c r="R340" s="523" t="e">
        <v>#N/A</v>
      </c>
      <c r="S340" s="523" t="e">
        <v>#N/A</v>
      </c>
      <c r="T340" s="523" t="e">
        <v>#N/A</v>
      </c>
      <c r="U340" s="523" t="e">
        <v>#N/A</v>
      </c>
      <c r="V340" s="523" t="e">
        <v>#N/A</v>
      </c>
      <c r="W340" s="523" t="e">
        <v>#N/A</v>
      </c>
      <c r="X340" s="523" t="e">
        <v>#N/A</v>
      </c>
      <c r="Y340" s="523" t="e">
        <v>#N/A</v>
      </c>
      <c r="Z340" s="523"/>
      <c r="AA340" s="523"/>
    </row>
    <row r="341" spans="1:27" x14ac:dyDescent="0.2">
      <c r="A341" s="222">
        <f>calculs!A341</f>
        <v>44892</v>
      </c>
      <c r="B341" s="523" t="e">
        <f ca="1">gr(données_step[[#This Row],[E_DBO5]])</f>
        <v>#NAME?</v>
      </c>
      <c r="C341" s="523" t="e">
        <f ca="1">gr(données_step[[#This Row],[E_DCO]])</f>
        <v>#NAME?</v>
      </c>
      <c r="D341" s="523" t="e">
        <f ca="1">gr(données_step[[#This Row],[E_COT]])</f>
        <v>#NAME?</v>
      </c>
      <c r="E341" s="523" t="e">
        <f ca="1">gr(données_step[[#This Row],[E_NH4]])</f>
        <v>#NAME?</v>
      </c>
      <c r="F341" s="523" t="e">
        <f ca="1">gr(données_step[[#This Row],[E_NTOT]])</f>
        <v>#NAME?</v>
      </c>
      <c r="G341" s="523" t="e">
        <f ca="1">gr(données_step[[#This Row],[E_PTOT]])</f>
        <v>#NAME?</v>
      </c>
      <c r="H341" s="523" t="e">
        <f ca="1">gr(données_step[[#This Row],[S_DBO5]])</f>
        <v>#NAME?</v>
      </c>
      <c r="I341" s="523" t="e">
        <f ca="1">gr(données_step[[#This Row],[S_DCO]])</f>
        <v>#NAME?</v>
      </c>
      <c r="J341" s="523" t="e">
        <f ca="1">gr(données_step[[#This Row],[S_COD]])</f>
        <v>#NAME?</v>
      </c>
      <c r="K341" s="523" t="e">
        <f ca="1">gr(données_step[[#This Row],[S_NH4]])</f>
        <v>#NAME?</v>
      </c>
      <c r="L341" s="523" t="e">
        <f ca="1">gr(données_step[[#This Row],[S_NO2]])</f>
        <v>#NAME?</v>
      </c>
      <c r="M341" s="523" t="e">
        <f ca="1">gr(données_step[[#This Row],[S_NO3]])</f>
        <v>#NAME?</v>
      </c>
      <c r="N341" s="523" t="e">
        <f ca="1">gr(données_step[[#This Row],[S_PORTH]])</f>
        <v>#NAME?</v>
      </c>
      <c r="O341" s="523" t="e">
        <f ca="1">gr(données_step[[#This Row],[S_PTOT]])</f>
        <v>#NAME?</v>
      </c>
      <c r="P341" s="523" t="e">
        <f ca="1">gr(données_step[[#This Row],[S_MES]])</f>
        <v>#NAME?</v>
      </c>
      <c r="Q341" s="523" t="e">
        <v>#N/A</v>
      </c>
      <c r="R341" s="523" t="e">
        <v>#N/A</v>
      </c>
      <c r="S341" s="523" t="e">
        <v>#N/A</v>
      </c>
      <c r="T341" s="523" t="e">
        <v>#N/A</v>
      </c>
      <c r="U341" s="523" t="e">
        <v>#N/A</v>
      </c>
      <c r="V341" s="523" t="e">
        <v>#N/A</v>
      </c>
      <c r="W341" s="523" t="e">
        <v>#N/A</v>
      </c>
      <c r="X341" s="523" t="e">
        <v>#N/A</v>
      </c>
      <c r="Y341" s="523" t="e">
        <v>#N/A</v>
      </c>
      <c r="Z341" s="523"/>
      <c r="AA341" s="523"/>
    </row>
    <row r="342" spans="1:27" x14ac:dyDescent="0.2">
      <c r="A342" s="222">
        <f>calculs!A342</f>
        <v>44893</v>
      </c>
      <c r="B342" s="523" t="e">
        <f ca="1">gr(données_step[[#This Row],[E_DBO5]])</f>
        <v>#NAME?</v>
      </c>
      <c r="C342" s="523" t="e">
        <f ca="1">gr(données_step[[#This Row],[E_DCO]])</f>
        <v>#NAME?</v>
      </c>
      <c r="D342" s="523" t="e">
        <f ca="1">gr(données_step[[#This Row],[E_COT]])</f>
        <v>#NAME?</v>
      </c>
      <c r="E342" s="523" t="e">
        <f ca="1">gr(données_step[[#This Row],[E_NH4]])</f>
        <v>#NAME?</v>
      </c>
      <c r="F342" s="523" t="e">
        <f ca="1">gr(données_step[[#This Row],[E_NTOT]])</f>
        <v>#NAME?</v>
      </c>
      <c r="G342" s="523" t="e">
        <f ca="1">gr(données_step[[#This Row],[E_PTOT]])</f>
        <v>#NAME?</v>
      </c>
      <c r="H342" s="523" t="e">
        <f ca="1">gr(données_step[[#This Row],[S_DBO5]])</f>
        <v>#NAME?</v>
      </c>
      <c r="I342" s="523" t="e">
        <f ca="1">gr(données_step[[#This Row],[S_DCO]])</f>
        <v>#NAME?</v>
      </c>
      <c r="J342" s="523" t="e">
        <f ca="1">gr(données_step[[#This Row],[S_COD]])</f>
        <v>#NAME?</v>
      </c>
      <c r="K342" s="523" t="e">
        <f ca="1">gr(données_step[[#This Row],[S_NH4]])</f>
        <v>#NAME?</v>
      </c>
      <c r="L342" s="523" t="e">
        <f ca="1">gr(données_step[[#This Row],[S_NO2]])</f>
        <v>#NAME?</v>
      </c>
      <c r="M342" s="523" t="e">
        <f ca="1">gr(données_step[[#This Row],[S_NO3]])</f>
        <v>#NAME?</v>
      </c>
      <c r="N342" s="523" t="e">
        <f ca="1">gr(données_step[[#This Row],[S_PORTH]])</f>
        <v>#NAME?</v>
      </c>
      <c r="O342" s="523" t="e">
        <f ca="1">gr(données_step[[#This Row],[S_PTOT]])</f>
        <v>#NAME?</v>
      </c>
      <c r="P342" s="523" t="e">
        <f ca="1">gr(données_step[[#This Row],[S_MES]])</f>
        <v>#NAME?</v>
      </c>
      <c r="Q342" s="523" t="e">
        <v>#N/A</v>
      </c>
      <c r="R342" s="523" t="e">
        <v>#N/A</v>
      </c>
      <c r="S342" s="523" t="e">
        <v>#N/A</v>
      </c>
      <c r="T342" s="523" t="e">
        <v>#N/A</v>
      </c>
      <c r="U342" s="523" t="e">
        <v>#N/A</v>
      </c>
      <c r="V342" s="523" t="e">
        <v>#N/A</v>
      </c>
      <c r="W342" s="523" t="e">
        <v>#N/A</v>
      </c>
      <c r="X342" s="523" t="e">
        <v>#N/A</v>
      </c>
      <c r="Y342" s="523" t="e">
        <v>#N/A</v>
      </c>
      <c r="Z342" s="523"/>
      <c r="AA342" s="523"/>
    </row>
    <row r="343" spans="1:27" x14ac:dyDescent="0.2">
      <c r="A343" s="222">
        <f>calculs!A343</f>
        <v>44894</v>
      </c>
      <c r="B343" s="523" t="e">
        <f ca="1">gr(données_step[[#This Row],[E_DBO5]])</f>
        <v>#NAME?</v>
      </c>
      <c r="C343" s="523" t="e">
        <f ca="1">gr(données_step[[#This Row],[E_DCO]])</f>
        <v>#NAME?</v>
      </c>
      <c r="D343" s="523" t="e">
        <f ca="1">gr(données_step[[#This Row],[E_COT]])</f>
        <v>#NAME?</v>
      </c>
      <c r="E343" s="523" t="e">
        <f ca="1">gr(données_step[[#This Row],[E_NH4]])</f>
        <v>#NAME?</v>
      </c>
      <c r="F343" s="523" t="e">
        <f ca="1">gr(données_step[[#This Row],[E_NTOT]])</f>
        <v>#NAME?</v>
      </c>
      <c r="G343" s="523" t="e">
        <f ca="1">gr(données_step[[#This Row],[E_PTOT]])</f>
        <v>#NAME?</v>
      </c>
      <c r="H343" s="523" t="e">
        <f ca="1">gr(données_step[[#This Row],[S_DBO5]])</f>
        <v>#NAME?</v>
      </c>
      <c r="I343" s="523" t="e">
        <f ca="1">gr(données_step[[#This Row],[S_DCO]])</f>
        <v>#NAME?</v>
      </c>
      <c r="J343" s="523" t="e">
        <f ca="1">gr(données_step[[#This Row],[S_COD]])</f>
        <v>#NAME?</v>
      </c>
      <c r="K343" s="523" t="e">
        <f ca="1">gr(données_step[[#This Row],[S_NH4]])</f>
        <v>#NAME?</v>
      </c>
      <c r="L343" s="523" t="e">
        <f ca="1">gr(données_step[[#This Row],[S_NO2]])</f>
        <v>#NAME?</v>
      </c>
      <c r="M343" s="523" t="e">
        <f ca="1">gr(données_step[[#This Row],[S_NO3]])</f>
        <v>#NAME?</v>
      </c>
      <c r="N343" s="523" t="e">
        <f ca="1">gr(données_step[[#This Row],[S_PORTH]])</f>
        <v>#NAME?</v>
      </c>
      <c r="O343" s="523" t="e">
        <f ca="1">gr(données_step[[#This Row],[S_PTOT]])</f>
        <v>#NAME?</v>
      </c>
      <c r="P343" s="523" t="e">
        <f ca="1">gr(données_step[[#This Row],[S_MES]])</f>
        <v>#NAME?</v>
      </c>
      <c r="Q343" s="523" t="e">
        <v>#N/A</v>
      </c>
      <c r="R343" s="523" t="e">
        <v>#N/A</v>
      </c>
      <c r="S343" s="523" t="e">
        <v>#N/A</v>
      </c>
      <c r="T343" s="523" t="e">
        <v>#N/A</v>
      </c>
      <c r="U343" s="523" t="e">
        <v>#N/A</v>
      </c>
      <c r="V343" s="523" t="e">
        <v>#N/A</v>
      </c>
      <c r="W343" s="523" t="e">
        <v>#N/A</v>
      </c>
      <c r="X343" s="523" t="e">
        <v>#N/A</v>
      </c>
      <c r="Y343" s="523" t="e">
        <v>#N/A</v>
      </c>
      <c r="Z343" s="523"/>
      <c r="AA343" s="523"/>
    </row>
    <row r="344" spans="1:27" x14ac:dyDescent="0.2">
      <c r="A344" s="222">
        <f>calculs!A344</f>
        <v>44895</v>
      </c>
      <c r="B344" s="523" t="e">
        <f ca="1">gr(données_step[[#This Row],[E_DBO5]])</f>
        <v>#NAME?</v>
      </c>
      <c r="C344" s="523" t="e">
        <f ca="1">gr(données_step[[#This Row],[E_DCO]])</f>
        <v>#NAME?</v>
      </c>
      <c r="D344" s="523" t="e">
        <f ca="1">gr(données_step[[#This Row],[E_COT]])</f>
        <v>#NAME?</v>
      </c>
      <c r="E344" s="523" t="e">
        <f ca="1">gr(données_step[[#This Row],[E_NH4]])</f>
        <v>#NAME?</v>
      </c>
      <c r="F344" s="523" t="e">
        <f ca="1">gr(données_step[[#This Row],[E_NTOT]])</f>
        <v>#NAME?</v>
      </c>
      <c r="G344" s="523" t="e">
        <f ca="1">gr(données_step[[#This Row],[E_PTOT]])</f>
        <v>#NAME?</v>
      </c>
      <c r="H344" s="523" t="e">
        <f ca="1">gr(données_step[[#This Row],[S_DBO5]])</f>
        <v>#NAME?</v>
      </c>
      <c r="I344" s="523" t="e">
        <f ca="1">gr(données_step[[#This Row],[S_DCO]])</f>
        <v>#NAME?</v>
      </c>
      <c r="J344" s="523" t="e">
        <f ca="1">gr(données_step[[#This Row],[S_COD]])</f>
        <v>#NAME?</v>
      </c>
      <c r="K344" s="523" t="e">
        <f ca="1">gr(données_step[[#This Row],[S_NH4]])</f>
        <v>#NAME?</v>
      </c>
      <c r="L344" s="523" t="e">
        <f ca="1">gr(données_step[[#This Row],[S_NO2]])</f>
        <v>#NAME?</v>
      </c>
      <c r="M344" s="523" t="e">
        <f ca="1">gr(données_step[[#This Row],[S_NO3]])</f>
        <v>#NAME?</v>
      </c>
      <c r="N344" s="523" t="e">
        <f ca="1">gr(données_step[[#This Row],[S_PORTH]])</f>
        <v>#NAME?</v>
      </c>
      <c r="O344" s="523" t="e">
        <f ca="1">gr(données_step[[#This Row],[S_PTOT]])</f>
        <v>#NAME?</v>
      </c>
      <c r="P344" s="523" t="e">
        <f ca="1">gr(données_step[[#This Row],[S_MES]])</f>
        <v>#NAME?</v>
      </c>
      <c r="Q344" s="523" t="e">
        <v>#N/A</v>
      </c>
      <c r="R344" s="523" t="e">
        <v>#N/A</v>
      </c>
      <c r="S344" s="523" t="e">
        <v>#N/A</v>
      </c>
      <c r="T344" s="523" t="e">
        <v>#N/A</v>
      </c>
      <c r="U344" s="523" t="e">
        <v>#N/A</v>
      </c>
      <c r="V344" s="523" t="e">
        <v>#N/A</v>
      </c>
      <c r="W344" s="523" t="e">
        <v>#N/A</v>
      </c>
      <c r="X344" s="523" t="e">
        <v>#N/A</v>
      </c>
      <c r="Y344" s="523" t="e">
        <v>#N/A</v>
      </c>
      <c r="Z344" s="523"/>
      <c r="AA344" s="523"/>
    </row>
    <row r="345" spans="1:27" x14ac:dyDescent="0.2">
      <c r="A345" s="222">
        <f>calculs!A345</f>
        <v>44896</v>
      </c>
      <c r="B345" s="523" t="e">
        <f ca="1">gr(données_step[[#This Row],[E_DBO5]])</f>
        <v>#NAME?</v>
      </c>
      <c r="C345" s="523" t="e">
        <f ca="1">gr(données_step[[#This Row],[E_DCO]])</f>
        <v>#NAME?</v>
      </c>
      <c r="D345" s="523" t="e">
        <f ca="1">gr(données_step[[#This Row],[E_COT]])</f>
        <v>#NAME?</v>
      </c>
      <c r="E345" s="523" t="e">
        <f ca="1">gr(données_step[[#This Row],[E_NH4]])</f>
        <v>#NAME?</v>
      </c>
      <c r="F345" s="523" t="e">
        <f ca="1">gr(données_step[[#This Row],[E_NTOT]])</f>
        <v>#NAME?</v>
      </c>
      <c r="G345" s="523" t="e">
        <f ca="1">gr(données_step[[#This Row],[E_PTOT]])</f>
        <v>#NAME?</v>
      </c>
      <c r="H345" s="523" t="e">
        <f ca="1">gr(données_step[[#This Row],[S_DBO5]])</f>
        <v>#NAME?</v>
      </c>
      <c r="I345" s="523" t="e">
        <f ca="1">gr(données_step[[#This Row],[S_DCO]])</f>
        <v>#NAME?</v>
      </c>
      <c r="J345" s="523" t="e">
        <f ca="1">gr(données_step[[#This Row],[S_COD]])</f>
        <v>#NAME?</v>
      </c>
      <c r="K345" s="523" t="e">
        <f ca="1">gr(données_step[[#This Row],[S_NH4]])</f>
        <v>#NAME?</v>
      </c>
      <c r="L345" s="523" t="e">
        <f ca="1">gr(données_step[[#This Row],[S_NO2]])</f>
        <v>#NAME?</v>
      </c>
      <c r="M345" s="523" t="e">
        <f ca="1">gr(données_step[[#This Row],[S_NO3]])</f>
        <v>#NAME?</v>
      </c>
      <c r="N345" s="523" t="e">
        <f ca="1">gr(données_step[[#This Row],[S_PORTH]])</f>
        <v>#NAME?</v>
      </c>
      <c r="O345" s="523" t="e">
        <f ca="1">gr(données_step[[#This Row],[S_PTOT]])</f>
        <v>#NAME?</v>
      </c>
      <c r="P345" s="523" t="e">
        <f ca="1">gr(données_step[[#This Row],[S_MES]])</f>
        <v>#NAME?</v>
      </c>
      <c r="Q345" s="523" t="e">
        <v>#N/A</v>
      </c>
      <c r="R345" s="523" t="e">
        <v>#N/A</v>
      </c>
      <c r="S345" s="523" t="e">
        <v>#N/A</v>
      </c>
      <c r="T345" s="523" t="e">
        <v>#N/A</v>
      </c>
      <c r="U345" s="523" t="e">
        <v>#N/A</v>
      </c>
      <c r="V345" s="523" t="e">
        <v>#N/A</v>
      </c>
      <c r="W345" s="523" t="e">
        <v>#N/A</v>
      </c>
      <c r="X345" s="523" t="e">
        <v>#N/A</v>
      </c>
      <c r="Y345" s="523" t="e">
        <v>#N/A</v>
      </c>
      <c r="Z345" s="523"/>
      <c r="AA345" s="523"/>
    </row>
    <row r="346" spans="1:27" x14ac:dyDescent="0.2">
      <c r="A346" s="222">
        <f>calculs!A346</f>
        <v>44897</v>
      </c>
      <c r="B346" s="523" t="e">
        <f ca="1">gr(données_step[[#This Row],[E_DBO5]])</f>
        <v>#NAME?</v>
      </c>
      <c r="C346" s="523" t="e">
        <f ca="1">gr(données_step[[#This Row],[E_DCO]])</f>
        <v>#NAME?</v>
      </c>
      <c r="D346" s="523" t="e">
        <f ca="1">gr(données_step[[#This Row],[E_COT]])</f>
        <v>#NAME?</v>
      </c>
      <c r="E346" s="523" t="e">
        <f ca="1">gr(données_step[[#This Row],[E_NH4]])</f>
        <v>#NAME?</v>
      </c>
      <c r="F346" s="523" t="e">
        <f ca="1">gr(données_step[[#This Row],[E_NTOT]])</f>
        <v>#NAME?</v>
      </c>
      <c r="G346" s="523" t="e">
        <f ca="1">gr(données_step[[#This Row],[E_PTOT]])</f>
        <v>#NAME?</v>
      </c>
      <c r="H346" s="523" t="e">
        <f ca="1">gr(données_step[[#This Row],[S_DBO5]])</f>
        <v>#NAME?</v>
      </c>
      <c r="I346" s="523" t="e">
        <f ca="1">gr(données_step[[#This Row],[S_DCO]])</f>
        <v>#NAME?</v>
      </c>
      <c r="J346" s="523" t="e">
        <f ca="1">gr(données_step[[#This Row],[S_COD]])</f>
        <v>#NAME?</v>
      </c>
      <c r="K346" s="523" t="e">
        <f ca="1">gr(données_step[[#This Row],[S_NH4]])</f>
        <v>#NAME?</v>
      </c>
      <c r="L346" s="523" t="e">
        <f ca="1">gr(données_step[[#This Row],[S_NO2]])</f>
        <v>#NAME?</v>
      </c>
      <c r="M346" s="523" t="e">
        <f ca="1">gr(données_step[[#This Row],[S_NO3]])</f>
        <v>#NAME?</v>
      </c>
      <c r="N346" s="523" t="e">
        <f ca="1">gr(données_step[[#This Row],[S_PORTH]])</f>
        <v>#NAME?</v>
      </c>
      <c r="O346" s="523" t="e">
        <f ca="1">gr(données_step[[#This Row],[S_PTOT]])</f>
        <v>#NAME?</v>
      </c>
      <c r="P346" s="523" t="e">
        <f ca="1">gr(données_step[[#This Row],[S_MES]])</f>
        <v>#NAME?</v>
      </c>
      <c r="Q346" s="523" t="e">
        <v>#N/A</v>
      </c>
      <c r="R346" s="523" t="e">
        <v>#N/A</v>
      </c>
      <c r="S346" s="523" t="e">
        <v>#N/A</v>
      </c>
      <c r="T346" s="523" t="e">
        <v>#N/A</v>
      </c>
      <c r="U346" s="523" t="e">
        <v>#N/A</v>
      </c>
      <c r="V346" s="523" t="e">
        <v>#N/A</v>
      </c>
      <c r="W346" s="523" t="e">
        <v>#N/A</v>
      </c>
      <c r="X346" s="523" t="e">
        <v>#N/A</v>
      </c>
      <c r="Y346" s="523" t="e">
        <v>#N/A</v>
      </c>
      <c r="Z346" s="523"/>
      <c r="AA346" s="523"/>
    </row>
    <row r="347" spans="1:27" x14ac:dyDescent="0.2">
      <c r="A347" s="222">
        <f>calculs!A347</f>
        <v>44898</v>
      </c>
      <c r="B347" s="523" t="e">
        <f ca="1">gr(données_step[[#This Row],[E_DBO5]])</f>
        <v>#NAME?</v>
      </c>
      <c r="C347" s="523" t="e">
        <f ca="1">gr(données_step[[#This Row],[E_DCO]])</f>
        <v>#NAME?</v>
      </c>
      <c r="D347" s="523" t="e">
        <f ca="1">gr(données_step[[#This Row],[E_COT]])</f>
        <v>#NAME?</v>
      </c>
      <c r="E347" s="523" t="e">
        <f ca="1">gr(données_step[[#This Row],[E_NH4]])</f>
        <v>#NAME?</v>
      </c>
      <c r="F347" s="523" t="e">
        <f ca="1">gr(données_step[[#This Row],[E_NTOT]])</f>
        <v>#NAME?</v>
      </c>
      <c r="G347" s="523" t="e">
        <f ca="1">gr(données_step[[#This Row],[E_PTOT]])</f>
        <v>#NAME?</v>
      </c>
      <c r="H347" s="523" t="e">
        <f ca="1">gr(données_step[[#This Row],[S_DBO5]])</f>
        <v>#NAME?</v>
      </c>
      <c r="I347" s="523" t="e">
        <f ca="1">gr(données_step[[#This Row],[S_DCO]])</f>
        <v>#NAME?</v>
      </c>
      <c r="J347" s="523" t="e">
        <f ca="1">gr(données_step[[#This Row],[S_COD]])</f>
        <v>#NAME?</v>
      </c>
      <c r="K347" s="523" t="e">
        <f ca="1">gr(données_step[[#This Row],[S_NH4]])</f>
        <v>#NAME?</v>
      </c>
      <c r="L347" s="523" t="e">
        <f ca="1">gr(données_step[[#This Row],[S_NO2]])</f>
        <v>#NAME?</v>
      </c>
      <c r="M347" s="523" t="e">
        <f ca="1">gr(données_step[[#This Row],[S_NO3]])</f>
        <v>#NAME?</v>
      </c>
      <c r="N347" s="523" t="e">
        <f ca="1">gr(données_step[[#This Row],[S_PORTH]])</f>
        <v>#NAME?</v>
      </c>
      <c r="O347" s="523" t="e">
        <f ca="1">gr(données_step[[#This Row],[S_PTOT]])</f>
        <v>#NAME?</v>
      </c>
      <c r="P347" s="523" t="e">
        <f ca="1">gr(données_step[[#This Row],[S_MES]])</f>
        <v>#NAME?</v>
      </c>
      <c r="Q347" s="523" t="e">
        <v>#N/A</v>
      </c>
      <c r="R347" s="523" t="e">
        <v>#N/A</v>
      </c>
      <c r="S347" s="523" t="e">
        <v>#N/A</v>
      </c>
      <c r="T347" s="523" t="e">
        <v>#N/A</v>
      </c>
      <c r="U347" s="523" t="e">
        <v>#N/A</v>
      </c>
      <c r="V347" s="523" t="e">
        <v>#N/A</v>
      </c>
      <c r="W347" s="523" t="e">
        <v>#N/A</v>
      </c>
      <c r="X347" s="523" t="e">
        <v>#N/A</v>
      </c>
      <c r="Y347" s="523" t="e">
        <v>#N/A</v>
      </c>
      <c r="Z347" s="523"/>
      <c r="AA347" s="523"/>
    </row>
    <row r="348" spans="1:27" x14ac:dyDescent="0.2">
      <c r="A348" s="222">
        <f>calculs!A348</f>
        <v>44899</v>
      </c>
      <c r="B348" s="523" t="e">
        <f ca="1">gr(données_step[[#This Row],[E_DBO5]])</f>
        <v>#NAME?</v>
      </c>
      <c r="C348" s="523" t="e">
        <f ca="1">gr(données_step[[#This Row],[E_DCO]])</f>
        <v>#NAME?</v>
      </c>
      <c r="D348" s="523" t="e">
        <f ca="1">gr(données_step[[#This Row],[E_COT]])</f>
        <v>#NAME?</v>
      </c>
      <c r="E348" s="523" t="e">
        <f ca="1">gr(données_step[[#This Row],[E_NH4]])</f>
        <v>#NAME?</v>
      </c>
      <c r="F348" s="523" t="e">
        <f ca="1">gr(données_step[[#This Row],[E_NTOT]])</f>
        <v>#NAME?</v>
      </c>
      <c r="G348" s="523" t="e">
        <f ca="1">gr(données_step[[#This Row],[E_PTOT]])</f>
        <v>#NAME?</v>
      </c>
      <c r="H348" s="523" t="e">
        <f ca="1">gr(données_step[[#This Row],[S_DBO5]])</f>
        <v>#NAME?</v>
      </c>
      <c r="I348" s="523" t="e">
        <f ca="1">gr(données_step[[#This Row],[S_DCO]])</f>
        <v>#NAME?</v>
      </c>
      <c r="J348" s="523" t="e">
        <f ca="1">gr(données_step[[#This Row],[S_COD]])</f>
        <v>#NAME?</v>
      </c>
      <c r="K348" s="523" t="e">
        <f ca="1">gr(données_step[[#This Row],[S_NH4]])</f>
        <v>#NAME?</v>
      </c>
      <c r="L348" s="523" t="e">
        <f ca="1">gr(données_step[[#This Row],[S_NO2]])</f>
        <v>#NAME?</v>
      </c>
      <c r="M348" s="523" t="e">
        <f ca="1">gr(données_step[[#This Row],[S_NO3]])</f>
        <v>#NAME?</v>
      </c>
      <c r="N348" s="523" t="e">
        <f ca="1">gr(données_step[[#This Row],[S_PORTH]])</f>
        <v>#NAME?</v>
      </c>
      <c r="O348" s="523" t="e">
        <f ca="1">gr(données_step[[#This Row],[S_PTOT]])</f>
        <v>#NAME?</v>
      </c>
      <c r="P348" s="523" t="e">
        <f ca="1">gr(données_step[[#This Row],[S_MES]])</f>
        <v>#NAME?</v>
      </c>
      <c r="Q348" s="523" t="e">
        <v>#N/A</v>
      </c>
      <c r="R348" s="523" t="e">
        <v>#N/A</v>
      </c>
      <c r="S348" s="523" t="e">
        <v>#N/A</v>
      </c>
      <c r="T348" s="523" t="e">
        <v>#N/A</v>
      </c>
      <c r="U348" s="523" t="e">
        <v>#N/A</v>
      </c>
      <c r="V348" s="523" t="e">
        <v>#N/A</v>
      </c>
      <c r="W348" s="523" t="e">
        <v>#N/A</v>
      </c>
      <c r="X348" s="523" t="e">
        <v>#N/A</v>
      </c>
      <c r="Y348" s="523" t="e">
        <v>#N/A</v>
      </c>
      <c r="Z348" s="523"/>
      <c r="AA348" s="523"/>
    </row>
    <row r="349" spans="1:27" x14ac:dyDescent="0.2">
      <c r="A349" s="222">
        <f>calculs!A349</f>
        <v>44900</v>
      </c>
      <c r="B349" s="523" t="e">
        <f ca="1">gr(données_step[[#This Row],[E_DBO5]])</f>
        <v>#NAME?</v>
      </c>
      <c r="C349" s="523" t="e">
        <f ca="1">gr(données_step[[#This Row],[E_DCO]])</f>
        <v>#NAME?</v>
      </c>
      <c r="D349" s="523" t="e">
        <f ca="1">gr(données_step[[#This Row],[E_COT]])</f>
        <v>#NAME?</v>
      </c>
      <c r="E349" s="523" t="e">
        <f ca="1">gr(données_step[[#This Row],[E_NH4]])</f>
        <v>#NAME?</v>
      </c>
      <c r="F349" s="523" t="e">
        <f ca="1">gr(données_step[[#This Row],[E_NTOT]])</f>
        <v>#NAME?</v>
      </c>
      <c r="G349" s="523" t="e">
        <f ca="1">gr(données_step[[#This Row],[E_PTOT]])</f>
        <v>#NAME?</v>
      </c>
      <c r="H349" s="523" t="e">
        <f ca="1">gr(données_step[[#This Row],[S_DBO5]])</f>
        <v>#NAME?</v>
      </c>
      <c r="I349" s="523" t="e">
        <f ca="1">gr(données_step[[#This Row],[S_DCO]])</f>
        <v>#NAME?</v>
      </c>
      <c r="J349" s="523" t="e">
        <f ca="1">gr(données_step[[#This Row],[S_COD]])</f>
        <v>#NAME?</v>
      </c>
      <c r="K349" s="523" t="e">
        <f ca="1">gr(données_step[[#This Row],[S_NH4]])</f>
        <v>#NAME?</v>
      </c>
      <c r="L349" s="523" t="e">
        <f ca="1">gr(données_step[[#This Row],[S_NO2]])</f>
        <v>#NAME?</v>
      </c>
      <c r="M349" s="523" t="e">
        <f ca="1">gr(données_step[[#This Row],[S_NO3]])</f>
        <v>#NAME?</v>
      </c>
      <c r="N349" s="523" t="e">
        <f ca="1">gr(données_step[[#This Row],[S_PORTH]])</f>
        <v>#NAME?</v>
      </c>
      <c r="O349" s="523" t="e">
        <f ca="1">gr(données_step[[#This Row],[S_PTOT]])</f>
        <v>#NAME?</v>
      </c>
      <c r="P349" s="523" t="e">
        <f ca="1">gr(données_step[[#This Row],[S_MES]])</f>
        <v>#NAME?</v>
      </c>
      <c r="Q349" s="523" t="e">
        <v>#N/A</v>
      </c>
      <c r="R349" s="523" t="e">
        <v>#N/A</v>
      </c>
      <c r="S349" s="523" t="e">
        <v>#N/A</v>
      </c>
      <c r="T349" s="523" t="e">
        <v>#N/A</v>
      </c>
      <c r="U349" s="523" t="e">
        <v>#N/A</v>
      </c>
      <c r="V349" s="523" t="e">
        <v>#N/A</v>
      </c>
      <c r="W349" s="523" t="e">
        <v>#N/A</v>
      </c>
      <c r="X349" s="523" t="e">
        <v>#N/A</v>
      </c>
      <c r="Y349" s="523" t="e">
        <v>#N/A</v>
      </c>
      <c r="Z349" s="523"/>
      <c r="AA349" s="523"/>
    </row>
    <row r="350" spans="1:27" x14ac:dyDescent="0.2">
      <c r="A350" s="222">
        <f>calculs!A350</f>
        <v>44901</v>
      </c>
      <c r="B350" s="523" t="e">
        <f ca="1">gr(données_step[[#This Row],[E_DBO5]])</f>
        <v>#NAME?</v>
      </c>
      <c r="C350" s="523" t="e">
        <f ca="1">gr(données_step[[#This Row],[E_DCO]])</f>
        <v>#NAME?</v>
      </c>
      <c r="D350" s="523" t="e">
        <f ca="1">gr(données_step[[#This Row],[E_COT]])</f>
        <v>#NAME?</v>
      </c>
      <c r="E350" s="523" t="e">
        <f ca="1">gr(données_step[[#This Row],[E_NH4]])</f>
        <v>#NAME?</v>
      </c>
      <c r="F350" s="523" t="e">
        <f ca="1">gr(données_step[[#This Row],[E_NTOT]])</f>
        <v>#NAME?</v>
      </c>
      <c r="G350" s="523" t="e">
        <f ca="1">gr(données_step[[#This Row],[E_PTOT]])</f>
        <v>#NAME?</v>
      </c>
      <c r="H350" s="523" t="e">
        <f ca="1">gr(données_step[[#This Row],[S_DBO5]])</f>
        <v>#NAME?</v>
      </c>
      <c r="I350" s="523" t="e">
        <f ca="1">gr(données_step[[#This Row],[S_DCO]])</f>
        <v>#NAME?</v>
      </c>
      <c r="J350" s="523" t="e">
        <f ca="1">gr(données_step[[#This Row],[S_COD]])</f>
        <v>#NAME?</v>
      </c>
      <c r="K350" s="523" t="e">
        <f ca="1">gr(données_step[[#This Row],[S_NH4]])</f>
        <v>#NAME?</v>
      </c>
      <c r="L350" s="523" t="e">
        <f ca="1">gr(données_step[[#This Row],[S_NO2]])</f>
        <v>#NAME?</v>
      </c>
      <c r="M350" s="523" t="e">
        <f ca="1">gr(données_step[[#This Row],[S_NO3]])</f>
        <v>#NAME?</v>
      </c>
      <c r="N350" s="523" t="e">
        <f ca="1">gr(données_step[[#This Row],[S_PORTH]])</f>
        <v>#NAME?</v>
      </c>
      <c r="O350" s="523" t="e">
        <f ca="1">gr(données_step[[#This Row],[S_PTOT]])</f>
        <v>#NAME?</v>
      </c>
      <c r="P350" s="523" t="e">
        <f ca="1">gr(données_step[[#This Row],[S_MES]])</f>
        <v>#NAME?</v>
      </c>
      <c r="Q350" s="523" t="e">
        <v>#N/A</v>
      </c>
      <c r="R350" s="523" t="e">
        <v>#N/A</v>
      </c>
      <c r="S350" s="523" t="e">
        <v>#N/A</v>
      </c>
      <c r="T350" s="523" t="e">
        <v>#N/A</v>
      </c>
      <c r="U350" s="523" t="e">
        <v>#N/A</v>
      </c>
      <c r="V350" s="523" t="e">
        <v>#N/A</v>
      </c>
      <c r="W350" s="523" t="e">
        <v>#N/A</v>
      </c>
      <c r="X350" s="523" t="e">
        <v>#N/A</v>
      </c>
      <c r="Y350" s="523" t="e">
        <v>#N/A</v>
      </c>
      <c r="Z350" s="523"/>
      <c r="AA350" s="523"/>
    </row>
    <row r="351" spans="1:27" x14ac:dyDescent="0.2">
      <c r="A351" s="222">
        <f>calculs!A351</f>
        <v>44902</v>
      </c>
      <c r="B351" s="523" t="e">
        <f ca="1">gr(données_step[[#This Row],[E_DBO5]])</f>
        <v>#NAME?</v>
      </c>
      <c r="C351" s="523" t="e">
        <f ca="1">gr(données_step[[#This Row],[E_DCO]])</f>
        <v>#NAME?</v>
      </c>
      <c r="D351" s="523" t="e">
        <f ca="1">gr(données_step[[#This Row],[E_COT]])</f>
        <v>#NAME?</v>
      </c>
      <c r="E351" s="523" t="e">
        <f ca="1">gr(données_step[[#This Row],[E_NH4]])</f>
        <v>#NAME?</v>
      </c>
      <c r="F351" s="523" t="e">
        <f ca="1">gr(données_step[[#This Row],[E_NTOT]])</f>
        <v>#NAME?</v>
      </c>
      <c r="G351" s="523" t="e">
        <f ca="1">gr(données_step[[#This Row],[E_PTOT]])</f>
        <v>#NAME?</v>
      </c>
      <c r="H351" s="523" t="e">
        <f ca="1">gr(données_step[[#This Row],[S_DBO5]])</f>
        <v>#NAME?</v>
      </c>
      <c r="I351" s="523" t="e">
        <f ca="1">gr(données_step[[#This Row],[S_DCO]])</f>
        <v>#NAME?</v>
      </c>
      <c r="J351" s="523" t="e">
        <f ca="1">gr(données_step[[#This Row],[S_COD]])</f>
        <v>#NAME?</v>
      </c>
      <c r="K351" s="523" t="e">
        <f ca="1">gr(données_step[[#This Row],[S_NH4]])</f>
        <v>#NAME?</v>
      </c>
      <c r="L351" s="523" t="e">
        <f ca="1">gr(données_step[[#This Row],[S_NO2]])</f>
        <v>#NAME?</v>
      </c>
      <c r="M351" s="523" t="e">
        <f ca="1">gr(données_step[[#This Row],[S_NO3]])</f>
        <v>#NAME?</v>
      </c>
      <c r="N351" s="523" t="e">
        <f ca="1">gr(données_step[[#This Row],[S_PORTH]])</f>
        <v>#NAME?</v>
      </c>
      <c r="O351" s="523" t="e">
        <f ca="1">gr(données_step[[#This Row],[S_PTOT]])</f>
        <v>#NAME?</v>
      </c>
      <c r="P351" s="523" t="e">
        <f ca="1">gr(données_step[[#This Row],[S_MES]])</f>
        <v>#NAME?</v>
      </c>
      <c r="Q351" s="523" t="e">
        <v>#N/A</v>
      </c>
      <c r="R351" s="523" t="e">
        <v>#N/A</v>
      </c>
      <c r="S351" s="523" t="e">
        <v>#N/A</v>
      </c>
      <c r="T351" s="523" t="e">
        <v>#N/A</v>
      </c>
      <c r="U351" s="523" t="e">
        <v>#N/A</v>
      </c>
      <c r="V351" s="523" t="e">
        <v>#N/A</v>
      </c>
      <c r="W351" s="523" t="e">
        <v>#N/A</v>
      </c>
      <c r="X351" s="523" t="e">
        <v>#N/A</v>
      </c>
      <c r="Y351" s="523" t="e">
        <v>#N/A</v>
      </c>
      <c r="Z351" s="523"/>
      <c r="AA351" s="523"/>
    </row>
    <row r="352" spans="1:27" x14ac:dyDescent="0.2">
      <c r="A352" s="222">
        <f>calculs!A352</f>
        <v>44903</v>
      </c>
      <c r="B352" s="523" t="e">
        <f ca="1">gr(données_step[[#This Row],[E_DBO5]])</f>
        <v>#NAME?</v>
      </c>
      <c r="C352" s="523" t="e">
        <f ca="1">gr(données_step[[#This Row],[E_DCO]])</f>
        <v>#NAME?</v>
      </c>
      <c r="D352" s="523" t="e">
        <f ca="1">gr(données_step[[#This Row],[E_COT]])</f>
        <v>#NAME?</v>
      </c>
      <c r="E352" s="523" t="e">
        <f ca="1">gr(données_step[[#This Row],[E_NH4]])</f>
        <v>#NAME?</v>
      </c>
      <c r="F352" s="523" t="e">
        <f ca="1">gr(données_step[[#This Row],[E_NTOT]])</f>
        <v>#NAME?</v>
      </c>
      <c r="G352" s="523" t="e">
        <f ca="1">gr(données_step[[#This Row],[E_PTOT]])</f>
        <v>#NAME?</v>
      </c>
      <c r="H352" s="523" t="e">
        <f ca="1">gr(données_step[[#This Row],[S_DBO5]])</f>
        <v>#NAME?</v>
      </c>
      <c r="I352" s="523" t="e">
        <f ca="1">gr(données_step[[#This Row],[S_DCO]])</f>
        <v>#NAME?</v>
      </c>
      <c r="J352" s="523" t="e">
        <f ca="1">gr(données_step[[#This Row],[S_COD]])</f>
        <v>#NAME?</v>
      </c>
      <c r="K352" s="523" t="e">
        <f ca="1">gr(données_step[[#This Row],[S_NH4]])</f>
        <v>#NAME?</v>
      </c>
      <c r="L352" s="523" t="e">
        <f ca="1">gr(données_step[[#This Row],[S_NO2]])</f>
        <v>#NAME?</v>
      </c>
      <c r="M352" s="523" t="e">
        <f ca="1">gr(données_step[[#This Row],[S_NO3]])</f>
        <v>#NAME?</v>
      </c>
      <c r="N352" s="523" t="e">
        <f ca="1">gr(données_step[[#This Row],[S_PORTH]])</f>
        <v>#NAME?</v>
      </c>
      <c r="O352" s="523" t="e">
        <f ca="1">gr(données_step[[#This Row],[S_PTOT]])</f>
        <v>#NAME?</v>
      </c>
      <c r="P352" s="523" t="e">
        <f ca="1">gr(données_step[[#This Row],[S_MES]])</f>
        <v>#NAME?</v>
      </c>
      <c r="Q352" s="523" t="e">
        <v>#N/A</v>
      </c>
      <c r="R352" s="523" t="e">
        <v>#N/A</v>
      </c>
      <c r="S352" s="523" t="e">
        <v>#N/A</v>
      </c>
      <c r="T352" s="523" t="e">
        <v>#N/A</v>
      </c>
      <c r="U352" s="523" t="e">
        <v>#N/A</v>
      </c>
      <c r="V352" s="523" t="e">
        <v>#N/A</v>
      </c>
      <c r="W352" s="523" t="e">
        <v>#N/A</v>
      </c>
      <c r="X352" s="523" t="e">
        <v>#N/A</v>
      </c>
      <c r="Y352" s="523" t="e">
        <v>#N/A</v>
      </c>
      <c r="Z352" s="523"/>
      <c r="AA352" s="523"/>
    </row>
    <row r="353" spans="1:27" x14ac:dyDescent="0.2">
      <c r="A353" s="222">
        <f>calculs!A353</f>
        <v>44904</v>
      </c>
      <c r="B353" s="523" t="e">
        <f ca="1">gr(données_step[[#This Row],[E_DBO5]])</f>
        <v>#NAME?</v>
      </c>
      <c r="C353" s="523" t="e">
        <f ca="1">gr(données_step[[#This Row],[E_DCO]])</f>
        <v>#NAME?</v>
      </c>
      <c r="D353" s="523" t="e">
        <f ca="1">gr(données_step[[#This Row],[E_COT]])</f>
        <v>#NAME?</v>
      </c>
      <c r="E353" s="523" t="e">
        <f ca="1">gr(données_step[[#This Row],[E_NH4]])</f>
        <v>#NAME?</v>
      </c>
      <c r="F353" s="523" t="e">
        <f ca="1">gr(données_step[[#This Row],[E_NTOT]])</f>
        <v>#NAME?</v>
      </c>
      <c r="G353" s="523" t="e">
        <f ca="1">gr(données_step[[#This Row],[E_PTOT]])</f>
        <v>#NAME?</v>
      </c>
      <c r="H353" s="523" t="e">
        <f ca="1">gr(données_step[[#This Row],[S_DBO5]])</f>
        <v>#NAME?</v>
      </c>
      <c r="I353" s="523" t="e">
        <f ca="1">gr(données_step[[#This Row],[S_DCO]])</f>
        <v>#NAME?</v>
      </c>
      <c r="J353" s="523" t="e">
        <f ca="1">gr(données_step[[#This Row],[S_COD]])</f>
        <v>#NAME?</v>
      </c>
      <c r="K353" s="523" t="e">
        <f ca="1">gr(données_step[[#This Row],[S_NH4]])</f>
        <v>#NAME?</v>
      </c>
      <c r="L353" s="523" t="e">
        <f ca="1">gr(données_step[[#This Row],[S_NO2]])</f>
        <v>#NAME?</v>
      </c>
      <c r="M353" s="523" t="e">
        <f ca="1">gr(données_step[[#This Row],[S_NO3]])</f>
        <v>#NAME?</v>
      </c>
      <c r="N353" s="523" t="e">
        <f ca="1">gr(données_step[[#This Row],[S_PORTH]])</f>
        <v>#NAME?</v>
      </c>
      <c r="O353" s="523" t="e">
        <f ca="1">gr(données_step[[#This Row],[S_PTOT]])</f>
        <v>#NAME?</v>
      </c>
      <c r="P353" s="523" t="e">
        <f ca="1">gr(données_step[[#This Row],[S_MES]])</f>
        <v>#NAME?</v>
      </c>
      <c r="Q353" s="523" t="e">
        <v>#N/A</v>
      </c>
      <c r="R353" s="523" t="e">
        <v>#N/A</v>
      </c>
      <c r="S353" s="523" t="e">
        <v>#N/A</v>
      </c>
      <c r="T353" s="523" t="e">
        <v>#N/A</v>
      </c>
      <c r="U353" s="523" t="e">
        <v>#N/A</v>
      </c>
      <c r="V353" s="523" t="e">
        <v>#N/A</v>
      </c>
      <c r="W353" s="523" t="e">
        <v>#N/A</v>
      </c>
      <c r="X353" s="523" t="e">
        <v>#N/A</v>
      </c>
      <c r="Y353" s="523" t="e">
        <v>#N/A</v>
      </c>
      <c r="Z353" s="523"/>
      <c r="AA353" s="523"/>
    </row>
    <row r="354" spans="1:27" x14ac:dyDescent="0.2">
      <c r="A354" s="222">
        <f>calculs!A354</f>
        <v>44905</v>
      </c>
      <c r="B354" s="523" t="e">
        <f ca="1">gr(données_step[[#This Row],[E_DBO5]])</f>
        <v>#NAME?</v>
      </c>
      <c r="C354" s="523" t="e">
        <f ca="1">gr(données_step[[#This Row],[E_DCO]])</f>
        <v>#NAME?</v>
      </c>
      <c r="D354" s="523" t="e">
        <f ca="1">gr(données_step[[#This Row],[E_COT]])</f>
        <v>#NAME?</v>
      </c>
      <c r="E354" s="523" t="e">
        <f ca="1">gr(données_step[[#This Row],[E_NH4]])</f>
        <v>#NAME?</v>
      </c>
      <c r="F354" s="523" t="e">
        <f ca="1">gr(données_step[[#This Row],[E_NTOT]])</f>
        <v>#NAME?</v>
      </c>
      <c r="G354" s="523" t="e">
        <f ca="1">gr(données_step[[#This Row],[E_PTOT]])</f>
        <v>#NAME?</v>
      </c>
      <c r="H354" s="523" t="e">
        <f ca="1">gr(données_step[[#This Row],[S_DBO5]])</f>
        <v>#NAME?</v>
      </c>
      <c r="I354" s="523" t="e">
        <f ca="1">gr(données_step[[#This Row],[S_DCO]])</f>
        <v>#NAME?</v>
      </c>
      <c r="J354" s="523" t="e">
        <f ca="1">gr(données_step[[#This Row],[S_COD]])</f>
        <v>#NAME?</v>
      </c>
      <c r="K354" s="523" t="e">
        <f ca="1">gr(données_step[[#This Row],[S_NH4]])</f>
        <v>#NAME?</v>
      </c>
      <c r="L354" s="523" t="e">
        <f ca="1">gr(données_step[[#This Row],[S_NO2]])</f>
        <v>#NAME?</v>
      </c>
      <c r="M354" s="523" t="e">
        <f ca="1">gr(données_step[[#This Row],[S_NO3]])</f>
        <v>#NAME?</v>
      </c>
      <c r="N354" s="523" t="e">
        <f ca="1">gr(données_step[[#This Row],[S_PORTH]])</f>
        <v>#NAME?</v>
      </c>
      <c r="O354" s="523" t="e">
        <f ca="1">gr(données_step[[#This Row],[S_PTOT]])</f>
        <v>#NAME?</v>
      </c>
      <c r="P354" s="523" t="e">
        <f ca="1">gr(données_step[[#This Row],[S_MES]])</f>
        <v>#NAME?</v>
      </c>
      <c r="Q354" s="523" t="e">
        <v>#N/A</v>
      </c>
      <c r="R354" s="523" t="e">
        <v>#N/A</v>
      </c>
      <c r="S354" s="523" t="e">
        <v>#N/A</v>
      </c>
      <c r="T354" s="523" t="e">
        <v>#N/A</v>
      </c>
      <c r="U354" s="523" t="e">
        <v>#N/A</v>
      </c>
      <c r="V354" s="523" t="e">
        <v>#N/A</v>
      </c>
      <c r="W354" s="523" t="e">
        <v>#N/A</v>
      </c>
      <c r="X354" s="523" t="e">
        <v>#N/A</v>
      </c>
      <c r="Y354" s="523" t="e">
        <v>#N/A</v>
      </c>
      <c r="Z354" s="523"/>
      <c r="AA354" s="523"/>
    </row>
    <row r="355" spans="1:27" x14ac:dyDescent="0.2">
      <c r="A355" s="222">
        <f>calculs!A355</f>
        <v>44906</v>
      </c>
      <c r="B355" s="523" t="e">
        <f ca="1">gr(données_step[[#This Row],[E_DBO5]])</f>
        <v>#NAME?</v>
      </c>
      <c r="C355" s="523" t="e">
        <f ca="1">gr(données_step[[#This Row],[E_DCO]])</f>
        <v>#NAME?</v>
      </c>
      <c r="D355" s="523" t="e">
        <f ca="1">gr(données_step[[#This Row],[E_COT]])</f>
        <v>#NAME?</v>
      </c>
      <c r="E355" s="523" t="e">
        <f ca="1">gr(données_step[[#This Row],[E_NH4]])</f>
        <v>#NAME?</v>
      </c>
      <c r="F355" s="523" t="e">
        <f ca="1">gr(données_step[[#This Row],[E_NTOT]])</f>
        <v>#NAME?</v>
      </c>
      <c r="G355" s="523" t="e">
        <f ca="1">gr(données_step[[#This Row],[E_PTOT]])</f>
        <v>#NAME?</v>
      </c>
      <c r="H355" s="523" t="e">
        <f ca="1">gr(données_step[[#This Row],[S_DBO5]])</f>
        <v>#NAME?</v>
      </c>
      <c r="I355" s="523" t="e">
        <f ca="1">gr(données_step[[#This Row],[S_DCO]])</f>
        <v>#NAME?</v>
      </c>
      <c r="J355" s="523" t="e">
        <f ca="1">gr(données_step[[#This Row],[S_COD]])</f>
        <v>#NAME?</v>
      </c>
      <c r="K355" s="523" t="e">
        <f ca="1">gr(données_step[[#This Row],[S_NH4]])</f>
        <v>#NAME?</v>
      </c>
      <c r="L355" s="523" t="e">
        <f ca="1">gr(données_step[[#This Row],[S_NO2]])</f>
        <v>#NAME?</v>
      </c>
      <c r="M355" s="523" t="e">
        <f ca="1">gr(données_step[[#This Row],[S_NO3]])</f>
        <v>#NAME?</v>
      </c>
      <c r="N355" s="523" t="e">
        <f ca="1">gr(données_step[[#This Row],[S_PORTH]])</f>
        <v>#NAME?</v>
      </c>
      <c r="O355" s="523" t="e">
        <f ca="1">gr(données_step[[#This Row],[S_PTOT]])</f>
        <v>#NAME?</v>
      </c>
      <c r="P355" s="523" t="e">
        <f ca="1">gr(données_step[[#This Row],[S_MES]])</f>
        <v>#NAME?</v>
      </c>
      <c r="Q355" s="523" t="e">
        <v>#N/A</v>
      </c>
      <c r="R355" s="523" t="e">
        <v>#N/A</v>
      </c>
      <c r="S355" s="523" t="e">
        <v>#N/A</v>
      </c>
      <c r="T355" s="523" t="e">
        <v>#N/A</v>
      </c>
      <c r="U355" s="523" t="e">
        <v>#N/A</v>
      </c>
      <c r="V355" s="523" t="e">
        <v>#N/A</v>
      </c>
      <c r="W355" s="523" t="e">
        <v>#N/A</v>
      </c>
      <c r="X355" s="523" t="e">
        <v>#N/A</v>
      </c>
      <c r="Y355" s="523" t="e">
        <v>#N/A</v>
      </c>
      <c r="Z355" s="523"/>
      <c r="AA355" s="523"/>
    </row>
    <row r="356" spans="1:27" x14ac:dyDescent="0.2">
      <c r="A356" s="222">
        <f>calculs!A356</f>
        <v>44907</v>
      </c>
      <c r="B356" s="523" t="e">
        <f ca="1">gr(données_step[[#This Row],[E_DBO5]])</f>
        <v>#NAME?</v>
      </c>
      <c r="C356" s="523" t="e">
        <f ca="1">gr(données_step[[#This Row],[E_DCO]])</f>
        <v>#NAME?</v>
      </c>
      <c r="D356" s="523" t="e">
        <f ca="1">gr(données_step[[#This Row],[E_COT]])</f>
        <v>#NAME?</v>
      </c>
      <c r="E356" s="523" t="e">
        <f ca="1">gr(données_step[[#This Row],[E_NH4]])</f>
        <v>#NAME?</v>
      </c>
      <c r="F356" s="523" t="e">
        <f ca="1">gr(données_step[[#This Row],[E_NTOT]])</f>
        <v>#NAME?</v>
      </c>
      <c r="G356" s="523" t="e">
        <f ca="1">gr(données_step[[#This Row],[E_PTOT]])</f>
        <v>#NAME?</v>
      </c>
      <c r="H356" s="523" t="e">
        <f ca="1">gr(données_step[[#This Row],[S_DBO5]])</f>
        <v>#NAME?</v>
      </c>
      <c r="I356" s="523" t="e">
        <f ca="1">gr(données_step[[#This Row],[S_DCO]])</f>
        <v>#NAME?</v>
      </c>
      <c r="J356" s="523" t="e">
        <f ca="1">gr(données_step[[#This Row],[S_COD]])</f>
        <v>#NAME?</v>
      </c>
      <c r="K356" s="523" t="e">
        <f ca="1">gr(données_step[[#This Row],[S_NH4]])</f>
        <v>#NAME?</v>
      </c>
      <c r="L356" s="523" t="e">
        <f ca="1">gr(données_step[[#This Row],[S_NO2]])</f>
        <v>#NAME?</v>
      </c>
      <c r="M356" s="523" t="e">
        <f ca="1">gr(données_step[[#This Row],[S_NO3]])</f>
        <v>#NAME?</v>
      </c>
      <c r="N356" s="523" t="e">
        <f ca="1">gr(données_step[[#This Row],[S_PORTH]])</f>
        <v>#NAME?</v>
      </c>
      <c r="O356" s="523" t="e">
        <f ca="1">gr(données_step[[#This Row],[S_PTOT]])</f>
        <v>#NAME?</v>
      </c>
      <c r="P356" s="523" t="e">
        <f ca="1">gr(données_step[[#This Row],[S_MES]])</f>
        <v>#NAME?</v>
      </c>
      <c r="Q356" s="523" t="e">
        <v>#N/A</v>
      </c>
      <c r="R356" s="523" t="e">
        <v>#N/A</v>
      </c>
      <c r="S356" s="523" t="e">
        <v>#N/A</v>
      </c>
      <c r="T356" s="523" t="e">
        <v>#N/A</v>
      </c>
      <c r="U356" s="523" t="e">
        <v>#N/A</v>
      </c>
      <c r="V356" s="523" t="e">
        <v>#N/A</v>
      </c>
      <c r="W356" s="523" t="e">
        <v>#N/A</v>
      </c>
      <c r="X356" s="523" t="e">
        <v>#N/A</v>
      </c>
      <c r="Y356" s="523" t="e">
        <v>#N/A</v>
      </c>
      <c r="Z356" s="523"/>
      <c r="AA356" s="523"/>
    </row>
    <row r="357" spans="1:27" x14ac:dyDescent="0.2">
      <c r="A357" s="222">
        <f>calculs!A357</f>
        <v>44908</v>
      </c>
      <c r="B357" s="523" t="e">
        <f ca="1">gr(données_step[[#This Row],[E_DBO5]])</f>
        <v>#NAME?</v>
      </c>
      <c r="C357" s="523" t="e">
        <f ca="1">gr(données_step[[#This Row],[E_DCO]])</f>
        <v>#NAME?</v>
      </c>
      <c r="D357" s="523" t="e">
        <f ca="1">gr(données_step[[#This Row],[E_COT]])</f>
        <v>#NAME?</v>
      </c>
      <c r="E357" s="523" t="e">
        <f ca="1">gr(données_step[[#This Row],[E_NH4]])</f>
        <v>#NAME?</v>
      </c>
      <c r="F357" s="523" t="e">
        <f ca="1">gr(données_step[[#This Row],[E_NTOT]])</f>
        <v>#NAME?</v>
      </c>
      <c r="G357" s="523" t="e">
        <f ca="1">gr(données_step[[#This Row],[E_PTOT]])</f>
        <v>#NAME?</v>
      </c>
      <c r="H357" s="523" t="e">
        <f ca="1">gr(données_step[[#This Row],[S_DBO5]])</f>
        <v>#NAME?</v>
      </c>
      <c r="I357" s="523" t="e">
        <f ca="1">gr(données_step[[#This Row],[S_DCO]])</f>
        <v>#NAME?</v>
      </c>
      <c r="J357" s="523" t="e">
        <f ca="1">gr(données_step[[#This Row],[S_COD]])</f>
        <v>#NAME?</v>
      </c>
      <c r="K357" s="523" t="e">
        <f ca="1">gr(données_step[[#This Row],[S_NH4]])</f>
        <v>#NAME?</v>
      </c>
      <c r="L357" s="523" t="e">
        <f ca="1">gr(données_step[[#This Row],[S_NO2]])</f>
        <v>#NAME?</v>
      </c>
      <c r="M357" s="523" t="e">
        <f ca="1">gr(données_step[[#This Row],[S_NO3]])</f>
        <v>#NAME?</v>
      </c>
      <c r="N357" s="523" t="e">
        <f ca="1">gr(données_step[[#This Row],[S_PORTH]])</f>
        <v>#NAME?</v>
      </c>
      <c r="O357" s="523" t="e">
        <f ca="1">gr(données_step[[#This Row],[S_PTOT]])</f>
        <v>#NAME?</v>
      </c>
      <c r="P357" s="523" t="e">
        <f ca="1">gr(données_step[[#This Row],[S_MES]])</f>
        <v>#NAME?</v>
      </c>
      <c r="Q357" s="523" t="e">
        <v>#N/A</v>
      </c>
      <c r="R357" s="523" t="e">
        <v>#N/A</v>
      </c>
      <c r="S357" s="523" t="e">
        <v>#N/A</v>
      </c>
      <c r="T357" s="523" t="e">
        <v>#N/A</v>
      </c>
      <c r="U357" s="523" t="e">
        <v>#N/A</v>
      </c>
      <c r="V357" s="523" t="e">
        <v>#N/A</v>
      </c>
      <c r="W357" s="523" t="e">
        <v>#N/A</v>
      </c>
      <c r="X357" s="523" t="e">
        <v>#N/A</v>
      </c>
      <c r="Y357" s="523" t="e">
        <v>#N/A</v>
      </c>
      <c r="Z357" s="523"/>
      <c r="AA357" s="523"/>
    </row>
    <row r="358" spans="1:27" x14ac:dyDescent="0.2">
      <c r="A358" s="222">
        <f>calculs!A358</f>
        <v>44909</v>
      </c>
      <c r="B358" s="523" t="e">
        <f ca="1">gr(données_step[[#This Row],[E_DBO5]])</f>
        <v>#NAME?</v>
      </c>
      <c r="C358" s="523" t="e">
        <f ca="1">gr(données_step[[#This Row],[E_DCO]])</f>
        <v>#NAME?</v>
      </c>
      <c r="D358" s="523" t="e">
        <f ca="1">gr(données_step[[#This Row],[E_COT]])</f>
        <v>#NAME?</v>
      </c>
      <c r="E358" s="523" t="e">
        <f ca="1">gr(données_step[[#This Row],[E_NH4]])</f>
        <v>#NAME?</v>
      </c>
      <c r="F358" s="523" t="e">
        <f ca="1">gr(données_step[[#This Row],[E_NTOT]])</f>
        <v>#NAME?</v>
      </c>
      <c r="G358" s="523" t="e">
        <f ca="1">gr(données_step[[#This Row],[E_PTOT]])</f>
        <v>#NAME?</v>
      </c>
      <c r="H358" s="523" t="e">
        <f ca="1">gr(données_step[[#This Row],[S_DBO5]])</f>
        <v>#NAME?</v>
      </c>
      <c r="I358" s="523" t="e">
        <f ca="1">gr(données_step[[#This Row],[S_DCO]])</f>
        <v>#NAME?</v>
      </c>
      <c r="J358" s="523" t="e">
        <f ca="1">gr(données_step[[#This Row],[S_COD]])</f>
        <v>#NAME?</v>
      </c>
      <c r="K358" s="523" t="e">
        <f ca="1">gr(données_step[[#This Row],[S_NH4]])</f>
        <v>#NAME?</v>
      </c>
      <c r="L358" s="523" t="e">
        <f ca="1">gr(données_step[[#This Row],[S_NO2]])</f>
        <v>#NAME?</v>
      </c>
      <c r="M358" s="523" t="e">
        <f ca="1">gr(données_step[[#This Row],[S_NO3]])</f>
        <v>#NAME?</v>
      </c>
      <c r="N358" s="523" t="e">
        <f ca="1">gr(données_step[[#This Row],[S_PORTH]])</f>
        <v>#NAME?</v>
      </c>
      <c r="O358" s="523" t="e">
        <f ca="1">gr(données_step[[#This Row],[S_PTOT]])</f>
        <v>#NAME?</v>
      </c>
      <c r="P358" s="523" t="e">
        <f ca="1">gr(données_step[[#This Row],[S_MES]])</f>
        <v>#NAME?</v>
      </c>
      <c r="Q358" s="523" t="e">
        <v>#N/A</v>
      </c>
      <c r="R358" s="523" t="e">
        <v>#N/A</v>
      </c>
      <c r="S358" s="523" t="e">
        <v>#N/A</v>
      </c>
      <c r="T358" s="523" t="e">
        <v>#N/A</v>
      </c>
      <c r="U358" s="523" t="e">
        <v>#N/A</v>
      </c>
      <c r="V358" s="523" t="e">
        <v>#N/A</v>
      </c>
      <c r="W358" s="523" t="e">
        <v>#N/A</v>
      </c>
      <c r="X358" s="523" t="e">
        <v>#N/A</v>
      </c>
      <c r="Y358" s="523" t="e">
        <v>#N/A</v>
      </c>
      <c r="Z358" s="523"/>
      <c r="AA358" s="523"/>
    </row>
    <row r="359" spans="1:27" x14ac:dyDescent="0.2">
      <c r="A359" s="222">
        <f>calculs!A359</f>
        <v>44910</v>
      </c>
      <c r="B359" s="523" t="e">
        <f ca="1">gr(données_step[[#This Row],[E_DBO5]])</f>
        <v>#NAME?</v>
      </c>
      <c r="C359" s="523" t="e">
        <f ca="1">gr(données_step[[#This Row],[E_DCO]])</f>
        <v>#NAME?</v>
      </c>
      <c r="D359" s="523" t="e">
        <f ca="1">gr(données_step[[#This Row],[E_COT]])</f>
        <v>#NAME?</v>
      </c>
      <c r="E359" s="523" t="e">
        <f ca="1">gr(données_step[[#This Row],[E_NH4]])</f>
        <v>#NAME?</v>
      </c>
      <c r="F359" s="523" t="e">
        <f ca="1">gr(données_step[[#This Row],[E_NTOT]])</f>
        <v>#NAME?</v>
      </c>
      <c r="G359" s="523" t="e">
        <f ca="1">gr(données_step[[#This Row],[E_PTOT]])</f>
        <v>#NAME?</v>
      </c>
      <c r="H359" s="523" t="e">
        <f ca="1">gr(données_step[[#This Row],[S_DBO5]])</f>
        <v>#NAME?</v>
      </c>
      <c r="I359" s="523" t="e">
        <f ca="1">gr(données_step[[#This Row],[S_DCO]])</f>
        <v>#NAME?</v>
      </c>
      <c r="J359" s="523" t="e">
        <f ca="1">gr(données_step[[#This Row],[S_COD]])</f>
        <v>#NAME?</v>
      </c>
      <c r="K359" s="523" t="e">
        <f ca="1">gr(données_step[[#This Row],[S_NH4]])</f>
        <v>#NAME?</v>
      </c>
      <c r="L359" s="523" t="e">
        <f ca="1">gr(données_step[[#This Row],[S_NO2]])</f>
        <v>#NAME?</v>
      </c>
      <c r="M359" s="523" t="e">
        <f ca="1">gr(données_step[[#This Row],[S_NO3]])</f>
        <v>#NAME?</v>
      </c>
      <c r="N359" s="523" t="e">
        <f ca="1">gr(données_step[[#This Row],[S_PORTH]])</f>
        <v>#NAME?</v>
      </c>
      <c r="O359" s="523" t="e">
        <f ca="1">gr(données_step[[#This Row],[S_PTOT]])</f>
        <v>#NAME?</v>
      </c>
      <c r="P359" s="523" t="e">
        <f ca="1">gr(données_step[[#This Row],[S_MES]])</f>
        <v>#NAME?</v>
      </c>
      <c r="Q359" s="523" t="e">
        <v>#N/A</v>
      </c>
      <c r="R359" s="523" t="e">
        <v>#N/A</v>
      </c>
      <c r="S359" s="523" t="e">
        <v>#N/A</v>
      </c>
      <c r="T359" s="523" t="e">
        <v>#N/A</v>
      </c>
      <c r="U359" s="523" t="e">
        <v>#N/A</v>
      </c>
      <c r="V359" s="523" t="e">
        <v>#N/A</v>
      </c>
      <c r="W359" s="523" t="e">
        <v>#N/A</v>
      </c>
      <c r="X359" s="523" t="e">
        <v>#N/A</v>
      </c>
      <c r="Y359" s="523" t="e">
        <v>#N/A</v>
      </c>
      <c r="Z359" s="523"/>
      <c r="AA359" s="523"/>
    </row>
    <row r="360" spans="1:27" x14ac:dyDescent="0.2">
      <c r="A360" s="222">
        <f>calculs!A360</f>
        <v>44911</v>
      </c>
      <c r="B360" s="523" t="e">
        <f ca="1">gr(données_step[[#This Row],[E_DBO5]])</f>
        <v>#NAME?</v>
      </c>
      <c r="C360" s="523" t="e">
        <f ca="1">gr(données_step[[#This Row],[E_DCO]])</f>
        <v>#NAME?</v>
      </c>
      <c r="D360" s="523" t="e">
        <f ca="1">gr(données_step[[#This Row],[E_COT]])</f>
        <v>#NAME?</v>
      </c>
      <c r="E360" s="523" t="e">
        <f ca="1">gr(données_step[[#This Row],[E_NH4]])</f>
        <v>#NAME?</v>
      </c>
      <c r="F360" s="523" t="e">
        <f ca="1">gr(données_step[[#This Row],[E_NTOT]])</f>
        <v>#NAME?</v>
      </c>
      <c r="G360" s="523" t="e">
        <f ca="1">gr(données_step[[#This Row],[E_PTOT]])</f>
        <v>#NAME?</v>
      </c>
      <c r="H360" s="523" t="e">
        <f ca="1">gr(données_step[[#This Row],[S_DBO5]])</f>
        <v>#NAME?</v>
      </c>
      <c r="I360" s="523" t="e">
        <f ca="1">gr(données_step[[#This Row],[S_DCO]])</f>
        <v>#NAME?</v>
      </c>
      <c r="J360" s="523" t="e">
        <f ca="1">gr(données_step[[#This Row],[S_COD]])</f>
        <v>#NAME?</v>
      </c>
      <c r="K360" s="523" t="e">
        <f ca="1">gr(données_step[[#This Row],[S_NH4]])</f>
        <v>#NAME?</v>
      </c>
      <c r="L360" s="523" t="e">
        <f ca="1">gr(données_step[[#This Row],[S_NO2]])</f>
        <v>#NAME?</v>
      </c>
      <c r="M360" s="523" t="e">
        <f ca="1">gr(données_step[[#This Row],[S_NO3]])</f>
        <v>#NAME?</v>
      </c>
      <c r="N360" s="523" t="e">
        <f ca="1">gr(données_step[[#This Row],[S_PORTH]])</f>
        <v>#NAME?</v>
      </c>
      <c r="O360" s="523" t="e">
        <f ca="1">gr(données_step[[#This Row],[S_PTOT]])</f>
        <v>#NAME?</v>
      </c>
      <c r="P360" s="523" t="e">
        <f ca="1">gr(données_step[[#This Row],[S_MES]])</f>
        <v>#NAME?</v>
      </c>
      <c r="Q360" s="523" t="e">
        <v>#N/A</v>
      </c>
      <c r="R360" s="523" t="e">
        <v>#N/A</v>
      </c>
      <c r="S360" s="523" t="e">
        <v>#N/A</v>
      </c>
      <c r="T360" s="523" t="e">
        <v>#N/A</v>
      </c>
      <c r="U360" s="523" t="e">
        <v>#N/A</v>
      </c>
      <c r="V360" s="523" t="e">
        <v>#N/A</v>
      </c>
      <c r="W360" s="523" t="e">
        <v>#N/A</v>
      </c>
      <c r="X360" s="523" t="e">
        <v>#N/A</v>
      </c>
      <c r="Y360" s="523" t="e">
        <v>#N/A</v>
      </c>
      <c r="Z360" s="523"/>
      <c r="AA360" s="523"/>
    </row>
    <row r="361" spans="1:27" x14ac:dyDescent="0.2">
      <c r="A361" s="222">
        <f>calculs!A361</f>
        <v>44912</v>
      </c>
      <c r="B361" s="523" t="e">
        <f ca="1">gr(données_step[[#This Row],[E_DBO5]])</f>
        <v>#NAME?</v>
      </c>
      <c r="C361" s="523" t="e">
        <f ca="1">gr(données_step[[#This Row],[E_DCO]])</f>
        <v>#NAME?</v>
      </c>
      <c r="D361" s="523" t="e">
        <f ca="1">gr(données_step[[#This Row],[E_COT]])</f>
        <v>#NAME?</v>
      </c>
      <c r="E361" s="523" t="e">
        <f ca="1">gr(données_step[[#This Row],[E_NH4]])</f>
        <v>#NAME?</v>
      </c>
      <c r="F361" s="523" t="e">
        <f ca="1">gr(données_step[[#This Row],[E_NTOT]])</f>
        <v>#NAME?</v>
      </c>
      <c r="G361" s="523" t="e">
        <f ca="1">gr(données_step[[#This Row],[E_PTOT]])</f>
        <v>#NAME?</v>
      </c>
      <c r="H361" s="523" t="e">
        <f ca="1">gr(données_step[[#This Row],[S_DBO5]])</f>
        <v>#NAME?</v>
      </c>
      <c r="I361" s="523" t="e">
        <f ca="1">gr(données_step[[#This Row],[S_DCO]])</f>
        <v>#NAME?</v>
      </c>
      <c r="J361" s="523" t="e">
        <f ca="1">gr(données_step[[#This Row],[S_COD]])</f>
        <v>#NAME?</v>
      </c>
      <c r="K361" s="523" t="e">
        <f ca="1">gr(données_step[[#This Row],[S_NH4]])</f>
        <v>#NAME?</v>
      </c>
      <c r="L361" s="523" t="e">
        <f ca="1">gr(données_step[[#This Row],[S_NO2]])</f>
        <v>#NAME?</v>
      </c>
      <c r="M361" s="523" t="e">
        <f ca="1">gr(données_step[[#This Row],[S_NO3]])</f>
        <v>#NAME?</v>
      </c>
      <c r="N361" s="523" t="e">
        <f ca="1">gr(données_step[[#This Row],[S_PORTH]])</f>
        <v>#NAME?</v>
      </c>
      <c r="O361" s="523" t="e">
        <f ca="1">gr(données_step[[#This Row],[S_PTOT]])</f>
        <v>#NAME?</v>
      </c>
      <c r="P361" s="523" t="e">
        <f ca="1">gr(données_step[[#This Row],[S_MES]])</f>
        <v>#NAME?</v>
      </c>
      <c r="Q361" s="523" t="e">
        <v>#N/A</v>
      </c>
      <c r="R361" s="523" t="e">
        <v>#N/A</v>
      </c>
      <c r="S361" s="523" t="e">
        <v>#N/A</v>
      </c>
      <c r="T361" s="523" t="e">
        <v>#N/A</v>
      </c>
      <c r="U361" s="523" t="e">
        <v>#N/A</v>
      </c>
      <c r="V361" s="523" t="e">
        <v>#N/A</v>
      </c>
      <c r="W361" s="523" t="e">
        <v>#N/A</v>
      </c>
      <c r="X361" s="523" t="e">
        <v>#N/A</v>
      </c>
      <c r="Y361" s="523" t="e">
        <v>#N/A</v>
      </c>
      <c r="Z361" s="523"/>
      <c r="AA361" s="523"/>
    </row>
    <row r="362" spans="1:27" x14ac:dyDescent="0.2">
      <c r="A362" s="222">
        <f>calculs!A362</f>
        <v>44913</v>
      </c>
      <c r="B362" s="523" t="e">
        <f ca="1">gr(données_step[[#This Row],[E_DBO5]])</f>
        <v>#NAME?</v>
      </c>
      <c r="C362" s="523" t="e">
        <f ca="1">gr(données_step[[#This Row],[E_DCO]])</f>
        <v>#NAME?</v>
      </c>
      <c r="D362" s="523" t="e">
        <f ca="1">gr(données_step[[#This Row],[E_COT]])</f>
        <v>#NAME?</v>
      </c>
      <c r="E362" s="523" t="e">
        <f ca="1">gr(données_step[[#This Row],[E_NH4]])</f>
        <v>#NAME?</v>
      </c>
      <c r="F362" s="523" t="e">
        <f ca="1">gr(données_step[[#This Row],[E_NTOT]])</f>
        <v>#NAME?</v>
      </c>
      <c r="G362" s="523" t="e">
        <f ca="1">gr(données_step[[#This Row],[E_PTOT]])</f>
        <v>#NAME?</v>
      </c>
      <c r="H362" s="523" t="e">
        <f ca="1">gr(données_step[[#This Row],[S_DBO5]])</f>
        <v>#NAME?</v>
      </c>
      <c r="I362" s="523" t="e">
        <f ca="1">gr(données_step[[#This Row],[S_DCO]])</f>
        <v>#NAME?</v>
      </c>
      <c r="J362" s="523" t="e">
        <f ca="1">gr(données_step[[#This Row],[S_COD]])</f>
        <v>#NAME?</v>
      </c>
      <c r="K362" s="523" t="e">
        <f ca="1">gr(données_step[[#This Row],[S_NH4]])</f>
        <v>#NAME?</v>
      </c>
      <c r="L362" s="523" t="e">
        <f ca="1">gr(données_step[[#This Row],[S_NO2]])</f>
        <v>#NAME?</v>
      </c>
      <c r="M362" s="523" t="e">
        <f ca="1">gr(données_step[[#This Row],[S_NO3]])</f>
        <v>#NAME?</v>
      </c>
      <c r="N362" s="523" t="e">
        <f ca="1">gr(données_step[[#This Row],[S_PORTH]])</f>
        <v>#NAME?</v>
      </c>
      <c r="O362" s="523" t="e">
        <f ca="1">gr(données_step[[#This Row],[S_PTOT]])</f>
        <v>#NAME?</v>
      </c>
      <c r="P362" s="523" t="e">
        <f ca="1">gr(données_step[[#This Row],[S_MES]])</f>
        <v>#NAME?</v>
      </c>
      <c r="Q362" s="523" t="e">
        <v>#N/A</v>
      </c>
      <c r="R362" s="523" t="e">
        <v>#N/A</v>
      </c>
      <c r="S362" s="523" t="e">
        <v>#N/A</v>
      </c>
      <c r="T362" s="523" t="e">
        <v>#N/A</v>
      </c>
      <c r="U362" s="523" t="e">
        <v>#N/A</v>
      </c>
      <c r="V362" s="523" t="e">
        <v>#N/A</v>
      </c>
      <c r="W362" s="523" t="e">
        <v>#N/A</v>
      </c>
      <c r="X362" s="523" t="e">
        <v>#N/A</v>
      </c>
      <c r="Y362" s="523" t="e">
        <v>#N/A</v>
      </c>
      <c r="Z362" s="523"/>
      <c r="AA362" s="523"/>
    </row>
    <row r="363" spans="1:27" x14ac:dyDescent="0.2">
      <c r="A363" s="222">
        <f>calculs!A363</f>
        <v>44914</v>
      </c>
      <c r="B363" s="523" t="e">
        <f ca="1">gr(données_step[[#This Row],[E_DBO5]])</f>
        <v>#NAME?</v>
      </c>
      <c r="C363" s="523" t="e">
        <f ca="1">gr(données_step[[#This Row],[E_DCO]])</f>
        <v>#NAME?</v>
      </c>
      <c r="D363" s="523" t="e">
        <f ca="1">gr(données_step[[#This Row],[E_COT]])</f>
        <v>#NAME?</v>
      </c>
      <c r="E363" s="523" t="e">
        <f ca="1">gr(données_step[[#This Row],[E_NH4]])</f>
        <v>#NAME?</v>
      </c>
      <c r="F363" s="523" t="e">
        <f ca="1">gr(données_step[[#This Row],[E_NTOT]])</f>
        <v>#NAME?</v>
      </c>
      <c r="G363" s="523" t="e">
        <f ca="1">gr(données_step[[#This Row],[E_PTOT]])</f>
        <v>#NAME?</v>
      </c>
      <c r="H363" s="523" t="e">
        <f ca="1">gr(données_step[[#This Row],[S_DBO5]])</f>
        <v>#NAME?</v>
      </c>
      <c r="I363" s="523" t="e">
        <f ca="1">gr(données_step[[#This Row],[S_DCO]])</f>
        <v>#NAME?</v>
      </c>
      <c r="J363" s="523" t="e">
        <f ca="1">gr(données_step[[#This Row],[S_COD]])</f>
        <v>#NAME?</v>
      </c>
      <c r="K363" s="523" t="e">
        <f ca="1">gr(données_step[[#This Row],[S_NH4]])</f>
        <v>#NAME?</v>
      </c>
      <c r="L363" s="523" t="e">
        <f ca="1">gr(données_step[[#This Row],[S_NO2]])</f>
        <v>#NAME?</v>
      </c>
      <c r="M363" s="523" t="e">
        <f ca="1">gr(données_step[[#This Row],[S_NO3]])</f>
        <v>#NAME?</v>
      </c>
      <c r="N363" s="523" t="e">
        <f ca="1">gr(données_step[[#This Row],[S_PORTH]])</f>
        <v>#NAME?</v>
      </c>
      <c r="O363" s="523" t="e">
        <f ca="1">gr(données_step[[#This Row],[S_PTOT]])</f>
        <v>#NAME?</v>
      </c>
      <c r="P363" s="523" t="e">
        <f ca="1">gr(données_step[[#This Row],[S_MES]])</f>
        <v>#NAME?</v>
      </c>
      <c r="Q363" s="523" t="e">
        <v>#N/A</v>
      </c>
      <c r="R363" s="523" t="e">
        <v>#N/A</v>
      </c>
      <c r="S363" s="523" t="e">
        <v>#N/A</v>
      </c>
      <c r="T363" s="523" t="e">
        <v>#N/A</v>
      </c>
      <c r="U363" s="523" t="e">
        <v>#N/A</v>
      </c>
      <c r="V363" s="523" t="e">
        <v>#N/A</v>
      </c>
      <c r="W363" s="523" t="e">
        <v>#N/A</v>
      </c>
      <c r="X363" s="523" t="e">
        <v>#N/A</v>
      </c>
      <c r="Y363" s="523" t="e">
        <v>#N/A</v>
      </c>
      <c r="Z363" s="523"/>
      <c r="AA363" s="523"/>
    </row>
    <row r="364" spans="1:27" x14ac:dyDescent="0.2">
      <c r="A364" s="222">
        <f>calculs!A364</f>
        <v>44915</v>
      </c>
      <c r="B364" s="523" t="e">
        <f ca="1">gr(données_step[[#This Row],[E_DBO5]])</f>
        <v>#NAME?</v>
      </c>
      <c r="C364" s="523" t="e">
        <f ca="1">gr(données_step[[#This Row],[E_DCO]])</f>
        <v>#NAME?</v>
      </c>
      <c r="D364" s="523" t="e">
        <f ca="1">gr(données_step[[#This Row],[E_COT]])</f>
        <v>#NAME?</v>
      </c>
      <c r="E364" s="523" t="e">
        <f ca="1">gr(données_step[[#This Row],[E_NH4]])</f>
        <v>#NAME?</v>
      </c>
      <c r="F364" s="523" t="e">
        <f ca="1">gr(données_step[[#This Row],[E_NTOT]])</f>
        <v>#NAME?</v>
      </c>
      <c r="G364" s="523" t="e">
        <f ca="1">gr(données_step[[#This Row],[E_PTOT]])</f>
        <v>#NAME?</v>
      </c>
      <c r="H364" s="523" t="e">
        <f ca="1">gr(données_step[[#This Row],[S_DBO5]])</f>
        <v>#NAME?</v>
      </c>
      <c r="I364" s="523" t="e">
        <f ca="1">gr(données_step[[#This Row],[S_DCO]])</f>
        <v>#NAME?</v>
      </c>
      <c r="J364" s="523" t="e">
        <f ca="1">gr(données_step[[#This Row],[S_COD]])</f>
        <v>#NAME?</v>
      </c>
      <c r="K364" s="523" t="e">
        <f ca="1">gr(données_step[[#This Row],[S_NH4]])</f>
        <v>#NAME?</v>
      </c>
      <c r="L364" s="523" t="e">
        <f ca="1">gr(données_step[[#This Row],[S_NO2]])</f>
        <v>#NAME?</v>
      </c>
      <c r="M364" s="523" t="e">
        <f ca="1">gr(données_step[[#This Row],[S_NO3]])</f>
        <v>#NAME?</v>
      </c>
      <c r="N364" s="523" t="e">
        <f ca="1">gr(données_step[[#This Row],[S_PORTH]])</f>
        <v>#NAME?</v>
      </c>
      <c r="O364" s="523" t="e">
        <f ca="1">gr(données_step[[#This Row],[S_PTOT]])</f>
        <v>#NAME?</v>
      </c>
      <c r="P364" s="523" t="e">
        <f ca="1">gr(données_step[[#This Row],[S_MES]])</f>
        <v>#NAME?</v>
      </c>
      <c r="Q364" s="523" t="e">
        <v>#N/A</v>
      </c>
      <c r="R364" s="523" t="e">
        <v>#N/A</v>
      </c>
      <c r="S364" s="523" t="e">
        <v>#N/A</v>
      </c>
      <c r="T364" s="523" t="e">
        <v>#N/A</v>
      </c>
      <c r="U364" s="523" t="e">
        <v>#N/A</v>
      </c>
      <c r="V364" s="523" t="e">
        <v>#N/A</v>
      </c>
      <c r="W364" s="523" t="e">
        <v>#N/A</v>
      </c>
      <c r="X364" s="523" t="e">
        <v>#N/A</v>
      </c>
      <c r="Y364" s="523" t="e">
        <v>#N/A</v>
      </c>
      <c r="Z364" s="523"/>
      <c r="AA364" s="523"/>
    </row>
    <row r="365" spans="1:27" x14ac:dyDescent="0.2">
      <c r="A365" s="222">
        <f>calculs!A365</f>
        <v>44916</v>
      </c>
      <c r="B365" s="523" t="e">
        <f ca="1">gr(données_step[[#This Row],[E_DBO5]])</f>
        <v>#NAME?</v>
      </c>
      <c r="C365" s="523" t="e">
        <f ca="1">gr(données_step[[#This Row],[E_DCO]])</f>
        <v>#NAME?</v>
      </c>
      <c r="D365" s="523" t="e">
        <f ca="1">gr(données_step[[#This Row],[E_COT]])</f>
        <v>#NAME?</v>
      </c>
      <c r="E365" s="523" t="e">
        <f ca="1">gr(données_step[[#This Row],[E_NH4]])</f>
        <v>#NAME?</v>
      </c>
      <c r="F365" s="523" t="e">
        <f ca="1">gr(données_step[[#This Row],[E_NTOT]])</f>
        <v>#NAME?</v>
      </c>
      <c r="G365" s="523" t="e">
        <f ca="1">gr(données_step[[#This Row],[E_PTOT]])</f>
        <v>#NAME?</v>
      </c>
      <c r="H365" s="523" t="e">
        <f ca="1">gr(données_step[[#This Row],[S_DBO5]])</f>
        <v>#NAME?</v>
      </c>
      <c r="I365" s="523" t="e">
        <f ca="1">gr(données_step[[#This Row],[S_DCO]])</f>
        <v>#NAME?</v>
      </c>
      <c r="J365" s="523" t="e">
        <f ca="1">gr(données_step[[#This Row],[S_COD]])</f>
        <v>#NAME?</v>
      </c>
      <c r="K365" s="523" t="e">
        <f ca="1">gr(données_step[[#This Row],[S_NH4]])</f>
        <v>#NAME?</v>
      </c>
      <c r="L365" s="523" t="e">
        <f ca="1">gr(données_step[[#This Row],[S_NO2]])</f>
        <v>#NAME?</v>
      </c>
      <c r="M365" s="523" t="e">
        <f ca="1">gr(données_step[[#This Row],[S_NO3]])</f>
        <v>#NAME?</v>
      </c>
      <c r="N365" s="523" t="e">
        <f ca="1">gr(données_step[[#This Row],[S_PORTH]])</f>
        <v>#NAME?</v>
      </c>
      <c r="O365" s="523" t="e">
        <f ca="1">gr(données_step[[#This Row],[S_PTOT]])</f>
        <v>#NAME?</v>
      </c>
      <c r="P365" s="523" t="e">
        <f ca="1">gr(données_step[[#This Row],[S_MES]])</f>
        <v>#NAME?</v>
      </c>
      <c r="Q365" s="523" t="e">
        <v>#N/A</v>
      </c>
      <c r="R365" s="523" t="e">
        <v>#N/A</v>
      </c>
      <c r="S365" s="523" t="e">
        <v>#N/A</v>
      </c>
      <c r="T365" s="523" t="e">
        <v>#N/A</v>
      </c>
      <c r="U365" s="523" t="e">
        <v>#N/A</v>
      </c>
      <c r="V365" s="523" t="e">
        <v>#N/A</v>
      </c>
      <c r="W365" s="523" t="e">
        <v>#N/A</v>
      </c>
      <c r="X365" s="523" t="e">
        <v>#N/A</v>
      </c>
      <c r="Y365" s="523" t="e">
        <v>#N/A</v>
      </c>
      <c r="Z365" s="523"/>
      <c r="AA365" s="523"/>
    </row>
    <row r="366" spans="1:27" x14ac:dyDescent="0.2">
      <c r="A366" s="222">
        <f>calculs!A366</f>
        <v>44917</v>
      </c>
      <c r="B366" s="523" t="e">
        <f ca="1">gr(données_step[[#This Row],[E_DBO5]])</f>
        <v>#NAME?</v>
      </c>
      <c r="C366" s="523" t="e">
        <f ca="1">gr(données_step[[#This Row],[E_DCO]])</f>
        <v>#NAME?</v>
      </c>
      <c r="D366" s="523" t="e">
        <f ca="1">gr(données_step[[#This Row],[E_COT]])</f>
        <v>#NAME?</v>
      </c>
      <c r="E366" s="523" t="e">
        <f ca="1">gr(données_step[[#This Row],[E_NH4]])</f>
        <v>#NAME?</v>
      </c>
      <c r="F366" s="523" t="e">
        <f ca="1">gr(données_step[[#This Row],[E_NTOT]])</f>
        <v>#NAME?</v>
      </c>
      <c r="G366" s="523" t="e">
        <f ca="1">gr(données_step[[#This Row],[E_PTOT]])</f>
        <v>#NAME?</v>
      </c>
      <c r="H366" s="523" t="e">
        <f ca="1">gr(données_step[[#This Row],[S_DBO5]])</f>
        <v>#NAME?</v>
      </c>
      <c r="I366" s="523" t="e">
        <f ca="1">gr(données_step[[#This Row],[S_DCO]])</f>
        <v>#NAME?</v>
      </c>
      <c r="J366" s="523" t="e">
        <f ca="1">gr(données_step[[#This Row],[S_COD]])</f>
        <v>#NAME?</v>
      </c>
      <c r="K366" s="523" t="e">
        <f ca="1">gr(données_step[[#This Row],[S_NH4]])</f>
        <v>#NAME?</v>
      </c>
      <c r="L366" s="523" t="e">
        <f ca="1">gr(données_step[[#This Row],[S_NO2]])</f>
        <v>#NAME?</v>
      </c>
      <c r="M366" s="523" t="e">
        <f ca="1">gr(données_step[[#This Row],[S_NO3]])</f>
        <v>#NAME?</v>
      </c>
      <c r="N366" s="523" t="e">
        <f ca="1">gr(données_step[[#This Row],[S_PORTH]])</f>
        <v>#NAME?</v>
      </c>
      <c r="O366" s="523" t="e">
        <f ca="1">gr(données_step[[#This Row],[S_PTOT]])</f>
        <v>#NAME?</v>
      </c>
      <c r="P366" s="523" t="e">
        <f ca="1">gr(données_step[[#This Row],[S_MES]])</f>
        <v>#NAME?</v>
      </c>
      <c r="Q366" s="523" t="e">
        <v>#N/A</v>
      </c>
      <c r="R366" s="523" t="e">
        <v>#N/A</v>
      </c>
      <c r="S366" s="523" t="e">
        <v>#N/A</v>
      </c>
      <c r="T366" s="523" t="e">
        <v>#N/A</v>
      </c>
      <c r="U366" s="523" t="e">
        <v>#N/A</v>
      </c>
      <c r="V366" s="523" t="e">
        <v>#N/A</v>
      </c>
      <c r="W366" s="523" t="e">
        <v>#N/A</v>
      </c>
      <c r="X366" s="523" t="e">
        <v>#N/A</v>
      </c>
      <c r="Y366" s="523" t="e">
        <v>#N/A</v>
      </c>
      <c r="Z366" s="523"/>
      <c r="AA366" s="523"/>
    </row>
    <row r="367" spans="1:27" x14ac:dyDescent="0.2">
      <c r="A367" s="222">
        <f>calculs!A367</f>
        <v>44918</v>
      </c>
      <c r="B367" s="523" t="e">
        <f ca="1">gr(données_step[[#This Row],[E_DBO5]])</f>
        <v>#NAME?</v>
      </c>
      <c r="C367" s="523" t="e">
        <f ca="1">gr(données_step[[#This Row],[E_DCO]])</f>
        <v>#NAME?</v>
      </c>
      <c r="D367" s="523" t="e">
        <f ca="1">gr(données_step[[#This Row],[E_COT]])</f>
        <v>#NAME?</v>
      </c>
      <c r="E367" s="523" t="e">
        <f ca="1">gr(données_step[[#This Row],[E_NH4]])</f>
        <v>#NAME?</v>
      </c>
      <c r="F367" s="523" t="e">
        <f ca="1">gr(données_step[[#This Row],[E_NTOT]])</f>
        <v>#NAME?</v>
      </c>
      <c r="G367" s="523" t="e">
        <f ca="1">gr(données_step[[#This Row],[E_PTOT]])</f>
        <v>#NAME?</v>
      </c>
      <c r="H367" s="523" t="e">
        <f ca="1">gr(données_step[[#This Row],[S_DBO5]])</f>
        <v>#NAME?</v>
      </c>
      <c r="I367" s="523" t="e">
        <f ca="1">gr(données_step[[#This Row],[S_DCO]])</f>
        <v>#NAME?</v>
      </c>
      <c r="J367" s="523" t="e">
        <f ca="1">gr(données_step[[#This Row],[S_COD]])</f>
        <v>#NAME?</v>
      </c>
      <c r="K367" s="523" t="e">
        <f ca="1">gr(données_step[[#This Row],[S_NH4]])</f>
        <v>#NAME?</v>
      </c>
      <c r="L367" s="523" t="e">
        <f ca="1">gr(données_step[[#This Row],[S_NO2]])</f>
        <v>#NAME?</v>
      </c>
      <c r="M367" s="523" t="e">
        <f ca="1">gr(données_step[[#This Row],[S_NO3]])</f>
        <v>#NAME?</v>
      </c>
      <c r="N367" s="523" t="e">
        <f ca="1">gr(données_step[[#This Row],[S_PORTH]])</f>
        <v>#NAME?</v>
      </c>
      <c r="O367" s="523" t="e">
        <f ca="1">gr(données_step[[#This Row],[S_PTOT]])</f>
        <v>#NAME?</v>
      </c>
      <c r="P367" s="523" t="e">
        <f ca="1">gr(données_step[[#This Row],[S_MES]])</f>
        <v>#NAME?</v>
      </c>
      <c r="Q367" s="523" t="e">
        <v>#N/A</v>
      </c>
      <c r="R367" s="523" t="e">
        <v>#N/A</v>
      </c>
      <c r="S367" s="523" t="e">
        <v>#N/A</v>
      </c>
      <c r="T367" s="523" t="e">
        <v>#N/A</v>
      </c>
      <c r="U367" s="523" t="e">
        <v>#N/A</v>
      </c>
      <c r="V367" s="523" t="e">
        <v>#N/A</v>
      </c>
      <c r="W367" s="523" t="e">
        <v>#N/A</v>
      </c>
      <c r="X367" s="523" t="e">
        <v>#N/A</v>
      </c>
      <c r="Y367" s="523" t="e">
        <v>#N/A</v>
      </c>
      <c r="Z367" s="523"/>
      <c r="AA367" s="523"/>
    </row>
    <row r="368" spans="1:27" x14ac:dyDescent="0.2">
      <c r="A368" s="222">
        <f>calculs!A368</f>
        <v>44919</v>
      </c>
      <c r="B368" s="523" t="e">
        <f ca="1">gr(données_step[[#This Row],[E_DBO5]])</f>
        <v>#NAME?</v>
      </c>
      <c r="C368" s="523" t="e">
        <f ca="1">gr(données_step[[#This Row],[E_DCO]])</f>
        <v>#NAME?</v>
      </c>
      <c r="D368" s="523" t="e">
        <f ca="1">gr(données_step[[#This Row],[E_COT]])</f>
        <v>#NAME?</v>
      </c>
      <c r="E368" s="523" t="e">
        <f ca="1">gr(données_step[[#This Row],[E_NH4]])</f>
        <v>#NAME?</v>
      </c>
      <c r="F368" s="523" t="e">
        <f ca="1">gr(données_step[[#This Row],[E_NTOT]])</f>
        <v>#NAME?</v>
      </c>
      <c r="G368" s="523" t="e">
        <f ca="1">gr(données_step[[#This Row],[E_PTOT]])</f>
        <v>#NAME?</v>
      </c>
      <c r="H368" s="523" t="e">
        <f ca="1">gr(données_step[[#This Row],[S_DBO5]])</f>
        <v>#NAME?</v>
      </c>
      <c r="I368" s="523" t="e">
        <f ca="1">gr(données_step[[#This Row],[S_DCO]])</f>
        <v>#NAME?</v>
      </c>
      <c r="J368" s="523" t="e">
        <f ca="1">gr(données_step[[#This Row],[S_COD]])</f>
        <v>#NAME?</v>
      </c>
      <c r="K368" s="523" t="e">
        <f ca="1">gr(données_step[[#This Row],[S_NH4]])</f>
        <v>#NAME?</v>
      </c>
      <c r="L368" s="523" t="e">
        <f ca="1">gr(données_step[[#This Row],[S_NO2]])</f>
        <v>#NAME?</v>
      </c>
      <c r="M368" s="523" t="e">
        <f ca="1">gr(données_step[[#This Row],[S_NO3]])</f>
        <v>#NAME?</v>
      </c>
      <c r="N368" s="523" t="e">
        <f ca="1">gr(données_step[[#This Row],[S_PORTH]])</f>
        <v>#NAME?</v>
      </c>
      <c r="O368" s="523" t="e">
        <f ca="1">gr(données_step[[#This Row],[S_PTOT]])</f>
        <v>#NAME?</v>
      </c>
      <c r="P368" s="523" t="e">
        <f ca="1">gr(données_step[[#This Row],[S_MES]])</f>
        <v>#NAME?</v>
      </c>
      <c r="Q368" s="523" t="e">
        <v>#N/A</v>
      </c>
      <c r="R368" s="523" t="e">
        <v>#N/A</v>
      </c>
      <c r="S368" s="523" t="e">
        <v>#N/A</v>
      </c>
      <c r="T368" s="523" t="e">
        <v>#N/A</v>
      </c>
      <c r="U368" s="523" t="e">
        <v>#N/A</v>
      </c>
      <c r="V368" s="523" t="e">
        <v>#N/A</v>
      </c>
      <c r="W368" s="523" t="e">
        <v>#N/A</v>
      </c>
      <c r="X368" s="523" t="e">
        <v>#N/A</v>
      </c>
      <c r="Y368" s="523" t="e">
        <v>#N/A</v>
      </c>
      <c r="Z368" s="523"/>
      <c r="AA368" s="523"/>
    </row>
    <row r="369" spans="1:27" x14ac:dyDescent="0.2">
      <c r="A369" s="222">
        <f>calculs!A369</f>
        <v>44920</v>
      </c>
      <c r="B369" s="523" t="e">
        <f ca="1">gr(données_step[[#This Row],[E_DBO5]])</f>
        <v>#NAME?</v>
      </c>
      <c r="C369" s="523" t="e">
        <f ca="1">gr(données_step[[#This Row],[E_DCO]])</f>
        <v>#NAME?</v>
      </c>
      <c r="D369" s="523" t="e">
        <f ca="1">gr(données_step[[#This Row],[E_COT]])</f>
        <v>#NAME?</v>
      </c>
      <c r="E369" s="523" t="e">
        <f ca="1">gr(données_step[[#This Row],[E_NH4]])</f>
        <v>#NAME?</v>
      </c>
      <c r="F369" s="523" t="e">
        <f ca="1">gr(données_step[[#This Row],[E_NTOT]])</f>
        <v>#NAME?</v>
      </c>
      <c r="G369" s="523" t="e">
        <f ca="1">gr(données_step[[#This Row],[E_PTOT]])</f>
        <v>#NAME?</v>
      </c>
      <c r="H369" s="523" t="e">
        <f ca="1">gr(données_step[[#This Row],[S_DBO5]])</f>
        <v>#NAME?</v>
      </c>
      <c r="I369" s="523" t="e">
        <f ca="1">gr(données_step[[#This Row],[S_DCO]])</f>
        <v>#NAME?</v>
      </c>
      <c r="J369" s="523" t="e">
        <f ca="1">gr(données_step[[#This Row],[S_COD]])</f>
        <v>#NAME?</v>
      </c>
      <c r="K369" s="523" t="e">
        <f ca="1">gr(données_step[[#This Row],[S_NH4]])</f>
        <v>#NAME?</v>
      </c>
      <c r="L369" s="523" t="e">
        <f ca="1">gr(données_step[[#This Row],[S_NO2]])</f>
        <v>#NAME?</v>
      </c>
      <c r="M369" s="523" t="e">
        <f ca="1">gr(données_step[[#This Row],[S_NO3]])</f>
        <v>#NAME?</v>
      </c>
      <c r="N369" s="523" t="e">
        <f ca="1">gr(données_step[[#This Row],[S_PORTH]])</f>
        <v>#NAME?</v>
      </c>
      <c r="O369" s="523" t="e">
        <f ca="1">gr(données_step[[#This Row],[S_PTOT]])</f>
        <v>#NAME?</v>
      </c>
      <c r="P369" s="523" t="e">
        <f ca="1">gr(données_step[[#This Row],[S_MES]])</f>
        <v>#NAME?</v>
      </c>
      <c r="Q369" s="523" t="e">
        <v>#N/A</v>
      </c>
      <c r="R369" s="523" t="e">
        <v>#N/A</v>
      </c>
      <c r="S369" s="523" t="e">
        <v>#N/A</v>
      </c>
      <c r="T369" s="523" t="e">
        <v>#N/A</v>
      </c>
      <c r="U369" s="523" t="e">
        <v>#N/A</v>
      </c>
      <c r="V369" s="523" t="e">
        <v>#N/A</v>
      </c>
      <c r="W369" s="523" t="e">
        <v>#N/A</v>
      </c>
      <c r="X369" s="523" t="e">
        <v>#N/A</v>
      </c>
      <c r="Y369" s="523" t="e">
        <v>#N/A</v>
      </c>
      <c r="Z369" s="523"/>
      <c r="AA369" s="523"/>
    </row>
    <row r="370" spans="1:27" x14ac:dyDescent="0.2">
      <c r="A370" s="222">
        <f>calculs!A370</f>
        <v>44921</v>
      </c>
      <c r="B370" s="523" t="e">
        <f ca="1">gr(données_step[[#This Row],[E_DBO5]])</f>
        <v>#NAME?</v>
      </c>
      <c r="C370" s="523" t="e">
        <f ca="1">gr(données_step[[#This Row],[E_DCO]])</f>
        <v>#NAME?</v>
      </c>
      <c r="D370" s="523" t="e">
        <f ca="1">gr(données_step[[#This Row],[E_COT]])</f>
        <v>#NAME?</v>
      </c>
      <c r="E370" s="523" t="e">
        <f ca="1">gr(données_step[[#This Row],[E_NH4]])</f>
        <v>#NAME?</v>
      </c>
      <c r="F370" s="523" t="e">
        <f ca="1">gr(données_step[[#This Row],[E_NTOT]])</f>
        <v>#NAME?</v>
      </c>
      <c r="G370" s="523" t="e">
        <f ca="1">gr(données_step[[#This Row],[E_PTOT]])</f>
        <v>#NAME?</v>
      </c>
      <c r="H370" s="523" t="e">
        <f ca="1">gr(données_step[[#This Row],[S_DBO5]])</f>
        <v>#NAME?</v>
      </c>
      <c r="I370" s="523" t="e">
        <f ca="1">gr(données_step[[#This Row],[S_DCO]])</f>
        <v>#NAME?</v>
      </c>
      <c r="J370" s="523" t="e">
        <f ca="1">gr(données_step[[#This Row],[S_COD]])</f>
        <v>#NAME?</v>
      </c>
      <c r="K370" s="523" t="e">
        <f ca="1">gr(données_step[[#This Row],[S_NH4]])</f>
        <v>#NAME?</v>
      </c>
      <c r="L370" s="523" t="e">
        <f ca="1">gr(données_step[[#This Row],[S_NO2]])</f>
        <v>#NAME?</v>
      </c>
      <c r="M370" s="523" t="e">
        <f ca="1">gr(données_step[[#This Row],[S_NO3]])</f>
        <v>#NAME?</v>
      </c>
      <c r="N370" s="523" t="e">
        <f ca="1">gr(données_step[[#This Row],[S_PORTH]])</f>
        <v>#NAME?</v>
      </c>
      <c r="O370" s="523" t="e">
        <f ca="1">gr(données_step[[#This Row],[S_PTOT]])</f>
        <v>#NAME?</v>
      </c>
      <c r="P370" s="523" t="e">
        <f ca="1">gr(données_step[[#This Row],[S_MES]])</f>
        <v>#NAME?</v>
      </c>
      <c r="Q370" s="523" t="e">
        <v>#N/A</v>
      </c>
      <c r="R370" s="523" t="e">
        <v>#N/A</v>
      </c>
      <c r="S370" s="523" t="e">
        <v>#N/A</v>
      </c>
      <c r="T370" s="523" t="e">
        <v>#N/A</v>
      </c>
      <c r="U370" s="523" t="e">
        <v>#N/A</v>
      </c>
      <c r="V370" s="523" t="e">
        <v>#N/A</v>
      </c>
      <c r="W370" s="523" t="e">
        <v>#N/A</v>
      </c>
      <c r="X370" s="523" t="e">
        <v>#N/A</v>
      </c>
      <c r="Y370" s="523" t="e">
        <v>#N/A</v>
      </c>
      <c r="Z370" s="523"/>
      <c r="AA370" s="523"/>
    </row>
    <row r="371" spans="1:27" x14ac:dyDescent="0.2">
      <c r="A371" s="222">
        <f>calculs!A371</f>
        <v>44922</v>
      </c>
      <c r="B371" s="523" t="e">
        <f ca="1">gr(données_step[[#This Row],[E_DBO5]])</f>
        <v>#NAME?</v>
      </c>
      <c r="C371" s="523" t="e">
        <f ca="1">gr(données_step[[#This Row],[E_DCO]])</f>
        <v>#NAME?</v>
      </c>
      <c r="D371" s="523" t="e">
        <f ca="1">gr(données_step[[#This Row],[E_COT]])</f>
        <v>#NAME?</v>
      </c>
      <c r="E371" s="523" t="e">
        <f ca="1">gr(données_step[[#This Row],[E_NH4]])</f>
        <v>#NAME?</v>
      </c>
      <c r="F371" s="523" t="e">
        <f ca="1">gr(données_step[[#This Row],[E_NTOT]])</f>
        <v>#NAME?</v>
      </c>
      <c r="G371" s="523" t="e">
        <f ca="1">gr(données_step[[#This Row],[E_PTOT]])</f>
        <v>#NAME?</v>
      </c>
      <c r="H371" s="523" t="e">
        <f ca="1">gr(données_step[[#This Row],[S_DBO5]])</f>
        <v>#NAME?</v>
      </c>
      <c r="I371" s="523" t="e">
        <f ca="1">gr(données_step[[#This Row],[S_DCO]])</f>
        <v>#NAME?</v>
      </c>
      <c r="J371" s="523" t="e">
        <f ca="1">gr(données_step[[#This Row],[S_COD]])</f>
        <v>#NAME?</v>
      </c>
      <c r="K371" s="523" t="e">
        <f ca="1">gr(données_step[[#This Row],[S_NH4]])</f>
        <v>#NAME?</v>
      </c>
      <c r="L371" s="523" t="e">
        <f ca="1">gr(données_step[[#This Row],[S_NO2]])</f>
        <v>#NAME?</v>
      </c>
      <c r="M371" s="523" t="e">
        <f ca="1">gr(données_step[[#This Row],[S_NO3]])</f>
        <v>#NAME?</v>
      </c>
      <c r="N371" s="523" t="e">
        <f ca="1">gr(données_step[[#This Row],[S_PORTH]])</f>
        <v>#NAME?</v>
      </c>
      <c r="O371" s="523" t="e">
        <f ca="1">gr(données_step[[#This Row],[S_PTOT]])</f>
        <v>#NAME?</v>
      </c>
      <c r="P371" s="523" t="e">
        <f ca="1">gr(données_step[[#This Row],[S_MES]])</f>
        <v>#NAME?</v>
      </c>
      <c r="Q371" s="523" t="e">
        <v>#N/A</v>
      </c>
      <c r="R371" s="523" t="e">
        <v>#N/A</v>
      </c>
      <c r="S371" s="523" t="e">
        <v>#N/A</v>
      </c>
      <c r="T371" s="523" t="e">
        <v>#N/A</v>
      </c>
      <c r="U371" s="523" t="e">
        <v>#N/A</v>
      </c>
      <c r="V371" s="523" t="e">
        <v>#N/A</v>
      </c>
      <c r="W371" s="523" t="e">
        <v>#N/A</v>
      </c>
      <c r="X371" s="523" t="e">
        <v>#N/A</v>
      </c>
      <c r="Y371" s="523" t="e">
        <v>#N/A</v>
      </c>
      <c r="Z371" s="523"/>
      <c r="AA371" s="523"/>
    </row>
    <row r="372" spans="1:27" x14ac:dyDescent="0.2">
      <c r="A372" s="222">
        <f>calculs!A372</f>
        <v>44923</v>
      </c>
      <c r="B372" s="523" t="e">
        <f ca="1">gr(données_step[[#This Row],[E_DBO5]])</f>
        <v>#NAME?</v>
      </c>
      <c r="C372" s="523" t="e">
        <f ca="1">gr(données_step[[#This Row],[E_DCO]])</f>
        <v>#NAME?</v>
      </c>
      <c r="D372" s="523" t="e">
        <f ca="1">gr(données_step[[#This Row],[E_COT]])</f>
        <v>#NAME?</v>
      </c>
      <c r="E372" s="523" t="e">
        <f ca="1">gr(données_step[[#This Row],[E_NH4]])</f>
        <v>#NAME?</v>
      </c>
      <c r="F372" s="523" t="e">
        <f ca="1">gr(données_step[[#This Row],[E_NTOT]])</f>
        <v>#NAME?</v>
      </c>
      <c r="G372" s="523" t="e">
        <f ca="1">gr(données_step[[#This Row],[E_PTOT]])</f>
        <v>#NAME?</v>
      </c>
      <c r="H372" s="523" t="e">
        <f ca="1">gr(données_step[[#This Row],[S_DBO5]])</f>
        <v>#NAME?</v>
      </c>
      <c r="I372" s="523" t="e">
        <f ca="1">gr(données_step[[#This Row],[S_DCO]])</f>
        <v>#NAME?</v>
      </c>
      <c r="J372" s="523" t="e">
        <f ca="1">gr(données_step[[#This Row],[S_COD]])</f>
        <v>#NAME?</v>
      </c>
      <c r="K372" s="523" t="e">
        <f ca="1">gr(données_step[[#This Row],[S_NH4]])</f>
        <v>#NAME?</v>
      </c>
      <c r="L372" s="523" t="e">
        <f ca="1">gr(données_step[[#This Row],[S_NO2]])</f>
        <v>#NAME?</v>
      </c>
      <c r="M372" s="523" t="e">
        <f ca="1">gr(données_step[[#This Row],[S_NO3]])</f>
        <v>#NAME?</v>
      </c>
      <c r="N372" s="523" t="e">
        <f ca="1">gr(données_step[[#This Row],[S_PORTH]])</f>
        <v>#NAME?</v>
      </c>
      <c r="O372" s="523" t="e">
        <f ca="1">gr(données_step[[#This Row],[S_PTOT]])</f>
        <v>#NAME?</v>
      </c>
      <c r="P372" s="523" t="e">
        <f ca="1">gr(données_step[[#This Row],[S_MES]])</f>
        <v>#NAME?</v>
      </c>
      <c r="Q372" s="523" t="e">
        <v>#N/A</v>
      </c>
      <c r="R372" s="523" t="e">
        <v>#N/A</v>
      </c>
      <c r="S372" s="523" t="e">
        <v>#N/A</v>
      </c>
      <c r="T372" s="523" t="e">
        <v>#N/A</v>
      </c>
      <c r="U372" s="523" t="e">
        <v>#N/A</v>
      </c>
      <c r="V372" s="523" t="e">
        <v>#N/A</v>
      </c>
      <c r="W372" s="523" t="e">
        <v>#N/A</v>
      </c>
      <c r="X372" s="523" t="e">
        <v>#N/A</v>
      </c>
      <c r="Y372" s="523" t="e">
        <v>#N/A</v>
      </c>
      <c r="Z372" s="523"/>
      <c r="AA372" s="523"/>
    </row>
    <row r="373" spans="1:27" x14ac:dyDescent="0.2">
      <c r="A373" s="222">
        <f>calculs!A373</f>
        <v>44924</v>
      </c>
      <c r="B373" s="523" t="e">
        <f ca="1">gr(données_step[[#This Row],[E_DBO5]])</f>
        <v>#NAME?</v>
      </c>
      <c r="C373" s="523" t="e">
        <f ca="1">gr(données_step[[#This Row],[E_DCO]])</f>
        <v>#NAME?</v>
      </c>
      <c r="D373" s="523" t="e">
        <f ca="1">gr(données_step[[#This Row],[E_COT]])</f>
        <v>#NAME?</v>
      </c>
      <c r="E373" s="523" t="e">
        <f ca="1">gr(données_step[[#This Row],[E_NH4]])</f>
        <v>#NAME?</v>
      </c>
      <c r="F373" s="523" t="e">
        <f ca="1">gr(données_step[[#This Row],[E_NTOT]])</f>
        <v>#NAME?</v>
      </c>
      <c r="G373" s="523" t="e">
        <f ca="1">gr(données_step[[#This Row],[E_PTOT]])</f>
        <v>#NAME?</v>
      </c>
      <c r="H373" s="523" t="e">
        <f ca="1">gr(données_step[[#This Row],[S_DBO5]])</f>
        <v>#NAME?</v>
      </c>
      <c r="I373" s="523" t="e">
        <f ca="1">gr(données_step[[#This Row],[S_DCO]])</f>
        <v>#NAME?</v>
      </c>
      <c r="J373" s="523" t="e">
        <f ca="1">gr(données_step[[#This Row],[S_COD]])</f>
        <v>#NAME?</v>
      </c>
      <c r="K373" s="523" t="e">
        <f ca="1">gr(données_step[[#This Row],[S_NH4]])</f>
        <v>#NAME?</v>
      </c>
      <c r="L373" s="523" t="e">
        <f ca="1">gr(données_step[[#This Row],[S_NO2]])</f>
        <v>#NAME?</v>
      </c>
      <c r="M373" s="523" t="e">
        <f ca="1">gr(données_step[[#This Row],[S_NO3]])</f>
        <v>#NAME?</v>
      </c>
      <c r="N373" s="523" t="e">
        <f ca="1">gr(données_step[[#This Row],[S_PORTH]])</f>
        <v>#NAME?</v>
      </c>
      <c r="O373" s="523" t="e">
        <f ca="1">gr(données_step[[#This Row],[S_PTOT]])</f>
        <v>#NAME?</v>
      </c>
      <c r="P373" s="523" t="e">
        <f ca="1">gr(données_step[[#This Row],[S_MES]])</f>
        <v>#NAME?</v>
      </c>
      <c r="Q373" s="523" t="e">
        <v>#N/A</v>
      </c>
      <c r="R373" s="523" t="e">
        <v>#N/A</v>
      </c>
      <c r="S373" s="523" t="e">
        <v>#N/A</v>
      </c>
      <c r="T373" s="523" t="e">
        <v>#N/A</v>
      </c>
      <c r="U373" s="523" t="e">
        <v>#N/A</v>
      </c>
      <c r="V373" s="523" t="e">
        <v>#N/A</v>
      </c>
      <c r="W373" s="523" t="e">
        <v>#N/A</v>
      </c>
      <c r="X373" s="523" t="e">
        <v>#N/A</v>
      </c>
      <c r="Y373" s="523" t="e">
        <v>#N/A</v>
      </c>
      <c r="Z373" s="523"/>
      <c r="AA373" s="523"/>
    </row>
    <row r="374" spans="1:27" x14ac:dyDescent="0.2">
      <c r="A374" s="222">
        <f>calculs!A374</f>
        <v>44925</v>
      </c>
      <c r="B374" s="523" t="e">
        <f ca="1">gr(données_step[[#This Row],[E_DBO5]])</f>
        <v>#NAME?</v>
      </c>
      <c r="C374" s="523" t="e">
        <f ca="1">gr(données_step[[#This Row],[E_DCO]])</f>
        <v>#NAME?</v>
      </c>
      <c r="D374" s="523" t="e">
        <f ca="1">gr(données_step[[#This Row],[E_COT]])</f>
        <v>#NAME?</v>
      </c>
      <c r="E374" s="523" t="e">
        <f ca="1">gr(données_step[[#This Row],[E_NH4]])</f>
        <v>#NAME?</v>
      </c>
      <c r="F374" s="523" t="e">
        <f ca="1">gr(données_step[[#This Row],[E_NTOT]])</f>
        <v>#NAME?</v>
      </c>
      <c r="G374" s="523" t="e">
        <f ca="1">gr(données_step[[#This Row],[E_PTOT]])</f>
        <v>#NAME?</v>
      </c>
      <c r="H374" s="523" t="e">
        <f ca="1">gr(données_step[[#This Row],[S_DBO5]])</f>
        <v>#NAME?</v>
      </c>
      <c r="I374" s="523" t="e">
        <f ca="1">gr(données_step[[#This Row],[S_DCO]])</f>
        <v>#NAME?</v>
      </c>
      <c r="J374" s="523" t="e">
        <f ca="1">gr(données_step[[#This Row],[S_COD]])</f>
        <v>#NAME?</v>
      </c>
      <c r="K374" s="523" t="e">
        <f ca="1">gr(données_step[[#This Row],[S_NH4]])</f>
        <v>#NAME?</v>
      </c>
      <c r="L374" s="523" t="e">
        <f ca="1">gr(données_step[[#This Row],[S_NO2]])</f>
        <v>#NAME?</v>
      </c>
      <c r="M374" s="523" t="e">
        <f ca="1">gr(données_step[[#This Row],[S_NO3]])</f>
        <v>#NAME?</v>
      </c>
      <c r="N374" s="523" t="e">
        <f ca="1">gr(données_step[[#This Row],[S_PORTH]])</f>
        <v>#NAME?</v>
      </c>
      <c r="O374" s="523" t="e">
        <f ca="1">gr(données_step[[#This Row],[S_PTOT]])</f>
        <v>#NAME?</v>
      </c>
      <c r="P374" s="523" t="e">
        <f ca="1">gr(données_step[[#This Row],[S_MES]])</f>
        <v>#NAME?</v>
      </c>
      <c r="Q374" s="523" t="e">
        <v>#N/A</v>
      </c>
      <c r="R374" s="523" t="e">
        <v>#N/A</v>
      </c>
      <c r="S374" s="523" t="e">
        <v>#N/A</v>
      </c>
      <c r="T374" s="523" t="e">
        <v>#N/A</v>
      </c>
      <c r="U374" s="523" t="e">
        <v>#N/A</v>
      </c>
      <c r="V374" s="523" t="e">
        <v>#N/A</v>
      </c>
      <c r="W374" s="523" t="e">
        <v>#N/A</v>
      </c>
      <c r="X374" s="523" t="e">
        <v>#N/A</v>
      </c>
      <c r="Y374" s="523" t="e">
        <v>#N/A</v>
      </c>
      <c r="Z374" s="523"/>
      <c r="AA374" s="523"/>
    </row>
    <row r="375" spans="1:27" x14ac:dyDescent="0.2">
      <c r="A375" s="222">
        <f>calculs!A375</f>
        <v>44926</v>
      </c>
      <c r="B375" s="523" t="e">
        <f ca="1">gr(données_step[[#This Row],[E_DBO5]])</f>
        <v>#NAME?</v>
      </c>
      <c r="C375" s="523" t="e">
        <f ca="1">gr(données_step[[#This Row],[E_DCO]])</f>
        <v>#NAME?</v>
      </c>
      <c r="D375" s="523" t="e">
        <f ca="1">gr(données_step[[#This Row],[E_COT]])</f>
        <v>#NAME?</v>
      </c>
      <c r="E375" s="523" t="e">
        <f ca="1">gr(données_step[[#This Row],[E_NH4]])</f>
        <v>#NAME?</v>
      </c>
      <c r="F375" s="523" t="e">
        <f ca="1">gr(données_step[[#This Row],[E_NTOT]])</f>
        <v>#NAME?</v>
      </c>
      <c r="G375" s="523" t="e">
        <f ca="1">gr(données_step[[#This Row],[E_PTOT]])</f>
        <v>#NAME?</v>
      </c>
      <c r="H375" s="523" t="e">
        <f ca="1">gr(données_step[[#This Row],[S_DBO5]])</f>
        <v>#NAME?</v>
      </c>
      <c r="I375" s="523" t="e">
        <f ca="1">gr(données_step[[#This Row],[S_DCO]])</f>
        <v>#NAME?</v>
      </c>
      <c r="J375" s="523" t="e">
        <f ca="1">gr(données_step[[#This Row],[S_COD]])</f>
        <v>#NAME?</v>
      </c>
      <c r="K375" s="523" t="e">
        <f ca="1">gr(données_step[[#This Row],[S_NH4]])</f>
        <v>#NAME?</v>
      </c>
      <c r="L375" s="523" t="e">
        <f ca="1">gr(données_step[[#This Row],[S_NO2]])</f>
        <v>#NAME?</v>
      </c>
      <c r="M375" s="523" t="e">
        <f ca="1">gr(données_step[[#This Row],[S_NO3]])</f>
        <v>#NAME?</v>
      </c>
      <c r="N375" s="523" t="e">
        <f ca="1">gr(données_step[[#This Row],[S_PORTH]])</f>
        <v>#NAME?</v>
      </c>
      <c r="O375" s="523" t="e">
        <f ca="1">gr(données_step[[#This Row],[S_PTOT]])</f>
        <v>#NAME?</v>
      </c>
      <c r="P375" s="523" t="e">
        <f ca="1">gr(données_step[[#This Row],[S_MES]])</f>
        <v>#NAME?</v>
      </c>
      <c r="Q375" s="523" t="e">
        <f ca="1">Q376</f>
        <v>#NAME?</v>
      </c>
      <c r="R375" s="523" t="e">
        <f t="shared" ref="R375:Y375" ca="1" si="0">R376</f>
        <v>#NAME?</v>
      </c>
      <c r="S375" s="523" t="e">
        <f t="shared" ca="1" si="0"/>
        <v>#NAME?</v>
      </c>
      <c r="T375" s="523" t="e">
        <f t="shared" ca="1" si="0"/>
        <v>#NAME?</v>
      </c>
      <c r="U375" s="523" t="e">
        <f t="shared" ca="1" si="0"/>
        <v>#NAME?</v>
      </c>
      <c r="V375" s="523">
        <f t="shared" si="0"/>
        <v>0</v>
      </c>
      <c r="W375" s="523">
        <f t="shared" si="0"/>
        <v>0</v>
      </c>
      <c r="X375" s="523" t="e">
        <f t="shared" ca="1" si="0"/>
        <v>#NAME?</v>
      </c>
      <c r="Y375" s="523" t="e">
        <f t="shared" ca="1" si="0"/>
        <v>#NAME?</v>
      </c>
      <c r="Z375" s="523"/>
      <c r="AA375" s="523"/>
    </row>
    <row r="376" spans="1:27" x14ac:dyDescent="0.2">
      <c r="A376" s="222">
        <f>calculs!A376</f>
        <v>0</v>
      </c>
      <c r="B376" s="523" t="e">
        <f ca="1">gr(données_step[[#This Row],[E_DBO5]])</f>
        <v>#NAME?</v>
      </c>
      <c r="C376" s="523" t="e">
        <f ca="1">gr(données_step[[#This Row],[E_DCO]])</f>
        <v>#NAME?</v>
      </c>
      <c r="D376" s="523" t="e">
        <f ca="1">gr(données_step[[#This Row],[E_COT]])</f>
        <v>#NAME?</v>
      </c>
      <c r="E376" s="523" t="e">
        <f ca="1">gr(données_step[[#This Row],[E_NH4]])</f>
        <v>#NAME?</v>
      </c>
      <c r="F376" s="523" t="e">
        <f ca="1">gr(données_step[[#This Row],[E_NTOT]])</f>
        <v>#NAME?</v>
      </c>
      <c r="G376" s="523" t="e">
        <f ca="1">gr(données_step[[#This Row],[E_PTOT]])</f>
        <v>#NAME?</v>
      </c>
      <c r="H376" s="523" t="e">
        <f ca="1">gr(données_step[[#This Row],[S_DBO5]])</f>
        <v>#NAME?</v>
      </c>
      <c r="I376" s="523" t="e">
        <f ca="1">gr(données_step[[#This Row],[S_DCO]])</f>
        <v>#NAME?</v>
      </c>
      <c r="J376" s="523" t="e">
        <f ca="1">gr(données_step[[#This Row],[S_COD]])</f>
        <v>#NAME?</v>
      </c>
      <c r="K376" s="523" t="e">
        <f ca="1">gr(données_step[[#This Row],[S_NH4]])</f>
        <v>#NAME?</v>
      </c>
      <c r="L376" s="523" t="e">
        <f ca="1">gr(données_step[[#This Row],[S_NO2]])</f>
        <v>#NAME?</v>
      </c>
      <c r="M376" s="523" t="e">
        <f ca="1">gr(données_step[[#This Row],[S_NO3]])</f>
        <v>#NAME?</v>
      </c>
      <c r="N376" s="523" t="e">
        <f ca="1">gr(données_step[[#This Row],[S_PORTH]])</f>
        <v>#NAME?</v>
      </c>
      <c r="O376" s="523" t="e">
        <f ca="1">gr(données_step[[#This Row],[S_PTOT]])</f>
        <v>#NAME?</v>
      </c>
      <c r="P376" s="523" t="e">
        <f ca="1">gr(données_step[[#This Row],[S_MES]])</f>
        <v>#NAME?</v>
      </c>
      <c r="Q376" s="523" t="e">
        <f ca="1">Q11</f>
        <v>#NAME?</v>
      </c>
      <c r="R376" s="523" t="e">
        <f t="shared" ref="R376:Y376" ca="1" si="1">R11</f>
        <v>#NAME?</v>
      </c>
      <c r="S376" s="523" t="e">
        <f t="shared" ca="1" si="1"/>
        <v>#NAME?</v>
      </c>
      <c r="T376" s="523" t="e">
        <f t="shared" ca="1" si="1"/>
        <v>#NAME?</v>
      </c>
      <c r="U376" s="523" t="e">
        <f t="shared" ca="1" si="1"/>
        <v>#NAME?</v>
      </c>
      <c r="V376" s="523">
        <f t="shared" si="1"/>
        <v>0</v>
      </c>
      <c r="W376" s="523">
        <f t="shared" si="1"/>
        <v>0</v>
      </c>
      <c r="X376" s="523" t="e">
        <f t="shared" ca="1" si="1"/>
        <v>#NAME?</v>
      </c>
      <c r="Y376" s="523" t="e">
        <f t="shared" ca="1" si="1"/>
        <v>#NAME?</v>
      </c>
      <c r="Z376" s="523"/>
      <c r="AA376" s="523"/>
    </row>
    <row r="377" spans="1:27" s="515" customFormat="1" x14ac:dyDescent="0.2"/>
  </sheetData>
  <mergeCells count="2">
    <mergeCell ref="B9:G9"/>
    <mergeCell ref="H9:P9"/>
  </mergeCells>
  <pageMargins left="0.7" right="0.7" top="0.75" bottom="0.75" header="0.3" footer="0.3"/>
  <pageSetup paperSize="301" scale="37" orientation="portrait" r:id="rId1"/>
  <colBreaks count="1" manualBreakCount="1">
    <brk id="14" max="37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8" tint="0.59999389629810485"/>
  </sheetPr>
  <dimension ref="A1:L377"/>
  <sheetViews>
    <sheetView topLeftCell="A79" zoomScaleNormal="100" workbookViewId="0">
      <selection activeCell="K95" sqref="K95"/>
    </sheetView>
  </sheetViews>
  <sheetFormatPr baseColWidth="10" defaultColWidth="11.42578125" defaultRowHeight="12.75" x14ac:dyDescent="0.2"/>
  <cols>
    <col min="1" max="6" width="11.42578125" style="739"/>
    <col min="7" max="12" width="11.42578125" style="747"/>
    <col min="13" max="16384" width="11.42578125" style="739"/>
  </cols>
  <sheetData>
    <row r="1" spans="1:12" x14ac:dyDescent="0.2">
      <c r="A1" s="749" t="str">
        <f>basis!A1</f>
        <v>ARA Ausserbinn</v>
      </c>
    </row>
    <row r="8" spans="1:12" ht="13.5" thickBot="1" x14ac:dyDescent="0.25"/>
    <row r="9" spans="1:12" ht="12.75" customHeight="1" thickBot="1" x14ac:dyDescent="0.25">
      <c r="B9" s="989" t="str">
        <f>A1&amp;" "&amp;Jahr&amp;" - "&amp;IF('liste-STEP'!F95=1,"rendements","Reinigungsleistungen")</f>
        <v>ARA Ausserbinn 2022 - Reinigungsleistungen</v>
      </c>
      <c r="C9" s="990"/>
      <c r="D9" s="990"/>
      <c r="E9" s="990"/>
      <c r="F9" s="990"/>
      <c r="G9" s="750" t="s">
        <v>379</v>
      </c>
      <c r="H9" s="751"/>
      <c r="I9" s="750"/>
      <c r="J9" s="750"/>
      <c r="K9" s="750"/>
      <c r="L9" s="750"/>
    </row>
    <row r="10" spans="1:12" x14ac:dyDescent="0.2">
      <c r="A10" s="502"/>
      <c r="B10" s="651" t="s">
        <v>377</v>
      </c>
      <c r="C10" s="651" t="s">
        <v>321</v>
      </c>
      <c r="D10" s="651" t="s">
        <v>339</v>
      </c>
      <c r="E10" s="651" t="s">
        <v>340</v>
      </c>
      <c r="F10" s="651" t="s">
        <v>319</v>
      </c>
      <c r="G10" s="752" t="str">
        <f>B10</f>
        <v>DBO5</v>
      </c>
      <c r="H10" s="752" t="str">
        <f t="shared" ref="H10:K10" si="0">C10</f>
        <v>DCO</v>
      </c>
      <c r="I10" s="752" t="str">
        <f t="shared" si="0"/>
        <v>COT/DOC</v>
      </c>
      <c r="J10" s="752" t="str">
        <f t="shared" si="0"/>
        <v>N tot / NH4</v>
      </c>
      <c r="K10" s="752" t="str">
        <f t="shared" si="0"/>
        <v>Pges</v>
      </c>
      <c r="L10" s="752"/>
    </row>
    <row r="11" spans="1:12" x14ac:dyDescent="0.2">
      <c r="A11" s="222">
        <f>calculs!A11</f>
        <v>44562</v>
      </c>
      <c r="B11" s="535" t="e">
        <f ca="1">gr(calculs!BG11)</f>
        <v>#NAME?</v>
      </c>
      <c r="C11" s="535" t="e">
        <f ca="1">gr(calculs!BH11)</f>
        <v>#NAME?</v>
      </c>
      <c r="D11" s="535" t="e">
        <f ca="1">gr(calculs!BI11)</f>
        <v>#NAME?</v>
      </c>
      <c r="E11" s="535" t="e">
        <f ca="1">gr(calculs!BJ11)</f>
        <v>#NAME?</v>
      </c>
      <c r="F11" s="535" t="e">
        <f ca="1">gr(calculs!BK11)</f>
        <v>#NAME?</v>
      </c>
      <c r="G11" s="536" t="e">
        <f ca="1">gr(basis!C25)</f>
        <v>#NAME?</v>
      </c>
      <c r="H11" s="535" t="e">
        <f ca="1">gr(basis!D25)</f>
        <v>#NAME?</v>
      </c>
      <c r="I11" s="535" t="e">
        <f ca="1">gr(basis!E25)</f>
        <v>#NAME?</v>
      </c>
      <c r="J11" s="536" t="e">
        <f ca="1">gr(basis!G25)</f>
        <v>#NAME?</v>
      </c>
      <c r="K11" s="535" t="e">
        <f ca="1">gr(basis!J25)</f>
        <v>#NAME?</v>
      </c>
      <c r="L11" s="523"/>
    </row>
    <row r="12" spans="1:12" x14ac:dyDescent="0.2">
      <c r="A12" s="222">
        <f>calculs!A12</f>
        <v>44563</v>
      </c>
      <c r="B12" s="535" t="e">
        <f ca="1">gr(calculs!BG12)</f>
        <v>#NAME?</v>
      </c>
      <c r="C12" s="535" t="e">
        <f ca="1">gr(calculs!BH12)</f>
        <v>#NAME?</v>
      </c>
      <c r="D12" s="535" t="e">
        <f ca="1">gr(calculs!BI12)</f>
        <v>#NAME?</v>
      </c>
      <c r="E12" s="535" t="e">
        <f ca="1">gr(calculs!BJ12)</f>
        <v>#NAME?</v>
      </c>
      <c r="F12" s="535" t="e">
        <f ca="1">gr(calculs!BK12)</f>
        <v>#NAME?</v>
      </c>
      <c r="G12" s="535" t="e">
        <v>#N/A</v>
      </c>
      <c r="H12" s="535" t="e">
        <v>#N/A</v>
      </c>
      <c r="I12" s="535" t="e">
        <v>#N/A</v>
      </c>
      <c r="J12" s="535" t="e">
        <v>#N/A</v>
      </c>
      <c r="K12" s="535" t="e">
        <v>#N/A</v>
      </c>
      <c r="L12" s="523"/>
    </row>
    <row r="13" spans="1:12" x14ac:dyDescent="0.2">
      <c r="A13" s="222">
        <f>calculs!A13</f>
        <v>44564</v>
      </c>
      <c r="B13" s="535" t="e">
        <f ca="1">gr(calculs!BG13)</f>
        <v>#NAME?</v>
      </c>
      <c r="C13" s="535" t="e">
        <f ca="1">gr(calculs!BH13)</f>
        <v>#NAME?</v>
      </c>
      <c r="D13" s="535" t="e">
        <f ca="1">gr(calculs!BI13)</f>
        <v>#NAME?</v>
      </c>
      <c r="E13" s="535" t="e">
        <f ca="1">gr(calculs!BJ13)</f>
        <v>#NAME?</v>
      </c>
      <c r="F13" s="535" t="e">
        <f ca="1">gr(calculs!BK13)</f>
        <v>#NAME?</v>
      </c>
      <c r="G13" s="535" t="e">
        <v>#N/A</v>
      </c>
      <c r="H13" s="535" t="e">
        <v>#N/A</v>
      </c>
      <c r="I13" s="535" t="e">
        <v>#N/A</v>
      </c>
      <c r="J13" s="535" t="e">
        <v>#N/A</v>
      </c>
      <c r="K13" s="535" t="e">
        <v>#N/A</v>
      </c>
      <c r="L13" s="523"/>
    </row>
    <row r="14" spans="1:12" x14ac:dyDescent="0.2">
      <c r="A14" s="222">
        <f>calculs!A14</f>
        <v>44565</v>
      </c>
      <c r="B14" s="535" t="e">
        <f ca="1">gr(calculs!BG14)</f>
        <v>#NAME?</v>
      </c>
      <c r="C14" s="535" t="e">
        <f ca="1">gr(calculs!BH14)</f>
        <v>#NAME?</v>
      </c>
      <c r="D14" s="535" t="e">
        <f ca="1">gr(calculs!BI14)</f>
        <v>#NAME?</v>
      </c>
      <c r="E14" s="535" t="e">
        <f ca="1">gr(calculs!BJ14)</f>
        <v>#NAME?</v>
      </c>
      <c r="F14" s="535" t="e">
        <f ca="1">gr(calculs!BK14)</f>
        <v>#NAME?</v>
      </c>
      <c r="G14" s="535" t="e">
        <v>#N/A</v>
      </c>
      <c r="H14" s="535" t="e">
        <v>#N/A</v>
      </c>
      <c r="I14" s="535" t="e">
        <v>#N/A</v>
      </c>
      <c r="J14" s="535" t="e">
        <v>#N/A</v>
      </c>
      <c r="K14" s="535" t="e">
        <v>#N/A</v>
      </c>
      <c r="L14" s="523"/>
    </row>
    <row r="15" spans="1:12" x14ac:dyDescent="0.2">
      <c r="A15" s="222">
        <f>calculs!A15</f>
        <v>44566</v>
      </c>
      <c r="B15" s="535" t="e">
        <f ca="1">gr(calculs!BG15)</f>
        <v>#NAME?</v>
      </c>
      <c r="C15" s="535" t="e">
        <f ca="1">gr(calculs!BH15)</f>
        <v>#NAME?</v>
      </c>
      <c r="D15" s="535" t="e">
        <f ca="1">gr(calculs!BI15)</f>
        <v>#NAME?</v>
      </c>
      <c r="E15" s="535" t="e">
        <f ca="1">gr(calculs!BJ15)</f>
        <v>#NAME?</v>
      </c>
      <c r="F15" s="535" t="e">
        <f ca="1">gr(calculs!BK15)</f>
        <v>#NAME?</v>
      </c>
      <c r="G15" s="535" t="e">
        <v>#N/A</v>
      </c>
      <c r="H15" s="535" t="e">
        <v>#N/A</v>
      </c>
      <c r="I15" s="535" t="e">
        <v>#N/A</v>
      </c>
      <c r="J15" s="535" t="e">
        <v>#N/A</v>
      </c>
      <c r="K15" s="535" t="e">
        <v>#N/A</v>
      </c>
      <c r="L15" s="523"/>
    </row>
    <row r="16" spans="1:12" x14ac:dyDescent="0.2">
      <c r="A16" s="222">
        <f>calculs!A16</f>
        <v>44567</v>
      </c>
      <c r="B16" s="535" t="e">
        <f ca="1">gr(calculs!BG16)</f>
        <v>#NAME?</v>
      </c>
      <c r="C16" s="535" t="e">
        <f ca="1">gr(calculs!BH16)</f>
        <v>#NAME?</v>
      </c>
      <c r="D16" s="535" t="e">
        <f ca="1">gr(calculs!BI16)</f>
        <v>#NAME?</v>
      </c>
      <c r="E16" s="535" t="e">
        <f ca="1">gr(calculs!BJ16)</f>
        <v>#NAME?</v>
      </c>
      <c r="F16" s="535" t="e">
        <f ca="1">gr(calculs!BK16)</f>
        <v>#NAME?</v>
      </c>
      <c r="G16" s="535" t="e">
        <v>#N/A</v>
      </c>
      <c r="H16" s="535" t="e">
        <v>#N/A</v>
      </c>
      <c r="I16" s="535" t="e">
        <v>#N/A</v>
      </c>
      <c r="J16" s="535" t="e">
        <v>#N/A</v>
      </c>
      <c r="K16" s="535" t="e">
        <v>#N/A</v>
      </c>
      <c r="L16" s="523"/>
    </row>
    <row r="17" spans="1:12" x14ac:dyDescent="0.2">
      <c r="A17" s="222">
        <f>calculs!A17</f>
        <v>44568</v>
      </c>
      <c r="B17" s="535" t="e">
        <f ca="1">gr(calculs!BG17)</f>
        <v>#NAME?</v>
      </c>
      <c r="C17" s="535" t="e">
        <f ca="1">gr(calculs!BH17)</f>
        <v>#NAME?</v>
      </c>
      <c r="D17" s="535" t="e">
        <f ca="1">gr(calculs!BI17)</f>
        <v>#NAME?</v>
      </c>
      <c r="E17" s="535" t="e">
        <f ca="1">gr(calculs!BJ17)</f>
        <v>#NAME?</v>
      </c>
      <c r="F17" s="535" t="e">
        <f ca="1">gr(calculs!BK17)</f>
        <v>#NAME?</v>
      </c>
      <c r="G17" s="535" t="e">
        <v>#N/A</v>
      </c>
      <c r="H17" s="535" t="e">
        <v>#N/A</v>
      </c>
      <c r="I17" s="535" t="e">
        <v>#N/A</v>
      </c>
      <c r="J17" s="535" t="e">
        <v>#N/A</v>
      </c>
      <c r="K17" s="535" t="e">
        <v>#N/A</v>
      </c>
      <c r="L17" s="523"/>
    </row>
    <row r="18" spans="1:12" x14ac:dyDescent="0.2">
      <c r="A18" s="222">
        <f>calculs!A18</f>
        <v>44569</v>
      </c>
      <c r="B18" s="535" t="e">
        <f ca="1">gr(calculs!BG18)</f>
        <v>#NAME?</v>
      </c>
      <c r="C18" s="535" t="e">
        <f ca="1">gr(calculs!BH18)</f>
        <v>#NAME?</v>
      </c>
      <c r="D18" s="535" t="e">
        <f ca="1">gr(calculs!BI18)</f>
        <v>#NAME?</v>
      </c>
      <c r="E18" s="535" t="e">
        <f ca="1">gr(calculs!BJ18)</f>
        <v>#NAME?</v>
      </c>
      <c r="F18" s="535" t="e">
        <f ca="1">gr(calculs!BK18)</f>
        <v>#NAME?</v>
      </c>
      <c r="G18" s="535" t="e">
        <v>#N/A</v>
      </c>
      <c r="H18" s="535" t="e">
        <v>#N/A</v>
      </c>
      <c r="I18" s="535" t="e">
        <v>#N/A</v>
      </c>
      <c r="J18" s="535" t="e">
        <v>#N/A</v>
      </c>
      <c r="K18" s="535" t="e">
        <v>#N/A</v>
      </c>
      <c r="L18" s="523"/>
    </row>
    <row r="19" spans="1:12" x14ac:dyDescent="0.2">
      <c r="A19" s="222">
        <f>calculs!A19</f>
        <v>44570</v>
      </c>
      <c r="B19" s="535" t="e">
        <f ca="1">gr(calculs!BG19)</f>
        <v>#NAME?</v>
      </c>
      <c r="C19" s="535" t="e">
        <f ca="1">gr(calculs!BH19)</f>
        <v>#NAME?</v>
      </c>
      <c r="D19" s="535" t="e">
        <f ca="1">gr(calculs!BI19)</f>
        <v>#NAME?</v>
      </c>
      <c r="E19" s="535" t="e">
        <f ca="1">gr(calculs!BJ19)</f>
        <v>#NAME?</v>
      </c>
      <c r="F19" s="535" t="e">
        <f ca="1">gr(calculs!BK19)</f>
        <v>#NAME?</v>
      </c>
      <c r="G19" s="535" t="e">
        <v>#N/A</v>
      </c>
      <c r="H19" s="535" t="e">
        <v>#N/A</v>
      </c>
      <c r="I19" s="535" t="e">
        <v>#N/A</v>
      </c>
      <c r="J19" s="535" t="e">
        <v>#N/A</v>
      </c>
      <c r="K19" s="535" t="e">
        <v>#N/A</v>
      </c>
      <c r="L19" s="523"/>
    </row>
    <row r="20" spans="1:12" x14ac:dyDescent="0.2">
      <c r="A20" s="222">
        <f>calculs!A20</f>
        <v>44571</v>
      </c>
      <c r="B20" s="535" t="e">
        <f ca="1">gr(calculs!BG20)</f>
        <v>#NAME?</v>
      </c>
      <c r="C20" s="535" t="e">
        <f ca="1">gr(calculs!BH20)</f>
        <v>#NAME?</v>
      </c>
      <c r="D20" s="535" t="e">
        <f ca="1">gr(calculs!BI20)</f>
        <v>#NAME?</v>
      </c>
      <c r="E20" s="535" t="e">
        <f ca="1">gr(calculs!BJ20)</f>
        <v>#NAME?</v>
      </c>
      <c r="F20" s="535" t="e">
        <f ca="1">gr(calculs!BK20)</f>
        <v>#NAME?</v>
      </c>
      <c r="G20" s="535" t="e">
        <v>#N/A</v>
      </c>
      <c r="H20" s="535" t="e">
        <v>#N/A</v>
      </c>
      <c r="I20" s="535" t="e">
        <v>#N/A</v>
      </c>
      <c r="J20" s="535" t="e">
        <v>#N/A</v>
      </c>
      <c r="K20" s="535" t="e">
        <v>#N/A</v>
      </c>
      <c r="L20" s="523"/>
    </row>
    <row r="21" spans="1:12" x14ac:dyDescent="0.2">
      <c r="A21" s="222">
        <f>calculs!A21</f>
        <v>44572</v>
      </c>
      <c r="B21" s="535" t="e">
        <f ca="1">gr(calculs!BG21)</f>
        <v>#NAME?</v>
      </c>
      <c r="C21" s="535" t="e">
        <f ca="1">gr(calculs!BH21)</f>
        <v>#NAME?</v>
      </c>
      <c r="D21" s="535" t="e">
        <f ca="1">gr(calculs!BI21)</f>
        <v>#NAME?</v>
      </c>
      <c r="E21" s="535" t="e">
        <f ca="1">gr(calculs!BJ21)</f>
        <v>#NAME?</v>
      </c>
      <c r="F21" s="535" t="e">
        <f ca="1">gr(calculs!BK21)</f>
        <v>#NAME?</v>
      </c>
      <c r="G21" s="535" t="e">
        <v>#N/A</v>
      </c>
      <c r="H21" s="535" t="e">
        <v>#N/A</v>
      </c>
      <c r="I21" s="535" t="e">
        <v>#N/A</v>
      </c>
      <c r="J21" s="535" t="e">
        <v>#N/A</v>
      </c>
      <c r="K21" s="535" t="e">
        <v>#N/A</v>
      </c>
      <c r="L21" s="523"/>
    </row>
    <row r="22" spans="1:12" x14ac:dyDescent="0.2">
      <c r="A22" s="222">
        <f>calculs!A22</f>
        <v>44573</v>
      </c>
      <c r="B22" s="535" t="e">
        <f ca="1">gr(calculs!BG22)</f>
        <v>#NAME?</v>
      </c>
      <c r="C22" s="535" t="e">
        <f ca="1">gr(calculs!BH22)</f>
        <v>#NAME?</v>
      </c>
      <c r="D22" s="535" t="e">
        <f ca="1">gr(calculs!BI22)</f>
        <v>#NAME?</v>
      </c>
      <c r="E22" s="535" t="e">
        <f ca="1">gr(calculs!BJ22)</f>
        <v>#NAME?</v>
      </c>
      <c r="F22" s="535" t="e">
        <f ca="1">gr(calculs!BK22)</f>
        <v>#NAME?</v>
      </c>
      <c r="G22" s="535" t="e">
        <v>#N/A</v>
      </c>
      <c r="H22" s="535" t="e">
        <v>#N/A</v>
      </c>
      <c r="I22" s="535" t="e">
        <v>#N/A</v>
      </c>
      <c r="J22" s="535" t="e">
        <v>#N/A</v>
      </c>
      <c r="K22" s="535" t="e">
        <v>#N/A</v>
      </c>
      <c r="L22" s="523"/>
    </row>
    <row r="23" spans="1:12" x14ac:dyDescent="0.2">
      <c r="A23" s="222">
        <f>calculs!A23</f>
        <v>44574</v>
      </c>
      <c r="B23" s="535" t="e">
        <f ca="1">gr(calculs!BG23)</f>
        <v>#NAME?</v>
      </c>
      <c r="C23" s="535" t="e">
        <f ca="1">gr(calculs!BH23)</f>
        <v>#NAME?</v>
      </c>
      <c r="D23" s="535" t="e">
        <f ca="1">gr(calculs!BI23)</f>
        <v>#NAME?</v>
      </c>
      <c r="E23" s="535" t="e">
        <f ca="1">gr(calculs!BJ23)</f>
        <v>#NAME?</v>
      </c>
      <c r="F23" s="535" t="e">
        <f ca="1">gr(calculs!BK23)</f>
        <v>#NAME?</v>
      </c>
      <c r="G23" s="535" t="e">
        <v>#N/A</v>
      </c>
      <c r="H23" s="535" t="e">
        <v>#N/A</v>
      </c>
      <c r="I23" s="535" t="e">
        <v>#N/A</v>
      </c>
      <c r="J23" s="535" t="e">
        <v>#N/A</v>
      </c>
      <c r="K23" s="535" t="e">
        <v>#N/A</v>
      </c>
      <c r="L23" s="523"/>
    </row>
    <row r="24" spans="1:12" x14ac:dyDescent="0.2">
      <c r="A24" s="222">
        <f>calculs!A24</f>
        <v>44575</v>
      </c>
      <c r="B24" s="535" t="e">
        <f ca="1">gr(calculs!BG24)</f>
        <v>#NAME?</v>
      </c>
      <c r="C24" s="535" t="e">
        <f ca="1">gr(calculs!BH24)</f>
        <v>#NAME?</v>
      </c>
      <c r="D24" s="535" t="e">
        <f ca="1">gr(calculs!BI24)</f>
        <v>#NAME?</v>
      </c>
      <c r="E24" s="535" t="e">
        <f ca="1">gr(calculs!BJ24)</f>
        <v>#NAME?</v>
      </c>
      <c r="F24" s="535" t="e">
        <f ca="1">gr(calculs!BK24)</f>
        <v>#NAME?</v>
      </c>
      <c r="G24" s="535" t="e">
        <v>#N/A</v>
      </c>
      <c r="H24" s="535" t="e">
        <v>#N/A</v>
      </c>
      <c r="I24" s="535" t="e">
        <v>#N/A</v>
      </c>
      <c r="J24" s="535" t="e">
        <v>#N/A</v>
      </c>
      <c r="K24" s="535" t="e">
        <v>#N/A</v>
      </c>
      <c r="L24" s="523"/>
    </row>
    <row r="25" spans="1:12" x14ac:dyDescent="0.2">
      <c r="A25" s="222">
        <f>calculs!A25</f>
        <v>44576</v>
      </c>
      <c r="B25" s="535" t="e">
        <f ca="1">gr(calculs!BG25)</f>
        <v>#NAME?</v>
      </c>
      <c r="C25" s="535" t="e">
        <f ca="1">gr(calculs!BH25)</f>
        <v>#NAME?</v>
      </c>
      <c r="D25" s="535" t="e">
        <f ca="1">gr(calculs!BI25)</f>
        <v>#NAME?</v>
      </c>
      <c r="E25" s="535" t="e">
        <f ca="1">gr(calculs!BJ25)</f>
        <v>#NAME?</v>
      </c>
      <c r="F25" s="535" t="e">
        <f ca="1">gr(calculs!BK25)</f>
        <v>#NAME?</v>
      </c>
      <c r="G25" s="535" t="e">
        <v>#N/A</v>
      </c>
      <c r="H25" s="535" t="e">
        <v>#N/A</v>
      </c>
      <c r="I25" s="535" t="e">
        <v>#N/A</v>
      </c>
      <c r="J25" s="535" t="e">
        <v>#N/A</v>
      </c>
      <c r="K25" s="535" t="e">
        <v>#N/A</v>
      </c>
      <c r="L25" s="523"/>
    </row>
    <row r="26" spans="1:12" x14ac:dyDescent="0.2">
      <c r="A26" s="222">
        <f>calculs!A26</f>
        <v>44577</v>
      </c>
      <c r="B26" s="535" t="e">
        <f ca="1">gr(calculs!BG26)</f>
        <v>#NAME?</v>
      </c>
      <c r="C26" s="535" t="e">
        <f ca="1">gr(calculs!BH26)</f>
        <v>#NAME?</v>
      </c>
      <c r="D26" s="535" t="e">
        <f ca="1">gr(calculs!BI26)</f>
        <v>#NAME?</v>
      </c>
      <c r="E26" s="535" t="e">
        <f ca="1">gr(calculs!BJ26)</f>
        <v>#NAME?</v>
      </c>
      <c r="F26" s="535" t="e">
        <f ca="1">gr(calculs!BK26)</f>
        <v>#NAME?</v>
      </c>
      <c r="G26" s="535" t="e">
        <v>#N/A</v>
      </c>
      <c r="H26" s="535" t="e">
        <v>#N/A</v>
      </c>
      <c r="I26" s="535" t="e">
        <v>#N/A</v>
      </c>
      <c r="J26" s="535" t="e">
        <v>#N/A</v>
      </c>
      <c r="K26" s="535" t="e">
        <v>#N/A</v>
      </c>
      <c r="L26" s="523"/>
    </row>
    <row r="27" spans="1:12" x14ac:dyDescent="0.2">
      <c r="A27" s="222">
        <f>calculs!A27</f>
        <v>44578</v>
      </c>
      <c r="B27" s="535" t="e">
        <f ca="1">gr(calculs!BG27)</f>
        <v>#NAME?</v>
      </c>
      <c r="C27" s="535" t="e">
        <f ca="1">gr(calculs!BH27)</f>
        <v>#NAME?</v>
      </c>
      <c r="D27" s="535" t="e">
        <f ca="1">gr(calculs!BI27)</f>
        <v>#NAME?</v>
      </c>
      <c r="E27" s="535" t="e">
        <f ca="1">gr(calculs!BJ27)</f>
        <v>#NAME?</v>
      </c>
      <c r="F27" s="535" t="e">
        <f ca="1">gr(calculs!BK27)</f>
        <v>#NAME?</v>
      </c>
      <c r="G27" s="535" t="e">
        <v>#N/A</v>
      </c>
      <c r="H27" s="535" t="e">
        <v>#N/A</v>
      </c>
      <c r="I27" s="535" t="e">
        <v>#N/A</v>
      </c>
      <c r="J27" s="535" t="e">
        <v>#N/A</v>
      </c>
      <c r="K27" s="535" t="e">
        <v>#N/A</v>
      </c>
      <c r="L27" s="523"/>
    </row>
    <row r="28" spans="1:12" x14ac:dyDescent="0.2">
      <c r="A28" s="222">
        <f>calculs!A28</f>
        <v>44579</v>
      </c>
      <c r="B28" s="535" t="e">
        <f ca="1">gr(calculs!BG28)</f>
        <v>#NAME?</v>
      </c>
      <c r="C28" s="535" t="e">
        <f ca="1">gr(calculs!BH28)</f>
        <v>#NAME?</v>
      </c>
      <c r="D28" s="535" t="e">
        <f ca="1">gr(calculs!BI28)</f>
        <v>#NAME?</v>
      </c>
      <c r="E28" s="535" t="e">
        <f ca="1">gr(calculs!BJ28)</f>
        <v>#NAME?</v>
      </c>
      <c r="F28" s="535" t="e">
        <f ca="1">gr(calculs!BK28)</f>
        <v>#NAME?</v>
      </c>
      <c r="G28" s="535" t="e">
        <v>#N/A</v>
      </c>
      <c r="H28" s="535" t="e">
        <v>#N/A</v>
      </c>
      <c r="I28" s="535" t="e">
        <v>#N/A</v>
      </c>
      <c r="J28" s="535" t="e">
        <v>#N/A</v>
      </c>
      <c r="K28" s="535" t="e">
        <v>#N/A</v>
      </c>
      <c r="L28" s="523"/>
    </row>
    <row r="29" spans="1:12" x14ac:dyDescent="0.2">
      <c r="A29" s="222">
        <f>calculs!A29</f>
        <v>44580</v>
      </c>
      <c r="B29" s="535" t="e">
        <f ca="1">gr(calculs!BG29)</f>
        <v>#NAME?</v>
      </c>
      <c r="C29" s="535" t="e">
        <f ca="1">gr(calculs!BH29)</f>
        <v>#NAME?</v>
      </c>
      <c r="D29" s="535" t="e">
        <f ca="1">gr(calculs!BI29)</f>
        <v>#NAME?</v>
      </c>
      <c r="E29" s="535" t="e">
        <f ca="1">gr(calculs!BJ29)</f>
        <v>#NAME?</v>
      </c>
      <c r="F29" s="535" t="e">
        <f ca="1">gr(calculs!BK29)</f>
        <v>#NAME?</v>
      </c>
      <c r="G29" s="535" t="e">
        <v>#N/A</v>
      </c>
      <c r="H29" s="535" t="e">
        <v>#N/A</v>
      </c>
      <c r="I29" s="535" t="e">
        <v>#N/A</v>
      </c>
      <c r="J29" s="535" t="e">
        <v>#N/A</v>
      </c>
      <c r="K29" s="535" t="e">
        <v>#N/A</v>
      </c>
      <c r="L29" s="523"/>
    </row>
    <row r="30" spans="1:12" x14ac:dyDescent="0.2">
      <c r="A30" s="222">
        <f>calculs!A30</f>
        <v>44581</v>
      </c>
      <c r="B30" s="535" t="e">
        <f ca="1">gr(calculs!BG30)</f>
        <v>#NAME?</v>
      </c>
      <c r="C30" s="535" t="e">
        <f ca="1">gr(calculs!BH30)</f>
        <v>#NAME?</v>
      </c>
      <c r="D30" s="535" t="e">
        <f ca="1">gr(calculs!BI30)</f>
        <v>#NAME?</v>
      </c>
      <c r="E30" s="535" t="e">
        <f ca="1">gr(calculs!BJ30)</f>
        <v>#NAME?</v>
      </c>
      <c r="F30" s="535" t="e">
        <f ca="1">gr(calculs!BK30)</f>
        <v>#NAME?</v>
      </c>
      <c r="G30" s="535" t="e">
        <v>#N/A</v>
      </c>
      <c r="H30" s="535" t="e">
        <v>#N/A</v>
      </c>
      <c r="I30" s="535" t="e">
        <v>#N/A</v>
      </c>
      <c r="J30" s="535" t="e">
        <v>#N/A</v>
      </c>
      <c r="K30" s="535" t="e">
        <v>#N/A</v>
      </c>
      <c r="L30" s="523"/>
    </row>
    <row r="31" spans="1:12" x14ac:dyDescent="0.2">
      <c r="A31" s="222">
        <f>calculs!A31</f>
        <v>44582</v>
      </c>
      <c r="B31" s="535" t="e">
        <f ca="1">gr(calculs!BG31)</f>
        <v>#NAME?</v>
      </c>
      <c r="C31" s="535" t="e">
        <f ca="1">gr(calculs!BH31)</f>
        <v>#NAME?</v>
      </c>
      <c r="D31" s="535" t="e">
        <f ca="1">gr(calculs!BI31)</f>
        <v>#NAME?</v>
      </c>
      <c r="E31" s="535" t="e">
        <f ca="1">gr(calculs!BJ31)</f>
        <v>#NAME?</v>
      </c>
      <c r="F31" s="535" t="e">
        <f ca="1">gr(calculs!BK31)</f>
        <v>#NAME?</v>
      </c>
      <c r="G31" s="535" t="e">
        <v>#N/A</v>
      </c>
      <c r="H31" s="535" t="e">
        <v>#N/A</v>
      </c>
      <c r="I31" s="535" t="e">
        <v>#N/A</v>
      </c>
      <c r="J31" s="535" t="e">
        <v>#N/A</v>
      </c>
      <c r="K31" s="535" t="e">
        <v>#N/A</v>
      </c>
      <c r="L31" s="523"/>
    </row>
    <row r="32" spans="1:12" x14ac:dyDescent="0.2">
      <c r="A32" s="222">
        <f>calculs!A32</f>
        <v>44583</v>
      </c>
      <c r="B32" s="535" t="e">
        <f ca="1">gr(calculs!BG32)</f>
        <v>#NAME?</v>
      </c>
      <c r="C32" s="535" t="e">
        <f ca="1">gr(calculs!BH32)</f>
        <v>#NAME?</v>
      </c>
      <c r="D32" s="535" t="e">
        <f ca="1">gr(calculs!BI32)</f>
        <v>#NAME?</v>
      </c>
      <c r="E32" s="535" t="e">
        <f ca="1">gr(calculs!BJ32)</f>
        <v>#NAME?</v>
      </c>
      <c r="F32" s="535" t="e">
        <f ca="1">gr(calculs!BK32)</f>
        <v>#NAME?</v>
      </c>
      <c r="G32" s="535" t="e">
        <v>#N/A</v>
      </c>
      <c r="H32" s="535" t="e">
        <v>#N/A</v>
      </c>
      <c r="I32" s="535" t="e">
        <v>#N/A</v>
      </c>
      <c r="J32" s="535" t="e">
        <v>#N/A</v>
      </c>
      <c r="K32" s="535" t="e">
        <v>#N/A</v>
      </c>
      <c r="L32" s="523"/>
    </row>
    <row r="33" spans="1:12" x14ac:dyDescent="0.2">
      <c r="A33" s="222">
        <f>calculs!A33</f>
        <v>44584</v>
      </c>
      <c r="B33" s="535" t="e">
        <f ca="1">gr(calculs!BG33)</f>
        <v>#NAME?</v>
      </c>
      <c r="C33" s="535" t="e">
        <f ca="1">gr(calculs!BH33)</f>
        <v>#NAME?</v>
      </c>
      <c r="D33" s="535" t="e">
        <f ca="1">gr(calculs!BI33)</f>
        <v>#NAME?</v>
      </c>
      <c r="E33" s="535" t="e">
        <f ca="1">gr(calculs!BJ33)</f>
        <v>#NAME?</v>
      </c>
      <c r="F33" s="535" t="e">
        <f ca="1">gr(calculs!BK33)</f>
        <v>#NAME?</v>
      </c>
      <c r="G33" s="535" t="e">
        <v>#N/A</v>
      </c>
      <c r="H33" s="535" t="e">
        <v>#N/A</v>
      </c>
      <c r="I33" s="535" t="e">
        <v>#N/A</v>
      </c>
      <c r="J33" s="535" t="e">
        <v>#N/A</v>
      </c>
      <c r="K33" s="535" t="e">
        <v>#N/A</v>
      </c>
      <c r="L33" s="523"/>
    </row>
    <row r="34" spans="1:12" x14ac:dyDescent="0.2">
      <c r="A34" s="222">
        <f>calculs!A34</f>
        <v>44585</v>
      </c>
      <c r="B34" s="535" t="e">
        <f ca="1">gr(calculs!BG34)</f>
        <v>#NAME?</v>
      </c>
      <c r="C34" s="535" t="e">
        <f ca="1">gr(calculs!BH34)</f>
        <v>#NAME?</v>
      </c>
      <c r="D34" s="535" t="e">
        <f ca="1">gr(calculs!BI34)</f>
        <v>#NAME?</v>
      </c>
      <c r="E34" s="535" t="e">
        <f ca="1">gr(calculs!BJ34)</f>
        <v>#NAME?</v>
      </c>
      <c r="F34" s="535" t="e">
        <f ca="1">gr(calculs!BK34)</f>
        <v>#NAME?</v>
      </c>
      <c r="G34" s="535" t="e">
        <v>#N/A</v>
      </c>
      <c r="H34" s="535" t="e">
        <v>#N/A</v>
      </c>
      <c r="I34" s="535" t="e">
        <v>#N/A</v>
      </c>
      <c r="J34" s="535" t="e">
        <v>#N/A</v>
      </c>
      <c r="K34" s="535" t="e">
        <v>#N/A</v>
      </c>
      <c r="L34" s="523"/>
    </row>
    <row r="35" spans="1:12" x14ac:dyDescent="0.2">
      <c r="A35" s="222">
        <f>calculs!A35</f>
        <v>44586</v>
      </c>
      <c r="B35" s="535" t="e">
        <f ca="1">gr(calculs!BG35)</f>
        <v>#NAME?</v>
      </c>
      <c r="C35" s="535" t="e">
        <f ca="1">gr(calculs!BH35)</f>
        <v>#NAME?</v>
      </c>
      <c r="D35" s="535" t="e">
        <f ca="1">gr(calculs!BI35)</f>
        <v>#NAME?</v>
      </c>
      <c r="E35" s="535" t="e">
        <f ca="1">gr(calculs!BJ35)</f>
        <v>#NAME?</v>
      </c>
      <c r="F35" s="535" t="e">
        <f ca="1">gr(calculs!BK35)</f>
        <v>#NAME?</v>
      </c>
      <c r="G35" s="535" t="e">
        <v>#N/A</v>
      </c>
      <c r="H35" s="535" t="e">
        <v>#N/A</v>
      </c>
      <c r="I35" s="535" t="e">
        <v>#N/A</v>
      </c>
      <c r="J35" s="535" t="e">
        <v>#N/A</v>
      </c>
      <c r="K35" s="535" t="e">
        <v>#N/A</v>
      </c>
      <c r="L35" s="523"/>
    </row>
    <row r="36" spans="1:12" x14ac:dyDescent="0.2">
      <c r="A36" s="222">
        <f>calculs!A36</f>
        <v>44587</v>
      </c>
      <c r="B36" s="535" t="e">
        <f ca="1">gr(calculs!BG36)</f>
        <v>#NAME?</v>
      </c>
      <c r="C36" s="535" t="e">
        <f ca="1">gr(calculs!BH36)</f>
        <v>#NAME?</v>
      </c>
      <c r="D36" s="535" t="e">
        <f ca="1">gr(calculs!BI36)</f>
        <v>#NAME?</v>
      </c>
      <c r="E36" s="535" t="e">
        <f ca="1">gr(calculs!BJ36)</f>
        <v>#NAME?</v>
      </c>
      <c r="F36" s="535" t="e">
        <f ca="1">gr(calculs!BK36)</f>
        <v>#NAME?</v>
      </c>
      <c r="G36" s="535" t="e">
        <v>#N/A</v>
      </c>
      <c r="H36" s="535" t="e">
        <v>#N/A</v>
      </c>
      <c r="I36" s="535" t="e">
        <v>#N/A</v>
      </c>
      <c r="J36" s="535" t="e">
        <v>#N/A</v>
      </c>
      <c r="K36" s="535" t="e">
        <v>#N/A</v>
      </c>
      <c r="L36" s="523"/>
    </row>
    <row r="37" spans="1:12" x14ac:dyDescent="0.2">
      <c r="A37" s="222">
        <f>calculs!A37</f>
        <v>44588</v>
      </c>
      <c r="B37" s="535" t="e">
        <f ca="1">gr(calculs!BG37)</f>
        <v>#NAME?</v>
      </c>
      <c r="C37" s="535" t="e">
        <f ca="1">gr(calculs!BH37)</f>
        <v>#NAME?</v>
      </c>
      <c r="D37" s="535" t="e">
        <f ca="1">gr(calculs!BI37)</f>
        <v>#NAME?</v>
      </c>
      <c r="E37" s="535" t="e">
        <f ca="1">gr(calculs!BJ37)</f>
        <v>#NAME?</v>
      </c>
      <c r="F37" s="535" t="e">
        <f ca="1">gr(calculs!BK37)</f>
        <v>#NAME?</v>
      </c>
      <c r="G37" s="535" t="e">
        <v>#N/A</v>
      </c>
      <c r="H37" s="535" t="e">
        <v>#N/A</v>
      </c>
      <c r="I37" s="535" t="e">
        <v>#N/A</v>
      </c>
      <c r="J37" s="535" t="e">
        <v>#N/A</v>
      </c>
      <c r="K37" s="535" t="e">
        <v>#N/A</v>
      </c>
      <c r="L37" s="523"/>
    </row>
    <row r="38" spans="1:12" x14ac:dyDescent="0.2">
      <c r="A38" s="222">
        <f>calculs!A38</f>
        <v>44589</v>
      </c>
      <c r="B38" s="535" t="e">
        <f ca="1">gr(calculs!BG38)</f>
        <v>#NAME?</v>
      </c>
      <c r="C38" s="535" t="e">
        <f ca="1">gr(calculs!BH38)</f>
        <v>#NAME?</v>
      </c>
      <c r="D38" s="535" t="e">
        <f ca="1">gr(calculs!BI38)</f>
        <v>#NAME?</v>
      </c>
      <c r="E38" s="535" t="e">
        <f ca="1">gr(calculs!BJ38)</f>
        <v>#NAME?</v>
      </c>
      <c r="F38" s="535" t="e">
        <f ca="1">gr(calculs!BK38)</f>
        <v>#NAME?</v>
      </c>
      <c r="G38" s="535" t="e">
        <v>#N/A</v>
      </c>
      <c r="H38" s="535" t="e">
        <v>#N/A</v>
      </c>
      <c r="I38" s="535" t="e">
        <v>#N/A</v>
      </c>
      <c r="J38" s="535" t="e">
        <v>#N/A</v>
      </c>
      <c r="K38" s="535" t="e">
        <v>#N/A</v>
      </c>
      <c r="L38" s="523"/>
    </row>
    <row r="39" spans="1:12" x14ac:dyDescent="0.2">
      <c r="A39" s="222">
        <f>calculs!A39</f>
        <v>44590</v>
      </c>
      <c r="B39" s="535" t="e">
        <f ca="1">gr(calculs!BG39)</f>
        <v>#NAME?</v>
      </c>
      <c r="C39" s="535" t="e">
        <f ca="1">gr(calculs!BH39)</f>
        <v>#NAME?</v>
      </c>
      <c r="D39" s="535" t="e">
        <f ca="1">gr(calculs!BI39)</f>
        <v>#NAME?</v>
      </c>
      <c r="E39" s="535" t="e">
        <f ca="1">gr(calculs!BJ39)</f>
        <v>#NAME?</v>
      </c>
      <c r="F39" s="535" t="e">
        <f ca="1">gr(calculs!BK39)</f>
        <v>#NAME?</v>
      </c>
      <c r="G39" s="535" t="e">
        <v>#N/A</v>
      </c>
      <c r="H39" s="535" t="e">
        <v>#N/A</v>
      </c>
      <c r="I39" s="535" t="e">
        <v>#N/A</v>
      </c>
      <c r="J39" s="535" t="e">
        <v>#N/A</v>
      </c>
      <c r="K39" s="535" t="e">
        <v>#N/A</v>
      </c>
      <c r="L39" s="523"/>
    </row>
    <row r="40" spans="1:12" x14ac:dyDescent="0.2">
      <c r="A40" s="222">
        <f>calculs!A40</f>
        <v>44591</v>
      </c>
      <c r="B40" s="535" t="e">
        <f ca="1">gr(calculs!BG40)</f>
        <v>#NAME?</v>
      </c>
      <c r="C40" s="535" t="e">
        <f ca="1">gr(calculs!BH40)</f>
        <v>#NAME?</v>
      </c>
      <c r="D40" s="535" t="e">
        <f ca="1">gr(calculs!BI40)</f>
        <v>#NAME?</v>
      </c>
      <c r="E40" s="535" t="e">
        <f ca="1">gr(calculs!BJ40)</f>
        <v>#NAME?</v>
      </c>
      <c r="F40" s="535" t="e">
        <f ca="1">gr(calculs!BK40)</f>
        <v>#NAME?</v>
      </c>
      <c r="G40" s="535" t="e">
        <v>#N/A</v>
      </c>
      <c r="H40" s="535" t="e">
        <v>#N/A</v>
      </c>
      <c r="I40" s="535" t="e">
        <v>#N/A</v>
      </c>
      <c r="J40" s="535" t="e">
        <v>#N/A</v>
      </c>
      <c r="K40" s="535" t="e">
        <v>#N/A</v>
      </c>
      <c r="L40" s="523"/>
    </row>
    <row r="41" spans="1:12" x14ac:dyDescent="0.2">
      <c r="A41" s="222">
        <f>calculs!A41</f>
        <v>44592</v>
      </c>
      <c r="B41" s="535" t="e">
        <f ca="1">gr(calculs!BG41)</f>
        <v>#NAME?</v>
      </c>
      <c r="C41" s="535" t="e">
        <f ca="1">gr(calculs!BH41)</f>
        <v>#NAME?</v>
      </c>
      <c r="D41" s="535" t="e">
        <f ca="1">gr(calculs!BI41)</f>
        <v>#NAME?</v>
      </c>
      <c r="E41" s="535" t="e">
        <f ca="1">gr(calculs!BJ41)</f>
        <v>#NAME?</v>
      </c>
      <c r="F41" s="535" t="e">
        <f ca="1">gr(calculs!BK41)</f>
        <v>#NAME?</v>
      </c>
      <c r="G41" s="535" t="e">
        <v>#N/A</v>
      </c>
      <c r="H41" s="535" t="e">
        <v>#N/A</v>
      </c>
      <c r="I41" s="535" t="e">
        <v>#N/A</v>
      </c>
      <c r="J41" s="535" t="e">
        <v>#N/A</v>
      </c>
      <c r="K41" s="535" t="e">
        <v>#N/A</v>
      </c>
      <c r="L41" s="523"/>
    </row>
    <row r="42" spans="1:12" x14ac:dyDescent="0.2">
      <c r="A42" s="222">
        <f>calculs!A42</f>
        <v>44593</v>
      </c>
      <c r="B42" s="535" t="e">
        <f ca="1">gr(calculs!BG42)</f>
        <v>#NAME?</v>
      </c>
      <c r="C42" s="535" t="e">
        <f ca="1">gr(calculs!BH42)</f>
        <v>#NAME?</v>
      </c>
      <c r="D42" s="535" t="e">
        <f ca="1">gr(calculs!BI42)</f>
        <v>#NAME?</v>
      </c>
      <c r="E42" s="535" t="e">
        <f ca="1">gr(calculs!BJ42)</f>
        <v>#NAME?</v>
      </c>
      <c r="F42" s="535" t="e">
        <f ca="1">gr(calculs!BK42)</f>
        <v>#NAME?</v>
      </c>
      <c r="G42" s="535" t="e">
        <v>#N/A</v>
      </c>
      <c r="H42" s="535" t="e">
        <v>#N/A</v>
      </c>
      <c r="I42" s="535" t="e">
        <v>#N/A</v>
      </c>
      <c r="J42" s="535" t="e">
        <v>#N/A</v>
      </c>
      <c r="K42" s="535" t="e">
        <v>#N/A</v>
      </c>
      <c r="L42" s="523"/>
    </row>
    <row r="43" spans="1:12" x14ac:dyDescent="0.2">
      <c r="A43" s="222">
        <f>calculs!A43</f>
        <v>44594</v>
      </c>
      <c r="B43" s="535" t="e">
        <f ca="1">gr(calculs!BG43)</f>
        <v>#NAME?</v>
      </c>
      <c r="C43" s="535" t="e">
        <f ca="1">gr(calculs!BH43)</f>
        <v>#NAME?</v>
      </c>
      <c r="D43" s="535" t="e">
        <f ca="1">gr(calculs!BI43)</f>
        <v>#NAME?</v>
      </c>
      <c r="E43" s="535" t="e">
        <f ca="1">gr(calculs!BJ43)</f>
        <v>#NAME?</v>
      </c>
      <c r="F43" s="535" t="e">
        <f ca="1">gr(calculs!BK43)</f>
        <v>#NAME?</v>
      </c>
      <c r="G43" s="535" t="e">
        <v>#N/A</v>
      </c>
      <c r="H43" s="535" t="e">
        <v>#N/A</v>
      </c>
      <c r="I43" s="535" t="e">
        <v>#N/A</v>
      </c>
      <c r="J43" s="535" t="e">
        <v>#N/A</v>
      </c>
      <c r="K43" s="535" t="e">
        <v>#N/A</v>
      </c>
      <c r="L43" s="523"/>
    </row>
    <row r="44" spans="1:12" x14ac:dyDescent="0.2">
      <c r="A44" s="222">
        <f>calculs!A44</f>
        <v>44595</v>
      </c>
      <c r="B44" s="535" t="e">
        <f ca="1">gr(calculs!BG44)</f>
        <v>#NAME?</v>
      </c>
      <c r="C44" s="535" t="e">
        <f ca="1">gr(calculs!BH44)</f>
        <v>#NAME?</v>
      </c>
      <c r="D44" s="535" t="e">
        <f ca="1">gr(calculs!BI44)</f>
        <v>#NAME?</v>
      </c>
      <c r="E44" s="535" t="e">
        <f ca="1">gr(calculs!BJ44)</f>
        <v>#NAME?</v>
      </c>
      <c r="F44" s="535" t="e">
        <f ca="1">gr(calculs!BK44)</f>
        <v>#NAME?</v>
      </c>
      <c r="G44" s="535" t="e">
        <v>#N/A</v>
      </c>
      <c r="H44" s="535" t="e">
        <v>#N/A</v>
      </c>
      <c r="I44" s="535" t="e">
        <v>#N/A</v>
      </c>
      <c r="J44" s="535" t="e">
        <v>#N/A</v>
      </c>
      <c r="K44" s="535" t="e">
        <v>#N/A</v>
      </c>
      <c r="L44" s="523"/>
    </row>
    <row r="45" spans="1:12" x14ac:dyDescent="0.2">
      <c r="A45" s="222">
        <f>calculs!A45</f>
        <v>44596</v>
      </c>
      <c r="B45" s="535" t="e">
        <f ca="1">gr(calculs!BG45)</f>
        <v>#NAME?</v>
      </c>
      <c r="C45" s="535" t="e">
        <f ca="1">gr(calculs!BH45)</f>
        <v>#NAME?</v>
      </c>
      <c r="D45" s="535" t="e">
        <f ca="1">gr(calculs!BI45)</f>
        <v>#NAME?</v>
      </c>
      <c r="E45" s="535" t="e">
        <f ca="1">gr(calculs!BJ45)</f>
        <v>#NAME?</v>
      </c>
      <c r="F45" s="535" t="e">
        <f ca="1">gr(calculs!BK45)</f>
        <v>#NAME?</v>
      </c>
      <c r="G45" s="535" t="e">
        <v>#N/A</v>
      </c>
      <c r="H45" s="535" t="e">
        <v>#N/A</v>
      </c>
      <c r="I45" s="535" t="e">
        <v>#N/A</v>
      </c>
      <c r="J45" s="535" t="e">
        <v>#N/A</v>
      </c>
      <c r="K45" s="535" t="e">
        <v>#N/A</v>
      </c>
      <c r="L45" s="523"/>
    </row>
    <row r="46" spans="1:12" x14ac:dyDescent="0.2">
      <c r="A46" s="222">
        <f>calculs!A46</f>
        <v>44597</v>
      </c>
      <c r="B46" s="535" t="e">
        <f ca="1">gr(calculs!BG46)</f>
        <v>#NAME?</v>
      </c>
      <c r="C46" s="535" t="e">
        <f ca="1">gr(calculs!BH46)</f>
        <v>#NAME?</v>
      </c>
      <c r="D46" s="535" t="e">
        <f ca="1">gr(calculs!BI46)</f>
        <v>#NAME?</v>
      </c>
      <c r="E46" s="535" t="e">
        <f ca="1">gr(calculs!BJ46)</f>
        <v>#NAME?</v>
      </c>
      <c r="F46" s="535" t="e">
        <f ca="1">gr(calculs!BK46)</f>
        <v>#NAME?</v>
      </c>
      <c r="G46" s="535" t="e">
        <v>#N/A</v>
      </c>
      <c r="H46" s="535" t="e">
        <v>#N/A</v>
      </c>
      <c r="I46" s="535" t="e">
        <v>#N/A</v>
      </c>
      <c r="J46" s="535" t="e">
        <v>#N/A</v>
      </c>
      <c r="K46" s="535" t="e">
        <v>#N/A</v>
      </c>
      <c r="L46" s="523"/>
    </row>
    <row r="47" spans="1:12" x14ac:dyDescent="0.2">
      <c r="A47" s="222">
        <f>calculs!A47</f>
        <v>44598</v>
      </c>
      <c r="B47" s="535" t="e">
        <f ca="1">gr(calculs!BG47)</f>
        <v>#NAME?</v>
      </c>
      <c r="C47" s="535" t="e">
        <f ca="1">gr(calculs!BH47)</f>
        <v>#NAME?</v>
      </c>
      <c r="D47" s="535" t="e">
        <f ca="1">gr(calculs!BI47)</f>
        <v>#NAME?</v>
      </c>
      <c r="E47" s="535" t="e">
        <f ca="1">gr(calculs!BJ47)</f>
        <v>#NAME?</v>
      </c>
      <c r="F47" s="535" t="e">
        <f ca="1">gr(calculs!BK47)</f>
        <v>#NAME?</v>
      </c>
      <c r="G47" s="535" t="e">
        <v>#N/A</v>
      </c>
      <c r="H47" s="535" t="e">
        <v>#N/A</v>
      </c>
      <c r="I47" s="535" t="e">
        <v>#N/A</v>
      </c>
      <c r="J47" s="535" t="e">
        <v>#N/A</v>
      </c>
      <c r="K47" s="535" t="e">
        <v>#N/A</v>
      </c>
      <c r="L47" s="523"/>
    </row>
    <row r="48" spans="1:12" x14ac:dyDescent="0.2">
      <c r="A48" s="222">
        <f>calculs!A48</f>
        <v>44599</v>
      </c>
      <c r="B48" s="535" t="e">
        <f ca="1">gr(calculs!BG48)</f>
        <v>#NAME?</v>
      </c>
      <c r="C48" s="535" t="e">
        <f ca="1">gr(calculs!BH48)</f>
        <v>#NAME?</v>
      </c>
      <c r="D48" s="535" t="e">
        <f ca="1">gr(calculs!BI48)</f>
        <v>#NAME?</v>
      </c>
      <c r="E48" s="535" t="e">
        <f ca="1">gr(calculs!BJ48)</f>
        <v>#NAME?</v>
      </c>
      <c r="F48" s="535" t="e">
        <f ca="1">gr(calculs!BK48)</f>
        <v>#NAME?</v>
      </c>
      <c r="G48" s="535" t="e">
        <v>#N/A</v>
      </c>
      <c r="H48" s="535" t="e">
        <v>#N/A</v>
      </c>
      <c r="I48" s="535" t="e">
        <v>#N/A</v>
      </c>
      <c r="J48" s="535" t="e">
        <v>#N/A</v>
      </c>
      <c r="K48" s="535" t="e">
        <v>#N/A</v>
      </c>
      <c r="L48" s="523"/>
    </row>
    <row r="49" spans="1:12" x14ac:dyDescent="0.2">
      <c r="A49" s="222">
        <f>calculs!A49</f>
        <v>44600</v>
      </c>
      <c r="B49" s="535" t="e">
        <f ca="1">gr(calculs!BG49)</f>
        <v>#NAME?</v>
      </c>
      <c r="C49" s="535" t="e">
        <f ca="1">gr(calculs!BH49)</f>
        <v>#NAME?</v>
      </c>
      <c r="D49" s="535" t="e">
        <f ca="1">gr(calculs!BI49)</f>
        <v>#NAME?</v>
      </c>
      <c r="E49" s="535" t="e">
        <f ca="1">gr(calculs!BJ49)</f>
        <v>#NAME?</v>
      </c>
      <c r="F49" s="535" t="e">
        <f ca="1">gr(calculs!BK49)</f>
        <v>#NAME?</v>
      </c>
      <c r="G49" s="535" t="e">
        <v>#N/A</v>
      </c>
      <c r="H49" s="535" t="e">
        <v>#N/A</v>
      </c>
      <c r="I49" s="535" t="e">
        <v>#N/A</v>
      </c>
      <c r="J49" s="535" t="e">
        <v>#N/A</v>
      </c>
      <c r="K49" s="535" t="e">
        <v>#N/A</v>
      </c>
      <c r="L49" s="523"/>
    </row>
    <row r="50" spans="1:12" x14ac:dyDescent="0.2">
      <c r="A50" s="222">
        <f>calculs!A50</f>
        <v>44601</v>
      </c>
      <c r="B50" s="535" t="e">
        <f ca="1">gr(calculs!BG50)</f>
        <v>#NAME?</v>
      </c>
      <c r="C50" s="535" t="e">
        <f ca="1">gr(calculs!BH50)</f>
        <v>#NAME?</v>
      </c>
      <c r="D50" s="535" t="e">
        <f ca="1">gr(calculs!BI50)</f>
        <v>#NAME?</v>
      </c>
      <c r="E50" s="535" t="e">
        <f ca="1">gr(calculs!BJ50)</f>
        <v>#NAME?</v>
      </c>
      <c r="F50" s="535" t="e">
        <f ca="1">gr(calculs!BK50)</f>
        <v>#NAME?</v>
      </c>
      <c r="G50" s="535" t="e">
        <v>#N/A</v>
      </c>
      <c r="H50" s="535" t="e">
        <v>#N/A</v>
      </c>
      <c r="I50" s="535" t="e">
        <v>#N/A</v>
      </c>
      <c r="J50" s="535" t="e">
        <v>#N/A</v>
      </c>
      <c r="K50" s="535" t="e">
        <v>#N/A</v>
      </c>
      <c r="L50" s="523"/>
    </row>
    <row r="51" spans="1:12" x14ac:dyDescent="0.2">
      <c r="A51" s="222">
        <f>calculs!A51</f>
        <v>44602</v>
      </c>
      <c r="B51" s="535" t="e">
        <f ca="1">gr(calculs!BG51)</f>
        <v>#NAME?</v>
      </c>
      <c r="C51" s="535" t="e">
        <f ca="1">gr(calculs!BH51)</f>
        <v>#NAME?</v>
      </c>
      <c r="D51" s="535" t="e">
        <f ca="1">gr(calculs!BI51)</f>
        <v>#NAME?</v>
      </c>
      <c r="E51" s="535" t="e">
        <f ca="1">gr(calculs!BJ51)</f>
        <v>#NAME?</v>
      </c>
      <c r="F51" s="535" t="e">
        <f ca="1">gr(calculs!BK51)</f>
        <v>#NAME?</v>
      </c>
      <c r="G51" s="535" t="e">
        <v>#N/A</v>
      </c>
      <c r="H51" s="535" t="e">
        <v>#N/A</v>
      </c>
      <c r="I51" s="535" t="e">
        <v>#N/A</v>
      </c>
      <c r="J51" s="535" t="e">
        <v>#N/A</v>
      </c>
      <c r="K51" s="535" t="e">
        <v>#N/A</v>
      </c>
      <c r="L51" s="523"/>
    </row>
    <row r="52" spans="1:12" x14ac:dyDescent="0.2">
      <c r="A52" s="222">
        <f>calculs!A52</f>
        <v>44603</v>
      </c>
      <c r="B52" s="535" t="e">
        <f ca="1">gr(calculs!BG52)</f>
        <v>#NAME?</v>
      </c>
      <c r="C52" s="535" t="e">
        <f ca="1">gr(calculs!BH52)</f>
        <v>#NAME?</v>
      </c>
      <c r="D52" s="535" t="e">
        <f ca="1">gr(calculs!BI52)</f>
        <v>#NAME?</v>
      </c>
      <c r="E52" s="535" t="e">
        <f ca="1">gr(calculs!BJ52)</f>
        <v>#NAME?</v>
      </c>
      <c r="F52" s="535" t="e">
        <f ca="1">gr(calculs!BK52)</f>
        <v>#NAME?</v>
      </c>
      <c r="G52" s="535" t="e">
        <v>#N/A</v>
      </c>
      <c r="H52" s="535" t="e">
        <v>#N/A</v>
      </c>
      <c r="I52" s="535" t="e">
        <v>#N/A</v>
      </c>
      <c r="J52" s="535" t="e">
        <v>#N/A</v>
      </c>
      <c r="K52" s="535" t="e">
        <v>#N/A</v>
      </c>
      <c r="L52" s="523"/>
    </row>
    <row r="53" spans="1:12" x14ac:dyDescent="0.2">
      <c r="A53" s="222">
        <f>calculs!A53</f>
        <v>44604</v>
      </c>
      <c r="B53" s="535" t="e">
        <f ca="1">gr(calculs!BG53)</f>
        <v>#NAME?</v>
      </c>
      <c r="C53" s="535" t="e">
        <f ca="1">gr(calculs!BH53)</f>
        <v>#NAME?</v>
      </c>
      <c r="D53" s="535" t="e">
        <f ca="1">gr(calculs!BI53)</f>
        <v>#NAME?</v>
      </c>
      <c r="E53" s="535" t="e">
        <f ca="1">gr(calculs!BJ53)</f>
        <v>#NAME?</v>
      </c>
      <c r="F53" s="535" t="e">
        <f ca="1">gr(calculs!BK53)</f>
        <v>#NAME?</v>
      </c>
      <c r="G53" s="535" t="e">
        <v>#N/A</v>
      </c>
      <c r="H53" s="535" t="e">
        <v>#N/A</v>
      </c>
      <c r="I53" s="535" t="e">
        <v>#N/A</v>
      </c>
      <c r="J53" s="535" t="e">
        <v>#N/A</v>
      </c>
      <c r="K53" s="535" t="e">
        <v>#N/A</v>
      </c>
      <c r="L53" s="523"/>
    </row>
    <row r="54" spans="1:12" x14ac:dyDescent="0.2">
      <c r="A54" s="222">
        <f>calculs!A54</f>
        <v>44605</v>
      </c>
      <c r="B54" s="535" t="e">
        <f ca="1">gr(calculs!BG54)</f>
        <v>#NAME?</v>
      </c>
      <c r="C54" s="535" t="e">
        <f ca="1">gr(calculs!BH54)</f>
        <v>#NAME?</v>
      </c>
      <c r="D54" s="535" t="e">
        <f ca="1">gr(calculs!BI54)</f>
        <v>#NAME?</v>
      </c>
      <c r="E54" s="535" t="e">
        <f ca="1">gr(calculs!BJ54)</f>
        <v>#NAME?</v>
      </c>
      <c r="F54" s="535" t="e">
        <f ca="1">gr(calculs!BK54)</f>
        <v>#NAME?</v>
      </c>
      <c r="G54" s="535" t="e">
        <v>#N/A</v>
      </c>
      <c r="H54" s="535" t="e">
        <v>#N/A</v>
      </c>
      <c r="I54" s="535" t="e">
        <v>#N/A</v>
      </c>
      <c r="J54" s="535" t="e">
        <v>#N/A</v>
      </c>
      <c r="K54" s="535" t="e">
        <v>#N/A</v>
      </c>
      <c r="L54" s="523"/>
    </row>
    <row r="55" spans="1:12" x14ac:dyDescent="0.2">
      <c r="A55" s="222">
        <f>calculs!A55</f>
        <v>44606</v>
      </c>
      <c r="B55" s="535" t="e">
        <f ca="1">gr(calculs!BG55)</f>
        <v>#NAME?</v>
      </c>
      <c r="C55" s="535" t="e">
        <f ca="1">gr(calculs!BH55)</f>
        <v>#NAME?</v>
      </c>
      <c r="D55" s="535" t="e">
        <f ca="1">gr(calculs!BI55)</f>
        <v>#NAME?</v>
      </c>
      <c r="E55" s="535" t="e">
        <f ca="1">gr(calculs!BJ55)</f>
        <v>#NAME?</v>
      </c>
      <c r="F55" s="535" t="e">
        <f ca="1">gr(calculs!BK55)</f>
        <v>#NAME?</v>
      </c>
      <c r="G55" s="535" t="e">
        <v>#N/A</v>
      </c>
      <c r="H55" s="535" t="e">
        <v>#N/A</v>
      </c>
      <c r="I55" s="535" t="e">
        <v>#N/A</v>
      </c>
      <c r="J55" s="535" t="e">
        <v>#N/A</v>
      </c>
      <c r="K55" s="535" t="e">
        <v>#N/A</v>
      </c>
      <c r="L55" s="523"/>
    </row>
    <row r="56" spans="1:12" x14ac:dyDescent="0.2">
      <c r="A56" s="222">
        <f>calculs!A56</f>
        <v>44607</v>
      </c>
      <c r="B56" s="535" t="e">
        <f ca="1">gr(calculs!BG56)</f>
        <v>#NAME?</v>
      </c>
      <c r="C56" s="535" t="e">
        <f ca="1">gr(calculs!BH56)</f>
        <v>#NAME?</v>
      </c>
      <c r="D56" s="535" t="e">
        <f ca="1">gr(calculs!BI56)</f>
        <v>#NAME?</v>
      </c>
      <c r="E56" s="535" t="e">
        <f ca="1">gr(calculs!BJ56)</f>
        <v>#NAME?</v>
      </c>
      <c r="F56" s="535" t="e">
        <f ca="1">gr(calculs!BK56)</f>
        <v>#NAME?</v>
      </c>
      <c r="G56" s="535" t="e">
        <v>#N/A</v>
      </c>
      <c r="H56" s="535" t="e">
        <v>#N/A</v>
      </c>
      <c r="I56" s="535" t="e">
        <v>#N/A</v>
      </c>
      <c r="J56" s="535" t="e">
        <v>#N/A</v>
      </c>
      <c r="K56" s="535" t="e">
        <v>#N/A</v>
      </c>
      <c r="L56" s="523"/>
    </row>
    <row r="57" spans="1:12" x14ac:dyDescent="0.2">
      <c r="A57" s="222">
        <f>calculs!A57</f>
        <v>44608</v>
      </c>
      <c r="B57" s="535" t="e">
        <f ca="1">gr(calculs!BG57)</f>
        <v>#NAME?</v>
      </c>
      <c r="C57" s="535" t="e">
        <f ca="1">gr(calculs!BH57)</f>
        <v>#NAME?</v>
      </c>
      <c r="D57" s="535" t="e">
        <f ca="1">gr(calculs!BI57)</f>
        <v>#NAME?</v>
      </c>
      <c r="E57" s="535" t="e">
        <f ca="1">gr(calculs!BJ57)</f>
        <v>#NAME?</v>
      </c>
      <c r="F57" s="535" t="e">
        <f ca="1">gr(calculs!BK57)</f>
        <v>#NAME?</v>
      </c>
      <c r="G57" s="535" t="e">
        <v>#N/A</v>
      </c>
      <c r="H57" s="535" t="e">
        <v>#N/A</v>
      </c>
      <c r="I57" s="535" t="e">
        <v>#N/A</v>
      </c>
      <c r="J57" s="535" t="e">
        <v>#N/A</v>
      </c>
      <c r="K57" s="535" t="e">
        <v>#N/A</v>
      </c>
      <c r="L57" s="523"/>
    </row>
    <row r="58" spans="1:12" x14ac:dyDescent="0.2">
      <c r="A58" s="222">
        <f>calculs!A58</f>
        <v>44609</v>
      </c>
      <c r="B58" s="535" t="e">
        <f ca="1">gr(calculs!BG58)</f>
        <v>#NAME?</v>
      </c>
      <c r="C58" s="535" t="e">
        <f ca="1">gr(calculs!BH58)</f>
        <v>#NAME?</v>
      </c>
      <c r="D58" s="535" t="e">
        <f ca="1">gr(calculs!BI58)</f>
        <v>#NAME?</v>
      </c>
      <c r="E58" s="535" t="e">
        <f ca="1">gr(calculs!BJ58)</f>
        <v>#NAME?</v>
      </c>
      <c r="F58" s="535" t="e">
        <f ca="1">gr(calculs!BK58)</f>
        <v>#NAME?</v>
      </c>
      <c r="G58" s="535" t="e">
        <v>#N/A</v>
      </c>
      <c r="H58" s="535" t="e">
        <v>#N/A</v>
      </c>
      <c r="I58" s="535" t="e">
        <v>#N/A</v>
      </c>
      <c r="J58" s="535" t="e">
        <v>#N/A</v>
      </c>
      <c r="K58" s="535" t="e">
        <v>#N/A</v>
      </c>
      <c r="L58" s="523"/>
    </row>
    <row r="59" spans="1:12" x14ac:dyDescent="0.2">
      <c r="A59" s="222">
        <f>calculs!A59</f>
        <v>44610</v>
      </c>
      <c r="B59" s="535" t="e">
        <f ca="1">gr(calculs!BG59)</f>
        <v>#NAME?</v>
      </c>
      <c r="C59" s="535" t="e">
        <f ca="1">gr(calculs!BH59)</f>
        <v>#NAME?</v>
      </c>
      <c r="D59" s="535" t="e">
        <f ca="1">gr(calculs!BI59)</f>
        <v>#NAME?</v>
      </c>
      <c r="E59" s="535" t="e">
        <f ca="1">gr(calculs!BJ59)</f>
        <v>#NAME?</v>
      </c>
      <c r="F59" s="535" t="e">
        <f ca="1">gr(calculs!BK59)</f>
        <v>#NAME?</v>
      </c>
      <c r="G59" s="535" t="e">
        <v>#N/A</v>
      </c>
      <c r="H59" s="535" t="e">
        <v>#N/A</v>
      </c>
      <c r="I59" s="535" t="e">
        <v>#N/A</v>
      </c>
      <c r="J59" s="535" t="e">
        <v>#N/A</v>
      </c>
      <c r="K59" s="535" t="e">
        <v>#N/A</v>
      </c>
      <c r="L59" s="523"/>
    </row>
    <row r="60" spans="1:12" x14ac:dyDescent="0.2">
      <c r="A60" s="222">
        <f>calculs!A60</f>
        <v>44611</v>
      </c>
      <c r="B60" s="535" t="e">
        <f ca="1">gr(calculs!BG60)</f>
        <v>#NAME?</v>
      </c>
      <c r="C60" s="535" t="e">
        <f ca="1">gr(calculs!BH60)</f>
        <v>#NAME?</v>
      </c>
      <c r="D60" s="535" t="e">
        <f ca="1">gr(calculs!BI60)</f>
        <v>#NAME?</v>
      </c>
      <c r="E60" s="535" t="e">
        <f ca="1">gr(calculs!BJ60)</f>
        <v>#NAME?</v>
      </c>
      <c r="F60" s="535" t="e">
        <f ca="1">gr(calculs!BK60)</f>
        <v>#NAME?</v>
      </c>
      <c r="G60" s="535" t="e">
        <v>#N/A</v>
      </c>
      <c r="H60" s="535" t="e">
        <v>#N/A</v>
      </c>
      <c r="I60" s="535" t="e">
        <v>#N/A</v>
      </c>
      <c r="J60" s="535" t="e">
        <v>#N/A</v>
      </c>
      <c r="K60" s="535" t="e">
        <v>#N/A</v>
      </c>
      <c r="L60" s="523"/>
    </row>
    <row r="61" spans="1:12" x14ac:dyDescent="0.2">
      <c r="A61" s="222">
        <f>calculs!A61</f>
        <v>44612</v>
      </c>
      <c r="B61" s="535" t="e">
        <f ca="1">gr(calculs!BG61)</f>
        <v>#NAME?</v>
      </c>
      <c r="C61" s="535" t="e">
        <f ca="1">gr(calculs!BH61)</f>
        <v>#NAME?</v>
      </c>
      <c r="D61" s="535" t="e">
        <f ca="1">gr(calculs!BI61)</f>
        <v>#NAME?</v>
      </c>
      <c r="E61" s="535" t="e">
        <f ca="1">gr(calculs!BJ61)</f>
        <v>#NAME?</v>
      </c>
      <c r="F61" s="535" t="e">
        <f ca="1">gr(calculs!BK61)</f>
        <v>#NAME?</v>
      </c>
      <c r="G61" s="535" t="e">
        <v>#N/A</v>
      </c>
      <c r="H61" s="535" t="e">
        <v>#N/A</v>
      </c>
      <c r="I61" s="535" t="e">
        <v>#N/A</v>
      </c>
      <c r="J61" s="535" t="e">
        <v>#N/A</v>
      </c>
      <c r="K61" s="535" t="e">
        <v>#N/A</v>
      </c>
      <c r="L61" s="523"/>
    </row>
    <row r="62" spans="1:12" x14ac:dyDescent="0.2">
      <c r="A62" s="222">
        <f>calculs!A62</f>
        <v>44613</v>
      </c>
      <c r="B62" s="535" t="e">
        <f ca="1">gr(calculs!BG62)</f>
        <v>#NAME?</v>
      </c>
      <c r="C62" s="535" t="e">
        <f ca="1">gr(calculs!BH62)</f>
        <v>#NAME?</v>
      </c>
      <c r="D62" s="535" t="e">
        <f ca="1">gr(calculs!BI62)</f>
        <v>#NAME?</v>
      </c>
      <c r="E62" s="535" t="e">
        <f ca="1">gr(calculs!BJ62)</f>
        <v>#NAME?</v>
      </c>
      <c r="F62" s="535" t="e">
        <f ca="1">gr(calculs!BK62)</f>
        <v>#NAME?</v>
      </c>
      <c r="G62" s="535" t="e">
        <v>#N/A</v>
      </c>
      <c r="H62" s="535" t="e">
        <v>#N/A</v>
      </c>
      <c r="I62" s="535" t="e">
        <v>#N/A</v>
      </c>
      <c r="J62" s="535" t="e">
        <v>#N/A</v>
      </c>
      <c r="K62" s="535" t="e">
        <v>#N/A</v>
      </c>
      <c r="L62" s="523"/>
    </row>
    <row r="63" spans="1:12" x14ac:dyDescent="0.2">
      <c r="A63" s="222">
        <f>calculs!A63</f>
        <v>44614</v>
      </c>
      <c r="B63" s="535" t="e">
        <f ca="1">gr(calculs!BG63)</f>
        <v>#NAME?</v>
      </c>
      <c r="C63" s="535" t="e">
        <f ca="1">gr(calculs!BH63)</f>
        <v>#NAME?</v>
      </c>
      <c r="D63" s="535" t="e">
        <f ca="1">gr(calculs!BI63)</f>
        <v>#NAME?</v>
      </c>
      <c r="E63" s="535" t="e">
        <f ca="1">gr(calculs!BJ63)</f>
        <v>#NAME?</v>
      </c>
      <c r="F63" s="535" t="e">
        <f ca="1">gr(calculs!BK63)</f>
        <v>#NAME?</v>
      </c>
      <c r="G63" s="535" t="e">
        <v>#N/A</v>
      </c>
      <c r="H63" s="535" t="e">
        <v>#N/A</v>
      </c>
      <c r="I63" s="535" t="e">
        <v>#N/A</v>
      </c>
      <c r="J63" s="535" t="e">
        <v>#N/A</v>
      </c>
      <c r="K63" s="535" t="e">
        <v>#N/A</v>
      </c>
      <c r="L63" s="523"/>
    </row>
    <row r="64" spans="1:12" x14ac:dyDescent="0.2">
      <c r="A64" s="222">
        <f>calculs!A64</f>
        <v>44615</v>
      </c>
      <c r="B64" s="535" t="e">
        <f ca="1">gr(calculs!BG64)</f>
        <v>#NAME?</v>
      </c>
      <c r="C64" s="535" t="e">
        <f ca="1">gr(calculs!BH64)</f>
        <v>#NAME?</v>
      </c>
      <c r="D64" s="535" t="e">
        <f ca="1">gr(calculs!BI64)</f>
        <v>#NAME?</v>
      </c>
      <c r="E64" s="535" t="e">
        <f ca="1">gr(calculs!BJ64)</f>
        <v>#NAME?</v>
      </c>
      <c r="F64" s="535" t="e">
        <f ca="1">gr(calculs!BK64)</f>
        <v>#NAME?</v>
      </c>
      <c r="G64" s="535" t="e">
        <v>#N/A</v>
      </c>
      <c r="H64" s="535" t="e">
        <v>#N/A</v>
      </c>
      <c r="I64" s="535" t="e">
        <v>#N/A</v>
      </c>
      <c r="J64" s="535" t="e">
        <v>#N/A</v>
      </c>
      <c r="K64" s="535" t="e">
        <v>#N/A</v>
      </c>
      <c r="L64" s="523"/>
    </row>
    <row r="65" spans="1:12" x14ac:dyDescent="0.2">
      <c r="A65" s="222">
        <f>calculs!A65</f>
        <v>44616</v>
      </c>
      <c r="B65" s="535" t="e">
        <f ca="1">gr(calculs!BG65)</f>
        <v>#NAME?</v>
      </c>
      <c r="C65" s="535" t="e">
        <f ca="1">gr(calculs!BH65)</f>
        <v>#NAME?</v>
      </c>
      <c r="D65" s="535" t="e">
        <f ca="1">gr(calculs!BI65)</f>
        <v>#NAME?</v>
      </c>
      <c r="E65" s="535" t="e">
        <f ca="1">gr(calculs!BJ65)</f>
        <v>#NAME?</v>
      </c>
      <c r="F65" s="535" t="e">
        <f ca="1">gr(calculs!BK65)</f>
        <v>#NAME?</v>
      </c>
      <c r="G65" s="535" t="e">
        <v>#N/A</v>
      </c>
      <c r="H65" s="535" t="e">
        <v>#N/A</v>
      </c>
      <c r="I65" s="535" t="e">
        <v>#N/A</v>
      </c>
      <c r="J65" s="535" t="e">
        <v>#N/A</v>
      </c>
      <c r="K65" s="535" t="e">
        <v>#N/A</v>
      </c>
      <c r="L65" s="523"/>
    </row>
    <row r="66" spans="1:12" x14ac:dyDescent="0.2">
      <c r="A66" s="222">
        <f>calculs!A66</f>
        <v>44617</v>
      </c>
      <c r="B66" s="535" t="e">
        <f ca="1">gr(calculs!BG66)</f>
        <v>#NAME?</v>
      </c>
      <c r="C66" s="535" t="e">
        <f ca="1">gr(calculs!BH66)</f>
        <v>#NAME?</v>
      </c>
      <c r="D66" s="535" t="e">
        <f ca="1">gr(calculs!BI66)</f>
        <v>#NAME?</v>
      </c>
      <c r="E66" s="535" t="e">
        <f ca="1">gr(calculs!BJ66)</f>
        <v>#NAME?</v>
      </c>
      <c r="F66" s="535" t="e">
        <f ca="1">gr(calculs!BK66)</f>
        <v>#NAME?</v>
      </c>
      <c r="G66" s="535" t="e">
        <v>#N/A</v>
      </c>
      <c r="H66" s="535" t="e">
        <v>#N/A</v>
      </c>
      <c r="I66" s="535" t="e">
        <v>#N/A</v>
      </c>
      <c r="J66" s="535" t="e">
        <v>#N/A</v>
      </c>
      <c r="K66" s="535" t="e">
        <v>#N/A</v>
      </c>
      <c r="L66" s="523"/>
    </row>
    <row r="67" spans="1:12" x14ac:dyDescent="0.2">
      <c r="A67" s="222">
        <f>calculs!A67</f>
        <v>44618</v>
      </c>
      <c r="B67" s="535" t="e">
        <f ca="1">gr(calculs!BG67)</f>
        <v>#NAME?</v>
      </c>
      <c r="C67" s="535" t="e">
        <f ca="1">gr(calculs!BH67)</f>
        <v>#NAME?</v>
      </c>
      <c r="D67" s="535" t="e">
        <f ca="1">gr(calculs!BI67)</f>
        <v>#NAME?</v>
      </c>
      <c r="E67" s="535" t="e">
        <f ca="1">gr(calculs!BJ67)</f>
        <v>#NAME?</v>
      </c>
      <c r="F67" s="535" t="e">
        <f ca="1">gr(calculs!BK67)</f>
        <v>#NAME?</v>
      </c>
      <c r="G67" s="535" t="e">
        <v>#N/A</v>
      </c>
      <c r="H67" s="535" t="e">
        <v>#N/A</v>
      </c>
      <c r="I67" s="535" t="e">
        <v>#N/A</v>
      </c>
      <c r="J67" s="535" t="e">
        <v>#N/A</v>
      </c>
      <c r="K67" s="535" t="e">
        <v>#N/A</v>
      </c>
      <c r="L67" s="523"/>
    </row>
    <row r="68" spans="1:12" x14ac:dyDescent="0.2">
      <c r="A68" s="222">
        <f>calculs!A68</f>
        <v>44619</v>
      </c>
      <c r="B68" s="535" t="e">
        <f ca="1">gr(calculs!BG68)</f>
        <v>#NAME?</v>
      </c>
      <c r="C68" s="535" t="e">
        <f ca="1">gr(calculs!BH68)</f>
        <v>#NAME?</v>
      </c>
      <c r="D68" s="535" t="e">
        <f ca="1">gr(calculs!BI68)</f>
        <v>#NAME?</v>
      </c>
      <c r="E68" s="535" t="e">
        <f ca="1">gr(calculs!BJ68)</f>
        <v>#NAME?</v>
      </c>
      <c r="F68" s="535" t="e">
        <f ca="1">gr(calculs!BK68)</f>
        <v>#NAME?</v>
      </c>
      <c r="G68" s="535" t="e">
        <v>#N/A</v>
      </c>
      <c r="H68" s="535" t="e">
        <v>#N/A</v>
      </c>
      <c r="I68" s="535" t="e">
        <v>#N/A</v>
      </c>
      <c r="J68" s="535" t="e">
        <v>#N/A</v>
      </c>
      <c r="K68" s="535" t="e">
        <v>#N/A</v>
      </c>
      <c r="L68" s="523"/>
    </row>
    <row r="69" spans="1:12" x14ac:dyDescent="0.2">
      <c r="A69" s="222">
        <f>calculs!A69</f>
        <v>44620</v>
      </c>
      <c r="B69" s="535" t="e">
        <f ca="1">gr(calculs!BG69)</f>
        <v>#NAME?</v>
      </c>
      <c r="C69" s="535" t="e">
        <f ca="1">gr(calculs!BH69)</f>
        <v>#NAME?</v>
      </c>
      <c r="D69" s="535" t="e">
        <f ca="1">gr(calculs!BI69)</f>
        <v>#NAME?</v>
      </c>
      <c r="E69" s="535" t="e">
        <f ca="1">gr(calculs!BJ69)</f>
        <v>#NAME?</v>
      </c>
      <c r="F69" s="535" t="e">
        <f ca="1">gr(calculs!BK69)</f>
        <v>#NAME?</v>
      </c>
      <c r="G69" s="535" t="e">
        <v>#N/A</v>
      </c>
      <c r="H69" s="535" t="e">
        <v>#N/A</v>
      </c>
      <c r="I69" s="535" t="e">
        <v>#N/A</v>
      </c>
      <c r="J69" s="535" t="e">
        <v>#N/A</v>
      </c>
      <c r="K69" s="535" t="e">
        <v>#N/A</v>
      </c>
      <c r="L69" s="523"/>
    </row>
    <row r="70" spans="1:12" x14ac:dyDescent="0.2">
      <c r="A70" s="222">
        <f>calculs!A70</f>
        <v>44621</v>
      </c>
      <c r="B70" s="535" t="e">
        <f ca="1">gr(calculs!BG70)</f>
        <v>#NAME?</v>
      </c>
      <c r="C70" s="535" t="e">
        <f ca="1">gr(calculs!BH70)</f>
        <v>#NAME?</v>
      </c>
      <c r="D70" s="535" t="e">
        <f ca="1">gr(calculs!BI70)</f>
        <v>#NAME?</v>
      </c>
      <c r="E70" s="535" t="e">
        <f ca="1">gr(calculs!BJ70)</f>
        <v>#NAME?</v>
      </c>
      <c r="F70" s="535" t="e">
        <f ca="1">gr(calculs!BK70)</f>
        <v>#NAME?</v>
      </c>
      <c r="G70" s="535" t="e">
        <v>#N/A</v>
      </c>
      <c r="H70" s="535" t="e">
        <v>#N/A</v>
      </c>
      <c r="I70" s="535" t="e">
        <v>#N/A</v>
      </c>
      <c r="J70" s="535" t="e">
        <v>#N/A</v>
      </c>
      <c r="K70" s="535" t="e">
        <v>#N/A</v>
      </c>
      <c r="L70" s="523"/>
    </row>
    <row r="71" spans="1:12" x14ac:dyDescent="0.2">
      <c r="A71" s="222">
        <f>calculs!A71</f>
        <v>44622</v>
      </c>
      <c r="B71" s="535" t="e">
        <f ca="1">gr(calculs!BG71)</f>
        <v>#NAME?</v>
      </c>
      <c r="C71" s="535" t="e">
        <f ca="1">gr(calculs!BH71)</f>
        <v>#NAME?</v>
      </c>
      <c r="D71" s="535" t="e">
        <f ca="1">gr(calculs!BI71)</f>
        <v>#NAME?</v>
      </c>
      <c r="E71" s="535" t="e">
        <f ca="1">gr(calculs!BJ71)</f>
        <v>#NAME?</v>
      </c>
      <c r="F71" s="535" t="e">
        <f ca="1">gr(calculs!BK71)</f>
        <v>#NAME?</v>
      </c>
      <c r="G71" s="535" t="e">
        <v>#N/A</v>
      </c>
      <c r="H71" s="535" t="e">
        <v>#N/A</v>
      </c>
      <c r="I71" s="535" t="e">
        <v>#N/A</v>
      </c>
      <c r="J71" s="535" t="e">
        <v>#N/A</v>
      </c>
      <c r="K71" s="535" t="e">
        <v>#N/A</v>
      </c>
      <c r="L71" s="523"/>
    </row>
    <row r="72" spans="1:12" x14ac:dyDescent="0.2">
      <c r="A72" s="222">
        <f>calculs!A72</f>
        <v>44623</v>
      </c>
      <c r="B72" s="535" t="e">
        <f ca="1">gr(calculs!BG72)</f>
        <v>#NAME?</v>
      </c>
      <c r="C72" s="535" t="e">
        <f ca="1">gr(calculs!BH72)</f>
        <v>#NAME?</v>
      </c>
      <c r="D72" s="535" t="e">
        <f ca="1">gr(calculs!BI72)</f>
        <v>#NAME?</v>
      </c>
      <c r="E72" s="535" t="e">
        <f ca="1">gr(calculs!BJ72)</f>
        <v>#NAME?</v>
      </c>
      <c r="F72" s="535" t="e">
        <f ca="1">gr(calculs!BK72)</f>
        <v>#NAME?</v>
      </c>
      <c r="G72" s="535" t="e">
        <v>#N/A</v>
      </c>
      <c r="H72" s="535" t="e">
        <v>#N/A</v>
      </c>
      <c r="I72" s="535" t="e">
        <v>#N/A</v>
      </c>
      <c r="J72" s="535" t="e">
        <v>#N/A</v>
      </c>
      <c r="K72" s="535" t="e">
        <v>#N/A</v>
      </c>
      <c r="L72" s="523"/>
    </row>
    <row r="73" spans="1:12" x14ac:dyDescent="0.2">
      <c r="A73" s="222">
        <f>calculs!A73</f>
        <v>44624</v>
      </c>
      <c r="B73" s="535" t="e">
        <f ca="1">gr(calculs!BG73)</f>
        <v>#NAME?</v>
      </c>
      <c r="C73" s="535" t="e">
        <f ca="1">gr(calculs!BH73)</f>
        <v>#NAME?</v>
      </c>
      <c r="D73" s="535" t="e">
        <f ca="1">gr(calculs!BI73)</f>
        <v>#NAME?</v>
      </c>
      <c r="E73" s="535" t="e">
        <f ca="1">gr(calculs!BJ73)</f>
        <v>#NAME?</v>
      </c>
      <c r="F73" s="535" t="e">
        <f ca="1">gr(calculs!BK73)</f>
        <v>#NAME?</v>
      </c>
      <c r="G73" s="535" t="e">
        <v>#N/A</v>
      </c>
      <c r="H73" s="535" t="e">
        <v>#N/A</v>
      </c>
      <c r="I73" s="535" t="e">
        <v>#N/A</v>
      </c>
      <c r="J73" s="535" t="e">
        <v>#N/A</v>
      </c>
      <c r="K73" s="535" t="e">
        <v>#N/A</v>
      </c>
      <c r="L73" s="523"/>
    </row>
    <row r="74" spans="1:12" x14ac:dyDescent="0.2">
      <c r="A74" s="222">
        <f>calculs!A74</f>
        <v>44625</v>
      </c>
      <c r="B74" s="535" t="e">
        <f ca="1">gr(calculs!BG74)</f>
        <v>#NAME?</v>
      </c>
      <c r="C74" s="535" t="e">
        <f ca="1">gr(calculs!BH74)</f>
        <v>#NAME?</v>
      </c>
      <c r="D74" s="535" t="e">
        <f ca="1">gr(calculs!BI74)</f>
        <v>#NAME?</v>
      </c>
      <c r="E74" s="535" t="e">
        <f ca="1">gr(calculs!BJ74)</f>
        <v>#NAME?</v>
      </c>
      <c r="F74" s="535" t="e">
        <f ca="1">gr(calculs!BK74)</f>
        <v>#NAME?</v>
      </c>
      <c r="G74" s="535" t="e">
        <v>#N/A</v>
      </c>
      <c r="H74" s="535" t="e">
        <v>#N/A</v>
      </c>
      <c r="I74" s="535" t="e">
        <v>#N/A</v>
      </c>
      <c r="J74" s="535" t="e">
        <v>#N/A</v>
      </c>
      <c r="K74" s="535" t="e">
        <v>#N/A</v>
      </c>
      <c r="L74" s="523"/>
    </row>
    <row r="75" spans="1:12" x14ac:dyDescent="0.2">
      <c r="A75" s="222">
        <f>calculs!A75</f>
        <v>44626</v>
      </c>
      <c r="B75" s="535" t="e">
        <f ca="1">gr(calculs!BG75)</f>
        <v>#NAME?</v>
      </c>
      <c r="C75" s="535" t="e">
        <f ca="1">gr(calculs!BH75)</f>
        <v>#NAME?</v>
      </c>
      <c r="D75" s="535" t="e">
        <f ca="1">gr(calculs!BI75)</f>
        <v>#NAME?</v>
      </c>
      <c r="E75" s="535" t="e">
        <f ca="1">gr(calculs!BJ75)</f>
        <v>#NAME?</v>
      </c>
      <c r="F75" s="535" t="e">
        <f ca="1">gr(calculs!BK75)</f>
        <v>#NAME?</v>
      </c>
      <c r="G75" s="535" t="e">
        <v>#N/A</v>
      </c>
      <c r="H75" s="535" t="e">
        <v>#N/A</v>
      </c>
      <c r="I75" s="535" t="e">
        <v>#N/A</v>
      </c>
      <c r="J75" s="535" t="e">
        <v>#N/A</v>
      </c>
      <c r="K75" s="535" t="e">
        <v>#N/A</v>
      </c>
      <c r="L75" s="523"/>
    </row>
    <row r="76" spans="1:12" x14ac:dyDescent="0.2">
      <c r="A76" s="222">
        <f>calculs!A76</f>
        <v>44627</v>
      </c>
      <c r="B76" s="535" t="e">
        <f ca="1">gr(calculs!BG76)</f>
        <v>#NAME?</v>
      </c>
      <c r="C76" s="535" t="e">
        <f ca="1">gr(calculs!BH76)</f>
        <v>#NAME?</v>
      </c>
      <c r="D76" s="535" t="e">
        <f ca="1">gr(calculs!BI76)</f>
        <v>#NAME?</v>
      </c>
      <c r="E76" s="535" t="e">
        <f ca="1">gr(calculs!BJ76)</f>
        <v>#NAME?</v>
      </c>
      <c r="F76" s="535" t="e">
        <f ca="1">gr(calculs!BK76)</f>
        <v>#NAME?</v>
      </c>
      <c r="G76" s="535" t="e">
        <v>#N/A</v>
      </c>
      <c r="H76" s="535" t="e">
        <v>#N/A</v>
      </c>
      <c r="I76" s="535" t="e">
        <v>#N/A</v>
      </c>
      <c r="J76" s="535" t="e">
        <v>#N/A</v>
      </c>
      <c r="K76" s="535" t="e">
        <v>#N/A</v>
      </c>
      <c r="L76" s="523"/>
    </row>
    <row r="77" spans="1:12" x14ac:dyDescent="0.2">
      <c r="A77" s="222">
        <f>calculs!A77</f>
        <v>44628</v>
      </c>
      <c r="B77" s="535" t="e">
        <f ca="1">gr(calculs!BG77)</f>
        <v>#NAME?</v>
      </c>
      <c r="C77" s="535" t="e">
        <f ca="1">gr(calculs!BH77)</f>
        <v>#NAME?</v>
      </c>
      <c r="D77" s="535" t="e">
        <f ca="1">gr(calculs!BI77)</f>
        <v>#NAME?</v>
      </c>
      <c r="E77" s="535" t="e">
        <f ca="1">gr(calculs!BJ77)</f>
        <v>#NAME?</v>
      </c>
      <c r="F77" s="535" t="e">
        <f ca="1">gr(calculs!BK77)</f>
        <v>#NAME?</v>
      </c>
      <c r="G77" s="535" t="e">
        <v>#N/A</v>
      </c>
      <c r="H77" s="535" t="e">
        <v>#N/A</v>
      </c>
      <c r="I77" s="535" t="e">
        <v>#N/A</v>
      </c>
      <c r="J77" s="535" t="e">
        <v>#N/A</v>
      </c>
      <c r="K77" s="535" t="e">
        <v>#N/A</v>
      </c>
      <c r="L77" s="523"/>
    </row>
    <row r="78" spans="1:12" x14ac:dyDescent="0.2">
      <c r="A78" s="222">
        <f>calculs!A78</f>
        <v>44629</v>
      </c>
      <c r="B78" s="535" t="e">
        <f ca="1">gr(calculs!BG78)</f>
        <v>#NAME?</v>
      </c>
      <c r="C78" s="535" t="e">
        <f ca="1">gr(calculs!BH78)</f>
        <v>#NAME?</v>
      </c>
      <c r="D78" s="535" t="e">
        <f ca="1">gr(calculs!BI78)</f>
        <v>#NAME?</v>
      </c>
      <c r="E78" s="535" t="e">
        <f ca="1">gr(calculs!BJ78)</f>
        <v>#NAME?</v>
      </c>
      <c r="F78" s="535" t="e">
        <f ca="1">gr(calculs!BK78)</f>
        <v>#NAME?</v>
      </c>
      <c r="G78" s="535" t="e">
        <v>#N/A</v>
      </c>
      <c r="H78" s="535" t="e">
        <v>#N/A</v>
      </c>
      <c r="I78" s="535" t="e">
        <v>#N/A</v>
      </c>
      <c r="J78" s="535" t="e">
        <v>#N/A</v>
      </c>
      <c r="K78" s="535" t="e">
        <v>#N/A</v>
      </c>
      <c r="L78" s="523"/>
    </row>
    <row r="79" spans="1:12" x14ac:dyDescent="0.2">
      <c r="A79" s="222">
        <f>calculs!A79</f>
        <v>44630</v>
      </c>
      <c r="B79" s="535" t="e">
        <f ca="1">gr(calculs!BG79)</f>
        <v>#NAME?</v>
      </c>
      <c r="C79" s="535" t="e">
        <f ca="1">gr(calculs!BH79)</f>
        <v>#NAME?</v>
      </c>
      <c r="D79" s="535" t="e">
        <f ca="1">gr(calculs!BI79)</f>
        <v>#NAME?</v>
      </c>
      <c r="E79" s="535" t="e">
        <f ca="1">gr(calculs!BJ79)</f>
        <v>#NAME?</v>
      </c>
      <c r="F79" s="535" t="e">
        <f ca="1">gr(calculs!BK79)</f>
        <v>#NAME?</v>
      </c>
      <c r="G79" s="535" t="e">
        <v>#N/A</v>
      </c>
      <c r="H79" s="535" t="e">
        <v>#N/A</v>
      </c>
      <c r="I79" s="535" t="e">
        <v>#N/A</v>
      </c>
      <c r="J79" s="535" t="e">
        <v>#N/A</v>
      </c>
      <c r="K79" s="535" t="e">
        <v>#N/A</v>
      </c>
      <c r="L79" s="523"/>
    </row>
    <row r="80" spans="1:12" x14ac:dyDescent="0.2">
      <c r="A80" s="222">
        <f>calculs!A80</f>
        <v>44631</v>
      </c>
      <c r="B80" s="535" t="e">
        <f ca="1">gr(calculs!BG80)</f>
        <v>#NAME?</v>
      </c>
      <c r="C80" s="535" t="e">
        <f ca="1">gr(calculs!BH80)</f>
        <v>#NAME?</v>
      </c>
      <c r="D80" s="535" t="e">
        <f ca="1">gr(calculs!BI80)</f>
        <v>#NAME?</v>
      </c>
      <c r="E80" s="535" t="e">
        <f ca="1">gr(calculs!BJ80)</f>
        <v>#NAME?</v>
      </c>
      <c r="F80" s="535" t="e">
        <f ca="1">gr(calculs!BK80)</f>
        <v>#NAME?</v>
      </c>
      <c r="G80" s="535" t="e">
        <v>#N/A</v>
      </c>
      <c r="H80" s="535" t="e">
        <v>#N/A</v>
      </c>
      <c r="I80" s="535" t="e">
        <v>#N/A</v>
      </c>
      <c r="J80" s="535" t="e">
        <v>#N/A</v>
      </c>
      <c r="K80" s="535" t="e">
        <v>#N/A</v>
      </c>
      <c r="L80" s="523"/>
    </row>
    <row r="81" spans="1:12" x14ac:dyDescent="0.2">
      <c r="A81" s="222">
        <f>calculs!A81</f>
        <v>44632</v>
      </c>
      <c r="B81" s="535" t="e">
        <f ca="1">gr(calculs!BG81)</f>
        <v>#NAME?</v>
      </c>
      <c r="C81" s="535" t="e">
        <f ca="1">gr(calculs!BH81)</f>
        <v>#NAME?</v>
      </c>
      <c r="D81" s="535" t="e">
        <f ca="1">gr(calculs!BI81)</f>
        <v>#NAME?</v>
      </c>
      <c r="E81" s="535" t="e">
        <f ca="1">gr(calculs!BJ81)</f>
        <v>#NAME?</v>
      </c>
      <c r="F81" s="535" t="e">
        <f ca="1">gr(calculs!BK81)</f>
        <v>#NAME?</v>
      </c>
      <c r="G81" s="535" t="e">
        <v>#N/A</v>
      </c>
      <c r="H81" s="535" t="e">
        <v>#N/A</v>
      </c>
      <c r="I81" s="535" t="e">
        <v>#N/A</v>
      </c>
      <c r="J81" s="535" t="e">
        <v>#N/A</v>
      </c>
      <c r="K81" s="535" t="e">
        <v>#N/A</v>
      </c>
      <c r="L81" s="523"/>
    </row>
    <row r="82" spans="1:12" x14ac:dyDescent="0.2">
      <c r="A82" s="222">
        <f>calculs!A82</f>
        <v>44633</v>
      </c>
      <c r="B82" s="535" t="e">
        <f ca="1">gr(calculs!BG82)</f>
        <v>#NAME?</v>
      </c>
      <c r="C82" s="535" t="e">
        <f ca="1">gr(calculs!BH82)</f>
        <v>#NAME?</v>
      </c>
      <c r="D82" s="535" t="e">
        <f ca="1">gr(calculs!BI82)</f>
        <v>#NAME?</v>
      </c>
      <c r="E82" s="535" t="e">
        <f ca="1">gr(calculs!BJ82)</f>
        <v>#NAME?</v>
      </c>
      <c r="F82" s="535" t="e">
        <f ca="1">gr(calculs!BK82)</f>
        <v>#NAME?</v>
      </c>
      <c r="G82" s="535" t="e">
        <v>#N/A</v>
      </c>
      <c r="H82" s="535" t="e">
        <v>#N/A</v>
      </c>
      <c r="I82" s="535" t="e">
        <v>#N/A</v>
      </c>
      <c r="J82" s="535" t="e">
        <v>#N/A</v>
      </c>
      <c r="K82" s="535" t="e">
        <v>#N/A</v>
      </c>
      <c r="L82" s="523"/>
    </row>
    <row r="83" spans="1:12" x14ac:dyDescent="0.2">
      <c r="A83" s="222">
        <f>calculs!A83</f>
        <v>44634</v>
      </c>
      <c r="B83" s="535" t="e">
        <f ca="1">gr(calculs!BG83)</f>
        <v>#NAME?</v>
      </c>
      <c r="C83" s="535" t="e">
        <f ca="1">gr(calculs!BH83)</f>
        <v>#NAME?</v>
      </c>
      <c r="D83" s="535" t="e">
        <f ca="1">gr(calculs!BI83)</f>
        <v>#NAME?</v>
      </c>
      <c r="E83" s="535" t="e">
        <f ca="1">gr(calculs!BJ83)</f>
        <v>#NAME?</v>
      </c>
      <c r="F83" s="535" t="e">
        <f ca="1">gr(calculs!BK83)</f>
        <v>#NAME?</v>
      </c>
      <c r="G83" s="535" t="e">
        <v>#N/A</v>
      </c>
      <c r="H83" s="535" t="e">
        <v>#N/A</v>
      </c>
      <c r="I83" s="535" t="e">
        <v>#N/A</v>
      </c>
      <c r="J83" s="535" t="e">
        <v>#N/A</v>
      </c>
      <c r="K83" s="535" t="e">
        <v>#N/A</v>
      </c>
      <c r="L83" s="523"/>
    </row>
    <row r="84" spans="1:12" x14ac:dyDescent="0.2">
      <c r="A84" s="222">
        <f>calculs!A84</f>
        <v>44635</v>
      </c>
      <c r="B84" s="535" t="e">
        <f ca="1">gr(calculs!BG84)</f>
        <v>#NAME?</v>
      </c>
      <c r="C84" s="535" t="e">
        <f ca="1">gr(calculs!BH84)</f>
        <v>#NAME?</v>
      </c>
      <c r="D84" s="535" t="e">
        <f ca="1">gr(calculs!BI84)</f>
        <v>#NAME?</v>
      </c>
      <c r="E84" s="535" t="e">
        <f ca="1">gr(calculs!BJ84)</f>
        <v>#NAME?</v>
      </c>
      <c r="F84" s="535" t="e">
        <f ca="1">gr(calculs!BK84)</f>
        <v>#NAME?</v>
      </c>
      <c r="G84" s="535" t="e">
        <v>#N/A</v>
      </c>
      <c r="H84" s="535" t="e">
        <v>#N/A</v>
      </c>
      <c r="I84" s="535" t="e">
        <v>#N/A</v>
      </c>
      <c r="J84" s="535" t="e">
        <v>#N/A</v>
      </c>
      <c r="K84" s="535" t="e">
        <v>#N/A</v>
      </c>
      <c r="L84" s="523"/>
    </row>
    <row r="85" spans="1:12" x14ac:dyDescent="0.2">
      <c r="A85" s="222">
        <f>calculs!A85</f>
        <v>44636</v>
      </c>
      <c r="B85" s="535" t="e">
        <f ca="1">gr(calculs!BG85)</f>
        <v>#NAME?</v>
      </c>
      <c r="C85" s="535" t="e">
        <f ca="1">gr(calculs!BH85)</f>
        <v>#NAME?</v>
      </c>
      <c r="D85" s="535" t="e">
        <f ca="1">gr(calculs!BI85)</f>
        <v>#NAME?</v>
      </c>
      <c r="E85" s="535" t="e">
        <f ca="1">gr(calculs!BJ85)</f>
        <v>#NAME?</v>
      </c>
      <c r="F85" s="535" t="e">
        <f ca="1">gr(calculs!BK85)</f>
        <v>#NAME?</v>
      </c>
      <c r="G85" s="535" t="e">
        <v>#N/A</v>
      </c>
      <c r="H85" s="535" t="e">
        <v>#N/A</v>
      </c>
      <c r="I85" s="535" t="e">
        <v>#N/A</v>
      </c>
      <c r="J85" s="535" t="e">
        <v>#N/A</v>
      </c>
      <c r="K85" s="535" t="e">
        <v>#N/A</v>
      </c>
      <c r="L85" s="523"/>
    </row>
    <row r="86" spans="1:12" x14ac:dyDescent="0.2">
      <c r="A86" s="222">
        <f>calculs!A86</f>
        <v>44637</v>
      </c>
      <c r="B86" s="535" t="e">
        <f ca="1">gr(calculs!BG86)</f>
        <v>#NAME?</v>
      </c>
      <c r="C86" s="535" t="e">
        <f ca="1">gr(calculs!BH86)</f>
        <v>#NAME?</v>
      </c>
      <c r="D86" s="535" t="e">
        <f ca="1">gr(calculs!BI86)</f>
        <v>#NAME?</v>
      </c>
      <c r="E86" s="535" t="e">
        <f ca="1">gr(calculs!BJ86)</f>
        <v>#NAME?</v>
      </c>
      <c r="F86" s="535" t="e">
        <f ca="1">gr(calculs!BK86)</f>
        <v>#NAME?</v>
      </c>
      <c r="G86" s="535" t="e">
        <v>#N/A</v>
      </c>
      <c r="H86" s="535" t="e">
        <v>#N/A</v>
      </c>
      <c r="I86" s="535" t="e">
        <v>#N/A</v>
      </c>
      <c r="J86" s="535" t="e">
        <v>#N/A</v>
      </c>
      <c r="K86" s="535" t="e">
        <v>#N/A</v>
      </c>
      <c r="L86" s="523"/>
    </row>
    <row r="87" spans="1:12" x14ac:dyDescent="0.2">
      <c r="A87" s="222">
        <f>calculs!A87</f>
        <v>44638</v>
      </c>
      <c r="B87" s="535" t="e">
        <f ca="1">gr(calculs!BG87)</f>
        <v>#NAME?</v>
      </c>
      <c r="C87" s="535" t="e">
        <f ca="1">gr(calculs!BH87)</f>
        <v>#NAME?</v>
      </c>
      <c r="D87" s="535" t="e">
        <f ca="1">gr(calculs!BI87)</f>
        <v>#NAME?</v>
      </c>
      <c r="E87" s="535" t="e">
        <f ca="1">gr(calculs!BJ87)</f>
        <v>#NAME?</v>
      </c>
      <c r="F87" s="535" t="e">
        <f ca="1">gr(calculs!BK87)</f>
        <v>#NAME?</v>
      </c>
      <c r="G87" s="535" t="e">
        <v>#N/A</v>
      </c>
      <c r="H87" s="535" t="e">
        <v>#N/A</v>
      </c>
      <c r="I87" s="535" t="e">
        <v>#N/A</v>
      </c>
      <c r="J87" s="535" t="e">
        <v>#N/A</v>
      </c>
      <c r="K87" s="535" t="e">
        <v>#N/A</v>
      </c>
      <c r="L87" s="523"/>
    </row>
    <row r="88" spans="1:12" x14ac:dyDescent="0.2">
      <c r="A88" s="222">
        <f>calculs!A88</f>
        <v>44639</v>
      </c>
      <c r="B88" s="535" t="e">
        <f ca="1">gr(calculs!BG88)</f>
        <v>#NAME?</v>
      </c>
      <c r="C88" s="535" t="e">
        <f ca="1">gr(calculs!BH88)</f>
        <v>#NAME?</v>
      </c>
      <c r="D88" s="535" t="e">
        <f ca="1">gr(calculs!BI88)</f>
        <v>#NAME?</v>
      </c>
      <c r="E88" s="535" t="e">
        <f ca="1">gr(calculs!BJ88)</f>
        <v>#NAME?</v>
      </c>
      <c r="F88" s="535" t="e">
        <f ca="1">gr(calculs!BK88)</f>
        <v>#NAME?</v>
      </c>
      <c r="G88" s="535" t="e">
        <v>#N/A</v>
      </c>
      <c r="H88" s="535" t="e">
        <v>#N/A</v>
      </c>
      <c r="I88" s="535" t="e">
        <v>#N/A</v>
      </c>
      <c r="J88" s="535" t="e">
        <v>#N/A</v>
      </c>
      <c r="K88" s="535" t="e">
        <v>#N/A</v>
      </c>
      <c r="L88" s="523"/>
    </row>
    <row r="89" spans="1:12" x14ac:dyDescent="0.2">
      <c r="A89" s="222">
        <f>calculs!A89</f>
        <v>44640</v>
      </c>
      <c r="B89" s="535" t="e">
        <f ca="1">gr(calculs!BG89)</f>
        <v>#NAME?</v>
      </c>
      <c r="C89" s="535" t="e">
        <f ca="1">gr(calculs!BH89)</f>
        <v>#NAME?</v>
      </c>
      <c r="D89" s="535" t="e">
        <f ca="1">gr(calculs!BI89)</f>
        <v>#NAME?</v>
      </c>
      <c r="E89" s="535" t="e">
        <f ca="1">gr(calculs!BJ89)</f>
        <v>#NAME?</v>
      </c>
      <c r="F89" s="535" t="e">
        <f ca="1">gr(calculs!BK89)</f>
        <v>#NAME?</v>
      </c>
      <c r="G89" s="535" t="e">
        <v>#N/A</v>
      </c>
      <c r="H89" s="535" t="e">
        <v>#N/A</v>
      </c>
      <c r="I89" s="535" t="e">
        <v>#N/A</v>
      </c>
      <c r="J89" s="535" t="e">
        <v>#N/A</v>
      </c>
      <c r="K89" s="535" t="e">
        <v>#N/A</v>
      </c>
      <c r="L89" s="523"/>
    </row>
    <row r="90" spans="1:12" x14ac:dyDescent="0.2">
      <c r="A90" s="222">
        <f>calculs!A90</f>
        <v>44641</v>
      </c>
      <c r="B90" s="535" t="e">
        <f ca="1">gr(calculs!BG90)</f>
        <v>#NAME?</v>
      </c>
      <c r="C90" s="535" t="e">
        <f ca="1">gr(calculs!BH90)</f>
        <v>#NAME?</v>
      </c>
      <c r="D90" s="535" t="e">
        <f ca="1">gr(calculs!BI90)</f>
        <v>#NAME?</v>
      </c>
      <c r="E90" s="535" t="e">
        <f ca="1">gr(calculs!BJ90)</f>
        <v>#NAME?</v>
      </c>
      <c r="F90" s="535" t="e">
        <f ca="1">gr(calculs!BK90)</f>
        <v>#NAME?</v>
      </c>
      <c r="G90" s="535" t="e">
        <v>#N/A</v>
      </c>
      <c r="H90" s="535" t="e">
        <v>#N/A</v>
      </c>
      <c r="I90" s="535" t="e">
        <v>#N/A</v>
      </c>
      <c r="J90" s="535" t="e">
        <v>#N/A</v>
      </c>
      <c r="K90" s="535" t="e">
        <v>#N/A</v>
      </c>
      <c r="L90" s="523"/>
    </row>
    <row r="91" spans="1:12" x14ac:dyDescent="0.2">
      <c r="A91" s="222">
        <f>calculs!A91</f>
        <v>44642</v>
      </c>
      <c r="B91" s="535" t="e">
        <f ca="1">gr(calculs!BG91)</f>
        <v>#NAME?</v>
      </c>
      <c r="C91" s="535" t="e">
        <f ca="1">gr(calculs!BH91)</f>
        <v>#NAME?</v>
      </c>
      <c r="D91" s="535" t="e">
        <f ca="1">gr(calculs!BI91)</f>
        <v>#NAME?</v>
      </c>
      <c r="E91" s="535" t="e">
        <f ca="1">gr(calculs!BJ91)</f>
        <v>#NAME?</v>
      </c>
      <c r="F91" s="535" t="e">
        <f ca="1">gr(calculs!BK91)</f>
        <v>#NAME?</v>
      </c>
      <c r="G91" s="535" t="e">
        <v>#N/A</v>
      </c>
      <c r="H91" s="535" t="e">
        <v>#N/A</v>
      </c>
      <c r="I91" s="535" t="e">
        <v>#N/A</v>
      </c>
      <c r="J91" s="535" t="e">
        <v>#N/A</v>
      </c>
      <c r="K91" s="535" t="e">
        <v>#N/A</v>
      </c>
      <c r="L91" s="523"/>
    </row>
    <row r="92" spans="1:12" x14ac:dyDescent="0.2">
      <c r="A92" s="222">
        <f>calculs!A92</f>
        <v>44643</v>
      </c>
      <c r="B92" s="535" t="e">
        <f ca="1">gr(calculs!BG92)</f>
        <v>#NAME?</v>
      </c>
      <c r="C92" s="535" t="e">
        <f ca="1">gr(calculs!BH92)</f>
        <v>#NAME?</v>
      </c>
      <c r="D92" s="535" t="e">
        <f ca="1">gr(calculs!BI92)</f>
        <v>#NAME?</v>
      </c>
      <c r="E92" s="535" t="e">
        <f ca="1">gr(calculs!BJ92)</f>
        <v>#NAME?</v>
      </c>
      <c r="F92" s="535" t="e">
        <f ca="1">gr(calculs!BK92)</f>
        <v>#NAME?</v>
      </c>
      <c r="G92" s="535" t="e">
        <v>#N/A</v>
      </c>
      <c r="H92" s="535" t="e">
        <v>#N/A</v>
      </c>
      <c r="I92" s="535" t="e">
        <v>#N/A</v>
      </c>
      <c r="J92" s="535" t="e">
        <v>#N/A</v>
      </c>
      <c r="K92" s="535" t="e">
        <v>#N/A</v>
      </c>
      <c r="L92" s="523"/>
    </row>
    <row r="93" spans="1:12" x14ac:dyDescent="0.2">
      <c r="A93" s="222">
        <f>calculs!A93</f>
        <v>44644</v>
      </c>
      <c r="B93" s="535" t="e">
        <f ca="1">gr(calculs!BG93)</f>
        <v>#NAME?</v>
      </c>
      <c r="C93" s="535" t="e">
        <f ca="1">gr(calculs!BH93)</f>
        <v>#NAME?</v>
      </c>
      <c r="D93" s="535" t="e">
        <f ca="1">gr(calculs!BI93)</f>
        <v>#NAME?</v>
      </c>
      <c r="E93" s="535" t="e">
        <f ca="1">gr(calculs!BJ93)</f>
        <v>#NAME?</v>
      </c>
      <c r="F93" s="535" t="e">
        <f ca="1">gr(calculs!BK93)</f>
        <v>#NAME?</v>
      </c>
      <c r="G93" s="535" t="e">
        <v>#N/A</v>
      </c>
      <c r="H93" s="535" t="e">
        <v>#N/A</v>
      </c>
      <c r="I93" s="535" t="e">
        <v>#N/A</v>
      </c>
      <c r="J93" s="535" t="e">
        <v>#N/A</v>
      </c>
      <c r="K93" s="535" t="e">
        <v>#N/A</v>
      </c>
      <c r="L93" s="523"/>
    </row>
    <row r="94" spans="1:12" x14ac:dyDescent="0.2">
      <c r="A94" s="222">
        <f>calculs!A94</f>
        <v>44645</v>
      </c>
      <c r="B94" s="535" t="e">
        <f ca="1">gr(calculs!BG94)</f>
        <v>#NAME?</v>
      </c>
      <c r="C94" s="535" t="e">
        <f ca="1">gr(calculs!BH94)</f>
        <v>#NAME?</v>
      </c>
      <c r="D94" s="535" t="e">
        <f ca="1">gr(calculs!BI94)</f>
        <v>#NAME?</v>
      </c>
      <c r="E94" s="535" t="e">
        <f ca="1">gr(calculs!BJ94)</f>
        <v>#NAME?</v>
      </c>
      <c r="F94" s="535" t="e">
        <f ca="1">gr(calculs!BK94)</f>
        <v>#NAME?</v>
      </c>
      <c r="G94" s="535" t="e">
        <v>#N/A</v>
      </c>
      <c r="H94" s="535" t="e">
        <v>#N/A</v>
      </c>
      <c r="I94" s="535" t="e">
        <v>#N/A</v>
      </c>
      <c r="J94" s="535" t="e">
        <v>#N/A</v>
      </c>
      <c r="K94" s="535" t="e">
        <v>#N/A</v>
      </c>
      <c r="L94" s="523"/>
    </row>
    <row r="95" spans="1:12" x14ac:dyDescent="0.2">
      <c r="A95" s="222">
        <f>calculs!A95</f>
        <v>44646</v>
      </c>
      <c r="B95" s="535" t="e">
        <f ca="1">gr(calculs!BG95)</f>
        <v>#NAME?</v>
      </c>
      <c r="C95" s="535" t="e">
        <f ca="1">gr(calculs!BH95)</f>
        <v>#NAME?</v>
      </c>
      <c r="D95" s="535" t="e">
        <f ca="1">gr(calculs!BI95)</f>
        <v>#NAME?</v>
      </c>
      <c r="E95" s="535" t="e">
        <f ca="1">gr(calculs!BJ95)</f>
        <v>#NAME?</v>
      </c>
      <c r="F95" s="535" t="e">
        <f ca="1">gr(calculs!BK95)</f>
        <v>#NAME?</v>
      </c>
      <c r="G95" s="535" t="e">
        <v>#N/A</v>
      </c>
      <c r="H95" s="535" t="e">
        <v>#N/A</v>
      </c>
      <c r="I95" s="535" t="e">
        <v>#N/A</v>
      </c>
      <c r="J95" s="535" t="e">
        <v>#N/A</v>
      </c>
      <c r="K95" s="535" t="e">
        <v>#N/A</v>
      </c>
      <c r="L95" s="523"/>
    </row>
    <row r="96" spans="1:12" x14ac:dyDescent="0.2">
      <c r="A96" s="222">
        <f>calculs!A96</f>
        <v>44647</v>
      </c>
      <c r="B96" s="535" t="e">
        <f ca="1">gr(calculs!BG96)</f>
        <v>#NAME?</v>
      </c>
      <c r="C96" s="535" t="e">
        <f ca="1">gr(calculs!BH96)</f>
        <v>#NAME?</v>
      </c>
      <c r="D96" s="535" t="e">
        <f ca="1">gr(calculs!BI96)</f>
        <v>#NAME?</v>
      </c>
      <c r="E96" s="535" t="e">
        <f ca="1">gr(calculs!BJ96)</f>
        <v>#NAME?</v>
      </c>
      <c r="F96" s="535" t="e">
        <f ca="1">gr(calculs!BK96)</f>
        <v>#NAME?</v>
      </c>
      <c r="G96" s="535" t="e">
        <v>#N/A</v>
      </c>
      <c r="H96" s="535" t="e">
        <v>#N/A</v>
      </c>
      <c r="I96" s="535" t="e">
        <v>#N/A</v>
      </c>
      <c r="J96" s="535" t="e">
        <v>#N/A</v>
      </c>
      <c r="K96" s="535" t="e">
        <v>#N/A</v>
      </c>
      <c r="L96" s="523"/>
    </row>
    <row r="97" spans="1:12" x14ac:dyDescent="0.2">
      <c r="A97" s="222">
        <f>calculs!A97</f>
        <v>44648</v>
      </c>
      <c r="B97" s="535" t="e">
        <f ca="1">gr(calculs!BG97)</f>
        <v>#NAME?</v>
      </c>
      <c r="C97" s="535" t="e">
        <f ca="1">gr(calculs!BH97)</f>
        <v>#NAME?</v>
      </c>
      <c r="D97" s="535" t="e">
        <f ca="1">gr(calculs!BI97)</f>
        <v>#NAME?</v>
      </c>
      <c r="E97" s="535" t="e">
        <f ca="1">gr(calculs!BJ97)</f>
        <v>#NAME?</v>
      </c>
      <c r="F97" s="535" t="e">
        <f ca="1">gr(calculs!BK97)</f>
        <v>#NAME?</v>
      </c>
      <c r="G97" s="535" t="e">
        <v>#N/A</v>
      </c>
      <c r="H97" s="535" t="e">
        <v>#N/A</v>
      </c>
      <c r="I97" s="535" t="e">
        <v>#N/A</v>
      </c>
      <c r="J97" s="535" t="e">
        <v>#N/A</v>
      </c>
      <c r="K97" s="535" t="e">
        <v>#N/A</v>
      </c>
      <c r="L97" s="523"/>
    </row>
    <row r="98" spans="1:12" x14ac:dyDescent="0.2">
      <c r="A98" s="222">
        <f>calculs!A98</f>
        <v>44649</v>
      </c>
      <c r="B98" s="535" t="e">
        <f ca="1">gr(calculs!BG98)</f>
        <v>#NAME?</v>
      </c>
      <c r="C98" s="535" t="e">
        <f ca="1">gr(calculs!BH98)</f>
        <v>#NAME?</v>
      </c>
      <c r="D98" s="535" t="e">
        <f ca="1">gr(calculs!BI98)</f>
        <v>#NAME?</v>
      </c>
      <c r="E98" s="535" t="e">
        <f ca="1">gr(calculs!BJ98)</f>
        <v>#NAME?</v>
      </c>
      <c r="F98" s="535" t="e">
        <f ca="1">gr(calculs!BK98)</f>
        <v>#NAME?</v>
      </c>
      <c r="G98" s="535" t="e">
        <v>#N/A</v>
      </c>
      <c r="H98" s="535" t="e">
        <v>#N/A</v>
      </c>
      <c r="I98" s="535" t="e">
        <v>#N/A</v>
      </c>
      <c r="J98" s="535" t="e">
        <v>#N/A</v>
      </c>
      <c r="K98" s="535" t="e">
        <v>#N/A</v>
      </c>
      <c r="L98" s="523"/>
    </row>
    <row r="99" spans="1:12" x14ac:dyDescent="0.2">
      <c r="A99" s="222">
        <f>calculs!A99</f>
        <v>44650</v>
      </c>
      <c r="B99" s="535" t="e">
        <f ca="1">gr(calculs!BG99)</f>
        <v>#NAME?</v>
      </c>
      <c r="C99" s="535" t="e">
        <f ca="1">gr(calculs!BH99)</f>
        <v>#NAME?</v>
      </c>
      <c r="D99" s="535" t="e">
        <f ca="1">gr(calculs!BI99)</f>
        <v>#NAME?</v>
      </c>
      <c r="E99" s="535" t="e">
        <f ca="1">gr(calculs!BJ99)</f>
        <v>#NAME?</v>
      </c>
      <c r="F99" s="535" t="e">
        <f ca="1">gr(calculs!BK99)</f>
        <v>#NAME?</v>
      </c>
      <c r="G99" s="535" t="e">
        <v>#N/A</v>
      </c>
      <c r="H99" s="535" t="e">
        <v>#N/A</v>
      </c>
      <c r="I99" s="535" t="e">
        <v>#N/A</v>
      </c>
      <c r="J99" s="535" t="e">
        <v>#N/A</v>
      </c>
      <c r="K99" s="535" t="e">
        <v>#N/A</v>
      </c>
      <c r="L99" s="523"/>
    </row>
    <row r="100" spans="1:12" x14ac:dyDescent="0.2">
      <c r="A100" s="222">
        <f>calculs!A100</f>
        <v>44651</v>
      </c>
      <c r="B100" s="535" t="e">
        <f ca="1">gr(calculs!BG100)</f>
        <v>#NAME?</v>
      </c>
      <c r="C100" s="535" t="e">
        <f ca="1">gr(calculs!BH100)</f>
        <v>#NAME?</v>
      </c>
      <c r="D100" s="535" t="e">
        <f ca="1">gr(calculs!BI100)</f>
        <v>#NAME?</v>
      </c>
      <c r="E100" s="535" t="e">
        <f ca="1">gr(calculs!BJ100)</f>
        <v>#NAME?</v>
      </c>
      <c r="F100" s="535" t="e">
        <f ca="1">gr(calculs!BK100)</f>
        <v>#NAME?</v>
      </c>
      <c r="G100" s="535" t="e">
        <v>#N/A</v>
      </c>
      <c r="H100" s="535" t="e">
        <v>#N/A</v>
      </c>
      <c r="I100" s="535" t="e">
        <v>#N/A</v>
      </c>
      <c r="J100" s="535" t="e">
        <v>#N/A</v>
      </c>
      <c r="K100" s="535" t="e">
        <v>#N/A</v>
      </c>
      <c r="L100" s="523"/>
    </row>
    <row r="101" spans="1:12" x14ac:dyDescent="0.2">
      <c r="A101" s="222">
        <f>calculs!A101</f>
        <v>44652</v>
      </c>
      <c r="B101" s="535" t="e">
        <f ca="1">gr(calculs!BG101)</f>
        <v>#NAME?</v>
      </c>
      <c r="C101" s="535" t="e">
        <f ca="1">gr(calculs!BH101)</f>
        <v>#NAME?</v>
      </c>
      <c r="D101" s="535" t="e">
        <f ca="1">gr(calculs!BI101)</f>
        <v>#NAME?</v>
      </c>
      <c r="E101" s="535" t="e">
        <f ca="1">gr(calculs!BJ101)</f>
        <v>#NAME?</v>
      </c>
      <c r="F101" s="535" t="e">
        <f ca="1">gr(calculs!BK101)</f>
        <v>#NAME?</v>
      </c>
      <c r="G101" s="535" t="e">
        <v>#N/A</v>
      </c>
      <c r="H101" s="535" t="e">
        <v>#N/A</v>
      </c>
      <c r="I101" s="535" t="e">
        <v>#N/A</v>
      </c>
      <c r="J101" s="535" t="e">
        <v>#N/A</v>
      </c>
      <c r="K101" s="535" t="e">
        <v>#N/A</v>
      </c>
      <c r="L101" s="523"/>
    </row>
    <row r="102" spans="1:12" x14ac:dyDescent="0.2">
      <c r="A102" s="222">
        <f>calculs!A102</f>
        <v>44653</v>
      </c>
      <c r="B102" s="535" t="e">
        <f ca="1">gr(calculs!BG102)</f>
        <v>#NAME?</v>
      </c>
      <c r="C102" s="535" t="e">
        <f ca="1">gr(calculs!BH102)</f>
        <v>#NAME?</v>
      </c>
      <c r="D102" s="535" t="e">
        <f ca="1">gr(calculs!BI102)</f>
        <v>#NAME?</v>
      </c>
      <c r="E102" s="535" t="e">
        <f ca="1">gr(calculs!BJ102)</f>
        <v>#NAME?</v>
      </c>
      <c r="F102" s="535" t="e">
        <f ca="1">gr(calculs!BK102)</f>
        <v>#NAME?</v>
      </c>
      <c r="G102" s="535" t="e">
        <v>#N/A</v>
      </c>
      <c r="H102" s="535" t="e">
        <v>#N/A</v>
      </c>
      <c r="I102" s="535" t="e">
        <v>#N/A</v>
      </c>
      <c r="J102" s="535" t="e">
        <v>#N/A</v>
      </c>
      <c r="K102" s="535" t="e">
        <v>#N/A</v>
      </c>
      <c r="L102" s="523"/>
    </row>
    <row r="103" spans="1:12" x14ac:dyDescent="0.2">
      <c r="A103" s="222">
        <f>calculs!A103</f>
        <v>44654</v>
      </c>
      <c r="B103" s="535" t="e">
        <f ca="1">gr(calculs!BG103)</f>
        <v>#NAME?</v>
      </c>
      <c r="C103" s="535" t="e">
        <f ca="1">gr(calculs!BH103)</f>
        <v>#NAME?</v>
      </c>
      <c r="D103" s="535" t="e">
        <f ca="1">gr(calculs!BI103)</f>
        <v>#NAME?</v>
      </c>
      <c r="E103" s="535" t="e">
        <f ca="1">gr(calculs!BJ103)</f>
        <v>#NAME?</v>
      </c>
      <c r="F103" s="535" t="e">
        <f ca="1">gr(calculs!BK103)</f>
        <v>#NAME?</v>
      </c>
      <c r="G103" s="535" t="e">
        <v>#N/A</v>
      </c>
      <c r="H103" s="535" t="e">
        <v>#N/A</v>
      </c>
      <c r="I103" s="535" t="e">
        <v>#N/A</v>
      </c>
      <c r="J103" s="535" t="e">
        <v>#N/A</v>
      </c>
      <c r="K103" s="535" t="e">
        <v>#N/A</v>
      </c>
      <c r="L103" s="523"/>
    </row>
    <row r="104" spans="1:12" x14ac:dyDescent="0.2">
      <c r="A104" s="222">
        <f>calculs!A104</f>
        <v>44655</v>
      </c>
      <c r="B104" s="535" t="e">
        <f ca="1">gr(calculs!BG104)</f>
        <v>#NAME?</v>
      </c>
      <c r="C104" s="535" t="e">
        <f ca="1">gr(calculs!BH104)</f>
        <v>#NAME?</v>
      </c>
      <c r="D104" s="535" t="e">
        <f ca="1">gr(calculs!BI104)</f>
        <v>#NAME?</v>
      </c>
      <c r="E104" s="535" t="e">
        <f ca="1">gr(calculs!BJ104)</f>
        <v>#NAME?</v>
      </c>
      <c r="F104" s="535" t="e">
        <f ca="1">gr(calculs!BK104)</f>
        <v>#NAME?</v>
      </c>
      <c r="G104" s="535" t="e">
        <v>#N/A</v>
      </c>
      <c r="H104" s="535" t="e">
        <v>#N/A</v>
      </c>
      <c r="I104" s="535" t="e">
        <v>#N/A</v>
      </c>
      <c r="J104" s="535" t="e">
        <v>#N/A</v>
      </c>
      <c r="K104" s="535" t="e">
        <v>#N/A</v>
      </c>
      <c r="L104" s="523"/>
    </row>
    <row r="105" spans="1:12" x14ac:dyDescent="0.2">
      <c r="A105" s="222">
        <f>calculs!A105</f>
        <v>44656</v>
      </c>
      <c r="B105" s="535" t="e">
        <f ca="1">gr(calculs!BG105)</f>
        <v>#NAME?</v>
      </c>
      <c r="C105" s="535" t="e">
        <f ca="1">gr(calculs!BH105)</f>
        <v>#NAME?</v>
      </c>
      <c r="D105" s="535" t="e">
        <f ca="1">gr(calculs!BI105)</f>
        <v>#NAME?</v>
      </c>
      <c r="E105" s="535" t="e">
        <f ca="1">gr(calculs!BJ105)</f>
        <v>#NAME?</v>
      </c>
      <c r="F105" s="535" t="e">
        <f ca="1">gr(calculs!BK105)</f>
        <v>#NAME?</v>
      </c>
      <c r="G105" s="535" t="e">
        <v>#N/A</v>
      </c>
      <c r="H105" s="535" t="e">
        <v>#N/A</v>
      </c>
      <c r="I105" s="535" t="e">
        <v>#N/A</v>
      </c>
      <c r="J105" s="535" t="e">
        <v>#N/A</v>
      </c>
      <c r="K105" s="535" t="e">
        <v>#N/A</v>
      </c>
      <c r="L105" s="523"/>
    </row>
    <row r="106" spans="1:12" x14ac:dyDescent="0.2">
      <c r="A106" s="222">
        <f>calculs!A106</f>
        <v>44657</v>
      </c>
      <c r="B106" s="535" t="e">
        <f ca="1">gr(calculs!BG106)</f>
        <v>#NAME?</v>
      </c>
      <c r="C106" s="535" t="e">
        <f ca="1">gr(calculs!BH106)</f>
        <v>#NAME?</v>
      </c>
      <c r="D106" s="535" t="e">
        <f ca="1">gr(calculs!BI106)</f>
        <v>#NAME?</v>
      </c>
      <c r="E106" s="535" t="e">
        <f ca="1">gr(calculs!BJ106)</f>
        <v>#NAME?</v>
      </c>
      <c r="F106" s="535" t="e">
        <f ca="1">gr(calculs!BK106)</f>
        <v>#NAME?</v>
      </c>
      <c r="G106" s="535" t="e">
        <v>#N/A</v>
      </c>
      <c r="H106" s="535" t="e">
        <v>#N/A</v>
      </c>
      <c r="I106" s="535" t="e">
        <v>#N/A</v>
      </c>
      <c r="J106" s="535" t="e">
        <v>#N/A</v>
      </c>
      <c r="K106" s="535" t="e">
        <v>#N/A</v>
      </c>
      <c r="L106" s="523"/>
    </row>
    <row r="107" spans="1:12" x14ac:dyDescent="0.2">
      <c r="A107" s="222">
        <f>calculs!A107</f>
        <v>44658</v>
      </c>
      <c r="B107" s="535" t="e">
        <f ca="1">gr(calculs!BG107)</f>
        <v>#NAME?</v>
      </c>
      <c r="C107" s="535" t="e">
        <f ca="1">gr(calculs!BH107)</f>
        <v>#NAME?</v>
      </c>
      <c r="D107" s="535" t="e">
        <f ca="1">gr(calculs!BI107)</f>
        <v>#NAME?</v>
      </c>
      <c r="E107" s="535" t="e">
        <f ca="1">gr(calculs!BJ107)</f>
        <v>#NAME?</v>
      </c>
      <c r="F107" s="535" t="e">
        <f ca="1">gr(calculs!BK107)</f>
        <v>#NAME?</v>
      </c>
      <c r="G107" s="535" t="e">
        <v>#N/A</v>
      </c>
      <c r="H107" s="535" t="e">
        <v>#N/A</v>
      </c>
      <c r="I107" s="535" t="e">
        <v>#N/A</v>
      </c>
      <c r="J107" s="535" t="e">
        <v>#N/A</v>
      </c>
      <c r="K107" s="535" t="e">
        <v>#N/A</v>
      </c>
      <c r="L107" s="523"/>
    </row>
    <row r="108" spans="1:12" x14ac:dyDescent="0.2">
      <c r="A108" s="222">
        <f>calculs!A108</f>
        <v>44659</v>
      </c>
      <c r="B108" s="535" t="e">
        <f ca="1">gr(calculs!BG108)</f>
        <v>#NAME?</v>
      </c>
      <c r="C108" s="535" t="e">
        <f ca="1">gr(calculs!BH108)</f>
        <v>#NAME?</v>
      </c>
      <c r="D108" s="535" t="e">
        <f ca="1">gr(calculs!BI108)</f>
        <v>#NAME?</v>
      </c>
      <c r="E108" s="535" t="e">
        <f ca="1">gr(calculs!BJ108)</f>
        <v>#NAME?</v>
      </c>
      <c r="F108" s="535" t="e">
        <f ca="1">gr(calculs!BK108)</f>
        <v>#NAME?</v>
      </c>
      <c r="G108" s="535" t="e">
        <v>#N/A</v>
      </c>
      <c r="H108" s="535" t="e">
        <v>#N/A</v>
      </c>
      <c r="I108" s="535" t="e">
        <v>#N/A</v>
      </c>
      <c r="J108" s="535" t="e">
        <v>#N/A</v>
      </c>
      <c r="K108" s="535" t="e">
        <v>#N/A</v>
      </c>
      <c r="L108" s="523"/>
    </row>
    <row r="109" spans="1:12" x14ac:dyDescent="0.2">
      <c r="A109" s="222">
        <f>calculs!A109</f>
        <v>44660</v>
      </c>
      <c r="B109" s="535" t="e">
        <f ca="1">gr(calculs!BG109)</f>
        <v>#NAME?</v>
      </c>
      <c r="C109" s="535" t="e">
        <f ca="1">gr(calculs!BH109)</f>
        <v>#NAME?</v>
      </c>
      <c r="D109" s="535" t="e">
        <f ca="1">gr(calculs!BI109)</f>
        <v>#NAME?</v>
      </c>
      <c r="E109" s="535" t="e">
        <f ca="1">gr(calculs!BJ109)</f>
        <v>#NAME?</v>
      </c>
      <c r="F109" s="535" t="e">
        <f ca="1">gr(calculs!BK109)</f>
        <v>#NAME?</v>
      </c>
      <c r="G109" s="535" t="e">
        <v>#N/A</v>
      </c>
      <c r="H109" s="535" t="e">
        <v>#N/A</v>
      </c>
      <c r="I109" s="535" t="e">
        <v>#N/A</v>
      </c>
      <c r="J109" s="535" t="e">
        <v>#N/A</v>
      </c>
      <c r="K109" s="535" t="e">
        <v>#N/A</v>
      </c>
      <c r="L109" s="523"/>
    </row>
    <row r="110" spans="1:12" x14ac:dyDescent="0.2">
      <c r="A110" s="222">
        <f>calculs!A110</f>
        <v>44661</v>
      </c>
      <c r="B110" s="535" t="e">
        <f ca="1">gr(calculs!BG110)</f>
        <v>#NAME?</v>
      </c>
      <c r="C110" s="535" t="e">
        <f ca="1">gr(calculs!BH110)</f>
        <v>#NAME?</v>
      </c>
      <c r="D110" s="535" t="e">
        <f ca="1">gr(calculs!BI110)</f>
        <v>#NAME?</v>
      </c>
      <c r="E110" s="535" t="e">
        <f ca="1">gr(calculs!BJ110)</f>
        <v>#NAME?</v>
      </c>
      <c r="F110" s="535" t="e">
        <f ca="1">gr(calculs!BK110)</f>
        <v>#NAME?</v>
      </c>
      <c r="G110" s="535" t="e">
        <v>#N/A</v>
      </c>
      <c r="H110" s="535" t="e">
        <v>#N/A</v>
      </c>
      <c r="I110" s="535" t="e">
        <v>#N/A</v>
      </c>
      <c r="J110" s="535" t="e">
        <v>#N/A</v>
      </c>
      <c r="K110" s="535" t="e">
        <v>#N/A</v>
      </c>
      <c r="L110" s="523"/>
    </row>
    <row r="111" spans="1:12" x14ac:dyDescent="0.2">
      <c r="A111" s="222">
        <f>calculs!A111</f>
        <v>44662</v>
      </c>
      <c r="B111" s="535" t="e">
        <f ca="1">gr(calculs!BG111)</f>
        <v>#NAME?</v>
      </c>
      <c r="C111" s="535" t="e">
        <f ca="1">gr(calculs!BH111)</f>
        <v>#NAME?</v>
      </c>
      <c r="D111" s="535" t="e">
        <f ca="1">gr(calculs!BI111)</f>
        <v>#NAME?</v>
      </c>
      <c r="E111" s="535" t="e">
        <f ca="1">gr(calculs!BJ111)</f>
        <v>#NAME?</v>
      </c>
      <c r="F111" s="535" t="e">
        <f ca="1">gr(calculs!BK111)</f>
        <v>#NAME?</v>
      </c>
      <c r="G111" s="535" t="e">
        <v>#N/A</v>
      </c>
      <c r="H111" s="535" t="e">
        <v>#N/A</v>
      </c>
      <c r="I111" s="535" t="e">
        <v>#N/A</v>
      </c>
      <c r="J111" s="535" t="e">
        <v>#N/A</v>
      </c>
      <c r="K111" s="535" t="e">
        <v>#N/A</v>
      </c>
      <c r="L111" s="523"/>
    </row>
    <row r="112" spans="1:12" x14ac:dyDescent="0.2">
      <c r="A112" s="222">
        <f>calculs!A112</f>
        <v>44663</v>
      </c>
      <c r="B112" s="535" t="e">
        <f ca="1">gr(calculs!BG112)</f>
        <v>#NAME?</v>
      </c>
      <c r="C112" s="535" t="e">
        <f ca="1">gr(calculs!BH112)</f>
        <v>#NAME?</v>
      </c>
      <c r="D112" s="535" t="e">
        <f ca="1">gr(calculs!BI112)</f>
        <v>#NAME?</v>
      </c>
      <c r="E112" s="535" t="e">
        <f ca="1">gr(calculs!BJ112)</f>
        <v>#NAME?</v>
      </c>
      <c r="F112" s="535" t="e">
        <f ca="1">gr(calculs!BK112)</f>
        <v>#NAME?</v>
      </c>
      <c r="G112" s="535" t="e">
        <v>#N/A</v>
      </c>
      <c r="H112" s="535" t="e">
        <v>#N/A</v>
      </c>
      <c r="I112" s="535" t="e">
        <v>#N/A</v>
      </c>
      <c r="J112" s="535" t="e">
        <v>#N/A</v>
      </c>
      <c r="K112" s="535" t="e">
        <v>#N/A</v>
      </c>
      <c r="L112" s="523"/>
    </row>
    <row r="113" spans="1:12" x14ac:dyDescent="0.2">
      <c r="A113" s="222">
        <f>calculs!A113</f>
        <v>44664</v>
      </c>
      <c r="B113" s="535" t="e">
        <f ca="1">gr(calculs!BG113)</f>
        <v>#NAME?</v>
      </c>
      <c r="C113" s="535" t="e">
        <f ca="1">gr(calculs!BH113)</f>
        <v>#NAME?</v>
      </c>
      <c r="D113" s="535" t="e">
        <f ca="1">gr(calculs!BI113)</f>
        <v>#NAME?</v>
      </c>
      <c r="E113" s="535" t="e">
        <f ca="1">gr(calculs!BJ113)</f>
        <v>#NAME?</v>
      </c>
      <c r="F113" s="535" t="e">
        <f ca="1">gr(calculs!BK113)</f>
        <v>#NAME?</v>
      </c>
      <c r="G113" s="535" t="e">
        <v>#N/A</v>
      </c>
      <c r="H113" s="535" t="e">
        <v>#N/A</v>
      </c>
      <c r="I113" s="535" t="e">
        <v>#N/A</v>
      </c>
      <c r="J113" s="535" t="e">
        <v>#N/A</v>
      </c>
      <c r="K113" s="535" t="e">
        <v>#N/A</v>
      </c>
      <c r="L113" s="523"/>
    </row>
    <row r="114" spans="1:12" x14ac:dyDescent="0.2">
      <c r="A114" s="222">
        <f>calculs!A114</f>
        <v>44665</v>
      </c>
      <c r="B114" s="535" t="e">
        <f ca="1">gr(calculs!BG114)</f>
        <v>#NAME?</v>
      </c>
      <c r="C114" s="535" t="e">
        <f ca="1">gr(calculs!BH114)</f>
        <v>#NAME?</v>
      </c>
      <c r="D114" s="535" t="e">
        <f ca="1">gr(calculs!BI114)</f>
        <v>#NAME?</v>
      </c>
      <c r="E114" s="535" t="e">
        <f ca="1">gr(calculs!BJ114)</f>
        <v>#NAME?</v>
      </c>
      <c r="F114" s="535" t="e">
        <f ca="1">gr(calculs!BK114)</f>
        <v>#NAME?</v>
      </c>
      <c r="G114" s="535" t="e">
        <v>#N/A</v>
      </c>
      <c r="H114" s="535" t="e">
        <v>#N/A</v>
      </c>
      <c r="I114" s="535" t="e">
        <v>#N/A</v>
      </c>
      <c r="J114" s="535" t="e">
        <v>#N/A</v>
      </c>
      <c r="K114" s="535" t="e">
        <v>#N/A</v>
      </c>
      <c r="L114" s="523"/>
    </row>
    <row r="115" spans="1:12" x14ac:dyDescent="0.2">
      <c r="A115" s="222">
        <f>calculs!A115</f>
        <v>44666</v>
      </c>
      <c r="B115" s="535" t="e">
        <f ca="1">gr(calculs!BG115)</f>
        <v>#NAME?</v>
      </c>
      <c r="C115" s="535" t="e">
        <f ca="1">gr(calculs!BH115)</f>
        <v>#NAME?</v>
      </c>
      <c r="D115" s="535" t="e">
        <f ca="1">gr(calculs!BI115)</f>
        <v>#NAME?</v>
      </c>
      <c r="E115" s="535" t="e">
        <f ca="1">gr(calculs!BJ115)</f>
        <v>#NAME?</v>
      </c>
      <c r="F115" s="535" t="e">
        <f ca="1">gr(calculs!BK115)</f>
        <v>#NAME?</v>
      </c>
      <c r="G115" s="535" t="e">
        <v>#N/A</v>
      </c>
      <c r="H115" s="535" t="e">
        <v>#N/A</v>
      </c>
      <c r="I115" s="535" t="e">
        <v>#N/A</v>
      </c>
      <c r="J115" s="535" t="e">
        <v>#N/A</v>
      </c>
      <c r="K115" s="535" t="e">
        <v>#N/A</v>
      </c>
      <c r="L115" s="523"/>
    </row>
    <row r="116" spans="1:12" x14ac:dyDescent="0.2">
      <c r="A116" s="222">
        <f>calculs!A116</f>
        <v>44667</v>
      </c>
      <c r="B116" s="535" t="e">
        <f ca="1">gr(calculs!BG116)</f>
        <v>#NAME?</v>
      </c>
      <c r="C116" s="535" t="e">
        <f ca="1">gr(calculs!BH116)</f>
        <v>#NAME?</v>
      </c>
      <c r="D116" s="535" t="e">
        <f ca="1">gr(calculs!BI116)</f>
        <v>#NAME?</v>
      </c>
      <c r="E116" s="535" t="e">
        <f ca="1">gr(calculs!BJ116)</f>
        <v>#NAME?</v>
      </c>
      <c r="F116" s="535" t="e">
        <f ca="1">gr(calculs!BK116)</f>
        <v>#NAME?</v>
      </c>
      <c r="G116" s="535" t="e">
        <v>#N/A</v>
      </c>
      <c r="H116" s="535" t="e">
        <v>#N/A</v>
      </c>
      <c r="I116" s="535" t="e">
        <v>#N/A</v>
      </c>
      <c r="J116" s="535" t="e">
        <v>#N/A</v>
      </c>
      <c r="K116" s="535" t="e">
        <v>#N/A</v>
      </c>
      <c r="L116" s="523"/>
    </row>
    <row r="117" spans="1:12" x14ac:dyDescent="0.2">
      <c r="A117" s="222">
        <f>calculs!A117</f>
        <v>44668</v>
      </c>
      <c r="B117" s="535" t="e">
        <f ca="1">gr(calculs!BG117)</f>
        <v>#NAME?</v>
      </c>
      <c r="C117" s="535" t="e">
        <f ca="1">gr(calculs!BH117)</f>
        <v>#NAME?</v>
      </c>
      <c r="D117" s="535" t="e">
        <f ca="1">gr(calculs!BI117)</f>
        <v>#NAME?</v>
      </c>
      <c r="E117" s="535" t="e">
        <f ca="1">gr(calculs!BJ117)</f>
        <v>#NAME?</v>
      </c>
      <c r="F117" s="535" t="e">
        <f ca="1">gr(calculs!BK117)</f>
        <v>#NAME?</v>
      </c>
      <c r="G117" s="535" t="e">
        <v>#N/A</v>
      </c>
      <c r="H117" s="535" t="e">
        <v>#N/A</v>
      </c>
      <c r="I117" s="535" t="e">
        <v>#N/A</v>
      </c>
      <c r="J117" s="535" t="e">
        <v>#N/A</v>
      </c>
      <c r="K117" s="535" t="e">
        <v>#N/A</v>
      </c>
      <c r="L117" s="523"/>
    </row>
    <row r="118" spans="1:12" x14ac:dyDescent="0.2">
      <c r="A118" s="222">
        <f>calculs!A118</f>
        <v>44669</v>
      </c>
      <c r="B118" s="535" t="e">
        <f ca="1">gr(calculs!BG118)</f>
        <v>#NAME?</v>
      </c>
      <c r="C118" s="535" t="e">
        <f ca="1">gr(calculs!BH118)</f>
        <v>#NAME?</v>
      </c>
      <c r="D118" s="535" t="e">
        <f ca="1">gr(calculs!BI118)</f>
        <v>#NAME?</v>
      </c>
      <c r="E118" s="535" t="e">
        <f ca="1">gr(calculs!BJ118)</f>
        <v>#NAME?</v>
      </c>
      <c r="F118" s="535" t="e">
        <f ca="1">gr(calculs!BK118)</f>
        <v>#NAME?</v>
      </c>
      <c r="G118" s="535" t="e">
        <v>#N/A</v>
      </c>
      <c r="H118" s="535" t="e">
        <v>#N/A</v>
      </c>
      <c r="I118" s="535" t="e">
        <v>#N/A</v>
      </c>
      <c r="J118" s="535" t="e">
        <v>#N/A</v>
      </c>
      <c r="K118" s="535" t="e">
        <v>#N/A</v>
      </c>
      <c r="L118" s="523"/>
    </row>
    <row r="119" spans="1:12" x14ac:dyDescent="0.2">
      <c r="A119" s="222">
        <f>calculs!A119</f>
        <v>44670</v>
      </c>
      <c r="B119" s="535" t="e">
        <f ca="1">gr(calculs!BG119)</f>
        <v>#NAME?</v>
      </c>
      <c r="C119" s="535" t="e">
        <f ca="1">gr(calculs!BH119)</f>
        <v>#NAME?</v>
      </c>
      <c r="D119" s="535" t="e">
        <f ca="1">gr(calculs!BI119)</f>
        <v>#NAME?</v>
      </c>
      <c r="E119" s="535" t="e">
        <f ca="1">gr(calculs!BJ119)</f>
        <v>#NAME?</v>
      </c>
      <c r="F119" s="535" t="e">
        <f ca="1">gr(calculs!BK119)</f>
        <v>#NAME?</v>
      </c>
      <c r="G119" s="535" t="e">
        <v>#N/A</v>
      </c>
      <c r="H119" s="535" t="e">
        <v>#N/A</v>
      </c>
      <c r="I119" s="535" t="e">
        <v>#N/A</v>
      </c>
      <c r="J119" s="535" t="e">
        <v>#N/A</v>
      </c>
      <c r="K119" s="535" t="e">
        <v>#N/A</v>
      </c>
      <c r="L119" s="523"/>
    </row>
    <row r="120" spans="1:12" x14ac:dyDescent="0.2">
      <c r="A120" s="222">
        <f>calculs!A120</f>
        <v>44671</v>
      </c>
      <c r="B120" s="535" t="e">
        <f ca="1">gr(calculs!BG120)</f>
        <v>#NAME?</v>
      </c>
      <c r="C120" s="535" t="e">
        <f ca="1">gr(calculs!BH120)</f>
        <v>#NAME?</v>
      </c>
      <c r="D120" s="535" t="e">
        <f ca="1">gr(calculs!BI120)</f>
        <v>#NAME?</v>
      </c>
      <c r="E120" s="535" t="e">
        <f ca="1">gr(calculs!BJ120)</f>
        <v>#NAME?</v>
      </c>
      <c r="F120" s="535" t="e">
        <f ca="1">gr(calculs!BK120)</f>
        <v>#NAME?</v>
      </c>
      <c r="G120" s="535" t="e">
        <v>#N/A</v>
      </c>
      <c r="H120" s="535" t="e">
        <v>#N/A</v>
      </c>
      <c r="I120" s="535" t="e">
        <v>#N/A</v>
      </c>
      <c r="J120" s="535" t="e">
        <v>#N/A</v>
      </c>
      <c r="K120" s="535" t="e">
        <v>#N/A</v>
      </c>
      <c r="L120" s="523"/>
    </row>
    <row r="121" spans="1:12" x14ac:dyDescent="0.2">
      <c r="A121" s="222">
        <f>calculs!A121</f>
        <v>44672</v>
      </c>
      <c r="B121" s="535" t="e">
        <f ca="1">gr(calculs!BG121)</f>
        <v>#NAME?</v>
      </c>
      <c r="C121" s="535" t="e">
        <f ca="1">gr(calculs!BH121)</f>
        <v>#NAME?</v>
      </c>
      <c r="D121" s="535" t="e">
        <f ca="1">gr(calculs!BI121)</f>
        <v>#NAME?</v>
      </c>
      <c r="E121" s="535" t="e">
        <f ca="1">gr(calculs!BJ121)</f>
        <v>#NAME?</v>
      </c>
      <c r="F121" s="535" t="e">
        <f ca="1">gr(calculs!BK121)</f>
        <v>#NAME?</v>
      </c>
      <c r="G121" s="535" t="e">
        <v>#N/A</v>
      </c>
      <c r="H121" s="535" t="e">
        <v>#N/A</v>
      </c>
      <c r="I121" s="535" t="e">
        <v>#N/A</v>
      </c>
      <c r="J121" s="535" t="e">
        <v>#N/A</v>
      </c>
      <c r="K121" s="535" t="e">
        <v>#N/A</v>
      </c>
      <c r="L121" s="523"/>
    </row>
    <row r="122" spans="1:12" x14ac:dyDescent="0.2">
      <c r="A122" s="222">
        <f>calculs!A122</f>
        <v>44673</v>
      </c>
      <c r="B122" s="535" t="e">
        <f ca="1">gr(calculs!BG122)</f>
        <v>#NAME?</v>
      </c>
      <c r="C122" s="535" t="e">
        <f ca="1">gr(calculs!BH122)</f>
        <v>#NAME?</v>
      </c>
      <c r="D122" s="535" t="e">
        <f ca="1">gr(calculs!BI122)</f>
        <v>#NAME?</v>
      </c>
      <c r="E122" s="535" t="e">
        <f ca="1">gr(calculs!BJ122)</f>
        <v>#NAME?</v>
      </c>
      <c r="F122" s="535" t="e">
        <f ca="1">gr(calculs!BK122)</f>
        <v>#NAME?</v>
      </c>
      <c r="G122" s="535" t="e">
        <v>#N/A</v>
      </c>
      <c r="H122" s="535" t="e">
        <v>#N/A</v>
      </c>
      <c r="I122" s="535" t="e">
        <v>#N/A</v>
      </c>
      <c r="J122" s="535" t="e">
        <v>#N/A</v>
      </c>
      <c r="K122" s="535" t="e">
        <v>#N/A</v>
      </c>
      <c r="L122" s="523"/>
    </row>
    <row r="123" spans="1:12" x14ac:dyDescent="0.2">
      <c r="A123" s="222">
        <f>calculs!A123</f>
        <v>44674</v>
      </c>
      <c r="B123" s="535" t="e">
        <f ca="1">gr(calculs!BG123)</f>
        <v>#NAME?</v>
      </c>
      <c r="C123" s="535" t="e">
        <f ca="1">gr(calculs!BH123)</f>
        <v>#NAME?</v>
      </c>
      <c r="D123" s="535" t="e">
        <f ca="1">gr(calculs!BI123)</f>
        <v>#NAME?</v>
      </c>
      <c r="E123" s="535" t="e">
        <f ca="1">gr(calculs!BJ123)</f>
        <v>#NAME?</v>
      </c>
      <c r="F123" s="535" t="e">
        <f ca="1">gr(calculs!BK123)</f>
        <v>#NAME?</v>
      </c>
      <c r="G123" s="535" t="e">
        <v>#N/A</v>
      </c>
      <c r="H123" s="535" t="e">
        <v>#N/A</v>
      </c>
      <c r="I123" s="535" t="e">
        <v>#N/A</v>
      </c>
      <c r="J123" s="535" t="e">
        <v>#N/A</v>
      </c>
      <c r="K123" s="535" t="e">
        <v>#N/A</v>
      </c>
      <c r="L123" s="523"/>
    </row>
    <row r="124" spans="1:12" x14ac:dyDescent="0.2">
      <c r="A124" s="222">
        <f>calculs!A124</f>
        <v>44675</v>
      </c>
      <c r="B124" s="535" t="e">
        <f ca="1">gr(calculs!BG124)</f>
        <v>#NAME?</v>
      </c>
      <c r="C124" s="535" t="e">
        <f ca="1">gr(calculs!BH124)</f>
        <v>#NAME?</v>
      </c>
      <c r="D124" s="535" t="e">
        <f ca="1">gr(calculs!BI124)</f>
        <v>#NAME?</v>
      </c>
      <c r="E124" s="535" t="e">
        <f ca="1">gr(calculs!BJ124)</f>
        <v>#NAME?</v>
      </c>
      <c r="F124" s="535" t="e">
        <f ca="1">gr(calculs!BK124)</f>
        <v>#NAME?</v>
      </c>
      <c r="G124" s="535" t="e">
        <v>#N/A</v>
      </c>
      <c r="H124" s="535" t="e">
        <v>#N/A</v>
      </c>
      <c r="I124" s="535" t="e">
        <v>#N/A</v>
      </c>
      <c r="J124" s="535" t="e">
        <v>#N/A</v>
      </c>
      <c r="K124" s="535" t="e">
        <v>#N/A</v>
      </c>
      <c r="L124" s="523"/>
    </row>
    <row r="125" spans="1:12" x14ac:dyDescent="0.2">
      <c r="A125" s="222">
        <f>calculs!A125</f>
        <v>44676</v>
      </c>
      <c r="B125" s="535" t="e">
        <f ca="1">gr(calculs!BG125)</f>
        <v>#NAME?</v>
      </c>
      <c r="C125" s="535" t="e">
        <f ca="1">gr(calculs!BH125)</f>
        <v>#NAME?</v>
      </c>
      <c r="D125" s="535" t="e">
        <f ca="1">gr(calculs!BI125)</f>
        <v>#NAME?</v>
      </c>
      <c r="E125" s="535" t="e">
        <f ca="1">gr(calculs!BJ125)</f>
        <v>#NAME?</v>
      </c>
      <c r="F125" s="535" t="e">
        <f ca="1">gr(calculs!BK125)</f>
        <v>#NAME?</v>
      </c>
      <c r="G125" s="535" t="e">
        <v>#N/A</v>
      </c>
      <c r="H125" s="535" t="e">
        <v>#N/A</v>
      </c>
      <c r="I125" s="535" t="e">
        <v>#N/A</v>
      </c>
      <c r="J125" s="535" t="e">
        <v>#N/A</v>
      </c>
      <c r="K125" s="535" t="e">
        <v>#N/A</v>
      </c>
      <c r="L125" s="523"/>
    </row>
    <row r="126" spans="1:12" x14ac:dyDescent="0.2">
      <c r="A126" s="222">
        <f>calculs!A126</f>
        <v>44677</v>
      </c>
      <c r="B126" s="535" t="e">
        <f ca="1">gr(calculs!BG126)</f>
        <v>#NAME?</v>
      </c>
      <c r="C126" s="535" t="e">
        <f ca="1">gr(calculs!BH126)</f>
        <v>#NAME?</v>
      </c>
      <c r="D126" s="535" t="e">
        <f ca="1">gr(calculs!BI126)</f>
        <v>#NAME?</v>
      </c>
      <c r="E126" s="535" t="e">
        <f ca="1">gr(calculs!BJ126)</f>
        <v>#NAME?</v>
      </c>
      <c r="F126" s="535" t="e">
        <f ca="1">gr(calculs!BK126)</f>
        <v>#NAME?</v>
      </c>
      <c r="G126" s="535" t="e">
        <v>#N/A</v>
      </c>
      <c r="H126" s="535" t="e">
        <v>#N/A</v>
      </c>
      <c r="I126" s="535" t="e">
        <v>#N/A</v>
      </c>
      <c r="J126" s="535" t="e">
        <v>#N/A</v>
      </c>
      <c r="K126" s="535" t="e">
        <v>#N/A</v>
      </c>
      <c r="L126" s="523"/>
    </row>
    <row r="127" spans="1:12" x14ac:dyDescent="0.2">
      <c r="A127" s="222">
        <f>calculs!A127</f>
        <v>44678</v>
      </c>
      <c r="B127" s="535" t="e">
        <f ca="1">gr(calculs!BG127)</f>
        <v>#NAME?</v>
      </c>
      <c r="C127" s="535" t="e">
        <f ca="1">gr(calculs!BH127)</f>
        <v>#NAME?</v>
      </c>
      <c r="D127" s="535" t="e">
        <f ca="1">gr(calculs!BI127)</f>
        <v>#NAME?</v>
      </c>
      <c r="E127" s="535" t="e">
        <f ca="1">gr(calculs!BJ127)</f>
        <v>#NAME?</v>
      </c>
      <c r="F127" s="535" t="e">
        <f ca="1">gr(calculs!BK127)</f>
        <v>#NAME?</v>
      </c>
      <c r="G127" s="535" t="e">
        <v>#N/A</v>
      </c>
      <c r="H127" s="535" t="e">
        <v>#N/A</v>
      </c>
      <c r="I127" s="535" t="e">
        <v>#N/A</v>
      </c>
      <c r="J127" s="535" t="e">
        <v>#N/A</v>
      </c>
      <c r="K127" s="535" t="e">
        <v>#N/A</v>
      </c>
      <c r="L127" s="523"/>
    </row>
    <row r="128" spans="1:12" x14ac:dyDescent="0.2">
      <c r="A128" s="222">
        <f>calculs!A128</f>
        <v>44679</v>
      </c>
      <c r="B128" s="535" t="e">
        <f ca="1">gr(calculs!BG128)</f>
        <v>#NAME?</v>
      </c>
      <c r="C128" s="535" t="e">
        <f ca="1">gr(calculs!BH128)</f>
        <v>#NAME?</v>
      </c>
      <c r="D128" s="535" t="e">
        <f ca="1">gr(calculs!BI128)</f>
        <v>#NAME?</v>
      </c>
      <c r="E128" s="535" t="e">
        <f ca="1">gr(calculs!BJ128)</f>
        <v>#NAME?</v>
      </c>
      <c r="F128" s="535" t="e">
        <f ca="1">gr(calculs!BK128)</f>
        <v>#NAME?</v>
      </c>
      <c r="G128" s="535" t="e">
        <v>#N/A</v>
      </c>
      <c r="H128" s="535" t="e">
        <v>#N/A</v>
      </c>
      <c r="I128" s="535" t="e">
        <v>#N/A</v>
      </c>
      <c r="J128" s="535" t="e">
        <v>#N/A</v>
      </c>
      <c r="K128" s="535" t="e">
        <v>#N/A</v>
      </c>
      <c r="L128" s="523"/>
    </row>
    <row r="129" spans="1:12" x14ac:dyDescent="0.2">
      <c r="A129" s="222">
        <f>calculs!A129</f>
        <v>44680</v>
      </c>
      <c r="B129" s="535" t="e">
        <f ca="1">gr(calculs!BG129)</f>
        <v>#NAME?</v>
      </c>
      <c r="C129" s="535" t="e">
        <f ca="1">gr(calculs!BH129)</f>
        <v>#NAME?</v>
      </c>
      <c r="D129" s="535" t="e">
        <f ca="1">gr(calculs!BI129)</f>
        <v>#NAME?</v>
      </c>
      <c r="E129" s="535" t="e">
        <f ca="1">gr(calculs!BJ129)</f>
        <v>#NAME?</v>
      </c>
      <c r="F129" s="535" t="e">
        <f ca="1">gr(calculs!BK129)</f>
        <v>#NAME?</v>
      </c>
      <c r="G129" s="535" t="e">
        <v>#N/A</v>
      </c>
      <c r="H129" s="535" t="e">
        <v>#N/A</v>
      </c>
      <c r="I129" s="535" t="e">
        <v>#N/A</v>
      </c>
      <c r="J129" s="535" t="e">
        <v>#N/A</v>
      </c>
      <c r="K129" s="535" t="e">
        <v>#N/A</v>
      </c>
      <c r="L129" s="523"/>
    </row>
    <row r="130" spans="1:12" x14ac:dyDescent="0.2">
      <c r="A130" s="222">
        <f>calculs!A130</f>
        <v>44681</v>
      </c>
      <c r="B130" s="535" t="e">
        <f ca="1">gr(calculs!BG130)</f>
        <v>#NAME?</v>
      </c>
      <c r="C130" s="535" t="e">
        <f ca="1">gr(calculs!BH130)</f>
        <v>#NAME?</v>
      </c>
      <c r="D130" s="535" t="e">
        <f ca="1">gr(calculs!BI130)</f>
        <v>#NAME?</v>
      </c>
      <c r="E130" s="535" t="e">
        <f ca="1">gr(calculs!BJ130)</f>
        <v>#NAME?</v>
      </c>
      <c r="F130" s="535" t="e">
        <f ca="1">gr(calculs!BK130)</f>
        <v>#NAME?</v>
      </c>
      <c r="G130" s="535" t="e">
        <v>#N/A</v>
      </c>
      <c r="H130" s="535" t="e">
        <v>#N/A</v>
      </c>
      <c r="I130" s="535" t="e">
        <v>#N/A</v>
      </c>
      <c r="J130" s="535" t="e">
        <v>#N/A</v>
      </c>
      <c r="K130" s="535" t="e">
        <v>#N/A</v>
      </c>
      <c r="L130" s="523"/>
    </row>
    <row r="131" spans="1:12" x14ac:dyDescent="0.2">
      <c r="A131" s="222">
        <f>calculs!A131</f>
        <v>44682</v>
      </c>
      <c r="B131" s="535" t="e">
        <f ca="1">gr(calculs!BG131)</f>
        <v>#NAME?</v>
      </c>
      <c r="C131" s="535" t="e">
        <f ca="1">gr(calculs!BH131)</f>
        <v>#NAME?</v>
      </c>
      <c r="D131" s="535" t="e">
        <f ca="1">gr(calculs!BI131)</f>
        <v>#NAME?</v>
      </c>
      <c r="E131" s="535" t="e">
        <f ca="1">gr(calculs!BJ131)</f>
        <v>#NAME?</v>
      </c>
      <c r="F131" s="535" t="e">
        <f ca="1">gr(calculs!BK131)</f>
        <v>#NAME?</v>
      </c>
      <c r="G131" s="535" t="e">
        <v>#N/A</v>
      </c>
      <c r="H131" s="535" t="e">
        <v>#N/A</v>
      </c>
      <c r="I131" s="535" t="e">
        <v>#N/A</v>
      </c>
      <c r="J131" s="535" t="e">
        <v>#N/A</v>
      </c>
      <c r="K131" s="535" t="e">
        <v>#N/A</v>
      </c>
      <c r="L131" s="523"/>
    </row>
    <row r="132" spans="1:12" x14ac:dyDescent="0.2">
      <c r="A132" s="222">
        <f>calculs!A132</f>
        <v>44683</v>
      </c>
      <c r="B132" s="535" t="e">
        <f ca="1">gr(calculs!BG132)</f>
        <v>#NAME?</v>
      </c>
      <c r="C132" s="535" t="e">
        <f ca="1">gr(calculs!BH132)</f>
        <v>#NAME?</v>
      </c>
      <c r="D132" s="535" t="e">
        <f ca="1">gr(calculs!BI132)</f>
        <v>#NAME?</v>
      </c>
      <c r="E132" s="535" t="e">
        <f ca="1">gr(calculs!BJ132)</f>
        <v>#NAME?</v>
      </c>
      <c r="F132" s="535" t="e">
        <f ca="1">gr(calculs!BK132)</f>
        <v>#NAME?</v>
      </c>
      <c r="G132" s="535" t="e">
        <v>#N/A</v>
      </c>
      <c r="H132" s="535" t="e">
        <v>#N/A</v>
      </c>
      <c r="I132" s="535" t="e">
        <v>#N/A</v>
      </c>
      <c r="J132" s="535" t="e">
        <v>#N/A</v>
      </c>
      <c r="K132" s="535" t="e">
        <v>#N/A</v>
      </c>
      <c r="L132" s="523"/>
    </row>
    <row r="133" spans="1:12" x14ac:dyDescent="0.2">
      <c r="A133" s="222">
        <f>calculs!A133</f>
        <v>44684</v>
      </c>
      <c r="B133" s="535" t="e">
        <f ca="1">gr(calculs!BG133)</f>
        <v>#NAME?</v>
      </c>
      <c r="C133" s="535" t="e">
        <f ca="1">gr(calculs!BH133)</f>
        <v>#NAME?</v>
      </c>
      <c r="D133" s="535" t="e">
        <f ca="1">gr(calculs!BI133)</f>
        <v>#NAME?</v>
      </c>
      <c r="E133" s="535" t="e">
        <f ca="1">gr(calculs!BJ133)</f>
        <v>#NAME?</v>
      </c>
      <c r="F133" s="535" t="e">
        <f ca="1">gr(calculs!BK133)</f>
        <v>#NAME?</v>
      </c>
      <c r="G133" s="535" t="e">
        <v>#N/A</v>
      </c>
      <c r="H133" s="535" t="e">
        <v>#N/A</v>
      </c>
      <c r="I133" s="535" t="e">
        <v>#N/A</v>
      </c>
      <c r="J133" s="535" t="e">
        <v>#N/A</v>
      </c>
      <c r="K133" s="535" t="e">
        <v>#N/A</v>
      </c>
      <c r="L133" s="523"/>
    </row>
    <row r="134" spans="1:12" x14ac:dyDescent="0.2">
      <c r="A134" s="222">
        <f>calculs!A134</f>
        <v>44685</v>
      </c>
      <c r="B134" s="535" t="e">
        <f ca="1">gr(calculs!BG134)</f>
        <v>#NAME?</v>
      </c>
      <c r="C134" s="535" t="e">
        <f ca="1">gr(calculs!BH134)</f>
        <v>#NAME?</v>
      </c>
      <c r="D134" s="535" t="e">
        <f ca="1">gr(calculs!BI134)</f>
        <v>#NAME?</v>
      </c>
      <c r="E134" s="535" t="e">
        <f ca="1">gr(calculs!BJ134)</f>
        <v>#NAME?</v>
      </c>
      <c r="F134" s="535" t="e">
        <f ca="1">gr(calculs!BK134)</f>
        <v>#NAME?</v>
      </c>
      <c r="G134" s="535" t="e">
        <v>#N/A</v>
      </c>
      <c r="H134" s="535" t="e">
        <v>#N/A</v>
      </c>
      <c r="I134" s="535" t="e">
        <v>#N/A</v>
      </c>
      <c r="J134" s="535" t="e">
        <v>#N/A</v>
      </c>
      <c r="K134" s="535" t="e">
        <v>#N/A</v>
      </c>
      <c r="L134" s="523"/>
    </row>
    <row r="135" spans="1:12" x14ac:dyDescent="0.2">
      <c r="A135" s="222">
        <f>calculs!A135</f>
        <v>44686</v>
      </c>
      <c r="B135" s="535" t="e">
        <f ca="1">gr(calculs!BG135)</f>
        <v>#NAME?</v>
      </c>
      <c r="C135" s="535" t="e">
        <f ca="1">gr(calculs!BH135)</f>
        <v>#NAME?</v>
      </c>
      <c r="D135" s="535" t="e">
        <f ca="1">gr(calculs!BI135)</f>
        <v>#NAME?</v>
      </c>
      <c r="E135" s="535" t="e">
        <f ca="1">gr(calculs!BJ135)</f>
        <v>#NAME?</v>
      </c>
      <c r="F135" s="535" t="e">
        <f ca="1">gr(calculs!BK135)</f>
        <v>#NAME?</v>
      </c>
      <c r="G135" s="535" t="e">
        <v>#N/A</v>
      </c>
      <c r="H135" s="535" t="e">
        <v>#N/A</v>
      </c>
      <c r="I135" s="535" t="e">
        <v>#N/A</v>
      </c>
      <c r="J135" s="535" t="e">
        <v>#N/A</v>
      </c>
      <c r="K135" s="535" t="e">
        <v>#N/A</v>
      </c>
      <c r="L135" s="523"/>
    </row>
    <row r="136" spans="1:12" x14ac:dyDescent="0.2">
      <c r="A136" s="222">
        <f>calculs!A136</f>
        <v>44687</v>
      </c>
      <c r="B136" s="535" t="e">
        <f ca="1">gr(calculs!BG136)</f>
        <v>#NAME?</v>
      </c>
      <c r="C136" s="535" t="e">
        <f ca="1">gr(calculs!BH136)</f>
        <v>#NAME?</v>
      </c>
      <c r="D136" s="535" t="e">
        <f ca="1">gr(calculs!BI136)</f>
        <v>#NAME?</v>
      </c>
      <c r="E136" s="535" t="e">
        <f ca="1">gr(calculs!BJ136)</f>
        <v>#NAME?</v>
      </c>
      <c r="F136" s="535" t="e">
        <f ca="1">gr(calculs!BK136)</f>
        <v>#NAME?</v>
      </c>
      <c r="G136" s="535" t="e">
        <v>#N/A</v>
      </c>
      <c r="H136" s="535" t="e">
        <v>#N/A</v>
      </c>
      <c r="I136" s="535" t="e">
        <v>#N/A</v>
      </c>
      <c r="J136" s="535" t="e">
        <v>#N/A</v>
      </c>
      <c r="K136" s="535" t="e">
        <v>#N/A</v>
      </c>
      <c r="L136" s="523"/>
    </row>
    <row r="137" spans="1:12" x14ac:dyDescent="0.2">
      <c r="A137" s="222">
        <f>calculs!A137</f>
        <v>44688</v>
      </c>
      <c r="B137" s="535" t="e">
        <f ca="1">gr(calculs!BG137)</f>
        <v>#NAME?</v>
      </c>
      <c r="C137" s="535" t="e">
        <f ca="1">gr(calculs!BH137)</f>
        <v>#NAME?</v>
      </c>
      <c r="D137" s="535" t="e">
        <f ca="1">gr(calculs!BI137)</f>
        <v>#NAME?</v>
      </c>
      <c r="E137" s="535" t="e">
        <f ca="1">gr(calculs!BJ137)</f>
        <v>#NAME?</v>
      </c>
      <c r="F137" s="535" t="e">
        <f ca="1">gr(calculs!BK137)</f>
        <v>#NAME?</v>
      </c>
      <c r="G137" s="535" t="e">
        <v>#N/A</v>
      </c>
      <c r="H137" s="535" t="e">
        <v>#N/A</v>
      </c>
      <c r="I137" s="535" t="e">
        <v>#N/A</v>
      </c>
      <c r="J137" s="535" t="e">
        <v>#N/A</v>
      </c>
      <c r="K137" s="535" t="e">
        <v>#N/A</v>
      </c>
      <c r="L137" s="523"/>
    </row>
    <row r="138" spans="1:12" x14ac:dyDescent="0.2">
      <c r="A138" s="222">
        <f>calculs!A138</f>
        <v>44689</v>
      </c>
      <c r="B138" s="535" t="e">
        <f ca="1">gr(calculs!BG138)</f>
        <v>#NAME?</v>
      </c>
      <c r="C138" s="535" t="e">
        <f ca="1">gr(calculs!BH138)</f>
        <v>#NAME?</v>
      </c>
      <c r="D138" s="535" t="e">
        <f ca="1">gr(calculs!BI138)</f>
        <v>#NAME?</v>
      </c>
      <c r="E138" s="535" t="e">
        <f ca="1">gr(calculs!BJ138)</f>
        <v>#NAME?</v>
      </c>
      <c r="F138" s="535" t="e">
        <f ca="1">gr(calculs!BK138)</f>
        <v>#NAME?</v>
      </c>
      <c r="G138" s="535" t="e">
        <v>#N/A</v>
      </c>
      <c r="H138" s="535" t="e">
        <v>#N/A</v>
      </c>
      <c r="I138" s="535" t="e">
        <v>#N/A</v>
      </c>
      <c r="J138" s="535" t="e">
        <v>#N/A</v>
      </c>
      <c r="K138" s="535" t="e">
        <v>#N/A</v>
      </c>
      <c r="L138" s="523"/>
    </row>
    <row r="139" spans="1:12" x14ac:dyDescent="0.2">
      <c r="A139" s="222">
        <f>calculs!A139</f>
        <v>44690</v>
      </c>
      <c r="B139" s="535" t="e">
        <f ca="1">gr(calculs!BG139)</f>
        <v>#NAME?</v>
      </c>
      <c r="C139" s="535" t="e">
        <f ca="1">gr(calculs!BH139)</f>
        <v>#NAME?</v>
      </c>
      <c r="D139" s="535" t="e">
        <f ca="1">gr(calculs!BI139)</f>
        <v>#NAME?</v>
      </c>
      <c r="E139" s="535" t="e">
        <f ca="1">gr(calculs!BJ139)</f>
        <v>#NAME?</v>
      </c>
      <c r="F139" s="535" t="e">
        <f ca="1">gr(calculs!BK139)</f>
        <v>#NAME?</v>
      </c>
      <c r="G139" s="535" t="e">
        <v>#N/A</v>
      </c>
      <c r="H139" s="535" t="e">
        <v>#N/A</v>
      </c>
      <c r="I139" s="535" t="e">
        <v>#N/A</v>
      </c>
      <c r="J139" s="535" t="e">
        <v>#N/A</v>
      </c>
      <c r="K139" s="535" t="e">
        <v>#N/A</v>
      </c>
      <c r="L139" s="523"/>
    </row>
    <row r="140" spans="1:12" x14ac:dyDescent="0.2">
      <c r="A140" s="222">
        <f>calculs!A140</f>
        <v>44691</v>
      </c>
      <c r="B140" s="535" t="e">
        <f ca="1">gr(calculs!BG140)</f>
        <v>#NAME?</v>
      </c>
      <c r="C140" s="535" t="e">
        <f ca="1">gr(calculs!BH140)</f>
        <v>#NAME?</v>
      </c>
      <c r="D140" s="535" t="e">
        <f ca="1">gr(calculs!BI140)</f>
        <v>#NAME?</v>
      </c>
      <c r="E140" s="535" t="e">
        <f ca="1">gr(calculs!BJ140)</f>
        <v>#NAME?</v>
      </c>
      <c r="F140" s="535" t="e">
        <f ca="1">gr(calculs!BK140)</f>
        <v>#NAME?</v>
      </c>
      <c r="G140" s="535" t="e">
        <v>#N/A</v>
      </c>
      <c r="H140" s="535" t="e">
        <v>#N/A</v>
      </c>
      <c r="I140" s="535" t="e">
        <v>#N/A</v>
      </c>
      <c r="J140" s="535" t="e">
        <v>#N/A</v>
      </c>
      <c r="K140" s="535" t="e">
        <v>#N/A</v>
      </c>
      <c r="L140" s="523"/>
    </row>
    <row r="141" spans="1:12" x14ac:dyDescent="0.2">
      <c r="A141" s="222">
        <f>calculs!A141</f>
        <v>44692</v>
      </c>
      <c r="B141" s="535" t="e">
        <f ca="1">gr(calculs!BG141)</f>
        <v>#NAME?</v>
      </c>
      <c r="C141" s="535" t="e">
        <f ca="1">gr(calculs!BH141)</f>
        <v>#NAME?</v>
      </c>
      <c r="D141" s="535" t="e">
        <f ca="1">gr(calculs!BI141)</f>
        <v>#NAME?</v>
      </c>
      <c r="E141" s="535" t="e">
        <f ca="1">gr(calculs!BJ141)</f>
        <v>#NAME?</v>
      </c>
      <c r="F141" s="535" t="e">
        <f ca="1">gr(calculs!BK141)</f>
        <v>#NAME?</v>
      </c>
      <c r="G141" s="535" t="e">
        <v>#N/A</v>
      </c>
      <c r="H141" s="535" t="e">
        <v>#N/A</v>
      </c>
      <c r="I141" s="535" t="e">
        <v>#N/A</v>
      </c>
      <c r="J141" s="535" t="e">
        <v>#N/A</v>
      </c>
      <c r="K141" s="535" t="e">
        <v>#N/A</v>
      </c>
      <c r="L141" s="523"/>
    </row>
    <row r="142" spans="1:12" x14ac:dyDescent="0.2">
      <c r="A142" s="222">
        <f>calculs!A142</f>
        <v>44693</v>
      </c>
      <c r="B142" s="535" t="e">
        <f ca="1">gr(calculs!BG142)</f>
        <v>#NAME?</v>
      </c>
      <c r="C142" s="535" t="e">
        <f ca="1">gr(calculs!BH142)</f>
        <v>#NAME?</v>
      </c>
      <c r="D142" s="535" t="e">
        <f ca="1">gr(calculs!BI142)</f>
        <v>#NAME?</v>
      </c>
      <c r="E142" s="535" t="e">
        <f ca="1">gr(calculs!BJ142)</f>
        <v>#NAME?</v>
      </c>
      <c r="F142" s="535" t="e">
        <f ca="1">gr(calculs!BK142)</f>
        <v>#NAME?</v>
      </c>
      <c r="G142" s="535" t="e">
        <v>#N/A</v>
      </c>
      <c r="H142" s="535" t="e">
        <v>#N/A</v>
      </c>
      <c r="I142" s="535" t="e">
        <v>#N/A</v>
      </c>
      <c r="J142" s="535" t="e">
        <v>#N/A</v>
      </c>
      <c r="K142" s="535" t="e">
        <v>#N/A</v>
      </c>
      <c r="L142" s="523"/>
    </row>
    <row r="143" spans="1:12" x14ac:dyDescent="0.2">
      <c r="A143" s="222">
        <f>calculs!A143</f>
        <v>44694</v>
      </c>
      <c r="B143" s="535" t="e">
        <f ca="1">gr(calculs!BG143)</f>
        <v>#NAME?</v>
      </c>
      <c r="C143" s="535" t="e">
        <f ca="1">gr(calculs!BH143)</f>
        <v>#NAME?</v>
      </c>
      <c r="D143" s="535" t="e">
        <f ca="1">gr(calculs!BI143)</f>
        <v>#NAME?</v>
      </c>
      <c r="E143" s="535" t="e">
        <f ca="1">gr(calculs!BJ143)</f>
        <v>#NAME?</v>
      </c>
      <c r="F143" s="535" t="e">
        <f ca="1">gr(calculs!BK143)</f>
        <v>#NAME?</v>
      </c>
      <c r="G143" s="535" t="e">
        <v>#N/A</v>
      </c>
      <c r="H143" s="535" t="e">
        <v>#N/A</v>
      </c>
      <c r="I143" s="535" t="e">
        <v>#N/A</v>
      </c>
      <c r="J143" s="535" t="e">
        <v>#N/A</v>
      </c>
      <c r="K143" s="535" t="e">
        <v>#N/A</v>
      </c>
      <c r="L143" s="523"/>
    </row>
    <row r="144" spans="1:12" x14ac:dyDescent="0.2">
      <c r="A144" s="222">
        <f>calculs!A144</f>
        <v>44695</v>
      </c>
      <c r="B144" s="535" t="e">
        <f ca="1">gr(calculs!BG144)</f>
        <v>#NAME?</v>
      </c>
      <c r="C144" s="535" t="e">
        <f ca="1">gr(calculs!BH144)</f>
        <v>#NAME?</v>
      </c>
      <c r="D144" s="535" t="e">
        <f ca="1">gr(calculs!BI144)</f>
        <v>#NAME?</v>
      </c>
      <c r="E144" s="535" t="e">
        <f ca="1">gr(calculs!BJ144)</f>
        <v>#NAME?</v>
      </c>
      <c r="F144" s="535" t="e">
        <f ca="1">gr(calculs!BK144)</f>
        <v>#NAME?</v>
      </c>
      <c r="G144" s="535" t="e">
        <v>#N/A</v>
      </c>
      <c r="H144" s="535" t="e">
        <v>#N/A</v>
      </c>
      <c r="I144" s="535" t="e">
        <v>#N/A</v>
      </c>
      <c r="J144" s="535" t="e">
        <v>#N/A</v>
      </c>
      <c r="K144" s="535" t="e">
        <v>#N/A</v>
      </c>
      <c r="L144" s="523"/>
    </row>
    <row r="145" spans="1:12" x14ac:dyDescent="0.2">
      <c r="A145" s="222">
        <f>calculs!A145</f>
        <v>44696</v>
      </c>
      <c r="B145" s="535" t="e">
        <f ca="1">gr(calculs!BG145)</f>
        <v>#NAME?</v>
      </c>
      <c r="C145" s="535" t="e">
        <f ca="1">gr(calculs!BH145)</f>
        <v>#NAME?</v>
      </c>
      <c r="D145" s="535" t="e">
        <f ca="1">gr(calculs!BI145)</f>
        <v>#NAME?</v>
      </c>
      <c r="E145" s="535" t="e">
        <f ca="1">gr(calculs!BJ145)</f>
        <v>#NAME?</v>
      </c>
      <c r="F145" s="535" t="e">
        <f ca="1">gr(calculs!BK145)</f>
        <v>#NAME?</v>
      </c>
      <c r="G145" s="535" t="e">
        <v>#N/A</v>
      </c>
      <c r="H145" s="535" t="e">
        <v>#N/A</v>
      </c>
      <c r="I145" s="535" t="e">
        <v>#N/A</v>
      </c>
      <c r="J145" s="535" t="e">
        <v>#N/A</v>
      </c>
      <c r="K145" s="535" t="e">
        <v>#N/A</v>
      </c>
      <c r="L145" s="523"/>
    </row>
    <row r="146" spans="1:12" x14ac:dyDescent="0.2">
      <c r="A146" s="222">
        <f>calculs!A146</f>
        <v>44697</v>
      </c>
      <c r="B146" s="535" t="e">
        <f ca="1">gr(calculs!BG146)</f>
        <v>#NAME?</v>
      </c>
      <c r="C146" s="535" t="e">
        <f ca="1">gr(calculs!BH146)</f>
        <v>#NAME?</v>
      </c>
      <c r="D146" s="535" t="e">
        <f ca="1">gr(calculs!BI146)</f>
        <v>#NAME?</v>
      </c>
      <c r="E146" s="535" t="e">
        <f ca="1">gr(calculs!BJ146)</f>
        <v>#NAME?</v>
      </c>
      <c r="F146" s="535" t="e">
        <f ca="1">gr(calculs!BK146)</f>
        <v>#NAME?</v>
      </c>
      <c r="G146" s="535" t="e">
        <v>#N/A</v>
      </c>
      <c r="H146" s="535" t="e">
        <v>#N/A</v>
      </c>
      <c r="I146" s="535" t="e">
        <v>#N/A</v>
      </c>
      <c r="J146" s="535" t="e">
        <v>#N/A</v>
      </c>
      <c r="K146" s="535" t="e">
        <v>#N/A</v>
      </c>
      <c r="L146" s="523"/>
    </row>
    <row r="147" spans="1:12" x14ac:dyDescent="0.2">
      <c r="A147" s="222">
        <f>calculs!A147</f>
        <v>44698</v>
      </c>
      <c r="B147" s="535" t="e">
        <f ca="1">gr(calculs!BG147)</f>
        <v>#NAME?</v>
      </c>
      <c r="C147" s="535" t="e">
        <f ca="1">gr(calculs!BH147)</f>
        <v>#NAME?</v>
      </c>
      <c r="D147" s="535" t="e">
        <f ca="1">gr(calculs!BI147)</f>
        <v>#NAME?</v>
      </c>
      <c r="E147" s="535" t="e">
        <f ca="1">gr(calculs!BJ147)</f>
        <v>#NAME?</v>
      </c>
      <c r="F147" s="535" t="e">
        <f ca="1">gr(calculs!BK147)</f>
        <v>#NAME?</v>
      </c>
      <c r="G147" s="535" t="e">
        <v>#N/A</v>
      </c>
      <c r="H147" s="535" t="e">
        <v>#N/A</v>
      </c>
      <c r="I147" s="535" t="e">
        <v>#N/A</v>
      </c>
      <c r="J147" s="535" t="e">
        <v>#N/A</v>
      </c>
      <c r="K147" s="535" t="e">
        <v>#N/A</v>
      </c>
      <c r="L147" s="523"/>
    </row>
    <row r="148" spans="1:12" x14ac:dyDescent="0.2">
      <c r="A148" s="222">
        <f>calculs!A148</f>
        <v>44699</v>
      </c>
      <c r="B148" s="535" t="e">
        <f ca="1">gr(calculs!BG148)</f>
        <v>#NAME?</v>
      </c>
      <c r="C148" s="535" t="e">
        <f ca="1">gr(calculs!BH148)</f>
        <v>#NAME?</v>
      </c>
      <c r="D148" s="535" t="e">
        <f ca="1">gr(calculs!BI148)</f>
        <v>#NAME?</v>
      </c>
      <c r="E148" s="535" t="e">
        <f ca="1">gr(calculs!BJ148)</f>
        <v>#NAME?</v>
      </c>
      <c r="F148" s="535" t="e">
        <f ca="1">gr(calculs!BK148)</f>
        <v>#NAME?</v>
      </c>
      <c r="G148" s="535" t="e">
        <v>#N/A</v>
      </c>
      <c r="H148" s="535" t="e">
        <v>#N/A</v>
      </c>
      <c r="I148" s="535" t="e">
        <v>#N/A</v>
      </c>
      <c r="J148" s="535" t="e">
        <v>#N/A</v>
      </c>
      <c r="K148" s="535" t="e">
        <v>#N/A</v>
      </c>
      <c r="L148" s="523"/>
    </row>
    <row r="149" spans="1:12" x14ac:dyDescent="0.2">
      <c r="A149" s="222">
        <f>calculs!A149</f>
        <v>44700</v>
      </c>
      <c r="B149" s="535" t="e">
        <f ca="1">gr(calculs!BG149)</f>
        <v>#NAME?</v>
      </c>
      <c r="C149" s="535" t="e">
        <f ca="1">gr(calculs!BH149)</f>
        <v>#NAME?</v>
      </c>
      <c r="D149" s="535" t="e">
        <f ca="1">gr(calculs!BI149)</f>
        <v>#NAME?</v>
      </c>
      <c r="E149" s="535" t="e">
        <f ca="1">gr(calculs!BJ149)</f>
        <v>#NAME?</v>
      </c>
      <c r="F149" s="535" t="e">
        <f ca="1">gr(calculs!BK149)</f>
        <v>#NAME?</v>
      </c>
      <c r="G149" s="535" t="e">
        <v>#N/A</v>
      </c>
      <c r="H149" s="535" t="e">
        <v>#N/A</v>
      </c>
      <c r="I149" s="535" t="e">
        <v>#N/A</v>
      </c>
      <c r="J149" s="535" t="e">
        <v>#N/A</v>
      </c>
      <c r="K149" s="535" t="e">
        <v>#N/A</v>
      </c>
      <c r="L149" s="523"/>
    </row>
    <row r="150" spans="1:12" x14ac:dyDescent="0.2">
      <c r="A150" s="222">
        <f>calculs!A150</f>
        <v>44701</v>
      </c>
      <c r="B150" s="535" t="e">
        <f ca="1">gr(calculs!BG150)</f>
        <v>#NAME?</v>
      </c>
      <c r="C150" s="535" t="e">
        <f ca="1">gr(calculs!BH150)</f>
        <v>#NAME?</v>
      </c>
      <c r="D150" s="535" t="e">
        <f ca="1">gr(calculs!BI150)</f>
        <v>#NAME?</v>
      </c>
      <c r="E150" s="535" t="e">
        <f ca="1">gr(calculs!BJ150)</f>
        <v>#NAME?</v>
      </c>
      <c r="F150" s="535" t="e">
        <f ca="1">gr(calculs!BK150)</f>
        <v>#NAME?</v>
      </c>
      <c r="G150" s="535" t="e">
        <v>#N/A</v>
      </c>
      <c r="H150" s="535" t="e">
        <v>#N/A</v>
      </c>
      <c r="I150" s="535" t="e">
        <v>#N/A</v>
      </c>
      <c r="J150" s="535" t="e">
        <v>#N/A</v>
      </c>
      <c r="K150" s="535" t="e">
        <v>#N/A</v>
      </c>
      <c r="L150" s="523"/>
    </row>
    <row r="151" spans="1:12" x14ac:dyDescent="0.2">
      <c r="A151" s="222">
        <f>calculs!A151</f>
        <v>44702</v>
      </c>
      <c r="B151" s="535" t="e">
        <f ca="1">gr(calculs!BG151)</f>
        <v>#NAME?</v>
      </c>
      <c r="C151" s="535" t="e">
        <f ca="1">gr(calculs!BH151)</f>
        <v>#NAME?</v>
      </c>
      <c r="D151" s="535" t="e">
        <f ca="1">gr(calculs!BI151)</f>
        <v>#NAME?</v>
      </c>
      <c r="E151" s="535" t="e">
        <f ca="1">gr(calculs!BJ151)</f>
        <v>#NAME?</v>
      </c>
      <c r="F151" s="535" t="e">
        <f ca="1">gr(calculs!BK151)</f>
        <v>#NAME?</v>
      </c>
      <c r="G151" s="535" t="e">
        <v>#N/A</v>
      </c>
      <c r="H151" s="535" t="e">
        <v>#N/A</v>
      </c>
      <c r="I151" s="535" t="e">
        <v>#N/A</v>
      </c>
      <c r="J151" s="535" t="e">
        <v>#N/A</v>
      </c>
      <c r="K151" s="535" t="e">
        <v>#N/A</v>
      </c>
      <c r="L151" s="523"/>
    </row>
    <row r="152" spans="1:12" x14ac:dyDescent="0.2">
      <c r="A152" s="222">
        <f>calculs!A152</f>
        <v>44703</v>
      </c>
      <c r="B152" s="535" t="e">
        <f ca="1">gr(calculs!BG152)</f>
        <v>#NAME?</v>
      </c>
      <c r="C152" s="535" t="e">
        <f ca="1">gr(calculs!BH152)</f>
        <v>#NAME?</v>
      </c>
      <c r="D152" s="535" t="e">
        <f ca="1">gr(calculs!BI152)</f>
        <v>#NAME?</v>
      </c>
      <c r="E152" s="535" t="e">
        <f ca="1">gr(calculs!BJ152)</f>
        <v>#NAME?</v>
      </c>
      <c r="F152" s="535" t="e">
        <f ca="1">gr(calculs!BK152)</f>
        <v>#NAME?</v>
      </c>
      <c r="G152" s="535" t="e">
        <v>#N/A</v>
      </c>
      <c r="H152" s="535" t="e">
        <v>#N/A</v>
      </c>
      <c r="I152" s="535" t="e">
        <v>#N/A</v>
      </c>
      <c r="J152" s="535" t="e">
        <v>#N/A</v>
      </c>
      <c r="K152" s="535" t="e">
        <v>#N/A</v>
      </c>
      <c r="L152" s="523"/>
    </row>
    <row r="153" spans="1:12" x14ac:dyDescent="0.2">
      <c r="A153" s="222">
        <f>calculs!A153</f>
        <v>44704</v>
      </c>
      <c r="B153" s="535" t="e">
        <f ca="1">gr(calculs!BG153)</f>
        <v>#NAME?</v>
      </c>
      <c r="C153" s="535" t="e">
        <f ca="1">gr(calculs!BH153)</f>
        <v>#NAME?</v>
      </c>
      <c r="D153" s="535" t="e">
        <f ca="1">gr(calculs!BI153)</f>
        <v>#NAME?</v>
      </c>
      <c r="E153" s="535" t="e">
        <f ca="1">gr(calculs!BJ153)</f>
        <v>#NAME?</v>
      </c>
      <c r="F153" s="535" t="e">
        <f ca="1">gr(calculs!BK153)</f>
        <v>#NAME?</v>
      </c>
      <c r="G153" s="535" t="e">
        <v>#N/A</v>
      </c>
      <c r="H153" s="535" t="e">
        <v>#N/A</v>
      </c>
      <c r="I153" s="535" t="e">
        <v>#N/A</v>
      </c>
      <c r="J153" s="535" t="e">
        <v>#N/A</v>
      </c>
      <c r="K153" s="535" t="e">
        <v>#N/A</v>
      </c>
      <c r="L153" s="523"/>
    </row>
    <row r="154" spans="1:12" x14ac:dyDescent="0.2">
      <c r="A154" s="222">
        <f>calculs!A154</f>
        <v>44705</v>
      </c>
      <c r="B154" s="535" t="e">
        <f ca="1">gr(calculs!BG154)</f>
        <v>#NAME?</v>
      </c>
      <c r="C154" s="535" t="e">
        <f ca="1">gr(calculs!BH154)</f>
        <v>#NAME?</v>
      </c>
      <c r="D154" s="535" t="e">
        <f ca="1">gr(calculs!BI154)</f>
        <v>#NAME?</v>
      </c>
      <c r="E154" s="535" t="e">
        <f ca="1">gr(calculs!BJ154)</f>
        <v>#NAME?</v>
      </c>
      <c r="F154" s="535" t="e">
        <f ca="1">gr(calculs!BK154)</f>
        <v>#NAME?</v>
      </c>
      <c r="G154" s="535" t="e">
        <v>#N/A</v>
      </c>
      <c r="H154" s="535" t="e">
        <v>#N/A</v>
      </c>
      <c r="I154" s="535" t="e">
        <v>#N/A</v>
      </c>
      <c r="J154" s="535" t="e">
        <v>#N/A</v>
      </c>
      <c r="K154" s="535" t="e">
        <v>#N/A</v>
      </c>
      <c r="L154" s="523"/>
    </row>
    <row r="155" spans="1:12" x14ac:dyDescent="0.2">
      <c r="A155" s="222">
        <f>calculs!A155</f>
        <v>44706</v>
      </c>
      <c r="B155" s="535" t="e">
        <f ca="1">gr(calculs!BG155)</f>
        <v>#NAME?</v>
      </c>
      <c r="C155" s="535" t="e">
        <f ca="1">gr(calculs!BH155)</f>
        <v>#NAME?</v>
      </c>
      <c r="D155" s="535" t="e">
        <f ca="1">gr(calculs!BI155)</f>
        <v>#NAME?</v>
      </c>
      <c r="E155" s="535" t="e">
        <f ca="1">gr(calculs!BJ155)</f>
        <v>#NAME?</v>
      </c>
      <c r="F155" s="535" t="e">
        <f ca="1">gr(calculs!BK155)</f>
        <v>#NAME?</v>
      </c>
      <c r="G155" s="535" t="e">
        <v>#N/A</v>
      </c>
      <c r="H155" s="535" t="e">
        <v>#N/A</v>
      </c>
      <c r="I155" s="535" t="e">
        <v>#N/A</v>
      </c>
      <c r="J155" s="535" t="e">
        <v>#N/A</v>
      </c>
      <c r="K155" s="535" t="e">
        <v>#N/A</v>
      </c>
      <c r="L155" s="523"/>
    </row>
    <row r="156" spans="1:12" x14ac:dyDescent="0.2">
      <c r="A156" s="222">
        <f>calculs!A156</f>
        <v>44707</v>
      </c>
      <c r="B156" s="535" t="e">
        <f ca="1">gr(calculs!BG156)</f>
        <v>#NAME?</v>
      </c>
      <c r="C156" s="535" t="e">
        <f ca="1">gr(calculs!BH156)</f>
        <v>#NAME?</v>
      </c>
      <c r="D156" s="535" t="e">
        <f ca="1">gr(calculs!BI156)</f>
        <v>#NAME?</v>
      </c>
      <c r="E156" s="535" t="e">
        <f ca="1">gr(calculs!BJ156)</f>
        <v>#NAME?</v>
      </c>
      <c r="F156" s="535" t="e">
        <f ca="1">gr(calculs!BK156)</f>
        <v>#NAME?</v>
      </c>
      <c r="G156" s="535" t="e">
        <v>#N/A</v>
      </c>
      <c r="H156" s="535" t="e">
        <v>#N/A</v>
      </c>
      <c r="I156" s="535" t="e">
        <v>#N/A</v>
      </c>
      <c r="J156" s="535" t="e">
        <v>#N/A</v>
      </c>
      <c r="K156" s="535" t="e">
        <v>#N/A</v>
      </c>
      <c r="L156" s="523"/>
    </row>
    <row r="157" spans="1:12" x14ac:dyDescent="0.2">
      <c r="A157" s="222">
        <f>calculs!A157</f>
        <v>44708</v>
      </c>
      <c r="B157" s="535" t="e">
        <f ca="1">gr(calculs!BG157)</f>
        <v>#NAME?</v>
      </c>
      <c r="C157" s="535" t="e">
        <f ca="1">gr(calculs!BH157)</f>
        <v>#NAME?</v>
      </c>
      <c r="D157" s="535" t="e">
        <f ca="1">gr(calculs!BI157)</f>
        <v>#NAME?</v>
      </c>
      <c r="E157" s="535" t="e">
        <f ca="1">gr(calculs!BJ157)</f>
        <v>#NAME?</v>
      </c>
      <c r="F157" s="535" t="e">
        <f ca="1">gr(calculs!BK157)</f>
        <v>#NAME?</v>
      </c>
      <c r="G157" s="535" t="e">
        <v>#N/A</v>
      </c>
      <c r="H157" s="535" t="e">
        <v>#N/A</v>
      </c>
      <c r="I157" s="535" t="e">
        <v>#N/A</v>
      </c>
      <c r="J157" s="535" t="e">
        <v>#N/A</v>
      </c>
      <c r="K157" s="535" t="e">
        <v>#N/A</v>
      </c>
      <c r="L157" s="523"/>
    </row>
    <row r="158" spans="1:12" x14ac:dyDescent="0.2">
      <c r="A158" s="222">
        <f>calculs!A158</f>
        <v>44709</v>
      </c>
      <c r="B158" s="535" t="e">
        <f ca="1">gr(calculs!BG158)</f>
        <v>#NAME?</v>
      </c>
      <c r="C158" s="535" t="e">
        <f ca="1">gr(calculs!BH158)</f>
        <v>#NAME?</v>
      </c>
      <c r="D158" s="535" t="e">
        <f ca="1">gr(calculs!BI158)</f>
        <v>#NAME?</v>
      </c>
      <c r="E158" s="535" t="e">
        <f ca="1">gr(calculs!BJ158)</f>
        <v>#NAME?</v>
      </c>
      <c r="F158" s="535" t="e">
        <f ca="1">gr(calculs!BK158)</f>
        <v>#NAME?</v>
      </c>
      <c r="G158" s="535" t="e">
        <v>#N/A</v>
      </c>
      <c r="H158" s="535" t="e">
        <v>#N/A</v>
      </c>
      <c r="I158" s="535" t="e">
        <v>#N/A</v>
      </c>
      <c r="J158" s="535" t="e">
        <v>#N/A</v>
      </c>
      <c r="K158" s="535" t="e">
        <v>#N/A</v>
      </c>
      <c r="L158" s="523"/>
    </row>
    <row r="159" spans="1:12" x14ac:dyDescent="0.2">
      <c r="A159" s="222">
        <f>calculs!A159</f>
        <v>44710</v>
      </c>
      <c r="B159" s="535" t="e">
        <f ca="1">gr(calculs!BG159)</f>
        <v>#NAME?</v>
      </c>
      <c r="C159" s="535" t="e">
        <f ca="1">gr(calculs!BH159)</f>
        <v>#NAME?</v>
      </c>
      <c r="D159" s="535" t="e">
        <f ca="1">gr(calculs!BI159)</f>
        <v>#NAME?</v>
      </c>
      <c r="E159" s="535" t="e">
        <f ca="1">gr(calculs!BJ159)</f>
        <v>#NAME?</v>
      </c>
      <c r="F159" s="535" t="e">
        <f ca="1">gr(calculs!BK159)</f>
        <v>#NAME?</v>
      </c>
      <c r="G159" s="535" t="e">
        <v>#N/A</v>
      </c>
      <c r="H159" s="535" t="e">
        <v>#N/A</v>
      </c>
      <c r="I159" s="535" t="e">
        <v>#N/A</v>
      </c>
      <c r="J159" s="535" t="e">
        <v>#N/A</v>
      </c>
      <c r="K159" s="535" t="e">
        <v>#N/A</v>
      </c>
      <c r="L159" s="523"/>
    </row>
    <row r="160" spans="1:12" x14ac:dyDescent="0.2">
      <c r="A160" s="222">
        <f>calculs!A160</f>
        <v>44711</v>
      </c>
      <c r="B160" s="535" t="e">
        <f ca="1">gr(calculs!BG160)</f>
        <v>#NAME?</v>
      </c>
      <c r="C160" s="535" t="e">
        <f ca="1">gr(calculs!BH160)</f>
        <v>#NAME?</v>
      </c>
      <c r="D160" s="535" t="e">
        <f ca="1">gr(calculs!BI160)</f>
        <v>#NAME?</v>
      </c>
      <c r="E160" s="535" t="e">
        <f ca="1">gr(calculs!BJ160)</f>
        <v>#NAME?</v>
      </c>
      <c r="F160" s="535" t="e">
        <f ca="1">gr(calculs!BK160)</f>
        <v>#NAME?</v>
      </c>
      <c r="G160" s="535" t="e">
        <v>#N/A</v>
      </c>
      <c r="H160" s="535" t="e">
        <v>#N/A</v>
      </c>
      <c r="I160" s="535" t="e">
        <v>#N/A</v>
      </c>
      <c r="J160" s="535" t="e">
        <v>#N/A</v>
      </c>
      <c r="K160" s="535" t="e">
        <v>#N/A</v>
      </c>
      <c r="L160" s="523"/>
    </row>
    <row r="161" spans="1:12" x14ac:dyDescent="0.2">
      <c r="A161" s="222">
        <f>calculs!A161</f>
        <v>44712</v>
      </c>
      <c r="B161" s="535" t="e">
        <f ca="1">gr(calculs!BG161)</f>
        <v>#NAME?</v>
      </c>
      <c r="C161" s="535" t="e">
        <f ca="1">gr(calculs!BH161)</f>
        <v>#NAME?</v>
      </c>
      <c r="D161" s="535" t="e">
        <f ca="1">gr(calculs!BI161)</f>
        <v>#NAME?</v>
      </c>
      <c r="E161" s="535" t="e">
        <f ca="1">gr(calculs!BJ161)</f>
        <v>#NAME?</v>
      </c>
      <c r="F161" s="535" t="e">
        <f ca="1">gr(calculs!BK161)</f>
        <v>#NAME?</v>
      </c>
      <c r="G161" s="535" t="e">
        <v>#N/A</v>
      </c>
      <c r="H161" s="535" t="e">
        <v>#N/A</v>
      </c>
      <c r="I161" s="535" t="e">
        <v>#N/A</v>
      </c>
      <c r="J161" s="535" t="e">
        <v>#N/A</v>
      </c>
      <c r="K161" s="535" t="e">
        <v>#N/A</v>
      </c>
      <c r="L161" s="523"/>
    </row>
    <row r="162" spans="1:12" x14ac:dyDescent="0.2">
      <c r="A162" s="222">
        <f>calculs!A162</f>
        <v>44713</v>
      </c>
      <c r="B162" s="535" t="e">
        <f ca="1">gr(calculs!BG162)</f>
        <v>#NAME?</v>
      </c>
      <c r="C162" s="535" t="e">
        <f ca="1">gr(calculs!BH162)</f>
        <v>#NAME?</v>
      </c>
      <c r="D162" s="535" t="e">
        <f ca="1">gr(calculs!BI162)</f>
        <v>#NAME?</v>
      </c>
      <c r="E162" s="535" t="e">
        <f ca="1">gr(calculs!BJ162)</f>
        <v>#NAME?</v>
      </c>
      <c r="F162" s="535" t="e">
        <f ca="1">gr(calculs!BK162)</f>
        <v>#NAME?</v>
      </c>
      <c r="G162" s="535" t="e">
        <v>#N/A</v>
      </c>
      <c r="H162" s="535" t="e">
        <v>#N/A</v>
      </c>
      <c r="I162" s="535" t="e">
        <v>#N/A</v>
      </c>
      <c r="J162" s="535" t="e">
        <v>#N/A</v>
      </c>
      <c r="K162" s="535" t="e">
        <v>#N/A</v>
      </c>
      <c r="L162" s="523"/>
    </row>
    <row r="163" spans="1:12" x14ac:dyDescent="0.2">
      <c r="A163" s="222">
        <f>calculs!A163</f>
        <v>44714</v>
      </c>
      <c r="B163" s="535" t="e">
        <f ca="1">gr(calculs!BG163)</f>
        <v>#NAME?</v>
      </c>
      <c r="C163" s="535" t="e">
        <f ca="1">gr(calculs!BH163)</f>
        <v>#NAME?</v>
      </c>
      <c r="D163" s="535" t="e">
        <f ca="1">gr(calculs!BI163)</f>
        <v>#NAME?</v>
      </c>
      <c r="E163" s="535" t="e">
        <f ca="1">gr(calculs!BJ163)</f>
        <v>#NAME?</v>
      </c>
      <c r="F163" s="535" t="e">
        <f ca="1">gr(calculs!BK163)</f>
        <v>#NAME?</v>
      </c>
      <c r="G163" s="535" t="e">
        <v>#N/A</v>
      </c>
      <c r="H163" s="535" t="e">
        <v>#N/A</v>
      </c>
      <c r="I163" s="535" t="e">
        <v>#N/A</v>
      </c>
      <c r="J163" s="535" t="e">
        <v>#N/A</v>
      </c>
      <c r="K163" s="535" t="e">
        <v>#N/A</v>
      </c>
      <c r="L163" s="523"/>
    </row>
    <row r="164" spans="1:12" x14ac:dyDescent="0.2">
      <c r="A164" s="222">
        <f>calculs!A164</f>
        <v>44715</v>
      </c>
      <c r="B164" s="535" t="e">
        <f ca="1">gr(calculs!BG164)</f>
        <v>#NAME?</v>
      </c>
      <c r="C164" s="535" t="e">
        <f ca="1">gr(calculs!BH164)</f>
        <v>#NAME?</v>
      </c>
      <c r="D164" s="535" t="e">
        <f ca="1">gr(calculs!BI164)</f>
        <v>#NAME?</v>
      </c>
      <c r="E164" s="535" t="e">
        <f ca="1">gr(calculs!BJ164)</f>
        <v>#NAME?</v>
      </c>
      <c r="F164" s="535" t="e">
        <f ca="1">gr(calculs!BK164)</f>
        <v>#NAME?</v>
      </c>
      <c r="G164" s="535" t="e">
        <v>#N/A</v>
      </c>
      <c r="H164" s="535" t="e">
        <v>#N/A</v>
      </c>
      <c r="I164" s="535" t="e">
        <v>#N/A</v>
      </c>
      <c r="J164" s="535" t="e">
        <v>#N/A</v>
      </c>
      <c r="K164" s="535" t="e">
        <v>#N/A</v>
      </c>
      <c r="L164" s="523"/>
    </row>
    <row r="165" spans="1:12" x14ac:dyDescent="0.2">
      <c r="A165" s="222">
        <f>calculs!A165</f>
        <v>44716</v>
      </c>
      <c r="B165" s="535" t="e">
        <f ca="1">gr(calculs!BG165)</f>
        <v>#NAME?</v>
      </c>
      <c r="C165" s="535" t="e">
        <f ca="1">gr(calculs!BH165)</f>
        <v>#NAME?</v>
      </c>
      <c r="D165" s="535" t="e">
        <f ca="1">gr(calculs!BI165)</f>
        <v>#NAME?</v>
      </c>
      <c r="E165" s="535" t="e">
        <f ca="1">gr(calculs!BJ165)</f>
        <v>#NAME?</v>
      </c>
      <c r="F165" s="535" t="e">
        <f ca="1">gr(calculs!BK165)</f>
        <v>#NAME?</v>
      </c>
      <c r="G165" s="535" t="e">
        <v>#N/A</v>
      </c>
      <c r="H165" s="535" t="e">
        <v>#N/A</v>
      </c>
      <c r="I165" s="535" t="e">
        <v>#N/A</v>
      </c>
      <c r="J165" s="535" t="e">
        <v>#N/A</v>
      </c>
      <c r="K165" s="535" t="e">
        <v>#N/A</v>
      </c>
      <c r="L165" s="523"/>
    </row>
    <row r="166" spans="1:12" x14ac:dyDescent="0.2">
      <c r="A166" s="222">
        <f>calculs!A166</f>
        <v>44717</v>
      </c>
      <c r="B166" s="535" t="e">
        <f ca="1">gr(calculs!BG166)</f>
        <v>#NAME?</v>
      </c>
      <c r="C166" s="535" t="e">
        <f ca="1">gr(calculs!BH166)</f>
        <v>#NAME?</v>
      </c>
      <c r="D166" s="535" t="e">
        <f ca="1">gr(calculs!BI166)</f>
        <v>#NAME?</v>
      </c>
      <c r="E166" s="535" t="e">
        <f ca="1">gr(calculs!BJ166)</f>
        <v>#NAME?</v>
      </c>
      <c r="F166" s="535" t="e">
        <f ca="1">gr(calculs!BK166)</f>
        <v>#NAME?</v>
      </c>
      <c r="G166" s="535" t="e">
        <v>#N/A</v>
      </c>
      <c r="H166" s="535" t="e">
        <v>#N/A</v>
      </c>
      <c r="I166" s="535" t="e">
        <v>#N/A</v>
      </c>
      <c r="J166" s="535" t="e">
        <v>#N/A</v>
      </c>
      <c r="K166" s="535" t="e">
        <v>#N/A</v>
      </c>
      <c r="L166" s="523"/>
    </row>
    <row r="167" spans="1:12" x14ac:dyDescent="0.2">
      <c r="A167" s="222">
        <f>calculs!A167</f>
        <v>44718</v>
      </c>
      <c r="B167" s="535" t="e">
        <f ca="1">gr(calculs!BG167)</f>
        <v>#NAME?</v>
      </c>
      <c r="C167" s="535" t="e">
        <f ca="1">gr(calculs!BH167)</f>
        <v>#NAME?</v>
      </c>
      <c r="D167" s="535" t="e">
        <f ca="1">gr(calculs!BI167)</f>
        <v>#NAME?</v>
      </c>
      <c r="E167" s="535" t="e">
        <f ca="1">gr(calculs!BJ167)</f>
        <v>#NAME?</v>
      </c>
      <c r="F167" s="535" t="e">
        <f ca="1">gr(calculs!BK167)</f>
        <v>#NAME?</v>
      </c>
      <c r="G167" s="535" t="e">
        <v>#N/A</v>
      </c>
      <c r="H167" s="535" t="e">
        <v>#N/A</v>
      </c>
      <c r="I167" s="535" t="e">
        <v>#N/A</v>
      </c>
      <c r="J167" s="535" t="e">
        <v>#N/A</v>
      </c>
      <c r="K167" s="535" t="e">
        <v>#N/A</v>
      </c>
      <c r="L167" s="523"/>
    </row>
    <row r="168" spans="1:12" x14ac:dyDescent="0.2">
      <c r="A168" s="222">
        <f>calculs!A168</f>
        <v>44719</v>
      </c>
      <c r="B168" s="535" t="e">
        <f ca="1">gr(calculs!BG168)</f>
        <v>#NAME?</v>
      </c>
      <c r="C168" s="535" t="e">
        <f ca="1">gr(calculs!BH168)</f>
        <v>#NAME?</v>
      </c>
      <c r="D168" s="535" t="e">
        <f ca="1">gr(calculs!BI168)</f>
        <v>#NAME?</v>
      </c>
      <c r="E168" s="535" t="e">
        <f ca="1">gr(calculs!BJ168)</f>
        <v>#NAME?</v>
      </c>
      <c r="F168" s="535" t="e">
        <f ca="1">gr(calculs!BK168)</f>
        <v>#NAME?</v>
      </c>
      <c r="G168" s="535" t="e">
        <v>#N/A</v>
      </c>
      <c r="H168" s="535" t="e">
        <v>#N/A</v>
      </c>
      <c r="I168" s="535" t="e">
        <v>#N/A</v>
      </c>
      <c r="J168" s="535" t="e">
        <v>#N/A</v>
      </c>
      <c r="K168" s="535" t="e">
        <v>#N/A</v>
      </c>
      <c r="L168" s="523"/>
    </row>
    <row r="169" spans="1:12" x14ac:dyDescent="0.2">
      <c r="A169" s="222">
        <f>calculs!A169</f>
        <v>44720</v>
      </c>
      <c r="B169" s="535" t="e">
        <f ca="1">gr(calculs!BG169)</f>
        <v>#NAME?</v>
      </c>
      <c r="C169" s="535" t="e">
        <f ca="1">gr(calculs!BH169)</f>
        <v>#NAME?</v>
      </c>
      <c r="D169" s="535" t="e">
        <f ca="1">gr(calculs!BI169)</f>
        <v>#NAME?</v>
      </c>
      <c r="E169" s="535" t="e">
        <f ca="1">gr(calculs!BJ169)</f>
        <v>#NAME?</v>
      </c>
      <c r="F169" s="535" t="e">
        <f ca="1">gr(calculs!BK169)</f>
        <v>#NAME?</v>
      </c>
      <c r="G169" s="535" t="e">
        <v>#N/A</v>
      </c>
      <c r="H169" s="535" t="e">
        <v>#N/A</v>
      </c>
      <c r="I169" s="535" t="e">
        <v>#N/A</v>
      </c>
      <c r="J169" s="535" t="e">
        <v>#N/A</v>
      </c>
      <c r="K169" s="535" t="e">
        <v>#N/A</v>
      </c>
      <c r="L169" s="523"/>
    </row>
    <row r="170" spans="1:12" x14ac:dyDescent="0.2">
      <c r="A170" s="222">
        <f>calculs!A170</f>
        <v>44721</v>
      </c>
      <c r="B170" s="535" t="e">
        <f ca="1">gr(calculs!BG170)</f>
        <v>#NAME?</v>
      </c>
      <c r="C170" s="535" t="e">
        <f ca="1">gr(calculs!BH170)</f>
        <v>#NAME?</v>
      </c>
      <c r="D170" s="535" t="e">
        <f ca="1">gr(calculs!BI170)</f>
        <v>#NAME?</v>
      </c>
      <c r="E170" s="535" t="e">
        <f ca="1">gr(calculs!BJ170)</f>
        <v>#NAME?</v>
      </c>
      <c r="F170" s="535" t="e">
        <f ca="1">gr(calculs!BK170)</f>
        <v>#NAME?</v>
      </c>
      <c r="G170" s="535" t="e">
        <v>#N/A</v>
      </c>
      <c r="H170" s="535" t="e">
        <v>#N/A</v>
      </c>
      <c r="I170" s="535" t="e">
        <v>#N/A</v>
      </c>
      <c r="J170" s="535" t="e">
        <v>#N/A</v>
      </c>
      <c r="K170" s="535" t="e">
        <v>#N/A</v>
      </c>
      <c r="L170" s="523"/>
    </row>
    <row r="171" spans="1:12" x14ac:dyDescent="0.2">
      <c r="A171" s="222">
        <f>calculs!A171</f>
        <v>44722</v>
      </c>
      <c r="B171" s="535" t="e">
        <f ca="1">gr(calculs!BG171)</f>
        <v>#NAME?</v>
      </c>
      <c r="C171" s="535" t="e">
        <f ca="1">gr(calculs!BH171)</f>
        <v>#NAME?</v>
      </c>
      <c r="D171" s="535" t="e">
        <f ca="1">gr(calculs!BI171)</f>
        <v>#NAME?</v>
      </c>
      <c r="E171" s="535" t="e">
        <f ca="1">gr(calculs!BJ171)</f>
        <v>#NAME?</v>
      </c>
      <c r="F171" s="535" t="e">
        <f ca="1">gr(calculs!BK171)</f>
        <v>#NAME?</v>
      </c>
      <c r="G171" s="535" t="e">
        <v>#N/A</v>
      </c>
      <c r="H171" s="535" t="e">
        <v>#N/A</v>
      </c>
      <c r="I171" s="535" t="e">
        <v>#N/A</v>
      </c>
      <c r="J171" s="535" t="e">
        <v>#N/A</v>
      </c>
      <c r="K171" s="535" t="e">
        <v>#N/A</v>
      </c>
      <c r="L171" s="523"/>
    </row>
    <row r="172" spans="1:12" x14ac:dyDescent="0.2">
      <c r="A172" s="222">
        <f>calculs!A172</f>
        <v>44723</v>
      </c>
      <c r="B172" s="535" t="e">
        <f ca="1">gr(calculs!BG172)</f>
        <v>#NAME?</v>
      </c>
      <c r="C172" s="535" t="e">
        <f ca="1">gr(calculs!BH172)</f>
        <v>#NAME?</v>
      </c>
      <c r="D172" s="535" t="e">
        <f ca="1">gr(calculs!BI172)</f>
        <v>#NAME?</v>
      </c>
      <c r="E172" s="535" t="e">
        <f ca="1">gr(calculs!BJ172)</f>
        <v>#NAME?</v>
      </c>
      <c r="F172" s="535" t="e">
        <f ca="1">gr(calculs!BK172)</f>
        <v>#NAME?</v>
      </c>
      <c r="G172" s="535" t="e">
        <v>#N/A</v>
      </c>
      <c r="H172" s="535" t="e">
        <v>#N/A</v>
      </c>
      <c r="I172" s="535" t="e">
        <v>#N/A</v>
      </c>
      <c r="J172" s="535" t="e">
        <v>#N/A</v>
      </c>
      <c r="K172" s="535" t="e">
        <v>#N/A</v>
      </c>
      <c r="L172" s="523"/>
    </row>
    <row r="173" spans="1:12" x14ac:dyDescent="0.2">
      <c r="A173" s="222">
        <f>calculs!A173</f>
        <v>44724</v>
      </c>
      <c r="B173" s="535" t="e">
        <f ca="1">gr(calculs!BG173)</f>
        <v>#NAME?</v>
      </c>
      <c r="C173" s="535" t="e">
        <f ca="1">gr(calculs!BH173)</f>
        <v>#NAME?</v>
      </c>
      <c r="D173" s="535" t="e">
        <f ca="1">gr(calculs!BI173)</f>
        <v>#NAME?</v>
      </c>
      <c r="E173" s="535" t="e">
        <f ca="1">gr(calculs!BJ173)</f>
        <v>#NAME?</v>
      </c>
      <c r="F173" s="535" t="e">
        <f ca="1">gr(calculs!BK173)</f>
        <v>#NAME?</v>
      </c>
      <c r="G173" s="535" t="e">
        <v>#N/A</v>
      </c>
      <c r="H173" s="535" t="e">
        <v>#N/A</v>
      </c>
      <c r="I173" s="535" t="e">
        <v>#N/A</v>
      </c>
      <c r="J173" s="535" t="e">
        <v>#N/A</v>
      </c>
      <c r="K173" s="535" t="e">
        <v>#N/A</v>
      </c>
      <c r="L173" s="523"/>
    </row>
    <row r="174" spans="1:12" x14ac:dyDescent="0.2">
      <c r="A174" s="222">
        <f>calculs!A174</f>
        <v>44725</v>
      </c>
      <c r="B174" s="535" t="e">
        <f ca="1">gr(calculs!BG174)</f>
        <v>#NAME?</v>
      </c>
      <c r="C174" s="535" t="e">
        <f ca="1">gr(calculs!BH174)</f>
        <v>#NAME?</v>
      </c>
      <c r="D174" s="535" t="e">
        <f ca="1">gr(calculs!BI174)</f>
        <v>#NAME?</v>
      </c>
      <c r="E174" s="535" t="e">
        <f ca="1">gr(calculs!BJ174)</f>
        <v>#NAME?</v>
      </c>
      <c r="F174" s="535" t="e">
        <f ca="1">gr(calculs!BK174)</f>
        <v>#NAME?</v>
      </c>
      <c r="G174" s="535" t="e">
        <v>#N/A</v>
      </c>
      <c r="H174" s="535" t="e">
        <v>#N/A</v>
      </c>
      <c r="I174" s="535" t="e">
        <v>#N/A</v>
      </c>
      <c r="J174" s="535" t="e">
        <v>#N/A</v>
      </c>
      <c r="K174" s="535" t="e">
        <v>#N/A</v>
      </c>
      <c r="L174" s="523"/>
    </row>
    <row r="175" spans="1:12" x14ac:dyDescent="0.2">
      <c r="A175" s="222">
        <f>calculs!A175</f>
        <v>44726</v>
      </c>
      <c r="B175" s="535" t="e">
        <f ca="1">gr(calculs!BG175)</f>
        <v>#NAME?</v>
      </c>
      <c r="C175" s="535" t="e">
        <f ca="1">gr(calculs!BH175)</f>
        <v>#NAME?</v>
      </c>
      <c r="D175" s="535" t="e">
        <f ca="1">gr(calculs!BI175)</f>
        <v>#NAME?</v>
      </c>
      <c r="E175" s="535" t="e">
        <f ca="1">gr(calculs!BJ175)</f>
        <v>#NAME?</v>
      </c>
      <c r="F175" s="535" t="e">
        <f ca="1">gr(calculs!BK175)</f>
        <v>#NAME?</v>
      </c>
      <c r="G175" s="535" t="e">
        <v>#N/A</v>
      </c>
      <c r="H175" s="535" t="e">
        <v>#N/A</v>
      </c>
      <c r="I175" s="535" t="e">
        <v>#N/A</v>
      </c>
      <c r="J175" s="535" t="e">
        <v>#N/A</v>
      </c>
      <c r="K175" s="535" t="e">
        <v>#N/A</v>
      </c>
      <c r="L175" s="523"/>
    </row>
    <row r="176" spans="1:12" x14ac:dyDescent="0.2">
      <c r="A176" s="222">
        <f>calculs!A176</f>
        <v>44727</v>
      </c>
      <c r="B176" s="535" t="e">
        <f ca="1">gr(calculs!BG176)</f>
        <v>#NAME?</v>
      </c>
      <c r="C176" s="535" t="e">
        <f ca="1">gr(calculs!BH176)</f>
        <v>#NAME?</v>
      </c>
      <c r="D176" s="535" t="e">
        <f ca="1">gr(calculs!BI176)</f>
        <v>#NAME?</v>
      </c>
      <c r="E176" s="535" t="e">
        <f ca="1">gr(calculs!BJ176)</f>
        <v>#NAME?</v>
      </c>
      <c r="F176" s="535" t="e">
        <f ca="1">gr(calculs!BK176)</f>
        <v>#NAME?</v>
      </c>
      <c r="G176" s="535" t="e">
        <v>#N/A</v>
      </c>
      <c r="H176" s="535" t="e">
        <v>#N/A</v>
      </c>
      <c r="I176" s="535" t="e">
        <v>#N/A</v>
      </c>
      <c r="J176" s="535" t="e">
        <v>#N/A</v>
      </c>
      <c r="K176" s="535" t="e">
        <v>#N/A</v>
      </c>
      <c r="L176" s="523"/>
    </row>
    <row r="177" spans="1:12" x14ac:dyDescent="0.2">
      <c r="A177" s="222">
        <f>calculs!A177</f>
        <v>44728</v>
      </c>
      <c r="B177" s="535" t="e">
        <f ca="1">gr(calculs!BG177)</f>
        <v>#NAME?</v>
      </c>
      <c r="C177" s="535" t="e">
        <f ca="1">gr(calculs!BH177)</f>
        <v>#NAME?</v>
      </c>
      <c r="D177" s="535" t="e">
        <f ca="1">gr(calculs!BI177)</f>
        <v>#NAME?</v>
      </c>
      <c r="E177" s="535" t="e">
        <f ca="1">gr(calculs!BJ177)</f>
        <v>#NAME?</v>
      </c>
      <c r="F177" s="535" t="e">
        <f ca="1">gr(calculs!BK177)</f>
        <v>#NAME?</v>
      </c>
      <c r="G177" s="535" t="e">
        <v>#N/A</v>
      </c>
      <c r="H177" s="535" t="e">
        <v>#N/A</v>
      </c>
      <c r="I177" s="535" t="e">
        <v>#N/A</v>
      </c>
      <c r="J177" s="535" t="e">
        <v>#N/A</v>
      </c>
      <c r="K177" s="535" t="e">
        <v>#N/A</v>
      </c>
      <c r="L177" s="523"/>
    </row>
    <row r="178" spans="1:12" x14ac:dyDescent="0.2">
      <c r="A178" s="222">
        <f>calculs!A178</f>
        <v>44729</v>
      </c>
      <c r="B178" s="535" t="e">
        <f ca="1">gr(calculs!BG178)</f>
        <v>#NAME?</v>
      </c>
      <c r="C178" s="535" t="e">
        <f ca="1">gr(calculs!BH178)</f>
        <v>#NAME?</v>
      </c>
      <c r="D178" s="535" t="e">
        <f ca="1">gr(calculs!BI178)</f>
        <v>#NAME?</v>
      </c>
      <c r="E178" s="535" t="e">
        <f ca="1">gr(calculs!BJ178)</f>
        <v>#NAME?</v>
      </c>
      <c r="F178" s="535" t="e">
        <f ca="1">gr(calculs!BK178)</f>
        <v>#NAME?</v>
      </c>
      <c r="G178" s="535" t="e">
        <v>#N/A</v>
      </c>
      <c r="H178" s="535" t="e">
        <v>#N/A</v>
      </c>
      <c r="I178" s="535" t="e">
        <v>#N/A</v>
      </c>
      <c r="J178" s="535" t="e">
        <v>#N/A</v>
      </c>
      <c r="K178" s="535" t="e">
        <v>#N/A</v>
      </c>
      <c r="L178" s="523"/>
    </row>
    <row r="179" spans="1:12" x14ac:dyDescent="0.2">
      <c r="A179" s="222">
        <f>calculs!A179</f>
        <v>44730</v>
      </c>
      <c r="B179" s="535" t="e">
        <f ca="1">gr(calculs!BG179)</f>
        <v>#NAME?</v>
      </c>
      <c r="C179" s="535" t="e">
        <f ca="1">gr(calculs!BH179)</f>
        <v>#NAME?</v>
      </c>
      <c r="D179" s="535" t="e">
        <f ca="1">gr(calculs!BI179)</f>
        <v>#NAME?</v>
      </c>
      <c r="E179" s="535" t="e">
        <f ca="1">gr(calculs!BJ179)</f>
        <v>#NAME?</v>
      </c>
      <c r="F179" s="535" t="e">
        <f ca="1">gr(calculs!BK179)</f>
        <v>#NAME?</v>
      </c>
      <c r="G179" s="535" t="e">
        <v>#N/A</v>
      </c>
      <c r="H179" s="535" t="e">
        <v>#N/A</v>
      </c>
      <c r="I179" s="535" t="e">
        <v>#N/A</v>
      </c>
      <c r="J179" s="535" t="e">
        <v>#N/A</v>
      </c>
      <c r="K179" s="535" t="e">
        <v>#N/A</v>
      </c>
      <c r="L179" s="523"/>
    </row>
    <row r="180" spans="1:12" x14ac:dyDescent="0.2">
      <c r="A180" s="222">
        <f>calculs!A180</f>
        <v>44731</v>
      </c>
      <c r="B180" s="535" t="e">
        <f ca="1">gr(calculs!BG180)</f>
        <v>#NAME?</v>
      </c>
      <c r="C180" s="535" t="e">
        <f ca="1">gr(calculs!BH180)</f>
        <v>#NAME?</v>
      </c>
      <c r="D180" s="535" t="e">
        <f ca="1">gr(calculs!BI180)</f>
        <v>#NAME?</v>
      </c>
      <c r="E180" s="535" t="e">
        <f ca="1">gr(calculs!BJ180)</f>
        <v>#NAME?</v>
      </c>
      <c r="F180" s="535" t="e">
        <f ca="1">gr(calculs!BK180)</f>
        <v>#NAME?</v>
      </c>
      <c r="G180" s="535" t="e">
        <v>#N/A</v>
      </c>
      <c r="H180" s="535" t="e">
        <v>#N/A</v>
      </c>
      <c r="I180" s="535" t="e">
        <v>#N/A</v>
      </c>
      <c r="J180" s="535" t="e">
        <v>#N/A</v>
      </c>
      <c r="K180" s="535" t="e">
        <v>#N/A</v>
      </c>
      <c r="L180" s="523"/>
    </row>
    <row r="181" spans="1:12" x14ac:dyDescent="0.2">
      <c r="A181" s="222">
        <f>calculs!A181</f>
        <v>44732</v>
      </c>
      <c r="B181" s="535" t="e">
        <f ca="1">gr(calculs!BG181)</f>
        <v>#NAME?</v>
      </c>
      <c r="C181" s="535" t="e">
        <f ca="1">gr(calculs!BH181)</f>
        <v>#NAME?</v>
      </c>
      <c r="D181" s="535" t="e">
        <f ca="1">gr(calculs!BI181)</f>
        <v>#NAME?</v>
      </c>
      <c r="E181" s="535" t="e">
        <f ca="1">gr(calculs!BJ181)</f>
        <v>#NAME?</v>
      </c>
      <c r="F181" s="535" t="e">
        <f ca="1">gr(calculs!BK181)</f>
        <v>#NAME?</v>
      </c>
      <c r="G181" s="535" t="e">
        <v>#N/A</v>
      </c>
      <c r="H181" s="535" t="e">
        <v>#N/A</v>
      </c>
      <c r="I181" s="535" t="e">
        <v>#N/A</v>
      </c>
      <c r="J181" s="535" t="e">
        <v>#N/A</v>
      </c>
      <c r="K181" s="535" t="e">
        <v>#N/A</v>
      </c>
      <c r="L181" s="523"/>
    </row>
    <row r="182" spans="1:12" x14ac:dyDescent="0.2">
      <c r="A182" s="222">
        <f>calculs!A182</f>
        <v>44733</v>
      </c>
      <c r="B182" s="535" t="e">
        <f ca="1">gr(calculs!BG182)</f>
        <v>#NAME?</v>
      </c>
      <c r="C182" s="535" t="e">
        <f ca="1">gr(calculs!BH182)</f>
        <v>#NAME?</v>
      </c>
      <c r="D182" s="535" t="e">
        <f ca="1">gr(calculs!BI182)</f>
        <v>#NAME?</v>
      </c>
      <c r="E182" s="535" t="e">
        <f ca="1">gr(calculs!BJ182)</f>
        <v>#NAME?</v>
      </c>
      <c r="F182" s="535" t="e">
        <f ca="1">gr(calculs!BK182)</f>
        <v>#NAME?</v>
      </c>
      <c r="G182" s="535" t="e">
        <v>#N/A</v>
      </c>
      <c r="H182" s="535" t="e">
        <v>#N/A</v>
      </c>
      <c r="I182" s="535" t="e">
        <v>#N/A</v>
      </c>
      <c r="J182" s="535" t="e">
        <v>#N/A</v>
      </c>
      <c r="K182" s="535" t="e">
        <v>#N/A</v>
      </c>
      <c r="L182" s="523"/>
    </row>
    <row r="183" spans="1:12" x14ac:dyDescent="0.2">
      <c r="A183" s="222">
        <f>calculs!A183</f>
        <v>44734</v>
      </c>
      <c r="B183" s="535" t="e">
        <f ca="1">gr(calculs!BG183)</f>
        <v>#NAME?</v>
      </c>
      <c r="C183" s="535" t="e">
        <f ca="1">gr(calculs!BH183)</f>
        <v>#NAME?</v>
      </c>
      <c r="D183" s="535" t="e">
        <f ca="1">gr(calculs!BI183)</f>
        <v>#NAME?</v>
      </c>
      <c r="E183" s="535" t="e">
        <f ca="1">gr(calculs!BJ183)</f>
        <v>#NAME?</v>
      </c>
      <c r="F183" s="535" t="e">
        <f ca="1">gr(calculs!BK183)</f>
        <v>#NAME?</v>
      </c>
      <c r="G183" s="535" t="e">
        <v>#N/A</v>
      </c>
      <c r="H183" s="535" t="e">
        <v>#N/A</v>
      </c>
      <c r="I183" s="535" t="e">
        <v>#N/A</v>
      </c>
      <c r="J183" s="535" t="e">
        <v>#N/A</v>
      </c>
      <c r="K183" s="535" t="e">
        <v>#N/A</v>
      </c>
      <c r="L183" s="523"/>
    </row>
    <row r="184" spans="1:12" x14ac:dyDescent="0.2">
      <c r="A184" s="222">
        <f>calculs!A184</f>
        <v>44735</v>
      </c>
      <c r="B184" s="535" t="e">
        <f ca="1">gr(calculs!BG184)</f>
        <v>#NAME?</v>
      </c>
      <c r="C184" s="535" t="e">
        <f ca="1">gr(calculs!BH184)</f>
        <v>#NAME?</v>
      </c>
      <c r="D184" s="535" t="e">
        <f ca="1">gr(calculs!BI184)</f>
        <v>#NAME?</v>
      </c>
      <c r="E184" s="535" t="e">
        <f ca="1">gr(calculs!BJ184)</f>
        <v>#NAME?</v>
      </c>
      <c r="F184" s="535" t="e">
        <f ca="1">gr(calculs!BK184)</f>
        <v>#NAME?</v>
      </c>
      <c r="G184" s="535" t="e">
        <v>#N/A</v>
      </c>
      <c r="H184" s="535" t="e">
        <v>#N/A</v>
      </c>
      <c r="I184" s="535" t="e">
        <v>#N/A</v>
      </c>
      <c r="J184" s="535" t="e">
        <v>#N/A</v>
      </c>
      <c r="K184" s="535" t="e">
        <v>#N/A</v>
      </c>
      <c r="L184" s="523"/>
    </row>
    <row r="185" spans="1:12" x14ac:dyDescent="0.2">
      <c r="A185" s="222">
        <f>calculs!A185</f>
        <v>44736</v>
      </c>
      <c r="B185" s="535" t="e">
        <f ca="1">gr(calculs!BG185)</f>
        <v>#NAME?</v>
      </c>
      <c r="C185" s="535" t="e">
        <f ca="1">gr(calculs!BH185)</f>
        <v>#NAME?</v>
      </c>
      <c r="D185" s="535" t="e">
        <f ca="1">gr(calculs!BI185)</f>
        <v>#NAME?</v>
      </c>
      <c r="E185" s="535" t="e">
        <f ca="1">gr(calculs!BJ185)</f>
        <v>#NAME?</v>
      </c>
      <c r="F185" s="535" t="e">
        <f ca="1">gr(calculs!BK185)</f>
        <v>#NAME?</v>
      </c>
      <c r="G185" s="535" t="e">
        <v>#N/A</v>
      </c>
      <c r="H185" s="535" t="e">
        <v>#N/A</v>
      </c>
      <c r="I185" s="535" t="e">
        <v>#N/A</v>
      </c>
      <c r="J185" s="535" t="e">
        <v>#N/A</v>
      </c>
      <c r="K185" s="535" t="e">
        <v>#N/A</v>
      </c>
      <c r="L185" s="523"/>
    </row>
    <row r="186" spans="1:12" x14ac:dyDescent="0.2">
      <c r="A186" s="222">
        <f>calculs!A186</f>
        <v>44737</v>
      </c>
      <c r="B186" s="535" t="e">
        <f ca="1">gr(calculs!BG186)</f>
        <v>#NAME?</v>
      </c>
      <c r="C186" s="535" t="e">
        <f ca="1">gr(calculs!BH186)</f>
        <v>#NAME?</v>
      </c>
      <c r="D186" s="535" t="e">
        <f ca="1">gr(calculs!BI186)</f>
        <v>#NAME?</v>
      </c>
      <c r="E186" s="535" t="e">
        <f ca="1">gr(calculs!BJ186)</f>
        <v>#NAME?</v>
      </c>
      <c r="F186" s="535" t="e">
        <f ca="1">gr(calculs!BK186)</f>
        <v>#NAME?</v>
      </c>
      <c r="G186" s="535" t="e">
        <v>#N/A</v>
      </c>
      <c r="H186" s="535" t="e">
        <v>#N/A</v>
      </c>
      <c r="I186" s="535" t="e">
        <v>#N/A</v>
      </c>
      <c r="J186" s="535" t="e">
        <v>#N/A</v>
      </c>
      <c r="K186" s="535" t="e">
        <v>#N/A</v>
      </c>
      <c r="L186" s="523"/>
    </row>
    <row r="187" spans="1:12" x14ac:dyDescent="0.2">
      <c r="A187" s="222">
        <f>calculs!A187</f>
        <v>44738</v>
      </c>
      <c r="B187" s="535" t="e">
        <f ca="1">gr(calculs!BG187)</f>
        <v>#NAME?</v>
      </c>
      <c r="C187" s="535" t="e">
        <f ca="1">gr(calculs!BH187)</f>
        <v>#NAME?</v>
      </c>
      <c r="D187" s="535" t="e">
        <f ca="1">gr(calculs!BI187)</f>
        <v>#NAME?</v>
      </c>
      <c r="E187" s="535" t="e">
        <f ca="1">gr(calculs!BJ187)</f>
        <v>#NAME?</v>
      </c>
      <c r="F187" s="535" t="e">
        <f ca="1">gr(calculs!BK187)</f>
        <v>#NAME?</v>
      </c>
      <c r="G187" s="535" t="e">
        <v>#N/A</v>
      </c>
      <c r="H187" s="535" t="e">
        <v>#N/A</v>
      </c>
      <c r="I187" s="535" t="e">
        <v>#N/A</v>
      </c>
      <c r="J187" s="535" t="e">
        <v>#N/A</v>
      </c>
      <c r="K187" s="535" t="e">
        <v>#N/A</v>
      </c>
      <c r="L187" s="523"/>
    </row>
    <row r="188" spans="1:12" x14ac:dyDescent="0.2">
      <c r="A188" s="222">
        <f>calculs!A188</f>
        <v>44739</v>
      </c>
      <c r="B188" s="535" t="e">
        <f ca="1">gr(calculs!BG188)</f>
        <v>#NAME?</v>
      </c>
      <c r="C188" s="535" t="e">
        <f ca="1">gr(calculs!BH188)</f>
        <v>#NAME?</v>
      </c>
      <c r="D188" s="535" t="e">
        <f ca="1">gr(calculs!BI188)</f>
        <v>#NAME?</v>
      </c>
      <c r="E188" s="535" t="e">
        <f ca="1">gr(calculs!BJ188)</f>
        <v>#NAME?</v>
      </c>
      <c r="F188" s="535" t="e">
        <f ca="1">gr(calculs!BK188)</f>
        <v>#NAME?</v>
      </c>
      <c r="G188" s="535" t="e">
        <v>#N/A</v>
      </c>
      <c r="H188" s="535" t="e">
        <v>#N/A</v>
      </c>
      <c r="I188" s="535" t="e">
        <v>#N/A</v>
      </c>
      <c r="J188" s="535" t="e">
        <v>#N/A</v>
      </c>
      <c r="K188" s="535" t="e">
        <v>#N/A</v>
      </c>
      <c r="L188" s="523"/>
    </row>
    <row r="189" spans="1:12" x14ac:dyDescent="0.2">
      <c r="A189" s="222">
        <f>calculs!A189</f>
        <v>44740</v>
      </c>
      <c r="B189" s="535" t="e">
        <f ca="1">gr(calculs!BG189)</f>
        <v>#NAME?</v>
      </c>
      <c r="C189" s="535" t="e">
        <f ca="1">gr(calculs!BH189)</f>
        <v>#NAME?</v>
      </c>
      <c r="D189" s="535" t="e">
        <f ca="1">gr(calculs!BI189)</f>
        <v>#NAME?</v>
      </c>
      <c r="E189" s="535" t="e">
        <f ca="1">gr(calculs!BJ189)</f>
        <v>#NAME?</v>
      </c>
      <c r="F189" s="535" t="e">
        <f ca="1">gr(calculs!BK189)</f>
        <v>#NAME?</v>
      </c>
      <c r="G189" s="535" t="e">
        <v>#N/A</v>
      </c>
      <c r="H189" s="535" t="e">
        <v>#N/A</v>
      </c>
      <c r="I189" s="535" t="e">
        <v>#N/A</v>
      </c>
      <c r="J189" s="535" t="e">
        <v>#N/A</v>
      </c>
      <c r="K189" s="535" t="e">
        <v>#N/A</v>
      </c>
      <c r="L189" s="523"/>
    </row>
    <row r="190" spans="1:12" x14ac:dyDescent="0.2">
      <c r="A190" s="222">
        <f>calculs!A190</f>
        <v>44741</v>
      </c>
      <c r="B190" s="535" t="e">
        <f ca="1">gr(calculs!BG190)</f>
        <v>#NAME?</v>
      </c>
      <c r="C190" s="535" t="e">
        <f ca="1">gr(calculs!BH190)</f>
        <v>#NAME?</v>
      </c>
      <c r="D190" s="535" t="e">
        <f ca="1">gr(calculs!BI190)</f>
        <v>#NAME?</v>
      </c>
      <c r="E190" s="535" t="e">
        <f ca="1">gr(calculs!BJ190)</f>
        <v>#NAME?</v>
      </c>
      <c r="F190" s="535" t="e">
        <f ca="1">gr(calculs!BK190)</f>
        <v>#NAME?</v>
      </c>
      <c r="G190" s="535" t="e">
        <v>#N/A</v>
      </c>
      <c r="H190" s="535" t="e">
        <v>#N/A</v>
      </c>
      <c r="I190" s="535" t="e">
        <v>#N/A</v>
      </c>
      <c r="J190" s="535" t="e">
        <v>#N/A</v>
      </c>
      <c r="K190" s="535" t="e">
        <v>#N/A</v>
      </c>
      <c r="L190" s="523"/>
    </row>
    <row r="191" spans="1:12" x14ac:dyDescent="0.2">
      <c r="A191" s="222">
        <f>calculs!A191</f>
        <v>44742</v>
      </c>
      <c r="B191" s="535" t="e">
        <f ca="1">gr(calculs!BG191)</f>
        <v>#NAME?</v>
      </c>
      <c r="C191" s="535" t="e">
        <f ca="1">gr(calculs!BH191)</f>
        <v>#NAME?</v>
      </c>
      <c r="D191" s="535" t="e">
        <f ca="1">gr(calculs!BI191)</f>
        <v>#NAME?</v>
      </c>
      <c r="E191" s="535" t="e">
        <f ca="1">gr(calculs!BJ191)</f>
        <v>#NAME?</v>
      </c>
      <c r="F191" s="535" t="e">
        <f ca="1">gr(calculs!BK191)</f>
        <v>#NAME?</v>
      </c>
      <c r="G191" s="535" t="e">
        <v>#N/A</v>
      </c>
      <c r="H191" s="535" t="e">
        <v>#N/A</v>
      </c>
      <c r="I191" s="535" t="e">
        <v>#N/A</v>
      </c>
      <c r="J191" s="535" t="e">
        <v>#N/A</v>
      </c>
      <c r="K191" s="535" t="e">
        <v>#N/A</v>
      </c>
      <c r="L191" s="523"/>
    </row>
    <row r="192" spans="1:12" x14ac:dyDescent="0.2">
      <c r="A192" s="222">
        <f>calculs!A192</f>
        <v>44743</v>
      </c>
      <c r="B192" s="535" t="e">
        <f ca="1">gr(calculs!BG192)</f>
        <v>#NAME?</v>
      </c>
      <c r="C192" s="535" t="e">
        <f ca="1">gr(calculs!BH192)</f>
        <v>#NAME?</v>
      </c>
      <c r="D192" s="535" t="e">
        <f ca="1">gr(calculs!BI192)</f>
        <v>#NAME?</v>
      </c>
      <c r="E192" s="535" t="e">
        <f ca="1">gr(calculs!BJ192)</f>
        <v>#NAME?</v>
      </c>
      <c r="F192" s="535" t="e">
        <f ca="1">gr(calculs!BK192)</f>
        <v>#NAME?</v>
      </c>
      <c r="G192" s="535" t="e">
        <v>#N/A</v>
      </c>
      <c r="H192" s="535" t="e">
        <v>#N/A</v>
      </c>
      <c r="I192" s="535" t="e">
        <v>#N/A</v>
      </c>
      <c r="J192" s="535" t="e">
        <v>#N/A</v>
      </c>
      <c r="K192" s="535" t="e">
        <v>#N/A</v>
      </c>
      <c r="L192" s="523"/>
    </row>
    <row r="193" spans="1:12" x14ac:dyDescent="0.2">
      <c r="A193" s="222">
        <f>calculs!A193</f>
        <v>44744</v>
      </c>
      <c r="B193" s="535" t="e">
        <f ca="1">gr(calculs!BG193)</f>
        <v>#NAME?</v>
      </c>
      <c r="C193" s="535" t="e">
        <f ca="1">gr(calculs!BH193)</f>
        <v>#NAME?</v>
      </c>
      <c r="D193" s="535" t="e">
        <f ca="1">gr(calculs!BI193)</f>
        <v>#NAME?</v>
      </c>
      <c r="E193" s="535" t="e">
        <f ca="1">gr(calculs!BJ193)</f>
        <v>#NAME?</v>
      </c>
      <c r="F193" s="535" t="e">
        <f ca="1">gr(calculs!BK193)</f>
        <v>#NAME?</v>
      </c>
      <c r="G193" s="535" t="e">
        <v>#N/A</v>
      </c>
      <c r="H193" s="535" t="e">
        <v>#N/A</v>
      </c>
      <c r="I193" s="535" t="e">
        <v>#N/A</v>
      </c>
      <c r="J193" s="535" t="e">
        <v>#N/A</v>
      </c>
      <c r="K193" s="535" t="e">
        <v>#N/A</v>
      </c>
      <c r="L193" s="523"/>
    </row>
    <row r="194" spans="1:12" x14ac:dyDescent="0.2">
      <c r="A194" s="222">
        <f>calculs!A194</f>
        <v>44745</v>
      </c>
      <c r="B194" s="535" t="e">
        <f ca="1">gr(calculs!BG194)</f>
        <v>#NAME?</v>
      </c>
      <c r="C194" s="535" t="e">
        <f ca="1">gr(calculs!BH194)</f>
        <v>#NAME?</v>
      </c>
      <c r="D194" s="535" t="e">
        <f ca="1">gr(calculs!BI194)</f>
        <v>#NAME?</v>
      </c>
      <c r="E194" s="535" t="e">
        <f ca="1">gr(calculs!BJ194)</f>
        <v>#NAME?</v>
      </c>
      <c r="F194" s="535" t="e">
        <f ca="1">gr(calculs!BK194)</f>
        <v>#NAME?</v>
      </c>
      <c r="G194" s="535" t="e">
        <v>#N/A</v>
      </c>
      <c r="H194" s="535" t="e">
        <v>#N/A</v>
      </c>
      <c r="I194" s="535" t="e">
        <v>#N/A</v>
      </c>
      <c r="J194" s="535" t="e">
        <v>#N/A</v>
      </c>
      <c r="K194" s="535" t="e">
        <v>#N/A</v>
      </c>
      <c r="L194" s="523"/>
    </row>
    <row r="195" spans="1:12" x14ac:dyDescent="0.2">
      <c r="A195" s="222">
        <f>calculs!A195</f>
        <v>44746</v>
      </c>
      <c r="B195" s="535" t="e">
        <f ca="1">gr(calculs!BG195)</f>
        <v>#NAME?</v>
      </c>
      <c r="C195" s="535" t="e">
        <f ca="1">gr(calculs!BH195)</f>
        <v>#NAME?</v>
      </c>
      <c r="D195" s="535" t="e">
        <f ca="1">gr(calculs!BI195)</f>
        <v>#NAME?</v>
      </c>
      <c r="E195" s="535" t="e">
        <f ca="1">gr(calculs!BJ195)</f>
        <v>#NAME?</v>
      </c>
      <c r="F195" s="535" t="e">
        <f ca="1">gr(calculs!BK195)</f>
        <v>#NAME?</v>
      </c>
      <c r="G195" s="535" t="e">
        <v>#N/A</v>
      </c>
      <c r="H195" s="535" t="e">
        <v>#N/A</v>
      </c>
      <c r="I195" s="535" t="e">
        <v>#N/A</v>
      </c>
      <c r="J195" s="535" t="e">
        <v>#N/A</v>
      </c>
      <c r="K195" s="535" t="e">
        <v>#N/A</v>
      </c>
      <c r="L195" s="523"/>
    </row>
    <row r="196" spans="1:12" x14ac:dyDescent="0.2">
      <c r="A196" s="222">
        <f>calculs!A196</f>
        <v>44747</v>
      </c>
      <c r="B196" s="535" t="e">
        <f ca="1">gr(calculs!BG196)</f>
        <v>#NAME?</v>
      </c>
      <c r="C196" s="535" t="e">
        <f ca="1">gr(calculs!BH196)</f>
        <v>#NAME?</v>
      </c>
      <c r="D196" s="535" t="e">
        <f ca="1">gr(calculs!BI196)</f>
        <v>#NAME?</v>
      </c>
      <c r="E196" s="535" t="e">
        <f ca="1">gr(calculs!BJ196)</f>
        <v>#NAME?</v>
      </c>
      <c r="F196" s="535" t="e">
        <f ca="1">gr(calculs!BK196)</f>
        <v>#NAME?</v>
      </c>
      <c r="G196" s="535" t="e">
        <v>#N/A</v>
      </c>
      <c r="H196" s="535" t="e">
        <v>#N/A</v>
      </c>
      <c r="I196" s="535" t="e">
        <v>#N/A</v>
      </c>
      <c r="J196" s="535" t="e">
        <v>#N/A</v>
      </c>
      <c r="K196" s="535" t="e">
        <v>#N/A</v>
      </c>
      <c r="L196" s="523"/>
    </row>
    <row r="197" spans="1:12" x14ac:dyDescent="0.2">
      <c r="A197" s="222">
        <f>calculs!A197</f>
        <v>44748</v>
      </c>
      <c r="B197" s="535" t="e">
        <f ca="1">gr(calculs!BG197)</f>
        <v>#NAME?</v>
      </c>
      <c r="C197" s="535" t="e">
        <f ca="1">gr(calculs!BH197)</f>
        <v>#NAME?</v>
      </c>
      <c r="D197" s="535" t="e">
        <f ca="1">gr(calculs!BI197)</f>
        <v>#NAME?</v>
      </c>
      <c r="E197" s="535" t="e">
        <f ca="1">gr(calculs!BJ197)</f>
        <v>#NAME?</v>
      </c>
      <c r="F197" s="535" t="e">
        <f ca="1">gr(calculs!BK197)</f>
        <v>#NAME?</v>
      </c>
      <c r="G197" s="535" t="e">
        <v>#N/A</v>
      </c>
      <c r="H197" s="535" t="e">
        <v>#N/A</v>
      </c>
      <c r="I197" s="535" t="e">
        <v>#N/A</v>
      </c>
      <c r="J197" s="535" t="e">
        <v>#N/A</v>
      </c>
      <c r="K197" s="535" t="e">
        <v>#N/A</v>
      </c>
      <c r="L197" s="523"/>
    </row>
    <row r="198" spans="1:12" x14ac:dyDescent="0.2">
      <c r="A198" s="222">
        <f>calculs!A198</f>
        <v>44749</v>
      </c>
      <c r="B198" s="535" t="e">
        <f ca="1">gr(calculs!BG198)</f>
        <v>#NAME?</v>
      </c>
      <c r="C198" s="535" t="e">
        <f ca="1">gr(calculs!BH198)</f>
        <v>#NAME?</v>
      </c>
      <c r="D198" s="535" t="e">
        <f ca="1">gr(calculs!BI198)</f>
        <v>#NAME?</v>
      </c>
      <c r="E198" s="535" t="e">
        <f ca="1">gr(calculs!BJ198)</f>
        <v>#NAME?</v>
      </c>
      <c r="F198" s="535" t="e">
        <f ca="1">gr(calculs!BK198)</f>
        <v>#NAME?</v>
      </c>
      <c r="G198" s="535" t="e">
        <v>#N/A</v>
      </c>
      <c r="H198" s="535" t="e">
        <v>#N/A</v>
      </c>
      <c r="I198" s="535" t="e">
        <v>#N/A</v>
      </c>
      <c r="J198" s="535" t="e">
        <v>#N/A</v>
      </c>
      <c r="K198" s="535" t="e">
        <v>#N/A</v>
      </c>
      <c r="L198" s="523"/>
    </row>
    <row r="199" spans="1:12" x14ac:dyDescent="0.2">
      <c r="A199" s="222">
        <f>calculs!A199</f>
        <v>44750</v>
      </c>
      <c r="B199" s="535" t="e">
        <f ca="1">gr(calculs!BG199)</f>
        <v>#NAME?</v>
      </c>
      <c r="C199" s="535" t="e">
        <f ca="1">gr(calculs!BH199)</f>
        <v>#NAME?</v>
      </c>
      <c r="D199" s="535" t="e">
        <f ca="1">gr(calculs!BI199)</f>
        <v>#NAME?</v>
      </c>
      <c r="E199" s="535" t="e">
        <f ca="1">gr(calculs!BJ199)</f>
        <v>#NAME?</v>
      </c>
      <c r="F199" s="535" t="e">
        <f ca="1">gr(calculs!BK199)</f>
        <v>#NAME?</v>
      </c>
      <c r="G199" s="535" t="e">
        <v>#N/A</v>
      </c>
      <c r="H199" s="535" t="e">
        <v>#N/A</v>
      </c>
      <c r="I199" s="535" t="e">
        <v>#N/A</v>
      </c>
      <c r="J199" s="535" t="e">
        <v>#N/A</v>
      </c>
      <c r="K199" s="535" t="e">
        <v>#N/A</v>
      </c>
      <c r="L199" s="523"/>
    </row>
    <row r="200" spans="1:12" x14ac:dyDescent="0.2">
      <c r="A200" s="222">
        <f>calculs!A200</f>
        <v>44751</v>
      </c>
      <c r="B200" s="535" t="e">
        <f ca="1">gr(calculs!BG200)</f>
        <v>#NAME?</v>
      </c>
      <c r="C200" s="535" t="e">
        <f ca="1">gr(calculs!BH200)</f>
        <v>#NAME?</v>
      </c>
      <c r="D200" s="535" t="e">
        <f ca="1">gr(calculs!BI200)</f>
        <v>#NAME?</v>
      </c>
      <c r="E200" s="535" t="e">
        <f ca="1">gr(calculs!BJ200)</f>
        <v>#NAME?</v>
      </c>
      <c r="F200" s="535" t="e">
        <f ca="1">gr(calculs!BK200)</f>
        <v>#NAME?</v>
      </c>
      <c r="G200" s="535" t="e">
        <v>#N/A</v>
      </c>
      <c r="H200" s="535" t="e">
        <v>#N/A</v>
      </c>
      <c r="I200" s="535" t="e">
        <v>#N/A</v>
      </c>
      <c r="J200" s="535" t="e">
        <v>#N/A</v>
      </c>
      <c r="K200" s="535" t="e">
        <v>#N/A</v>
      </c>
      <c r="L200" s="523"/>
    </row>
    <row r="201" spans="1:12" x14ac:dyDescent="0.2">
      <c r="A201" s="222">
        <f>calculs!A201</f>
        <v>44752</v>
      </c>
      <c r="B201" s="535" t="e">
        <f ca="1">gr(calculs!BG201)</f>
        <v>#NAME?</v>
      </c>
      <c r="C201" s="535" t="e">
        <f ca="1">gr(calculs!BH201)</f>
        <v>#NAME?</v>
      </c>
      <c r="D201" s="535" t="e">
        <f ca="1">gr(calculs!BI201)</f>
        <v>#NAME?</v>
      </c>
      <c r="E201" s="535" t="e">
        <f ca="1">gr(calculs!BJ201)</f>
        <v>#NAME?</v>
      </c>
      <c r="F201" s="535" t="e">
        <f ca="1">gr(calculs!BK201)</f>
        <v>#NAME?</v>
      </c>
      <c r="G201" s="535" t="e">
        <v>#N/A</v>
      </c>
      <c r="H201" s="535" t="e">
        <v>#N/A</v>
      </c>
      <c r="I201" s="535" t="e">
        <v>#N/A</v>
      </c>
      <c r="J201" s="535" t="e">
        <v>#N/A</v>
      </c>
      <c r="K201" s="535" t="e">
        <v>#N/A</v>
      </c>
      <c r="L201" s="523"/>
    </row>
    <row r="202" spans="1:12" x14ac:dyDescent="0.2">
      <c r="A202" s="222">
        <f>calculs!A202</f>
        <v>44753</v>
      </c>
      <c r="B202" s="535" t="e">
        <f ca="1">gr(calculs!BG202)</f>
        <v>#NAME?</v>
      </c>
      <c r="C202" s="535" t="e">
        <f ca="1">gr(calculs!BH202)</f>
        <v>#NAME?</v>
      </c>
      <c r="D202" s="535" t="e">
        <f ca="1">gr(calculs!BI202)</f>
        <v>#NAME?</v>
      </c>
      <c r="E202" s="535" t="e">
        <f ca="1">gr(calculs!BJ202)</f>
        <v>#NAME?</v>
      </c>
      <c r="F202" s="535" t="e">
        <f ca="1">gr(calculs!BK202)</f>
        <v>#NAME?</v>
      </c>
      <c r="G202" s="535" t="e">
        <v>#N/A</v>
      </c>
      <c r="H202" s="535" t="e">
        <v>#N/A</v>
      </c>
      <c r="I202" s="535" t="e">
        <v>#N/A</v>
      </c>
      <c r="J202" s="535" t="e">
        <v>#N/A</v>
      </c>
      <c r="K202" s="535" t="e">
        <v>#N/A</v>
      </c>
      <c r="L202" s="523"/>
    </row>
    <row r="203" spans="1:12" x14ac:dyDescent="0.2">
      <c r="A203" s="222">
        <f>calculs!A203</f>
        <v>44754</v>
      </c>
      <c r="B203" s="535" t="e">
        <f ca="1">gr(calculs!BG203)</f>
        <v>#NAME?</v>
      </c>
      <c r="C203" s="535" t="e">
        <f ca="1">gr(calculs!BH203)</f>
        <v>#NAME?</v>
      </c>
      <c r="D203" s="535" t="e">
        <f ca="1">gr(calculs!BI203)</f>
        <v>#NAME?</v>
      </c>
      <c r="E203" s="535" t="e">
        <f ca="1">gr(calculs!BJ203)</f>
        <v>#NAME?</v>
      </c>
      <c r="F203" s="535" t="e">
        <f ca="1">gr(calculs!BK203)</f>
        <v>#NAME?</v>
      </c>
      <c r="G203" s="535" t="e">
        <v>#N/A</v>
      </c>
      <c r="H203" s="535" t="e">
        <v>#N/A</v>
      </c>
      <c r="I203" s="535" t="e">
        <v>#N/A</v>
      </c>
      <c r="J203" s="535" t="e">
        <v>#N/A</v>
      </c>
      <c r="K203" s="535" t="e">
        <v>#N/A</v>
      </c>
      <c r="L203" s="523"/>
    </row>
    <row r="204" spans="1:12" x14ac:dyDescent="0.2">
      <c r="A204" s="222">
        <f>calculs!A204</f>
        <v>44755</v>
      </c>
      <c r="B204" s="535" t="e">
        <f ca="1">gr(calculs!BG204)</f>
        <v>#NAME?</v>
      </c>
      <c r="C204" s="535" t="e">
        <f ca="1">gr(calculs!BH204)</f>
        <v>#NAME?</v>
      </c>
      <c r="D204" s="535" t="e">
        <f ca="1">gr(calculs!BI204)</f>
        <v>#NAME?</v>
      </c>
      <c r="E204" s="535" t="e">
        <f ca="1">gr(calculs!BJ204)</f>
        <v>#NAME?</v>
      </c>
      <c r="F204" s="535" t="e">
        <f ca="1">gr(calculs!BK204)</f>
        <v>#NAME?</v>
      </c>
      <c r="G204" s="535" t="e">
        <v>#N/A</v>
      </c>
      <c r="H204" s="535" t="e">
        <v>#N/A</v>
      </c>
      <c r="I204" s="535" t="e">
        <v>#N/A</v>
      </c>
      <c r="J204" s="535" t="e">
        <v>#N/A</v>
      </c>
      <c r="K204" s="535" t="e">
        <v>#N/A</v>
      </c>
      <c r="L204" s="523"/>
    </row>
    <row r="205" spans="1:12" x14ac:dyDescent="0.2">
      <c r="A205" s="222">
        <f>calculs!A205</f>
        <v>44756</v>
      </c>
      <c r="B205" s="535" t="e">
        <f ca="1">gr(calculs!BG205)</f>
        <v>#NAME?</v>
      </c>
      <c r="C205" s="535" t="e">
        <f ca="1">gr(calculs!BH205)</f>
        <v>#NAME?</v>
      </c>
      <c r="D205" s="535" t="e">
        <f ca="1">gr(calculs!BI205)</f>
        <v>#NAME?</v>
      </c>
      <c r="E205" s="535" t="e">
        <f ca="1">gr(calculs!BJ205)</f>
        <v>#NAME?</v>
      </c>
      <c r="F205" s="535" t="e">
        <f ca="1">gr(calculs!BK205)</f>
        <v>#NAME?</v>
      </c>
      <c r="G205" s="535" t="e">
        <v>#N/A</v>
      </c>
      <c r="H205" s="535" t="e">
        <v>#N/A</v>
      </c>
      <c r="I205" s="535" t="e">
        <v>#N/A</v>
      </c>
      <c r="J205" s="535" t="e">
        <v>#N/A</v>
      </c>
      <c r="K205" s="535" t="e">
        <v>#N/A</v>
      </c>
      <c r="L205" s="523"/>
    </row>
    <row r="206" spans="1:12" x14ac:dyDescent="0.2">
      <c r="A206" s="222">
        <f>calculs!A206</f>
        <v>44757</v>
      </c>
      <c r="B206" s="535" t="e">
        <f ca="1">gr(calculs!BG206)</f>
        <v>#NAME?</v>
      </c>
      <c r="C206" s="535" t="e">
        <f ca="1">gr(calculs!BH206)</f>
        <v>#NAME?</v>
      </c>
      <c r="D206" s="535" t="e">
        <f ca="1">gr(calculs!BI206)</f>
        <v>#NAME?</v>
      </c>
      <c r="E206" s="535" t="e">
        <f ca="1">gr(calculs!BJ206)</f>
        <v>#NAME?</v>
      </c>
      <c r="F206" s="535" t="e">
        <f ca="1">gr(calculs!BK206)</f>
        <v>#NAME?</v>
      </c>
      <c r="G206" s="535" t="e">
        <v>#N/A</v>
      </c>
      <c r="H206" s="535" t="e">
        <v>#N/A</v>
      </c>
      <c r="I206" s="535" t="e">
        <v>#N/A</v>
      </c>
      <c r="J206" s="535" t="e">
        <v>#N/A</v>
      </c>
      <c r="K206" s="535" t="e">
        <v>#N/A</v>
      </c>
      <c r="L206" s="523"/>
    </row>
    <row r="207" spans="1:12" x14ac:dyDescent="0.2">
      <c r="A207" s="222">
        <f>calculs!A207</f>
        <v>44758</v>
      </c>
      <c r="B207" s="535" t="e">
        <f ca="1">gr(calculs!BG207)</f>
        <v>#NAME?</v>
      </c>
      <c r="C207" s="535" t="e">
        <f ca="1">gr(calculs!BH207)</f>
        <v>#NAME?</v>
      </c>
      <c r="D207" s="535" t="e">
        <f ca="1">gr(calculs!BI207)</f>
        <v>#NAME?</v>
      </c>
      <c r="E207" s="535" t="e">
        <f ca="1">gr(calculs!BJ207)</f>
        <v>#NAME?</v>
      </c>
      <c r="F207" s="535" t="e">
        <f ca="1">gr(calculs!BK207)</f>
        <v>#NAME?</v>
      </c>
      <c r="G207" s="535" t="e">
        <v>#N/A</v>
      </c>
      <c r="H207" s="535" t="e">
        <v>#N/A</v>
      </c>
      <c r="I207" s="535" t="e">
        <v>#N/A</v>
      </c>
      <c r="J207" s="535" t="e">
        <v>#N/A</v>
      </c>
      <c r="K207" s="535" t="e">
        <v>#N/A</v>
      </c>
      <c r="L207" s="523"/>
    </row>
    <row r="208" spans="1:12" x14ac:dyDescent="0.2">
      <c r="A208" s="222">
        <f>calculs!A208</f>
        <v>44759</v>
      </c>
      <c r="B208" s="535" t="e">
        <f ca="1">gr(calculs!BG208)</f>
        <v>#NAME?</v>
      </c>
      <c r="C208" s="535" t="e">
        <f ca="1">gr(calculs!BH208)</f>
        <v>#NAME?</v>
      </c>
      <c r="D208" s="535" t="e">
        <f ca="1">gr(calculs!BI208)</f>
        <v>#NAME?</v>
      </c>
      <c r="E208" s="535" t="e">
        <f ca="1">gr(calculs!BJ208)</f>
        <v>#NAME?</v>
      </c>
      <c r="F208" s="535" t="e">
        <f ca="1">gr(calculs!BK208)</f>
        <v>#NAME?</v>
      </c>
      <c r="G208" s="535" t="e">
        <v>#N/A</v>
      </c>
      <c r="H208" s="535" t="e">
        <v>#N/A</v>
      </c>
      <c r="I208" s="535" t="e">
        <v>#N/A</v>
      </c>
      <c r="J208" s="535" t="e">
        <v>#N/A</v>
      </c>
      <c r="K208" s="535" t="e">
        <v>#N/A</v>
      </c>
      <c r="L208" s="523"/>
    </row>
    <row r="209" spans="1:12" x14ac:dyDescent="0.2">
      <c r="A209" s="222">
        <f>calculs!A209</f>
        <v>44760</v>
      </c>
      <c r="B209" s="535" t="e">
        <f ca="1">gr(calculs!BG209)</f>
        <v>#NAME?</v>
      </c>
      <c r="C209" s="535" t="e">
        <f ca="1">gr(calculs!BH209)</f>
        <v>#NAME?</v>
      </c>
      <c r="D209" s="535" t="e">
        <f ca="1">gr(calculs!BI209)</f>
        <v>#NAME?</v>
      </c>
      <c r="E209" s="535" t="e">
        <f ca="1">gr(calculs!BJ209)</f>
        <v>#NAME?</v>
      </c>
      <c r="F209" s="535" t="e">
        <f ca="1">gr(calculs!BK209)</f>
        <v>#NAME?</v>
      </c>
      <c r="G209" s="535" t="e">
        <v>#N/A</v>
      </c>
      <c r="H209" s="535" t="e">
        <v>#N/A</v>
      </c>
      <c r="I209" s="535" t="e">
        <v>#N/A</v>
      </c>
      <c r="J209" s="535" t="e">
        <v>#N/A</v>
      </c>
      <c r="K209" s="535" t="e">
        <v>#N/A</v>
      </c>
      <c r="L209" s="523"/>
    </row>
    <row r="210" spans="1:12" x14ac:dyDescent="0.2">
      <c r="A210" s="222">
        <f>calculs!A210</f>
        <v>44761</v>
      </c>
      <c r="B210" s="535" t="e">
        <f ca="1">gr(calculs!BG210)</f>
        <v>#NAME?</v>
      </c>
      <c r="C210" s="535" t="e">
        <f ca="1">gr(calculs!BH210)</f>
        <v>#NAME?</v>
      </c>
      <c r="D210" s="535" t="e">
        <f ca="1">gr(calculs!BI210)</f>
        <v>#NAME?</v>
      </c>
      <c r="E210" s="535" t="e">
        <f ca="1">gr(calculs!BJ210)</f>
        <v>#NAME?</v>
      </c>
      <c r="F210" s="535" t="e">
        <f ca="1">gr(calculs!BK210)</f>
        <v>#NAME?</v>
      </c>
      <c r="G210" s="535" t="e">
        <v>#N/A</v>
      </c>
      <c r="H210" s="535" t="e">
        <v>#N/A</v>
      </c>
      <c r="I210" s="535" t="e">
        <v>#N/A</v>
      </c>
      <c r="J210" s="535" t="e">
        <v>#N/A</v>
      </c>
      <c r="K210" s="535" t="e">
        <v>#N/A</v>
      </c>
      <c r="L210" s="523"/>
    </row>
    <row r="211" spans="1:12" x14ac:dyDescent="0.2">
      <c r="A211" s="222">
        <f>calculs!A211</f>
        <v>44762</v>
      </c>
      <c r="B211" s="535" t="e">
        <f ca="1">gr(calculs!BG211)</f>
        <v>#NAME?</v>
      </c>
      <c r="C211" s="535" t="e">
        <f ca="1">gr(calculs!BH211)</f>
        <v>#NAME?</v>
      </c>
      <c r="D211" s="535" t="e">
        <f ca="1">gr(calculs!BI211)</f>
        <v>#NAME?</v>
      </c>
      <c r="E211" s="535" t="e">
        <f ca="1">gr(calculs!BJ211)</f>
        <v>#NAME?</v>
      </c>
      <c r="F211" s="535" t="e">
        <f ca="1">gr(calculs!BK211)</f>
        <v>#NAME?</v>
      </c>
      <c r="G211" s="535" t="e">
        <v>#N/A</v>
      </c>
      <c r="H211" s="535" t="e">
        <v>#N/A</v>
      </c>
      <c r="I211" s="535" t="e">
        <v>#N/A</v>
      </c>
      <c r="J211" s="535" t="e">
        <v>#N/A</v>
      </c>
      <c r="K211" s="535" t="e">
        <v>#N/A</v>
      </c>
      <c r="L211" s="523"/>
    </row>
    <row r="212" spans="1:12" x14ac:dyDescent="0.2">
      <c r="A212" s="222">
        <f>calculs!A212</f>
        <v>44763</v>
      </c>
      <c r="B212" s="535" t="e">
        <f ca="1">gr(calculs!BG212)</f>
        <v>#NAME?</v>
      </c>
      <c r="C212" s="535" t="e">
        <f ca="1">gr(calculs!BH212)</f>
        <v>#NAME?</v>
      </c>
      <c r="D212" s="535" t="e">
        <f ca="1">gr(calculs!BI212)</f>
        <v>#NAME?</v>
      </c>
      <c r="E212" s="535" t="e">
        <f ca="1">gr(calculs!BJ212)</f>
        <v>#NAME?</v>
      </c>
      <c r="F212" s="535" t="e">
        <f ca="1">gr(calculs!BK212)</f>
        <v>#NAME?</v>
      </c>
      <c r="G212" s="535" t="e">
        <v>#N/A</v>
      </c>
      <c r="H212" s="535" t="e">
        <v>#N/A</v>
      </c>
      <c r="I212" s="535" t="e">
        <v>#N/A</v>
      </c>
      <c r="J212" s="535" t="e">
        <v>#N/A</v>
      </c>
      <c r="K212" s="535" t="e">
        <v>#N/A</v>
      </c>
      <c r="L212" s="523"/>
    </row>
    <row r="213" spans="1:12" x14ac:dyDescent="0.2">
      <c r="A213" s="222">
        <f>calculs!A213</f>
        <v>44764</v>
      </c>
      <c r="B213" s="535" t="e">
        <f ca="1">gr(calculs!BG213)</f>
        <v>#NAME?</v>
      </c>
      <c r="C213" s="535" t="e">
        <f ca="1">gr(calculs!BH213)</f>
        <v>#NAME?</v>
      </c>
      <c r="D213" s="535" t="e">
        <f ca="1">gr(calculs!BI213)</f>
        <v>#NAME?</v>
      </c>
      <c r="E213" s="535" t="e">
        <f ca="1">gr(calculs!BJ213)</f>
        <v>#NAME?</v>
      </c>
      <c r="F213" s="535" t="e">
        <f ca="1">gr(calculs!BK213)</f>
        <v>#NAME?</v>
      </c>
      <c r="G213" s="535" t="e">
        <v>#N/A</v>
      </c>
      <c r="H213" s="535" t="e">
        <v>#N/A</v>
      </c>
      <c r="I213" s="535" t="e">
        <v>#N/A</v>
      </c>
      <c r="J213" s="535" t="e">
        <v>#N/A</v>
      </c>
      <c r="K213" s="535" t="e">
        <v>#N/A</v>
      </c>
      <c r="L213" s="523"/>
    </row>
    <row r="214" spans="1:12" x14ac:dyDescent="0.2">
      <c r="A214" s="222">
        <f>calculs!A214</f>
        <v>44765</v>
      </c>
      <c r="B214" s="535" t="e">
        <f ca="1">gr(calculs!BG214)</f>
        <v>#NAME?</v>
      </c>
      <c r="C214" s="535" t="e">
        <f ca="1">gr(calculs!BH214)</f>
        <v>#NAME?</v>
      </c>
      <c r="D214" s="535" t="e">
        <f ca="1">gr(calculs!BI214)</f>
        <v>#NAME?</v>
      </c>
      <c r="E214" s="535" t="e">
        <f ca="1">gr(calculs!BJ214)</f>
        <v>#NAME?</v>
      </c>
      <c r="F214" s="535" t="e">
        <f ca="1">gr(calculs!BK214)</f>
        <v>#NAME?</v>
      </c>
      <c r="G214" s="535" t="e">
        <v>#N/A</v>
      </c>
      <c r="H214" s="535" t="e">
        <v>#N/A</v>
      </c>
      <c r="I214" s="535" t="e">
        <v>#N/A</v>
      </c>
      <c r="J214" s="535" t="e">
        <v>#N/A</v>
      </c>
      <c r="K214" s="535" t="e">
        <v>#N/A</v>
      </c>
      <c r="L214" s="523"/>
    </row>
    <row r="215" spans="1:12" x14ac:dyDescent="0.2">
      <c r="A215" s="222">
        <f>calculs!A215</f>
        <v>44766</v>
      </c>
      <c r="B215" s="535" t="e">
        <f ca="1">gr(calculs!BG215)</f>
        <v>#NAME?</v>
      </c>
      <c r="C215" s="535" t="e">
        <f ca="1">gr(calculs!BH215)</f>
        <v>#NAME?</v>
      </c>
      <c r="D215" s="535" t="e">
        <f ca="1">gr(calculs!BI215)</f>
        <v>#NAME?</v>
      </c>
      <c r="E215" s="535" t="e">
        <f ca="1">gr(calculs!BJ215)</f>
        <v>#NAME?</v>
      </c>
      <c r="F215" s="535" t="e">
        <f ca="1">gr(calculs!BK215)</f>
        <v>#NAME?</v>
      </c>
      <c r="G215" s="535" t="e">
        <v>#N/A</v>
      </c>
      <c r="H215" s="535" t="e">
        <v>#N/A</v>
      </c>
      <c r="I215" s="535" t="e">
        <v>#N/A</v>
      </c>
      <c r="J215" s="535" t="e">
        <v>#N/A</v>
      </c>
      <c r="K215" s="535" t="e">
        <v>#N/A</v>
      </c>
      <c r="L215" s="523"/>
    </row>
    <row r="216" spans="1:12" x14ac:dyDescent="0.2">
      <c r="A216" s="222">
        <f>calculs!A216</f>
        <v>44767</v>
      </c>
      <c r="B216" s="535" t="e">
        <f ca="1">gr(calculs!BG216)</f>
        <v>#NAME?</v>
      </c>
      <c r="C216" s="535" t="e">
        <f ca="1">gr(calculs!BH216)</f>
        <v>#NAME?</v>
      </c>
      <c r="D216" s="535" t="e">
        <f ca="1">gr(calculs!BI216)</f>
        <v>#NAME?</v>
      </c>
      <c r="E216" s="535" t="e">
        <f ca="1">gr(calculs!BJ216)</f>
        <v>#NAME?</v>
      </c>
      <c r="F216" s="535" t="e">
        <f ca="1">gr(calculs!BK216)</f>
        <v>#NAME?</v>
      </c>
      <c r="G216" s="535" t="e">
        <v>#N/A</v>
      </c>
      <c r="H216" s="535" t="e">
        <v>#N/A</v>
      </c>
      <c r="I216" s="535" t="e">
        <v>#N/A</v>
      </c>
      <c r="J216" s="535" t="e">
        <v>#N/A</v>
      </c>
      <c r="K216" s="535" t="e">
        <v>#N/A</v>
      </c>
      <c r="L216" s="523"/>
    </row>
    <row r="217" spans="1:12" x14ac:dyDescent="0.2">
      <c r="A217" s="222">
        <f>calculs!A217</f>
        <v>44768</v>
      </c>
      <c r="B217" s="535" t="e">
        <f ca="1">gr(calculs!BG217)</f>
        <v>#NAME?</v>
      </c>
      <c r="C217" s="535" t="e">
        <f ca="1">gr(calculs!BH217)</f>
        <v>#NAME?</v>
      </c>
      <c r="D217" s="535" t="e">
        <f ca="1">gr(calculs!BI217)</f>
        <v>#NAME?</v>
      </c>
      <c r="E217" s="535" t="e">
        <f ca="1">gr(calculs!BJ217)</f>
        <v>#NAME?</v>
      </c>
      <c r="F217" s="535" t="e">
        <f ca="1">gr(calculs!BK217)</f>
        <v>#NAME?</v>
      </c>
      <c r="G217" s="535" t="e">
        <v>#N/A</v>
      </c>
      <c r="H217" s="535" t="e">
        <v>#N/A</v>
      </c>
      <c r="I217" s="535" t="e">
        <v>#N/A</v>
      </c>
      <c r="J217" s="535" t="e">
        <v>#N/A</v>
      </c>
      <c r="K217" s="535" t="e">
        <v>#N/A</v>
      </c>
      <c r="L217" s="523"/>
    </row>
    <row r="218" spans="1:12" x14ac:dyDescent="0.2">
      <c r="A218" s="222">
        <f>calculs!A218</f>
        <v>44769</v>
      </c>
      <c r="B218" s="535" t="e">
        <f ca="1">gr(calculs!BG218)</f>
        <v>#NAME?</v>
      </c>
      <c r="C218" s="535" t="e">
        <f ca="1">gr(calculs!BH218)</f>
        <v>#NAME?</v>
      </c>
      <c r="D218" s="535" t="e">
        <f ca="1">gr(calculs!BI218)</f>
        <v>#NAME?</v>
      </c>
      <c r="E218" s="535" t="e">
        <f ca="1">gr(calculs!BJ218)</f>
        <v>#NAME?</v>
      </c>
      <c r="F218" s="535" t="e">
        <f ca="1">gr(calculs!BK218)</f>
        <v>#NAME?</v>
      </c>
      <c r="G218" s="535" t="e">
        <v>#N/A</v>
      </c>
      <c r="H218" s="535" t="e">
        <v>#N/A</v>
      </c>
      <c r="I218" s="535" t="e">
        <v>#N/A</v>
      </c>
      <c r="J218" s="535" t="e">
        <v>#N/A</v>
      </c>
      <c r="K218" s="535" t="e">
        <v>#N/A</v>
      </c>
      <c r="L218" s="523"/>
    </row>
    <row r="219" spans="1:12" x14ac:dyDescent="0.2">
      <c r="A219" s="222">
        <f>calculs!A219</f>
        <v>44770</v>
      </c>
      <c r="B219" s="535" t="e">
        <f ca="1">gr(calculs!BG219)</f>
        <v>#NAME?</v>
      </c>
      <c r="C219" s="535" t="e">
        <f ca="1">gr(calculs!BH219)</f>
        <v>#NAME?</v>
      </c>
      <c r="D219" s="535" t="e">
        <f ca="1">gr(calculs!BI219)</f>
        <v>#NAME?</v>
      </c>
      <c r="E219" s="535" t="e">
        <f ca="1">gr(calculs!BJ219)</f>
        <v>#NAME?</v>
      </c>
      <c r="F219" s="535" t="e">
        <f ca="1">gr(calculs!BK219)</f>
        <v>#NAME?</v>
      </c>
      <c r="G219" s="535" t="e">
        <v>#N/A</v>
      </c>
      <c r="H219" s="535" t="e">
        <v>#N/A</v>
      </c>
      <c r="I219" s="535" t="e">
        <v>#N/A</v>
      </c>
      <c r="J219" s="535" t="e">
        <v>#N/A</v>
      </c>
      <c r="K219" s="535" t="e">
        <v>#N/A</v>
      </c>
      <c r="L219" s="523"/>
    </row>
    <row r="220" spans="1:12" x14ac:dyDescent="0.2">
      <c r="A220" s="222">
        <f>calculs!A220</f>
        <v>44771</v>
      </c>
      <c r="B220" s="535" t="e">
        <f ca="1">gr(calculs!BG220)</f>
        <v>#NAME?</v>
      </c>
      <c r="C220" s="535" t="e">
        <f ca="1">gr(calculs!BH220)</f>
        <v>#NAME?</v>
      </c>
      <c r="D220" s="535" t="e">
        <f ca="1">gr(calculs!BI220)</f>
        <v>#NAME?</v>
      </c>
      <c r="E220" s="535" t="e">
        <f ca="1">gr(calculs!BJ220)</f>
        <v>#NAME?</v>
      </c>
      <c r="F220" s="535" t="e">
        <f ca="1">gr(calculs!BK220)</f>
        <v>#NAME?</v>
      </c>
      <c r="G220" s="535" t="e">
        <v>#N/A</v>
      </c>
      <c r="H220" s="535" t="e">
        <v>#N/A</v>
      </c>
      <c r="I220" s="535" t="e">
        <v>#N/A</v>
      </c>
      <c r="J220" s="535" t="e">
        <v>#N/A</v>
      </c>
      <c r="K220" s="535" t="e">
        <v>#N/A</v>
      </c>
      <c r="L220" s="523"/>
    </row>
    <row r="221" spans="1:12" x14ac:dyDescent="0.2">
      <c r="A221" s="222">
        <f>calculs!A221</f>
        <v>44772</v>
      </c>
      <c r="B221" s="535" t="e">
        <f ca="1">gr(calculs!BG221)</f>
        <v>#NAME?</v>
      </c>
      <c r="C221" s="535" t="e">
        <f ca="1">gr(calculs!BH221)</f>
        <v>#NAME?</v>
      </c>
      <c r="D221" s="535" t="e">
        <f ca="1">gr(calculs!BI221)</f>
        <v>#NAME?</v>
      </c>
      <c r="E221" s="535" t="e">
        <f ca="1">gr(calculs!BJ221)</f>
        <v>#NAME?</v>
      </c>
      <c r="F221" s="535" t="e">
        <f ca="1">gr(calculs!BK221)</f>
        <v>#NAME?</v>
      </c>
      <c r="G221" s="535" t="e">
        <v>#N/A</v>
      </c>
      <c r="H221" s="535" t="e">
        <v>#N/A</v>
      </c>
      <c r="I221" s="535" t="e">
        <v>#N/A</v>
      </c>
      <c r="J221" s="535" t="e">
        <v>#N/A</v>
      </c>
      <c r="K221" s="535" t="e">
        <v>#N/A</v>
      </c>
      <c r="L221" s="523"/>
    </row>
    <row r="222" spans="1:12" x14ac:dyDescent="0.2">
      <c r="A222" s="222">
        <f>calculs!A222</f>
        <v>44773</v>
      </c>
      <c r="B222" s="535" t="e">
        <f ca="1">gr(calculs!BG222)</f>
        <v>#NAME?</v>
      </c>
      <c r="C222" s="535" t="e">
        <f ca="1">gr(calculs!BH222)</f>
        <v>#NAME?</v>
      </c>
      <c r="D222" s="535" t="e">
        <f ca="1">gr(calculs!BI222)</f>
        <v>#NAME?</v>
      </c>
      <c r="E222" s="535" t="e">
        <f ca="1">gr(calculs!BJ222)</f>
        <v>#NAME?</v>
      </c>
      <c r="F222" s="535" t="e">
        <f ca="1">gr(calculs!BK222)</f>
        <v>#NAME?</v>
      </c>
      <c r="G222" s="535" t="e">
        <v>#N/A</v>
      </c>
      <c r="H222" s="535" t="e">
        <v>#N/A</v>
      </c>
      <c r="I222" s="535" t="e">
        <v>#N/A</v>
      </c>
      <c r="J222" s="535" t="e">
        <v>#N/A</v>
      </c>
      <c r="K222" s="535" t="e">
        <v>#N/A</v>
      </c>
      <c r="L222" s="523"/>
    </row>
    <row r="223" spans="1:12" x14ac:dyDescent="0.2">
      <c r="A223" s="222">
        <f>calculs!A223</f>
        <v>44774</v>
      </c>
      <c r="B223" s="535" t="e">
        <f ca="1">gr(calculs!BG223)</f>
        <v>#NAME?</v>
      </c>
      <c r="C223" s="535" t="e">
        <f ca="1">gr(calculs!BH223)</f>
        <v>#NAME?</v>
      </c>
      <c r="D223" s="535" t="e">
        <f ca="1">gr(calculs!BI223)</f>
        <v>#NAME?</v>
      </c>
      <c r="E223" s="535" t="e">
        <f ca="1">gr(calculs!BJ223)</f>
        <v>#NAME?</v>
      </c>
      <c r="F223" s="535" t="e">
        <f ca="1">gr(calculs!BK223)</f>
        <v>#NAME?</v>
      </c>
      <c r="G223" s="535" t="e">
        <v>#N/A</v>
      </c>
      <c r="H223" s="535" t="e">
        <v>#N/A</v>
      </c>
      <c r="I223" s="535" t="e">
        <v>#N/A</v>
      </c>
      <c r="J223" s="535" t="e">
        <v>#N/A</v>
      </c>
      <c r="K223" s="535" t="e">
        <v>#N/A</v>
      </c>
      <c r="L223" s="523"/>
    </row>
    <row r="224" spans="1:12" x14ac:dyDescent="0.2">
      <c r="A224" s="222">
        <f>calculs!A224</f>
        <v>44775</v>
      </c>
      <c r="B224" s="535" t="e">
        <f ca="1">gr(calculs!BG224)</f>
        <v>#NAME?</v>
      </c>
      <c r="C224" s="535" t="e">
        <f ca="1">gr(calculs!BH224)</f>
        <v>#NAME?</v>
      </c>
      <c r="D224" s="535" t="e">
        <f ca="1">gr(calculs!BI224)</f>
        <v>#NAME?</v>
      </c>
      <c r="E224" s="535" t="e">
        <f ca="1">gr(calculs!BJ224)</f>
        <v>#NAME?</v>
      </c>
      <c r="F224" s="535" t="e">
        <f ca="1">gr(calculs!BK224)</f>
        <v>#NAME?</v>
      </c>
      <c r="G224" s="535" t="e">
        <v>#N/A</v>
      </c>
      <c r="H224" s="535" t="e">
        <v>#N/A</v>
      </c>
      <c r="I224" s="535" t="e">
        <v>#N/A</v>
      </c>
      <c r="J224" s="535" t="e">
        <v>#N/A</v>
      </c>
      <c r="K224" s="535" t="e">
        <v>#N/A</v>
      </c>
      <c r="L224" s="523"/>
    </row>
    <row r="225" spans="1:12" x14ac:dyDescent="0.2">
      <c r="A225" s="222">
        <f>calculs!A225</f>
        <v>44776</v>
      </c>
      <c r="B225" s="535" t="e">
        <f ca="1">gr(calculs!BG225)</f>
        <v>#NAME?</v>
      </c>
      <c r="C225" s="535" t="e">
        <f ca="1">gr(calculs!BH225)</f>
        <v>#NAME?</v>
      </c>
      <c r="D225" s="535" t="e">
        <f ca="1">gr(calculs!BI225)</f>
        <v>#NAME?</v>
      </c>
      <c r="E225" s="535" t="e">
        <f ca="1">gr(calculs!BJ225)</f>
        <v>#NAME?</v>
      </c>
      <c r="F225" s="535" t="e">
        <f ca="1">gr(calculs!BK225)</f>
        <v>#NAME?</v>
      </c>
      <c r="G225" s="535" t="e">
        <v>#N/A</v>
      </c>
      <c r="H225" s="535" t="e">
        <v>#N/A</v>
      </c>
      <c r="I225" s="535" t="e">
        <v>#N/A</v>
      </c>
      <c r="J225" s="535" t="e">
        <v>#N/A</v>
      </c>
      <c r="K225" s="535" t="e">
        <v>#N/A</v>
      </c>
      <c r="L225" s="523"/>
    </row>
    <row r="226" spans="1:12" x14ac:dyDescent="0.2">
      <c r="A226" s="222">
        <f>calculs!A226</f>
        <v>44777</v>
      </c>
      <c r="B226" s="535" t="e">
        <f ca="1">gr(calculs!BG226)</f>
        <v>#NAME?</v>
      </c>
      <c r="C226" s="535" t="e">
        <f ca="1">gr(calculs!BH226)</f>
        <v>#NAME?</v>
      </c>
      <c r="D226" s="535" t="e">
        <f ca="1">gr(calculs!BI226)</f>
        <v>#NAME?</v>
      </c>
      <c r="E226" s="535" t="e">
        <f ca="1">gr(calculs!BJ226)</f>
        <v>#NAME?</v>
      </c>
      <c r="F226" s="535" t="e">
        <f ca="1">gr(calculs!BK226)</f>
        <v>#NAME?</v>
      </c>
      <c r="G226" s="535" t="e">
        <v>#N/A</v>
      </c>
      <c r="H226" s="535" t="e">
        <v>#N/A</v>
      </c>
      <c r="I226" s="535" t="e">
        <v>#N/A</v>
      </c>
      <c r="J226" s="535" t="e">
        <v>#N/A</v>
      </c>
      <c r="K226" s="535" t="e">
        <v>#N/A</v>
      </c>
      <c r="L226" s="523"/>
    </row>
    <row r="227" spans="1:12" x14ac:dyDescent="0.2">
      <c r="A227" s="222">
        <f>calculs!A227</f>
        <v>44778</v>
      </c>
      <c r="B227" s="535" t="e">
        <f ca="1">gr(calculs!BG227)</f>
        <v>#NAME?</v>
      </c>
      <c r="C227" s="535" t="e">
        <f ca="1">gr(calculs!BH227)</f>
        <v>#NAME?</v>
      </c>
      <c r="D227" s="535" t="e">
        <f ca="1">gr(calculs!BI227)</f>
        <v>#NAME?</v>
      </c>
      <c r="E227" s="535" t="e">
        <f ca="1">gr(calculs!BJ227)</f>
        <v>#NAME?</v>
      </c>
      <c r="F227" s="535" t="e">
        <f ca="1">gr(calculs!BK227)</f>
        <v>#NAME?</v>
      </c>
      <c r="G227" s="535" t="e">
        <v>#N/A</v>
      </c>
      <c r="H227" s="535" t="e">
        <v>#N/A</v>
      </c>
      <c r="I227" s="535" t="e">
        <v>#N/A</v>
      </c>
      <c r="J227" s="535" t="e">
        <v>#N/A</v>
      </c>
      <c r="K227" s="535" t="e">
        <v>#N/A</v>
      </c>
      <c r="L227" s="523"/>
    </row>
    <row r="228" spans="1:12" x14ac:dyDescent="0.2">
      <c r="A228" s="222">
        <f>calculs!A228</f>
        <v>44779</v>
      </c>
      <c r="B228" s="535" t="e">
        <f ca="1">gr(calculs!BG228)</f>
        <v>#NAME?</v>
      </c>
      <c r="C228" s="535" t="e">
        <f ca="1">gr(calculs!BH228)</f>
        <v>#NAME?</v>
      </c>
      <c r="D228" s="535" t="e">
        <f ca="1">gr(calculs!BI228)</f>
        <v>#NAME?</v>
      </c>
      <c r="E228" s="535" t="e">
        <f ca="1">gr(calculs!BJ228)</f>
        <v>#NAME?</v>
      </c>
      <c r="F228" s="535" t="e">
        <f ca="1">gr(calculs!BK228)</f>
        <v>#NAME?</v>
      </c>
      <c r="G228" s="535" t="e">
        <v>#N/A</v>
      </c>
      <c r="H228" s="535" t="e">
        <v>#N/A</v>
      </c>
      <c r="I228" s="535" t="e">
        <v>#N/A</v>
      </c>
      <c r="J228" s="535" t="e">
        <v>#N/A</v>
      </c>
      <c r="K228" s="535" t="e">
        <v>#N/A</v>
      </c>
      <c r="L228" s="523"/>
    </row>
    <row r="229" spans="1:12" x14ac:dyDescent="0.2">
      <c r="A229" s="222">
        <f>calculs!A229</f>
        <v>44780</v>
      </c>
      <c r="B229" s="535" t="e">
        <f ca="1">gr(calculs!BG229)</f>
        <v>#NAME?</v>
      </c>
      <c r="C229" s="535" t="e">
        <f ca="1">gr(calculs!BH229)</f>
        <v>#NAME?</v>
      </c>
      <c r="D229" s="535" t="e">
        <f ca="1">gr(calculs!BI229)</f>
        <v>#NAME?</v>
      </c>
      <c r="E229" s="535" t="e">
        <f ca="1">gr(calculs!BJ229)</f>
        <v>#NAME?</v>
      </c>
      <c r="F229" s="535" t="e">
        <f ca="1">gr(calculs!BK229)</f>
        <v>#NAME?</v>
      </c>
      <c r="G229" s="535" t="e">
        <v>#N/A</v>
      </c>
      <c r="H229" s="535" t="e">
        <v>#N/A</v>
      </c>
      <c r="I229" s="535" t="e">
        <v>#N/A</v>
      </c>
      <c r="J229" s="535" t="e">
        <v>#N/A</v>
      </c>
      <c r="K229" s="535" t="e">
        <v>#N/A</v>
      </c>
      <c r="L229" s="523"/>
    </row>
    <row r="230" spans="1:12" x14ac:dyDescent="0.2">
      <c r="A230" s="222">
        <f>calculs!A230</f>
        <v>44781</v>
      </c>
      <c r="B230" s="535" t="e">
        <f ca="1">gr(calculs!BG230)</f>
        <v>#NAME?</v>
      </c>
      <c r="C230" s="535" t="e">
        <f ca="1">gr(calculs!BH230)</f>
        <v>#NAME?</v>
      </c>
      <c r="D230" s="535" t="e">
        <f ca="1">gr(calculs!BI230)</f>
        <v>#NAME?</v>
      </c>
      <c r="E230" s="535" t="e">
        <f ca="1">gr(calculs!BJ230)</f>
        <v>#NAME?</v>
      </c>
      <c r="F230" s="535" t="e">
        <f ca="1">gr(calculs!BK230)</f>
        <v>#NAME?</v>
      </c>
      <c r="G230" s="535" t="e">
        <v>#N/A</v>
      </c>
      <c r="H230" s="535" t="e">
        <v>#N/A</v>
      </c>
      <c r="I230" s="535" t="e">
        <v>#N/A</v>
      </c>
      <c r="J230" s="535" t="e">
        <v>#N/A</v>
      </c>
      <c r="K230" s="535" t="e">
        <v>#N/A</v>
      </c>
      <c r="L230" s="523"/>
    </row>
    <row r="231" spans="1:12" x14ac:dyDescent="0.2">
      <c r="A231" s="222">
        <f>calculs!A231</f>
        <v>44782</v>
      </c>
      <c r="B231" s="535" t="e">
        <f ca="1">gr(calculs!BG231)</f>
        <v>#NAME?</v>
      </c>
      <c r="C231" s="535" t="e">
        <f ca="1">gr(calculs!BH231)</f>
        <v>#NAME?</v>
      </c>
      <c r="D231" s="535" t="e">
        <f ca="1">gr(calculs!BI231)</f>
        <v>#NAME?</v>
      </c>
      <c r="E231" s="535" t="e">
        <f ca="1">gr(calculs!BJ231)</f>
        <v>#NAME?</v>
      </c>
      <c r="F231" s="535" t="e">
        <f ca="1">gr(calculs!BK231)</f>
        <v>#NAME?</v>
      </c>
      <c r="G231" s="535" t="e">
        <v>#N/A</v>
      </c>
      <c r="H231" s="535" t="e">
        <v>#N/A</v>
      </c>
      <c r="I231" s="535" t="e">
        <v>#N/A</v>
      </c>
      <c r="J231" s="535" t="e">
        <v>#N/A</v>
      </c>
      <c r="K231" s="535" t="e">
        <v>#N/A</v>
      </c>
      <c r="L231" s="523"/>
    </row>
    <row r="232" spans="1:12" x14ac:dyDescent="0.2">
      <c r="A232" s="222">
        <f>calculs!A232</f>
        <v>44783</v>
      </c>
      <c r="B232" s="535" t="e">
        <f ca="1">gr(calculs!BG232)</f>
        <v>#NAME?</v>
      </c>
      <c r="C232" s="535" t="e">
        <f ca="1">gr(calculs!BH232)</f>
        <v>#NAME?</v>
      </c>
      <c r="D232" s="535" t="e">
        <f ca="1">gr(calculs!BI232)</f>
        <v>#NAME?</v>
      </c>
      <c r="E232" s="535" t="e">
        <f ca="1">gr(calculs!BJ232)</f>
        <v>#NAME?</v>
      </c>
      <c r="F232" s="535" t="e">
        <f ca="1">gr(calculs!BK232)</f>
        <v>#NAME?</v>
      </c>
      <c r="G232" s="535" t="e">
        <v>#N/A</v>
      </c>
      <c r="H232" s="535" t="e">
        <v>#N/A</v>
      </c>
      <c r="I232" s="535" t="e">
        <v>#N/A</v>
      </c>
      <c r="J232" s="535" t="e">
        <v>#N/A</v>
      </c>
      <c r="K232" s="535" t="e">
        <v>#N/A</v>
      </c>
      <c r="L232" s="523"/>
    </row>
    <row r="233" spans="1:12" x14ac:dyDescent="0.2">
      <c r="A233" s="222">
        <f>calculs!A233</f>
        <v>44784</v>
      </c>
      <c r="B233" s="535" t="e">
        <f ca="1">gr(calculs!BG233)</f>
        <v>#NAME?</v>
      </c>
      <c r="C233" s="535" t="e">
        <f ca="1">gr(calculs!BH233)</f>
        <v>#NAME?</v>
      </c>
      <c r="D233" s="535" t="e">
        <f ca="1">gr(calculs!BI233)</f>
        <v>#NAME?</v>
      </c>
      <c r="E233" s="535" t="e">
        <f ca="1">gr(calculs!BJ233)</f>
        <v>#NAME?</v>
      </c>
      <c r="F233" s="535" t="e">
        <f ca="1">gr(calculs!BK233)</f>
        <v>#NAME?</v>
      </c>
      <c r="G233" s="535" t="e">
        <v>#N/A</v>
      </c>
      <c r="H233" s="535" t="e">
        <v>#N/A</v>
      </c>
      <c r="I233" s="535" t="e">
        <v>#N/A</v>
      </c>
      <c r="J233" s="535" t="e">
        <v>#N/A</v>
      </c>
      <c r="K233" s="535" t="e">
        <v>#N/A</v>
      </c>
      <c r="L233" s="523"/>
    </row>
    <row r="234" spans="1:12" x14ac:dyDescent="0.2">
      <c r="A234" s="222">
        <f>calculs!A234</f>
        <v>44785</v>
      </c>
      <c r="B234" s="535" t="e">
        <f ca="1">gr(calculs!BG234)</f>
        <v>#NAME?</v>
      </c>
      <c r="C234" s="535" t="e">
        <f ca="1">gr(calculs!BH234)</f>
        <v>#NAME?</v>
      </c>
      <c r="D234" s="535" t="e">
        <f ca="1">gr(calculs!BI234)</f>
        <v>#NAME?</v>
      </c>
      <c r="E234" s="535" t="e">
        <f ca="1">gr(calculs!BJ234)</f>
        <v>#NAME?</v>
      </c>
      <c r="F234" s="535" t="e">
        <f ca="1">gr(calculs!BK234)</f>
        <v>#NAME?</v>
      </c>
      <c r="G234" s="535" t="e">
        <v>#N/A</v>
      </c>
      <c r="H234" s="535" t="e">
        <v>#N/A</v>
      </c>
      <c r="I234" s="535" t="e">
        <v>#N/A</v>
      </c>
      <c r="J234" s="535" t="e">
        <v>#N/A</v>
      </c>
      <c r="K234" s="535" t="e">
        <v>#N/A</v>
      </c>
      <c r="L234" s="523"/>
    </row>
    <row r="235" spans="1:12" x14ac:dyDescent="0.2">
      <c r="A235" s="222">
        <f>calculs!A235</f>
        <v>44786</v>
      </c>
      <c r="B235" s="535" t="e">
        <f ca="1">gr(calculs!BG235)</f>
        <v>#NAME?</v>
      </c>
      <c r="C235" s="535" t="e">
        <f ca="1">gr(calculs!BH235)</f>
        <v>#NAME?</v>
      </c>
      <c r="D235" s="535" t="e">
        <f ca="1">gr(calculs!BI235)</f>
        <v>#NAME?</v>
      </c>
      <c r="E235" s="535" t="e">
        <f ca="1">gr(calculs!BJ235)</f>
        <v>#NAME?</v>
      </c>
      <c r="F235" s="535" t="e">
        <f ca="1">gr(calculs!BK235)</f>
        <v>#NAME?</v>
      </c>
      <c r="G235" s="535" t="e">
        <v>#N/A</v>
      </c>
      <c r="H235" s="535" t="e">
        <v>#N/A</v>
      </c>
      <c r="I235" s="535" t="e">
        <v>#N/A</v>
      </c>
      <c r="J235" s="535" t="e">
        <v>#N/A</v>
      </c>
      <c r="K235" s="535" t="e">
        <v>#N/A</v>
      </c>
      <c r="L235" s="523"/>
    </row>
    <row r="236" spans="1:12" x14ac:dyDescent="0.2">
      <c r="A236" s="222">
        <f>calculs!A236</f>
        <v>44787</v>
      </c>
      <c r="B236" s="535" t="e">
        <f ca="1">gr(calculs!BG236)</f>
        <v>#NAME?</v>
      </c>
      <c r="C236" s="535" t="e">
        <f ca="1">gr(calculs!BH236)</f>
        <v>#NAME?</v>
      </c>
      <c r="D236" s="535" t="e">
        <f ca="1">gr(calculs!BI236)</f>
        <v>#NAME?</v>
      </c>
      <c r="E236" s="535" t="e">
        <f ca="1">gr(calculs!BJ236)</f>
        <v>#NAME?</v>
      </c>
      <c r="F236" s="535" t="e">
        <f ca="1">gr(calculs!BK236)</f>
        <v>#NAME?</v>
      </c>
      <c r="G236" s="535" t="e">
        <v>#N/A</v>
      </c>
      <c r="H236" s="535" t="e">
        <v>#N/A</v>
      </c>
      <c r="I236" s="535" t="e">
        <v>#N/A</v>
      </c>
      <c r="J236" s="535" t="e">
        <v>#N/A</v>
      </c>
      <c r="K236" s="535" t="e">
        <v>#N/A</v>
      </c>
      <c r="L236" s="523"/>
    </row>
    <row r="237" spans="1:12" x14ac:dyDescent="0.2">
      <c r="A237" s="222">
        <f>calculs!A237</f>
        <v>44788</v>
      </c>
      <c r="B237" s="535" t="e">
        <f ca="1">gr(calculs!BG237)</f>
        <v>#NAME?</v>
      </c>
      <c r="C237" s="535" t="e">
        <f ca="1">gr(calculs!BH237)</f>
        <v>#NAME?</v>
      </c>
      <c r="D237" s="535" t="e">
        <f ca="1">gr(calculs!BI237)</f>
        <v>#NAME?</v>
      </c>
      <c r="E237" s="535" t="e">
        <f ca="1">gr(calculs!BJ237)</f>
        <v>#NAME?</v>
      </c>
      <c r="F237" s="535" t="e">
        <f ca="1">gr(calculs!BK237)</f>
        <v>#NAME?</v>
      </c>
      <c r="G237" s="535" t="e">
        <v>#N/A</v>
      </c>
      <c r="H237" s="535" t="e">
        <v>#N/A</v>
      </c>
      <c r="I237" s="535" t="e">
        <v>#N/A</v>
      </c>
      <c r="J237" s="535" t="e">
        <v>#N/A</v>
      </c>
      <c r="K237" s="535" t="e">
        <v>#N/A</v>
      </c>
      <c r="L237" s="523"/>
    </row>
    <row r="238" spans="1:12" x14ac:dyDescent="0.2">
      <c r="A238" s="222">
        <f>calculs!A238</f>
        <v>44789</v>
      </c>
      <c r="B238" s="535" t="e">
        <f ca="1">gr(calculs!BG238)</f>
        <v>#NAME?</v>
      </c>
      <c r="C238" s="535" t="e">
        <f ca="1">gr(calculs!BH238)</f>
        <v>#NAME?</v>
      </c>
      <c r="D238" s="535" t="e">
        <f ca="1">gr(calculs!BI238)</f>
        <v>#NAME?</v>
      </c>
      <c r="E238" s="535" t="e">
        <f ca="1">gr(calculs!BJ238)</f>
        <v>#NAME?</v>
      </c>
      <c r="F238" s="535" t="e">
        <f ca="1">gr(calculs!BK238)</f>
        <v>#NAME?</v>
      </c>
      <c r="G238" s="535" t="e">
        <v>#N/A</v>
      </c>
      <c r="H238" s="535" t="e">
        <v>#N/A</v>
      </c>
      <c r="I238" s="535" t="e">
        <v>#N/A</v>
      </c>
      <c r="J238" s="535" t="e">
        <v>#N/A</v>
      </c>
      <c r="K238" s="535" t="e">
        <v>#N/A</v>
      </c>
      <c r="L238" s="523"/>
    </row>
    <row r="239" spans="1:12" x14ac:dyDescent="0.2">
      <c r="A239" s="222">
        <f>calculs!A239</f>
        <v>44790</v>
      </c>
      <c r="B239" s="535" t="e">
        <f ca="1">gr(calculs!BG239)</f>
        <v>#NAME?</v>
      </c>
      <c r="C239" s="535" t="e">
        <f ca="1">gr(calculs!BH239)</f>
        <v>#NAME?</v>
      </c>
      <c r="D239" s="535" t="e">
        <f ca="1">gr(calculs!BI239)</f>
        <v>#NAME?</v>
      </c>
      <c r="E239" s="535" t="e">
        <f ca="1">gr(calculs!BJ239)</f>
        <v>#NAME?</v>
      </c>
      <c r="F239" s="535" t="e">
        <f ca="1">gr(calculs!BK239)</f>
        <v>#NAME?</v>
      </c>
      <c r="G239" s="535" t="e">
        <v>#N/A</v>
      </c>
      <c r="H239" s="535" t="e">
        <v>#N/A</v>
      </c>
      <c r="I239" s="535" t="e">
        <v>#N/A</v>
      </c>
      <c r="J239" s="535" t="e">
        <v>#N/A</v>
      </c>
      <c r="K239" s="535" t="e">
        <v>#N/A</v>
      </c>
      <c r="L239" s="523"/>
    </row>
    <row r="240" spans="1:12" x14ac:dyDescent="0.2">
      <c r="A240" s="222">
        <f>calculs!A240</f>
        <v>44791</v>
      </c>
      <c r="B240" s="535" t="e">
        <f ca="1">gr(calculs!BG240)</f>
        <v>#NAME?</v>
      </c>
      <c r="C240" s="535" t="e">
        <f ca="1">gr(calculs!BH240)</f>
        <v>#NAME?</v>
      </c>
      <c r="D240" s="535" t="e">
        <f ca="1">gr(calculs!BI240)</f>
        <v>#NAME?</v>
      </c>
      <c r="E240" s="535" t="e">
        <f ca="1">gr(calculs!BJ240)</f>
        <v>#NAME?</v>
      </c>
      <c r="F240" s="535" t="e">
        <f ca="1">gr(calculs!BK240)</f>
        <v>#NAME?</v>
      </c>
      <c r="G240" s="535" t="e">
        <v>#N/A</v>
      </c>
      <c r="H240" s="535" t="e">
        <v>#N/A</v>
      </c>
      <c r="I240" s="535" t="e">
        <v>#N/A</v>
      </c>
      <c r="J240" s="535" t="e">
        <v>#N/A</v>
      </c>
      <c r="K240" s="535" t="e">
        <v>#N/A</v>
      </c>
      <c r="L240" s="523"/>
    </row>
    <row r="241" spans="1:12" x14ac:dyDescent="0.2">
      <c r="A241" s="222">
        <f>calculs!A241</f>
        <v>44792</v>
      </c>
      <c r="B241" s="535" t="e">
        <f ca="1">gr(calculs!BG241)</f>
        <v>#NAME?</v>
      </c>
      <c r="C241" s="535" t="e">
        <f ca="1">gr(calculs!BH241)</f>
        <v>#NAME?</v>
      </c>
      <c r="D241" s="535" t="e">
        <f ca="1">gr(calculs!BI241)</f>
        <v>#NAME?</v>
      </c>
      <c r="E241" s="535" t="e">
        <f ca="1">gr(calculs!BJ241)</f>
        <v>#NAME?</v>
      </c>
      <c r="F241" s="535" t="e">
        <f ca="1">gr(calculs!BK241)</f>
        <v>#NAME?</v>
      </c>
      <c r="G241" s="535" t="e">
        <v>#N/A</v>
      </c>
      <c r="H241" s="535" t="e">
        <v>#N/A</v>
      </c>
      <c r="I241" s="535" t="e">
        <v>#N/A</v>
      </c>
      <c r="J241" s="535" t="e">
        <v>#N/A</v>
      </c>
      <c r="K241" s="535" t="e">
        <v>#N/A</v>
      </c>
      <c r="L241" s="523"/>
    </row>
    <row r="242" spans="1:12" x14ac:dyDescent="0.2">
      <c r="A242" s="222">
        <f>calculs!A242</f>
        <v>44793</v>
      </c>
      <c r="B242" s="535" t="e">
        <f ca="1">gr(calculs!BG242)</f>
        <v>#NAME?</v>
      </c>
      <c r="C242" s="535" t="e">
        <f ca="1">gr(calculs!BH242)</f>
        <v>#NAME?</v>
      </c>
      <c r="D242" s="535" t="e">
        <f ca="1">gr(calculs!BI242)</f>
        <v>#NAME?</v>
      </c>
      <c r="E242" s="535" t="e">
        <f ca="1">gr(calculs!BJ242)</f>
        <v>#NAME?</v>
      </c>
      <c r="F242" s="535" t="e">
        <f ca="1">gr(calculs!BK242)</f>
        <v>#NAME?</v>
      </c>
      <c r="G242" s="535" t="e">
        <v>#N/A</v>
      </c>
      <c r="H242" s="535" t="e">
        <v>#N/A</v>
      </c>
      <c r="I242" s="535" t="e">
        <v>#N/A</v>
      </c>
      <c r="J242" s="535" t="e">
        <v>#N/A</v>
      </c>
      <c r="K242" s="535" t="e">
        <v>#N/A</v>
      </c>
      <c r="L242" s="523"/>
    </row>
    <row r="243" spans="1:12" x14ac:dyDescent="0.2">
      <c r="A243" s="222">
        <f>calculs!A243</f>
        <v>44794</v>
      </c>
      <c r="B243" s="535" t="e">
        <f ca="1">gr(calculs!BG243)</f>
        <v>#NAME?</v>
      </c>
      <c r="C243" s="535" t="e">
        <f ca="1">gr(calculs!BH243)</f>
        <v>#NAME?</v>
      </c>
      <c r="D243" s="535" t="e">
        <f ca="1">gr(calculs!BI243)</f>
        <v>#NAME?</v>
      </c>
      <c r="E243" s="535" t="e">
        <f ca="1">gr(calculs!BJ243)</f>
        <v>#NAME?</v>
      </c>
      <c r="F243" s="535" t="e">
        <f ca="1">gr(calculs!BK243)</f>
        <v>#NAME?</v>
      </c>
      <c r="G243" s="535" t="e">
        <v>#N/A</v>
      </c>
      <c r="H243" s="535" t="e">
        <v>#N/A</v>
      </c>
      <c r="I243" s="535" t="e">
        <v>#N/A</v>
      </c>
      <c r="J243" s="535" t="e">
        <v>#N/A</v>
      </c>
      <c r="K243" s="535" t="e">
        <v>#N/A</v>
      </c>
      <c r="L243" s="523"/>
    </row>
    <row r="244" spans="1:12" x14ac:dyDescent="0.2">
      <c r="A244" s="222">
        <f>calculs!A244</f>
        <v>44795</v>
      </c>
      <c r="B244" s="535" t="e">
        <f ca="1">gr(calculs!BG244)</f>
        <v>#NAME?</v>
      </c>
      <c r="C244" s="535" t="e">
        <f ca="1">gr(calculs!BH244)</f>
        <v>#NAME?</v>
      </c>
      <c r="D244" s="535" t="e">
        <f ca="1">gr(calculs!BI244)</f>
        <v>#NAME?</v>
      </c>
      <c r="E244" s="535" t="e">
        <f ca="1">gr(calculs!BJ244)</f>
        <v>#NAME?</v>
      </c>
      <c r="F244" s="535" t="e">
        <f ca="1">gr(calculs!BK244)</f>
        <v>#NAME?</v>
      </c>
      <c r="G244" s="535" t="e">
        <v>#N/A</v>
      </c>
      <c r="H244" s="535" t="e">
        <v>#N/A</v>
      </c>
      <c r="I244" s="535" t="e">
        <v>#N/A</v>
      </c>
      <c r="J244" s="535" t="e">
        <v>#N/A</v>
      </c>
      <c r="K244" s="535" t="e">
        <v>#N/A</v>
      </c>
      <c r="L244" s="523"/>
    </row>
    <row r="245" spans="1:12" x14ac:dyDescent="0.2">
      <c r="A245" s="222">
        <f>calculs!A245</f>
        <v>44796</v>
      </c>
      <c r="B245" s="535" t="e">
        <f ca="1">gr(calculs!BG245)</f>
        <v>#NAME?</v>
      </c>
      <c r="C245" s="535" t="e">
        <f ca="1">gr(calculs!BH245)</f>
        <v>#NAME?</v>
      </c>
      <c r="D245" s="535" t="e">
        <f ca="1">gr(calculs!BI245)</f>
        <v>#NAME?</v>
      </c>
      <c r="E245" s="535" t="e">
        <f ca="1">gr(calculs!BJ245)</f>
        <v>#NAME?</v>
      </c>
      <c r="F245" s="535" t="e">
        <f ca="1">gr(calculs!BK245)</f>
        <v>#NAME?</v>
      </c>
      <c r="G245" s="535" t="e">
        <v>#N/A</v>
      </c>
      <c r="H245" s="535" t="e">
        <v>#N/A</v>
      </c>
      <c r="I245" s="535" t="e">
        <v>#N/A</v>
      </c>
      <c r="J245" s="535" t="e">
        <v>#N/A</v>
      </c>
      <c r="K245" s="535" t="e">
        <v>#N/A</v>
      </c>
      <c r="L245" s="523"/>
    </row>
    <row r="246" spans="1:12" x14ac:dyDescent="0.2">
      <c r="A246" s="222">
        <f>calculs!A246</f>
        <v>44797</v>
      </c>
      <c r="B246" s="535" t="e">
        <f ca="1">gr(calculs!BG246)</f>
        <v>#NAME?</v>
      </c>
      <c r="C246" s="535" t="e">
        <f ca="1">gr(calculs!BH246)</f>
        <v>#NAME?</v>
      </c>
      <c r="D246" s="535" t="e">
        <f ca="1">gr(calculs!BI246)</f>
        <v>#NAME?</v>
      </c>
      <c r="E246" s="535" t="e">
        <f ca="1">gr(calculs!BJ246)</f>
        <v>#NAME?</v>
      </c>
      <c r="F246" s="535" t="e">
        <f ca="1">gr(calculs!BK246)</f>
        <v>#NAME?</v>
      </c>
      <c r="G246" s="535" t="e">
        <v>#N/A</v>
      </c>
      <c r="H246" s="535" t="e">
        <v>#N/A</v>
      </c>
      <c r="I246" s="535" t="e">
        <v>#N/A</v>
      </c>
      <c r="J246" s="535" t="e">
        <v>#N/A</v>
      </c>
      <c r="K246" s="535" t="e">
        <v>#N/A</v>
      </c>
      <c r="L246" s="523"/>
    </row>
    <row r="247" spans="1:12" x14ac:dyDescent="0.2">
      <c r="A247" s="222">
        <f>calculs!A247</f>
        <v>44798</v>
      </c>
      <c r="B247" s="535" t="e">
        <f ca="1">gr(calculs!BG247)</f>
        <v>#NAME?</v>
      </c>
      <c r="C247" s="535" t="e">
        <f ca="1">gr(calculs!BH247)</f>
        <v>#NAME?</v>
      </c>
      <c r="D247" s="535" t="e">
        <f ca="1">gr(calculs!BI247)</f>
        <v>#NAME?</v>
      </c>
      <c r="E247" s="535" t="e">
        <f ca="1">gr(calculs!BJ247)</f>
        <v>#NAME?</v>
      </c>
      <c r="F247" s="535" t="e">
        <f ca="1">gr(calculs!BK247)</f>
        <v>#NAME?</v>
      </c>
      <c r="G247" s="535" t="e">
        <v>#N/A</v>
      </c>
      <c r="H247" s="535" t="e">
        <v>#N/A</v>
      </c>
      <c r="I247" s="535" t="e">
        <v>#N/A</v>
      </c>
      <c r="J247" s="535" t="e">
        <v>#N/A</v>
      </c>
      <c r="K247" s="535" t="e">
        <v>#N/A</v>
      </c>
      <c r="L247" s="523"/>
    </row>
    <row r="248" spans="1:12" x14ac:dyDescent="0.2">
      <c r="A248" s="222">
        <f>calculs!A248</f>
        <v>44799</v>
      </c>
      <c r="B248" s="535" t="e">
        <f ca="1">gr(calculs!BG248)</f>
        <v>#NAME?</v>
      </c>
      <c r="C248" s="535" t="e">
        <f ca="1">gr(calculs!BH248)</f>
        <v>#NAME?</v>
      </c>
      <c r="D248" s="535" t="e">
        <f ca="1">gr(calculs!BI248)</f>
        <v>#NAME?</v>
      </c>
      <c r="E248" s="535" t="e">
        <f ca="1">gr(calculs!BJ248)</f>
        <v>#NAME?</v>
      </c>
      <c r="F248" s="535" t="e">
        <f ca="1">gr(calculs!BK248)</f>
        <v>#NAME?</v>
      </c>
      <c r="G248" s="535" t="e">
        <v>#N/A</v>
      </c>
      <c r="H248" s="535" t="e">
        <v>#N/A</v>
      </c>
      <c r="I248" s="535" t="e">
        <v>#N/A</v>
      </c>
      <c r="J248" s="535" t="e">
        <v>#N/A</v>
      </c>
      <c r="K248" s="535" t="e">
        <v>#N/A</v>
      </c>
      <c r="L248" s="523"/>
    </row>
    <row r="249" spans="1:12" x14ac:dyDescent="0.2">
      <c r="A249" s="222">
        <f>calculs!A249</f>
        <v>44800</v>
      </c>
      <c r="B249" s="535" t="e">
        <f ca="1">gr(calculs!BG249)</f>
        <v>#NAME?</v>
      </c>
      <c r="C249" s="535" t="e">
        <f ca="1">gr(calculs!BH249)</f>
        <v>#NAME?</v>
      </c>
      <c r="D249" s="535" t="e">
        <f ca="1">gr(calculs!BI249)</f>
        <v>#NAME?</v>
      </c>
      <c r="E249" s="535" t="e">
        <f ca="1">gr(calculs!BJ249)</f>
        <v>#NAME?</v>
      </c>
      <c r="F249" s="535" t="e">
        <f ca="1">gr(calculs!BK249)</f>
        <v>#NAME?</v>
      </c>
      <c r="G249" s="535" t="e">
        <v>#N/A</v>
      </c>
      <c r="H249" s="535" t="e">
        <v>#N/A</v>
      </c>
      <c r="I249" s="535" t="e">
        <v>#N/A</v>
      </c>
      <c r="J249" s="535" t="e">
        <v>#N/A</v>
      </c>
      <c r="K249" s="535" t="e">
        <v>#N/A</v>
      </c>
      <c r="L249" s="523"/>
    </row>
    <row r="250" spans="1:12" x14ac:dyDescent="0.2">
      <c r="A250" s="222">
        <f>calculs!A250</f>
        <v>44801</v>
      </c>
      <c r="B250" s="535" t="e">
        <f ca="1">gr(calculs!BG250)</f>
        <v>#NAME?</v>
      </c>
      <c r="C250" s="535" t="e">
        <f ca="1">gr(calculs!BH250)</f>
        <v>#NAME?</v>
      </c>
      <c r="D250" s="535" t="e">
        <f ca="1">gr(calculs!BI250)</f>
        <v>#NAME?</v>
      </c>
      <c r="E250" s="535" t="e">
        <f ca="1">gr(calculs!BJ250)</f>
        <v>#NAME?</v>
      </c>
      <c r="F250" s="535" t="e">
        <f ca="1">gr(calculs!BK250)</f>
        <v>#NAME?</v>
      </c>
      <c r="G250" s="535" t="e">
        <v>#N/A</v>
      </c>
      <c r="H250" s="535" t="e">
        <v>#N/A</v>
      </c>
      <c r="I250" s="535" t="e">
        <v>#N/A</v>
      </c>
      <c r="J250" s="535" t="e">
        <v>#N/A</v>
      </c>
      <c r="K250" s="535" t="e">
        <v>#N/A</v>
      </c>
      <c r="L250" s="523"/>
    </row>
    <row r="251" spans="1:12" x14ac:dyDescent="0.2">
      <c r="A251" s="222">
        <f>calculs!A251</f>
        <v>44802</v>
      </c>
      <c r="B251" s="535" t="e">
        <f ca="1">gr(calculs!BG251)</f>
        <v>#NAME?</v>
      </c>
      <c r="C251" s="535" t="e">
        <f ca="1">gr(calculs!BH251)</f>
        <v>#NAME?</v>
      </c>
      <c r="D251" s="535" t="e">
        <f ca="1">gr(calculs!BI251)</f>
        <v>#NAME?</v>
      </c>
      <c r="E251" s="535" t="e">
        <f ca="1">gr(calculs!BJ251)</f>
        <v>#NAME?</v>
      </c>
      <c r="F251" s="535" t="e">
        <f ca="1">gr(calculs!BK251)</f>
        <v>#NAME?</v>
      </c>
      <c r="G251" s="535" t="e">
        <v>#N/A</v>
      </c>
      <c r="H251" s="535" t="e">
        <v>#N/A</v>
      </c>
      <c r="I251" s="535" t="e">
        <v>#N/A</v>
      </c>
      <c r="J251" s="535" t="e">
        <v>#N/A</v>
      </c>
      <c r="K251" s="535" t="e">
        <v>#N/A</v>
      </c>
      <c r="L251" s="523"/>
    </row>
    <row r="252" spans="1:12" x14ac:dyDescent="0.2">
      <c r="A252" s="222">
        <f>calculs!A252</f>
        <v>44803</v>
      </c>
      <c r="B252" s="535" t="e">
        <f ca="1">gr(calculs!BG252)</f>
        <v>#NAME?</v>
      </c>
      <c r="C252" s="535" t="e">
        <f ca="1">gr(calculs!BH252)</f>
        <v>#NAME?</v>
      </c>
      <c r="D252" s="535" t="e">
        <f ca="1">gr(calculs!BI252)</f>
        <v>#NAME?</v>
      </c>
      <c r="E252" s="535" t="e">
        <f ca="1">gr(calculs!BJ252)</f>
        <v>#NAME?</v>
      </c>
      <c r="F252" s="535" t="e">
        <f ca="1">gr(calculs!BK252)</f>
        <v>#NAME?</v>
      </c>
      <c r="G252" s="535" t="e">
        <v>#N/A</v>
      </c>
      <c r="H252" s="535" t="e">
        <v>#N/A</v>
      </c>
      <c r="I252" s="535" t="e">
        <v>#N/A</v>
      </c>
      <c r="J252" s="535" t="e">
        <v>#N/A</v>
      </c>
      <c r="K252" s="535" t="e">
        <v>#N/A</v>
      </c>
      <c r="L252" s="523"/>
    </row>
    <row r="253" spans="1:12" x14ac:dyDescent="0.2">
      <c r="A253" s="222">
        <f>calculs!A253</f>
        <v>44804</v>
      </c>
      <c r="B253" s="535" t="e">
        <f ca="1">gr(calculs!BG253)</f>
        <v>#NAME?</v>
      </c>
      <c r="C253" s="535" t="e">
        <f ca="1">gr(calculs!BH253)</f>
        <v>#NAME?</v>
      </c>
      <c r="D253" s="535" t="e">
        <f ca="1">gr(calculs!BI253)</f>
        <v>#NAME?</v>
      </c>
      <c r="E253" s="535" t="e">
        <f ca="1">gr(calculs!BJ253)</f>
        <v>#NAME?</v>
      </c>
      <c r="F253" s="535" t="e">
        <f ca="1">gr(calculs!BK253)</f>
        <v>#NAME?</v>
      </c>
      <c r="G253" s="535" t="e">
        <v>#N/A</v>
      </c>
      <c r="H253" s="535" t="e">
        <v>#N/A</v>
      </c>
      <c r="I253" s="535" t="e">
        <v>#N/A</v>
      </c>
      <c r="J253" s="535" t="e">
        <v>#N/A</v>
      </c>
      <c r="K253" s="535" t="e">
        <v>#N/A</v>
      </c>
      <c r="L253" s="523"/>
    </row>
    <row r="254" spans="1:12" x14ac:dyDescent="0.2">
      <c r="A254" s="222">
        <f>calculs!A254</f>
        <v>44805</v>
      </c>
      <c r="B254" s="535" t="e">
        <f ca="1">gr(calculs!BG254)</f>
        <v>#NAME?</v>
      </c>
      <c r="C254" s="535" t="e">
        <f ca="1">gr(calculs!BH254)</f>
        <v>#NAME?</v>
      </c>
      <c r="D254" s="535" t="e">
        <f ca="1">gr(calculs!BI254)</f>
        <v>#NAME?</v>
      </c>
      <c r="E254" s="535" t="e">
        <f ca="1">gr(calculs!BJ254)</f>
        <v>#NAME?</v>
      </c>
      <c r="F254" s="535" t="e">
        <f ca="1">gr(calculs!BK254)</f>
        <v>#NAME?</v>
      </c>
      <c r="G254" s="535" t="e">
        <v>#N/A</v>
      </c>
      <c r="H254" s="535" t="e">
        <v>#N/A</v>
      </c>
      <c r="I254" s="535" t="e">
        <v>#N/A</v>
      </c>
      <c r="J254" s="535" t="e">
        <v>#N/A</v>
      </c>
      <c r="K254" s="535" t="e">
        <v>#N/A</v>
      </c>
      <c r="L254" s="523"/>
    </row>
    <row r="255" spans="1:12" x14ac:dyDescent="0.2">
      <c r="A255" s="222">
        <f>calculs!A255</f>
        <v>44806</v>
      </c>
      <c r="B255" s="535" t="e">
        <f ca="1">gr(calculs!BG255)</f>
        <v>#NAME?</v>
      </c>
      <c r="C255" s="535" t="e">
        <f ca="1">gr(calculs!BH255)</f>
        <v>#NAME?</v>
      </c>
      <c r="D255" s="535" t="e">
        <f ca="1">gr(calculs!BI255)</f>
        <v>#NAME?</v>
      </c>
      <c r="E255" s="535" t="e">
        <f ca="1">gr(calculs!BJ255)</f>
        <v>#NAME?</v>
      </c>
      <c r="F255" s="535" t="e">
        <f ca="1">gr(calculs!BK255)</f>
        <v>#NAME?</v>
      </c>
      <c r="G255" s="535" t="e">
        <v>#N/A</v>
      </c>
      <c r="H255" s="535" t="e">
        <v>#N/A</v>
      </c>
      <c r="I255" s="535" t="e">
        <v>#N/A</v>
      </c>
      <c r="J255" s="535" t="e">
        <v>#N/A</v>
      </c>
      <c r="K255" s="535" t="e">
        <v>#N/A</v>
      </c>
      <c r="L255" s="523"/>
    </row>
    <row r="256" spans="1:12" x14ac:dyDescent="0.2">
      <c r="A256" s="222">
        <f>calculs!A256</f>
        <v>44807</v>
      </c>
      <c r="B256" s="535" t="e">
        <f ca="1">gr(calculs!BG256)</f>
        <v>#NAME?</v>
      </c>
      <c r="C256" s="535" t="e">
        <f ca="1">gr(calculs!BH256)</f>
        <v>#NAME?</v>
      </c>
      <c r="D256" s="535" t="e">
        <f ca="1">gr(calculs!BI256)</f>
        <v>#NAME?</v>
      </c>
      <c r="E256" s="535" t="e">
        <f ca="1">gr(calculs!BJ256)</f>
        <v>#NAME?</v>
      </c>
      <c r="F256" s="535" t="e">
        <f ca="1">gr(calculs!BK256)</f>
        <v>#NAME?</v>
      </c>
      <c r="G256" s="535" t="e">
        <v>#N/A</v>
      </c>
      <c r="H256" s="535" t="e">
        <v>#N/A</v>
      </c>
      <c r="I256" s="535" t="e">
        <v>#N/A</v>
      </c>
      <c r="J256" s="535" t="e">
        <v>#N/A</v>
      </c>
      <c r="K256" s="535" t="e">
        <v>#N/A</v>
      </c>
      <c r="L256" s="523"/>
    </row>
    <row r="257" spans="1:12" x14ac:dyDescent="0.2">
      <c r="A257" s="222">
        <f>calculs!A257</f>
        <v>44808</v>
      </c>
      <c r="B257" s="535" t="e">
        <f ca="1">gr(calculs!BG257)</f>
        <v>#NAME?</v>
      </c>
      <c r="C257" s="535" t="e">
        <f ca="1">gr(calculs!BH257)</f>
        <v>#NAME?</v>
      </c>
      <c r="D257" s="535" t="e">
        <f ca="1">gr(calculs!BI257)</f>
        <v>#NAME?</v>
      </c>
      <c r="E257" s="535" t="e">
        <f ca="1">gr(calculs!BJ257)</f>
        <v>#NAME?</v>
      </c>
      <c r="F257" s="535" t="e">
        <f ca="1">gr(calculs!BK257)</f>
        <v>#NAME?</v>
      </c>
      <c r="G257" s="535" t="e">
        <v>#N/A</v>
      </c>
      <c r="H257" s="535" t="e">
        <v>#N/A</v>
      </c>
      <c r="I257" s="535" t="e">
        <v>#N/A</v>
      </c>
      <c r="J257" s="535" t="e">
        <v>#N/A</v>
      </c>
      <c r="K257" s="535" t="e">
        <v>#N/A</v>
      </c>
      <c r="L257" s="523"/>
    </row>
    <row r="258" spans="1:12" x14ac:dyDescent="0.2">
      <c r="A258" s="222">
        <f>calculs!A258</f>
        <v>44809</v>
      </c>
      <c r="B258" s="535" t="e">
        <f ca="1">gr(calculs!BG258)</f>
        <v>#NAME?</v>
      </c>
      <c r="C258" s="535" t="e">
        <f ca="1">gr(calculs!BH258)</f>
        <v>#NAME?</v>
      </c>
      <c r="D258" s="535" t="e">
        <f ca="1">gr(calculs!BI258)</f>
        <v>#NAME?</v>
      </c>
      <c r="E258" s="535" t="e">
        <f ca="1">gr(calculs!BJ258)</f>
        <v>#NAME?</v>
      </c>
      <c r="F258" s="535" t="e">
        <f ca="1">gr(calculs!BK258)</f>
        <v>#NAME?</v>
      </c>
      <c r="G258" s="535" t="e">
        <v>#N/A</v>
      </c>
      <c r="H258" s="535" t="e">
        <v>#N/A</v>
      </c>
      <c r="I258" s="535" t="e">
        <v>#N/A</v>
      </c>
      <c r="J258" s="535" t="e">
        <v>#N/A</v>
      </c>
      <c r="K258" s="535" t="e">
        <v>#N/A</v>
      </c>
      <c r="L258" s="523"/>
    </row>
    <row r="259" spans="1:12" x14ac:dyDescent="0.2">
      <c r="A259" s="222">
        <f>calculs!A259</f>
        <v>44810</v>
      </c>
      <c r="B259" s="535" t="e">
        <f ca="1">gr(calculs!BG259)</f>
        <v>#NAME?</v>
      </c>
      <c r="C259" s="535" t="e">
        <f ca="1">gr(calculs!BH259)</f>
        <v>#NAME?</v>
      </c>
      <c r="D259" s="535" t="e">
        <f ca="1">gr(calculs!BI259)</f>
        <v>#NAME?</v>
      </c>
      <c r="E259" s="535" t="e">
        <f ca="1">gr(calculs!BJ259)</f>
        <v>#NAME?</v>
      </c>
      <c r="F259" s="535" t="e">
        <f ca="1">gr(calculs!BK259)</f>
        <v>#NAME?</v>
      </c>
      <c r="G259" s="535" t="e">
        <v>#N/A</v>
      </c>
      <c r="H259" s="535" t="e">
        <v>#N/A</v>
      </c>
      <c r="I259" s="535" t="e">
        <v>#N/A</v>
      </c>
      <c r="J259" s="535" t="e">
        <v>#N/A</v>
      </c>
      <c r="K259" s="535" t="e">
        <v>#N/A</v>
      </c>
      <c r="L259" s="523"/>
    </row>
    <row r="260" spans="1:12" x14ac:dyDescent="0.2">
      <c r="A260" s="222">
        <f>calculs!A260</f>
        <v>44811</v>
      </c>
      <c r="B260" s="535" t="e">
        <f ca="1">gr(calculs!BG260)</f>
        <v>#NAME?</v>
      </c>
      <c r="C260" s="535" t="e">
        <f ca="1">gr(calculs!BH260)</f>
        <v>#NAME?</v>
      </c>
      <c r="D260" s="535" t="e">
        <f ca="1">gr(calculs!BI260)</f>
        <v>#NAME?</v>
      </c>
      <c r="E260" s="535" t="e">
        <f ca="1">gr(calculs!BJ260)</f>
        <v>#NAME?</v>
      </c>
      <c r="F260" s="535" t="e">
        <f ca="1">gr(calculs!BK260)</f>
        <v>#NAME?</v>
      </c>
      <c r="G260" s="535" t="e">
        <v>#N/A</v>
      </c>
      <c r="H260" s="535" t="e">
        <v>#N/A</v>
      </c>
      <c r="I260" s="535" t="e">
        <v>#N/A</v>
      </c>
      <c r="J260" s="535" t="e">
        <v>#N/A</v>
      </c>
      <c r="K260" s="535" t="e">
        <v>#N/A</v>
      </c>
      <c r="L260" s="523"/>
    </row>
    <row r="261" spans="1:12" x14ac:dyDescent="0.2">
      <c r="A261" s="222">
        <f>calculs!A261</f>
        <v>44812</v>
      </c>
      <c r="B261" s="535" t="e">
        <f ca="1">gr(calculs!BG261)</f>
        <v>#NAME?</v>
      </c>
      <c r="C261" s="535" t="e">
        <f ca="1">gr(calculs!BH261)</f>
        <v>#NAME?</v>
      </c>
      <c r="D261" s="535" t="e">
        <f ca="1">gr(calculs!BI261)</f>
        <v>#NAME?</v>
      </c>
      <c r="E261" s="535" t="e">
        <f ca="1">gr(calculs!BJ261)</f>
        <v>#NAME?</v>
      </c>
      <c r="F261" s="535" t="e">
        <f ca="1">gr(calculs!BK261)</f>
        <v>#NAME?</v>
      </c>
      <c r="G261" s="535" t="e">
        <v>#N/A</v>
      </c>
      <c r="H261" s="535" t="e">
        <v>#N/A</v>
      </c>
      <c r="I261" s="535" t="e">
        <v>#N/A</v>
      </c>
      <c r="J261" s="535" t="e">
        <v>#N/A</v>
      </c>
      <c r="K261" s="535" t="e">
        <v>#N/A</v>
      </c>
      <c r="L261" s="523"/>
    </row>
    <row r="262" spans="1:12" x14ac:dyDescent="0.2">
      <c r="A262" s="222">
        <f>calculs!A262</f>
        <v>44813</v>
      </c>
      <c r="B262" s="535" t="e">
        <f ca="1">gr(calculs!BG262)</f>
        <v>#NAME?</v>
      </c>
      <c r="C262" s="535" t="e">
        <f ca="1">gr(calculs!BH262)</f>
        <v>#NAME?</v>
      </c>
      <c r="D262" s="535" t="e">
        <f ca="1">gr(calculs!BI262)</f>
        <v>#NAME?</v>
      </c>
      <c r="E262" s="535" t="e">
        <f ca="1">gr(calculs!BJ262)</f>
        <v>#NAME?</v>
      </c>
      <c r="F262" s="535" t="e">
        <f ca="1">gr(calculs!BK262)</f>
        <v>#NAME?</v>
      </c>
      <c r="G262" s="535" t="e">
        <v>#N/A</v>
      </c>
      <c r="H262" s="535" t="e">
        <v>#N/A</v>
      </c>
      <c r="I262" s="535" t="e">
        <v>#N/A</v>
      </c>
      <c r="J262" s="535" t="e">
        <v>#N/A</v>
      </c>
      <c r="K262" s="535" t="e">
        <v>#N/A</v>
      </c>
      <c r="L262" s="523"/>
    </row>
    <row r="263" spans="1:12" x14ac:dyDescent="0.2">
      <c r="A263" s="222">
        <f>calculs!A263</f>
        <v>44814</v>
      </c>
      <c r="B263" s="535" t="e">
        <f ca="1">gr(calculs!BG263)</f>
        <v>#NAME?</v>
      </c>
      <c r="C263" s="535" t="e">
        <f ca="1">gr(calculs!BH263)</f>
        <v>#NAME?</v>
      </c>
      <c r="D263" s="535" t="e">
        <f ca="1">gr(calculs!BI263)</f>
        <v>#NAME?</v>
      </c>
      <c r="E263" s="535" t="e">
        <f ca="1">gr(calculs!BJ263)</f>
        <v>#NAME?</v>
      </c>
      <c r="F263" s="535" t="e">
        <f ca="1">gr(calculs!BK263)</f>
        <v>#NAME?</v>
      </c>
      <c r="G263" s="535" t="e">
        <v>#N/A</v>
      </c>
      <c r="H263" s="535" t="e">
        <v>#N/A</v>
      </c>
      <c r="I263" s="535" t="e">
        <v>#N/A</v>
      </c>
      <c r="J263" s="535" t="e">
        <v>#N/A</v>
      </c>
      <c r="K263" s="535" t="e">
        <v>#N/A</v>
      </c>
      <c r="L263" s="523"/>
    </row>
    <row r="264" spans="1:12" x14ac:dyDescent="0.2">
      <c r="A264" s="222">
        <f>calculs!A264</f>
        <v>44815</v>
      </c>
      <c r="B264" s="535" t="e">
        <f ca="1">gr(calculs!BG264)</f>
        <v>#NAME?</v>
      </c>
      <c r="C264" s="535" t="e">
        <f ca="1">gr(calculs!BH264)</f>
        <v>#NAME?</v>
      </c>
      <c r="D264" s="535" t="e">
        <f ca="1">gr(calculs!BI264)</f>
        <v>#NAME?</v>
      </c>
      <c r="E264" s="535" t="e">
        <f ca="1">gr(calculs!BJ264)</f>
        <v>#NAME?</v>
      </c>
      <c r="F264" s="535" t="e">
        <f ca="1">gr(calculs!BK264)</f>
        <v>#NAME?</v>
      </c>
      <c r="G264" s="535" t="e">
        <v>#N/A</v>
      </c>
      <c r="H264" s="535" t="e">
        <v>#N/A</v>
      </c>
      <c r="I264" s="535" t="e">
        <v>#N/A</v>
      </c>
      <c r="J264" s="535" t="e">
        <v>#N/A</v>
      </c>
      <c r="K264" s="535" t="e">
        <v>#N/A</v>
      </c>
      <c r="L264" s="523"/>
    </row>
    <row r="265" spans="1:12" x14ac:dyDescent="0.2">
      <c r="A265" s="222">
        <f>calculs!A265</f>
        <v>44816</v>
      </c>
      <c r="B265" s="535" t="e">
        <f ca="1">gr(calculs!BG265)</f>
        <v>#NAME?</v>
      </c>
      <c r="C265" s="535" t="e">
        <f ca="1">gr(calculs!BH265)</f>
        <v>#NAME?</v>
      </c>
      <c r="D265" s="535" t="e">
        <f ca="1">gr(calculs!BI265)</f>
        <v>#NAME?</v>
      </c>
      <c r="E265" s="535" t="e">
        <f ca="1">gr(calculs!BJ265)</f>
        <v>#NAME?</v>
      </c>
      <c r="F265" s="535" t="e">
        <f ca="1">gr(calculs!BK265)</f>
        <v>#NAME?</v>
      </c>
      <c r="G265" s="535" t="e">
        <v>#N/A</v>
      </c>
      <c r="H265" s="535" t="e">
        <v>#N/A</v>
      </c>
      <c r="I265" s="535" t="e">
        <v>#N/A</v>
      </c>
      <c r="J265" s="535" t="e">
        <v>#N/A</v>
      </c>
      <c r="K265" s="535" t="e">
        <v>#N/A</v>
      </c>
      <c r="L265" s="523"/>
    </row>
    <row r="266" spans="1:12" x14ac:dyDescent="0.2">
      <c r="A266" s="222">
        <f>calculs!A266</f>
        <v>44817</v>
      </c>
      <c r="B266" s="535" t="e">
        <f ca="1">gr(calculs!BG266)</f>
        <v>#NAME?</v>
      </c>
      <c r="C266" s="535" t="e">
        <f ca="1">gr(calculs!BH266)</f>
        <v>#NAME?</v>
      </c>
      <c r="D266" s="535" t="e">
        <f ca="1">gr(calculs!BI266)</f>
        <v>#NAME?</v>
      </c>
      <c r="E266" s="535" t="e">
        <f ca="1">gr(calculs!BJ266)</f>
        <v>#NAME?</v>
      </c>
      <c r="F266" s="535" t="e">
        <f ca="1">gr(calculs!BK266)</f>
        <v>#NAME?</v>
      </c>
      <c r="G266" s="535" t="e">
        <v>#N/A</v>
      </c>
      <c r="H266" s="535" t="e">
        <v>#N/A</v>
      </c>
      <c r="I266" s="535" t="e">
        <v>#N/A</v>
      </c>
      <c r="J266" s="535" t="e">
        <v>#N/A</v>
      </c>
      <c r="K266" s="535" t="e">
        <v>#N/A</v>
      </c>
      <c r="L266" s="523"/>
    </row>
    <row r="267" spans="1:12" x14ac:dyDescent="0.2">
      <c r="A267" s="222">
        <f>calculs!A267</f>
        <v>44818</v>
      </c>
      <c r="B267" s="535" t="e">
        <f ca="1">gr(calculs!BG267)</f>
        <v>#NAME?</v>
      </c>
      <c r="C267" s="535" t="e">
        <f ca="1">gr(calculs!BH267)</f>
        <v>#NAME?</v>
      </c>
      <c r="D267" s="535" t="e">
        <f ca="1">gr(calculs!BI267)</f>
        <v>#NAME?</v>
      </c>
      <c r="E267" s="535" t="e">
        <f ca="1">gr(calculs!BJ267)</f>
        <v>#NAME?</v>
      </c>
      <c r="F267" s="535" t="e">
        <f ca="1">gr(calculs!BK267)</f>
        <v>#NAME?</v>
      </c>
      <c r="G267" s="535" t="e">
        <v>#N/A</v>
      </c>
      <c r="H267" s="535" t="e">
        <v>#N/A</v>
      </c>
      <c r="I267" s="535" t="e">
        <v>#N/A</v>
      </c>
      <c r="J267" s="535" t="e">
        <v>#N/A</v>
      </c>
      <c r="K267" s="535" t="e">
        <v>#N/A</v>
      </c>
      <c r="L267" s="523"/>
    </row>
    <row r="268" spans="1:12" x14ac:dyDescent="0.2">
      <c r="A268" s="222">
        <f>calculs!A268</f>
        <v>44819</v>
      </c>
      <c r="B268" s="535" t="e">
        <f ca="1">gr(calculs!BG268)</f>
        <v>#NAME?</v>
      </c>
      <c r="C268" s="535" t="e">
        <f ca="1">gr(calculs!BH268)</f>
        <v>#NAME?</v>
      </c>
      <c r="D268" s="535" t="e">
        <f ca="1">gr(calculs!BI268)</f>
        <v>#NAME?</v>
      </c>
      <c r="E268" s="535" t="e">
        <f ca="1">gr(calculs!BJ268)</f>
        <v>#NAME?</v>
      </c>
      <c r="F268" s="535" t="e">
        <f ca="1">gr(calculs!BK268)</f>
        <v>#NAME?</v>
      </c>
      <c r="G268" s="535" t="e">
        <v>#N/A</v>
      </c>
      <c r="H268" s="535" t="e">
        <v>#N/A</v>
      </c>
      <c r="I268" s="535" t="e">
        <v>#N/A</v>
      </c>
      <c r="J268" s="535" t="e">
        <v>#N/A</v>
      </c>
      <c r="K268" s="535" t="e">
        <v>#N/A</v>
      </c>
      <c r="L268" s="523"/>
    </row>
    <row r="269" spans="1:12" x14ac:dyDescent="0.2">
      <c r="A269" s="222">
        <f>calculs!A269</f>
        <v>44820</v>
      </c>
      <c r="B269" s="535" t="e">
        <f ca="1">gr(calculs!BG269)</f>
        <v>#NAME?</v>
      </c>
      <c r="C269" s="535" t="e">
        <f ca="1">gr(calculs!BH269)</f>
        <v>#NAME?</v>
      </c>
      <c r="D269" s="535" t="e">
        <f ca="1">gr(calculs!BI269)</f>
        <v>#NAME?</v>
      </c>
      <c r="E269" s="535" t="e">
        <f ca="1">gr(calculs!BJ269)</f>
        <v>#NAME?</v>
      </c>
      <c r="F269" s="535" t="e">
        <f ca="1">gr(calculs!BK269)</f>
        <v>#NAME?</v>
      </c>
      <c r="G269" s="535" t="e">
        <v>#N/A</v>
      </c>
      <c r="H269" s="535" t="e">
        <v>#N/A</v>
      </c>
      <c r="I269" s="535" t="e">
        <v>#N/A</v>
      </c>
      <c r="J269" s="535" t="e">
        <v>#N/A</v>
      </c>
      <c r="K269" s="535" t="e">
        <v>#N/A</v>
      </c>
      <c r="L269" s="523"/>
    </row>
    <row r="270" spans="1:12" x14ac:dyDescent="0.2">
      <c r="A270" s="222">
        <f>calculs!A270</f>
        <v>44821</v>
      </c>
      <c r="B270" s="535" t="e">
        <f ca="1">gr(calculs!BG270)</f>
        <v>#NAME?</v>
      </c>
      <c r="C270" s="535" t="e">
        <f ca="1">gr(calculs!BH270)</f>
        <v>#NAME?</v>
      </c>
      <c r="D270" s="535" t="e">
        <f ca="1">gr(calculs!BI270)</f>
        <v>#NAME?</v>
      </c>
      <c r="E270" s="535" t="e">
        <f ca="1">gr(calculs!BJ270)</f>
        <v>#NAME?</v>
      </c>
      <c r="F270" s="535" t="e">
        <f ca="1">gr(calculs!BK270)</f>
        <v>#NAME?</v>
      </c>
      <c r="G270" s="535" t="e">
        <v>#N/A</v>
      </c>
      <c r="H270" s="535" t="e">
        <v>#N/A</v>
      </c>
      <c r="I270" s="535" t="e">
        <v>#N/A</v>
      </c>
      <c r="J270" s="535" t="e">
        <v>#N/A</v>
      </c>
      <c r="K270" s="535" t="e">
        <v>#N/A</v>
      </c>
      <c r="L270" s="523"/>
    </row>
    <row r="271" spans="1:12" x14ac:dyDescent="0.2">
      <c r="A271" s="222">
        <f>calculs!A271</f>
        <v>44822</v>
      </c>
      <c r="B271" s="535" t="e">
        <f ca="1">gr(calculs!BG271)</f>
        <v>#NAME?</v>
      </c>
      <c r="C271" s="535" t="e">
        <f ca="1">gr(calculs!BH271)</f>
        <v>#NAME?</v>
      </c>
      <c r="D271" s="535" t="e">
        <f ca="1">gr(calculs!BI271)</f>
        <v>#NAME?</v>
      </c>
      <c r="E271" s="535" t="e">
        <f ca="1">gr(calculs!BJ271)</f>
        <v>#NAME?</v>
      </c>
      <c r="F271" s="535" t="e">
        <f ca="1">gr(calculs!BK271)</f>
        <v>#NAME?</v>
      </c>
      <c r="G271" s="535" t="e">
        <v>#N/A</v>
      </c>
      <c r="H271" s="535" t="e">
        <v>#N/A</v>
      </c>
      <c r="I271" s="535" t="e">
        <v>#N/A</v>
      </c>
      <c r="J271" s="535" t="e">
        <v>#N/A</v>
      </c>
      <c r="K271" s="535" t="e">
        <v>#N/A</v>
      </c>
      <c r="L271" s="523"/>
    </row>
    <row r="272" spans="1:12" x14ac:dyDescent="0.2">
      <c r="A272" s="222">
        <f>calculs!A272</f>
        <v>44823</v>
      </c>
      <c r="B272" s="535" t="e">
        <f ca="1">gr(calculs!BG272)</f>
        <v>#NAME?</v>
      </c>
      <c r="C272" s="535" t="e">
        <f ca="1">gr(calculs!BH272)</f>
        <v>#NAME?</v>
      </c>
      <c r="D272" s="535" t="e">
        <f ca="1">gr(calculs!BI272)</f>
        <v>#NAME?</v>
      </c>
      <c r="E272" s="535" t="e">
        <f ca="1">gr(calculs!BJ272)</f>
        <v>#NAME?</v>
      </c>
      <c r="F272" s="535" t="e">
        <f ca="1">gr(calculs!BK272)</f>
        <v>#NAME?</v>
      </c>
      <c r="G272" s="535" t="e">
        <v>#N/A</v>
      </c>
      <c r="H272" s="535" t="e">
        <v>#N/A</v>
      </c>
      <c r="I272" s="535" t="e">
        <v>#N/A</v>
      </c>
      <c r="J272" s="535" t="e">
        <v>#N/A</v>
      </c>
      <c r="K272" s="535" t="e">
        <v>#N/A</v>
      </c>
      <c r="L272" s="523"/>
    </row>
    <row r="273" spans="1:12" x14ac:dyDescent="0.2">
      <c r="A273" s="222">
        <f>calculs!A273</f>
        <v>44824</v>
      </c>
      <c r="B273" s="535" t="e">
        <f ca="1">gr(calculs!BG273)</f>
        <v>#NAME?</v>
      </c>
      <c r="C273" s="535" t="e">
        <f ca="1">gr(calculs!BH273)</f>
        <v>#NAME?</v>
      </c>
      <c r="D273" s="535" t="e">
        <f ca="1">gr(calculs!BI273)</f>
        <v>#NAME?</v>
      </c>
      <c r="E273" s="535" t="e">
        <f ca="1">gr(calculs!BJ273)</f>
        <v>#NAME?</v>
      </c>
      <c r="F273" s="535" t="e">
        <f ca="1">gr(calculs!BK273)</f>
        <v>#NAME?</v>
      </c>
      <c r="G273" s="535" t="e">
        <v>#N/A</v>
      </c>
      <c r="H273" s="535" t="e">
        <v>#N/A</v>
      </c>
      <c r="I273" s="535" t="e">
        <v>#N/A</v>
      </c>
      <c r="J273" s="535" t="e">
        <v>#N/A</v>
      </c>
      <c r="K273" s="535" t="e">
        <v>#N/A</v>
      </c>
      <c r="L273" s="523"/>
    </row>
    <row r="274" spans="1:12" x14ac:dyDescent="0.2">
      <c r="A274" s="222">
        <f>calculs!A274</f>
        <v>44825</v>
      </c>
      <c r="B274" s="535" t="e">
        <f ca="1">gr(calculs!BG274)</f>
        <v>#NAME?</v>
      </c>
      <c r="C274" s="535" t="e">
        <f ca="1">gr(calculs!BH274)</f>
        <v>#NAME?</v>
      </c>
      <c r="D274" s="535" t="e">
        <f ca="1">gr(calculs!BI274)</f>
        <v>#NAME?</v>
      </c>
      <c r="E274" s="535" t="e">
        <f ca="1">gr(calculs!BJ274)</f>
        <v>#NAME?</v>
      </c>
      <c r="F274" s="535" t="e">
        <f ca="1">gr(calculs!BK274)</f>
        <v>#NAME?</v>
      </c>
      <c r="G274" s="535" t="e">
        <v>#N/A</v>
      </c>
      <c r="H274" s="535" t="e">
        <v>#N/A</v>
      </c>
      <c r="I274" s="535" t="e">
        <v>#N/A</v>
      </c>
      <c r="J274" s="535" t="e">
        <v>#N/A</v>
      </c>
      <c r="K274" s="535" t="e">
        <v>#N/A</v>
      </c>
      <c r="L274" s="523"/>
    </row>
    <row r="275" spans="1:12" x14ac:dyDescent="0.2">
      <c r="A275" s="222">
        <f>calculs!A275</f>
        <v>44826</v>
      </c>
      <c r="B275" s="535" t="e">
        <f ca="1">gr(calculs!BG275)</f>
        <v>#NAME?</v>
      </c>
      <c r="C275" s="535" t="e">
        <f ca="1">gr(calculs!BH275)</f>
        <v>#NAME?</v>
      </c>
      <c r="D275" s="535" t="e">
        <f ca="1">gr(calculs!BI275)</f>
        <v>#NAME?</v>
      </c>
      <c r="E275" s="535" t="e">
        <f ca="1">gr(calculs!BJ275)</f>
        <v>#NAME?</v>
      </c>
      <c r="F275" s="535" t="e">
        <f ca="1">gr(calculs!BK275)</f>
        <v>#NAME?</v>
      </c>
      <c r="G275" s="535" t="e">
        <v>#N/A</v>
      </c>
      <c r="H275" s="535" t="e">
        <v>#N/A</v>
      </c>
      <c r="I275" s="535" t="e">
        <v>#N/A</v>
      </c>
      <c r="J275" s="535" t="e">
        <v>#N/A</v>
      </c>
      <c r="K275" s="535" t="e">
        <v>#N/A</v>
      </c>
      <c r="L275" s="523"/>
    </row>
    <row r="276" spans="1:12" x14ac:dyDescent="0.2">
      <c r="A276" s="222">
        <f>calculs!A276</f>
        <v>44827</v>
      </c>
      <c r="B276" s="535" t="e">
        <f ca="1">gr(calculs!BG276)</f>
        <v>#NAME?</v>
      </c>
      <c r="C276" s="535" t="e">
        <f ca="1">gr(calculs!BH276)</f>
        <v>#NAME?</v>
      </c>
      <c r="D276" s="535" t="e">
        <f ca="1">gr(calculs!BI276)</f>
        <v>#NAME?</v>
      </c>
      <c r="E276" s="535" t="e">
        <f ca="1">gr(calculs!BJ276)</f>
        <v>#NAME?</v>
      </c>
      <c r="F276" s="535" t="e">
        <f ca="1">gr(calculs!BK276)</f>
        <v>#NAME?</v>
      </c>
      <c r="G276" s="535" t="e">
        <v>#N/A</v>
      </c>
      <c r="H276" s="535" t="e">
        <v>#N/A</v>
      </c>
      <c r="I276" s="535" t="e">
        <v>#N/A</v>
      </c>
      <c r="J276" s="535" t="e">
        <v>#N/A</v>
      </c>
      <c r="K276" s="535" t="e">
        <v>#N/A</v>
      </c>
      <c r="L276" s="523"/>
    </row>
    <row r="277" spans="1:12" x14ac:dyDescent="0.2">
      <c r="A277" s="222">
        <f>calculs!A277</f>
        <v>44828</v>
      </c>
      <c r="B277" s="535" t="e">
        <f ca="1">gr(calculs!BG277)</f>
        <v>#NAME?</v>
      </c>
      <c r="C277" s="535" t="e">
        <f ca="1">gr(calculs!BH277)</f>
        <v>#NAME?</v>
      </c>
      <c r="D277" s="535" t="e">
        <f ca="1">gr(calculs!BI277)</f>
        <v>#NAME?</v>
      </c>
      <c r="E277" s="535" t="e">
        <f ca="1">gr(calculs!BJ277)</f>
        <v>#NAME?</v>
      </c>
      <c r="F277" s="535" t="e">
        <f ca="1">gr(calculs!BK277)</f>
        <v>#NAME?</v>
      </c>
      <c r="G277" s="535" t="e">
        <v>#N/A</v>
      </c>
      <c r="H277" s="535" t="e">
        <v>#N/A</v>
      </c>
      <c r="I277" s="535" t="e">
        <v>#N/A</v>
      </c>
      <c r="J277" s="535" t="e">
        <v>#N/A</v>
      </c>
      <c r="K277" s="535" t="e">
        <v>#N/A</v>
      </c>
      <c r="L277" s="523"/>
    </row>
    <row r="278" spans="1:12" x14ac:dyDescent="0.2">
      <c r="A278" s="222">
        <f>calculs!A278</f>
        <v>44829</v>
      </c>
      <c r="B278" s="535" t="e">
        <f ca="1">gr(calculs!BG278)</f>
        <v>#NAME?</v>
      </c>
      <c r="C278" s="535" t="e">
        <f ca="1">gr(calculs!BH278)</f>
        <v>#NAME?</v>
      </c>
      <c r="D278" s="535" t="e">
        <f ca="1">gr(calculs!BI278)</f>
        <v>#NAME?</v>
      </c>
      <c r="E278" s="535" t="e">
        <f ca="1">gr(calculs!BJ278)</f>
        <v>#NAME?</v>
      </c>
      <c r="F278" s="535" t="e">
        <f ca="1">gr(calculs!BK278)</f>
        <v>#NAME?</v>
      </c>
      <c r="G278" s="535" t="e">
        <v>#N/A</v>
      </c>
      <c r="H278" s="535" t="e">
        <v>#N/A</v>
      </c>
      <c r="I278" s="535" t="e">
        <v>#N/A</v>
      </c>
      <c r="J278" s="535" t="e">
        <v>#N/A</v>
      </c>
      <c r="K278" s="535" t="e">
        <v>#N/A</v>
      </c>
      <c r="L278" s="523"/>
    </row>
    <row r="279" spans="1:12" x14ac:dyDescent="0.2">
      <c r="A279" s="222">
        <f>calculs!A279</f>
        <v>44830</v>
      </c>
      <c r="B279" s="535" t="e">
        <f ca="1">gr(calculs!BG279)</f>
        <v>#NAME?</v>
      </c>
      <c r="C279" s="535" t="e">
        <f ca="1">gr(calculs!BH279)</f>
        <v>#NAME?</v>
      </c>
      <c r="D279" s="535" t="e">
        <f ca="1">gr(calculs!BI279)</f>
        <v>#NAME?</v>
      </c>
      <c r="E279" s="535" t="e">
        <f ca="1">gr(calculs!BJ279)</f>
        <v>#NAME?</v>
      </c>
      <c r="F279" s="535" t="e">
        <f ca="1">gr(calculs!BK279)</f>
        <v>#NAME?</v>
      </c>
      <c r="G279" s="535" t="e">
        <v>#N/A</v>
      </c>
      <c r="H279" s="535" t="e">
        <v>#N/A</v>
      </c>
      <c r="I279" s="535" t="e">
        <v>#N/A</v>
      </c>
      <c r="J279" s="535" t="e">
        <v>#N/A</v>
      </c>
      <c r="K279" s="535" t="e">
        <v>#N/A</v>
      </c>
      <c r="L279" s="523"/>
    </row>
    <row r="280" spans="1:12" x14ac:dyDescent="0.2">
      <c r="A280" s="222">
        <f>calculs!A280</f>
        <v>44831</v>
      </c>
      <c r="B280" s="535" t="e">
        <f ca="1">gr(calculs!BG280)</f>
        <v>#NAME?</v>
      </c>
      <c r="C280" s="535" t="e">
        <f ca="1">gr(calculs!BH280)</f>
        <v>#NAME?</v>
      </c>
      <c r="D280" s="535" t="e">
        <f ca="1">gr(calculs!BI280)</f>
        <v>#NAME?</v>
      </c>
      <c r="E280" s="535" t="e">
        <f ca="1">gr(calculs!BJ280)</f>
        <v>#NAME?</v>
      </c>
      <c r="F280" s="535" t="e">
        <f ca="1">gr(calculs!BK280)</f>
        <v>#NAME?</v>
      </c>
      <c r="G280" s="535" t="e">
        <v>#N/A</v>
      </c>
      <c r="H280" s="535" t="e">
        <v>#N/A</v>
      </c>
      <c r="I280" s="535" t="e">
        <v>#N/A</v>
      </c>
      <c r="J280" s="535" t="e">
        <v>#N/A</v>
      </c>
      <c r="K280" s="535" t="e">
        <v>#N/A</v>
      </c>
      <c r="L280" s="523"/>
    </row>
    <row r="281" spans="1:12" x14ac:dyDescent="0.2">
      <c r="A281" s="222">
        <f>calculs!A281</f>
        <v>44832</v>
      </c>
      <c r="B281" s="535" t="e">
        <f ca="1">gr(calculs!BG281)</f>
        <v>#NAME?</v>
      </c>
      <c r="C281" s="535" t="e">
        <f ca="1">gr(calculs!BH281)</f>
        <v>#NAME?</v>
      </c>
      <c r="D281" s="535" t="e">
        <f ca="1">gr(calculs!BI281)</f>
        <v>#NAME?</v>
      </c>
      <c r="E281" s="535" t="e">
        <f ca="1">gr(calculs!BJ281)</f>
        <v>#NAME?</v>
      </c>
      <c r="F281" s="535" t="e">
        <f ca="1">gr(calculs!BK281)</f>
        <v>#NAME?</v>
      </c>
      <c r="G281" s="535" t="e">
        <v>#N/A</v>
      </c>
      <c r="H281" s="535" t="e">
        <v>#N/A</v>
      </c>
      <c r="I281" s="535" t="e">
        <v>#N/A</v>
      </c>
      <c r="J281" s="535" t="e">
        <v>#N/A</v>
      </c>
      <c r="K281" s="535" t="e">
        <v>#N/A</v>
      </c>
      <c r="L281" s="523"/>
    </row>
    <row r="282" spans="1:12" x14ac:dyDescent="0.2">
      <c r="A282" s="222">
        <f>calculs!A282</f>
        <v>44833</v>
      </c>
      <c r="B282" s="535" t="e">
        <f ca="1">gr(calculs!BG282)</f>
        <v>#NAME?</v>
      </c>
      <c r="C282" s="535" t="e">
        <f ca="1">gr(calculs!BH282)</f>
        <v>#NAME?</v>
      </c>
      <c r="D282" s="535" t="e">
        <f ca="1">gr(calculs!BI282)</f>
        <v>#NAME?</v>
      </c>
      <c r="E282" s="535" t="e">
        <f ca="1">gr(calculs!BJ282)</f>
        <v>#NAME?</v>
      </c>
      <c r="F282" s="535" t="e">
        <f ca="1">gr(calculs!BK282)</f>
        <v>#NAME?</v>
      </c>
      <c r="G282" s="535" t="e">
        <v>#N/A</v>
      </c>
      <c r="H282" s="535" t="e">
        <v>#N/A</v>
      </c>
      <c r="I282" s="535" t="e">
        <v>#N/A</v>
      </c>
      <c r="J282" s="535" t="e">
        <v>#N/A</v>
      </c>
      <c r="K282" s="535" t="e">
        <v>#N/A</v>
      </c>
      <c r="L282" s="523"/>
    </row>
    <row r="283" spans="1:12" x14ac:dyDescent="0.2">
      <c r="A283" s="222">
        <f>calculs!A283</f>
        <v>44834</v>
      </c>
      <c r="B283" s="535" t="e">
        <f ca="1">gr(calculs!BG283)</f>
        <v>#NAME?</v>
      </c>
      <c r="C283" s="535" t="e">
        <f ca="1">gr(calculs!BH283)</f>
        <v>#NAME?</v>
      </c>
      <c r="D283" s="535" t="e">
        <f ca="1">gr(calculs!BI283)</f>
        <v>#NAME?</v>
      </c>
      <c r="E283" s="535" t="e">
        <f ca="1">gr(calculs!BJ283)</f>
        <v>#NAME?</v>
      </c>
      <c r="F283" s="535" t="e">
        <f ca="1">gr(calculs!BK283)</f>
        <v>#NAME?</v>
      </c>
      <c r="G283" s="535" t="e">
        <v>#N/A</v>
      </c>
      <c r="H283" s="535" t="e">
        <v>#N/A</v>
      </c>
      <c r="I283" s="535" t="e">
        <v>#N/A</v>
      </c>
      <c r="J283" s="535" t="e">
        <v>#N/A</v>
      </c>
      <c r="K283" s="535" t="e">
        <v>#N/A</v>
      </c>
      <c r="L283" s="523"/>
    </row>
    <row r="284" spans="1:12" x14ac:dyDescent="0.2">
      <c r="A284" s="222">
        <f>calculs!A284</f>
        <v>44835</v>
      </c>
      <c r="B284" s="535" t="e">
        <f ca="1">gr(calculs!BG284)</f>
        <v>#NAME?</v>
      </c>
      <c r="C284" s="535" t="e">
        <f ca="1">gr(calculs!BH284)</f>
        <v>#NAME?</v>
      </c>
      <c r="D284" s="535" t="e">
        <f ca="1">gr(calculs!BI284)</f>
        <v>#NAME?</v>
      </c>
      <c r="E284" s="535" t="e">
        <f ca="1">gr(calculs!BJ284)</f>
        <v>#NAME?</v>
      </c>
      <c r="F284" s="535" t="e">
        <f ca="1">gr(calculs!BK284)</f>
        <v>#NAME?</v>
      </c>
      <c r="G284" s="535" t="e">
        <v>#N/A</v>
      </c>
      <c r="H284" s="535" t="e">
        <v>#N/A</v>
      </c>
      <c r="I284" s="535" t="e">
        <v>#N/A</v>
      </c>
      <c r="J284" s="535" t="e">
        <v>#N/A</v>
      </c>
      <c r="K284" s="535" t="e">
        <v>#N/A</v>
      </c>
      <c r="L284" s="523"/>
    </row>
    <row r="285" spans="1:12" x14ac:dyDescent="0.2">
      <c r="A285" s="222">
        <f>calculs!A285</f>
        <v>44836</v>
      </c>
      <c r="B285" s="535" t="e">
        <f ca="1">gr(calculs!BG285)</f>
        <v>#NAME?</v>
      </c>
      <c r="C285" s="535" t="e">
        <f ca="1">gr(calculs!BH285)</f>
        <v>#NAME?</v>
      </c>
      <c r="D285" s="535" t="e">
        <f ca="1">gr(calculs!BI285)</f>
        <v>#NAME?</v>
      </c>
      <c r="E285" s="535" t="e">
        <f ca="1">gr(calculs!BJ285)</f>
        <v>#NAME?</v>
      </c>
      <c r="F285" s="535" t="e">
        <f ca="1">gr(calculs!BK285)</f>
        <v>#NAME?</v>
      </c>
      <c r="G285" s="535" t="e">
        <v>#N/A</v>
      </c>
      <c r="H285" s="535" t="e">
        <v>#N/A</v>
      </c>
      <c r="I285" s="535" t="e">
        <v>#N/A</v>
      </c>
      <c r="J285" s="535" t="e">
        <v>#N/A</v>
      </c>
      <c r="K285" s="535" t="e">
        <v>#N/A</v>
      </c>
      <c r="L285" s="523"/>
    </row>
    <row r="286" spans="1:12" x14ac:dyDescent="0.2">
      <c r="A286" s="222">
        <f>calculs!A286</f>
        <v>44837</v>
      </c>
      <c r="B286" s="535" t="e">
        <f ca="1">gr(calculs!BG286)</f>
        <v>#NAME?</v>
      </c>
      <c r="C286" s="535" t="e">
        <f ca="1">gr(calculs!BH286)</f>
        <v>#NAME?</v>
      </c>
      <c r="D286" s="535" t="e">
        <f ca="1">gr(calculs!BI286)</f>
        <v>#NAME?</v>
      </c>
      <c r="E286" s="535" t="e">
        <f ca="1">gr(calculs!BJ286)</f>
        <v>#NAME?</v>
      </c>
      <c r="F286" s="535" t="e">
        <f ca="1">gr(calculs!BK286)</f>
        <v>#NAME?</v>
      </c>
      <c r="G286" s="535" t="e">
        <v>#N/A</v>
      </c>
      <c r="H286" s="535" t="e">
        <v>#N/A</v>
      </c>
      <c r="I286" s="535" t="e">
        <v>#N/A</v>
      </c>
      <c r="J286" s="535" t="e">
        <v>#N/A</v>
      </c>
      <c r="K286" s="535" t="e">
        <v>#N/A</v>
      </c>
      <c r="L286" s="523"/>
    </row>
    <row r="287" spans="1:12" x14ac:dyDescent="0.2">
      <c r="A287" s="222">
        <f>calculs!A287</f>
        <v>44838</v>
      </c>
      <c r="B287" s="535" t="e">
        <f ca="1">gr(calculs!BG287)</f>
        <v>#NAME?</v>
      </c>
      <c r="C287" s="535" t="e">
        <f ca="1">gr(calculs!BH287)</f>
        <v>#NAME?</v>
      </c>
      <c r="D287" s="535" t="e">
        <f ca="1">gr(calculs!BI287)</f>
        <v>#NAME?</v>
      </c>
      <c r="E287" s="535" t="e">
        <f ca="1">gr(calculs!BJ287)</f>
        <v>#NAME?</v>
      </c>
      <c r="F287" s="535" t="e">
        <f ca="1">gr(calculs!BK287)</f>
        <v>#NAME?</v>
      </c>
      <c r="G287" s="535" t="e">
        <v>#N/A</v>
      </c>
      <c r="H287" s="535" t="e">
        <v>#N/A</v>
      </c>
      <c r="I287" s="535" t="e">
        <v>#N/A</v>
      </c>
      <c r="J287" s="535" t="e">
        <v>#N/A</v>
      </c>
      <c r="K287" s="535" t="e">
        <v>#N/A</v>
      </c>
      <c r="L287" s="523"/>
    </row>
    <row r="288" spans="1:12" x14ac:dyDescent="0.2">
      <c r="A288" s="222">
        <f>calculs!A288</f>
        <v>44839</v>
      </c>
      <c r="B288" s="535" t="e">
        <f ca="1">gr(calculs!BG288)</f>
        <v>#NAME?</v>
      </c>
      <c r="C288" s="535" t="e">
        <f ca="1">gr(calculs!BH288)</f>
        <v>#NAME?</v>
      </c>
      <c r="D288" s="535" t="e">
        <f ca="1">gr(calculs!BI288)</f>
        <v>#NAME?</v>
      </c>
      <c r="E288" s="535" t="e">
        <f ca="1">gr(calculs!BJ288)</f>
        <v>#NAME?</v>
      </c>
      <c r="F288" s="535" t="e">
        <f ca="1">gr(calculs!BK288)</f>
        <v>#NAME?</v>
      </c>
      <c r="G288" s="535" t="e">
        <v>#N/A</v>
      </c>
      <c r="H288" s="535" t="e">
        <v>#N/A</v>
      </c>
      <c r="I288" s="535" t="e">
        <v>#N/A</v>
      </c>
      <c r="J288" s="535" t="e">
        <v>#N/A</v>
      </c>
      <c r="K288" s="535" t="e">
        <v>#N/A</v>
      </c>
      <c r="L288" s="523"/>
    </row>
    <row r="289" spans="1:12" x14ac:dyDescent="0.2">
      <c r="A289" s="222">
        <f>calculs!A289</f>
        <v>44840</v>
      </c>
      <c r="B289" s="535" t="e">
        <f ca="1">gr(calculs!BG289)</f>
        <v>#NAME?</v>
      </c>
      <c r="C289" s="535" t="e">
        <f ca="1">gr(calculs!BH289)</f>
        <v>#NAME?</v>
      </c>
      <c r="D289" s="535" t="e">
        <f ca="1">gr(calculs!BI289)</f>
        <v>#NAME?</v>
      </c>
      <c r="E289" s="535" t="e">
        <f ca="1">gr(calculs!BJ289)</f>
        <v>#NAME?</v>
      </c>
      <c r="F289" s="535" t="e">
        <f ca="1">gr(calculs!BK289)</f>
        <v>#NAME?</v>
      </c>
      <c r="G289" s="535" t="e">
        <v>#N/A</v>
      </c>
      <c r="H289" s="535" t="e">
        <v>#N/A</v>
      </c>
      <c r="I289" s="535" t="e">
        <v>#N/A</v>
      </c>
      <c r="J289" s="535" t="e">
        <v>#N/A</v>
      </c>
      <c r="K289" s="535" t="e">
        <v>#N/A</v>
      </c>
      <c r="L289" s="523"/>
    </row>
    <row r="290" spans="1:12" x14ac:dyDescent="0.2">
      <c r="A290" s="222">
        <f>calculs!A290</f>
        <v>44841</v>
      </c>
      <c r="B290" s="535" t="e">
        <f ca="1">gr(calculs!BG290)</f>
        <v>#NAME?</v>
      </c>
      <c r="C290" s="535" t="e">
        <f ca="1">gr(calculs!BH290)</f>
        <v>#NAME?</v>
      </c>
      <c r="D290" s="535" t="e">
        <f ca="1">gr(calculs!BI290)</f>
        <v>#NAME?</v>
      </c>
      <c r="E290" s="535" t="e">
        <f ca="1">gr(calculs!BJ290)</f>
        <v>#NAME?</v>
      </c>
      <c r="F290" s="535" t="e">
        <f ca="1">gr(calculs!BK290)</f>
        <v>#NAME?</v>
      </c>
      <c r="G290" s="535" t="e">
        <v>#N/A</v>
      </c>
      <c r="H290" s="535" t="e">
        <v>#N/A</v>
      </c>
      <c r="I290" s="535" t="e">
        <v>#N/A</v>
      </c>
      <c r="J290" s="535" t="e">
        <v>#N/A</v>
      </c>
      <c r="K290" s="535" t="e">
        <v>#N/A</v>
      </c>
      <c r="L290" s="523"/>
    </row>
    <row r="291" spans="1:12" x14ac:dyDescent="0.2">
      <c r="A291" s="222">
        <f>calculs!A291</f>
        <v>44842</v>
      </c>
      <c r="B291" s="535" t="e">
        <f ca="1">gr(calculs!BG291)</f>
        <v>#NAME?</v>
      </c>
      <c r="C291" s="535" t="e">
        <f ca="1">gr(calculs!BH291)</f>
        <v>#NAME?</v>
      </c>
      <c r="D291" s="535" t="e">
        <f ca="1">gr(calculs!BI291)</f>
        <v>#NAME?</v>
      </c>
      <c r="E291" s="535" t="e">
        <f ca="1">gr(calculs!BJ291)</f>
        <v>#NAME?</v>
      </c>
      <c r="F291" s="535" t="e">
        <f ca="1">gr(calculs!BK291)</f>
        <v>#NAME?</v>
      </c>
      <c r="G291" s="535" t="e">
        <v>#N/A</v>
      </c>
      <c r="H291" s="535" t="e">
        <v>#N/A</v>
      </c>
      <c r="I291" s="535" t="e">
        <v>#N/A</v>
      </c>
      <c r="J291" s="535" t="e">
        <v>#N/A</v>
      </c>
      <c r="K291" s="535" t="e">
        <v>#N/A</v>
      </c>
      <c r="L291" s="523"/>
    </row>
    <row r="292" spans="1:12" x14ac:dyDescent="0.2">
      <c r="A292" s="222">
        <f>calculs!A292</f>
        <v>44843</v>
      </c>
      <c r="B292" s="535" t="e">
        <f ca="1">gr(calculs!BG292)</f>
        <v>#NAME?</v>
      </c>
      <c r="C292" s="535" t="e">
        <f ca="1">gr(calculs!BH292)</f>
        <v>#NAME?</v>
      </c>
      <c r="D292" s="535" t="e">
        <f ca="1">gr(calculs!BI292)</f>
        <v>#NAME?</v>
      </c>
      <c r="E292" s="535" t="e">
        <f ca="1">gr(calculs!BJ292)</f>
        <v>#NAME?</v>
      </c>
      <c r="F292" s="535" t="e">
        <f ca="1">gr(calculs!BK292)</f>
        <v>#NAME?</v>
      </c>
      <c r="G292" s="535" t="e">
        <v>#N/A</v>
      </c>
      <c r="H292" s="535" t="e">
        <v>#N/A</v>
      </c>
      <c r="I292" s="535" t="e">
        <v>#N/A</v>
      </c>
      <c r="J292" s="535" t="e">
        <v>#N/A</v>
      </c>
      <c r="K292" s="535" t="e">
        <v>#N/A</v>
      </c>
      <c r="L292" s="523"/>
    </row>
    <row r="293" spans="1:12" x14ac:dyDescent="0.2">
      <c r="A293" s="222">
        <f>calculs!A293</f>
        <v>44844</v>
      </c>
      <c r="B293" s="535" t="e">
        <f ca="1">gr(calculs!BG293)</f>
        <v>#NAME?</v>
      </c>
      <c r="C293" s="535" t="e">
        <f ca="1">gr(calculs!BH293)</f>
        <v>#NAME?</v>
      </c>
      <c r="D293" s="535" t="e">
        <f ca="1">gr(calculs!BI293)</f>
        <v>#NAME?</v>
      </c>
      <c r="E293" s="535" t="e">
        <f ca="1">gr(calculs!BJ293)</f>
        <v>#NAME?</v>
      </c>
      <c r="F293" s="535" t="e">
        <f ca="1">gr(calculs!BK293)</f>
        <v>#NAME?</v>
      </c>
      <c r="G293" s="535" t="e">
        <v>#N/A</v>
      </c>
      <c r="H293" s="535" t="e">
        <v>#N/A</v>
      </c>
      <c r="I293" s="535" t="e">
        <v>#N/A</v>
      </c>
      <c r="J293" s="535" t="e">
        <v>#N/A</v>
      </c>
      <c r="K293" s="535" t="e">
        <v>#N/A</v>
      </c>
      <c r="L293" s="523"/>
    </row>
    <row r="294" spans="1:12" x14ac:dyDescent="0.2">
      <c r="A294" s="222">
        <f>calculs!A294</f>
        <v>44845</v>
      </c>
      <c r="B294" s="535" t="e">
        <f ca="1">gr(calculs!BG294)</f>
        <v>#NAME?</v>
      </c>
      <c r="C294" s="535" t="e">
        <f ca="1">gr(calculs!BH294)</f>
        <v>#NAME?</v>
      </c>
      <c r="D294" s="535" t="e">
        <f ca="1">gr(calculs!BI294)</f>
        <v>#NAME?</v>
      </c>
      <c r="E294" s="535" t="e">
        <f ca="1">gr(calculs!BJ294)</f>
        <v>#NAME?</v>
      </c>
      <c r="F294" s="535" t="e">
        <f ca="1">gr(calculs!BK294)</f>
        <v>#NAME?</v>
      </c>
      <c r="G294" s="535" t="e">
        <v>#N/A</v>
      </c>
      <c r="H294" s="535" t="e">
        <v>#N/A</v>
      </c>
      <c r="I294" s="535" t="e">
        <v>#N/A</v>
      </c>
      <c r="J294" s="535" t="e">
        <v>#N/A</v>
      </c>
      <c r="K294" s="535" t="e">
        <v>#N/A</v>
      </c>
      <c r="L294" s="523"/>
    </row>
    <row r="295" spans="1:12" x14ac:dyDescent="0.2">
      <c r="A295" s="222">
        <f>calculs!A295</f>
        <v>44846</v>
      </c>
      <c r="B295" s="535" t="e">
        <f ca="1">gr(calculs!BG295)</f>
        <v>#NAME?</v>
      </c>
      <c r="C295" s="535" t="e">
        <f ca="1">gr(calculs!BH295)</f>
        <v>#NAME?</v>
      </c>
      <c r="D295" s="535" t="e">
        <f ca="1">gr(calculs!BI295)</f>
        <v>#NAME?</v>
      </c>
      <c r="E295" s="535" t="e">
        <f ca="1">gr(calculs!BJ295)</f>
        <v>#NAME?</v>
      </c>
      <c r="F295" s="535" t="e">
        <f ca="1">gr(calculs!BK295)</f>
        <v>#NAME?</v>
      </c>
      <c r="G295" s="535" t="e">
        <v>#N/A</v>
      </c>
      <c r="H295" s="535" t="e">
        <v>#N/A</v>
      </c>
      <c r="I295" s="535" t="e">
        <v>#N/A</v>
      </c>
      <c r="J295" s="535" t="e">
        <v>#N/A</v>
      </c>
      <c r="K295" s="535" t="e">
        <v>#N/A</v>
      </c>
      <c r="L295" s="523"/>
    </row>
    <row r="296" spans="1:12" x14ac:dyDescent="0.2">
      <c r="A296" s="222">
        <f>calculs!A296</f>
        <v>44847</v>
      </c>
      <c r="B296" s="535" t="e">
        <f ca="1">gr(calculs!BG296)</f>
        <v>#NAME?</v>
      </c>
      <c r="C296" s="535" t="e">
        <f ca="1">gr(calculs!BH296)</f>
        <v>#NAME?</v>
      </c>
      <c r="D296" s="535" t="e">
        <f ca="1">gr(calculs!BI296)</f>
        <v>#NAME?</v>
      </c>
      <c r="E296" s="535" t="e">
        <f ca="1">gr(calculs!BJ296)</f>
        <v>#NAME?</v>
      </c>
      <c r="F296" s="535" t="e">
        <f ca="1">gr(calculs!BK296)</f>
        <v>#NAME?</v>
      </c>
      <c r="G296" s="535" t="e">
        <v>#N/A</v>
      </c>
      <c r="H296" s="535" t="e">
        <v>#N/A</v>
      </c>
      <c r="I296" s="535" t="e">
        <v>#N/A</v>
      </c>
      <c r="J296" s="535" t="e">
        <v>#N/A</v>
      </c>
      <c r="K296" s="535" t="e">
        <v>#N/A</v>
      </c>
      <c r="L296" s="523"/>
    </row>
    <row r="297" spans="1:12" x14ac:dyDescent="0.2">
      <c r="A297" s="222">
        <f>calculs!A297</f>
        <v>44848</v>
      </c>
      <c r="B297" s="535" t="e">
        <f ca="1">gr(calculs!BG297)</f>
        <v>#NAME?</v>
      </c>
      <c r="C297" s="535" t="e">
        <f ca="1">gr(calculs!BH297)</f>
        <v>#NAME?</v>
      </c>
      <c r="D297" s="535" t="e">
        <f ca="1">gr(calculs!BI297)</f>
        <v>#NAME?</v>
      </c>
      <c r="E297" s="535" t="e">
        <f ca="1">gr(calculs!BJ297)</f>
        <v>#NAME?</v>
      </c>
      <c r="F297" s="535" t="e">
        <f ca="1">gr(calculs!BK297)</f>
        <v>#NAME?</v>
      </c>
      <c r="G297" s="535" t="e">
        <v>#N/A</v>
      </c>
      <c r="H297" s="535" t="e">
        <v>#N/A</v>
      </c>
      <c r="I297" s="535" t="e">
        <v>#N/A</v>
      </c>
      <c r="J297" s="535" t="e">
        <v>#N/A</v>
      </c>
      <c r="K297" s="535" t="e">
        <v>#N/A</v>
      </c>
      <c r="L297" s="523"/>
    </row>
    <row r="298" spans="1:12" x14ac:dyDescent="0.2">
      <c r="A298" s="222">
        <f>calculs!A298</f>
        <v>44849</v>
      </c>
      <c r="B298" s="535" t="e">
        <f ca="1">gr(calculs!BG298)</f>
        <v>#NAME?</v>
      </c>
      <c r="C298" s="535" t="e">
        <f ca="1">gr(calculs!BH298)</f>
        <v>#NAME?</v>
      </c>
      <c r="D298" s="535" t="e">
        <f ca="1">gr(calculs!BI298)</f>
        <v>#NAME?</v>
      </c>
      <c r="E298" s="535" t="e">
        <f ca="1">gr(calculs!BJ298)</f>
        <v>#NAME?</v>
      </c>
      <c r="F298" s="535" t="e">
        <f ca="1">gr(calculs!BK298)</f>
        <v>#NAME?</v>
      </c>
      <c r="G298" s="535" t="e">
        <v>#N/A</v>
      </c>
      <c r="H298" s="535" t="e">
        <v>#N/A</v>
      </c>
      <c r="I298" s="535" t="e">
        <v>#N/A</v>
      </c>
      <c r="J298" s="535" t="e">
        <v>#N/A</v>
      </c>
      <c r="K298" s="535" t="e">
        <v>#N/A</v>
      </c>
      <c r="L298" s="523"/>
    </row>
    <row r="299" spans="1:12" x14ac:dyDescent="0.2">
      <c r="A299" s="222">
        <f>calculs!A299</f>
        <v>44850</v>
      </c>
      <c r="B299" s="535" t="e">
        <f ca="1">gr(calculs!BG299)</f>
        <v>#NAME?</v>
      </c>
      <c r="C299" s="535" t="e">
        <f ca="1">gr(calculs!BH299)</f>
        <v>#NAME?</v>
      </c>
      <c r="D299" s="535" t="e">
        <f ca="1">gr(calculs!BI299)</f>
        <v>#NAME?</v>
      </c>
      <c r="E299" s="535" t="e">
        <f ca="1">gr(calculs!BJ299)</f>
        <v>#NAME?</v>
      </c>
      <c r="F299" s="535" t="e">
        <f ca="1">gr(calculs!BK299)</f>
        <v>#NAME?</v>
      </c>
      <c r="G299" s="535" t="e">
        <v>#N/A</v>
      </c>
      <c r="H299" s="535" t="e">
        <v>#N/A</v>
      </c>
      <c r="I299" s="535" t="e">
        <v>#N/A</v>
      </c>
      <c r="J299" s="535" t="e">
        <v>#N/A</v>
      </c>
      <c r="K299" s="535" t="e">
        <v>#N/A</v>
      </c>
      <c r="L299" s="523"/>
    </row>
    <row r="300" spans="1:12" x14ac:dyDescent="0.2">
      <c r="A300" s="222">
        <f>calculs!A300</f>
        <v>44851</v>
      </c>
      <c r="B300" s="535" t="e">
        <f ca="1">gr(calculs!BG300)</f>
        <v>#NAME?</v>
      </c>
      <c r="C300" s="535" t="e">
        <f ca="1">gr(calculs!BH300)</f>
        <v>#NAME?</v>
      </c>
      <c r="D300" s="535" t="e">
        <f ca="1">gr(calculs!BI300)</f>
        <v>#NAME?</v>
      </c>
      <c r="E300" s="535" t="e">
        <f ca="1">gr(calculs!BJ300)</f>
        <v>#NAME?</v>
      </c>
      <c r="F300" s="535" t="e">
        <f ca="1">gr(calculs!BK300)</f>
        <v>#NAME?</v>
      </c>
      <c r="G300" s="535" t="e">
        <v>#N/A</v>
      </c>
      <c r="H300" s="535" t="e">
        <v>#N/A</v>
      </c>
      <c r="I300" s="535" t="e">
        <v>#N/A</v>
      </c>
      <c r="J300" s="535" t="e">
        <v>#N/A</v>
      </c>
      <c r="K300" s="535" t="e">
        <v>#N/A</v>
      </c>
      <c r="L300" s="523"/>
    </row>
    <row r="301" spans="1:12" x14ac:dyDescent="0.2">
      <c r="A301" s="222">
        <f>calculs!A301</f>
        <v>44852</v>
      </c>
      <c r="B301" s="535" t="e">
        <f ca="1">gr(calculs!BG301)</f>
        <v>#NAME?</v>
      </c>
      <c r="C301" s="535" t="e">
        <f ca="1">gr(calculs!BH301)</f>
        <v>#NAME?</v>
      </c>
      <c r="D301" s="535" t="e">
        <f ca="1">gr(calculs!BI301)</f>
        <v>#NAME?</v>
      </c>
      <c r="E301" s="535" t="e">
        <f ca="1">gr(calculs!BJ301)</f>
        <v>#NAME?</v>
      </c>
      <c r="F301" s="535" t="e">
        <f ca="1">gr(calculs!BK301)</f>
        <v>#NAME?</v>
      </c>
      <c r="G301" s="535" t="e">
        <v>#N/A</v>
      </c>
      <c r="H301" s="535" t="e">
        <v>#N/A</v>
      </c>
      <c r="I301" s="535" t="e">
        <v>#N/A</v>
      </c>
      <c r="J301" s="535" t="e">
        <v>#N/A</v>
      </c>
      <c r="K301" s="535" t="e">
        <v>#N/A</v>
      </c>
      <c r="L301" s="523"/>
    </row>
    <row r="302" spans="1:12" x14ac:dyDescent="0.2">
      <c r="A302" s="222">
        <f>calculs!A302</f>
        <v>44853</v>
      </c>
      <c r="B302" s="535" t="e">
        <f ca="1">gr(calculs!BG302)</f>
        <v>#NAME?</v>
      </c>
      <c r="C302" s="535" t="e">
        <f ca="1">gr(calculs!BH302)</f>
        <v>#NAME?</v>
      </c>
      <c r="D302" s="535" t="e">
        <f ca="1">gr(calculs!BI302)</f>
        <v>#NAME?</v>
      </c>
      <c r="E302" s="535" t="e">
        <f ca="1">gr(calculs!BJ302)</f>
        <v>#NAME?</v>
      </c>
      <c r="F302" s="535" t="e">
        <f ca="1">gr(calculs!BK302)</f>
        <v>#NAME?</v>
      </c>
      <c r="G302" s="535" t="e">
        <v>#N/A</v>
      </c>
      <c r="H302" s="535" t="e">
        <v>#N/A</v>
      </c>
      <c r="I302" s="535" t="e">
        <v>#N/A</v>
      </c>
      <c r="J302" s="535" t="e">
        <v>#N/A</v>
      </c>
      <c r="K302" s="535" t="e">
        <v>#N/A</v>
      </c>
      <c r="L302" s="523"/>
    </row>
    <row r="303" spans="1:12" x14ac:dyDescent="0.2">
      <c r="A303" s="222">
        <f>calculs!A303</f>
        <v>44854</v>
      </c>
      <c r="B303" s="535" t="e">
        <f ca="1">gr(calculs!BG303)</f>
        <v>#NAME?</v>
      </c>
      <c r="C303" s="535" t="e">
        <f ca="1">gr(calculs!BH303)</f>
        <v>#NAME?</v>
      </c>
      <c r="D303" s="535" t="e">
        <f ca="1">gr(calculs!BI303)</f>
        <v>#NAME?</v>
      </c>
      <c r="E303" s="535" t="e">
        <f ca="1">gr(calculs!BJ303)</f>
        <v>#NAME?</v>
      </c>
      <c r="F303" s="535" t="e">
        <f ca="1">gr(calculs!BK303)</f>
        <v>#NAME?</v>
      </c>
      <c r="G303" s="535" t="e">
        <v>#N/A</v>
      </c>
      <c r="H303" s="535" t="e">
        <v>#N/A</v>
      </c>
      <c r="I303" s="535" t="e">
        <v>#N/A</v>
      </c>
      <c r="J303" s="535" t="e">
        <v>#N/A</v>
      </c>
      <c r="K303" s="535" t="e">
        <v>#N/A</v>
      </c>
      <c r="L303" s="523"/>
    </row>
    <row r="304" spans="1:12" x14ac:dyDescent="0.2">
      <c r="A304" s="222">
        <f>calculs!A304</f>
        <v>44855</v>
      </c>
      <c r="B304" s="535" t="e">
        <f ca="1">gr(calculs!BG304)</f>
        <v>#NAME?</v>
      </c>
      <c r="C304" s="535" t="e">
        <f ca="1">gr(calculs!BH304)</f>
        <v>#NAME?</v>
      </c>
      <c r="D304" s="535" t="e">
        <f ca="1">gr(calculs!BI304)</f>
        <v>#NAME?</v>
      </c>
      <c r="E304" s="535" t="e">
        <f ca="1">gr(calculs!BJ304)</f>
        <v>#NAME?</v>
      </c>
      <c r="F304" s="535" t="e">
        <f ca="1">gr(calculs!BK304)</f>
        <v>#NAME?</v>
      </c>
      <c r="G304" s="535" t="e">
        <v>#N/A</v>
      </c>
      <c r="H304" s="535" t="e">
        <v>#N/A</v>
      </c>
      <c r="I304" s="535" t="e">
        <v>#N/A</v>
      </c>
      <c r="J304" s="535" t="e">
        <v>#N/A</v>
      </c>
      <c r="K304" s="535" t="e">
        <v>#N/A</v>
      </c>
      <c r="L304" s="523"/>
    </row>
    <row r="305" spans="1:12" x14ac:dyDescent="0.2">
      <c r="A305" s="222">
        <f>calculs!A305</f>
        <v>44856</v>
      </c>
      <c r="B305" s="535" t="e">
        <f ca="1">gr(calculs!BG305)</f>
        <v>#NAME?</v>
      </c>
      <c r="C305" s="535" t="e">
        <f ca="1">gr(calculs!BH305)</f>
        <v>#NAME?</v>
      </c>
      <c r="D305" s="535" t="e">
        <f ca="1">gr(calculs!BI305)</f>
        <v>#NAME?</v>
      </c>
      <c r="E305" s="535" t="e">
        <f ca="1">gr(calculs!BJ305)</f>
        <v>#NAME?</v>
      </c>
      <c r="F305" s="535" t="e">
        <f ca="1">gr(calculs!BK305)</f>
        <v>#NAME?</v>
      </c>
      <c r="G305" s="535" t="e">
        <v>#N/A</v>
      </c>
      <c r="H305" s="535" t="e">
        <v>#N/A</v>
      </c>
      <c r="I305" s="535" t="e">
        <v>#N/A</v>
      </c>
      <c r="J305" s="535" t="e">
        <v>#N/A</v>
      </c>
      <c r="K305" s="535" t="e">
        <v>#N/A</v>
      </c>
      <c r="L305" s="523"/>
    </row>
    <row r="306" spans="1:12" x14ac:dyDescent="0.2">
      <c r="A306" s="222">
        <f>calculs!A306</f>
        <v>44857</v>
      </c>
      <c r="B306" s="535" t="e">
        <f ca="1">gr(calculs!BG306)</f>
        <v>#NAME?</v>
      </c>
      <c r="C306" s="535" t="e">
        <f ca="1">gr(calculs!BH306)</f>
        <v>#NAME?</v>
      </c>
      <c r="D306" s="535" t="e">
        <f ca="1">gr(calculs!BI306)</f>
        <v>#NAME?</v>
      </c>
      <c r="E306" s="535" t="e">
        <f ca="1">gr(calculs!BJ306)</f>
        <v>#NAME?</v>
      </c>
      <c r="F306" s="535" t="e">
        <f ca="1">gr(calculs!BK306)</f>
        <v>#NAME?</v>
      </c>
      <c r="G306" s="535" t="e">
        <v>#N/A</v>
      </c>
      <c r="H306" s="535" t="e">
        <v>#N/A</v>
      </c>
      <c r="I306" s="535" t="e">
        <v>#N/A</v>
      </c>
      <c r="J306" s="535" t="e">
        <v>#N/A</v>
      </c>
      <c r="K306" s="535" t="e">
        <v>#N/A</v>
      </c>
      <c r="L306" s="523"/>
    </row>
    <row r="307" spans="1:12" x14ac:dyDescent="0.2">
      <c r="A307" s="222">
        <f>calculs!A307</f>
        <v>44858</v>
      </c>
      <c r="B307" s="535" t="e">
        <f ca="1">gr(calculs!BG307)</f>
        <v>#NAME?</v>
      </c>
      <c r="C307" s="535" t="e">
        <f ca="1">gr(calculs!BH307)</f>
        <v>#NAME?</v>
      </c>
      <c r="D307" s="535" t="e">
        <f ca="1">gr(calculs!BI307)</f>
        <v>#NAME?</v>
      </c>
      <c r="E307" s="535" t="e">
        <f ca="1">gr(calculs!BJ307)</f>
        <v>#NAME?</v>
      </c>
      <c r="F307" s="535" t="e">
        <f ca="1">gr(calculs!BK307)</f>
        <v>#NAME?</v>
      </c>
      <c r="G307" s="535" t="e">
        <v>#N/A</v>
      </c>
      <c r="H307" s="535" t="e">
        <v>#N/A</v>
      </c>
      <c r="I307" s="535" t="e">
        <v>#N/A</v>
      </c>
      <c r="J307" s="535" t="e">
        <v>#N/A</v>
      </c>
      <c r="K307" s="535" t="e">
        <v>#N/A</v>
      </c>
      <c r="L307" s="523"/>
    </row>
    <row r="308" spans="1:12" x14ac:dyDescent="0.2">
      <c r="A308" s="222">
        <f>calculs!A308</f>
        <v>44859</v>
      </c>
      <c r="B308" s="535" t="e">
        <f ca="1">gr(calculs!BG308)</f>
        <v>#NAME?</v>
      </c>
      <c r="C308" s="535" t="e">
        <f ca="1">gr(calculs!BH308)</f>
        <v>#NAME?</v>
      </c>
      <c r="D308" s="535" t="e">
        <f ca="1">gr(calculs!BI308)</f>
        <v>#NAME?</v>
      </c>
      <c r="E308" s="535" t="e">
        <f ca="1">gr(calculs!BJ308)</f>
        <v>#NAME?</v>
      </c>
      <c r="F308" s="535" t="e">
        <f ca="1">gr(calculs!BK308)</f>
        <v>#NAME?</v>
      </c>
      <c r="G308" s="535" t="e">
        <v>#N/A</v>
      </c>
      <c r="H308" s="535" t="e">
        <v>#N/A</v>
      </c>
      <c r="I308" s="535" t="e">
        <v>#N/A</v>
      </c>
      <c r="J308" s="535" t="e">
        <v>#N/A</v>
      </c>
      <c r="K308" s="535" t="e">
        <v>#N/A</v>
      </c>
      <c r="L308" s="523"/>
    </row>
    <row r="309" spans="1:12" x14ac:dyDescent="0.2">
      <c r="A309" s="222">
        <f>calculs!A309</f>
        <v>44860</v>
      </c>
      <c r="B309" s="535" t="e">
        <f ca="1">gr(calculs!BG309)</f>
        <v>#NAME?</v>
      </c>
      <c r="C309" s="535" t="e">
        <f ca="1">gr(calculs!BH309)</f>
        <v>#NAME?</v>
      </c>
      <c r="D309" s="535" t="e">
        <f ca="1">gr(calculs!BI309)</f>
        <v>#NAME?</v>
      </c>
      <c r="E309" s="535" t="e">
        <f ca="1">gr(calculs!BJ309)</f>
        <v>#NAME?</v>
      </c>
      <c r="F309" s="535" t="e">
        <f ca="1">gr(calculs!BK309)</f>
        <v>#NAME?</v>
      </c>
      <c r="G309" s="535" t="e">
        <v>#N/A</v>
      </c>
      <c r="H309" s="535" t="e">
        <v>#N/A</v>
      </c>
      <c r="I309" s="535" t="e">
        <v>#N/A</v>
      </c>
      <c r="J309" s="535" t="e">
        <v>#N/A</v>
      </c>
      <c r="K309" s="535" t="e">
        <v>#N/A</v>
      </c>
      <c r="L309" s="523"/>
    </row>
    <row r="310" spans="1:12" x14ac:dyDescent="0.2">
      <c r="A310" s="222">
        <f>calculs!A310</f>
        <v>44861</v>
      </c>
      <c r="B310" s="535" t="e">
        <f ca="1">gr(calculs!BG310)</f>
        <v>#NAME?</v>
      </c>
      <c r="C310" s="535" t="e">
        <f ca="1">gr(calculs!BH310)</f>
        <v>#NAME?</v>
      </c>
      <c r="D310" s="535" t="e">
        <f ca="1">gr(calculs!BI310)</f>
        <v>#NAME?</v>
      </c>
      <c r="E310" s="535" t="e">
        <f ca="1">gr(calculs!BJ310)</f>
        <v>#NAME?</v>
      </c>
      <c r="F310" s="535" t="e">
        <f ca="1">gr(calculs!BK310)</f>
        <v>#NAME?</v>
      </c>
      <c r="G310" s="535" t="e">
        <v>#N/A</v>
      </c>
      <c r="H310" s="535" t="e">
        <v>#N/A</v>
      </c>
      <c r="I310" s="535" t="e">
        <v>#N/A</v>
      </c>
      <c r="J310" s="535" t="e">
        <v>#N/A</v>
      </c>
      <c r="K310" s="535" t="e">
        <v>#N/A</v>
      </c>
      <c r="L310" s="523"/>
    </row>
    <row r="311" spans="1:12" x14ac:dyDescent="0.2">
      <c r="A311" s="222">
        <f>calculs!A311</f>
        <v>44862</v>
      </c>
      <c r="B311" s="535" t="e">
        <f ca="1">gr(calculs!BG311)</f>
        <v>#NAME?</v>
      </c>
      <c r="C311" s="535" t="e">
        <f ca="1">gr(calculs!BH311)</f>
        <v>#NAME?</v>
      </c>
      <c r="D311" s="535" t="e">
        <f ca="1">gr(calculs!BI311)</f>
        <v>#NAME?</v>
      </c>
      <c r="E311" s="535" t="e">
        <f ca="1">gr(calculs!BJ311)</f>
        <v>#NAME?</v>
      </c>
      <c r="F311" s="535" t="e">
        <f ca="1">gr(calculs!BK311)</f>
        <v>#NAME?</v>
      </c>
      <c r="G311" s="535" t="e">
        <v>#N/A</v>
      </c>
      <c r="H311" s="535" t="e">
        <v>#N/A</v>
      </c>
      <c r="I311" s="535" t="e">
        <v>#N/A</v>
      </c>
      <c r="J311" s="535" t="e">
        <v>#N/A</v>
      </c>
      <c r="K311" s="535" t="e">
        <v>#N/A</v>
      </c>
      <c r="L311" s="523"/>
    </row>
    <row r="312" spans="1:12" x14ac:dyDescent="0.2">
      <c r="A312" s="222">
        <f>calculs!A312</f>
        <v>44863</v>
      </c>
      <c r="B312" s="535" t="e">
        <f ca="1">gr(calculs!BG312)</f>
        <v>#NAME?</v>
      </c>
      <c r="C312" s="535" t="e">
        <f ca="1">gr(calculs!BH312)</f>
        <v>#NAME?</v>
      </c>
      <c r="D312" s="535" t="e">
        <f ca="1">gr(calculs!BI312)</f>
        <v>#NAME?</v>
      </c>
      <c r="E312" s="535" t="e">
        <f ca="1">gr(calculs!BJ312)</f>
        <v>#NAME?</v>
      </c>
      <c r="F312" s="535" t="e">
        <f ca="1">gr(calculs!BK312)</f>
        <v>#NAME?</v>
      </c>
      <c r="G312" s="535" t="e">
        <v>#N/A</v>
      </c>
      <c r="H312" s="535" t="e">
        <v>#N/A</v>
      </c>
      <c r="I312" s="535" t="e">
        <v>#N/A</v>
      </c>
      <c r="J312" s="535" t="e">
        <v>#N/A</v>
      </c>
      <c r="K312" s="535" t="e">
        <v>#N/A</v>
      </c>
      <c r="L312" s="523"/>
    </row>
    <row r="313" spans="1:12" x14ac:dyDescent="0.2">
      <c r="A313" s="222">
        <f>calculs!A313</f>
        <v>44864</v>
      </c>
      <c r="B313" s="535" t="e">
        <f ca="1">gr(calculs!BG313)</f>
        <v>#NAME?</v>
      </c>
      <c r="C313" s="535" t="e">
        <f ca="1">gr(calculs!BH313)</f>
        <v>#NAME?</v>
      </c>
      <c r="D313" s="535" t="e">
        <f ca="1">gr(calculs!BI313)</f>
        <v>#NAME?</v>
      </c>
      <c r="E313" s="535" t="e">
        <f ca="1">gr(calculs!BJ313)</f>
        <v>#NAME?</v>
      </c>
      <c r="F313" s="535" t="e">
        <f ca="1">gr(calculs!BK313)</f>
        <v>#NAME?</v>
      </c>
      <c r="G313" s="535" t="e">
        <v>#N/A</v>
      </c>
      <c r="H313" s="535" t="e">
        <v>#N/A</v>
      </c>
      <c r="I313" s="535" t="e">
        <v>#N/A</v>
      </c>
      <c r="J313" s="535" t="e">
        <v>#N/A</v>
      </c>
      <c r="K313" s="535" t="e">
        <v>#N/A</v>
      </c>
      <c r="L313" s="523"/>
    </row>
    <row r="314" spans="1:12" x14ac:dyDescent="0.2">
      <c r="A314" s="222">
        <f>calculs!A314</f>
        <v>44865</v>
      </c>
      <c r="B314" s="535" t="e">
        <f ca="1">gr(calculs!BG314)</f>
        <v>#NAME?</v>
      </c>
      <c r="C314" s="535" t="e">
        <f ca="1">gr(calculs!BH314)</f>
        <v>#NAME?</v>
      </c>
      <c r="D314" s="535" t="e">
        <f ca="1">gr(calculs!BI314)</f>
        <v>#NAME?</v>
      </c>
      <c r="E314" s="535" t="e">
        <f ca="1">gr(calculs!BJ314)</f>
        <v>#NAME?</v>
      </c>
      <c r="F314" s="535" t="e">
        <f ca="1">gr(calculs!BK314)</f>
        <v>#NAME?</v>
      </c>
      <c r="G314" s="535" t="e">
        <v>#N/A</v>
      </c>
      <c r="H314" s="535" t="e">
        <v>#N/A</v>
      </c>
      <c r="I314" s="535" t="e">
        <v>#N/A</v>
      </c>
      <c r="J314" s="535" t="e">
        <v>#N/A</v>
      </c>
      <c r="K314" s="535" t="e">
        <v>#N/A</v>
      </c>
      <c r="L314" s="523"/>
    </row>
    <row r="315" spans="1:12" x14ac:dyDescent="0.2">
      <c r="A315" s="222">
        <f>calculs!A315</f>
        <v>44866</v>
      </c>
      <c r="B315" s="535" t="e">
        <f ca="1">gr(calculs!BG315)</f>
        <v>#NAME?</v>
      </c>
      <c r="C315" s="535" t="e">
        <f ca="1">gr(calculs!BH315)</f>
        <v>#NAME?</v>
      </c>
      <c r="D315" s="535" t="e">
        <f ca="1">gr(calculs!BI315)</f>
        <v>#NAME?</v>
      </c>
      <c r="E315" s="535" t="e">
        <f ca="1">gr(calculs!BJ315)</f>
        <v>#NAME?</v>
      </c>
      <c r="F315" s="535" t="e">
        <f ca="1">gr(calculs!BK315)</f>
        <v>#NAME?</v>
      </c>
      <c r="G315" s="535" t="e">
        <v>#N/A</v>
      </c>
      <c r="H315" s="535" t="e">
        <v>#N/A</v>
      </c>
      <c r="I315" s="535" t="e">
        <v>#N/A</v>
      </c>
      <c r="J315" s="535" t="e">
        <v>#N/A</v>
      </c>
      <c r="K315" s="535" t="e">
        <v>#N/A</v>
      </c>
      <c r="L315" s="523"/>
    </row>
    <row r="316" spans="1:12" x14ac:dyDescent="0.2">
      <c r="A316" s="222">
        <f>calculs!A316</f>
        <v>44867</v>
      </c>
      <c r="B316" s="535" t="e">
        <f ca="1">gr(calculs!BG316)</f>
        <v>#NAME?</v>
      </c>
      <c r="C316" s="535" t="e">
        <f ca="1">gr(calculs!BH316)</f>
        <v>#NAME?</v>
      </c>
      <c r="D316" s="535" t="e">
        <f ca="1">gr(calculs!BI316)</f>
        <v>#NAME?</v>
      </c>
      <c r="E316" s="535" t="e">
        <f ca="1">gr(calculs!BJ316)</f>
        <v>#NAME?</v>
      </c>
      <c r="F316" s="535" t="e">
        <f ca="1">gr(calculs!BK316)</f>
        <v>#NAME?</v>
      </c>
      <c r="G316" s="535" t="e">
        <v>#N/A</v>
      </c>
      <c r="H316" s="535" t="e">
        <v>#N/A</v>
      </c>
      <c r="I316" s="535" t="e">
        <v>#N/A</v>
      </c>
      <c r="J316" s="535" t="e">
        <v>#N/A</v>
      </c>
      <c r="K316" s="535" t="e">
        <v>#N/A</v>
      </c>
      <c r="L316" s="523"/>
    </row>
    <row r="317" spans="1:12" x14ac:dyDescent="0.2">
      <c r="A317" s="222">
        <f>calculs!A317</f>
        <v>44868</v>
      </c>
      <c r="B317" s="535" t="e">
        <f ca="1">gr(calculs!BG317)</f>
        <v>#NAME?</v>
      </c>
      <c r="C317" s="535" t="e">
        <f ca="1">gr(calculs!BH317)</f>
        <v>#NAME?</v>
      </c>
      <c r="D317" s="535" t="e">
        <f ca="1">gr(calculs!BI317)</f>
        <v>#NAME?</v>
      </c>
      <c r="E317" s="535" t="e">
        <f ca="1">gr(calculs!BJ317)</f>
        <v>#NAME?</v>
      </c>
      <c r="F317" s="535" t="e">
        <f ca="1">gr(calculs!BK317)</f>
        <v>#NAME?</v>
      </c>
      <c r="G317" s="535" t="e">
        <v>#N/A</v>
      </c>
      <c r="H317" s="535" t="e">
        <v>#N/A</v>
      </c>
      <c r="I317" s="535" t="e">
        <v>#N/A</v>
      </c>
      <c r="J317" s="535" t="e">
        <v>#N/A</v>
      </c>
      <c r="K317" s="535" t="e">
        <v>#N/A</v>
      </c>
      <c r="L317" s="523"/>
    </row>
    <row r="318" spans="1:12" x14ac:dyDescent="0.2">
      <c r="A318" s="222">
        <f>calculs!A318</f>
        <v>44869</v>
      </c>
      <c r="B318" s="535" t="e">
        <f ca="1">gr(calculs!BG318)</f>
        <v>#NAME?</v>
      </c>
      <c r="C318" s="535" t="e">
        <f ca="1">gr(calculs!BH318)</f>
        <v>#NAME?</v>
      </c>
      <c r="D318" s="535" t="e">
        <f ca="1">gr(calculs!BI318)</f>
        <v>#NAME?</v>
      </c>
      <c r="E318" s="535" t="e">
        <f ca="1">gr(calculs!BJ318)</f>
        <v>#NAME?</v>
      </c>
      <c r="F318" s="535" t="e">
        <f ca="1">gr(calculs!BK318)</f>
        <v>#NAME?</v>
      </c>
      <c r="G318" s="535" t="e">
        <v>#N/A</v>
      </c>
      <c r="H318" s="535" t="e">
        <v>#N/A</v>
      </c>
      <c r="I318" s="535" t="e">
        <v>#N/A</v>
      </c>
      <c r="J318" s="535" t="e">
        <v>#N/A</v>
      </c>
      <c r="K318" s="535" t="e">
        <v>#N/A</v>
      </c>
      <c r="L318" s="523"/>
    </row>
    <row r="319" spans="1:12" x14ac:dyDescent="0.2">
      <c r="A319" s="222">
        <f>calculs!A319</f>
        <v>44870</v>
      </c>
      <c r="B319" s="535" t="e">
        <f ca="1">gr(calculs!BG319)</f>
        <v>#NAME?</v>
      </c>
      <c r="C319" s="535" t="e">
        <f ca="1">gr(calculs!BH319)</f>
        <v>#NAME?</v>
      </c>
      <c r="D319" s="535" t="e">
        <f ca="1">gr(calculs!BI319)</f>
        <v>#NAME?</v>
      </c>
      <c r="E319" s="535" t="e">
        <f ca="1">gr(calculs!BJ319)</f>
        <v>#NAME?</v>
      </c>
      <c r="F319" s="535" t="e">
        <f ca="1">gr(calculs!BK319)</f>
        <v>#NAME?</v>
      </c>
      <c r="G319" s="535" t="e">
        <v>#N/A</v>
      </c>
      <c r="H319" s="535" t="e">
        <v>#N/A</v>
      </c>
      <c r="I319" s="535" t="e">
        <v>#N/A</v>
      </c>
      <c r="J319" s="535" t="e">
        <v>#N/A</v>
      </c>
      <c r="K319" s="535" t="e">
        <v>#N/A</v>
      </c>
      <c r="L319" s="523"/>
    </row>
    <row r="320" spans="1:12" x14ac:dyDescent="0.2">
      <c r="A320" s="222">
        <f>calculs!A320</f>
        <v>44871</v>
      </c>
      <c r="B320" s="535" t="e">
        <f ca="1">gr(calculs!BG320)</f>
        <v>#NAME?</v>
      </c>
      <c r="C320" s="535" t="e">
        <f ca="1">gr(calculs!BH320)</f>
        <v>#NAME?</v>
      </c>
      <c r="D320" s="535" t="e">
        <f ca="1">gr(calculs!BI320)</f>
        <v>#NAME?</v>
      </c>
      <c r="E320" s="535" t="e">
        <f ca="1">gr(calculs!BJ320)</f>
        <v>#NAME?</v>
      </c>
      <c r="F320" s="535" t="e">
        <f ca="1">gr(calculs!BK320)</f>
        <v>#NAME?</v>
      </c>
      <c r="G320" s="535" t="e">
        <v>#N/A</v>
      </c>
      <c r="H320" s="535" t="e">
        <v>#N/A</v>
      </c>
      <c r="I320" s="535" t="e">
        <v>#N/A</v>
      </c>
      <c r="J320" s="535" t="e">
        <v>#N/A</v>
      </c>
      <c r="K320" s="535" t="e">
        <v>#N/A</v>
      </c>
      <c r="L320" s="523"/>
    </row>
    <row r="321" spans="1:12" x14ac:dyDescent="0.2">
      <c r="A321" s="222">
        <f>calculs!A321</f>
        <v>44872</v>
      </c>
      <c r="B321" s="535" t="e">
        <f ca="1">gr(calculs!BG321)</f>
        <v>#NAME?</v>
      </c>
      <c r="C321" s="535" t="e">
        <f ca="1">gr(calculs!BH321)</f>
        <v>#NAME?</v>
      </c>
      <c r="D321" s="535" t="e">
        <f ca="1">gr(calculs!BI321)</f>
        <v>#NAME?</v>
      </c>
      <c r="E321" s="535" t="e">
        <f ca="1">gr(calculs!BJ321)</f>
        <v>#NAME?</v>
      </c>
      <c r="F321" s="535" t="e">
        <f ca="1">gr(calculs!BK321)</f>
        <v>#NAME?</v>
      </c>
      <c r="G321" s="535" t="e">
        <v>#N/A</v>
      </c>
      <c r="H321" s="535" t="e">
        <v>#N/A</v>
      </c>
      <c r="I321" s="535" t="e">
        <v>#N/A</v>
      </c>
      <c r="J321" s="535" t="e">
        <v>#N/A</v>
      </c>
      <c r="K321" s="535" t="e">
        <v>#N/A</v>
      </c>
      <c r="L321" s="523"/>
    </row>
    <row r="322" spans="1:12" x14ac:dyDescent="0.2">
      <c r="A322" s="222">
        <f>calculs!A322</f>
        <v>44873</v>
      </c>
      <c r="B322" s="535" t="e">
        <f ca="1">gr(calculs!BG322)</f>
        <v>#NAME?</v>
      </c>
      <c r="C322" s="535" t="e">
        <f ca="1">gr(calculs!BH322)</f>
        <v>#NAME?</v>
      </c>
      <c r="D322" s="535" t="e">
        <f ca="1">gr(calculs!BI322)</f>
        <v>#NAME?</v>
      </c>
      <c r="E322" s="535" t="e">
        <f ca="1">gr(calculs!BJ322)</f>
        <v>#NAME?</v>
      </c>
      <c r="F322" s="535" t="e">
        <f ca="1">gr(calculs!BK322)</f>
        <v>#NAME?</v>
      </c>
      <c r="G322" s="535" t="e">
        <v>#N/A</v>
      </c>
      <c r="H322" s="535" t="e">
        <v>#N/A</v>
      </c>
      <c r="I322" s="535" t="e">
        <v>#N/A</v>
      </c>
      <c r="J322" s="535" t="e">
        <v>#N/A</v>
      </c>
      <c r="K322" s="535" t="e">
        <v>#N/A</v>
      </c>
      <c r="L322" s="523"/>
    </row>
    <row r="323" spans="1:12" x14ac:dyDescent="0.2">
      <c r="A323" s="222">
        <f>calculs!A323</f>
        <v>44874</v>
      </c>
      <c r="B323" s="535" t="e">
        <f ca="1">gr(calculs!BG323)</f>
        <v>#NAME?</v>
      </c>
      <c r="C323" s="535" t="e">
        <f ca="1">gr(calculs!BH323)</f>
        <v>#NAME?</v>
      </c>
      <c r="D323" s="535" t="e">
        <f ca="1">gr(calculs!BI323)</f>
        <v>#NAME?</v>
      </c>
      <c r="E323" s="535" t="e">
        <f ca="1">gr(calculs!BJ323)</f>
        <v>#NAME?</v>
      </c>
      <c r="F323" s="535" t="e">
        <f ca="1">gr(calculs!BK323)</f>
        <v>#NAME?</v>
      </c>
      <c r="G323" s="535" t="e">
        <v>#N/A</v>
      </c>
      <c r="H323" s="535" t="e">
        <v>#N/A</v>
      </c>
      <c r="I323" s="535" t="e">
        <v>#N/A</v>
      </c>
      <c r="J323" s="535" t="e">
        <v>#N/A</v>
      </c>
      <c r="K323" s="535" t="e">
        <v>#N/A</v>
      </c>
      <c r="L323" s="523"/>
    </row>
    <row r="324" spans="1:12" x14ac:dyDescent="0.2">
      <c r="A324" s="222">
        <f>calculs!A324</f>
        <v>44875</v>
      </c>
      <c r="B324" s="535" t="e">
        <f ca="1">gr(calculs!BG324)</f>
        <v>#NAME?</v>
      </c>
      <c r="C324" s="535" t="e">
        <f ca="1">gr(calculs!BH324)</f>
        <v>#NAME?</v>
      </c>
      <c r="D324" s="535" t="e">
        <f ca="1">gr(calculs!BI324)</f>
        <v>#NAME?</v>
      </c>
      <c r="E324" s="535" t="e">
        <f ca="1">gr(calculs!BJ324)</f>
        <v>#NAME?</v>
      </c>
      <c r="F324" s="535" t="e">
        <f ca="1">gr(calculs!BK324)</f>
        <v>#NAME?</v>
      </c>
      <c r="G324" s="535" t="e">
        <v>#N/A</v>
      </c>
      <c r="H324" s="535" t="e">
        <v>#N/A</v>
      </c>
      <c r="I324" s="535" t="e">
        <v>#N/A</v>
      </c>
      <c r="J324" s="535" t="e">
        <v>#N/A</v>
      </c>
      <c r="K324" s="535" t="e">
        <v>#N/A</v>
      </c>
      <c r="L324" s="523"/>
    </row>
    <row r="325" spans="1:12" x14ac:dyDescent="0.2">
      <c r="A325" s="222">
        <f>calculs!A325</f>
        <v>44876</v>
      </c>
      <c r="B325" s="535" t="e">
        <f ca="1">gr(calculs!BG325)</f>
        <v>#NAME?</v>
      </c>
      <c r="C325" s="535" t="e">
        <f ca="1">gr(calculs!BH325)</f>
        <v>#NAME?</v>
      </c>
      <c r="D325" s="535" t="e">
        <f ca="1">gr(calculs!BI325)</f>
        <v>#NAME?</v>
      </c>
      <c r="E325" s="535" t="e">
        <f ca="1">gr(calculs!BJ325)</f>
        <v>#NAME?</v>
      </c>
      <c r="F325" s="535" t="e">
        <f ca="1">gr(calculs!BK325)</f>
        <v>#NAME?</v>
      </c>
      <c r="G325" s="535" t="e">
        <v>#N/A</v>
      </c>
      <c r="H325" s="535" t="e">
        <v>#N/A</v>
      </c>
      <c r="I325" s="535" t="e">
        <v>#N/A</v>
      </c>
      <c r="J325" s="535" t="e">
        <v>#N/A</v>
      </c>
      <c r="K325" s="535" t="e">
        <v>#N/A</v>
      </c>
      <c r="L325" s="523"/>
    </row>
    <row r="326" spans="1:12" x14ac:dyDescent="0.2">
      <c r="A326" s="222">
        <f>calculs!A326</f>
        <v>44877</v>
      </c>
      <c r="B326" s="535" t="e">
        <f ca="1">gr(calculs!BG326)</f>
        <v>#NAME?</v>
      </c>
      <c r="C326" s="535" t="e">
        <f ca="1">gr(calculs!BH326)</f>
        <v>#NAME?</v>
      </c>
      <c r="D326" s="535" t="e">
        <f ca="1">gr(calculs!BI326)</f>
        <v>#NAME?</v>
      </c>
      <c r="E326" s="535" t="e">
        <f ca="1">gr(calculs!BJ326)</f>
        <v>#NAME?</v>
      </c>
      <c r="F326" s="535" t="e">
        <f ca="1">gr(calculs!BK326)</f>
        <v>#NAME?</v>
      </c>
      <c r="G326" s="535" t="e">
        <v>#N/A</v>
      </c>
      <c r="H326" s="535" t="e">
        <v>#N/A</v>
      </c>
      <c r="I326" s="535" t="e">
        <v>#N/A</v>
      </c>
      <c r="J326" s="535" t="e">
        <v>#N/A</v>
      </c>
      <c r="K326" s="535" t="e">
        <v>#N/A</v>
      </c>
      <c r="L326" s="523"/>
    </row>
    <row r="327" spans="1:12" x14ac:dyDescent="0.2">
      <c r="A327" s="222">
        <f>calculs!A327</f>
        <v>44878</v>
      </c>
      <c r="B327" s="535" t="e">
        <f ca="1">gr(calculs!BG327)</f>
        <v>#NAME?</v>
      </c>
      <c r="C327" s="535" t="e">
        <f ca="1">gr(calculs!BH327)</f>
        <v>#NAME?</v>
      </c>
      <c r="D327" s="535" t="e">
        <f ca="1">gr(calculs!BI327)</f>
        <v>#NAME?</v>
      </c>
      <c r="E327" s="535" t="e">
        <f ca="1">gr(calculs!BJ327)</f>
        <v>#NAME?</v>
      </c>
      <c r="F327" s="535" t="e">
        <f ca="1">gr(calculs!BK327)</f>
        <v>#NAME?</v>
      </c>
      <c r="G327" s="535" t="e">
        <v>#N/A</v>
      </c>
      <c r="H327" s="535" t="e">
        <v>#N/A</v>
      </c>
      <c r="I327" s="535" t="e">
        <v>#N/A</v>
      </c>
      <c r="J327" s="535" t="e">
        <v>#N/A</v>
      </c>
      <c r="K327" s="535" t="e">
        <v>#N/A</v>
      </c>
      <c r="L327" s="523"/>
    </row>
    <row r="328" spans="1:12" x14ac:dyDescent="0.2">
      <c r="A328" s="222">
        <f>calculs!A328</f>
        <v>44879</v>
      </c>
      <c r="B328" s="535" t="e">
        <f ca="1">gr(calculs!BG328)</f>
        <v>#NAME?</v>
      </c>
      <c r="C328" s="535" t="e">
        <f ca="1">gr(calculs!BH328)</f>
        <v>#NAME?</v>
      </c>
      <c r="D328" s="535" t="e">
        <f ca="1">gr(calculs!BI328)</f>
        <v>#NAME?</v>
      </c>
      <c r="E328" s="535" t="e">
        <f ca="1">gr(calculs!BJ328)</f>
        <v>#NAME?</v>
      </c>
      <c r="F328" s="535" t="e">
        <f ca="1">gr(calculs!BK328)</f>
        <v>#NAME?</v>
      </c>
      <c r="G328" s="535" t="e">
        <v>#N/A</v>
      </c>
      <c r="H328" s="535" t="e">
        <v>#N/A</v>
      </c>
      <c r="I328" s="535" t="e">
        <v>#N/A</v>
      </c>
      <c r="J328" s="535" t="e">
        <v>#N/A</v>
      </c>
      <c r="K328" s="535" t="e">
        <v>#N/A</v>
      </c>
      <c r="L328" s="523"/>
    </row>
    <row r="329" spans="1:12" x14ac:dyDescent="0.2">
      <c r="A329" s="222">
        <f>calculs!A329</f>
        <v>44880</v>
      </c>
      <c r="B329" s="535" t="e">
        <f ca="1">gr(calculs!BG329)</f>
        <v>#NAME?</v>
      </c>
      <c r="C329" s="535" t="e">
        <f ca="1">gr(calculs!BH329)</f>
        <v>#NAME?</v>
      </c>
      <c r="D329" s="535" t="e">
        <f ca="1">gr(calculs!BI329)</f>
        <v>#NAME?</v>
      </c>
      <c r="E329" s="535" t="e">
        <f ca="1">gr(calculs!BJ329)</f>
        <v>#NAME?</v>
      </c>
      <c r="F329" s="535" t="e">
        <f ca="1">gr(calculs!BK329)</f>
        <v>#NAME?</v>
      </c>
      <c r="G329" s="535" t="e">
        <v>#N/A</v>
      </c>
      <c r="H329" s="535" t="e">
        <v>#N/A</v>
      </c>
      <c r="I329" s="535" t="e">
        <v>#N/A</v>
      </c>
      <c r="J329" s="535" t="e">
        <v>#N/A</v>
      </c>
      <c r="K329" s="535" t="e">
        <v>#N/A</v>
      </c>
      <c r="L329" s="523"/>
    </row>
    <row r="330" spans="1:12" x14ac:dyDescent="0.2">
      <c r="A330" s="222">
        <f>calculs!A330</f>
        <v>44881</v>
      </c>
      <c r="B330" s="535" t="e">
        <f ca="1">gr(calculs!BG330)</f>
        <v>#NAME?</v>
      </c>
      <c r="C330" s="535" t="e">
        <f ca="1">gr(calculs!BH330)</f>
        <v>#NAME?</v>
      </c>
      <c r="D330" s="535" t="e">
        <f ca="1">gr(calculs!BI330)</f>
        <v>#NAME?</v>
      </c>
      <c r="E330" s="535" t="e">
        <f ca="1">gr(calculs!BJ330)</f>
        <v>#NAME?</v>
      </c>
      <c r="F330" s="535" t="e">
        <f ca="1">gr(calculs!BK330)</f>
        <v>#NAME?</v>
      </c>
      <c r="G330" s="535" t="e">
        <v>#N/A</v>
      </c>
      <c r="H330" s="535" t="e">
        <v>#N/A</v>
      </c>
      <c r="I330" s="535" t="e">
        <v>#N/A</v>
      </c>
      <c r="J330" s="535" t="e">
        <v>#N/A</v>
      </c>
      <c r="K330" s="535" t="e">
        <v>#N/A</v>
      </c>
      <c r="L330" s="523"/>
    </row>
    <row r="331" spans="1:12" x14ac:dyDescent="0.2">
      <c r="A331" s="222">
        <f>calculs!A331</f>
        <v>44882</v>
      </c>
      <c r="B331" s="535" t="e">
        <f ca="1">gr(calculs!BG331)</f>
        <v>#NAME?</v>
      </c>
      <c r="C331" s="535" t="e">
        <f ca="1">gr(calculs!BH331)</f>
        <v>#NAME?</v>
      </c>
      <c r="D331" s="535" t="e">
        <f ca="1">gr(calculs!BI331)</f>
        <v>#NAME?</v>
      </c>
      <c r="E331" s="535" t="e">
        <f ca="1">gr(calculs!BJ331)</f>
        <v>#NAME?</v>
      </c>
      <c r="F331" s="535" t="e">
        <f ca="1">gr(calculs!BK331)</f>
        <v>#NAME?</v>
      </c>
      <c r="G331" s="535" t="e">
        <v>#N/A</v>
      </c>
      <c r="H331" s="535" t="e">
        <v>#N/A</v>
      </c>
      <c r="I331" s="535" t="e">
        <v>#N/A</v>
      </c>
      <c r="J331" s="535" t="e">
        <v>#N/A</v>
      </c>
      <c r="K331" s="535" t="e">
        <v>#N/A</v>
      </c>
      <c r="L331" s="523"/>
    </row>
    <row r="332" spans="1:12" x14ac:dyDescent="0.2">
      <c r="A332" s="222">
        <f>calculs!A332</f>
        <v>44883</v>
      </c>
      <c r="B332" s="535" t="e">
        <f ca="1">gr(calculs!BG332)</f>
        <v>#NAME?</v>
      </c>
      <c r="C332" s="535" t="e">
        <f ca="1">gr(calculs!BH332)</f>
        <v>#NAME?</v>
      </c>
      <c r="D332" s="535" t="e">
        <f ca="1">gr(calculs!BI332)</f>
        <v>#NAME?</v>
      </c>
      <c r="E332" s="535" t="e">
        <f ca="1">gr(calculs!BJ332)</f>
        <v>#NAME?</v>
      </c>
      <c r="F332" s="535" t="e">
        <f ca="1">gr(calculs!BK332)</f>
        <v>#NAME?</v>
      </c>
      <c r="G332" s="535" t="e">
        <v>#N/A</v>
      </c>
      <c r="H332" s="535" t="e">
        <v>#N/A</v>
      </c>
      <c r="I332" s="535" t="e">
        <v>#N/A</v>
      </c>
      <c r="J332" s="535" t="e">
        <v>#N/A</v>
      </c>
      <c r="K332" s="535" t="e">
        <v>#N/A</v>
      </c>
      <c r="L332" s="523"/>
    </row>
    <row r="333" spans="1:12" x14ac:dyDescent="0.2">
      <c r="A333" s="222">
        <f>calculs!A333</f>
        <v>44884</v>
      </c>
      <c r="B333" s="535" t="e">
        <f ca="1">gr(calculs!BG333)</f>
        <v>#NAME?</v>
      </c>
      <c r="C333" s="535" t="e">
        <f ca="1">gr(calculs!BH333)</f>
        <v>#NAME?</v>
      </c>
      <c r="D333" s="535" t="e">
        <f ca="1">gr(calculs!BI333)</f>
        <v>#NAME?</v>
      </c>
      <c r="E333" s="535" t="e">
        <f ca="1">gr(calculs!BJ333)</f>
        <v>#NAME?</v>
      </c>
      <c r="F333" s="535" t="e">
        <f ca="1">gr(calculs!BK333)</f>
        <v>#NAME?</v>
      </c>
      <c r="G333" s="535" t="e">
        <v>#N/A</v>
      </c>
      <c r="H333" s="535" t="e">
        <v>#N/A</v>
      </c>
      <c r="I333" s="535" t="e">
        <v>#N/A</v>
      </c>
      <c r="J333" s="535" t="e">
        <v>#N/A</v>
      </c>
      <c r="K333" s="535" t="e">
        <v>#N/A</v>
      </c>
      <c r="L333" s="523"/>
    </row>
    <row r="334" spans="1:12" x14ac:dyDescent="0.2">
      <c r="A334" s="222">
        <f>calculs!A334</f>
        <v>44885</v>
      </c>
      <c r="B334" s="535" t="e">
        <f ca="1">gr(calculs!BG334)</f>
        <v>#NAME?</v>
      </c>
      <c r="C334" s="535" t="e">
        <f ca="1">gr(calculs!BH334)</f>
        <v>#NAME?</v>
      </c>
      <c r="D334" s="535" t="e">
        <f ca="1">gr(calculs!BI334)</f>
        <v>#NAME?</v>
      </c>
      <c r="E334" s="535" t="e">
        <f ca="1">gr(calculs!BJ334)</f>
        <v>#NAME?</v>
      </c>
      <c r="F334" s="535" t="e">
        <f ca="1">gr(calculs!BK334)</f>
        <v>#NAME?</v>
      </c>
      <c r="G334" s="535" t="e">
        <v>#N/A</v>
      </c>
      <c r="H334" s="535" t="e">
        <v>#N/A</v>
      </c>
      <c r="I334" s="535" t="e">
        <v>#N/A</v>
      </c>
      <c r="J334" s="535" t="e">
        <v>#N/A</v>
      </c>
      <c r="K334" s="535" t="e">
        <v>#N/A</v>
      </c>
      <c r="L334" s="523"/>
    </row>
    <row r="335" spans="1:12" x14ac:dyDescent="0.2">
      <c r="A335" s="222">
        <f>calculs!A335</f>
        <v>44886</v>
      </c>
      <c r="B335" s="535" t="e">
        <f ca="1">gr(calculs!BG335)</f>
        <v>#NAME?</v>
      </c>
      <c r="C335" s="535" t="e">
        <f ca="1">gr(calculs!BH335)</f>
        <v>#NAME?</v>
      </c>
      <c r="D335" s="535" t="e">
        <f ca="1">gr(calculs!BI335)</f>
        <v>#NAME?</v>
      </c>
      <c r="E335" s="535" t="e">
        <f ca="1">gr(calculs!BJ335)</f>
        <v>#NAME?</v>
      </c>
      <c r="F335" s="535" t="e">
        <f ca="1">gr(calculs!BK335)</f>
        <v>#NAME?</v>
      </c>
      <c r="G335" s="535" t="e">
        <v>#N/A</v>
      </c>
      <c r="H335" s="535" t="e">
        <v>#N/A</v>
      </c>
      <c r="I335" s="535" t="e">
        <v>#N/A</v>
      </c>
      <c r="J335" s="535" t="e">
        <v>#N/A</v>
      </c>
      <c r="K335" s="535" t="e">
        <v>#N/A</v>
      </c>
      <c r="L335" s="523"/>
    </row>
    <row r="336" spans="1:12" x14ac:dyDescent="0.2">
      <c r="A336" s="222">
        <f>calculs!A336</f>
        <v>44887</v>
      </c>
      <c r="B336" s="535" t="e">
        <f ca="1">gr(calculs!BG336)</f>
        <v>#NAME?</v>
      </c>
      <c r="C336" s="535" t="e">
        <f ca="1">gr(calculs!BH336)</f>
        <v>#NAME?</v>
      </c>
      <c r="D336" s="535" t="e">
        <f ca="1">gr(calculs!BI336)</f>
        <v>#NAME?</v>
      </c>
      <c r="E336" s="535" t="e">
        <f ca="1">gr(calculs!BJ336)</f>
        <v>#NAME?</v>
      </c>
      <c r="F336" s="535" t="e">
        <f ca="1">gr(calculs!BK336)</f>
        <v>#NAME?</v>
      </c>
      <c r="G336" s="535" t="e">
        <v>#N/A</v>
      </c>
      <c r="H336" s="535" t="e">
        <v>#N/A</v>
      </c>
      <c r="I336" s="535" t="e">
        <v>#N/A</v>
      </c>
      <c r="J336" s="535" t="e">
        <v>#N/A</v>
      </c>
      <c r="K336" s="535" t="e">
        <v>#N/A</v>
      </c>
      <c r="L336" s="523"/>
    </row>
    <row r="337" spans="1:12" x14ac:dyDescent="0.2">
      <c r="A337" s="222">
        <f>calculs!A337</f>
        <v>44888</v>
      </c>
      <c r="B337" s="535" t="e">
        <f ca="1">gr(calculs!BG337)</f>
        <v>#NAME?</v>
      </c>
      <c r="C337" s="535" t="e">
        <f ca="1">gr(calculs!BH337)</f>
        <v>#NAME?</v>
      </c>
      <c r="D337" s="535" t="e">
        <f ca="1">gr(calculs!BI337)</f>
        <v>#NAME?</v>
      </c>
      <c r="E337" s="535" t="e">
        <f ca="1">gr(calculs!BJ337)</f>
        <v>#NAME?</v>
      </c>
      <c r="F337" s="535" t="e">
        <f ca="1">gr(calculs!BK337)</f>
        <v>#NAME?</v>
      </c>
      <c r="G337" s="535" t="e">
        <v>#N/A</v>
      </c>
      <c r="H337" s="535" t="e">
        <v>#N/A</v>
      </c>
      <c r="I337" s="535" t="e">
        <v>#N/A</v>
      </c>
      <c r="J337" s="535" t="e">
        <v>#N/A</v>
      </c>
      <c r="K337" s="535" t="e">
        <v>#N/A</v>
      </c>
      <c r="L337" s="523"/>
    </row>
    <row r="338" spans="1:12" x14ac:dyDescent="0.2">
      <c r="A338" s="222">
        <f>calculs!A338</f>
        <v>44889</v>
      </c>
      <c r="B338" s="535" t="e">
        <f ca="1">gr(calculs!BG338)</f>
        <v>#NAME?</v>
      </c>
      <c r="C338" s="535" t="e">
        <f ca="1">gr(calculs!BH338)</f>
        <v>#NAME?</v>
      </c>
      <c r="D338" s="535" t="e">
        <f ca="1">gr(calculs!BI338)</f>
        <v>#NAME?</v>
      </c>
      <c r="E338" s="535" t="e">
        <f ca="1">gr(calculs!BJ338)</f>
        <v>#NAME?</v>
      </c>
      <c r="F338" s="535" t="e">
        <f ca="1">gr(calculs!BK338)</f>
        <v>#NAME?</v>
      </c>
      <c r="G338" s="535" t="e">
        <v>#N/A</v>
      </c>
      <c r="H338" s="535" t="e">
        <v>#N/A</v>
      </c>
      <c r="I338" s="535" t="e">
        <v>#N/A</v>
      </c>
      <c r="J338" s="535" t="e">
        <v>#N/A</v>
      </c>
      <c r="K338" s="535" t="e">
        <v>#N/A</v>
      </c>
      <c r="L338" s="523"/>
    </row>
    <row r="339" spans="1:12" x14ac:dyDescent="0.2">
      <c r="A339" s="222">
        <f>calculs!A339</f>
        <v>44890</v>
      </c>
      <c r="B339" s="535" t="e">
        <f ca="1">gr(calculs!BG339)</f>
        <v>#NAME?</v>
      </c>
      <c r="C339" s="535" t="e">
        <f ca="1">gr(calculs!BH339)</f>
        <v>#NAME?</v>
      </c>
      <c r="D339" s="535" t="e">
        <f ca="1">gr(calculs!BI339)</f>
        <v>#NAME?</v>
      </c>
      <c r="E339" s="535" t="e">
        <f ca="1">gr(calculs!BJ339)</f>
        <v>#NAME?</v>
      </c>
      <c r="F339" s="535" t="e">
        <f ca="1">gr(calculs!BK339)</f>
        <v>#NAME?</v>
      </c>
      <c r="G339" s="535" t="e">
        <v>#N/A</v>
      </c>
      <c r="H339" s="535" t="e">
        <v>#N/A</v>
      </c>
      <c r="I339" s="535" t="e">
        <v>#N/A</v>
      </c>
      <c r="J339" s="535" t="e">
        <v>#N/A</v>
      </c>
      <c r="K339" s="535" t="e">
        <v>#N/A</v>
      </c>
      <c r="L339" s="523"/>
    </row>
    <row r="340" spans="1:12" x14ac:dyDescent="0.2">
      <c r="A340" s="222">
        <f>calculs!A340</f>
        <v>44891</v>
      </c>
      <c r="B340" s="535" t="e">
        <f ca="1">gr(calculs!BG340)</f>
        <v>#NAME?</v>
      </c>
      <c r="C340" s="535" t="e">
        <f ca="1">gr(calculs!BH340)</f>
        <v>#NAME?</v>
      </c>
      <c r="D340" s="535" t="e">
        <f ca="1">gr(calculs!BI340)</f>
        <v>#NAME?</v>
      </c>
      <c r="E340" s="535" t="e">
        <f ca="1">gr(calculs!BJ340)</f>
        <v>#NAME?</v>
      </c>
      <c r="F340" s="535" t="e">
        <f ca="1">gr(calculs!BK340)</f>
        <v>#NAME?</v>
      </c>
      <c r="G340" s="535" t="e">
        <v>#N/A</v>
      </c>
      <c r="H340" s="535" t="e">
        <v>#N/A</v>
      </c>
      <c r="I340" s="535" t="e">
        <v>#N/A</v>
      </c>
      <c r="J340" s="535" t="e">
        <v>#N/A</v>
      </c>
      <c r="K340" s="535" t="e">
        <v>#N/A</v>
      </c>
      <c r="L340" s="523"/>
    </row>
    <row r="341" spans="1:12" x14ac:dyDescent="0.2">
      <c r="A341" s="222">
        <f>calculs!A341</f>
        <v>44892</v>
      </c>
      <c r="B341" s="535" t="e">
        <f ca="1">gr(calculs!BG341)</f>
        <v>#NAME?</v>
      </c>
      <c r="C341" s="535" t="e">
        <f ca="1">gr(calculs!BH341)</f>
        <v>#NAME?</v>
      </c>
      <c r="D341" s="535" t="e">
        <f ca="1">gr(calculs!BI341)</f>
        <v>#NAME?</v>
      </c>
      <c r="E341" s="535" t="e">
        <f ca="1">gr(calculs!BJ341)</f>
        <v>#NAME?</v>
      </c>
      <c r="F341" s="535" t="e">
        <f ca="1">gr(calculs!BK341)</f>
        <v>#NAME?</v>
      </c>
      <c r="G341" s="535" t="e">
        <v>#N/A</v>
      </c>
      <c r="H341" s="535" t="e">
        <v>#N/A</v>
      </c>
      <c r="I341" s="535" t="e">
        <v>#N/A</v>
      </c>
      <c r="J341" s="535" t="e">
        <v>#N/A</v>
      </c>
      <c r="K341" s="535" t="e">
        <v>#N/A</v>
      </c>
      <c r="L341" s="523"/>
    </row>
    <row r="342" spans="1:12" x14ac:dyDescent="0.2">
      <c r="A342" s="222">
        <f>calculs!A342</f>
        <v>44893</v>
      </c>
      <c r="B342" s="535" t="e">
        <f ca="1">gr(calculs!BG342)</f>
        <v>#NAME?</v>
      </c>
      <c r="C342" s="535" t="e">
        <f ca="1">gr(calculs!BH342)</f>
        <v>#NAME?</v>
      </c>
      <c r="D342" s="535" t="e">
        <f ca="1">gr(calculs!BI342)</f>
        <v>#NAME?</v>
      </c>
      <c r="E342" s="535" t="e">
        <f ca="1">gr(calculs!BJ342)</f>
        <v>#NAME?</v>
      </c>
      <c r="F342" s="535" t="e">
        <f ca="1">gr(calculs!BK342)</f>
        <v>#NAME?</v>
      </c>
      <c r="G342" s="535" t="e">
        <v>#N/A</v>
      </c>
      <c r="H342" s="535" t="e">
        <v>#N/A</v>
      </c>
      <c r="I342" s="535" t="e">
        <v>#N/A</v>
      </c>
      <c r="J342" s="535" t="e">
        <v>#N/A</v>
      </c>
      <c r="K342" s="535" t="e">
        <v>#N/A</v>
      </c>
      <c r="L342" s="523"/>
    </row>
    <row r="343" spans="1:12" x14ac:dyDescent="0.2">
      <c r="A343" s="222">
        <f>calculs!A343</f>
        <v>44894</v>
      </c>
      <c r="B343" s="535" t="e">
        <f ca="1">gr(calculs!BG343)</f>
        <v>#NAME?</v>
      </c>
      <c r="C343" s="535" t="e">
        <f ca="1">gr(calculs!BH343)</f>
        <v>#NAME?</v>
      </c>
      <c r="D343" s="535" t="e">
        <f ca="1">gr(calculs!BI343)</f>
        <v>#NAME?</v>
      </c>
      <c r="E343" s="535" t="e">
        <f ca="1">gr(calculs!BJ343)</f>
        <v>#NAME?</v>
      </c>
      <c r="F343" s="535" t="e">
        <f ca="1">gr(calculs!BK343)</f>
        <v>#NAME?</v>
      </c>
      <c r="G343" s="535" t="e">
        <v>#N/A</v>
      </c>
      <c r="H343" s="535" t="e">
        <v>#N/A</v>
      </c>
      <c r="I343" s="535" t="e">
        <v>#N/A</v>
      </c>
      <c r="J343" s="535" t="e">
        <v>#N/A</v>
      </c>
      <c r="K343" s="535" t="e">
        <v>#N/A</v>
      </c>
      <c r="L343" s="523"/>
    </row>
    <row r="344" spans="1:12" x14ac:dyDescent="0.2">
      <c r="A344" s="222">
        <f>calculs!A344</f>
        <v>44895</v>
      </c>
      <c r="B344" s="535" t="e">
        <f ca="1">gr(calculs!BG344)</f>
        <v>#NAME?</v>
      </c>
      <c r="C344" s="535" t="e">
        <f ca="1">gr(calculs!BH344)</f>
        <v>#NAME?</v>
      </c>
      <c r="D344" s="535" t="e">
        <f ca="1">gr(calculs!BI344)</f>
        <v>#NAME?</v>
      </c>
      <c r="E344" s="535" t="e">
        <f ca="1">gr(calculs!BJ344)</f>
        <v>#NAME?</v>
      </c>
      <c r="F344" s="535" t="e">
        <f ca="1">gr(calculs!BK344)</f>
        <v>#NAME?</v>
      </c>
      <c r="G344" s="535" t="e">
        <v>#N/A</v>
      </c>
      <c r="H344" s="535" t="e">
        <v>#N/A</v>
      </c>
      <c r="I344" s="535" t="e">
        <v>#N/A</v>
      </c>
      <c r="J344" s="535" t="e">
        <v>#N/A</v>
      </c>
      <c r="K344" s="535" t="e">
        <v>#N/A</v>
      </c>
      <c r="L344" s="523"/>
    </row>
    <row r="345" spans="1:12" x14ac:dyDescent="0.2">
      <c r="A345" s="222">
        <f>calculs!A345</f>
        <v>44896</v>
      </c>
      <c r="B345" s="535" t="e">
        <f ca="1">gr(calculs!BG345)</f>
        <v>#NAME?</v>
      </c>
      <c r="C345" s="535" t="e">
        <f ca="1">gr(calculs!BH345)</f>
        <v>#NAME?</v>
      </c>
      <c r="D345" s="535" t="e">
        <f ca="1">gr(calculs!BI345)</f>
        <v>#NAME?</v>
      </c>
      <c r="E345" s="535" t="e">
        <f ca="1">gr(calculs!BJ345)</f>
        <v>#NAME?</v>
      </c>
      <c r="F345" s="535" t="e">
        <f ca="1">gr(calculs!BK345)</f>
        <v>#NAME?</v>
      </c>
      <c r="G345" s="535" t="e">
        <v>#N/A</v>
      </c>
      <c r="H345" s="535" t="e">
        <v>#N/A</v>
      </c>
      <c r="I345" s="535" t="e">
        <v>#N/A</v>
      </c>
      <c r="J345" s="535" t="e">
        <v>#N/A</v>
      </c>
      <c r="K345" s="535" t="e">
        <v>#N/A</v>
      </c>
      <c r="L345" s="523"/>
    </row>
    <row r="346" spans="1:12" x14ac:dyDescent="0.2">
      <c r="A346" s="222">
        <f>calculs!A346</f>
        <v>44897</v>
      </c>
      <c r="B346" s="535" t="e">
        <f ca="1">gr(calculs!BG346)</f>
        <v>#NAME?</v>
      </c>
      <c r="C346" s="535" t="e">
        <f ca="1">gr(calculs!BH346)</f>
        <v>#NAME?</v>
      </c>
      <c r="D346" s="535" t="e">
        <f ca="1">gr(calculs!BI346)</f>
        <v>#NAME?</v>
      </c>
      <c r="E346" s="535" t="e">
        <f ca="1">gr(calculs!BJ346)</f>
        <v>#NAME?</v>
      </c>
      <c r="F346" s="535" t="e">
        <f ca="1">gr(calculs!BK346)</f>
        <v>#NAME?</v>
      </c>
      <c r="G346" s="535" t="e">
        <v>#N/A</v>
      </c>
      <c r="H346" s="535" t="e">
        <v>#N/A</v>
      </c>
      <c r="I346" s="535" t="e">
        <v>#N/A</v>
      </c>
      <c r="J346" s="535" t="e">
        <v>#N/A</v>
      </c>
      <c r="K346" s="535" t="e">
        <v>#N/A</v>
      </c>
      <c r="L346" s="523"/>
    </row>
    <row r="347" spans="1:12" x14ac:dyDescent="0.2">
      <c r="A347" s="222">
        <f>calculs!A347</f>
        <v>44898</v>
      </c>
      <c r="B347" s="535" t="e">
        <f ca="1">gr(calculs!BG347)</f>
        <v>#NAME?</v>
      </c>
      <c r="C347" s="535" t="e">
        <f ca="1">gr(calculs!BH347)</f>
        <v>#NAME?</v>
      </c>
      <c r="D347" s="535" t="e">
        <f ca="1">gr(calculs!BI347)</f>
        <v>#NAME?</v>
      </c>
      <c r="E347" s="535" t="e">
        <f ca="1">gr(calculs!BJ347)</f>
        <v>#NAME?</v>
      </c>
      <c r="F347" s="535" t="e">
        <f ca="1">gr(calculs!BK347)</f>
        <v>#NAME?</v>
      </c>
      <c r="G347" s="535" t="e">
        <v>#N/A</v>
      </c>
      <c r="H347" s="535" t="e">
        <v>#N/A</v>
      </c>
      <c r="I347" s="535" t="e">
        <v>#N/A</v>
      </c>
      <c r="J347" s="535" t="e">
        <v>#N/A</v>
      </c>
      <c r="K347" s="535" t="e">
        <v>#N/A</v>
      </c>
      <c r="L347" s="523"/>
    </row>
    <row r="348" spans="1:12" x14ac:dyDescent="0.2">
      <c r="A348" s="222">
        <f>calculs!A348</f>
        <v>44899</v>
      </c>
      <c r="B348" s="535" t="e">
        <f ca="1">gr(calculs!BG348)</f>
        <v>#NAME?</v>
      </c>
      <c r="C348" s="535" t="e">
        <f ca="1">gr(calculs!BH348)</f>
        <v>#NAME?</v>
      </c>
      <c r="D348" s="535" t="e">
        <f ca="1">gr(calculs!BI348)</f>
        <v>#NAME?</v>
      </c>
      <c r="E348" s="535" t="e">
        <f ca="1">gr(calculs!BJ348)</f>
        <v>#NAME?</v>
      </c>
      <c r="F348" s="535" t="e">
        <f ca="1">gr(calculs!BK348)</f>
        <v>#NAME?</v>
      </c>
      <c r="G348" s="535" t="e">
        <v>#N/A</v>
      </c>
      <c r="H348" s="535" t="e">
        <v>#N/A</v>
      </c>
      <c r="I348" s="535" t="e">
        <v>#N/A</v>
      </c>
      <c r="J348" s="535" t="e">
        <v>#N/A</v>
      </c>
      <c r="K348" s="535" t="e">
        <v>#N/A</v>
      </c>
      <c r="L348" s="523"/>
    </row>
    <row r="349" spans="1:12" x14ac:dyDescent="0.2">
      <c r="A349" s="222">
        <f>calculs!A349</f>
        <v>44900</v>
      </c>
      <c r="B349" s="535" t="e">
        <f ca="1">gr(calculs!BG349)</f>
        <v>#NAME?</v>
      </c>
      <c r="C349" s="535" t="e">
        <f ca="1">gr(calculs!BH349)</f>
        <v>#NAME?</v>
      </c>
      <c r="D349" s="535" t="e">
        <f ca="1">gr(calculs!BI349)</f>
        <v>#NAME?</v>
      </c>
      <c r="E349" s="535" t="e">
        <f ca="1">gr(calculs!BJ349)</f>
        <v>#NAME?</v>
      </c>
      <c r="F349" s="535" t="e">
        <f ca="1">gr(calculs!BK349)</f>
        <v>#NAME?</v>
      </c>
      <c r="G349" s="535" t="e">
        <v>#N/A</v>
      </c>
      <c r="H349" s="535" t="e">
        <v>#N/A</v>
      </c>
      <c r="I349" s="535" t="e">
        <v>#N/A</v>
      </c>
      <c r="J349" s="535" t="e">
        <v>#N/A</v>
      </c>
      <c r="K349" s="535" t="e">
        <v>#N/A</v>
      </c>
      <c r="L349" s="523"/>
    </row>
    <row r="350" spans="1:12" x14ac:dyDescent="0.2">
      <c r="A350" s="222">
        <f>calculs!A350</f>
        <v>44901</v>
      </c>
      <c r="B350" s="535" t="e">
        <f ca="1">gr(calculs!BG350)</f>
        <v>#NAME?</v>
      </c>
      <c r="C350" s="535" t="e">
        <f ca="1">gr(calculs!BH350)</f>
        <v>#NAME?</v>
      </c>
      <c r="D350" s="535" t="e">
        <f ca="1">gr(calculs!BI350)</f>
        <v>#NAME?</v>
      </c>
      <c r="E350" s="535" t="e">
        <f ca="1">gr(calculs!BJ350)</f>
        <v>#NAME?</v>
      </c>
      <c r="F350" s="535" t="e">
        <f ca="1">gr(calculs!BK350)</f>
        <v>#NAME?</v>
      </c>
      <c r="G350" s="535" t="e">
        <v>#N/A</v>
      </c>
      <c r="H350" s="535" t="e">
        <v>#N/A</v>
      </c>
      <c r="I350" s="535" t="e">
        <v>#N/A</v>
      </c>
      <c r="J350" s="535" t="e">
        <v>#N/A</v>
      </c>
      <c r="K350" s="535" t="e">
        <v>#N/A</v>
      </c>
      <c r="L350" s="523"/>
    </row>
    <row r="351" spans="1:12" x14ac:dyDescent="0.2">
      <c r="A351" s="222">
        <f>calculs!A351</f>
        <v>44902</v>
      </c>
      <c r="B351" s="535" t="e">
        <f ca="1">gr(calculs!BG351)</f>
        <v>#NAME?</v>
      </c>
      <c r="C351" s="535" t="e">
        <f ca="1">gr(calculs!BH351)</f>
        <v>#NAME?</v>
      </c>
      <c r="D351" s="535" t="e">
        <f ca="1">gr(calculs!BI351)</f>
        <v>#NAME?</v>
      </c>
      <c r="E351" s="535" t="e">
        <f ca="1">gr(calculs!BJ351)</f>
        <v>#NAME?</v>
      </c>
      <c r="F351" s="535" t="e">
        <f ca="1">gr(calculs!BK351)</f>
        <v>#NAME?</v>
      </c>
      <c r="G351" s="535" t="e">
        <v>#N/A</v>
      </c>
      <c r="H351" s="535" t="e">
        <v>#N/A</v>
      </c>
      <c r="I351" s="535" t="e">
        <v>#N/A</v>
      </c>
      <c r="J351" s="535" t="e">
        <v>#N/A</v>
      </c>
      <c r="K351" s="535" t="e">
        <v>#N/A</v>
      </c>
      <c r="L351" s="523"/>
    </row>
    <row r="352" spans="1:12" x14ac:dyDescent="0.2">
      <c r="A352" s="222">
        <f>calculs!A352</f>
        <v>44903</v>
      </c>
      <c r="B352" s="535" t="e">
        <f ca="1">gr(calculs!BG352)</f>
        <v>#NAME?</v>
      </c>
      <c r="C352" s="535" t="e">
        <f ca="1">gr(calculs!BH352)</f>
        <v>#NAME?</v>
      </c>
      <c r="D352" s="535" t="e">
        <f ca="1">gr(calculs!BI352)</f>
        <v>#NAME?</v>
      </c>
      <c r="E352" s="535" t="e">
        <f ca="1">gr(calculs!BJ352)</f>
        <v>#NAME?</v>
      </c>
      <c r="F352" s="535" t="e">
        <f ca="1">gr(calculs!BK352)</f>
        <v>#NAME?</v>
      </c>
      <c r="G352" s="535" t="e">
        <v>#N/A</v>
      </c>
      <c r="H352" s="535" t="e">
        <v>#N/A</v>
      </c>
      <c r="I352" s="535" t="e">
        <v>#N/A</v>
      </c>
      <c r="J352" s="535" t="e">
        <v>#N/A</v>
      </c>
      <c r="K352" s="535" t="e">
        <v>#N/A</v>
      </c>
      <c r="L352" s="523"/>
    </row>
    <row r="353" spans="1:12" x14ac:dyDescent="0.2">
      <c r="A353" s="222">
        <f>calculs!A353</f>
        <v>44904</v>
      </c>
      <c r="B353" s="535" t="e">
        <f ca="1">gr(calculs!BG353)</f>
        <v>#NAME?</v>
      </c>
      <c r="C353" s="535" t="e">
        <f ca="1">gr(calculs!BH353)</f>
        <v>#NAME?</v>
      </c>
      <c r="D353" s="535" t="e">
        <f ca="1">gr(calculs!BI353)</f>
        <v>#NAME?</v>
      </c>
      <c r="E353" s="535" t="e">
        <f ca="1">gr(calculs!BJ353)</f>
        <v>#NAME?</v>
      </c>
      <c r="F353" s="535" t="e">
        <f ca="1">gr(calculs!BK353)</f>
        <v>#NAME?</v>
      </c>
      <c r="G353" s="535" t="e">
        <v>#N/A</v>
      </c>
      <c r="H353" s="535" t="e">
        <v>#N/A</v>
      </c>
      <c r="I353" s="535" t="e">
        <v>#N/A</v>
      </c>
      <c r="J353" s="535" t="e">
        <v>#N/A</v>
      </c>
      <c r="K353" s="535" t="e">
        <v>#N/A</v>
      </c>
      <c r="L353" s="523"/>
    </row>
    <row r="354" spans="1:12" x14ac:dyDescent="0.2">
      <c r="A354" s="222">
        <f>calculs!A354</f>
        <v>44905</v>
      </c>
      <c r="B354" s="535" t="e">
        <f ca="1">gr(calculs!BG354)</f>
        <v>#NAME?</v>
      </c>
      <c r="C354" s="535" t="e">
        <f ca="1">gr(calculs!BH354)</f>
        <v>#NAME?</v>
      </c>
      <c r="D354" s="535" t="e">
        <f ca="1">gr(calculs!BI354)</f>
        <v>#NAME?</v>
      </c>
      <c r="E354" s="535" t="e">
        <f ca="1">gr(calculs!BJ354)</f>
        <v>#NAME?</v>
      </c>
      <c r="F354" s="535" t="e">
        <f ca="1">gr(calculs!BK354)</f>
        <v>#NAME?</v>
      </c>
      <c r="G354" s="535" t="e">
        <v>#N/A</v>
      </c>
      <c r="H354" s="535" t="e">
        <v>#N/A</v>
      </c>
      <c r="I354" s="535" t="e">
        <v>#N/A</v>
      </c>
      <c r="J354" s="535" t="e">
        <v>#N/A</v>
      </c>
      <c r="K354" s="535" t="e">
        <v>#N/A</v>
      </c>
      <c r="L354" s="523"/>
    </row>
    <row r="355" spans="1:12" x14ac:dyDescent="0.2">
      <c r="A355" s="222">
        <f>calculs!A355</f>
        <v>44906</v>
      </c>
      <c r="B355" s="535" t="e">
        <f ca="1">gr(calculs!BG355)</f>
        <v>#NAME?</v>
      </c>
      <c r="C355" s="535" t="e">
        <f ca="1">gr(calculs!BH355)</f>
        <v>#NAME?</v>
      </c>
      <c r="D355" s="535" t="e">
        <f ca="1">gr(calculs!BI355)</f>
        <v>#NAME?</v>
      </c>
      <c r="E355" s="535" t="e">
        <f ca="1">gr(calculs!BJ355)</f>
        <v>#NAME?</v>
      </c>
      <c r="F355" s="535" t="e">
        <f ca="1">gr(calculs!BK355)</f>
        <v>#NAME?</v>
      </c>
      <c r="G355" s="535" t="e">
        <v>#N/A</v>
      </c>
      <c r="H355" s="535" t="e">
        <v>#N/A</v>
      </c>
      <c r="I355" s="535" t="e">
        <v>#N/A</v>
      </c>
      <c r="J355" s="535" t="e">
        <v>#N/A</v>
      </c>
      <c r="K355" s="535" t="e">
        <v>#N/A</v>
      </c>
      <c r="L355" s="523"/>
    </row>
    <row r="356" spans="1:12" x14ac:dyDescent="0.2">
      <c r="A356" s="222">
        <f>calculs!A356</f>
        <v>44907</v>
      </c>
      <c r="B356" s="535" t="e">
        <f ca="1">gr(calculs!BG356)</f>
        <v>#NAME?</v>
      </c>
      <c r="C356" s="535" t="e">
        <f ca="1">gr(calculs!BH356)</f>
        <v>#NAME?</v>
      </c>
      <c r="D356" s="535" t="e">
        <f ca="1">gr(calculs!BI356)</f>
        <v>#NAME?</v>
      </c>
      <c r="E356" s="535" t="e">
        <f ca="1">gr(calculs!BJ356)</f>
        <v>#NAME?</v>
      </c>
      <c r="F356" s="535" t="e">
        <f ca="1">gr(calculs!BK356)</f>
        <v>#NAME?</v>
      </c>
      <c r="G356" s="535" t="e">
        <v>#N/A</v>
      </c>
      <c r="H356" s="535" t="e">
        <v>#N/A</v>
      </c>
      <c r="I356" s="535" t="e">
        <v>#N/A</v>
      </c>
      <c r="J356" s="535" t="e">
        <v>#N/A</v>
      </c>
      <c r="K356" s="535" t="e">
        <v>#N/A</v>
      </c>
      <c r="L356" s="523"/>
    </row>
    <row r="357" spans="1:12" x14ac:dyDescent="0.2">
      <c r="A357" s="222">
        <f>calculs!A357</f>
        <v>44908</v>
      </c>
      <c r="B357" s="535" t="e">
        <f ca="1">gr(calculs!BG357)</f>
        <v>#NAME?</v>
      </c>
      <c r="C357" s="535" t="e">
        <f ca="1">gr(calculs!BH357)</f>
        <v>#NAME?</v>
      </c>
      <c r="D357" s="535" t="e">
        <f ca="1">gr(calculs!BI357)</f>
        <v>#NAME?</v>
      </c>
      <c r="E357" s="535" t="e">
        <f ca="1">gr(calculs!BJ357)</f>
        <v>#NAME?</v>
      </c>
      <c r="F357" s="535" t="e">
        <f ca="1">gr(calculs!BK357)</f>
        <v>#NAME?</v>
      </c>
      <c r="G357" s="535" t="e">
        <v>#N/A</v>
      </c>
      <c r="H357" s="535" t="e">
        <v>#N/A</v>
      </c>
      <c r="I357" s="535" t="e">
        <v>#N/A</v>
      </c>
      <c r="J357" s="535" t="e">
        <v>#N/A</v>
      </c>
      <c r="K357" s="535" t="e">
        <v>#N/A</v>
      </c>
      <c r="L357" s="523"/>
    </row>
    <row r="358" spans="1:12" x14ac:dyDescent="0.2">
      <c r="A358" s="222">
        <f>calculs!A358</f>
        <v>44909</v>
      </c>
      <c r="B358" s="535" t="e">
        <f ca="1">gr(calculs!BG358)</f>
        <v>#NAME?</v>
      </c>
      <c r="C358" s="535" t="e">
        <f ca="1">gr(calculs!BH358)</f>
        <v>#NAME?</v>
      </c>
      <c r="D358" s="535" t="e">
        <f ca="1">gr(calculs!BI358)</f>
        <v>#NAME?</v>
      </c>
      <c r="E358" s="535" t="e">
        <f ca="1">gr(calculs!BJ358)</f>
        <v>#NAME?</v>
      </c>
      <c r="F358" s="535" t="e">
        <f ca="1">gr(calculs!BK358)</f>
        <v>#NAME?</v>
      </c>
      <c r="G358" s="535" t="e">
        <v>#N/A</v>
      </c>
      <c r="H358" s="535" t="e">
        <v>#N/A</v>
      </c>
      <c r="I358" s="535" t="e">
        <v>#N/A</v>
      </c>
      <c r="J358" s="535" t="e">
        <v>#N/A</v>
      </c>
      <c r="K358" s="535" t="e">
        <v>#N/A</v>
      </c>
      <c r="L358" s="523"/>
    </row>
    <row r="359" spans="1:12" x14ac:dyDescent="0.2">
      <c r="A359" s="222">
        <f>calculs!A359</f>
        <v>44910</v>
      </c>
      <c r="B359" s="535" t="e">
        <f ca="1">gr(calculs!BG359)</f>
        <v>#NAME?</v>
      </c>
      <c r="C359" s="535" t="e">
        <f ca="1">gr(calculs!BH359)</f>
        <v>#NAME?</v>
      </c>
      <c r="D359" s="535" t="e">
        <f ca="1">gr(calculs!BI359)</f>
        <v>#NAME?</v>
      </c>
      <c r="E359" s="535" t="e">
        <f ca="1">gr(calculs!BJ359)</f>
        <v>#NAME?</v>
      </c>
      <c r="F359" s="535" t="e">
        <f ca="1">gr(calculs!BK359)</f>
        <v>#NAME?</v>
      </c>
      <c r="G359" s="535" t="e">
        <v>#N/A</v>
      </c>
      <c r="H359" s="535" t="e">
        <v>#N/A</v>
      </c>
      <c r="I359" s="535" t="e">
        <v>#N/A</v>
      </c>
      <c r="J359" s="535" t="e">
        <v>#N/A</v>
      </c>
      <c r="K359" s="535" t="e">
        <v>#N/A</v>
      </c>
      <c r="L359" s="523"/>
    </row>
    <row r="360" spans="1:12" x14ac:dyDescent="0.2">
      <c r="A360" s="222">
        <f>calculs!A360</f>
        <v>44911</v>
      </c>
      <c r="B360" s="535" t="e">
        <f ca="1">gr(calculs!BG360)</f>
        <v>#NAME?</v>
      </c>
      <c r="C360" s="535" t="e">
        <f ca="1">gr(calculs!BH360)</f>
        <v>#NAME?</v>
      </c>
      <c r="D360" s="535" t="e">
        <f ca="1">gr(calculs!BI360)</f>
        <v>#NAME?</v>
      </c>
      <c r="E360" s="535" t="e">
        <f ca="1">gr(calculs!BJ360)</f>
        <v>#NAME?</v>
      </c>
      <c r="F360" s="535" t="e">
        <f ca="1">gr(calculs!BK360)</f>
        <v>#NAME?</v>
      </c>
      <c r="G360" s="535" t="e">
        <v>#N/A</v>
      </c>
      <c r="H360" s="535" t="e">
        <v>#N/A</v>
      </c>
      <c r="I360" s="535" t="e">
        <v>#N/A</v>
      </c>
      <c r="J360" s="535" t="e">
        <v>#N/A</v>
      </c>
      <c r="K360" s="535" t="e">
        <v>#N/A</v>
      </c>
      <c r="L360" s="523"/>
    </row>
    <row r="361" spans="1:12" x14ac:dyDescent="0.2">
      <c r="A361" s="222">
        <f>calculs!A361</f>
        <v>44912</v>
      </c>
      <c r="B361" s="535" t="e">
        <f ca="1">gr(calculs!BG361)</f>
        <v>#NAME?</v>
      </c>
      <c r="C361" s="535" t="e">
        <f ca="1">gr(calculs!BH361)</f>
        <v>#NAME?</v>
      </c>
      <c r="D361" s="535" t="e">
        <f ca="1">gr(calculs!BI361)</f>
        <v>#NAME?</v>
      </c>
      <c r="E361" s="535" t="e">
        <f ca="1">gr(calculs!BJ361)</f>
        <v>#NAME?</v>
      </c>
      <c r="F361" s="535" t="e">
        <f ca="1">gr(calculs!BK361)</f>
        <v>#NAME?</v>
      </c>
      <c r="G361" s="535" t="e">
        <v>#N/A</v>
      </c>
      <c r="H361" s="535" t="e">
        <v>#N/A</v>
      </c>
      <c r="I361" s="535" t="e">
        <v>#N/A</v>
      </c>
      <c r="J361" s="535" t="e">
        <v>#N/A</v>
      </c>
      <c r="K361" s="535" t="e">
        <v>#N/A</v>
      </c>
      <c r="L361" s="523"/>
    </row>
    <row r="362" spans="1:12" x14ac:dyDescent="0.2">
      <c r="A362" s="222">
        <f>calculs!A362</f>
        <v>44913</v>
      </c>
      <c r="B362" s="535" t="e">
        <f ca="1">gr(calculs!BG362)</f>
        <v>#NAME?</v>
      </c>
      <c r="C362" s="535" t="e">
        <f ca="1">gr(calculs!BH362)</f>
        <v>#NAME?</v>
      </c>
      <c r="D362" s="535" t="e">
        <f ca="1">gr(calculs!BI362)</f>
        <v>#NAME?</v>
      </c>
      <c r="E362" s="535" t="e">
        <f ca="1">gr(calculs!BJ362)</f>
        <v>#NAME?</v>
      </c>
      <c r="F362" s="535" t="e">
        <f ca="1">gr(calculs!BK362)</f>
        <v>#NAME?</v>
      </c>
      <c r="G362" s="535" t="e">
        <v>#N/A</v>
      </c>
      <c r="H362" s="535" t="e">
        <v>#N/A</v>
      </c>
      <c r="I362" s="535" t="e">
        <v>#N/A</v>
      </c>
      <c r="J362" s="535" t="e">
        <v>#N/A</v>
      </c>
      <c r="K362" s="535" t="e">
        <v>#N/A</v>
      </c>
      <c r="L362" s="523"/>
    </row>
    <row r="363" spans="1:12" x14ac:dyDescent="0.2">
      <c r="A363" s="222">
        <f>calculs!A363</f>
        <v>44914</v>
      </c>
      <c r="B363" s="535" t="e">
        <f ca="1">gr(calculs!BG363)</f>
        <v>#NAME?</v>
      </c>
      <c r="C363" s="535" t="e">
        <f ca="1">gr(calculs!BH363)</f>
        <v>#NAME?</v>
      </c>
      <c r="D363" s="535" t="e">
        <f ca="1">gr(calculs!BI363)</f>
        <v>#NAME?</v>
      </c>
      <c r="E363" s="535" t="e">
        <f ca="1">gr(calculs!BJ363)</f>
        <v>#NAME?</v>
      </c>
      <c r="F363" s="535" t="e">
        <f ca="1">gr(calculs!BK363)</f>
        <v>#NAME?</v>
      </c>
      <c r="G363" s="535" t="e">
        <v>#N/A</v>
      </c>
      <c r="H363" s="535" t="e">
        <v>#N/A</v>
      </c>
      <c r="I363" s="535" t="e">
        <v>#N/A</v>
      </c>
      <c r="J363" s="535" t="e">
        <v>#N/A</v>
      </c>
      <c r="K363" s="535" t="e">
        <v>#N/A</v>
      </c>
      <c r="L363" s="523"/>
    </row>
    <row r="364" spans="1:12" x14ac:dyDescent="0.2">
      <c r="A364" s="222">
        <f>calculs!A364</f>
        <v>44915</v>
      </c>
      <c r="B364" s="535" t="e">
        <f ca="1">gr(calculs!BG364)</f>
        <v>#NAME?</v>
      </c>
      <c r="C364" s="535" t="e">
        <f ca="1">gr(calculs!BH364)</f>
        <v>#NAME?</v>
      </c>
      <c r="D364" s="535" t="e">
        <f ca="1">gr(calculs!BI364)</f>
        <v>#NAME?</v>
      </c>
      <c r="E364" s="535" t="e">
        <f ca="1">gr(calculs!BJ364)</f>
        <v>#NAME?</v>
      </c>
      <c r="F364" s="535" t="e">
        <f ca="1">gr(calculs!BK364)</f>
        <v>#NAME?</v>
      </c>
      <c r="G364" s="535" t="e">
        <v>#N/A</v>
      </c>
      <c r="H364" s="535" t="e">
        <v>#N/A</v>
      </c>
      <c r="I364" s="535" t="e">
        <v>#N/A</v>
      </c>
      <c r="J364" s="535" t="e">
        <v>#N/A</v>
      </c>
      <c r="K364" s="535" t="e">
        <v>#N/A</v>
      </c>
      <c r="L364" s="523"/>
    </row>
    <row r="365" spans="1:12" x14ac:dyDescent="0.2">
      <c r="A365" s="222">
        <f>calculs!A365</f>
        <v>44916</v>
      </c>
      <c r="B365" s="535" t="e">
        <f ca="1">gr(calculs!BG365)</f>
        <v>#NAME?</v>
      </c>
      <c r="C365" s="535" t="e">
        <f ca="1">gr(calculs!BH365)</f>
        <v>#NAME?</v>
      </c>
      <c r="D365" s="535" t="e">
        <f ca="1">gr(calculs!BI365)</f>
        <v>#NAME?</v>
      </c>
      <c r="E365" s="535" t="e">
        <f ca="1">gr(calculs!BJ365)</f>
        <v>#NAME?</v>
      </c>
      <c r="F365" s="535" t="e">
        <f ca="1">gr(calculs!BK365)</f>
        <v>#NAME?</v>
      </c>
      <c r="G365" s="535" t="e">
        <v>#N/A</v>
      </c>
      <c r="H365" s="535" t="e">
        <v>#N/A</v>
      </c>
      <c r="I365" s="535" t="e">
        <v>#N/A</v>
      </c>
      <c r="J365" s="535" t="e">
        <v>#N/A</v>
      </c>
      <c r="K365" s="535" t="e">
        <v>#N/A</v>
      </c>
      <c r="L365" s="523"/>
    </row>
    <row r="366" spans="1:12" x14ac:dyDescent="0.2">
      <c r="A366" s="222">
        <f>calculs!A366</f>
        <v>44917</v>
      </c>
      <c r="B366" s="535" t="e">
        <f ca="1">gr(calculs!BG366)</f>
        <v>#NAME?</v>
      </c>
      <c r="C366" s="535" t="e">
        <f ca="1">gr(calculs!BH366)</f>
        <v>#NAME?</v>
      </c>
      <c r="D366" s="535" t="e">
        <f ca="1">gr(calculs!BI366)</f>
        <v>#NAME?</v>
      </c>
      <c r="E366" s="535" t="e">
        <f ca="1">gr(calculs!BJ366)</f>
        <v>#NAME?</v>
      </c>
      <c r="F366" s="535" t="e">
        <f ca="1">gr(calculs!BK366)</f>
        <v>#NAME?</v>
      </c>
      <c r="G366" s="535" t="e">
        <v>#N/A</v>
      </c>
      <c r="H366" s="535" t="e">
        <v>#N/A</v>
      </c>
      <c r="I366" s="535" t="e">
        <v>#N/A</v>
      </c>
      <c r="J366" s="535" t="e">
        <v>#N/A</v>
      </c>
      <c r="K366" s="535" t="e">
        <v>#N/A</v>
      </c>
      <c r="L366" s="523"/>
    </row>
    <row r="367" spans="1:12" x14ac:dyDescent="0.2">
      <c r="A367" s="222">
        <f>calculs!A367</f>
        <v>44918</v>
      </c>
      <c r="B367" s="535" t="e">
        <f ca="1">gr(calculs!BG367)</f>
        <v>#NAME?</v>
      </c>
      <c r="C367" s="535" t="e">
        <f ca="1">gr(calculs!BH367)</f>
        <v>#NAME?</v>
      </c>
      <c r="D367" s="535" t="e">
        <f ca="1">gr(calculs!BI367)</f>
        <v>#NAME?</v>
      </c>
      <c r="E367" s="535" t="e">
        <f ca="1">gr(calculs!BJ367)</f>
        <v>#NAME?</v>
      </c>
      <c r="F367" s="535" t="e">
        <f ca="1">gr(calculs!BK367)</f>
        <v>#NAME?</v>
      </c>
      <c r="G367" s="535" t="e">
        <v>#N/A</v>
      </c>
      <c r="H367" s="535" t="e">
        <v>#N/A</v>
      </c>
      <c r="I367" s="535" t="e">
        <v>#N/A</v>
      </c>
      <c r="J367" s="535" t="e">
        <v>#N/A</v>
      </c>
      <c r="K367" s="535" t="e">
        <v>#N/A</v>
      </c>
      <c r="L367" s="523"/>
    </row>
    <row r="368" spans="1:12" x14ac:dyDescent="0.2">
      <c r="A368" s="222">
        <f>calculs!A368</f>
        <v>44919</v>
      </c>
      <c r="B368" s="535" t="e">
        <f ca="1">gr(calculs!BG368)</f>
        <v>#NAME?</v>
      </c>
      <c r="C368" s="535" t="e">
        <f ca="1">gr(calculs!BH368)</f>
        <v>#NAME?</v>
      </c>
      <c r="D368" s="535" t="e">
        <f ca="1">gr(calculs!BI368)</f>
        <v>#NAME?</v>
      </c>
      <c r="E368" s="535" t="e">
        <f ca="1">gr(calculs!BJ368)</f>
        <v>#NAME?</v>
      </c>
      <c r="F368" s="535" t="e">
        <f ca="1">gr(calculs!BK368)</f>
        <v>#NAME?</v>
      </c>
      <c r="G368" s="535" t="e">
        <v>#N/A</v>
      </c>
      <c r="H368" s="535" t="e">
        <v>#N/A</v>
      </c>
      <c r="I368" s="535" t="e">
        <v>#N/A</v>
      </c>
      <c r="J368" s="535" t="e">
        <v>#N/A</v>
      </c>
      <c r="K368" s="535" t="e">
        <v>#N/A</v>
      </c>
      <c r="L368" s="523"/>
    </row>
    <row r="369" spans="1:12" x14ac:dyDescent="0.2">
      <c r="A369" s="222">
        <f>calculs!A369</f>
        <v>44920</v>
      </c>
      <c r="B369" s="535" t="e">
        <f ca="1">gr(calculs!BG369)</f>
        <v>#NAME?</v>
      </c>
      <c r="C369" s="535" t="e">
        <f ca="1">gr(calculs!BH369)</f>
        <v>#NAME?</v>
      </c>
      <c r="D369" s="535" t="e">
        <f ca="1">gr(calculs!BI369)</f>
        <v>#NAME?</v>
      </c>
      <c r="E369" s="535" t="e">
        <f ca="1">gr(calculs!BJ369)</f>
        <v>#NAME?</v>
      </c>
      <c r="F369" s="535" t="e">
        <f ca="1">gr(calculs!BK369)</f>
        <v>#NAME?</v>
      </c>
      <c r="G369" s="535" t="e">
        <v>#N/A</v>
      </c>
      <c r="H369" s="535" t="e">
        <v>#N/A</v>
      </c>
      <c r="I369" s="535" t="e">
        <v>#N/A</v>
      </c>
      <c r="J369" s="535" t="e">
        <v>#N/A</v>
      </c>
      <c r="K369" s="535" t="e">
        <v>#N/A</v>
      </c>
      <c r="L369" s="523"/>
    </row>
    <row r="370" spans="1:12" x14ac:dyDescent="0.2">
      <c r="A370" s="222">
        <f>calculs!A370</f>
        <v>44921</v>
      </c>
      <c r="B370" s="535" t="e">
        <f ca="1">gr(calculs!BG370)</f>
        <v>#NAME?</v>
      </c>
      <c r="C370" s="535" t="e">
        <f ca="1">gr(calculs!BH370)</f>
        <v>#NAME?</v>
      </c>
      <c r="D370" s="535" t="e">
        <f ca="1">gr(calculs!BI370)</f>
        <v>#NAME?</v>
      </c>
      <c r="E370" s="535" t="e">
        <f ca="1">gr(calculs!BJ370)</f>
        <v>#NAME?</v>
      </c>
      <c r="F370" s="535" t="e">
        <f ca="1">gr(calculs!BK370)</f>
        <v>#NAME?</v>
      </c>
      <c r="G370" s="535" t="e">
        <v>#N/A</v>
      </c>
      <c r="H370" s="535" t="e">
        <v>#N/A</v>
      </c>
      <c r="I370" s="535" t="e">
        <v>#N/A</v>
      </c>
      <c r="J370" s="535" t="e">
        <v>#N/A</v>
      </c>
      <c r="K370" s="535" t="e">
        <v>#N/A</v>
      </c>
      <c r="L370" s="523"/>
    </row>
    <row r="371" spans="1:12" x14ac:dyDescent="0.2">
      <c r="A371" s="222">
        <f>calculs!A371</f>
        <v>44922</v>
      </c>
      <c r="B371" s="535" t="e">
        <f ca="1">gr(calculs!BG371)</f>
        <v>#NAME?</v>
      </c>
      <c r="C371" s="535" t="e">
        <f ca="1">gr(calculs!BH371)</f>
        <v>#NAME?</v>
      </c>
      <c r="D371" s="535" t="e">
        <f ca="1">gr(calculs!BI371)</f>
        <v>#NAME?</v>
      </c>
      <c r="E371" s="535" t="e">
        <f ca="1">gr(calculs!BJ371)</f>
        <v>#NAME?</v>
      </c>
      <c r="F371" s="535" t="e">
        <f ca="1">gr(calculs!BK371)</f>
        <v>#NAME?</v>
      </c>
      <c r="G371" s="535" t="e">
        <v>#N/A</v>
      </c>
      <c r="H371" s="535" t="e">
        <v>#N/A</v>
      </c>
      <c r="I371" s="535" t="e">
        <v>#N/A</v>
      </c>
      <c r="J371" s="535" t="e">
        <v>#N/A</v>
      </c>
      <c r="K371" s="535" t="e">
        <v>#N/A</v>
      </c>
      <c r="L371" s="523"/>
    </row>
    <row r="372" spans="1:12" x14ac:dyDescent="0.2">
      <c r="A372" s="222">
        <f>calculs!A372</f>
        <v>44923</v>
      </c>
      <c r="B372" s="535" t="e">
        <f ca="1">gr(calculs!BG372)</f>
        <v>#NAME?</v>
      </c>
      <c r="C372" s="535" t="e">
        <f ca="1">gr(calculs!BH372)</f>
        <v>#NAME?</v>
      </c>
      <c r="D372" s="535" t="e">
        <f ca="1">gr(calculs!BI372)</f>
        <v>#NAME?</v>
      </c>
      <c r="E372" s="535" t="e">
        <f ca="1">gr(calculs!BJ372)</f>
        <v>#NAME?</v>
      </c>
      <c r="F372" s="535" t="e">
        <f ca="1">gr(calculs!BK372)</f>
        <v>#NAME?</v>
      </c>
      <c r="G372" s="535" t="e">
        <v>#N/A</v>
      </c>
      <c r="H372" s="535" t="e">
        <v>#N/A</v>
      </c>
      <c r="I372" s="535" t="e">
        <v>#N/A</v>
      </c>
      <c r="J372" s="535" t="e">
        <v>#N/A</v>
      </c>
      <c r="K372" s="535" t="e">
        <v>#N/A</v>
      </c>
      <c r="L372" s="523"/>
    </row>
    <row r="373" spans="1:12" x14ac:dyDescent="0.2">
      <c r="A373" s="222">
        <f>calculs!A373</f>
        <v>44924</v>
      </c>
      <c r="B373" s="535" t="e">
        <f ca="1">gr(calculs!BG373)</f>
        <v>#NAME?</v>
      </c>
      <c r="C373" s="535" t="e">
        <f ca="1">gr(calculs!BH373)</f>
        <v>#NAME?</v>
      </c>
      <c r="D373" s="535" t="e">
        <f ca="1">gr(calculs!BI373)</f>
        <v>#NAME?</v>
      </c>
      <c r="E373" s="535" t="e">
        <f ca="1">gr(calculs!BJ373)</f>
        <v>#NAME?</v>
      </c>
      <c r="F373" s="535" t="e">
        <f ca="1">gr(calculs!BK373)</f>
        <v>#NAME?</v>
      </c>
      <c r="G373" s="535" t="e">
        <v>#N/A</v>
      </c>
      <c r="H373" s="535" t="e">
        <v>#N/A</v>
      </c>
      <c r="I373" s="535" t="e">
        <v>#N/A</v>
      </c>
      <c r="J373" s="535" t="e">
        <v>#N/A</v>
      </c>
      <c r="K373" s="535" t="e">
        <v>#N/A</v>
      </c>
      <c r="L373" s="523"/>
    </row>
    <row r="374" spans="1:12" x14ac:dyDescent="0.2">
      <c r="A374" s="222">
        <f>calculs!A374</f>
        <v>44925</v>
      </c>
      <c r="B374" s="535" t="e">
        <f ca="1">gr(calculs!BG374)</f>
        <v>#NAME?</v>
      </c>
      <c r="C374" s="535" t="e">
        <f ca="1">gr(calculs!BH374)</f>
        <v>#NAME?</v>
      </c>
      <c r="D374" s="535" t="e">
        <f ca="1">gr(calculs!BI374)</f>
        <v>#NAME?</v>
      </c>
      <c r="E374" s="535" t="e">
        <f ca="1">gr(calculs!BJ374)</f>
        <v>#NAME?</v>
      </c>
      <c r="F374" s="535" t="e">
        <f ca="1">gr(calculs!BK374)</f>
        <v>#NAME?</v>
      </c>
      <c r="G374" s="535" t="e">
        <v>#N/A</v>
      </c>
      <c r="H374" s="535" t="e">
        <v>#N/A</v>
      </c>
      <c r="I374" s="535" t="e">
        <v>#N/A</v>
      </c>
      <c r="J374" s="535" t="e">
        <v>#N/A</v>
      </c>
      <c r="K374" s="535" t="e">
        <v>#N/A</v>
      </c>
      <c r="L374" s="523"/>
    </row>
    <row r="375" spans="1:12" x14ac:dyDescent="0.2">
      <c r="A375" s="222">
        <f>calculs!A375</f>
        <v>44926</v>
      </c>
      <c r="B375" s="535" t="e">
        <f ca="1">gr(calculs!BG375)</f>
        <v>#NAME?</v>
      </c>
      <c r="C375" s="535" t="e">
        <f ca="1">gr(calculs!BH375)</f>
        <v>#NAME?</v>
      </c>
      <c r="D375" s="535" t="e">
        <f ca="1">gr(calculs!BI375)</f>
        <v>#NAME?</v>
      </c>
      <c r="E375" s="535" t="e">
        <f ca="1">gr(calculs!BJ375)</f>
        <v>#NAME?</v>
      </c>
      <c r="F375" s="535" t="e">
        <f ca="1">gr(calculs!BK375)</f>
        <v>#NAME?</v>
      </c>
      <c r="G375" s="535" t="e">
        <f ca="1">G376</f>
        <v>#NAME?</v>
      </c>
      <c r="H375" s="535" t="e">
        <f t="shared" ref="H375:K375" ca="1" si="1">H376</f>
        <v>#NAME?</v>
      </c>
      <c r="I375" s="535" t="e">
        <f t="shared" ca="1" si="1"/>
        <v>#NAME?</v>
      </c>
      <c r="J375" s="535" t="e">
        <f t="shared" ca="1" si="1"/>
        <v>#NAME?</v>
      </c>
      <c r="K375" s="535" t="e">
        <f t="shared" ca="1" si="1"/>
        <v>#NAME?</v>
      </c>
      <c r="L375" s="523"/>
    </row>
    <row r="376" spans="1:12" x14ac:dyDescent="0.2">
      <c r="A376" s="222">
        <f>calculs!A376</f>
        <v>0</v>
      </c>
      <c r="B376" s="535" t="e">
        <f ca="1">gr(calculs!BG376)</f>
        <v>#NAME?</v>
      </c>
      <c r="C376" s="535" t="e">
        <f ca="1">gr(calculs!BH376)</f>
        <v>#NAME?</v>
      </c>
      <c r="D376" s="535" t="e">
        <f ca="1">gr(calculs!BI376)</f>
        <v>#NAME?</v>
      </c>
      <c r="E376" s="535" t="e">
        <f ca="1">gr(calculs!BJ376)</f>
        <v>#NAME?</v>
      </c>
      <c r="F376" s="535" t="e">
        <f ca="1">gr(calculs!BK376)</f>
        <v>#NAME?</v>
      </c>
      <c r="G376" s="535" t="e">
        <f ca="1">G11</f>
        <v>#NAME?</v>
      </c>
      <c r="H376" s="535" t="e">
        <f t="shared" ref="H376:K376" ca="1" si="2">H11</f>
        <v>#NAME?</v>
      </c>
      <c r="I376" s="535" t="e">
        <f t="shared" ca="1" si="2"/>
        <v>#NAME?</v>
      </c>
      <c r="J376" s="535" t="e">
        <f t="shared" ca="1" si="2"/>
        <v>#NAME?</v>
      </c>
      <c r="K376" s="535" t="e">
        <f t="shared" ca="1" si="2"/>
        <v>#NAME?</v>
      </c>
      <c r="L376" s="523"/>
    </row>
    <row r="377" spans="1:12" s="515" customFormat="1" x14ac:dyDescent="0.2"/>
  </sheetData>
  <mergeCells count="1">
    <mergeCell ref="B9:F9"/>
  </mergeCells>
  <pageMargins left="0.7" right="0.7" top="0.75" bottom="0.75" header="0.3" footer="0.3"/>
  <pageSetup paperSize="301" scale="5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8" tint="0.59999389629810485"/>
  </sheetPr>
  <dimension ref="A1:O377"/>
  <sheetViews>
    <sheetView zoomScaleNormal="100" workbookViewId="0">
      <selection activeCell="X64" sqref="X64"/>
    </sheetView>
  </sheetViews>
  <sheetFormatPr baseColWidth="10" defaultRowHeight="12.75" x14ac:dyDescent="0.2"/>
  <sheetData>
    <row r="1" spans="1:15" x14ac:dyDescent="0.2">
      <c r="A1" s="749" t="str">
        <f>basis!A1</f>
        <v>ARA Ausserbinn</v>
      </c>
    </row>
    <row r="8" spans="1:15" x14ac:dyDescent="0.2">
      <c r="A8" s="501"/>
    </row>
    <row r="9" spans="1:15" x14ac:dyDescent="0.2">
      <c r="A9" s="501"/>
      <c r="B9" s="1094" t="str">
        <f>A1&amp;" "&amp;Jahr&amp;" - "&amp;IF('liste-STEP'!F95=1,"Charges entrée kg/d","Zulauffrachten kg/d")</f>
        <v>ARA Ausserbinn 2022 - Zulauffrachten kg/d</v>
      </c>
      <c r="C9" s="1095"/>
      <c r="D9" s="1095"/>
      <c r="E9" s="1095"/>
      <c r="F9" s="1095"/>
      <c r="G9" s="1096"/>
      <c r="H9" s="1097" t="str">
        <f>A1&amp;" "&amp;Jahr&amp;" - "&amp;IF('liste-STEP'!F95=1,"Charges sortie kg/d","Ablauffrachten kg/d")</f>
        <v>ARA Ausserbinn 2022 - Ablauffrachten kg/d</v>
      </c>
      <c r="I9" s="1098"/>
      <c r="J9" s="1098"/>
      <c r="K9" s="1098"/>
      <c r="L9" s="1098"/>
      <c r="M9" s="1098"/>
      <c r="N9" s="1098"/>
      <c r="O9" s="1099"/>
    </row>
    <row r="10" spans="1:15" x14ac:dyDescent="0.2">
      <c r="A10" s="502"/>
      <c r="B10" s="505" t="str">
        <f>calculs!D9</f>
        <v>BSB5</v>
      </c>
      <c r="C10" s="505" t="str">
        <f>calculs!E9</f>
        <v>CSB</v>
      </c>
      <c r="D10" s="505" t="str">
        <f>calculs!F9</f>
        <v>TOC</v>
      </c>
      <c r="E10" s="505" t="str">
        <f>calculs!G9</f>
        <v>NH4</v>
      </c>
      <c r="F10" s="505" t="str">
        <f>calculs!H9</f>
        <v>Nges</v>
      </c>
      <c r="G10" s="505" t="str">
        <f>calculs!I9</f>
        <v>Pges</v>
      </c>
      <c r="H10" s="506" t="str">
        <f>calculs!J9</f>
        <v>BSB5</v>
      </c>
      <c r="I10" s="506" t="str">
        <f>calculs!K9</f>
        <v>CSB</v>
      </c>
      <c r="J10" s="506" t="str">
        <f>calculs!L9</f>
        <v>DOC</v>
      </c>
      <c r="K10" s="506" t="str">
        <f>calculs!M9</f>
        <v>NH4</v>
      </c>
      <c r="L10" s="506" t="str">
        <f>calculs!N9</f>
        <v>NO2</v>
      </c>
      <c r="M10" s="506" t="str">
        <f>calculs!O9</f>
        <v>NO3</v>
      </c>
      <c r="N10" s="506" t="str">
        <f>calculs!P9</f>
        <v>Pges</v>
      </c>
      <c r="O10" s="506" t="str">
        <f>calculs!Q9</f>
        <v>GUS</v>
      </c>
    </row>
    <row r="11" spans="1:15" x14ac:dyDescent="0.2">
      <c r="A11" s="222">
        <f>calculs!A11</f>
        <v>44562</v>
      </c>
      <c r="B11" s="521" t="e">
        <f ca="1">gr(charge_entree[[#This Row],[ch_E_DBO5]])</f>
        <v>#NAME?</v>
      </c>
      <c r="C11" s="521" t="e">
        <f ca="1">gr(charge_entree[[#This Row],[ch_E_DCO]])</f>
        <v>#NAME?</v>
      </c>
      <c r="D11" s="521" t="e">
        <f ca="1">gr(charge_entree[[#This Row],[ch_E_COT]])</f>
        <v>#NAME?</v>
      </c>
      <c r="E11" s="521" t="e">
        <f ca="1">gr(charge_entree[[#This Row],[ch_E_NH4]])</f>
        <v>#NAME?</v>
      </c>
      <c r="F11" s="521" t="e">
        <f ca="1">gr(charge_entree[[#This Row],[ch_E_NTOT]])</f>
        <v>#NAME?</v>
      </c>
      <c r="G11" s="521" t="e">
        <f ca="1">gr(charge_entree[[#This Row],[ch_E_PTOT]])</f>
        <v>#NAME?</v>
      </c>
      <c r="H11" s="521" t="e">
        <f ca="1">gr(charge_entree[[#This Row],[ch_S_DBO]])</f>
        <v>#NAME?</v>
      </c>
      <c r="I11" s="521" t="e">
        <f ca="1">gr(charge_entree[[#This Row],[ch_S-DCO]])</f>
        <v>#NAME?</v>
      </c>
      <c r="J11" s="521" t="e">
        <f ca="1">gr(charge_entree[[#This Row],[ch_S_DOC]])</f>
        <v>#NAME?</v>
      </c>
      <c r="K11" s="521" t="e">
        <f ca="1">gr(charge_entree[[#This Row],[ch_S_NH4]])</f>
        <v>#NAME?</v>
      </c>
      <c r="L11" s="521" t="e">
        <f ca="1">gr(charge_entree[[#This Row],[ch_S_NO2]])</f>
        <v>#NAME?</v>
      </c>
      <c r="M11" s="521" t="e">
        <f ca="1">gr(charge_entree[[#This Row],[ch_S_NO3]])</f>
        <v>#NAME?</v>
      </c>
      <c r="N11" s="521" t="e">
        <f ca="1">gr(charge_entree[[#This Row],[ch_S_PTOT]])</f>
        <v>#NAME?</v>
      </c>
      <c r="O11" s="521" t="e">
        <f ca="1">gr(charge_entree[[#This Row],[ch_S_SNDT]])</f>
        <v>#NAME?</v>
      </c>
    </row>
    <row r="12" spans="1:15" x14ac:dyDescent="0.2">
      <c r="A12" s="222">
        <f>calculs!A12</f>
        <v>44563</v>
      </c>
      <c r="B12" s="521" t="e">
        <f ca="1">gr(charge_entree[[#This Row],[ch_E_DBO5]])</f>
        <v>#NAME?</v>
      </c>
      <c r="C12" s="521" t="e">
        <f ca="1">gr(charge_entree[[#This Row],[ch_E_DCO]])</f>
        <v>#NAME?</v>
      </c>
      <c r="D12" s="521" t="e">
        <f ca="1">gr(charge_entree[[#This Row],[ch_E_COT]])</f>
        <v>#NAME?</v>
      </c>
      <c r="E12" s="521" t="e">
        <f ca="1">gr(charge_entree[[#This Row],[ch_E_NH4]])</f>
        <v>#NAME?</v>
      </c>
      <c r="F12" s="521" t="e">
        <f ca="1">gr(charge_entree[[#This Row],[ch_E_NTOT]])</f>
        <v>#NAME?</v>
      </c>
      <c r="G12" s="521" t="e">
        <f ca="1">gr(charge_entree[[#This Row],[ch_E_PTOT]])</f>
        <v>#NAME?</v>
      </c>
      <c r="H12" s="521" t="e">
        <f ca="1">gr(charge_entree[[#This Row],[ch_S_DBO]])</f>
        <v>#NAME?</v>
      </c>
      <c r="I12" s="521" t="e">
        <f ca="1">gr(charge_entree[[#This Row],[ch_S-DCO]])</f>
        <v>#NAME?</v>
      </c>
      <c r="J12" s="521" t="e">
        <f ca="1">gr(charge_entree[[#This Row],[ch_S_DOC]])</f>
        <v>#NAME?</v>
      </c>
      <c r="K12" s="521" t="e">
        <f ca="1">gr(charge_entree[[#This Row],[ch_S_NH4]])</f>
        <v>#NAME?</v>
      </c>
      <c r="L12" s="521" t="e">
        <f ca="1">gr(charge_entree[[#This Row],[ch_S_NO2]])</f>
        <v>#NAME?</v>
      </c>
      <c r="M12" s="521" t="e">
        <f ca="1">gr(charge_entree[[#This Row],[ch_S_NO3]])</f>
        <v>#NAME?</v>
      </c>
      <c r="N12" s="521" t="e">
        <f ca="1">gr(charge_entree[[#This Row],[ch_S_PTOT]])</f>
        <v>#NAME?</v>
      </c>
      <c r="O12" s="521" t="e">
        <f ca="1">gr(charge_entree[[#This Row],[ch_S_SNDT]])</f>
        <v>#NAME?</v>
      </c>
    </row>
    <row r="13" spans="1:15" x14ac:dyDescent="0.2">
      <c r="A13" s="222">
        <f>calculs!A13</f>
        <v>44564</v>
      </c>
      <c r="B13" s="521" t="e">
        <f ca="1">gr(charge_entree[[#This Row],[ch_E_DBO5]])</f>
        <v>#NAME?</v>
      </c>
      <c r="C13" s="521" t="e">
        <f ca="1">gr(charge_entree[[#This Row],[ch_E_DCO]])</f>
        <v>#NAME?</v>
      </c>
      <c r="D13" s="521" t="e">
        <f ca="1">gr(charge_entree[[#This Row],[ch_E_COT]])</f>
        <v>#NAME?</v>
      </c>
      <c r="E13" s="521" t="e">
        <f ca="1">gr(charge_entree[[#This Row],[ch_E_NH4]])</f>
        <v>#NAME?</v>
      </c>
      <c r="F13" s="521" t="e">
        <f ca="1">gr(charge_entree[[#This Row],[ch_E_NTOT]])</f>
        <v>#NAME?</v>
      </c>
      <c r="G13" s="521" t="e">
        <f ca="1">gr(charge_entree[[#This Row],[ch_E_PTOT]])</f>
        <v>#NAME?</v>
      </c>
      <c r="H13" s="521" t="e">
        <f ca="1">gr(charge_entree[[#This Row],[ch_S_DBO]])</f>
        <v>#NAME?</v>
      </c>
      <c r="I13" s="521" t="e">
        <f ca="1">gr(charge_entree[[#This Row],[ch_S-DCO]])</f>
        <v>#NAME?</v>
      </c>
      <c r="J13" s="521" t="e">
        <f ca="1">gr(charge_entree[[#This Row],[ch_S_DOC]])</f>
        <v>#NAME?</v>
      </c>
      <c r="K13" s="521" t="e">
        <f ca="1">gr(charge_entree[[#This Row],[ch_S_NH4]])</f>
        <v>#NAME?</v>
      </c>
      <c r="L13" s="521" t="e">
        <f ca="1">gr(charge_entree[[#This Row],[ch_S_NO2]])</f>
        <v>#NAME?</v>
      </c>
      <c r="M13" s="521" t="e">
        <f ca="1">gr(charge_entree[[#This Row],[ch_S_NO3]])</f>
        <v>#NAME?</v>
      </c>
      <c r="N13" s="521" t="e">
        <f ca="1">gr(charge_entree[[#This Row],[ch_S_PTOT]])</f>
        <v>#NAME?</v>
      </c>
      <c r="O13" s="521" t="e">
        <f ca="1">gr(charge_entree[[#This Row],[ch_S_SNDT]])</f>
        <v>#NAME?</v>
      </c>
    </row>
    <row r="14" spans="1:15" x14ac:dyDescent="0.2">
      <c r="A14" s="222">
        <f>calculs!A14</f>
        <v>44565</v>
      </c>
      <c r="B14" s="521" t="e">
        <f ca="1">gr(charge_entree[[#This Row],[ch_E_DBO5]])</f>
        <v>#NAME?</v>
      </c>
      <c r="C14" s="521" t="e">
        <f ca="1">gr(charge_entree[[#This Row],[ch_E_DCO]])</f>
        <v>#NAME?</v>
      </c>
      <c r="D14" s="521" t="e">
        <f ca="1">gr(charge_entree[[#This Row],[ch_E_COT]])</f>
        <v>#NAME?</v>
      </c>
      <c r="E14" s="521" t="e">
        <f ca="1">gr(charge_entree[[#This Row],[ch_E_NH4]])</f>
        <v>#NAME?</v>
      </c>
      <c r="F14" s="521" t="e">
        <f ca="1">gr(charge_entree[[#This Row],[ch_E_NTOT]])</f>
        <v>#NAME?</v>
      </c>
      <c r="G14" s="521" t="e">
        <f ca="1">gr(charge_entree[[#This Row],[ch_E_PTOT]])</f>
        <v>#NAME?</v>
      </c>
      <c r="H14" s="521" t="e">
        <f ca="1">gr(charge_entree[[#This Row],[ch_S_DBO]])</f>
        <v>#NAME?</v>
      </c>
      <c r="I14" s="521" t="e">
        <f ca="1">gr(charge_entree[[#This Row],[ch_S-DCO]])</f>
        <v>#NAME?</v>
      </c>
      <c r="J14" s="521" t="e">
        <f ca="1">gr(charge_entree[[#This Row],[ch_S_DOC]])</f>
        <v>#NAME?</v>
      </c>
      <c r="K14" s="521" t="e">
        <f ca="1">gr(charge_entree[[#This Row],[ch_S_NH4]])</f>
        <v>#NAME?</v>
      </c>
      <c r="L14" s="521" t="e">
        <f ca="1">gr(charge_entree[[#This Row],[ch_S_NO2]])</f>
        <v>#NAME?</v>
      </c>
      <c r="M14" s="521" t="e">
        <f ca="1">gr(charge_entree[[#This Row],[ch_S_NO3]])</f>
        <v>#NAME?</v>
      </c>
      <c r="N14" s="521" t="e">
        <f ca="1">gr(charge_entree[[#This Row],[ch_S_PTOT]])</f>
        <v>#NAME?</v>
      </c>
      <c r="O14" s="521" t="e">
        <f ca="1">gr(charge_entree[[#This Row],[ch_S_SNDT]])</f>
        <v>#NAME?</v>
      </c>
    </row>
    <row r="15" spans="1:15" x14ac:dyDescent="0.2">
      <c r="A15" s="222">
        <f>calculs!A15</f>
        <v>44566</v>
      </c>
      <c r="B15" s="521" t="e">
        <f ca="1">gr(charge_entree[[#This Row],[ch_E_DBO5]])</f>
        <v>#NAME?</v>
      </c>
      <c r="C15" s="521" t="e">
        <f ca="1">gr(charge_entree[[#This Row],[ch_E_DCO]])</f>
        <v>#NAME?</v>
      </c>
      <c r="D15" s="521" t="e">
        <f ca="1">gr(charge_entree[[#This Row],[ch_E_COT]])</f>
        <v>#NAME?</v>
      </c>
      <c r="E15" s="521" t="e">
        <f ca="1">gr(charge_entree[[#This Row],[ch_E_NH4]])</f>
        <v>#NAME?</v>
      </c>
      <c r="F15" s="521" t="e">
        <f ca="1">gr(charge_entree[[#This Row],[ch_E_NTOT]])</f>
        <v>#NAME?</v>
      </c>
      <c r="G15" s="521" t="e">
        <f ca="1">gr(charge_entree[[#This Row],[ch_E_PTOT]])</f>
        <v>#NAME?</v>
      </c>
      <c r="H15" s="521" t="e">
        <f ca="1">gr(charge_entree[[#This Row],[ch_S_DBO]])</f>
        <v>#NAME?</v>
      </c>
      <c r="I15" s="521" t="e">
        <f ca="1">gr(charge_entree[[#This Row],[ch_S-DCO]])</f>
        <v>#NAME?</v>
      </c>
      <c r="J15" s="521" t="e">
        <f ca="1">gr(charge_entree[[#This Row],[ch_S_DOC]])</f>
        <v>#NAME?</v>
      </c>
      <c r="K15" s="521" t="e">
        <f ca="1">gr(charge_entree[[#This Row],[ch_S_NH4]])</f>
        <v>#NAME?</v>
      </c>
      <c r="L15" s="521" t="e">
        <f ca="1">gr(charge_entree[[#This Row],[ch_S_NO2]])</f>
        <v>#NAME?</v>
      </c>
      <c r="M15" s="521" t="e">
        <f ca="1">gr(charge_entree[[#This Row],[ch_S_NO3]])</f>
        <v>#NAME?</v>
      </c>
      <c r="N15" s="521" t="e">
        <f ca="1">gr(charge_entree[[#This Row],[ch_S_PTOT]])</f>
        <v>#NAME?</v>
      </c>
      <c r="O15" s="521" t="e">
        <f ca="1">gr(charge_entree[[#This Row],[ch_S_SNDT]])</f>
        <v>#NAME?</v>
      </c>
    </row>
    <row r="16" spans="1:15" x14ac:dyDescent="0.2">
      <c r="A16" s="222">
        <f>calculs!A16</f>
        <v>44567</v>
      </c>
      <c r="B16" s="521" t="e">
        <f ca="1">gr(charge_entree[[#This Row],[ch_E_DBO5]])</f>
        <v>#NAME?</v>
      </c>
      <c r="C16" s="521" t="e">
        <f ca="1">gr(charge_entree[[#This Row],[ch_E_DCO]])</f>
        <v>#NAME?</v>
      </c>
      <c r="D16" s="521" t="e">
        <f ca="1">gr(charge_entree[[#This Row],[ch_E_COT]])</f>
        <v>#NAME?</v>
      </c>
      <c r="E16" s="521" t="e">
        <f ca="1">gr(charge_entree[[#This Row],[ch_E_NH4]])</f>
        <v>#NAME?</v>
      </c>
      <c r="F16" s="521" t="e">
        <f ca="1">gr(charge_entree[[#This Row],[ch_E_NTOT]])</f>
        <v>#NAME?</v>
      </c>
      <c r="G16" s="521" t="e">
        <f ca="1">gr(charge_entree[[#This Row],[ch_E_PTOT]])</f>
        <v>#NAME?</v>
      </c>
      <c r="H16" s="521" t="e">
        <f ca="1">gr(charge_entree[[#This Row],[ch_S_DBO]])</f>
        <v>#NAME?</v>
      </c>
      <c r="I16" s="521" t="e">
        <f ca="1">gr(charge_entree[[#This Row],[ch_S-DCO]])</f>
        <v>#NAME?</v>
      </c>
      <c r="J16" s="521" t="e">
        <f ca="1">gr(charge_entree[[#This Row],[ch_S_DOC]])</f>
        <v>#NAME?</v>
      </c>
      <c r="K16" s="521" t="e">
        <f ca="1">gr(charge_entree[[#This Row],[ch_S_NH4]])</f>
        <v>#NAME?</v>
      </c>
      <c r="L16" s="521" t="e">
        <f ca="1">gr(charge_entree[[#This Row],[ch_S_NO2]])</f>
        <v>#NAME?</v>
      </c>
      <c r="M16" s="521" t="e">
        <f ca="1">gr(charge_entree[[#This Row],[ch_S_NO3]])</f>
        <v>#NAME?</v>
      </c>
      <c r="N16" s="521" t="e">
        <f ca="1">gr(charge_entree[[#This Row],[ch_S_PTOT]])</f>
        <v>#NAME?</v>
      </c>
      <c r="O16" s="521" t="e">
        <f ca="1">gr(charge_entree[[#This Row],[ch_S_SNDT]])</f>
        <v>#NAME?</v>
      </c>
    </row>
    <row r="17" spans="1:15" x14ac:dyDescent="0.2">
      <c r="A17" s="222">
        <f>calculs!A17</f>
        <v>44568</v>
      </c>
      <c r="B17" s="521" t="e">
        <f ca="1">gr(charge_entree[[#This Row],[ch_E_DBO5]])</f>
        <v>#NAME?</v>
      </c>
      <c r="C17" s="521" t="e">
        <f ca="1">gr(charge_entree[[#This Row],[ch_E_DCO]])</f>
        <v>#NAME?</v>
      </c>
      <c r="D17" s="521" t="e">
        <f ca="1">gr(charge_entree[[#This Row],[ch_E_COT]])</f>
        <v>#NAME?</v>
      </c>
      <c r="E17" s="521" t="e">
        <f ca="1">gr(charge_entree[[#This Row],[ch_E_NH4]])</f>
        <v>#NAME?</v>
      </c>
      <c r="F17" s="521" t="e">
        <f ca="1">gr(charge_entree[[#This Row],[ch_E_NTOT]])</f>
        <v>#NAME?</v>
      </c>
      <c r="G17" s="521" t="e">
        <f ca="1">gr(charge_entree[[#This Row],[ch_E_PTOT]])</f>
        <v>#NAME?</v>
      </c>
      <c r="H17" s="521" t="e">
        <f ca="1">gr(charge_entree[[#This Row],[ch_S_DBO]])</f>
        <v>#NAME?</v>
      </c>
      <c r="I17" s="521" t="e">
        <f ca="1">gr(charge_entree[[#This Row],[ch_S-DCO]])</f>
        <v>#NAME?</v>
      </c>
      <c r="J17" s="521" t="e">
        <f ca="1">gr(charge_entree[[#This Row],[ch_S_DOC]])</f>
        <v>#NAME?</v>
      </c>
      <c r="K17" s="521" t="e">
        <f ca="1">gr(charge_entree[[#This Row],[ch_S_NH4]])</f>
        <v>#NAME?</v>
      </c>
      <c r="L17" s="521" t="e">
        <f ca="1">gr(charge_entree[[#This Row],[ch_S_NO2]])</f>
        <v>#NAME?</v>
      </c>
      <c r="M17" s="521" t="e">
        <f ca="1">gr(charge_entree[[#This Row],[ch_S_NO3]])</f>
        <v>#NAME?</v>
      </c>
      <c r="N17" s="521" t="e">
        <f ca="1">gr(charge_entree[[#This Row],[ch_S_PTOT]])</f>
        <v>#NAME?</v>
      </c>
      <c r="O17" s="521" t="e">
        <f ca="1">gr(charge_entree[[#This Row],[ch_S_SNDT]])</f>
        <v>#NAME?</v>
      </c>
    </row>
    <row r="18" spans="1:15" x14ac:dyDescent="0.2">
      <c r="A18" s="222">
        <f>calculs!A18</f>
        <v>44569</v>
      </c>
      <c r="B18" s="521" t="e">
        <f ca="1">gr(charge_entree[[#This Row],[ch_E_DBO5]])</f>
        <v>#NAME?</v>
      </c>
      <c r="C18" s="521" t="e">
        <f ca="1">gr(charge_entree[[#This Row],[ch_E_DCO]])</f>
        <v>#NAME?</v>
      </c>
      <c r="D18" s="521" t="e">
        <f ca="1">gr(charge_entree[[#This Row],[ch_E_COT]])</f>
        <v>#NAME?</v>
      </c>
      <c r="E18" s="521" t="e">
        <f ca="1">gr(charge_entree[[#This Row],[ch_E_NH4]])</f>
        <v>#NAME?</v>
      </c>
      <c r="F18" s="521" t="e">
        <f ca="1">gr(charge_entree[[#This Row],[ch_E_NTOT]])</f>
        <v>#NAME?</v>
      </c>
      <c r="G18" s="521" t="e">
        <f ca="1">gr(charge_entree[[#This Row],[ch_E_PTOT]])</f>
        <v>#NAME?</v>
      </c>
      <c r="H18" s="521" t="e">
        <f ca="1">gr(charge_entree[[#This Row],[ch_S_DBO]])</f>
        <v>#NAME?</v>
      </c>
      <c r="I18" s="521" t="e">
        <f ca="1">gr(charge_entree[[#This Row],[ch_S-DCO]])</f>
        <v>#NAME?</v>
      </c>
      <c r="J18" s="521" t="e">
        <f ca="1">gr(charge_entree[[#This Row],[ch_S_DOC]])</f>
        <v>#NAME?</v>
      </c>
      <c r="K18" s="521" t="e">
        <f ca="1">gr(charge_entree[[#This Row],[ch_S_NH4]])</f>
        <v>#NAME?</v>
      </c>
      <c r="L18" s="521" t="e">
        <f ca="1">gr(charge_entree[[#This Row],[ch_S_NO2]])</f>
        <v>#NAME?</v>
      </c>
      <c r="M18" s="521" t="e">
        <f ca="1">gr(charge_entree[[#This Row],[ch_S_NO3]])</f>
        <v>#NAME?</v>
      </c>
      <c r="N18" s="521" t="e">
        <f ca="1">gr(charge_entree[[#This Row],[ch_S_PTOT]])</f>
        <v>#NAME?</v>
      </c>
      <c r="O18" s="521" t="e">
        <f ca="1">gr(charge_entree[[#This Row],[ch_S_SNDT]])</f>
        <v>#NAME?</v>
      </c>
    </row>
    <row r="19" spans="1:15" x14ac:dyDescent="0.2">
      <c r="A19" s="222">
        <f>calculs!A19</f>
        <v>44570</v>
      </c>
      <c r="B19" s="521" t="e">
        <f ca="1">gr(charge_entree[[#This Row],[ch_E_DBO5]])</f>
        <v>#NAME?</v>
      </c>
      <c r="C19" s="521" t="e">
        <f ca="1">gr(charge_entree[[#This Row],[ch_E_DCO]])</f>
        <v>#NAME?</v>
      </c>
      <c r="D19" s="521" t="e">
        <f ca="1">gr(charge_entree[[#This Row],[ch_E_COT]])</f>
        <v>#NAME?</v>
      </c>
      <c r="E19" s="521" t="e">
        <f ca="1">gr(charge_entree[[#This Row],[ch_E_NH4]])</f>
        <v>#NAME?</v>
      </c>
      <c r="F19" s="521" t="e">
        <f ca="1">gr(charge_entree[[#This Row],[ch_E_NTOT]])</f>
        <v>#NAME?</v>
      </c>
      <c r="G19" s="521" t="e">
        <f ca="1">gr(charge_entree[[#This Row],[ch_E_PTOT]])</f>
        <v>#NAME?</v>
      </c>
      <c r="H19" s="521" t="e">
        <f ca="1">gr(charge_entree[[#This Row],[ch_S_DBO]])</f>
        <v>#NAME?</v>
      </c>
      <c r="I19" s="521" t="e">
        <f ca="1">gr(charge_entree[[#This Row],[ch_S-DCO]])</f>
        <v>#NAME?</v>
      </c>
      <c r="J19" s="521" t="e">
        <f ca="1">gr(charge_entree[[#This Row],[ch_S_DOC]])</f>
        <v>#NAME?</v>
      </c>
      <c r="K19" s="521" t="e">
        <f ca="1">gr(charge_entree[[#This Row],[ch_S_NH4]])</f>
        <v>#NAME?</v>
      </c>
      <c r="L19" s="521" t="e">
        <f ca="1">gr(charge_entree[[#This Row],[ch_S_NO2]])</f>
        <v>#NAME?</v>
      </c>
      <c r="M19" s="521" t="e">
        <f ca="1">gr(charge_entree[[#This Row],[ch_S_NO3]])</f>
        <v>#NAME?</v>
      </c>
      <c r="N19" s="521" t="e">
        <f ca="1">gr(charge_entree[[#This Row],[ch_S_PTOT]])</f>
        <v>#NAME?</v>
      </c>
      <c r="O19" s="521" t="e">
        <f ca="1">gr(charge_entree[[#This Row],[ch_S_SNDT]])</f>
        <v>#NAME?</v>
      </c>
    </row>
    <row r="20" spans="1:15" x14ac:dyDescent="0.2">
      <c r="A20" s="222">
        <f>calculs!A20</f>
        <v>44571</v>
      </c>
      <c r="B20" s="521" t="e">
        <f ca="1">gr(charge_entree[[#This Row],[ch_E_DBO5]])</f>
        <v>#NAME?</v>
      </c>
      <c r="C20" s="521" t="e">
        <f ca="1">gr(charge_entree[[#This Row],[ch_E_DCO]])</f>
        <v>#NAME?</v>
      </c>
      <c r="D20" s="521" t="e">
        <f ca="1">gr(charge_entree[[#This Row],[ch_E_COT]])</f>
        <v>#NAME?</v>
      </c>
      <c r="E20" s="521" t="e">
        <f ca="1">gr(charge_entree[[#This Row],[ch_E_NH4]])</f>
        <v>#NAME?</v>
      </c>
      <c r="F20" s="521" t="e">
        <f ca="1">gr(charge_entree[[#This Row],[ch_E_NTOT]])</f>
        <v>#NAME?</v>
      </c>
      <c r="G20" s="521" t="e">
        <f ca="1">gr(charge_entree[[#This Row],[ch_E_PTOT]])</f>
        <v>#NAME?</v>
      </c>
      <c r="H20" s="521" t="e">
        <f ca="1">gr(charge_entree[[#This Row],[ch_S_DBO]])</f>
        <v>#NAME?</v>
      </c>
      <c r="I20" s="521" t="e">
        <f ca="1">gr(charge_entree[[#This Row],[ch_S-DCO]])</f>
        <v>#NAME?</v>
      </c>
      <c r="J20" s="521" t="e">
        <f ca="1">gr(charge_entree[[#This Row],[ch_S_DOC]])</f>
        <v>#NAME?</v>
      </c>
      <c r="K20" s="521" t="e">
        <f ca="1">gr(charge_entree[[#This Row],[ch_S_NH4]])</f>
        <v>#NAME?</v>
      </c>
      <c r="L20" s="521" t="e">
        <f ca="1">gr(charge_entree[[#This Row],[ch_S_NO2]])</f>
        <v>#NAME?</v>
      </c>
      <c r="M20" s="521" t="e">
        <f ca="1">gr(charge_entree[[#This Row],[ch_S_NO3]])</f>
        <v>#NAME?</v>
      </c>
      <c r="N20" s="521" t="e">
        <f ca="1">gr(charge_entree[[#This Row],[ch_S_PTOT]])</f>
        <v>#NAME?</v>
      </c>
      <c r="O20" s="521" t="e">
        <f ca="1">gr(charge_entree[[#This Row],[ch_S_SNDT]])</f>
        <v>#NAME?</v>
      </c>
    </row>
    <row r="21" spans="1:15" x14ac:dyDescent="0.2">
      <c r="A21" s="222">
        <f>calculs!A21</f>
        <v>44572</v>
      </c>
      <c r="B21" s="521" t="e">
        <f ca="1">gr(charge_entree[[#This Row],[ch_E_DBO5]])</f>
        <v>#NAME?</v>
      </c>
      <c r="C21" s="521" t="e">
        <f ca="1">gr(charge_entree[[#This Row],[ch_E_DCO]])</f>
        <v>#NAME?</v>
      </c>
      <c r="D21" s="521" t="e">
        <f ca="1">gr(charge_entree[[#This Row],[ch_E_COT]])</f>
        <v>#NAME?</v>
      </c>
      <c r="E21" s="521" t="e">
        <f ca="1">gr(charge_entree[[#This Row],[ch_E_NH4]])</f>
        <v>#NAME?</v>
      </c>
      <c r="F21" s="521" t="e">
        <f ca="1">gr(charge_entree[[#This Row],[ch_E_NTOT]])</f>
        <v>#NAME?</v>
      </c>
      <c r="G21" s="521" t="e">
        <f ca="1">gr(charge_entree[[#This Row],[ch_E_PTOT]])</f>
        <v>#NAME?</v>
      </c>
      <c r="H21" s="521" t="e">
        <f ca="1">gr(charge_entree[[#This Row],[ch_S_DBO]])</f>
        <v>#NAME?</v>
      </c>
      <c r="I21" s="521" t="e">
        <f ca="1">gr(charge_entree[[#This Row],[ch_S-DCO]])</f>
        <v>#NAME?</v>
      </c>
      <c r="J21" s="521" t="e">
        <f ca="1">gr(charge_entree[[#This Row],[ch_S_DOC]])</f>
        <v>#NAME?</v>
      </c>
      <c r="K21" s="521" t="e">
        <f ca="1">gr(charge_entree[[#This Row],[ch_S_NH4]])</f>
        <v>#NAME?</v>
      </c>
      <c r="L21" s="521" t="e">
        <f ca="1">gr(charge_entree[[#This Row],[ch_S_NO2]])</f>
        <v>#NAME?</v>
      </c>
      <c r="M21" s="521" t="e">
        <f ca="1">gr(charge_entree[[#This Row],[ch_S_NO3]])</f>
        <v>#NAME?</v>
      </c>
      <c r="N21" s="521" t="e">
        <f ca="1">gr(charge_entree[[#This Row],[ch_S_PTOT]])</f>
        <v>#NAME?</v>
      </c>
      <c r="O21" s="521" t="e">
        <f ca="1">gr(charge_entree[[#This Row],[ch_S_SNDT]])</f>
        <v>#NAME?</v>
      </c>
    </row>
    <row r="22" spans="1:15" x14ac:dyDescent="0.2">
      <c r="A22" s="222">
        <f>calculs!A22</f>
        <v>44573</v>
      </c>
      <c r="B22" s="521" t="e">
        <f ca="1">gr(charge_entree[[#This Row],[ch_E_DBO5]])</f>
        <v>#NAME?</v>
      </c>
      <c r="C22" s="521" t="e">
        <f ca="1">gr(charge_entree[[#This Row],[ch_E_DCO]])</f>
        <v>#NAME?</v>
      </c>
      <c r="D22" s="521" t="e">
        <f ca="1">gr(charge_entree[[#This Row],[ch_E_COT]])</f>
        <v>#NAME?</v>
      </c>
      <c r="E22" s="521" t="e">
        <f ca="1">gr(charge_entree[[#This Row],[ch_E_NH4]])</f>
        <v>#NAME?</v>
      </c>
      <c r="F22" s="521" t="e">
        <f ca="1">gr(charge_entree[[#This Row],[ch_E_NTOT]])</f>
        <v>#NAME?</v>
      </c>
      <c r="G22" s="521" t="e">
        <f ca="1">gr(charge_entree[[#This Row],[ch_E_PTOT]])</f>
        <v>#NAME?</v>
      </c>
      <c r="H22" s="521" t="e">
        <f ca="1">gr(charge_entree[[#This Row],[ch_S_DBO]])</f>
        <v>#NAME?</v>
      </c>
      <c r="I22" s="521" t="e">
        <f ca="1">gr(charge_entree[[#This Row],[ch_S-DCO]])</f>
        <v>#NAME?</v>
      </c>
      <c r="J22" s="521" t="e">
        <f ca="1">gr(charge_entree[[#This Row],[ch_S_DOC]])</f>
        <v>#NAME?</v>
      </c>
      <c r="K22" s="521" t="e">
        <f ca="1">gr(charge_entree[[#This Row],[ch_S_NH4]])</f>
        <v>#NAME?</v>
      </c>
      <c r="L22" s="521" t="e">
        <f ca="1">gr(charge_entree[[#This Row],[ch_S_NO2]])</f>
        <v>#NAME?</v>
      </c>
      <c r="M22" s="521" t="e">
        <f ca="1">gr(charge_entree[[#This Row],[ch_S_NO3]])</f>
        <v>#NAME?</v>
      </c>
      <c r="N22" s="521" t="e">
        <f ca="1">gr(charge_entree[[#This Row],[ch_S_PTOT]])</f>
        <v>#NAME?</v>
      </c>
      <c r="O22" s="521" t="e">
        <f ca="1">gr(charge_entree[[#This Row],[ch_S_SNDT]])</f>
        <v>#NAME?</v>
      </c>
    </row>
    <row r="23" spans="1:15" x14ac:dyDescent="0.2">
      <c r="A23" s="222">
        <f>calculs!A23</f>
        <v>44574</v>
      </c>
      <c r="B23" s="521" t="e">
        <f ca="1">gr(charge_entree[[#This Row],[ch_E_DBO5]])</f>
        <v>#NAME?</v>
      </c>
      <c r="C23" s="521" t="e">
        <f ca="1">gr(charge_entree[[#This Row],[ch_E_DCO]])</f>
        <v>#NAME?</v>
      </c>
      <c r="D23" s="521" t="e">
        <f ca="1">gr(charge_entree[[#This Row],[ch_E_COT]])</f>
        <v>#NAME?</v>
      </c>
      <c r="E23" s="521" t="e">
        <f ca="1">gr(charge_entree[[#This Row],[ch_E_NH4]])</f>
        <v>#NAME?</v>
      </c>
      <c r="F23" s="521" t="e">
        <f ca="1">gr(charge_entree[[#This Row],[ch_E_NTOT]])</f>
        <v>#NAME?</v>
      </c>
      <c r="G23" s="521" t="e">
        <f ca="1">gr(charge_entree[[#This Row],[ch_E_PTOT]])</f>
        <v>#NAME?</v>
      </c>
      <c r="H23" s="521" t="e">
        <f ca="1">gr(charge_entree[[#This Row],[ch_S_DBO]])</f>
        <v>#NAME?</v>
      </c>
      <c r="I23" s="521" t="e">
        <f ca="1">gr(charge_entree[[#This Row],[ch_S-DCO]])</f>
        <v>#NAME?</v>
      </c>
      <c r="J23" s="521" t="e">
        <f ca="1">gr(charge_entree[[#This Row],[ch_S_DOC]])</f>
        <v>#NAME?</v>
      </c>
      <c r="K23" s="521" t="e">
        <f ca="1">gr(charge_entree[[#This Row],[ch_S_NH4]])</f>
        <v>#NAME?</v>
      </c>
      <c r="L23" s="521" t="e">
        <f ca="1">gr(charge_entree[[#This Row],[ch_S_NO2]])</f>
        <v>#NAME?</v>
      </c>
      <c r="M23" s="521" t="e">
        <f ca="1">gr(charge_entree[[#This Row],[ch_S_NO3]])</f>
        <v>#NAME?</v>
      </c>
      <c r="N23" s="521" t="e">
        <f ca="1">gr(charge_entree[[#This Row],[ch_S_PTOT]])</f>
        <v>#NAME?</v>
      </c>
      <c r="O23" s="521" t="e">
        <f ca="1">gr(charge_entree[[#This Row],[ch_S_SNDT]])</f>
        <v>#NAME?</v>
      </c>
    </row>
    <row r="24" spans="1:15" x14ac:dyDescent="0.2">
      <c r="A24" s="222">
        <f>calculs!A24</f>
        <v>44575</v>
      </c>
      <c r="B24" s="521" t="e">
        <f ca="1">gr(charge_entree[[#This Row],[ch_E_DBO5]])</f>
        <v>#NAME?</v>
      </c>
      <c r="C24" s="521" t="e">
        <f ca="1">gr(charge_entree[[#This Row],[ch_E_DCO]])</f>
        <v>#NAME?</v>
      </c>
      <c r="D24" s="521" t="e">
        <f ca="1">gr(charge_entree[[#This Row],[ch_E_COT]])</f>
        <v>#NAME?</v>
      </c>
      <c r="E24" s="521" t="e">
        <f ca="1">gr(charge_entree[[#This Row],[ch_E_NH4]])</f>
        <v>#NAME?</v>
      </c>
      <c r="F24" s="521" t="e">
        <f ca="1">gr(charge_entree[[#This Row],[ch_E_NTOT]])</f>
        <v>#NAME?</v>
      </c>
      <c r="G24" s="521" t="e">
        <f ca="1">gr(charge_entree[[#This Row],[ch_E_PTOT]])</f>
        <v>#NAME?</v>
      </c>
      <c r="H24" s="521" t="e">
        <f ca="1">gr(charge_entree[[#This Row],[ch_S_DBO]])</f>
        <v>#NAME?</v>
      </c>
      <c r="I24" s="521" t="e">
        <f ca="1">gr(charge_entree[[#This Row],[ch_S-DCO]])</f>
        <v>#NAME?</v>
      </c>
      <c r="J24" s="521" t="e">
        <f ca="1">gr(charge_entree[[#This Row],[ch_S_DOC]])</f>
        <v>#NAME?</v>
      </c>
      <c r="K24" s="521" t="e">
        <f ca="1">gr(charge_entree[[#This Row],[ch_S_NH4]])</f>
        <v>#NAME?</v>
      </c>
      <c r="L24" s="521" t="e">
        <f ca="1">gr(charge_entree[[#This Row],[ch_S_NO2]])</f>
        <v>#NAME?</v>
      </c>
      <c r="M24" s="521" t="e">
        <f ca="1">gr(charge_entree[[#This Row],[ch_S_NO3]])</f>
        <v>#NAME?</v>
      </c>
      <c r="N24" s="521" t="e">
        <f ca="1">gr(charge_entree[[#This Row],[ch_S_PTOT]])</f>
        <v>#NAME?</v>
      </c>
      <c r="O24" s="521" t="e">
        <f ca="1">gr(charge_entree[[#This Row],[ch_S_SNDT]])</f>
        <v>#NAME?</v>
      </c>
    </row>
    <row r="25" spans="1:15" x14ac:dyDescent="0.2">
      <c r="A25" s="222">
        <f>calculs!A25</f>
        <v>44576</v>
      </c>
      <c r="B25" s="521" t="e">
        <f ca="1">gr(charge_entree[[#This Row],[ch_E_DBO5]])</f>
        <v>#NAME?</v>
      </c>
      <c r="C25" s="521" t="e">
        <f ca="1">gr(charge_entree[[#This Row],[ch_E_DCO]])</f>
        <v>#NAME?</v>
      </c>
      <c r="D25" s="521" t="e">
        <f ca="1">gr(charge_entree[[#This Row],[ch_E_COT]])</f>
        <v>#NAME?</v>
      </c>
      <c r="E25" s="521" t="e">
        <f ca="1">gr(charge_entree[[#This Row],[ch_E_NH4]])</f>
        <v>#NAME?</v>
      </c>
      <c r="F25" s="521" t="e">
        <f ca="1">gr(charge_entree[[#This Row],[ch_E_NTOT]])</f>
        <v>#NAME?</v>
      </c>
      <c r="G25" s="521" t="e">
        <f ca="1">gr(charge_entree[[#This Row],[ch_E_PTOT]])</f>
        <v>#NAME?</v>
      </c>
      <c r="H25" s="521" t="e">
        <f ca="1">gr(charge_entree[[#This Row],[ch_S_DBO]])</f>
        <v>#NAME?</v>
      </c>
      <c r="I25" s="521" t="e">
        <f ca="1">gr(charge_entree[[#This Row],[ch_S-DCO]])</f>
        <v>#NAME?</v>
      </c>
      <c r="J25" s="521" t="e">
        <f ca="1">gr(charge_entree[[#This Row],[ch_S_DOC]])</f>
        <v>#NAME?</v>
      </c>
      <c r="K25" s="521" t="e">
        <f ca="1">gr(charge_entree[[#This Row],[ch_S_NH4]])</f>
        <v>#NAME?</v>
      </c>
      <c r="L25" s="521" t="e">
        <f ca="1">gr(charge_entree[[#This Row],[ch_S_NO2]])</f>
        <v>#NAME?</v>
      </c>
      <c r="M25" s="521" t="e">
        <f ca="1">gr(charge_entree[[#This Row],[ch_S_NO3]])</f>
        <v>#NAME?</v>
      </c>
      <c r="N25" s="521" t="e">
        <f ca="1">gr(charge_entree[[#This Row],[ch_S_PTOT]])</f>
        <v>#NAME?</v>
      </c>
      <c r="O25" s="521" t="e">
        <f ca="1">gr(charge_entree[[#This Row],[ch_S_SNDT]])</f>
        <v>#NAME?</v>
      </c>
    </row>
    <row r="26" spans="1:15" x14ac:dyDescent="0.2">
      <c r="A26" s="222">
        <f>calculs!A26</f>
        <v>44577</v>
      </c>
      <c r="B26" s="521" t="e">
        <f ca="1">gr(charge_entree[[#This Row],[ch_E_DBO5]])</f>
        <v>#NAME?</v>
      </c>
      <c r="C26" s="521" t="e">
        <f ca="1">gr(charge_entree[[#This Row],[ch_E_DCO]])</f>
        <v>#NAME?</v>
      </c>
      <c r="D26" s="521" t="e">
        <f ca="1">gr(charge_entree[[#This Row],[ch_E_COT]])</f>
        <v>#NAME?</v>
      </c>
      <c r="E26" s="521" t="e">
        <f ca="1">gr(charge_entree[[#This Row],[ch_E_NH4]])</f>
        <v>#NAME?</v>
      </c>
      <c r="F26" s="521" t="e">
        <f ca="1">gr(charge_entree[[#This Row],[ch_E_NTOT]])</f>
        <v>#NAME?</v>
      </c>
      <c r="G26" s="521" t="e">
        <f ca="1">gr(charge_entree[[#This Row],[ch_E_PTOT]])</f>
        <v>#NAME?</v>
      </c>
      <c r="H26" s="521" t="e">
        <f ca="1">gr(charge_entree[[#This Row],[ch_S_DBO]])</f>
        <v>#NAME?</v>
      </c>
      <c r="I26" s="521" t="e">
        <f ca="1">gr(charge_entree[[#This Row],[ch_S-DCO]])</f>
        <v>#NAME?</v>
      </c>
      <c r="J26" s="521" t="e">
        <f ca="1">gr(charge_entree[[#This Row],[ch_S_DOC]])</f>
        <v>#NAME?</v>
      </c>
      <c r="K26" s="521" t="e">
        <f ca="1">gr(charge_entree[[#This Row],[ch_S_NH4]])</f>
        <v>#NAME?</v>
      </c>
      <c r="L26" s="521" t="e">
        <f ca="1">gr(charge_entree[[#This Row],[ch_S_NO2]])</f>
        <v>#NAME?</v>
      </c>
      <c r="M26" s="521" t="e">
        <f ca="1">gr(charge_entree[[#This Row],[ch_S_NO3]])</f>
        <v>#NAME?</v>
      </c>
      <c r="N26" s="521" t="e">
        <f ca="1">gr(charge_entree[[#This Row],[ch_S_PTOT]])</f>
        <v>#NAME?</v>
      </c>
      <c r="O26" s="521" t="e">
        <f ca="1">gr(charge_entree[[#This Row],[ch_S_SNDT]])</f>
        <v>#NAME?</v>
      </c>
    </row>
    <row r="27" spans="1:15" x14ac:dyDescent="0.2">
      <c r="A27" s="222">
        <f>calculs!A27</f>
        <v>44578</v>
      </c>
      <c r="B27" s="521" t="e">
        <f ca="1">gr(charge_entree[[#This Row],[ch_E_DBO5]])</f>
        <v>#NAME?</v>
      </c>
      <c r="C27" s="521" t="e">
        <f ca="1">gr(charge_entree[[#This Row],[ch_E_DCO]])</f>
        <v>#NAME?</v>
      </c>
      <c r="D27" s="521" t="e">
        <f ca="1">gr(charge_entree[[#This Row],[ch_E_COT]])</f>
        <v>#NAME?</v>
      </c>
      <c r="E27" s="521" t="e">
        <f ca="1">gr(charge_entree[[#This Row],[ch_E_NH4]])</f>
        <v>#NAME?</v>
      </c>
      <c r="F27" s="521" t="e">
        <f ca="1">gr(charge_entree[[#This Row],[ch_E_NTOT]])</f>
        <v>#NAME?</v>
      </c>
      <c r="G27" s="521" t="e">
        <f ca="1">gr(charge_entree[[#This Row],[ch_E_PTOT]])</f>
        <v>#NAME?</v>
      </c>
      <c r="H27" s="521" t="e">
        <f ca="1">gr(charge_entree[[#This Row],[ch_S_DBO]])</f>
        <v>#NAME?</v>
      </c>
      <c r="I27" s="521" t="e">
        <f ca="1">gr(charge_entree[[#This Row],[ch_S-DCO]])</f>
        <v>#NAME?</v>
      </c>
      <c r="J27" s="521" t="e">
        <f ca="1">gr(charge_entree[[#This Row],[ch_S_DOC]])</f>
        <v>#NAME?</v>
      </c>
      <c r="K27" s="521" t="e">
        <f ca="1">gr(charge_entree[[#This Row],[ch_S_NH4]])</f>
        <v>#NAME?</v>
      </c>
      <c r="L27" s="521" t="e">
        <f ca="1">gr(charge_entree[[#This Row],[ch_S_NO2]])</f>
        <v>#NAME?</v>
      </c>
      <c r="M27" s="521" t="e">
        <f ca="1">gr(charge_entree[[#This Row],[ch_S_NO3]])</f>
        <v>#NAME?</v>
      </c>
      <c r="N27" s="521" t="e">
        <f ca="1">gr(charge_entree[[#This Row],[ch_S_PTOT]])</f>
        <v>#NAME?</v>
      </c>
      <c r="O27" s="521" t="e">
        <f ca="1">gr(charge_entree[[#This Row],[ch_S_SNDT]])</f>
        <v>#NAME?</v>
      </c>
    </row>
    <row r="28" spans="1:15" x14ac:dyDescent="0.2">
      <c r="A28" s="222">
        <f>calculs!A28</f>
        <v>44579</v>
      </c>
      <c r="B28" s="521" t="e">
        <f ca="1">gr(charge_entree[[#This Row],[ch_E_DBO5]])</f>
        <v>#NAME?</v>
      </c>
      <c r="C28" s="521" t="e">
        <f ca="1">gr(charge_entree[[#This Row],[ch_E_DCO]])</f>
        <v>#NAME?</v>
      </c>
      <c r="D28" s="521" t="e">
        <f ca="1">gr(charge_entree[[#This Row],[ch_E_COT]])</f>
        <v>#NAME?</v>
      </c>
      <c r="E28" s="521" t="e">
        <f ca="1">gr(charge_entree[[#This Row],[ch_E_NH4]])</f>
        <v>#NAME?</v>
      </c>
      <c r="F28" s="521" t="e">
        <f ca="1">gr(charge_entree[[#This Row],[ch_E_NTOT]])</f>
        <v>#NAME?</v>
      </c>
      <c r="G28" s="521" t="e">
        <f ca="1">gr(charge_entree[[#This Row],[ch_E_PTOT]])</f>
        <v>#NAME?</v>
      </c>
      <c r="H28" s="521" t="e">
        <f ca="1">gr(charge_entree[[#This Row],[ch_S_DBO]])</f>
        <v>#NAME?</v>
      </c>
      <c r="I28" s="521" t="e">
        <f ca="1">gr(charge_entree[[#This Row],[ch_S-DCO]])</f>
        <v>#NAME?</v>
      </c>
      <c r="J28" s="521" t="e">
        <f ca="1">gr(charge_entree[[#This Row],[ch_S_DOC]])</f>
        <v>#NAME?</v>
      </c>
      <c r="K28" s="521" t="e">
        <f ca="1">gr(charge_entree[[#This Row],[ch_S_NH4]])</f>
        <v>#NAME?</v>
      </c>
      <c r="L28" s="521" t="e">
        <f ca="1">gr(charge_entree[[#This Row],[ch_S_NO2]])</f>
        <v>#NAME?</v>
      </c>
      <c r="M28" s="521" t="e">
        <f ca="1">gr(charge_entree[[#This Row],[ch_S_NO3]])</f>
        <v>#NAME?</v>
      </c>
      <c r="N28" s="521" t="e">
        <f ca="1">gr(charge_entree[[#This Row],[ch_S_PTOT]])</f>
        <v>#NAME?</v>
      </c>
      <c r="O28" s="521" t="e">
        <f ca="1">gr(charge_entree[[#This Row],[ch_S_SNDT]])</f>
        <v>#NAME?</v>
      </c>
    </row>
    <row r="29" spans="1:15" x14ac:dyDescent="0.2">
      <c r="A29" s="222">
        <f>calculs!A29</f>
        <v>44580</v>
      </c>
      <c r="B29" s="521" t="e">
        <f ca="1">gr(charge_entree[[#This Row],[ch_E_DBO5]])</f>
        <v>#NAME?</v>
      </c>
      <c r="C29" s="521" t="e">
        <f ca="1">gr(charge_entree[[#This Row],[ch_E_DCO]])</f>
        <v>#NAME?</v>
      </c>
      <c r="D29" s="521" t="e">
        <f ca="1">gr(charge_entree[[#This Row],[ch_E_COT]])</f>
        <v>#NAME?</v>
      </c>
      <c r="E29" s="521" t="e">
        <f ca="1">gr(charge_entree[[#This Row],[ch_E_NH4]])</f>
        <v>#NAME?</v>
      </c>
      <c r="F29" s="521" t="e">
        <f ca="1">gr(charge_entree[[#This Row],[ch_E_NTOT]])</f>
        <v>#NAME?</v>
      </c>
      <c r="G29" s="521" t="e">
        <f ca="1">gr(charge_entree[[#This Row],[ch_E_PTOT]])</f>
        <v>#NAME?</v>
      </c>
      <c r="H29" s="521" t="e">
        <f ca="1">gr(charge_entree[[#This Row],[ch_S_DBO]])</f>
        <v>#NAME?</v>
      </c>
      <c r="I29" s="521" t="e">
        <f ca="1">gr(charge_entree[[#This Row],[ch_S-DCO]])</f>
        <v>#NAME?</v>
      </c>
      <c r="J29" s="521" t="e">
        <f ca="1">gr(charge_entree[[#This Row],[ch_S_DOC]])</f>
        <v>#NAME?</v>
      </c>
      <c r="K29" s="521" t="e">
        <f ca="1">gr(charge_entree[[#This Row],[ch_S_NH4]])</f>
        <v>#NAME?</v>
      </c>
      <c r="L29" s="521" t="e">
        <f ca="1">gr(charge_entree[[#This Row],[ch_S_NO2]])</f>
        <v>#NAME?</v>
      </c>
      <c r="M29" s="521" t="e">
        <f ca="1">gr(charge_entree[[#This Row],[ch_S_NO3]])</f>
        <v>#NAME?</v>
      </c>
      <c r="N29" s="521" t="e">
        <f ca="1">gr(charge_entree[[#This Row],[ch_S_PTOT]])</f>
        <v>#NAME?</v>
      </c>
      <c r="O29" s="521" t="e">
        <f ca="1">gr(charge_entree[[#This Row],[ch_S_SNDT]])</f>
        <v>#NAME?</v>
      </c>
    </row>
    <row r="30" spans="1:15" x14ac:dyDescent="0.2">
      <c r="A30" s="222">
        <f>calculs!A30</f>
        <v>44581</v>
      </c>
      <c r="B30" s="521" t="e">
        <f ca="1">gr(charge_entree[[#This Row],[ch_E_DBO5]])</f>
        <v>#NAME?</v>
      </c>
      <c r="C30" s="521" t="e">
        <f ca="1">gr(charge_entree[[#This Row],[ch_E_DCO]])</f>
        <v>#NAME?</v>
      </c>
      <c r="D30" s="521" t="e">
        <f ca="1">gr(charge_entree[[#This Row],[ch_E_COT]])</f>
        <v>#NAME?</v>
      </c>
      <c r="E30" s="521" t="e">
        <f ca="1">gr(charge_entree[[#This Row],[ch_E_NH4]])</f>
        <v>#NAME?</v>
      </c>
      <c r="F30" s="521" t="e">
        <f ca="1">gr(charge_entree[[#This Row],[ch_E_NTOT]])</f>
        <v>#NAME?</v>
      </c>
      <c r="G30" s="521" t="e">
        <f ca="1">gr(charge_entree[[#This Row],[ch_E_PTOT]])</f>
        <v>#NAME?</v>
      </c>
      <c r="H30" s="521" t="e">
        <f ca="1">gr(charge_entree[[#This Row],[ch_S_DBO]])</f>
        <v>#NAME?</v>
      </c>
      <c r="I30" s="521" t="e">
        <f ca="1">gr(charge_entree[[#This Row],[ch_S-DCO]])</f>
        <v>#NAME?</v>
      </c>
      <c r="J30" s="521" t="e">
        <f ca="1">gr(charge_entree[[#This Row],[ch_S_DOC]])</f>
        <v>#NAME?</v>
      </c>
      <c r="K30" s="521" t="e">
        <f ca="1">gr(charge_entree[[#This Row],[ch_S_NH4]])</f>
        <v>#NAME?</v>
      </c>
      <c r="L30" s="521" t="e">
        <f ca="1">gr(charge_entree[[#This Row],[ch_S_NO2]])</f>
        <v>#NAME?</v>
      </c>
      <c r="M30" s="521" t="e">
        <f ca="1">gr(charge_entree[[#This Row],[ch_S_NO3]])</f>
        <v>#NAME?</v>
      </c>
      <c r="N30" s="521" t="e">
        <f ca="1">gr(charge_entree[[#This Row],[ch_S_PTOT]])</f>
        <v>#NAME?</v>
      </c>
      <c r="O30" s="521" t="e">
        <f ca="1">gr(charge_entree[[#This Row],[ch_S_SNDT]])</f>
        <v>#NAME?</v>
      </c>
    </row>
    <row r="31" spans="1:15" x14ac:dyDescent="0.2">
      <c r="A31" s="222">
        <f>calculs!A31</f>
        <v>44582</v>
      </c>
      <c r="B31" s="521" t="e">
        <f ca="1">gr(charge_entree[[#This Row],[ch_E_DBO5]])</f>
        <v>#NAME?</v>
      </c>
      <c r="C31" s="521" t="e">
        <f ca="1">gr(charge_entree[[#This Row],[ch_E_DCO]])</f>
        <v>#NAME?</v>
      </c>
      <c r="D31" s="521" t="e">
        <f ca="1">gr(charge_entree[[#This Row],[ch_E_COT]])</f>
        <v>#NAME?</v>
      </c>
      <c r="E31" s="521" t="e">
        <f ca="1">gr(charge_entree[[#This Row],[ch_E_NH4]])</f>
        <v>#NAME?</v>
      </c>
      <c r="F31" s="521" t="e">
        <f ca="1">gr(charge_entree[[#This Row],[ch_E_NTOT]])</f>
        <v>#NAME?</v>
      </c>
      <c r="G31" s="521" t="e">
        <f ca="1">gr(charge_entree[[#This Row],[ch_E_PTOT]])</f>
        <v>#NAME?</v>
      </c>
      <c r="H31" s="521" t="e">
        <f ca="1">gr(charge_entree[[#This Row],[ch_S_DBO]])</f>
        <v>#NAME?</v>
      </c>
      <c r="I31" s="521" t="e">
        <f ca="1">gr(charge_entree[[#This Row],[ch_S-DCO]])</f>
        <v>#NAME?</v>
      </c>
      <c r="J31" s="521" t="e">
        <f ca="1">gr(charge_entree[[#This Row],[ch_S_DOC]])</f>
        <v>#NAME?</v>
      </c>
      <c r="K31" s="521" t="e">
        <f ca="1">gr(charge_entree[[#This Row],[ch_S_NH4]])</f>
        <v>#NAME?</v>
      </c>
      <c r="L31" s="521" t="e">
        <f ca="1">gr(charge_entree[[#This Row],[ch_S_NO2]])</f>
        <v>#NAME?</v>
      </c>
      <c r="M31" s="521" t="e">
        <f ca="1">gr(charge_entree[[#This Row],[ch_S_NO3]])</f>
        <v>#NAME?</v>
      </c>
      <c r="N31" s="521" t="e">
        <f ca="1">gr(charge_entree[[#This Row],[ch_S_PTOT]])</f>
        <v>#NAME?</v>
      </c>
      <c r="O31" s="521" t="e">
        <f ca="1">gr(charge_entree[[#This Row],[ch_S_SNDT]])</f>
        <v>#NAME?</v>
      </c>
    </row>
    <row r="32" spans="1:15" x14ac:dyDescent="0.2">
      <c r="A32" s="222">
        <f>calculs!A32</f>
        <v>44583</v>
      </c>
      <c r="B32" s="521" t="e">
        <f ca="1">gr(charge_entree[[#This Row],[ch_E_DBO5]])</f>
        <v>#NAME?</v>
      </c>
      <c r="C32" s="521" t="e">
        <f ca="1">gr(charge_entree[[#This Row],[ch_E_DCO]])</f>
        <v>#NAME?</v>
      </c>
      <c r="D32" s="521" t="e">
        <f ca="1">gr(charge_entree[[#This Row],[ch_E_COT]])</f>
        <v>#NAME?</v>
      </c>
      <c r="E32" s="521" t="e">
        <f ca="1">gr(charge_entree[[#This Row],[ch_E_NH4]])</f>
        <v>#NAME?</v>
      </c>
      <c r="F32" s="521" t="e">
        <f ca="1">gr(charge_entree[[#This Row],[ch_E_NTOT]])</f>
        <v>#NAME?</v>
      </c>
      <c r="G32" s="521" t="e">
        <f ca="1">gr(charge_entree[[#This Row],[ch_E_PTOT]])</f>
        <v>#NAME?</v>
      </c>
      <c r="H32" s="521" t="e">
        <f ca="1">gr(charge_entree[[#This Row],[ch_S_DBO]])</f>
        <v>#NAME?</v>
      </c>
      <c r="I32" s="521" t="e">
        <f ca="1">gr(charge_entree[[#This Row],[ch_S-DCO]])</f>
        <v>#NAME?</v>
      </c>
      <c r="J32" s="521" t="e">
        <f ca="1">gr(charge_entree[[#This Row],[ch_S_DOC]])</f>
        <v>#NAME?</v>
      </c>
      <c r="K32" s="521" t="e">
        <f ca="1">gr(charge_entree[[#This Row],[ch_S_NH4]])</f>
        <v>#NAME?</v>
      </c>
      <c r="L32" s="521" t="e">
        <f ca="1">gr(charge_entree[[#This Row],[ch_S_NO2]])</f>
        <v>#NAME?</v>
      </c>
      <c r="M32" s="521" t="e">
        <f ca="1">gr(charge_entree[[#This Row],[ch_S_NO3]])</f>
        <v>#NAME?</v>
      </c>
      <c r="N32" s="521" t="e">
        <f ca="1">gr(charge_entree[[#This Row],[ch_S_PTOT]])</f>
        <v>#NAME?</v>
      </c>
      <c r="O32" s="521" t="e">
        <f ca="1">gr(charge_entree[[#This Row],[ch_S_SNDT]])</f>
        <v>#NAME?</v>
      </c>
    </row>
    <row r="33" spans="1:15" x14ac:dyDescent="0.2">
      <c r="A33" s="222">
        <f>calculs!A33</f>
        <v>44584</v>
      </c>
      <c r="B33" s="521" t="e">
        <f ca="1">gr(charge_entree[[#This Row],[ch_E_DBO5]])</f>
        <v>#NAME?</v>
      </c>
      <c r="C33" s="521" t="e">
        <f ca="1">gr(charge_entree[[#This Row],[ch_E_DCO]])</f>
        <v>#NAME?</v>
      </c>
      <c r="D33" s="521" t="e">
        <f ca="1">gr(charge_entree[[#This Row],[ch_E_COT]])</f>
        <v>#NAME?</v>
      </c>
      <c r="E33" s="521" t="e">
        <f ca="1">gr(charge_entree[[#This Row],[ch_E_NH4]])</f>
        <v>#NAME?</v>
      </c>
      <c r="F33" s="521" t="e">
        <f ca="1">gr(charge_entree[[#This Row],[ch_E_NTOT]])</f>
        <v>#NAME?</v>
      </c>
      <c r="G33" s="521" t="e">
        <f ca="1">gr(charge_entree[[#This Row],[ch_E_PTOT]])</f>
        <v>#NAME?</v>
      </c>
      <c r="H33" s="521" t="e">
        <f ca="1">gr(charge_entree[[#This Row],[ch_S_DBO]])</f>
        <v>#NAME?</v>
      </c>
      <c r="I33" s="521" t="e">
        <f ca="1">gr(charge_entree[[#This Row],[ch_S-DCO]])</f>
        <v>#NAME?</v>
      </c>
      <c r="J33" s="521" t="e">
        <f ca="1">gr(charge_entree[[#This Row],[ch_S_DOC]])</f>
        <v>#NAME?</v>
      </c>
      <c r="K33" s="521" t="e">
        <f ca="1">gr(charge_entree[[#This Row],[ch_S_NH4]])</f>
        <v>#NAME?</v>
      </c>
      <c r="L33" s="521" t="e">
        <f ca="1">gr(charge_entree[[#This Row],[ch_S_NO2]])</f>
        <v>#NAME?</v>
      </c>
      <c r="M33" s="521" t="e">
        <f ca="1">gr(charge_entree[[#This Row],[ch_S_NO3]])</f>
        <v>#NAME?</v>
      </c>
      <c r="N33" s="521" t="e">
        <f ca="1">gr(charge_entree[[#This Row],[ch_S_PTOT]])</f>
        <v>#NAME?</v>
      </c>
      <c r="O33" s="521" t="e">
        <f ca="1">gr(charge_entree[[#This Row],[ch_S_SNDT]])</f>
        <v>#NAME?</v>
      </c>
    </row>
    <row r="34" spans="1:15" x14ac:dyDescent="0.2">
      <c r="A34" s="222">
        <f>calculs!A34</f>
        <v>44585</v>
      </c>
      <c r="B34" s="521" t="e">
        <f ca="1">gr(charge_entree[[#This Row],[ch_E_DBO5]])</f>
        <v>#NAME?</v>
      </c>
      <c r="C34" s="521" t="e">
        <f ca="1">gr(charge_entree[[#This Row],[ch_E_DCO]])</f>
        <v>#NAME?</v>
      </c>
      <c r="D34" s="521" t="e">
        <f ca="1">gr(charge_entree[[#This Row],[ch_E_COT]])</f>
        <v>#NAME?</v>
      </c>
      <c r="E34" s="521" t="e">
        <f ca="1">gr(charge_entree[[#This Row],[ch_E_NH4]])</f>
        <v>#NAME?</v>
      </c>
      <c r="F34" s="521" t="e">
        <f ca="1">gr(charge_entree[[#This Row],[ch_E_NTOT]])</f>
        <v>#NAME?</v>
      </c>
      <c r="G34" s="521" t="e">
        <f ca="1">gr(charge_entree[[#This Row],[ch_E_PTOT]])</f>
        <v>#NAME?</v>
      </c>
      <c r="H34" s="521" t="e">
        <f ca="1">gr(charge_entree[[#This Row],[ch_S_DBO]])</f>
        <v>#NAME?</v>
      </c>
      <c r="I34" s="521" t="e">
        <f ca="1">gr(charge_entree[[#This Row],[ch_S-DCO]])</f>
        <v>#NAME?</v>
      </c>
      <c r="J34" s="521" t="e">
        <f ca="1">gr(charge_entree[[#This Row],[ch_S_DOC]])</f>
        <v>#NAME?</v>
      </c>
      <c r="K34" s="521" t="e">
        <f ca="1">gr(charge_entree[[#This Row],[ch_S_NH4]])</f>
        <v>#NAME?</v>
      </c>
      <c r="L34" s="521" t="e">
        <f ca="1">gr(charge_entree[[#This Row],[ch_S_NO2]])</f>
        <v>#NAME?</v>
      </c>
      <c r="M34" s="521" t="e">
        <f ca="1">gr(charge_entree[[#This Row],[ch_S_NO3]])</f>
        <v>#NAME?</v>
      </c>
      <c r="N34" s="521" t="e">
        <f ca="1">gr(charge_entree[[#This Row],[ch_S_PTOT]])</f>
        <v>#NAME?</v>
      </c>
      <c r="O34" s="521" t="e">
        <f ca="1">gr(charge_entree[[#This Row],[ch_S_SNDT]])</f>
        <v>#NAME?</v>
      </c>
    </row>
    <row r="35" spans="1:15" x14ac:dyDescent="0.2">
      <c r="A35" s="222">
        <f>calculs!A35</f>
        <v>44586</v>
      </c>
      <c r="B35" s="521" t="e">
        <f ca="1">gr(charge_entree[[#This Row],[ch_E_DBO5]])</f>
        <v>#NAME?</v>
      </c>
      <c r="C35" s="521" t="e">
        <f ca="1">gr(charge_entree[[#This Row],[ch_E_DCO]])</f>
        <v>#NAME?</v>
      </c>
      <c r="D35" s="521" t="e">
        <f ca="1">gr(charge_entree[[#This Row],[ch_E_COT]])</f>
        <v>#NAME?</v>
      </c>
      <c r="E35" s="521" t="e">
        <f ca="1">gr(charge_entree[[#This Row],[ch_E_NH4]])</f>
        <v>#NAME?</v>
      </c>
      <c r="F35" s="521" t="e">
        <f ca="1">gr(charge_entree[[#This Row],[ch_E_NTOT]])</f>
        <v>#NAME?</v>
      </c>
      <c r="G35" s="521" t="e">
        <f ca="1">gr(charge_entree[[#This Row],[ch_E_PTOT]])</f>
        <v>#NAME?</v>
      </c>
      <c r="H35" s="521" t="e">
        <f ca="1">gr(charge_entree[[#This Row],[ch_S_DBO]])</f>
        <v>#NAME?</v>
      </c>
      <c r="I35" s="521" t="e">
        <f ca="1">gr(charge_entree[[#This Row],[ch_S-DCO]])</f>
        <v>#NAME?</v>
      </c>
      <c r="J35" s="521" t="e">
        <f ca="1">gr(charge_entree[[#This Row],[ch_S_DOC]])</f>
        <v>#NAME?</v>
      </c>
      <c r="K35" s="521" t="e">
        <f ca="1">gr(charge_entree[[#This Row],[ch_S_NH4]])</f>
        <v>#NAME?</v>
      </c>
      <c r="L35" s="521" t="e">
        <f ca="1">gr(charge_entree[[#This Row],[ch_S_NO2]])</f>
        <v>#NAME?</v>
      </c>
      <c r="M35" s="521" t="e">
        <f ca="1">gr(charge_entree[[#This Row],[ch_S_NO3]])</f>
        <v>#NAME?</v>
      </c>
      <c r="N35" s="521" t="e">
        <f ca="1">gr(charge_entree[[#This Row],[ch_S_PTOT]])</f>
        <v>#NAME?</v>
      </c>
      <c r="O35" s="521" t="e">
        <f ca="1">gr(charge_entree[[#This Row],[ch_S_SNDT]])</f>
        <v>#NAME?</v>
      </c>
    </row>
    <row r="36" spans="1:15" x14ac:dyDescent="0.2">
      <c r="A36" s="222">
        <f>calculs!A36</f>
        <v>44587</v>
      </c>
      <c r="B36" s="521" t="e">
        <f ca="1">gr(charge_entree[[#This Row],[ch_E_DBO5]])</f>
        <v>#NAME?</v>
      </c>
      <c r="C36" s="521" t="e">
        <f ca="1">gr(charge_entree[[#This Row],[ch_E_DCO]])</f>
        <v>#NAME?</v>
      </c>
      <c r="D36" s="521" t="e">
        <f ca="1">gr(charge_entree[[#This Row],[ch_E_COT]])</f>
        <v>#NAME?</v>
      </c>
      <c r="E36" s="521" t="e">
        <f ca="1">gr(charge_entree[[#This Row],[ch_E_NH4]])</f>
        <v>#NAME?</v>
      </c>
      <c r="F36" s="521" t="e">
        <f ca="1">gr(charge_entree[[#This Row],[ch_E_NTOT]])</f>
        <v>#NAME?</v>
      </c>
      <c r="G36" s="521" t="e">
        <f ca="1">gr(charge_entree[[#This Row],[ch_E_PTOT]])</f>
        <v>#NAME?</v>
      </c>
      <c r="H36" s="521" t="e">
        <f ca="1">gr(charge_entree[[#This Row],[ch_S_DBO]])</f>
        <v>#NAME?</v>
      </c>
      <c r="I36" s="521" t="e">
        <f ca="1">gr(charge_entree[[#This Row],[ch_S-DCO]])</f>
        <v>#NAME?</v>
      </c>
      <c r="J36" s="521" t="e">
        <f ca="1">gr(charge_entree[[#This Row],[ch_S_DOC]])</f>
        <v>#NAME?</v>
      </c>
      <c r="K36" s="521" t="e">
        <f ca="1">gr(charge_entree[[#This Row],[ch_S_NH4]])</f>
        <v>#NAME?</v>
      </c>
      <c r="L36" s="521" t="e">
        <f ca="1">gr(charge_entree[[#This Row],[ch_S_NO2]])</f>
        <v>#NAME?</v>
      </c>
      <c r="M36" s="521" t="e">
        <f ca="1">gr(charge_entree[[#This Row],[ch_S_NO3]])</f>
        <v>#NAME?</v>
      </c>
      <c r="N36" s="521" t="e">
        <f ca="1">gr(charge_entree[[#This Row],[ch_S_PTOT]])</f>
        <v>#NAME?</v>
      </c>
      <c r="O36" s="521" t="e">
        <f ca="1">gr(charge_entree[[#This Row],[ch_S_SNDT]])</f>
        <v>#NAME?</v>
      </c>
    </row>
    <row r="37" spans="1:15" x14ac:dyDescent="0.2">
      <c r="A37" s="222">
        <f>calculs!A37</f>
        <v>44588</v>
      </c>
      <c r="B37" s="521" t="e">
        <f ca="1">gr(charge_entree[[#This Row],[ch_E_DBO5]])</f>
        <v>#NAME?</v>
      </c>
      <c r="C37" s="521" t="e">
        <f ca="1">gr(charge_entree[[#This Row],[ch_E_DCO]])</f>
        <v>#NAME?</v>
      </c>
      <c r="D37" s="521" t="e">
        <f ca="1">gr(charge_entree[[#This Row],[ch_E_COT]])</f>
        <v>#NAME?</v>
      </c>
      <c r="E37" s="521" t="e">
        <f ca="1">gr(charge_entree[[#This Row],[ch_E_NH4]])</f>
        <v>#NAME?</v>
      </c>
      <c r="F37" s="521" t="e">
        <f ca="1">gr(charge_entree[[#This Row],[ch_E_NTOT]])</f>
        <v>#NAME?</v>
      </c>
      <c r="G37" s="521" t="e">
        <f ca="1">gr(charge_entree[[#This Row],[ch_E_PTOT]])</f>
        <v>#NAME?</v>
      </c>
      <c r="H37" s="521" t="e">
        <f ca="1">gr(charge_entree[[#This Row],[ch_S_DBO]])</f>
        <v>#NAME?</v>
      </c>
      <c r="I37" s="521" t="e">
        <f ca="1">gr(charge_entree[[#This Row],[ch_S-DCO]])</f>
        <v>#NAME?</v>
      </c>
      <c r="J37" s="521" t="e">
        <f ca="1">gr(charge_entree[[#This Row],[ch_S_DOC]])</f>
        <v>#NAME?</v>
      </c>
      <c r="K37" s="521" t="e">
        <f ca="1">gr(charge_entree[[#This Row],[ch_S_NH4]])</f>
        <v>#NAME?</v>
      </c>
      <c r="L37" s="521" t="e">
        <f ca="1">gr(charge_entree[[#This Row],[ch_S_NO2]])</f>
        <v>#NAME?</v>
      </c>
      <c r="M37" s="521" t="e">
        <f ca="1">gr(charge_entree[[#This Row],[ch_S_NO3]])</f>
        <v>#NAME?</v>
      </c>
      <c r="N37" s="521" t="e">
        <f ca="1">gr(charge_entree[[#This Row],[ch_S_PTOT]])</f>
        <v>#NAME?</v>
      </c>
      <c r="O37" s="521" t="e">
        <f ca="1">gr(charge_entree[[#This Row],[ch_S_SNDT]])</f>
        <v>#NAME?</v>
      </c>
    </row>
    <row r="38" spans="1:15" x14ac:dyDescent="0.2">
      <c r="A38" s="222">
        <f>calculs!A38</f>
        <v>44589</v>
      </c>
      <c r="B38" s="521" t="e">
        <f ca="1">gr(charge_entree[[#This Row],[ch_E_DBO5]])</f>
        <v>#NAME?</v>
      </c>
      <c r="C38" s="521" t="e">
        <f ca="1">gr(charge_entree[[#This Row],[ch_E_DCO]])</f>
        <v>#NAME?</v>
      </c>
      <c r="D38" s="521" t="e">
        <f ca="1">gr(charge_entree[[#This Row],[ch_E_COT]])</f>
        <v>#NAME?</v>
      </c>
      <c r="E38" s="521" t="e">
        <f ca="1">gr(charge_entree[[#This Row],[ch_E_NH4]])</f>
        <v>#NAME?</v>
      </c>
      <c r="F38" s="521" t="e">
        <f ca="1">gr(charge_entree[[#This Row],[ch_E_NTOT]])</f>
        <v>#NAME?</v>
      </c>
      <c r="G38" s="521" t="e">
        <f ca="1">gr(charge_entree[[#This Row],[ch_E_PTOT]])</f>
        <v>#NAME?</v>
      </c>
      <c r="H38" s="521" t="e">
        <f ca="1">gr(charge_entree[[#This Row],[ch_S_DBO]])</f>
        <v>#NAME?</v>
      </c>
      <c r="I38" s="521" t="e">
        <f ca="1">gr(charge_entree[[#This Row],[ch_S-DCO]])</f>
        <v>#NAME?</v>
      </c>
      <c r="J38" s="521" t="e">
        <f ca="1">gr(charge_entree[[#This Row],[ch_S_DOC]])</f>
        <v>#NAME?</v>
      </c>
      <c r="K38" s="521" t="e">
        <f ca="1">gr(charge_entree[[#This Row],[ch_S_NH4]])</f>
        <v>#NAME?</v>
      </c>
      <c r="L38" s="521" t="e">
        <f ca="1">gr(charge_entree[[#This Row],[ch_S_NO2]])</f>
        <v>#NAME?</v>
      </c>
      <c r="M38" s="521" t="e">
        <f ca="1">gr(charge_entree[[#This Row],[ch_S_NO3]])</f>
        <v>#NAME?</v>
      </c>
      <c r="N38" s="521" t="e">
        <f ca="1">gr(charge_entree[[#This Row],[ch_S_PTOT]])</f>
        <v>#NAME?</v>
      </c>
      <c r="O38" s="521" t="e">
        <f ca="1">gr(charge_entree[[#This Row],[ch_S_SNDT]])</f>
        <v>#NAME?</v>
      </c>
    </row>
    <row r="39" spans="1:15" x14ac:dyDescent="0.2">
      <c r="A39" s="222">
        <f>calculs!A39</f>
        <v>44590</v>
      </c>
      <c r="B39" s="521" t="e">
        <f ca="1">gr(charge_entree[[#This Row],[ch_E_DBO5]])</f>
        <v>#NAME?</v>
      </c>
      <c r="C39" s="521" t="e">
        <f ca="1">gr(charge_entree[[#This Row],[ch_E_DCO]])</f>
        <v>#NAME?</v>
      </c>
      <c r="D39" s="521" t="e">
        <f ca="1">gr(charge_entree[[#This Row],[ch_E_COT]])</f>
        <v>#NAME?</v>
      </c>
      <c r="E39" s="521" t="e">
        <f ca="1">gr(charge_entree[[#This Row],[ch_E_NH4]])</f>
        <v>#NAME?</v>
      </c>
      <c r="F39" s="521" t="e">
        <f ca="1">gr(charge_entree[[#This Row],[ch_E_NTOT]])</f>
        <v>#NAME?</v>
      </c>
      <c r="G39" s="521" t="e">
        <f ca="1">gr(charge_entree[[#This Row],[ch_E_PTOT]])</f>
        <v>#NAME?</v>
      </c>
      <c r="H39" s="521" t="e">
        <f ca="1">gr(charge_entree[[#This Row],[ch_S_DBO]])</f>
        <v>#NAME?</v>
      </c>
      <c r="I39" s="521" t="e">
        <f ca="1">gr(charge_entree[[#This Row],[ch_S-DCO]])</f>
        <v>#NAME?</v>
      </c>
      <c r="J39" s="521" t="e">
        <f ca="1">gr(charge_entree[[#This Row],[ch_S_DOC]])</f>
        <v>#NAME?</v>
      </c>
      <c r="K39" s="521" t="e">
        <f ca="1">gr(charge_entree[[#This Row],[ch_S_NH4]])</f>
        <v>#NAME?</v>
      </c>
      <c r="L39" s="521" t="e">
        <f ca="1">gr(charge_entree[[#This Row],[ch_S_NO2]])</f>
        <v>#NAME?</v>
      </c>
      <c r="M39" s="521" t="e">
        <f ca="1">gr(charge_entree[[#This Row],[ch_S_NO3]])</f>
        <v>#NAME?</v>
      </c>
      <c r="N39" s="521" t="e">
        <f ca="1">gr(charge_entree[[#This Row],[ch_S_PTOT]])</f>
        <v>#NAME?</v>
      </c>
      <c r="O39" s="521" t="e">
        <f ca="1">gr(charge_entree[[#This Row],[ch_S_SNDT]])</f>
        <v>#NAME?</v>
      </c>
    </row>
    <row r="40" spans="1:15" x14ac:dyDescent="0.2">
      <c r="A40" s="222">
        <f>calculs!A40</f>
        <v>44591</v>
      </c>
      <c r="B40" s="521" t="e">
        <f ca="1">gr(charge_entree[[#This Row],[ch_E_DBO5]])</f>
        <v>#NAME?</v>
      </c>
      <c r="C40" s="521" t="e">
        <f ca="1">gr(charge_entree[[#This Row],[ch_E_DCO]])</f>
        <v>#NAME?</v>
      </c>
      <c r="D40" s="521" t="e">
        <f ca="1">gr(charge_entree[[#This Row],[ch_E_COT]])</f>
        <v>#NAME?</v>
      </c>
      <c r="E40" s="521" t="e">
        <f ca="1">gr(charge_entree[[#This Row],[ch_E_NH4]])</f>
        <v>#NAME?</v>
      </c>
      <c r="F40" s="521" t="e">
        <f ca="1">gr(charge_entree[[#This Row],[ch_E_NTOT]])</f>
        <v>#NAME?</v>
      </c>
      <c r="G40" s="521" t="e">
        <f ca="1">gr(charge_entree[[#This Row],[ch_E_PTOT]])</f>
        <v>#NAME?</v>
      </c>
      <c r="H40" s="521" t="e">
        <f ca="1">gr(charge_entree[[#This Row],[ch_S_DBO]])</f>
        <v>#NAME?</v>
      </c>
      <c r="I40" s="521" t="e">
        <f ca="1">gr(charge_entree[[#This Row],[ch_S-DCO]])</f>
        <v>#NAME?</v>
      </c>
      <c r="J40" s="521" t="e">
        <f ca="1">gr(charge_entree[[#This Row],[ch_S_DOC]])</f>
        <v>#NAME?</v>
      </c>
      <c r="K40" s="521" t="e">
        <f ca="1">gr(charge_entree[[#This Row],[ch_S_NH4]])</f>
        <v>#NAME?</v>
      </c>
      <c r="L40" s="521" t="e">
        <f ca="1">gr(charge_entree[[#This Row],[ch_S_NO2]])</f>
        <v>#NAME?</v>
      </c>
      <c r="M40" s="521" t="e">
        <f ca="1">gr(charge_entree[[#This Row],[ch_S_NO3]])</f>
        <v>#NAME?</v>
      </c>
      <c r="N40" s="521" t="e">
        <f ca="1">gr(charge_entree[[#This Row],[ch_S_PTOT]])</f>
        <v>#NAME?</v>
      </c>
      <c r="O40" s="521" t="e">
        <f ca="1">gr(charge_entree[[#This Row],[ch_S_SNDT]])</f>
        <v>#NAME?</v>
      </c>
    </row>
    <row r="41" spans="1:15" x14ac:dyDescent="0.2">
      <c r="A41" s="222">
        <f>calculs!A41</f>
        <v>44592</v>
      </c>
      <c r="B41" s="521" t="e">
        <f ca="1">gr(charge_entree[[#This Row],[ch_E_DBO5]])</f>
        <v>#NAME?</v>
      </c>
      <c r="C41" s="521" t="e">
        <f ca="1">gr(charge_entree[[#This Row],[ch_E_DCO]])</f>
        <v>#NAME?</v>
      </c>
      <c r="D41" s="521" t="e">
        <f ca="1">gr(charge_entree[[#This Row],[ch_E_COT]])</f>
        <v>#NAME?</v>
      </c>
      <c r="E41" s="521" t="e">
        <f ca="1">gr(charge_entree[[#This Row],[ch_E_NH4]])</f>
        <v>#NAME?</v>
      </c>
      <c r="F41" s="521" t="e">
        <f ca="1">gr(charge_entree[[#This Row],[ch_E_NTOT]])</f>
        <v>#NAME?</v>
      </c>
      <c r="G41" s="521" t="e">
        <f ca="1">gr(charge_entree[[#This Row],[ch_E_PTOT]])</f>
        <v>#NAME?</v>
      </c>
      <c r="H41" s="521" t="e">
        <f ca="1">gr(charge_entree[[#This Row],[ch_S_DBO]])</f>
        <v>#NAME?</v>
      </c>
      <c r="I41" s="521" t="e">
        <f ca="1">gr(charge_entree[[#This Row],[ch_S-DCO]])</f>
        <v>#NAME?</v>
      </c>
      <c r="J41" s="521" t="e">
        <f ca="1">gr(charge_entree[[#This Row],[ch_S_DOC]])</f>
        <v>#NAME?</v>
      </c>
      <c r="K41" s="521" t="e">
        <f ca="1">gr(charge_entree[[#This Row],[ch_S_NH4]])</f>
        <v>#NAME?</v>
      </c>
      <c r="L41" s="521" t="e">
        <f ca="1">gr(charge_entree[[#This Row],[ch_S_NO2]])</f>
        <v>#NAME?</v>
      </c>
      <c r="M41" s="521" t="e">
        <f ca="1">gr(charge_entree[[#This Row],[ch_S_NO3]])</f>
        <v>#NAME?</v>
      </c>
      <c r="N41" s="521" t="e">
        <f ca="1">gr(charge_entree[[#This Row],[ch_S_PTOT]])</f>
        <v>#NAME?</v>
      </c>
      <c r="O41" s="521" t="e">
        <f ca="1">gr(charge_entree[[#This Row],[ch_S_SNDT]])</f>
        <v>#NAME?</v>
      </c>
    </row>
    <row r="42" spans="1:15" x14ac:dyDescent="0.2">
      <c r="A42" s="222">
        <f>calculs!A42</f>
        <v>44593</v>
      </c>
      <c r="B42" s="521" t="e">
        <f ca="1">gr(charge_entree[[#This Row],[ch_E_DBO5]])</f>
        <v>#NAME?</v>
      </c>
      <c r="C42" s="521" t="e">
        <f ca="1">gr(charge_entree[[#This Row],[ch_E_DCO]])</f>
        <v>#NAME?</v>
      </c>
      <c r="D42" s="521" t="e">
        <f ca="1">gr(charge_entree[[#This Row],[ch_E_COT]])</f>
        <v>#NAME?</v>
      </c>
      <c r="E42" s="521" t="e">
        <f ca="1">gr(charge_entree[[#This Row],[ch_E_NH4]])</f>
        <v>#NAME?</v>
      </c>
      <c r="F42" s="521" t="e">
        <f ca="1">gr(charge_entree[[#This Row],[ch_E_NTOT]])</f>
        <v>#NAME?</v>
      </c>
      <c r="G42" s="521" t="e">
        <f ca="1">gr(charge_entree[[#This Row],[ch_E_PTOT]])</f>
        <v>#NAME?</v>
      </c>
      <c r="H42" s="521" t="e">
        <f ca="1">gr(charge_entree[[#This Row],[ch_S_DBO]])</f>
        <v>#NAME?</v>
      </c>
      <c r="I42" s="521" t="e">
        <f ca="1">gr(charge_entree[[#This Row],[ch_S-DCO]])</f>
        <v>#NAME?</v>
      </c>
      <c r="J42" s="521" t="e">
        <f ca="1">gr(charge_entree[[#This Row],[ch_S_DOC]])</f>
        <v>#NAME?</v>
      </c>
      <c r="K42" s="521" t="e">
        <f ca="1">gr(charge_entree[[#This Row],[ch_S_NH4]])</f>
        <v>#NAME?</v>
      </c>
      <c r="L42" s="521" t="e">
        <f ca="1">gr(charge_entree[[#This Row],[ch_S_NO2]])</f>
        <v>#NAME?</v>
      </c>
      <c r="M42" s="521" t="e">
        <f ca="1">gr(charge_entree[[#This Row],[ch_S_NO3]])</f>
        <v>#NAME?</v>
      </c>
      <c r="N42" s="521" t="e">
        <f ca="1">gr(charge_entree[[#This Row],[ch_S_PTOT]])</f>
        <v>#NAME?</v>
      </c>
      <c r="O42" s="521" t="e">
        <f ca="1">gr(charge_entree[[#This Row],[ch_S_SNDT]])</f>
        <v>#NAME?</v>
      </c>
    </row>
    <row r="43" spans="1:15" x14ac:dyDescent="0.2">
      <c r="A43" s="222">
        <f>calculs!A43</f>
        <v>44594</v>
      </c>
      <c r="B43" s="521" t="e">
        <f ca="1">gr(charge_entree[[#This Row],[ch_E_DBO5]])</f>
        <v>#NAME?</v>
      </c>
      <c r="C43" s="521" t="e">
        <f ca="1">gr(charge_entree[[#This Row],[ch_E_DCO]])</f>
        <v>#NAME?</v>
      </c>
      <c r="D43" s="521" t="e">
        <f ca="1">gr(charge_entree[[#This Row],[ch_E_COT]])</f>
        <v>#NAME?</v>
      </c>
      <c r="E43" s="521" t="e">
        <f ca="1">gr(charge_entree[[#This Row],[ch_E_NH4]])</f>
        <v>#NAME?</v>
      </c>
      <c r="F43" s="521" t="e">
        <f ca="1">gr(charge_entree[[#This Row],[ch_E_NTOT]])</f>
        <v>#NAME?</v>
      </c>
      <c r="G43" s="521" t="e">
        <f ca="1">gr(charge_entree[[#This Row],[ch_E_PTOT]])</f>
        <v>#NAME?</v>
      </c>
      <c r="H43" s="521" t="e">
        <f ca="1">gr(charge_entree[[#This Row],[ch_S_DBO]])</f>
        <v>#NAME?</v>
      </c>
      <c r="I43" s="521" t="e">
        <f ca="1">gr(charge_entree[[#This Row],[ch_S-DCO]])</f>
        <v>#NAME?</v>
      </c>
      <c r="J43" s="521" t="e">
        <f ca="1">gr(charge_entree[[#This Row],[ch_S_DOC]])</f>
        <v>#NAME?</v>
      </c>
      <c r="K43" s="521" t="e">
        <f ca="1">gr(charge_entree[[#This Row],[ch_S_NH4]])</f>
        <v>#NAME?</v>
      </c>
      <c r="L43" s="521" t="e">
        <f ca="1">gr(charge_entree[[#This Row],[ch_S_NO2]])</f>
        <v>#NAME?</v>
      </c>
      <c r="M43" s="521" t="e">
        <f ca="1">gr(charge_entree[[#This Row],[ch_S_NO3]])</f>
        <v>#NAME?</v>
      </c>
      <c r="N43" s="521" t="e">
        <f ca="1">gr(charge_entree[[#This Row],[ch_S_PTOT]])</f>
        <v>#NAME?</v>
      </c>
      <c r="O43" s="521" t="e">
        <f ca="1">gr(charge_entree[[#This Row],[ch_S_SNDT]])</f>
        <v>#NAME?</v>
      </c>
    </row>
    <row r="44" spans="1:15" x14ac:dyDescent="0.2">
      <c r="A44" s="222">
        <f>calculs!A44</f>
        <v>44595</v>
      </c>
      <c r="B44" s="521" t="e">
        <f ca="1">gr(charge_entree[[#This Row],[ch_E_DBO5]])</f>
        <v>#NAME?</v>
      </c>
      <c r="C44" s="521" t="e">
        <f ca="1">gr(charge_entree[[#This Row],[ch_E_DCO]])</f>
        <v>#NAME?</v>
      </c>
      <c r="D44" s="521" t="e">
        <f ca="1">gr(charge_entree[[#This Row],[ch_E_COT]])</f>
        <v>#NAME?</v>
      </c>
      <c r="E44" s="521" t="e">
        <f ca="1">gr(charge_entree[[#This Row],[ch_E_NH4]])</f>
        <v>#NAME?</v>
      </c>
      <c r="F44" s="521" t="e">
        <f ca="1">gr(charge_entree[[#This Row],[ch_E_NTOT]])</f>
        <v>#NAME?</v>
      </c>
      <c r="G44" s="521" t="e">
        <f ca="1">gr(charge_entree[[#This Row],[ch_E_PTOT]])</f>
        <v>#NAME?</v>
      </c>
      <c r="H44" s="521" t="e">
        <f ca="1">gr(charge_entree[[#This Row],[ch_S_DBO]])</f>
        <v>#NAME?</v>
      </c>
      <c r="I44" s="521" t="e">
        <f ca="1">gr(charge_entree[[#This Row],[ch_S-DCO]])</f>
        <v>#NAME?</v>
      </c>
      <c r="J44" s="521" t="e">
        <f ca="1">gr(charge_entree[[#This Row],[ch_S_DOC]])</f>
        <v>#NAME?</v>
      </c>
      <c r="K44" s="521" t="e">
        <f ca="1">gr(charge_entree[[#This Row],[ch_S_NH4]])</f>
        <v>#NAME?</v>
      </c>
      <c r="L44" s="521" t="e">
        <f ca="1">gr(charge_entree[[#This Row],[ch_S_NO2]])</f>
        <v>#NAME?</v>
      </c>
      <c r="M44" s="521" t="e">
        <f ca="1">gr(charge_entree[[#This Row],[ch_S_NO3]])</f>
        <v>#NAME?</v>
      </c>
      <c r="N44" s="521" t="e">
        <f ca="1">gr(charge_entree[[#This Row],[ch_S_PTOT]])</f>
        <v>#NAME?</v>
      </c>
      <c r="O44" s="521" t="e">
        <f ca="1">gr(charge_entree[[#This Row],[ch_S_SNDT]])</f>
        <v>#NAME?</v>
      </c>
    </row>
    <row r="45" spans="1:15" x14ac:dyDescent="0.2">
      <c r="A45" s="222">
        <f>calculs!A45</f>
        <v>44596</v>
      </c>
      <c r="B45" s="521" t="e">
        <f ca="1">gr(charge_entree[[#This Row],[ch_E_DBO5]])</f>
        <v>#NAME?</v>
      </c>
      <c r="C45" s="521" t="e">
        <f ca="1">gr(charge_entree[[#This Row],[ch_E_DCO]])</f>
        <v>#NAME?</v>
      </c>
      <c r="D45" s="521" t="e">
        <f ca="1">gr(charge_entree[[#This Row],[ch_E_COT]])</f>
        <v>#NAME?</v>
      </c>
      <c r="E45" s="521" t="e">
        <f ca="1">gr(charge_entree[[#This Row],[ch_E_NH4]])</f>
        <v>#NAME?</v>
      </c>
      <c r="F45" s="521" t="e">
        <f ca="1">gr(charge_entree[[#This Row],[ch_E_NTOT]])</f>
        <v>#NAME?</v>
      </c>
      <c r="G45" s="521" t="e">
        <f ca="1">gr(charge_entree[[#This Row],[ch_E_PTOT]])</f>
        <v>#NAME?</v>
      </c>
      <c r="H45" s="521" t="e">
        <f ca="1">gr(charge_entree[[#This Row],[ch_S_DBO]])</f>
        <v>#NAME?</v>
      </c>
      <c r="I45" s="521" t="e">
        <f ca="1">gr(charge_entree[[#This Row],[ch_S-DCO]])</f>
        <v>#NAME?</v>
      </c>
      <c r="J45" s="521" t="e">
        <f ca="1">gr(charge_entree[[#This Row],[ch_S_DOC]])</f>
        <v>#NAME?</v>
      </c>
      <c r="K45" s="521" t="e">
        <f ca="1">gr(charge_entree[[#This Row],[ch_S_NH4]])</f>
        <v>#NAME?</v>
      </c>
      <c r="L45" s="521" t="e">
        <f ca="1">gr(charge_entree[[#This Row],[ch_S_NO2]])</f>
        <v>#NAME?</v>
      </c>
      <c r="M45" s="521" t="e">
        <f ca="1">gr(charge_entree[[#This Row],[ch_S_NO3]])</f>
        <v>#NAME?</v>
      </c>
      <c r="N45" s="521" t="e">
        <f ca="1">gr(charge_entree[[#This Row],[ch_S_PTOT]])</f>
        <v>#NAME?</v>
      </c>
      <c r="O45" s="521" t="e">
        <f ca="1">gr(charge_entree[[#This Row],[ch_S_SNDT]])</f>
        <v>#NAME?</v>
      </c>
    </row>
    <row r="46" spans="1:15" x14ac:dyDescent="0.2">
      <c r="A46" s="222">
        <f>calculs!A46</f>
        <v>44597</v>
      </c>
      <c r="B46" s="521" t="e">
        <f ca="1">gr(charge_entree[[#This Row],[ch_E_DBO5]])</f>
        <v>#NAME?</v>
      </c>
      <c r="C46" s="521" t="e">
        <f ca="1">gr(charge_entree[[#This Row],[ch_E_DCO]])</f>
        <v>#NAME?</v>
      </c>
      <c r="D46" s="521" t="e">
        <f ca="1">gr(charge_entree[[#This Row],[ch_E_COT]])</f>
        <v>#NAME?</v>
      </c>
      <c r="E46" s="521" t="e">
        <f ca="1">gr(charge_entree[[#This Row],[ch_E_NH4]])</f>
        <v>#NAME?</v>
      </c>
      <c r="F46" s="521" t="e">
        <f ca="1">gr(charge_entree[[#This Row],[ch_E_NTOT]])</f>
        <v>#NAME?</v>
      </c>
      <c r="G46" s="521" t="e">
        <f ca="1">gr(charge_entree[[#This Row],[ch_E_PTOT]])</f>
        <v>#NAME?</v>
      </c>
      <c r="H46" s="521" t="e">
        <f ca="1">gr(charge_entree[[#This Row],[ch_S_DBO]])</f>
        <v>#NAME?</v>
      </c>
      <c r="I46" s="521" t="e">
        <f ca="1">gr(charge_entree[[#This Row],[ch_S-DCO]])</f>
        <v>#NAME?</v>
      </c>
      <c r="J46" s="521" t="e">
        <f ca="1">gr(charge_entree[[#This Row],[ch_S_DOC]])</f>
        <v>#NAME?</v>
      </c>
      <c r="K46" s="521" t="e">
        <f ca="1">gr(charge_entree[[#This Row],[ch_S_NH4]])</f>
        <v>#NAME?</v>
      </c>
      <c r="L46" s="521" t="e">
        <f ca="1">gr(charge_entree[[#This Row],[ch_S_NO2]])</f>
        <v>#NAME?</v>
      </c>
      <c r="M46" s="521" t="e">
        <f ca="1">gr(charge_entree[[#This Row],[ch_S_NO3]])</f>
        <v>#NAME?</v>
      </c>
      <c r="N46" s="521" t="e">
        <f ca="1">gr(charge_entree[[#This Row],[ch_S_PTOT]])</f>
        <v>#NAME?</v>
      </c>
      <c r="O46" s="521" t="e">
        <f ca="1">gr(charge_entree[[#This Row],[ch_S_SNDT]])</f>
        <v>#NAME?</v>
      </c>
    </row>
    <row r="47" spans="1:15" x14ac:dyDescent="0.2">
      <c r="A47" s="222">
        <f>calculs!A47</f>
        <v>44598</v>
      </c>
      <c r="B47" s="521" t="e">
        <f ca="1">gr(charge_entree[[#This Row],[ch_E_DBO5]])</f>
        <v>#NAME?</v>
      </c>
      <c r="C47" s="521" t="e">
        <f ca="1">gr(charge_entree[[#This Row],[ch_E_DCO]])</f>
        <v>#NAME?</v>
      </c>
      <c r="D47" s="521" t="e">
        <f ca="1">gr(charge_entree[[#This Row],[ch_E_COT]])</f>
        <v>#NAME?</v>
      </c>
      <c r="E47" s="521" t="e">
        <f ca="1">gr(charge_entree[[#This Row],[ch_E_NH4]])</f>
        <v>#NAME?</v>
      </c>
      <c r="F47" s="521" t="e">
        <f ca="1">gr(charge_entree[[#This Row],[ch_E_NTOT]])</f>
        <v>#NAME?</v>
      </c>
      <c r="G47" s="521" t="e">
        <f ca="1">gr(charge_entree[[#This Row],[ch_E_PTOT]])</f>
        <v>#NAME?</v>
      </c>
      <c r="H47" s="521" t="e">
        <f ca="1">gr(charge_entree[[#This Row],[ch_S_DBO]])</f>
        <v>#NAME?</v>
      </c>
      <c r="I47" s="521" t="e">
        <f ca="1">gr(charge_entree[[#This Row],[ch_S-DCO]])</f>
        <v>#NAME?</v>
      </c>
      <c r="J47" s="521" t="e">
        <f ca="1">gr(charge_entree[[#This Row],[ch_S_DOC]])</f>
        <v>#NAME?</v>
      </c>
      <c r="K47" s="521" t="e">
        <f ca="1">gr(charge_entree[[#This Row],[ch_S_NH4]])</f>
        <v>#NAME?</v>
      </c>
      <c r="L47" s="521" t="e">
        <f ca="1">gr(charge_entree[[#This Row],[ch_S_NO2]])</f>
        <v>#NAME?</v>
      </c>
      <c r="M47" s="521" t="e">
        <f ca="1">gr(charge_entree[[#This Row],[ch_S_NO3]])</f>
        <v>#NAME?</v>
      </c>
      <c r="N47" s="521" t="e">
        <f ca="1">gr(charge_entree[[#This Row],[ch_S_PTOT]])</f>
        <v>#NAME?</v>
      </c>
      <c r="O47" s="521" t="e">
        <f ca="1">gr(charge_entree[[#This Row],[ch_S_SNDT]])</f>
        <v>#NAME?</v>
      </c>
    </row>
    <row r="48" spans="1:15" x14ac:dyDescent="0.2">
      <c r="A48" s="222">
        <f>calculs!A48</f>
        <v>44599</v>
      </c>
      <c r="B48" s="521" t="e">
        <f ca="1">gr(charge_entree[[#This Row],[ch_E_DBO5]])</f>
        <v>#NAME?</v>
      </c>
      <c r="C48" s="521" t="e">
        <f ca="1">gr(charge_entree[[#This Row],[ch_E_DCO]])</f>
        <v>#NAME?</v>
      </c>
      <c r="D48" s="521" t="e">
        <f ca="1">gr(charge_entree[[#This Row],[ch_E_COT]])</f>
        <v>#NAME?</v>
      </c>
      <c r="E48" s="521" t="e">
        <f ca="1">gr(charge_entree[[#This Row],[ch_E_NH4]])</f>
        <v>#NAME?</v>
      </c>
      <c r="F48" s="521" t="e">
        <f ca="1">gr(charge_entree[[#This Row],[ch_E_NTOT]])</f>
        <v>#NAME?</v>
      </c>
      <c r="G48" s="521" t="e">
        <f ca="1">gr(charge_entree[[#This Row],[ch_E_PTOT]])</f>
        <v>#NAME?</v>
      </c>
      <c r="H48" s="521" t="e">
        <f ca="1">gr(charge_entree[[#This Row],[ch_S_DBO]])</f>
        <v>#NAME?</v>
      </c>
      <c r="I48" s="521" t="e">
        <f ca="1">gr(charge_entree[[#This Row],[ch_S-DCO]])</f>
        <v>#NAME?</v>
      </c>
      <c r="J48" s="521" t="e">
        <f ca="1">gr(charge_entree[[#This Row],[ch_S_DOC]])</f>
        <v>#NAME?</v>
      </c>
      <c r="K48" s="521" t="e">
        <f ca="1">gr(charge_entree[[#This Row],[ch_S_NH4]])</f>
        <v>#NAME?</v>
      </c>
      <c r="L48" s="521" t="e">
        <f ca="1">gr(charge_entree[[#This Row],[ch_S_NO2]])</f>
        <v>#NAME?</v>
      </c>
      <c r="M48" s="521" t="e">
        <f ca="1">gr(charge_entree[[#This Row],[ch_S_NO3]])</f>
        <v>#NAME?</v>
      </c>
      <c r="N48" s="521" t="e">
        <f ca="1">gr(charge_entree[[#This Row],[ch_S_PTOT]])</f>
        <v>#NAME?</v>
      </c>
      <c r="O48" s="521" t="e">
        <f ca="1">gr(charge_entree[[#This Row],[ch_S_SNDT]])</f>
        <v>#NAME?</v>
      </c>
    </row>
    <row r="49" spans="1:15" x14ac:dyDescent="0.2">
      <c r="A49" s="222">
        <f>calculs!A49</f>
        <v>44600</v>
      </c>
      <c r="B49" s="521" t="e">
        <f ca="1">gr(charge_entree[[#This Row],[ch_E_DBO5]])</f>
        <v>#NAME?</v>
      </c>
      <c r="C49" s="521" t="e">
        <f ca="1">gr(charge_entree[[#This Row],[ch_E_DCO]])</f>
        <v>#NAME?</v>
      </c>
      <c r="D49" s="521" t="e">
        <f ca="1">gr(charge_entree[[#This Row],[ch_E_COT]])</f>
        <v>#NAME?</v>
      </c>
      <c r="E49" s="521" t="e">
        <f ca="1">gr(charge_entree[[#This Row],[ch_E_NH4]])</f>
        <v>#NAME?</v>
      </c>
      <c r="F49" s="521" t="e">
        <f ca="1">gr(charge_entree[[#This Row],[ch_E_NTOT]])</f>
        <v>#NAME?</v>
      </c>
      <c r="G49" s="521" t="e">
        <f ca="1">gr(charge_entree[[#This Row],[ch_E_PTOT]])</f>
        <v>#NAME?</v>
      </c>
      <c r="H49" s="521" t="e">
        <f ca="1">gr(charge_entree[[#This Row],[ch_S_DBO]])</f>
        <v>#NAME?</v>
      </c>
      <c r="I49" s="521" t="e">
        <f ca="1">gr(charge_entree[[#This Row],[ch_S-DCO]])</f>
        <v>#NAME?</v>
      </c>
      <c r="J49" s="521" t="e">
        <f ca="1">gr(charge_entree[[#This Row],[ch_S_DOC]])</f>
        <v>#NAME?</v>
      </c>
      <c r="K49" s="521" t="e">
        <f ca="1">gr(charge_entree[[#This Row],[ch_S_NH4]])</f>
        <v>#NAME?</v>
      </c>
      <c r="L49" s="521" t="e">
        <f ca="1">gr(charge_entree[[#This Row],[ch_S_NO2]])</f>
        <v>#NAME?</v>
      </c>
      <c r="M49" s="521" t="e">
        <f ca="1">gr(charge_entree[[#This Row],[ch_S_NO3]])</f>
        <v>#NAME?</v>
      </c>
      <c r="N49" s="521" t="e">
        <f ca="1">gr(charge_entree[[#This Row],[ch_S_PTOT]])</f>
        <v>#NAME?</v>
      </c>
      <c r="O49" s="521" t="e">
        <f ca="1">gr(charge_entree[[#This Row],[ch_S_SNDT]])</f>
        <v>#NAME?</v>
      </c>
    </row>
    <row r="50" spans="1:15" x14ac:dyDescent="0.2">
      <c r="A50" s="222">
        <f>calculs!A50</f>
        <v>44601</v>
      </c>
      <c r="B50" s="521" t="e">
        <f ca="1">gr(charge_entree[[#This Row],[ch_E_DBO5]])</f>
        <v>#NAME?</v>
      </c>
      <c r="C50" s="521" t="e">
        <f ca="1">gr(charge_entree[[#This Row],[ch_E_DCO]])</f>
        <v>#NAME?</v>
      </c>
      <c r="D50" s="521" t="e">
        <f ca="1">gr(charge_entree[[#This Row],[ch_E_COT]])</f>
        <v>#NAME?</v>
      </c>
      <c r="E50" s="521" t="e">
        <f ca="1">gr(charge_entree[[#This Row],[ch_E_NH4]])</f>
        <v>#NAME?</v>
      </c>
      <c r="F50" s="521" t="e">
        <f ca="1">gr(charge_entree[[#This Row],[ch_E_NTOT]])</f>
        <v>#NAME?</v>
      </c>
      <c r="G50" s="521" t="e">
        <f ca="1">gr(charge_entree[[#This Row],[ch_E_PTOT]])</f>
        <v>#NAME?</v>
      </c>
      <c r="H50" s="521" t="e">
        <f ca="1">gr(charge_entree[[#This Row],[ch_S_DBO]])</f>
        <v>#NAME?</v>
      </c>
      <c r="I50" s="521" t="e">
        <f ca="1">gr(charge_entree[[#This Row],[ch_S-DCO]])</f>
        <v>#NAME?</v>
      </c>
      <c r="J50" s="521" t="e">
        <f ca="1">gr(charge_entree[[#This Row],[ch_S_DOC]])</f>
        <v>#NAME?</v>
      </c>
      <c r="K50" s="521" t="e">
        <f ca="1">gr(charge_entree[[#This Row],[ch_S_NH4]])</f>
        <v>#NAME?</v>
      </c>
      <c r="L50" s="521" t="e">
        <f ca="1">gr(charge_entree[[#This Row],[ch_S_NO2]])</f>
        <v>#NAME?</v>
      </c>
      <c r="M50" s="521" t="e">
        <f ca="1">gr(charge_entree[[#This Row],[ch_S_NO3]])</f>
        <v>#NAME?</v>
      </c>
      <c r="N50" s="521" t="e">
        <f ca="1">gr(charge_entree[[#This Row],[ch_S_PTOT]])</f>
        <v>#NAME?</v>
      </c>
      <c r="O50" s="521" t="e">
        <f ca="1">gr(charge_entree[[#This Row],[ch_S_SNDT]])</f>
        <v>#NAME?</v>
      </c>
    </row>
    <row r="51" spans="1:15" x14ac:dyDescent="0.2">
      <c r="A51" s="222">
        <f>calculs!A51</f>
        <v>44602</v>
      </c>
      <c r="B51" s="521" t="e">
        <f ca="1">gr(charge_entree[[#This Row],[ch_E_DBO5]])</f>
        <v>#NAME?</v>
      </c>
      <c r="C51" s="521" t="e">
        <f ca="1">gr(charge_entree[[#This Row],[ch_E_DCO]])</f>
        <v>#NAME?</v>
      </c>
      <c r="D51" s="521" t="e">
        <f ca="1">gr(charge_entree[[#This Row],[ch_E_COT]])</f>
        <v>#NAME?</v>
      </c>
      <c r="E51" s="521" t="e">
        <f ca="1">gr(charge_entree[[#This Row],[ch_E_NH4]])</f>
        <v>#NAME?</v>
      </c>
      <c r="F51" s="521" t="e">
        <f ca="1">gr(charge_entree[[#This Row],[ch_E_NTOT]])</f>
        <v>#NAME?</v>
      </c>
      <c r="G51" s="521" t="e">
        <f ca="1">gr(charge_entree[[#This Row],[ch_E_PTOT]])</f>
        <v>#NAME?</v>
      </c>
      <c r="H51" s="521" t="e">
        <f ca="1">gr(charge_entree[[#This Row],[ch_S_DBO]])</f>
        <v>#NAME?</v>
      </c>
      <c r="I51" s="521" t="e">
        <f ca="1">gr(charge_entree[[#This Row],[ch_S-DCO]])</f>
        <v>#NAME?</v>
      </c>
      <c r="J51" s="521" t="e">
        <f ca="1">gr(charge_entree[[#This Row],[ch_S_DOC]])</f>
        <v>#NAME?</v>
      </c>
      <c r="K51" s="521" t="e">
        <f ca="1">gr(charge_entree[[#This Row],[ch_S_NH4]])</f>
        <v>#NAME?</v>
      </c>
      <c r="L51" s="521" t="e">
        <f ca="1">gr(charge_entree[[#This Row],[ch_S_NO2]])</f>
        <v>#NAME?</v>
      </c>
      <c r="M51" s="521" t="e">
        <f ca="1">gr(charge_entree[[#This Row],[ch_S_NO3]])</f>
        <v>#NAME?</v>
      </c>
      <c r="N51" s="521" t="e">
        <f ca="1">gr(charge_entree[[#This Row],[ch_S_PTOT]])</f>
        <v>#NAME?</v>
      </c>
      <c r="O51" s="521" t="e">
        <f ca="1">gr(charge_entree[[#This Row],[ch_S_SNDT]])</f>
        <v>#NAME?</v>
      </c>
    </row>
    <row r="52" spans="1:15" x14ac:dyDescent="0.2">
      <c r="A52" s="222">
        <f>calculs!A52</f>
        <v>44603</v>
      </c>
      <c r="B52" s="521" t="e">
        <f ca="1">gr(charge_entree[[#This Row],[ch_E_DBO5]])</f>
        <v>#NAME?</v>
      </c>
      <c r="C52" s="521" t="e">
        <f ca="1">gr(charge_entree[[#This Row],[ch_E_DCO]])</f>
        <v>#NAME?</v>
      </c>
      <c r="D52" s="521" t="e">
        <f ca="1">gr(charge_entree[[#This Row],[ch_E_COT]])</f>
        <v>#NAME?</v>
      </c>
      <c r="E52" s="521" t="e">
        <f ca="1">gr(charge_entree[[#This Row],[ch_E_NH4]])</f>
        <v>#NAME?</v>
      </c>
      <c r="F52" s="521" t="e">
        <f ca="1">gr(charge_entree[[#This Row],[ch_E_NTOT]])</f>
        <v>#NAME?</v>
      </c>
      <c r="G52" s="521" t="e">
        <f ca="1">gr(charge_entree[[#This Row],[ch_E_PTOT]])</f>
        <v>#NAME?</v>
      </c>
      <c r="H52" s="521" t="e">
        <f ca="1">gr(charge_entree[[#This Row],[ch_S_DBO]])</f>
        <v>#NAME?</v>
      </c>
      <c r="I52" s="521" t="e">
        <f ca="1">gr(charge_entree[[#This Row],[ch_S-DCO]])</f>
        <v>#NAME?</v>
      </c>
      <c r="J52" s="521" t="e">
        <f ca="1">gr(charge_entree[[#This Row],[ch_S_DOC]])</f>
        <v>#NAME?</v>
      </c>
      <c r="K52" s="521" t="e">
        <f ca="1">gr(charge_entree[[#This Row],[ch_S_NH4]])</f>
        <v>#NAME?</v>
      </c>
      <c r="L52" s="521" t="e">
        <f ca="1">gr(charge_entree[[#This Row],[ch_S_NO2]])</f>
        <v>#NAME?</v>
      </c>
      <c r="M52" s="521" t="e">
        <f ca="1">gr(charge_entree[[#This Row],[ch_S_NO3]])</f>
        <v>#NAME?</v>
      </c>
      <c r="N52" s="521" t="e">
        <f ca="1">gr(charge_entree[[#This Row],[ch_S_PTOT]])</f>
        <v>#NAME?</v>
      </c>
      <c r="O52" s="521" t="e">
        <f ca="1">gr(charge_entree[[#This Row],[ch_S_SNDT]])</f>
        <v>#NAME?</v>
      </c>
    </row>
    <row r="53" spans="1:15" x14ac:dyDescent="0.2">
      <c r="A53" s="222">
        <f>calculs!A53</f>
        <v>44604</v>
      </c>
      <c r="B53" s="521" t="e">
        <f ca="1">gr(charge_entree[[#This Row],[ch_E_DBO5]])</f>
        <v>#NAME?</v>
      </c>
      <c r="C53" s="521" t="e">
        <f ca="1">gr(charge_entree[[#This Row],[ch_E_DCO]])</f>
        <v>#NAME?</v>
      </c>
      <c r="D53" s="521" t="e">
        <f ca="1">gr(charge_entree[[#This Row],[ch_E_COT]])</f>
        <v>#NAME?</v>
      </c>
      <c r="E53" s="521" t="e">
        <f ca="1">gr(charge_entree[[#This Row],[ch_E_NH4]])</f>
        <v>#NAME?</v>
      </c>
      <c r="F53" s="521" t="e">
        <f ca="1">gr(charge_entree[[#This Row],[ch_E_NTOT]])</f>
        <v>#NAME?</v>
      </c>
      <c r="G53" s="521" t="e">
        <f ca="1">gr(charge_entree[[#This Row],[ch_E_PTOT]])</f>
        <v>#NAME?</v>
      </c>
      <c r="H53" s="521" t="e">
        <f ca="1">gr(charge_entree[[#This Row],[ch_S_DBO]])</f>
        <v>#NAME?</v>
      </c>
      <c r="I53" s="521" t="e">
        <f ca="1">gr(charge_entree[[#This Row],[ch_S-DCO]])</f>
        <v>#NAME?</v>
      </c>
      <c r="J53" s="521" t="e">
        <f ca="1">gr(charge_entree[[#This Row],[ch_S_DOC]])</f>
        <v>#NAME?</v>
      </c>
      <c r="K53" s="521" t="e">
        <f ca="1">gr(charge_entree[[#This Row],[ch_S_NH4]])</f>
        <v>#NAME?</v>
      </c>
      <c r="L53" s="521" t="e">
        <f ca="1">gr(charge_entree[[#This Row],[ch_S_NO2]])</f>
        <v>#NAME?</v>
      </c>
      <c r="M53" s="521" t="e">
        <f ca="1">gr(charge_entree[[#This Row],[ch_S_NO3]])</f>
        <v>#NAME?</v>
      </c>
      <c r="N53" s="521" t="e">
        <f ca="1">gr(charge_entree[[#This Row],[ch_S_PTOT]])</f>
        <v>#NAME?</v>
      </c>
      <c r="O53" s="521" t="e">
        <f ca="1">gr(charge_entree[[#This Row],[ch_S_SNDT]])</f>
        <v>#NAME?</v>
      </c>
    </row>
    <row r="54" spans="1:15" x14ac:dyDescent="0.2">
      <c r="A54" s="222">
        <f>calculs!A54</f>
        <v>44605</v>
      </c>
      <c r="B54" s="521" t="e">
        <f ca="1">gr(charge_entree[[#This Row],[ch_E_DBO5]])</f>
        <v>#NAME?</v>
      </c>
      <c r="C54" s="521" t="e">
        <f ca="1">gr(charge_entree[[#This Row],[ch_E_DCO]])</f>
        <v>#NAME?</v>
      </c>
      <c r="D54" s="521" t="e">
        <f ca="1">gr(charge_entree[[#This Row],[ch_E_COT]])</f>
        <v>#NAME?</v>
      </c>
      <c r="E54" s="521" t="e">
        <f ca="1">gr(charge_entree[[#This Row],[ch_E_NH4]])</f>
        <v>#NAME?</v>
      </c>
      <c r="F54" s="521" t="e">
        <f ca="1">gr(charge_entree[[#This Row],[ch_E_NTOT]])</f>
        <v>#NAME?</v>
      </c>
      <c r="G54" s="521" t="e">
        <f ca="1">gr(charge_entree[[#This Row],[ch_E_PTOT]])</f>
        <v>#NAME?</v>
      </c>
      <c r="H54" s="521" t="e">
        <f ca="1">gr(charge_entree[[#This Row],[ch_S_DBO]])</f>
        <v>#NAME?</v>
      </c>
      <c r="I54" s="521" t="e">
        <f ca="1">gr(charge_entree[[#This Row],[ch_S-DCO]])</f>
        <v>#NAME?</v>
      </c>
      <c r="J54" s="521" t="e">
        <f ca="1">gr(charge_entree[[#This Row],[ch_S_DOC]])</f>
        <v>#NAME?</v>
      </c>
      <c r="K54" s="521" t="e">
        <f ca="1">gr(charge_entree[[#This Row],[ch_S_NH4]])</f>
        <v>#NAME?</v>
      </c>
      <c r="L54" s="521" t="e">
        <f ca="1">gr(charge_entree[[#This Row],[ch_S_NO2]])</f>
        <v>#NAME?</v>
      </c>
      <c r="M54" s="521" t="e">
        <f ca="1">gr(charge_entree[[#This Row],[ch_S_NO3]])</f>
        <v>#NAME?</v>
      </c>
      <c r="N54" s="521" t="e">
        <f ca="1">gr(charge_entree[[#This Row],[ch_S_PTOT]])</f>
        <v>#NAME?</v>
      </c>
      <c r="O54" s="521" t="e">
        <f ca="1">gr(charge_entree[[#This Row],[ch_S_SNDT]])</f>
        <v>#NAME?</v>
      </c>
    </row>
    <row r="55" spans="1:15" x14ac:dyDescent="0.2">
      <c r="A55" s="222">
        <f>calculs!A55</f>
        <v>44606</v>
      </c>
      <c r="B55" s="521" t="e">
        <f ca="1">gr(charge_entree[[#This Row],[ch_E_DBO5]])</f>
        <v>#NAME?</v>
      </c>
      <c r="C55" s="521" t="e">
        <f ca="1">gr(charge_entree[[#This Row],[ch_E_DCO]])</f>
        <v>#NAME?</v>
      </c>
      <c r="D55" s="521" t="e">
        <f ca="1">gr(charge_entree[[#This Row],[ch_E_COT]])</f>
        <v>#NAME?</v>
      </c>
      <c r="E55" s="521" t="e">
        <f ca="1">gr(charge_entree[[#This Row],[ch_E_NH4]])</f>
        <v>#NAME?</v>
      </c>
      <c r="F55" s="521" t="e">
        <f ca="1">gr(charge_entree[[#This Row],[ch_E_NTOT]])</f>
        <v>#NAME?</v>
      </c>
      <c r="G55" s="521" t="e">
        <f ca="1">gr(charge_entree[[#This Row],[ch_E_PTOT]])</f>
        <v>#NAME?</v>
      </c>
      <c r="H55" s="521" t="e">
        <f ca="1">gr(charge_entree[[#This Row],[ch_S_DBO]])</f>
        <v>#NAME?</v>
      </c>
      <c r="I55" s="521" t="e">
        <f ca="1">gr(charge_entree[[#This Row],[ch_S-DCO]])</f>
        <v>#NAME?</v>
      </c>
      <c r="J55" s="521" t="e">
        <f ca="1">gr(charge_entree[[#This Row],[ch_S_DOC]])</f>
        <v>#NAME?</v>
      </c>
      <c r="K55" s="521" t="e">
        <f ca="1">gr(charge_entree[[#This Row],[ch_S_NH4]])</f>
        <v>#NAME?</v>
      </c>
      <c r="L55" s="521" t="e">
        <f ca="1">gr(charge_entree[[#This Row],[ch_S_NO2]])</f>
        <v>#NAME?</v>
      </c>
      <c r="M55" s="521" t="e">
        <f ca="1">gr(charge_entree[[#This Row],[ch_S_NO3]])</f>
        <v>#NAME?</v>
      </c>
      <c r="N55" s="521" t="e">
        <f ca="1">gr(charge_entree[[#This Row],[ch_S_PTOT]])</f>
        <v>#NAME?</v>
      </c>
      <c r="O55" s="521" t="e">
        <f ca="1">gr(charge_entree[[#This Row],[ch_S_SNDT]])</f>
        <v>#NAME?</v>
      </c>
    </row>
    <row r="56" spans="1:15" x14ac:dyDescent="0.2">
      <c r="A56" s="222">
        <f>calculs!A56</f>
        <v>44607</v>
      </c>
      <c r="B56" s="521" t="e">
        <f ca="1">gr(charge_entree[[#This Row],[ch_E_DBO5]])</f>
        <v>#NAME?</v>
      </c>
      <c r="C56" s="521" t="e">
        <f ca="1">gr(charge_entree[[#This Row],[ch_E_DCO]])</f>
        <v>#NAME?</v>
      </c>
      <c r="D56" s="521" t="e">
        <f ca="1">gr(charge_entree[[#This Row],[ch_E_COT]])</f>
        <v>#NAME?</v>
      </c>
      <c r="E56" s="521" t="e">
        <f ca="1">gr(charge_entree[[#This Row],[ch_E_NH4]])</f>
        <v>#NAME?</v>
      </c>
      <c r="F56" s="521" t="e">
        <f ca="1">gr(charge_entree[[#This Row],[ch_E_NTOT]])</f>
        <v>#NAME?</v>
      </c>
      <c r="G56" s="521" t="e">
        <f ca="1">gr(charge_entree[[#This Row],[ch_E_PTOT]])</f>
        <v>#NAME?</v>
      </c>
      <c r="H56" s="521" t="e">
        <f ca="1">gr(charge_entree[[#This Row],[ch_S_DBO]])</f>
        <v>#NAME?</v>
      </c>
      <c r="I56" s="521" t="e">
        <f ca="1">gr(charge_entree[[#This Row],[ch_S-DCO]])</f>
        <v>#NAME?</v>
      </c>
      <c r="J56" s="521" t="e">
        <f ca="1">gr(charge_entree[[#This Row],[ch_S_DOC]])</f>
        <v>#NAME?</v>
      </c>
      <c r="K56" s="521" t="e">
        <f ca="1">gr(charge_entree[[#This Row],[ch_S_NH4]])</f>
        <v>#NAME?</v>
      </c>
      <c r="L56" s="521" t="e">
        <f ca="1">gr(charge_entree[[#This Row],[ch_S_NO2]])</f>
        <v>#NAME?</v>
      </c>
      <c r="M56" s="521" t="e">
        <f ca="1">gr(charge_entree[[#This Row],[ch_S_NO3]])</f>
        <v>#NAME?</v>
      </c>
      <c r="N56" s="521" t="e">
        <f ca="1">gr(charge_entree[[#This Row],[ch_S_PTOT]])</f>
        <v>#NAME?</v>
      </c>
      <c r="O56" s="521" t="e">
        <f ca="1">gr(charge_entree[[#This Row],[ch_S_SNDT]])</f>
        <v>#NAME?</v>
      </c>
    </row>
    <row r="57" spans="1:15" x14ac:dyDescent="0.2">
      <c r="A57" s="222">
        <f>calculs!A57</f>
        <v>44608</v>
      </c>
      <c r="B57" s="521" t="e">
        <f ca="1">gr(charge_entree[[#This Row],[ch_E_DBO5]])</f>
        <v>#NAME?</v>
      </c>
      <c r="C57" s="521" t="e">
        <f ca="1">gr(charge_entree[[#This Row],[ch_E_DCO]])</f>
        <v>#NAME?</v>
      </c>
      <c r="D57" s="521" t="e">
        <f ca="1">gr(charge_entree[[#This Row],[ch_E_COT]])</f>
        <v>#NAME?</v>
      </c>
      <c r="E57" s="521" t="e">
        <f ca="1">gr(charge_entree[[#This Row],[ch_E_NH4]])</f>
        <v>#NAME?</v>
      </c>
      <c r="F57" s="521" t="e">
        <f ca="1">gr(charge_entree[[#This Row],[ch_E_NTOT]])</f>
        <v>#NAME?</v>
      </c>
      <c r="G57" s="521" t="e">
        <f ca="1">gr(charge_entree[[#This Row],[ch_E_PTOT]])</f>
        <v>#NAME?</v>
      </c>
      <c r="H57" s="521" t="e">
        <f ca="1">gr(charge_entree[[#This Row],[ch_S_DBO]])</f>
        <v>#NAME?</v>
      </c>
      <c r="I57" s="521" t="e">
        <f ca="1">gr(charge_entree[[#This Row],[ch_S-DCO]])</f>
        <v>#NAME?</v>
      </c>
      <c r="J57" s="521" t="e">
        <f ca="1">gr(charge_entree[[#This Row],[ch_S_DOC]])</f>
        <v>#NAME?</v>
      </c>
      <c r="K57" s="521" t="e">
        <f ca="1">gr(charge_entree[[#This Row],[ch_S_NH4]])</f>
        <v>#NAME?</v>
      </c>
      <c r="L57" s="521" t="e">
        <f ca="1">gr(charge_entree[[#This Row],[ch_S_NO2]])</f>
        <v>#NAME?</v>
      </c>
      <c r="M57" s="521" t="e">
        <f ca="1">gr(charge_entree[[#This Row],[ch_S_NO3]])</f>
        <v>#NAME?</v>
      </c>
      <c r="N57" s="521" t="e">
        <f ca="1">gr(charge_entree[[#This Row],[ch_S_PTOT]])</f>
        <v>#NAME?</v>
      </c>
      <c r="O57" s="521" t="e">
        <f ca="1">gr(charge_entree[[#This Row],[ch_S_SNDT]])</f>
        <v>#NAME?</v>
      </c>
    </row>
    <row r="58" spans="1:15" x14ac:dyDescent="0.2">
      <c r="A58" s="222">
        <f>calculs!A58</f>
        <v>44609</v>
      </c>
      <c r="B58" s="521" t="e">
        <f ca="1">gr(charge_entree[[#This Row],[ch_E_DBO5]])</f>
        <v>#NAME?</v>
      </c>
      <c r="C58" s="521" t="e">
        <f ca="1">gr(charge_entree[[#This Row],[ch_E_DCO]])</f>
        <v>#NAME?</v>
      </c>
      <c r="D58" s="521" t="e">
        <f ca="1">gr(charge_entree[[#This Row],[ch_E_COT]])</f>
        <v>#NAME?</v>
      </c>
      <c r="E58" s="521" t="e">
        <f ca="1">gr(charge_entree[[#This Row],[ch_E_NH4]])</f>
        <v>#NAME?</v>
      </c>
      <c r="F58" s="521" t="e">
        <f ca="1">gr(charge_entree[[#This Row],[ch_E_NTOT]])</f>
        <v>#NAME?</v>
      </c>
      <c r="G58" s="521" t="e">
        <f ca="1">gr(charge_entree[[#This Row],[ch_E_PTOT]])</f>
        <v>#NAME?</v>
      </c>
      <c r="H58" s="521" t="e">
        <f ca="1">gr(charge_entree[[#This Row],[ch_S_DBO]])</f>
        <v>#NAME?</v>
      </c>
      <c r="I58" s="521" t="e">
        <f ca="1">gr(charge_entree[[#This Row],[ch_S-DCO]])</f>
        <v>#NAME?</v>
      </c>
      <c r="J58" s="521" t="e">
        <f ca="1">gr(charge_entree[[#This Row],[ch_S_DOC]])</f>
        <v>#NAME?</v>
      </c>
      <c r="K58" s="521" t="e">
        <f ca="1">gr(charge_entree[[#This Row],[ch_S_NH4]])</f>
        <v>#NAME?</v>
      </c>
      <c r="L58" s="521" t="e">
        <f ca="1">gr(charge_entree[[#This Row],[ch_S_NO2]])</f>
        <v>#NAME?</v>
      </c>
      <c r="M58" s="521" t="e">
        <f ca="1">gr(charge_entree[[#This Row],[ch_S_NO3]])</f>
        <v>#NAME?</v>
      </c>
      <c r="N58" s="521" t="e">
        <f ca="1">gr(charge_entree[[#This Row],[ch_S_PTOT]])</f>
        <v>#NAME?</v>
      </c>
      <c r="O58" s="521" t="e">
        <f ca="1">gr(charge_entree[[#This Row],[ch_S_SNDT]])</f>
        <v>#NAME?</v>
      </c>
    </row>
    <row r="59" spans="1:15" x14ac:dyDescent="0.2">
      <c r="A59" s="222">
        <f>calculs!A59</f>
        <v>44610</v>
      </c>
      <c r="B59" s="521" t="e">
        <f ca="1">gr(charge_entree[[#This Row],[ch_E_DBO5]])</f>
        <v>#NAME?</v>
      </c>
      <c r="C59" s="521" t="e">
        <f ca="1">gr(charge_entree[[#This Row],[ch_E_DCO]])</f>
        <v>#NAME?</v>
      </c>
      <c r="D59" s="521" t="e">
        <f ca="1">gr(charge_entree[[#This Row],[ch_E_COT]])</f>
        <v>#NAME?</v>
      </c>
      <c r="E59" s="521" t="e">
        <f ca="1">gr(charge_entree[[#This Row],[ch_E_NH4]])</f>
        <v>#NAME?</v>
      </c>
      <c r="F59" s="521" t="e">
        <f ca="1">gr(charge_entree[[#This Row],[ch_E_NTOT]])</f>
        <v>#NAME?</v>
      </c>
      <c r="G59" s="521" t="e">
        <f ca="1">gr(charge_entree[[#This Row],[ch_E_PTOT]])</f>
        <v>#NAME?</v>
      </c>
      <c r="H59" s="521" t="e">
        <f ca="1">gr(charge_entree[[#This Row],[ch_S_DBO]])</f>
        <v>#NAME?</v>
      </c>
      <c r="I59" s="521" t="e">
        <f ca="1">gr(charge_entree[[#This Row],[ch_S-DCO]])</f>
        <v>#NAME?</v>
      </c>
      <c r="J59" s="521" t="e">
        <f ca="1">gr(charge_entree[[#This Row],[ch_S_DOC]])</f>
        <v>#NAME?</v>
      </c>
      <c r="K59" s="521" t="e">
        <f ca="1">gr(charge_entree[[#This Row],[ch_S_NH4]])</f>
        <v>#NAME?</v>
      </c>
      <c r="L59" s="521" t="e">
        <f ca="1">gr(charge_entree[[#This Row],[ch_S_NO2]])</f>
        <v>#NAME?</v>
      </c>
      <c r="M59" s="521" t="e">
        <f ca="1">gr(charge_entree[[#This Row],[ch_S_NO3]])</f>
        <v>#NAME?</v>
      </c>
      <c r="N59" s="521" t="e">
        <f ca="1">gr(charge_entree[[#This Row],[ch_S_PTOT]])</f>
        <v>#NAME?</v>
      </c>
      <c r="O59" s="521" t="e">
        <f ca="1">gr(charge_entree[[#This Row],[ch_S_SNDT]])</f>
        <v>#NAME?</v>
      </c>
    </row>
    <row r="60" spans="1:15" x14ac:dyDescent="0.2">
      <c r="A60" s="222">
        <f>calculs!A60</f>
        <v>44611</v>
      </c>
      <c r="B60" s="521" t="e">
        <f ca="1">gr(charge_entree[[#This Row],[ch_E_DBO5]])</f>
        <v>#NAME?</v>
      </c>
      <c r="C60" s="521" t="e">
        <f ca="1">gr(charge_entree[[#This Row],[ch_E_DCO]])</f>
        <v>#NAME?</v>
      </c>
      <c r="D60" s="521" t="e">
        <f ca="1">gr(charge_entree[[#This Row],[ch_E_COT]])</f>
        <v>#NAME?</v>
      </c>
      <c r="E60" s="521" t="e">
        <f ca="1">gr(charge_entree[[#This Row],[ch_E_NH4]])</f>
        <v>#NAME?</v>
      </c>
      <c r="F60" s="521" t="e">
        <f ca="1">gr(charge_entree[[#This Row],[ch_E_NTOT]])</f>
        <v>#NAME?</v>
      </c>
      <c r="G60" s="521" t="e">
        <f ca="1">gr(charge_entree[[#This Row],[ch_E_PTOT]])</f>
        <v>#NAME?</v>
      </c>
      <c r="H60" s="521" t="e">
        <f ca="1">gr(charge_entree[[#This Row],[ch_S_DBO]])</f>
        <v>#NAME?</v>
      </c>
      <c r="I60" s="521" t="e">
        <f ca="1">gr(charge_entree[[#This Row],[ch_S-DCO]])</f>
        <v>#NAME?</v>
      </c>
      <c r="J60" s="521" t="e">
        <f ca="1">gr(charge_entree[[#This Row],[ch_S_DOC]])</f>
        <v>#NAME?</v>
      </c>
      <c r="K60" s="521" t="e">
        <f ca="1">gr(charge_entree[[#This Row],[ch_S_NH4]])</f>
        <v>#NAME?</v>
      </c>
      <c r="L60" s="521" t="e">
        <f ca="1">gr(charge_entree[[#This Row],[ch_S_NO2]])</f>
        <v>#NAME?</v>
      </c>
      <c r="M60" s="521" t="e">
        <f ca="1">gr(charge_entree[[#This Row],[ch_S_NO3]])</f>
        <v>#NAME?</v>
      </c>
      <c r="N60" s="521" t="e">
        <f ca="1">gr(charge_entree[[#This Row],[ch_S_PTOT]])</f>
        <v>#NAME?</v>
      </c>
      <c r="O60" s="521" t="e">
        <f ca="1">gr(charge_entree[[#This Row],[ch_S_SNDT]])</f>
        <v>#NAME?</v>
      </c>
    </row>
    <row r="61" spans="1:15" x14ac:dyDescent="0.2">
      <c r="A61" s="222">
        <f>calculs!A61</f>
        <v>44612</v>
      </c>
      <c r="B61" s="521" t="e">
        <f ca="1">gr(charge_entree[[#This Row],[ch_E_DBO5]])</f>
        <v>#NAME?</v>
      </c>
      <c r="C61" s="521" t="e">
        <f ca="1">gr(charge_entree[[#This Row],[ch_E_DCO]])</f>
        <v>#NAME?</v>
      </c>
      <c r="D61" s="521" t="e">
        <f ca="1">gr(charge_entree[[#This Row],[ch_E_COT]])</f>
        <v>#NAME?</v>
      </c>
      <c r="E61" s="521" t="e">
        <f ca="1">gr(charge_entree[[#This Row],[ch_E_NH4]])</f>
        <v>#NAME?</v>
      </c>
      <c r="F61" s="521" t="e">
        <f ca="1">gr(charge_entree[[#This Row],[ch_E_NTOT]])</f>
        <v>#NAME?</v>
      </c>
      <c r="G61" s="521" t="e">
        <f ca="1">gr(charge_entree[[#This Row],[ch_E_PTOT]])</f>
        <v>#NAME?</v>
      </c>
      <c r="H61" s="521" t="e">
        <f ca="1">gr(charge_entree[[#This Row],[ch_S_DBO]])</f>
        <v>#NAME?</v>
      </c>
      <c r="I61" s="521" t="e">
        <f ca="1">gr(charge_entree[[#This Row],[ch_S-DCO]])</f>
        <v>#NAME?</v>
      </c>
      <c r="J61" s="521" t="e">
        <f ca="1">gr(charge_entree[[#This Row],[ch_S_DOC]])</f>
        <v>#NAME?</v>
      </c>
      <c r="K61" s="521" t="e">
        <f ca="1">gr(charge_entree[[#This Row],[ch_S_NH4]])</f>
        <v>#NAME?</v>
      </c>
      <c r="L61" s="521" t="e">
        <f ca="1">gr(charge_entree[[#This Row],[ch_S_NO2]])</f>
        <v>#NAME?</v>
      </c>
      <c r="M61" s="521" t="e">
        <f ca="1">gr(charge_entree[[#This Row],[ch_S_NO3]])</f>
        <v>#NAME?</v>
      </c>
      <c r="N61" s="521" t="e">
        <f ca="1">gr(charge_entree[[#This Row],[ch_S_PTOT]])</f>
        <v>#NAME?</v>
      </c>
      <c r="O61" s="521" t="e">
        <f ca="1">gr(charge_entree[[#This Row],[ch_S_SNDT]])</f>
        <v>#NAME?</v>
      </c>
    </row>
    <row r="62" spans="1:15" x14ac:dyDescent="0.2">
      <c r="A62" s="222">
        <f>calculs!A62</f>
        <v>44613</v>
      </c>
      <c r="B62" s="521" t="e">
        <f ca="1">gr(charge_entree[[#This Row],[ch_E_DBO5]])</f>
        <v>#NAME?</v>
      </c>
      <c r="C62" s="521" t="e">
        <f ca="1">gr(charge_entree[[#This Row],[ch_E_DCO]])</f>
        <v>#NAME?</v>
      </c>
      <c r="D62" s="521" t="e">
        <f ca="1">gr(charge_entree[[#This Row],[ch_E_COT]])</f>
        <v>#NAME?</v>
      </c>
      <c r="E62" s="521" t="e">
        <f ca="1">gr(charge_entree[[#This Row],[ch_E_NH4]])</f>
        <v>#NAME?</v>
      </c>
      <c r="F62" s="521" t="e">
        <f ca="1">gr(charge_entree[[#This Row],[ch_E_NTOT]])</f>
        <v>#NAME?</v>
      </c>
      <c r="G62" s="521" t="e">
        <f ca="1">gr(charge_entree[[#This Row],[ch_E_PTOT]])</f>
        <v>#NAME?</v>
      </c>
      <c r="H62" s="521" t="e">
        <f ca="1">gr(charge_entree[[#This Row],[ch_S_DBO]])</f>
        <v>#NAME?</v>
      </c>
      <c r="I62" s="521" t="e">
        <f ca="1">gr(charge_entree[[#This Row],[ch_S-DCO]])</f>
        <v>#NAME?</v>
      </c>
      <c r="J62" s="521" t="e">
        <f ca="1">gr(charge_entree[[#This Row],[ch_S_DOC]])</f>
        <v>#NAME?</v>
      </c>
      <c r="K62" s="521" t="e">
        <f ca="1">gr(charge_entree[[#This Row],[ch_S_NH4]])</f>
        <v>#NAME?</v>
      </c>
      <c r="L62" s="521" t="e">
        <f ca="1">gr(charge_entree[[#This Row],[ch_S_NO2]])</f>
        <v>#NAME?</v>
      </c>
      <c r="M62" s="521" t="e">
        <f ca="1">gr(charge_entree[[#This Row],[ch_S_NO3]])</f>
        <v>#NAME?</v>
      </c>
      <c r="N62" s="521" t="e">
        <f ca="1">gr(charge_entree[[#This Row],[ch_S_PTOT]])</f>
        <v>#NAME?</v>
      </c>
      <c r="O62" s="521" t="e">
        <f ca="1">gr(charge_entree[[#This Row],[ch_S_SNDT]])</f>
        <v>#NAME?</v>
      </c>
    </row>
    <row r="63" spans="1:15" x14ac:dyDescent="0.2">
      <c r="A63" s="222">
        <f>calculs!A63</f>
        <v>44614</v>
      </c>
      <c r="B63" s="521" t="e">
        <f ca="1">gr(charge_entree[[#This Row],[ch_E_DBO5]])</f>
        <v>#NAME?</v>
      </c>
      <c r="C63" s="521" t="e">
        <f ca="1">gr(charge_entree[[#This Row],[ch_E_DCO]])</f>
        <v>#NAME?</v>
      </c>
      <c r="D63" s="521" t="e">
        <f ca="1">gr(charge_entree[[#This Row],[ch_E_COT]])</f>
        <v>#NAME?</v>
      </c>
      <c r="E63" s="521" t="e">
        <f ca="1">gr(charge_entree[[#This Row],[ch_E_NH4]])</f>
        <v>#NAME?</v>
      </c>
      <c r="F63" s="521" t="e">
        <f ca="1">gr(charge_entree[[#This Row],[ch_E_NTOT]])</f>
        <v>#NAME?</v>
      </c>
      <c r="G63" s="521" t="e">
        <f ca="1">gr(charge_entree[[#This Row],[ch_E_PTOT]])</f>
        <v>#NAME?</v>
      </c>
      <c r="H63" s="521" t="e">
        <f ca="1">gr(charge_entree[[#This Row],[ch_S_DBO]])</f>
        <v>#NAME?</v>
      </c>
      <c r="I63" s="521" t="e">
        <f ca="1">gr(charge_entree[[#This Row],[ch_S-DCO]])</f>
        <v>#NAME?</v>
      </c>
      <c r="J63" s="521" t="e">
        <f ca="1">gr(charge_entree[[#This Row],[ch_S_DOC]])</f>
        <v>#NAME?</v>
      </c>
      <c r="K63" s="521" t="e">
        <f ca="1">gr(charge_entree[[#This Row],[ch_S_NH4]])</f>
        <v>#NAME?</v>
      </c>
      <c r="L63" s="521" t="e">
        <f ca="1">gr(charge_entree[[#This Row],[ch_S_NO2]])</f>
        <v>#NAME?</v>
      </c>
      <c r="M63" s="521" t="e">
        <f ca="1">gr(charge_entree[[#This Row],[ch_S_NO3]])</f>
        <v>#NAME?</v>
      </c>
      <c r="N63" s="521" t="e">
        <f ca="1">gr(charge_entree[[#This Row],[ch_S_PTOT]])</f>
        <v>#NAME?</v>
      </c>
      <c r="O63" s="521" t="e">
        <f ca="1">gr(charge_entree[[#This Row],[ch_S_SNDT]])</f>
        <v>#NAME?</v>
      </c>
    </row>
    <row r="64" spans="1:15" x14ac:dyDescent="0.2">
      <c r="A64" s="222">
        <f>calculs!A64</f>
        <v>44615</v>
      </c>
      <c r="B64" s="521" t="e">
        <f ca="1">gr(charge_entree[[#This Row],[ch_E_DBO5]])</f>
        <v>#NAME?</v>
      </c>
      <c r="C64" s="521" t="e">
        <f ca="1">gr(charge_entree[[#This Row],[ch_E_DCO]])</f>
        <v>#NAME?</v>
      </c>
      <c r="D64" s="521" t="e">
        <f ca="1">gr(charge_entree[[#This Row],[ch_E_COT]])</f>
        <v>#NAME?</v>
      </c>
      <c r="E64" s="521" t="e">
        <f ca="1">gr(charge_entree[[#This Row],[ch_E_NH4]])</f>
        <v>#NAME?</v>
      </c>
      <c r="F64" s="521" t="e">
        <f ca="1">gr(charge_entree[[#This Row],[ch_E_NTOT]])</f>
        <v>#NAME?</v>
      </c>
      <c r="G64" s="521" t="e">
        <f ca="1">gr(charge_entree[[#This Row],[ch_E_PTOT]])</f>
        <v>#NAME?</v>
      </c>
      <c r="H64" s="521" t="e">
        <f ca="1">gr(charge_entree[[#This Row],[ch_S_DBO]])</f>
        <v>#NAME?</v>
      </c>
      <c r="I64" s="521" t="e">
        <f ca="1">gr(charge_entree[[#This Row],[ch_S-DCO]])</f>
        <v>#NAME?</v>
      </c>
      <c r="J64" s="521" t="e">
        <f ca="1">gr(charge_entree[[#This Row],[ch_S_DOC]])</f>
        <v>#NAME?</v>
      </c>
      <c r="K64" s="521" t="e">
        <f ca="1">gr(charge_entree[[#This Row],[ch_S_NH4]])</f>
        <v>#NAME?</v>
      </c>
      <c r="L64" s="521" t="e">
        <f ca="1">gr(charge_entree[[#This Row],[ch_S_NO2]])</f>
        <v>#NAME?</v>
      </c>
      <c r="M64" s="521" t="e">
        <f ca="1">gr(charge_entree[[#This Row],[ch_S_NO3]])</f>
        <v>#NAME?</v>
      </c>
      <c r="N64" s="521" t="e">
        <f ca="1">gr(charge_entree[[#This Row],[ch_S_PTOT]])</f>
        <v>#NAME?</v>
      </c>
      <c r="O64" s="521" t="e">
        <f ca="1">gr(charge_entree[[#This Row],[ch_S_SNDT]])</f>
        <v>#NAME?</v>
      </c>
    </row>
    <row r="65" spans="1:15" x14ac:dyDescent="0.2">
      <c r="A65" s="222">
        <f>calculs!A65</f>
        <v>44616</v>
      </c>
      <c r="B65" s="521" t="e">
        <f ca="1">gr(charge_entree[[#This Row],[ch_E_DBO5]])</f>
        <v>#NAME?</v>
      </c>
      <c r="C65" s="521" t="e">
        <f ca="1">gr(charge_entree[[#This Row],[ch_E_DCO]])</f>
        <v>#NAME?</v>
      </c>
      <c r="D65" s="521" t="e">
        <f ca="1">gr(charge_entree[[#This Row],[ch_E_COT]])</f>
        <v>#NAME?</v>
      </c>
      <c r="E65" s="521" t="e">
        <f ca="1">gr(charge_entree[[#This Row],[ch_E_NH4]])</f>
        <v>#NAME?</v>
      </c>
      <c r="F65" s="521" t="e">
        <f ca="1">gr(charge_entree[[#This Row],[ch_E_NTOT]])</f>
        <v>#NAME?</v>
      </c>
      <c r="G65" s="521" t="e">
        <f ca="1">gr(charge_entree[[#This Row],[ch_E_PTOT]])</f>
        <v>#NAME?</v>
      </c>
      <c r="H65" s="521" t="e">
        <f ca="1">gr(charge_entree[[#This Row],[ch_S_DBO]])</f>
        <v>#NAME?</v>
      </c>
      <c r="I65" s="521" t="e">
        <f ca="1">gr(charge_entree[[#This Row],[ch_S-DCO]])</f>
        <v>#NAME?</v>
      </c>
      <c r="J65" s="521" t="e">
        <f ca="1">gr(charge_entree[[#This Row],[ch_S_DOC]])</f>
        <v>#NAME?</v>
      </c>
      <c r="K65" s="521" t="e">
        <f ca="1">gr(charge_entree[[#This Row],[ch_S_NH4]])</f>
        <v>#NAME?</v>
      </c>
      <c r="L65" s="521" t="e">
        <f ca="1">gr(charge_entree[[#This Row],[ch_S_NO2]])</f>
        <v>#NAME?</v>
      </c>
      <c r="M65" s="521" t="e">
        <f ca="1">gr(charge_entree[[#This Row],[ch_S_NO3]])</f>
        <v>#NAME?</v>
      </c>
      <c r="N65" s="521" t="e">
        <f ca="1">gr(charge_entree[[#This Row],[ch_S_PTOT]])</f>
        <v>#NAME?</v>
      </c>
      <c r="O65" s="521" t="e">
        <f ca="1">gr(charge_entree[[#This Row],[ch_S_SNDT]])</f>
        <v>#NAME?</v>
      </c>
    </row>
    <row r="66" spans="1:15" x14ac:dyDescent="0.2">
      <c r="A66" s="222">
        <f>calculs!A66</f>
        <v>44617</v>
      </c>
      <c r="B66" s="521" t="e">
        <f ca="1">gr(charge_entree[[#This Row],[ch_E_DBO5]])</f>
        <v>#NAME?</v>
      </c>
      <c r="C66" s="521" t="e">
        <f ca="1">gr(charge_entree[[#This Row],[ch_E_DCO]])</f>
        <v>#NAME?</v>
      </c>
      <c r="D66" s="521" t="e">
        <f ca="1">gr(charge_entree[[#This Row],[ch_E_COT]])</f>
        <v>#NAME?</v>
      </c>
      <c r="E66" s="521" t="e">
        <f ca="1">gr(charge_entree[[#This Row],[ch_E_NH4]])</f>
        <v>#NAME?</v>
      </c>
      <c r="F66" s="521" t="e">
        <f ca="1">gr(charge_entree[[#This Row],[ch_E_NTOT]])</f>
        <v>#NAME?</v>
      </c>
      <c r="G66" s="521" t="e">
        <f ca="1">gr(charge_entree[[#This Row],[ch_E_PTOT]])</f>
        <v>#NAME?</v>
      </c>
      <c r="H66" s="521" t="e">
        <f ca="1">gr(charge_entree[[#This Row],[ch_S_DBO]])</f>
        <v>#NAME?</v>
      </c>
      <c r="I66" s="521" t="e">
        <f ca="1">gr(charge_entree[[#This Row],[ch_S-DCO]])</f>
        <v>#NAME?</v>
      </c>
      <c r="J66" s="521" t="e">
        <f ca="1">gr(charge_entree[[#This Row],[ch_S_DOC]])</f>
        <v>#NAME?</v>
      </c>
      <c r="K66" s="521" t="e">
        <f ca="1">gr(charge_entree[[#This Row],[ch_S_NH4]])</f>
        <v>#NAME?</v>
      </c>
      <c r="L66" s="521" t="e">
        <f ca="1">gr(charge_entree[[#This Row],[ch_S_NO2]])</f>
        <v>#NAME?</v>
      </c>
      <c r="M66" s="521" t="e">
        <f ca="1">gr(charge_entree[[#This Row],[ch_S_NO3]])</f>
        <v>#NAME?</v>
      </c>
      <c r="N66" s="521" t="e">
        <f ca="1">gr(charge_entree[[#This Row],[ch_S_PTOT]])</f>
        <v>#NAME?</v>
      </c>
      <c r="O66" s="521" t="e">
        <f ca="1">gr(charge_entree[[#This Row],[ch_S_SNDT]])</f>
        <v>#NAME?</v>
      </c>
    </row>
    <row r="67" spans="1:15" x14ac:dyDescent="0.2">
      <c r="A67" s="222">
        <f>calculs!A67</f>
        <v>44618</v>
      </c>
      <c r="B67" s="521" t="e">
        <f ca="1">gr(charge_entree[[#This Row],[ch_E_DBO5]])</f>
        <v>#NAME?</v>
      </c>
      <c r="C67" s="521" t="e">
        <f ca="1">gr(charge_entree[[#This Row],[ch_E_DCO]])</f>
        <v>#NAME?</v>
      </c>
      <c r="D67" s="521" t="e">
        <f ca="1">gr(charge_entree[[#This Row],[ch_E_COT]])</f>
        <v>#NAME?</v>
      </c>
      <c r="E67" s="521" t="e">
        <f ca="1">gr(charge_entree[[#This Row],[ch_E_NH4]])</f>
        <v>#NAME?</v>
      </c>
      <c r="F67" s="521" t="e">
        <f ca="1">gr(charge_entree[[#This Row],[ch_E_NTOT]])</f>
        <v>#NAME?</v>
      </c>
      <c r="G67" s="521" t="e">
        <f ca="1">gr(charge_entree[[#This Row],[ch_E_PTOT]])</f>
        <v>#NAME?</v>
      </c>
      <c r="H67" s="521" t="e">
        <f ca="1">gr(charge_entree[[#This Row],[ch_S_DBO]])</f>
        <v>#NAME?</v>
      </c>
      <c r="I67" s="521" t="e">
        <f ca="1">gr(charge_entree[[#This Row],[ch_S-DCO]])</f>
        <v>#NAME?</v>
      </c>
      <c r="J67" s="521" t="e">
        <f ca="1">gr(charge_entree[[#This Row],[ch_S_DOC]])</f>
        <v>#NAME?</v>
      </c>
      <c r="K67" s="521" t="e">
        <f ca="1">gr(charge_entree[[#This Row],[ch_S_NH4]])</f>
        <v>#NAME?</v>
      </c>
      <c r="L67" s="521" t="e">
        <f ca="1">gr(charge_entree[[#This Row],[ch_S_NO2]])</f>
        <v>#NAME?</v>
      </c>
      <c r="M67" s="521" t="e">
        <f ca="1">gr(charge_entree[[#This Row],[ch_S_NO3]])</f>
        <v>#NAME?</v>
      </c>
      <c r="N67" s="521" t="e">
        <f ca="1">gr(charge_entree[[#This Row],[ch_S_PTOT]])</f>
        <v>#NAME?</v>
      </c>
      <c r="O67" s="521" t="e">
        <f ca="1">gr(charge_entree[[#This Row],[ch_S_SNDT]])</f>
        <v>#NAME?</v>
      </c>
    </row>
    <row r="68" spans="1:15" x14ac:dyDescent="0.2">
      <c r="A68" s="222">
        <f>calculs!A68</f>
        <v>44619</v>
      </c>
      <c r="B68" s="521" t="e">
        <f ca="1">gr(charge_entree[[#This Row],[ch_E_DBO5]])</f>
        <v>#NAME?</v>
      </c>
      <c r="C68" s="521" t="e">
        <f ca="1">gr(charge_entree[[#This Row],[ch_E_DCO]])</f>
        <v>#NAME?</v>
      </c>
      <c r="D68" s="521" t="e">
        <f ca="1">gr(charge_entree[[#This Row],[ch_E_COT]])</f>
        <v>#NAME?</v>
      </c>
      <c r="E68" s="521" t="e">
        <f ca="1">gr(charge_entree[[#This Row],[ch_E_NH4]])</f>
        <v>#NAME?</v>
      </c>
      <c r="F68" s="521" t="e">
        <f ca="1">gr(charge_entree[[#This Row],[ch_E_NTOT]])</f>
        <v>#NAME?</v>
      </c>
      <c r="G68" s="521" t="e">
        <f ca="1">gr(charge_entree[[#This Row],[ch_E_PTOT]])</f>
        <v>#NAME?</v>
      </c>
      <c r="H68" s="521" t="e">
        <f ca="1">gr(charge_entree[[#This Row],[ch_S_DBO]])</f>
        <v>#NAME?</v>
      </c>
      <c r="I68" s="521" t="e">
        <f ca="1">gr(charge_entree[[#This Row],[ch_S-DCO]])</f>
        <v>#NAME?</v>
      </c>
      <c r="J68" s="521" t="e">
        <f ca="1">gr(charge_entree[[#This Row],[ch_S_DOC]])</f>
        <v>#NAME?</v>
      </c>
      <c r="K68" s="521" t="e">
        <f ca="1">gr(charge_entree[[#This Row],[ch_S_NH4]])</f>
        <v>#NAME?</v>
      </c>
      <c r="L68" s="521" t="e">
        <f ca="1">gr(charge_entree[[#This Row],[ch_S_NO2]])</f>
        <v>#NAME?</v>
      </c>
      <c r="M68" s="521" t="e">
        <f ca="1">gr(charge_entree[[#This Row],[ch_S_NO3]])</f>
        <v>#NAME?</v>
      </c>
      <c r="N68" s="521" t="e">
        <f ca="1">gr(charge_entree[[#This Row],[ch_S_PTOT]])</f>
        <v>#NAME?</v>
      </c>
      <c r="O68" s="521" t="e">
        <f ca="1">gr(charge_entree[[#This Row],[ch_S_SNDT]])</f>
        <v>#NAME?</v>
      </c>
    </row>
    <row r="69" spans="1:15" x14ac:dyDescent="0.2">
      <c r="A69" s="222">
        <f>calculs!A69</f>
        <v>44620</v>
      </c>
      <c r="B69" s="521" t="e">
        <f ca="1">gr(charge_entree[[#This Row],[ch_E_DBO5]])</f>
        <v>#NAME?</v>
      </c>
      <c r="C69" s="521" t="e">
        <f ca="1">gr(charge_entree[[#This Row],[ch_E_DCO]])</f>
        <v>#NAME?</v>
      </c>
      <c r="D69" s="521" t="e">
        <f ca="1">gr(charge_entree[[#This Row],[ch_E_COT]])</f>
        <v>#NAME?</v>
      </c>
      <c r="E69" s="521" t="e">
        <f ca="1">gr(charge_entree[[#This Row],[ch_E_NH4]])</f>
        <v>#NAME?</v>
      </c>
      <c r="F69" s="521" t="e">
        <f ca="1">gr(charge_entree[[#This Row],[ch_E_NTOT]])</f>
        <v>#NAME?</v>
      </c>
      <c r="G69" s="521" t="e">
        <f ca="1">gr(charge_entree[[#This Row],[ch_E_PTOT]])</f>
        <v>#NAME?</v>
      </c>
      <c r="H69" s="521" t="e">
        <f ca="1">gr(charge_entree[[#This Row],[ch_S_DBO]])</f>
        <v>#NAME?</v>
      </c>
      <c r="I69" s="521" t="e">
        <f ca="1">gr(charge_entree[[#This Row],[ch_S-DCO]])</f>
        <v>#NAME?</v>
      </c>
      <c r="J69" s="521" t="e">
        <f ca="1">gr(charge_entree[[#This Row],[ch_S_DOC]])</f>
        <v>#NAME?</v>
      </c>
      <c r="K69" s="521" t="e">
        <f ca="1">gr(charge_entree[[#This Row],[ch_S_NH4]])</f>
        <v>#NAME?</v>
      </c>
      <c r="L69" s="521" t="e">
        <f ca="1">gr(charge_entree[[#This Row],[ch_S_NO2]])</f>
        <v>#NAME?</v>
      </c>
      <c r="M69" s="521" t="e">
        <f ca="1">gr(charge_entree[[#This Row],[ch_S_NO3]])</f>
        <v>#NAME?</v>
      </c>
      <c r="N69" s="521" t="e">
        <f ca="1">gr(charge_entree[[#This Row],[ch_S_PTOT]])</f>
        <v>#NAME?</v>
      </c>
      <c r="O69" s="521" t="e">
        <f ca="1">gr(charge_entree[[#This Row],[ch_S_SNDT]])</f>
        <v>#NAME?</v>
      </c>
    </row>
    <row r="70" spans="1:15" x14ac:dyDescent="0.2">
      <c r="A70" s="222">
        <f>calculs!A70</f>
        <v>44621</v>
      </c>
      <c r="B70" s="521" t="e">
        <f ca="1">gr(charge_entree[[#This Row],[ch_E_DBO5]])</f>
        <v>#NAME?</v>
      </c>
      <c r="C70" s="521" t="e">
        <f ca="1">gr(charge_entree[[#This Row],[ch_E_DCO]])</f>
        <v>#NAME?</v>
      </c>
      <c r="D70" s="521" t="e">
        <f ca="1">gr(charge_entree[[#This Row],[ch_E_COT]])</f>
        <v>#NAME?</v>
      </c>
      <c r="E70" s="521" t="e">
        <f ca="1">gr(charge_entree[[#This Row],[ch_E_NH4]])</f>
        <v>#NAME?</v>
      </c>
      <c r="F70" s="521" t="e">
        <f ca="1">gr(charge_entree[[#This Row],[ch_E_NTOT]])</f>
        <v>#NAME?</v>
      </c>
      <c r="G70" s="521" t="e">
        <f ca="1">gr(charge_entree[[#This Row],[ch_E_PTOT]])</f>
        <v>#NAME?</v>
      </c>
      <c r="H70" s="521" t="e">
        <f ca="1">gr(charge_entree[[#This Row],[ch_S_DBO]])</f>
        <v>#NAME?</v>
      </c>
      <c r="I70" s="521" t="e">
        <f ca="1">gr(charge_entree[[#This Row],[ch_S-DCO]])</f>
        <v>#NAME?</v>
      </c>
      <c r="J70" s="521" t="e">
        <f ca="1">gr(charge_entree[[#This Row],[ch_S_DOC]])</f>
        <v>#NAME?</v>
      </c>
      <c r="K70" s="521" t="e">
        <f ca="1">gr(charge_entree[[#This Row],[ch_S_NH4]])</f>
        <v>#NAME?</v>
      </c>
      <c r="L70" s="521" t="e">
        <f ca="1">gr(charge_entree[[#This Row],[ch_S_NO2]])</f>
        <v>#NAME?</v>
      </c>
      <c r="M70" s="521" t="e">
        <f ca="1">gr(charge_entree[[#This Row],[ch_S_NO3]])</f>
        <v>#NAME?</v>
      </c>
      <c r="N70" s="521" t="e">
        <f ca="1">gr(charge_entree[[#This Row],[ch_S_PTOT]])</f>
        <v>#NAME?</v>
      </c>
      <c r="O70" s="521" t="e">
        <f ca="1">gr(charge_entree[[#This Row],[ch_S_SNDT]])</f>
        <v>#NAME?</v>
      </c>
    </row>
    <row r="71" spans="1:15" x14ac:dyDescent="0.2">
      <c r="A71" s="222">
        <f>calculs!A71</f>
        <v>44622</v>
      </c>
      <c r="B71" s="521" t="e">
        <f ca="1">gr(charge_entree[[#This Row],[ch_E_DBO5]])</f>
        <v>#NAME?</v>
      </c>
      <c r="C71" s="521" t="e">
        <f ca="1">gr(charge_entree[[#This Row],[ch_E_DCO]])</f>
        <v>#NAME?</v>
      </c>
      <c r="D71" s="521" t="e">
        <f ca="1">gr(charge_entree[[#This Row],[ch_E_COT]])</f>
        <v>#NAME?</v>
      </c>
      <c r="E71" s="521" t="e">
        <f ca="1">gr(charge_entree[[#This Row],[ch_E_NH4]])</f>
        <v>#NAME?</v>
      </c>
      <c r="F71" s="521" t="e">
        <f ca="1">gr(charge_entree[[#This Row],[ch_E_NTOT]])</f>
        <v>#NAME?</v>
      </c>
      <c r="G71" s="521" t="e">
        <f ca="1">gr(charge_entree[[#This Row],[ch_E_PTOT]])</f>
        <v>#NAME?</v>
      </c>
      <c r="H71" s="521" t="e">
        <f ca="1">gr(charge_entree[[#This Row],[ch_S_DBO]])</f>
        <v>#NAME?</v>
      </c>
      <c r="I71" s="521" t="e">
        <f ca="1">gr(charge_entree[[#This Row],[ch_S-DCO]])</f>
        <v>#NAME?</v>
      </c>
      <c r="J71" s="521" t="e">
        <f ca="1">gr(charge_entree[[#This Row],[ch_S_DOC]])</f>
        <v>#NAME?</v>
      </c>
      <c r="K71" s="521" t="e">
        <f ca="1">gr(charge_entree[[#This Row],[ch_S_NH4]])</f>
        <v>#NAME?</v>
      </c>
      <c r="L71" s="521" t="e">
        <f ca="1">gr(charge_entree[[#This Row],[ch_S_NO2]])</f>
        <v>#NAME?</v>
      </c>
      <c r="M71" s="521" t="e">
        <f ca="1">gr(charge_entree[[#This Row],[ch_S_NO3]])</f>
        <v>#NAME?</v>
      </c>
      <c r="N71" s="521" t="e">
        <f ca="1">gr(charge_entree[[#This Row],[ch_S_PTOT]])</f>
        <v>#NAME?</v>
      </c>
      <c r="O71" s="521" t="e">
        <f ca="1">gr(charge_entree[[#This Row],[ch_S_SNDT]])</f>
        <v>#NAME?</v>
      </c>
    </row>
    <row r="72" spans="1:15" x14ac:dyDescent="0.2">
      <c r="A72" s="222">
        <f>calculs!A72</f>
        <v>44623</v>
      </c>
      <c r="B72" s="521" t="e">
        <f ca="1">gr(charge_entree[[#This Row],[ch_E_DBO5]])</f>
        <v>#NAME?</v>
      </c>
      <c r="C72" s="521" t="e">
        <f ca="1">gr(charge_entree[[#This Row],[ch_E_DCO]])</f>
        <v>#NAME?</v>
      </c>
      <c r="D72" s="521" t="e">
        <f ca="1">gr(charge_entree[[#This Row],[ch_E_COT]])</f>
        <v>#NAME?</v>
      </c>
      <c r="E72" s="521" t="e">
        <f ca="1">gr(charge_entree[[#This Row],[ch_E_NH4]])</f>
        <v>#NAME?</v>
      </c>
      <c r="F72" s="521" t="e">
        <f ca="1">gr(charge_entree[[#This Row],[ch_E_NTOT]])</f>
        <v>#NAME?</v>
      </c>
      <c r="G72" s="521" t="e">
        <f ca="1">gr(charge_entree[[#This Row],[ch_E_PTOT]])</f>
        <v>#NAME?</v>
      </c>
      <c r="H72" s="521" t="e">
        <f ca="1">gr(charge_entree[[#This Row],[ch_S_DBO]])</f>
        <v>#NAME?</v>
      </c>
      <c r="I72" s="521" t="e">
        <f ca="1">gr(charge_entree[[#This Row],[ch_S-DCO]])</f>
        <v>#NAME?</v>
      </c>
      <c r="J72" s="521" t="e">
        <f ca="1">gr(charge_entree[[#This Row],[ch_S_DOC]])</f>
        <v>#NAME?</v>
      </c>
      <c r="K72" s="521" t="e">
        <f ca="1">gr(charge_entree[[#This Row],[ch_S_NH4]])</f>
        <v>#NAME?</v>
      </c>
      <c r="L72" s="521" t="e">
        <f ca="1">gr(charge_entree[[#This Row],[ch_S_NO2]])</f>
        <v>#NAME?</v>
      </c>
      <c r="M72" s="521" t="e">
        <f ca="1">gr(charge_entree[[#This Row],[ch_S_NO3]])</f>
        <v>#NAME?</v>
      </c>
      <c r="N72" s="521" t="e">
        <f ca="1">gr(charge_entree[[#This Row],[ch_S_PTOT]])</f>
        <v>#NAME?</v>
      </c>
      <c r="O72" s="521" t="e">
        <f ca="1">gr(charge_entree[[#This Row],[ch_S_SNDT]])</f>
        <v>#NAME?</v>
      </c>
    </row>
    <row r="73" spans="1:15" x14ac:dyDescent="0.2">
      <c r="A73" s="222">
        <f>calculs!A73</f>
        <v>44624</v>
      </c>
      <c r="B73" s="521" t="e">
        <f ca="1">gr(charge_entree[[#This Row],[ch_E_DBO5]])</f>
        <v>#NAME?</v>
      </c>
      <c r="C73" s="521" t="e">
        <f ca="1">gr(charge_entree[[#This Row],[ch_E_DCO]])</f>
        <v>#NAME?</v>
      </c>
      <c r="D73" s="521" t="e">
        <f ca="1">gr(charge_entree[[#This Row],[ch_E_COT]])</f>
        <v>#NAME?</v>
      </c>
      <c r="E73" s="521" t="e">
        <f ca="1">gr(charge_entree[[#This Row],[ch_E_NH4]])</f>
        <v>#NAME?</v>
      </c>
      <c r="F73" s="521" t="e">
        <f ca="1">gr(charge_entree[[#This Row],[ch_E_NTOT]])</f>
        <v>#NAME?</v>
      </c>
      <c r="G73" s="521" t="e">
        <f ca="1">gr(charge_entree[[#This Row],[ch_E_PTOT]])</f>
        <v>#NAME?</v>
      </c>
      <c r="H73" s="521" t="e">
        <f ca="1">gr(charge_entree[[#This Row],[ch_S_DBO]])</f>
        <v>#NAME?</v>
      </c>
      <c r="I73" s="521" t="e">
        <f ca="1">gr(charge_entree[[#This Row],[ch_S-DCO]])</f>
        <v>#NAME?</v>
      </c>
      <c r="J73" s="521" t="e">
        <f ca="1">gr(charge_entree[[#This Row],[ch_S_DOC]])</f>
        <v>#NAME?</v>
      </c>
      <c r="K73" s="521" t="e">
        <f ca="1">gr(charge_entree[[#This Row],[ch_S_NH4]])</f>
        <v>#NAME?</v>
      </c>
      <c r="L73" s="521" t="e">
        <f ca="1">gr(charge_entree[[#This Row],[ch_S_NO2]])</f>
        <v>#NAME?</v>
      </c>
      <c r="M73" s="521" t="e">
        <f ca="1">gr(charge_entree[[#This Row],[ch_S_NO3]])</f>
        <v>#NAME?</v>
      </c>
      <c r="N73" s="521" t="e">
        <f ca="1">gr(charge_entree[[#This Row],[ch_S_PTOT]])</f>
        <v>#NAME?</v>
      </c>
      <c r="O73" s="521" t="e">
        <f ca="1">gr(charge_entree[[#This Row],[ch_S_SNDT]])</f>
        <v>#NAME?</v>
      </c>
    </row>
    <row r="74" spans="1:15" x14ac:dyDescent="0.2">
      <c r="A74" s="222">
        <f>calculs!A74</f>
        <v>44625</v>
      </c>
      <c r="B74" s="521" t="e">
        <f ca="1">gr(charge_entree[[#This Row],[ch_E_DBO5]])</f>
        <v>#NAME?</v>
      </c>
      <c r="C74" s="521" t="e">
        <f ca="1">gr(charge_entree[[#This Row],[ch_E_DCO]])</f>
        <v>#NAME?</v>
      </c>
      <c r="D74" s="521" t="e">
        <f ca="1">gr(charge_entree[[#This Row],[ch_E_COT]])</f>
        <v>#NAME?</v>
      </c>
      <c r="E74" s="521" t="e">
        <f ca="1">gr(charge_entree[[#This Row],[ch_E_NH4]])</f>
        <v>#NAME?</v>
      </c>
      <c r="F74" s="521" t="e">
        <f ca="1">gr(charge_entree[[#This Row],[ch_E_NTOT]])</f>
        <v>#NAME?</v>
      </c>
      <c r="G74" s="521" t="e">
        <f ca="1">gr(charge_entree[[#This Row],[ch_E_PTOT]])</f>
        <v>#NAME?</v>
      </c>
      <c r="H74" s="521" t="e">
        <f ca="1">gr(charge_entree[[#This Row],[ch_S_DBO]])</f>
        <v>#NAME?</v>
      </c>
      <c r="I74" s="521" t="e">
        <f ca="1">gr(charge_entree[[#This Row],[ch_S-DCO]])</f>
        <v>#NAME?</v>
      </c>
      <c r="J74" s="521" t="e">
        <f ca="1">gr(charge_entree[[#This Row],[ch_S_DOC]])</f>
        <v>#NAME?</v>
      </c>
      <c r="K74" s="521" t="e">
        <f ca="1">gr(charge_entree[[#This Row],[ch_S_NH4]])</f>
        <v>#NAME?</v>
      </c>
      <c r="L74" s="521" t="e">
        <f ca="1">gr(charge_entree[[#This Row],[ch_S_NO2]])</f>
        <v>#NAME?</v>
      </c>
      <c r="M74" s="521" t="e">
        <f ca="1">gr(charge_entree[[#This Row],[ch_S_NO3]])</f>
        <v>#NAME?</v>
      </c>
      <c r="N74" s="521" t="e">
        <f ca="1">gr(charge_entree[[#This Row],[ch_S_PTOT]])</f>
        <v>#NAME?</v>
      </c>
      <c r="O74" s="521" t="e">
        <f ca="1">gr(charge_entree[[#This Row],[ch_S_SNDT]])</f>
        <v>#NAME?</v>
      </c>
    </row>
    <row r="75" spans="1:15" x14ac:dyDescent="0.2">
      <c r="A75" s="222">
        <f>calculs!A75</f>
        <v>44626</v>
      </c>
      <c r="B75" s="521" t="e">
        <f ca="1">gr(charge_entree[[#This Row],[ch_E_DBO5]])</f>
        <v>#NAME?</v>
      </c>
      <c r="C75" s="521" t="e">
        <f ca="1">gr(charge_entree[[#This Row],[ch_E_DCO]])</f>
        <v>#NAME?</v>
      </c>
      <c r="D75" s="521" t="e">
        <f ca="1">gr(charge_entree[[#This Row],[ch_E_COT]])</f>
        <v>#NAME?</v>
      </c>
      <c r="E75" s="521" t="e">
        <f ca="1">gr(charge_entree[[#This Row],[ch_E_NH4]])</f>
        <v>#NAME?</v>
      </c>
      <c r="F75" s="521" t="e">
        <f ca="1">gr(charge_entree[[#This Row],[ch_E_NTOT]])</f>
        <v>#NAME?</v>
      </c>
      <c r="G75" s="521" t="e">
        <f ca="1">gr(charge_entree[[#This Row],[ch_E_PTOT]])</f>
        <v>#NAME?</v>
      </c>
      <c r="H75" s="521" t="e">
        <f ca="1">gr(charge_entree[[#This Row],[ch_S_DBO]])</f>
        <v>#NAME?</v>
      </c>
      <c r="I75" s="521" t="e">
        <f ca="1">gr(charge_entree[[#This Row],[ch_S-DCO]])</f>
        <v>#NAME?</v>
      </c>
      <c r="J75" s="521" t="e">
        <f ca="1">gr(charge_entree[[#This Row],[ch_S_DOC]])</f>
        <v>#NAME?</v>
      </c>
      <c r="K75" s="521" t="e">
        <f ca="1">gr(charge_entree[[#This Row],[ch_S_NH4]])</f>
        <v>#NAME?</v>
      </c>
      <c r="L75" s="521" t="e">
        <f ca="1">gr(charge_entree[[#This Row],[ch_S_NO2]])</f>
        <v>#NAME?</v>
      </c>
      <c r="M75" s="521" t="e">
        <f ca="1">gr(charge_entree[[#This Row],[ch_S_NO3]])</f>
        <v>#NAME?</v>
      </c>
      <c r="N75" s="521" t="e">
        <f ca="1">gr(charge_entree[[#This Row],[ch_S_PTOT]])</f>
        <v>#NAME?</v>
      </c>
      <c r="O75" s="521" t="e">
        <f ca="1">gr(charge_entree[[#This Row],[ch_S_SNDT]])</f>
        <v>#NAME?</v>
      </c>
    </row>
    <row r="76" spans="1:15" x14ac:dyDescent="0.2">
      <c r="A76" s="222">
        <f>calculs!A76</f>
        <v>44627</v>
      </c>
      <c r="B76" s="521" t="e">
        <f ca="1">gr(charge_entree[[#This Row],[ch_E_DBO5]])</f>
        <v>#NAME?</v>
      </c>
      <c r="C76" s="521" t="e">
        <f ca="1">gr(charge_entree[[#This Row],[ch_E_DCO]])</f>
        <v>#NAME?</v>
      </c>
      <c r="D76" s="521" t="e">
        <f ca="1">gr(charge_entree[[#This Row],[ch_E_COT]])</f>
        <v>#NAME?</v>
      </c>
      <c r="E76" s="521" t="e">
        <f ca="1">gr(charge_entree[[#This Row],[ch_E_NH4]])</f>
        <v>#NAME?</v>
      </c>
      <c r="F76" s="521" t="e">
        <f ca="1">gr(charge_entree[[#This Row],[ch_E_NTOT]])</f>
        <v>#NAME?</v>
      </c>
      <c r="G76" s="521" t="e">
        <f ca="1">gr(charge_entree[[#This Row],[ch_E_PTOT]])</f>
        <v>#NAME?</v>
      </c>
      <c r="H76" s="521" t="e">
        <f ca="1">gr(charge_entree[[#This Row],[ch_S_DBO]])</f>
        <v>#NAME?</v>
      </c>
      <c r="I76" s="521" t="e">
        <f ca="1">gr(charge_entree[[#This Row],[ch_S-DCO]])</f>
        <v>#NAME?</v>
      </c>
      <c r="J76" s="521" t="e">
        <f ca="1">gr(charge_entree[[#This Row],[ch_S_DOC]])</f>
        <v>#NAME?</v>
      </c>
      <c r="K76" s="521" t="e">
        <f ca="1">gr(charge_entree[[#This Row],[ch_S_NH4]])</f>
        <v>#NAME?</v>
      </c>
      <c r="L76" s="521" t="e">
        <f ca="1">gr(charge_entree[[#This Row],[ch_S_NO2]])</f>
        <v>#NAME?</v>
      </c>
      <c r="M76" s="521" t="e">
        <f ca="1">gr(charge_entree[[#This Row],[ch_S_NO3]])</f>
        <v>#NAME?</v>
      </c>
      <c r="N76" s="521" t="e">
        <f ca="1">gr(charge_entree[[#This Row],[ch_S_PTOT]])</f>
        <v>#NAME?</v>
      </c>
      <c r="O76" s="521" t="e">
        <f ca="1">gr(charge_entree[[#This Row],[ch_S_SNDT]])</f>
        <v>#NAME?</v>
      </c>
    </row>
    <row r="77" spans="1:15" x14ac:dyDescent="0.2">
      <c r="A77" s="222">
        <f>calculs!A77</f>
        <v>44628</v>
      </c>
      <c r="B77" s="521" t="e">
        <f ca="1">gr(charge_entree[[#This Row],[ch_E_DBO5]])</f>
        <v>#NAME?</v>
      </c>
      <c r="C77" s="521" t="e">
        <f ca="1">gr(charge_entree[[#This Row],[ch_E_DCO]])</f>
        <v>#NAME?</v>
      </c>
      <c r="D77" s="521" t="e">
        <f ca="1">gr(charge_entree[[#This Row],[ch_E_COT]])</f>
        <v>#NAME?</v>
      </c>
      <c r="E77" s="521" t="e">
        <f ca="1">gr(charge_entree[[#This Row],[ch_E_NH4]])</f>
        <v>#NAME?</v>
      </c>
      <c r="F77" s="521" t="e">
        <f ca="1">gr(charge_entree[[#This Row],[ch_E_NTOT]])</f>
        <v>#NAME?</v>
      </c>
      <c r="G77" s="521" t="e">
        <f ca="1">gr(charge_entree[[#This Row],[ch_E_PTOT]])</f>
        <v>#NAME?</v>
      </c>
      <c r="H77" s="521" t="e">
        <f ca="1">gr(charge_entree[[#This Row],[ch_S_DBO]])</f>
        <v>#NAME?</v>
      </c>
      <c r="I77" s="521" t="e">
        <f ca="1">gr(charge_entree[[#This Row],[ch_S-DCO]])</f>
        <v>#NAME?</v>
      </c>
      <c r="J77" s="521" t="e">
        <f ca="1">gr(charge_entree[[#This Row],[ch_S_DOC]])</f>
        <v>#NAME?</v>
      </c>
      <c r="K77" s="521" t="e">
        <f ca="1">gr(charge_entree[[#This Row],[ch_S_NH4]])</f>
        <v>#NAME?</v>
      </c>
      <c r="L77" s="521" t="e">
        <f ca="1">gr(charge_entree[[#This Row],[ch_S_NO2]])</f>
        <v>#NAME?</v>
      </c>
      <c r="M77" s="521" t="e">
        <f ca="1">gr(charge_entree[[#This Row],[ch_S_NO3]])</f>
        <v>#NAME?</v>
      </c>
      <c r="N77" s="521" t="e">
        <f ca="1">gr(charge_entree[[#This Row],[ch_S_PTOT]])</f>
        <v>#NAME?</v>
      </c>
      <c r="O77" s="521" t="e">
        <f ca="1">gr(charge_entree[[#This Row],[ch_S_SNDT]])</f>
        <v>#NAME?</v>
      </c>
    </row>
    <row r="78" spans="1:15" x14ac:dyDescent="0.2">
      <c r="A78" s="222">
        <f>calculs!A78</f>
        <v>44629</v>
      </c>
      <c r="B78" s="521" t="e">
        <f ca="1">gr(charge_entree[[#This Row],[ch_E_DBO5]])</f>
        <v>#NAME?</v>
      </c>
      <c r="C78" s="521" t="e">
        <f ca="1">gr(charge_entree[[#This Row],[ch_E_DCO]])</f>
        <v>#NAME?</v>
      </c>
      <c r="D78" s="521" t="e">
        <f ca="1">gr(charge_entree[[#This Row],[ch_E_COT]])</f>
        <v>#NAME?</v>
      </c>
      <c r="E78" s="521" t="e">
        <f ca="1">gr(charge_entree[[#This Row],[ch_E_NH4]])</f>
        <v>#NAME?</v>
      </c>
      <c r="F78" s="521" t="e">
        <f ca="1">gr(charge_entree[[#This Row],[ch_E_NTOT]])</f>
        <v>#NAME?</v>
      </c>
      <c r="G78" s="521" t="e">
        <f ca="1">gr(charge_entree[[#This Row],[ch_E_PTOT]])</f>
        <v>#NAME?</v>
      </c>
      <c r="H78" s="521" t="e">
        <f ca="1">gr(charge_entree[[#This Row],[ch_S_DBO]])</f>
        <v>#NAME?</v>
      </c>
      <c r="I78" s="521" t="e">
        <f ca="1">gr(charge_entree[[#This Row],[ch_S-DCO]])</f>
        <v>#NAME?</v>
      </c>
      <c r="J78" s="521" t="e">
        <f ca="1">gr(charge_entree[[#This Row],[ch_S_DOC]])</f>
        <v>#NAME?</v>
      </c>
      <c r="K78" s="521" t="e">
        <f ca="1">gr(charge_entree[[#This Row],[ch_S_NH4]])</f>
        <v>#NAME?</v>
      </c>
      <c r="L78" s="521" t="e">
        <f ca="1">gr(charge_entree[[#This Row],[ch_S_NO2]])</f>
        <v>#NAME?</v>
      </c>
      <c r="M78" s="521" t="e">
        <f ca="1">gr(charge_entree[[#This Row],[ch_S_NO3]])</f>
        <v>#NAME?</v>
      </c>
      <c r="N78" s="521" t="e">
        <f ca="1">gr(charge_entree[[#This Row],[ch_S_PTOT]])</f>
        <v>#NAME?</v>
      </c>
      <c r="O78" s="521" t="e">
        <f ca="1">gr(charge_entree[[#This Row],[ch_S_SNDT]])</f>
        <v>#NAME?</v>
      </c>
    </row>
    <row r="79" spans="1:15" x14ac:dyDescent="0.2">
      <c r="A79" s="222">
        <f>calculs!A79</f>
        <v>44630</v>
      </c>
      <c r="B79" s="521" t="e">
        <f ca="1">gr(charge_entree[[#This Row],[ch_E_DBO5]])</f>
        <v>#NAME?</v>
      </c>
      <c r="C79" s="521" t="e">
        <f ca="1">gr(charge_entree[[#This Row],[ch_E_DCO]])</f>
        <v>#NAME?</v>
      </c>
      <c r="D79" s="521" t="e">
        <f ca="1">gr(charge_entree[[#This Row],[ch_E_COT]])</f>
        <v>#NAME?</v>
      </c>
      <c r="E79" s="521" t="e">
        <f ca="1">gr(charge_entree[[#This Row],[ch_E_NH4]])</f>
        <v>#NAME?</v>
      </c>
      <c r="F79" s="521" t="e">
        <f ca="1">gr(charge_entree[[#This Row],[ch_E_NTOT]])</f>
        <v>#NAME?</v>
      </c>
      <c r="G79" s="521" t="e">
        <f ca="1">gr(charge_entree[[#This Row],[ch_E_PTOT]])</f>
        <v>#NAME?</v>
      </c>
      <c r="H79" s="521" t="e">
        <f ca="1">gr(charge_entree[[#This Row],[ch_S_DBO]])</f>
        <v>#NAME?</v>
      </c>
      <c r="I79" s="521" t="e">
        <f ca="1">gr(charge_entree[[#This Row],[ch_S-DCO]])</f>
        <v>#NAME?</v>
      </c>
      <c r="J79" s="521" t="e">
        <f ca="1">gr(charge_entree[[#This Row],[ch_S_DOC]])</f>
        <v>#NAME?</v>
      </c>
      <c r="K79" s="521" t="e">
        <f ca="1">gr(charge_entree[[#This Row],[ch_S_NH4]])</f>
        <v>#NAME?</v>
      </c>
      <c r="L79" s="521" t="e">
        <f ca="1">gr(charge_entree[[#This Row],[ch_S_NO2]])</f>
        <v>#NAME?</v>
      </c>
      <c r="M79" s="521" t="e">
        <f ca="1">gr(charge_entree[[#This Row],[ch_S_NO3]])</f>
        <v>#NAME?</v>
      </c>
      <c r="N79" s="521" t="e">
        <f ca="1">gr(charge_entree[[#This Row],[ch_S_PTOT]])</f>
        <v>#NAME?</v>
      </c>
      <c r="O79" s="521" t="e">
        <f ca="1">gr(charge_entree[[#This Row],[ch_S_SNDT]])</f>
        <v>#NAME?</v>
      </c>
    </row>
    <row r="80" spans="1:15" x14ac:dyDescent="0.2">
      <c r="A80" s="222">
        <f>calculs!A80</f>
        <v>44631</v>
      </c>
      <c r="B80" s="521" t="e">
        <f ca="1">gr(charge_entree[[#This Row],[ch_E_DBO5]])</f>
        <v>#NAME?</v>
      </c>
      <c r="C80" s="521" t="e">
        <f ca="1">gr(charge_entree[[#This Row],[ch_E_DCO]])</f>
        <v>#NAME?</v>
      </c>
      <c r="D80" s="521" t="e">
        <f ca="1">gr(charge_entree[[#This Row],[ch_E_COT]])</f>
        <v>#NAME?</v>
      </c>
      <c r="E80" s="521" t="e">
        <f ca="1">gr(charge_entree[[#This Row],[ch_E_NH4]])</f>
        <v>#NAME?</v>
      </c>
      <c r="F80" s="521" t="e">
        <f ca="1">gr(charge_entree[[#This Row],[ch_E_NTOT]])</f>
        <v>#NAME?</v>
      </c>
      <c r="G80" s="521" t="e">
        <f ca="1">gr(charge_entree[[#This Row],[ch_E_PTOT]])</f>
        <v>#NAME?</v>
      </c>
      <c r="H80" s="521" t="e">
        <f ca="1">gr(charge_entree[[#This Row],[ch_S_DBO]])</f>
        <v>#NAME?</v>
      </c>
      <c r="I80" s="521" t="e">
        <f ca="1">gr(charge_entree[[#This Row],[ch_S-DCO]])</f>
        <v>#NAME?</v>
      </c>
      <c r="J80" s="521" t="e">
        <f ca="1">gr(charge_entree[[#This Row],[ch_S_DOC]])</f>
        <v>#NAME?</v>
      </c>
      <c r="K80" s="521" t="e">
        <f ca="1">gr(charge_entree[[#This Row],[ch_S_NH4]])</f>
        <v>#NAME?</v>
      </c>
      <c r="L80" s="521" t="e">
        <f ca="1">gr(charge_entree[[#This Row],[ch_S_NO2]])</f>
        <v>#NAME?</v>
      </c>
      <c r="M80" s="521" t="e">
        <f ca="1">gr(charge_entree[[#This Row],[ch_S_NO3]])</f>
        <v>#NAME?</v>
      </c>
      <c r="N80" s="521" t="e">
        <f ca="1">gr(charge_entree[[#This Row],[ch_S_PTOT]])</f>
        <v>#NAME?</v>
      </c>
      <c r="O80" s="521" t="e">
        <f ca="1">gr(charge_entree[[#This Row],[ch_S_SNDT]])</f>
        <v>#NAME?</v>
      </c>
    </row>
    <row r="81" spans="1:15" x14ac:dyDescent="0.2">
      <c r="A81" s="222">
        <f>calculs!A81</f>
        <v>44632</v>
      </c>
      <c r="B81" s="521" t="e">
        <f ca="1">gr(charge_entree[[#This Row],[ch_E_DBO5]])</f>
        <v>#NAME?</v>
      </c>
      <c r="C81" s="521" t="e">
        <f ca="1">gr(charge_entree[[#This Row],[ch_E_DCO]])</f>
        <v>#NAME?</v>
      </c>
      <c r="D81" s="521" t="e">
        <f ca="1">gr(charge_entree[[#This Row],[ch_E_COT]])</f>
        <v>#NAME?</v>
      </c>
      <c r="E81" s="521" t="e">
        <f ca="1">gr(charge_entree[[#This Row],[ch_E_NH4]])</f>
        <v>#NAME?</v>
      </c>
      <c r="F81" s="521" t="e">
        <f ca="1">gr(charge_entree[[#This Row],[ch_E_NTOT]])</f>
        <v>#NAME?</v>
      </c>
      <c r="G81" s="521" t="e">
        <f ca="1">gr(charge_entree[[#This Row],[ch_E_PTOT]])</f>
        <v>#NAME?</v>
      </c>
      <c r="H81" s="521" t="e">
        <f ca="1">gr(charge_entree[[#This Row],[ch_S_DBO]])</f>
        <v>#NAME?</v>
      </c>
      <c r="I81" s="521" t="e">
        <f ca="1">gr(charge_entree[[#This Row],[ch_S-DCO]])</f>
        <v>#NAME?</v>
      </c>
      <c r="J81" s="521" t="e">
        <f ca="1">gr(charge_entree[[#This Row],[ch_S_DOC]])</f>
        <v>#NAME?</v>
      </c>
      <c r="K81" s="521" t="e">
        <f ca="1">gr(charge_entree[[#This Row],[ch_S_NH4]])</f>
        <v>#NAME?</v>
      </c>
      <c r="L81" s="521" t="e">
        <f ca="1">gr(charge_entree[[#This Row],[ch_S_NO2]])</f>
        <v>#NAME?</v>
      </c>
      <c r="M81" s="521" t="e">
        <f ca="1">gr(charge_entree[[#This Row],[ch_S_NO3]])</f>
        <v>#NAME?</v>
      </c>
      <c r="N81" s="521" t="e">
        <f ca="1">gr(charge_entree[[#This Row],[ch_S_PTOT]])</f>
        <v>#NAME?</v>
      </c>
      <c r="O81" s="521" t="e">
        <f ca="1">gr(charge_entree[[#This Row],[ch_S_SNDT]])</f>
        <v>#NAME?</v>
      </c>
    </row>
    <row r="82" spans="1:15" x14ac:dyDescent="0.2">
      <c r="A82" s="222">
        <f>calculs!A82</f>
        <v>44633</v>
      </c>
      <c r="B82" s="521" t="e">
        <f ca="1">gr(charge_entree[[#This Row],[ch_E_DBO5]])</f>
        <v>#NAME?</v>
      </c>
      <c r="C82" s="521" t="e">
        <f ca="1">gr(charge_entree[[#This Row],[ch_E_DCO]])</f>
        <v>#NAME?</v>
      </c>
      <c r="D82" s="521" t="e">
        <f ca="1">gr(charge_entree[[#This Row],[ch_E_COT]])</f>
        <v>#NAME?</v>
      </c>
      <c r="E82" s="521" t="e">
        <f ca="1">gr(charge_entree[[#This Row],[ch_E_NH4]])</f>
        <v>#NAME?</v>
      </c>
      <c r="F82" s="521" t="e">
        <f ca="1">gr(charge_entree[[#This Row],[ch_E_NTOT]])</f>
        <v>#NAME?</v>
      </c>
      <c r="G82" s="521" t="e">
        <f ca="1">gr(charge_entree[[#This Row],[ch_E_PTOT]])</f>
        <v>#NAME?</v>
      </c>
      <c r="H82" s="521" t="e">
        <f ca="1">gr(charge_entree[[#This Row],[ch_S_DBO]])</f>
        <v>#NAME?</v>
      </c>
      <c r="I82" s="521" t="e">
        <f ca="1">gr(charge_entree[[#This Row],[ch_S-DCO]])</f>
        <v>#NAME?</v>
      </c>
      <c r="J82" s="521" t="e">
        <f ca="1">gr(charge_entree[[#This Row],[ch_S_DOC]])</f>
        <v>#NAME?</v>
      </c>
      <c r="K82" s="521" t="e">
        <f ca="1">gr(charge_entree[[#This Row],[ch_S_NH4]])</f>
        <v>#NAME?</v>
      </c>
      <c r="L82" s="521" t="e">
        <f ca="1">gr(charge_entree[[#This Row],[ch_S_NO2]])</f>
        <v>#NAME?</v>
      </c>
      <c r="M82" s="521" t="e">
        <f ca="1">gr(charge_entree[[#This Row],[ch_S_NO3]])</f>
        <v>#NAME?</v>
      </c>
      <c r="N82" s="521" t="e">
        <f ca="1">gr(charge_entree[[#This Row],[ch_S_PTOT]])</f>
        <v>#NAME?</v>
      </c>
      <c r="O82" s="521" t="e">
        <f ca="1">gr(charge_entree[[#This Row],[ch_S_SNDT]])</f>
        <v>#NAME?</v>
      </c>
    </row>
    <row r="83" spans="1:15" x14ac:dyDescent="0.2">
      <c r="A83" s="222">
        <f>calculs!A83</f>
        <v>44634</v>
      </c>
      <c r="B83" s="521" t="e">
        <f ca="1">gr(charge_entree[[#This Row],[ch_E_DBO5]])</f>
        <v>#NAME?</v>
      </c>
      <c r="C83" s="521" t="e">
        <f ca="1">gr(charge_entree[[#This Row],[ch_E_DCO]])</f>
        <v>#NAME?</v>
      </c>
      <c r="D83" s="521" t="e">
        <f ca="1">gr(charge_entree[[#This Row],[ch_E_COT]])</f>
        <v>#NAME?</v>
      </c>
      <c r="E83" s="521" t="e">
        <f ca="1">gr(charge_entree[[#This Row],[ch_E_NH4]])</f>
        <v>#NAME?</v>
      </c>
      <c r="F83" s="521" t="e">
        <f ca="1">gr(charge_entree[[#This Row],[ch_E_NTOT]])</f>
        <v>#NAME?</v>
      </c>
      <c r="G83" s="521" t="e">
        <f ca="1">gr(charge_entree[[#This Row],[ch_E_PTOT]])</f>
        <v>#NAME?</v>
      </c>
      <c r="H83" s="521" t="e">
        <f ca="1">gr(charge_entree[[#This Row],[ch_S_DBO]])</f>
        <v>#NAME?</v>
      </c>
      <c r="I83" s="521" t="e">
        <f ca="1">gr(charge_entree[[#This Row],[ch_S-DCO]])</f>
        <v>#NAME?</v>
      </c>
      <c r="J83" s="521" t="e">
        <f ca="1">gr(charge_entree[[#This Row],[ch_S_DOC]])</f>
        <v>#NAME?</v>
      </c>
      <c r="K83" s="521" t="e">
        <f ca="1">gr(charge_entree[[#This Row],[ch_S_NH4]])</f>
        <v>#NAME?</v>
      </c>
      <c r="L83" s="521" t="e">
        <f ca="1">gr(charge_entree[[#This Row],[ch_S_NO2]])</f>
        <v>#NAME?</v>
      </c>
      <c r="M83" s="521" t="e">
        <f ca="1">gr(charge_entree[[#This Row],[ch_S_NO3]])</f>
        <v>#NAME?</v>
      </c>
      <c r="N83" s="521" t="e">
        <f ca="1">gr(charge_entree[[#This Row],[ch_S_PTOT]])</f>
        <v>#NAME?</v>
      </c>
      <c r="O83" s="521" t="e">
        <f ca="1">gr(charge_entree[[#This Row],[ch_S_SNDT]])</f>
        <v>#NAME?</v>
      </c>
    </row>
    <row r="84" spans="1:15" x14ac:dyDescent="0.2">
      <c r="A84" s="222">
        <f>calculs!A84</f>
        <v>44635</v>
      </c>
      <c r="B84" s="521" t="e">
        <f ca="1">gr(charge_entree[[#This Row],[ch_E_DBO5]])</f>
        <v>#NAME?</v>
      </c>
      <c r="C84" s="521" t="e">
        <f ca="1">gr(charge_entree[[#This Row],[ch_E_DCO]])</f>
        <v>#NAME?</v>
      </c>
      <c r="D84" s="521" t="e">
        <f ca="1">gr(charge_entree[[#This Row],[ch_E_COT]])</f>
        <v>#NAME?</v>
      </c>
      <c r="E84" s="521" t="e">
        <f ca="1">gr(charge_entree[[#This Row],[ch_E_NH4]])</f>
        <v>#NAME?</v>
      </c>
      <c r="F84" s="521" t="e">
        <f ca="1">gr(charge_entree[[#This Row],[ch_E_NTOT]])</f>
        <v>#NAME?</v>
      </c>
      <c r="G84" s="521" t="e">
        <f ca="1">gr(charge_entree[[#This Row],[ch_E_PTOT]])</f>
        <v>#NAME?</v>
      </c>
      <c r="H84" s="521" t="e">
        <f ca="1">gr(charge_entree[[#This Row],[ch_S_DBO]])</f>
        <v>#NAME?</v>
      </c>
      <c r="I84" s="521" t="e">
        <f ca="1">gr(charge_entree[[#This Row],[ch_S-DCO]])</f>
        <v>#NAME?</v>
      </c>
      <c r="J84" s="521" t="e">
        <f ca="1">gr(charge_entree[[#This Row],[ch_S_DOC]])</f>
        <v>#NAME?</v>
      </c>
      <c r="K84" s="521" t="e">
        <f ca="1">gr(charge_entree[[#This Row],[ch_S_NH4]])</f>
        <v>#NAME?</v>
      </c>
      <c r="L84" s="521" t="e">
        <f ca="1">gr(charge_entree[[#This Row],[ch_S_NO2]])</f>
        <v>#NAME?</v>
      </c>
      <c r="M84" s="521" t="e">
        <f ca="1">gr(charge_entree[[#This Row],[ch_S_NO3]])</f>
        <v>#NAME?</v>
      </c>
      <c r="N84" s="521" t="e">
        <f ca="1">gr(charge_entree[[#This Row],[ch_S_PTOT]])</f>
        <v>#NAME?</v>
      </c>
      <c r="O84" s="521" t="e">
        <f ca="1">gr(charge_entree[[#This Row],[ch_S_SNDT]])</f>
        <v>#NAME?</v>
      </c>
    </row>
    <row r="85" spans="1:15" x14ac:dyDescent="0.2">
      <c r="A85" s="222">
        <f>calculs!A85</f>
        <v>44636</v>
      </c>
      <c r="B85" s="521" t="e">
        <f ca="1">gr(charge_entree[[#This Row],[ch_E_DBO5]])</f>
        <v>#NAME?</v>
      </c>
      <c r="C85" s="521" t="e">
        <f ca="1">gr(charge_entree[[#This Row],[ch_E_DCO]])</f>
        <v>#NAME?</v>
      </c>
      <c r="D85" s="521" t="e">
        <f ca="1">gr(charge_entree[[#This Row],[ch_E_COT]])</f>
        <v>#NAME?</v>
      </c>
      <c r="E85" s="521" t="e">
        <f ca="1">gr(charge_entree[[#This Row],[ch_E_NH4]])</f>
        <v>#NAME?</v>
      </c>
      <c r="F85" s="521" t="e">
        <f ca="1">gr(charge_entree[[#This Row],[ch_E_NTOT]])</f>
        <v>#NAME?</v>
      </c>
      <c r="G85" s="521" t="e">
        <f ca="1">gr(charge_entree[[#This Row],[ch_E_PTOT]])</f>
        <v>#NAME?</v>
      </c>
      <c r="H85" s="521" t="e">
        <f ca="1">gr(charge_entree[[#This Row],[ch_S_DBO]])</f>
        <v>#NAME?</v>
      </c>
      <c r="I85" s="521" t="e">
        <f ca="1">gr(charge_entree[[#This Row],[ch_S-DCO]])</f>
        <v>#NAME?</v>
      </c>
      <c r="J85" s="521" t="e">
        <f ca="1">gr(charge_entree[[#This Row],[ch_S_DOC]])</f>
        <v>#NAME?</v>
      </c>
      <c r="K85" s="521" t="e">
        <f ca="1">gr(charge_entree[[#This Row],[ch_S_NH4]])</f>
        <v>#NAME?</v>
      </c>
      <c r="L85" s="521" t="e">
        <f ca="1">gr(charge_entree[[#This Row],[ch_S_NO2]])</f>
        <v>#NAME?</v>
      </c>
      <c r="M85" s="521" t="e">
        <f ca="1">gr(charge_entree[[#This Row],[ch_S_NO3]])</f>
        <v>#NAME?</v>
      </c>
      <c r="N85" s="521" t="e">
        <f ca="1">gr(charge_entree[[#This Row],[ch_S_PTOT]])</f>
        <v>#NAME?</v>
      </c>
      <c r="O85" s="521" t="e">
        <f ca="1">gr(charge_entree[[#This Row],[ch_S_SNDT]])</f>
        <v>#NAME?</v>
      </c>
    </row>
    <row r="86" spans="1:15" x14ac:dyDescent="0.2">
      <c r="A86" s="222">
        <f>calculs!A86</f>
        <v>44637</v>
      </c>
      <c r="B86" s="521" t="e">
        <f ca="1">gr(charge_entree[[#This Row],[ch_E_DBO5]])</f>
        <v>#NAME?</v>
      </c>
      <c r="C86" s="521" t="e">
        <f ca="1">gr(charge_entree[[#This Row],[ch_E_DCO]])</f>
        <v>#NAME?</v>
      </c>
      <c r="D86" s="521" t="e">
        <f ca="1">gr(charge_entree[[#This Row],[ch_E_COT]])</f>
        <v>#NAME?</v>
      </c>
      <c r="E86" s="521" t="e">
        <f ca="1">gr(charge_entree[[#This Row],[ch_E_NH4]])</f>
        <v>#NAME?</v>
      </c>
      <c r="F86" s="521" t="e">
        <f ca="1">gr(charge_entree[[#This Row],[ch_E_NTOT]])</f>
        <v>#NAME?</v>
      </c>
      <c r="G86" s="521" t="e">
        <f ca="1">gr(charge_entree[[#This Row],[ch_E_PTOT]])</f>
        <v>#NAME?</v>
      </c>
      <c r="H86" s="521" t="e">
        <f ca="1">gr(charge_entree[[#This Row],[ch_S_DBO]])</f>
        <v>#NAME?</v>
      </c>
      <c r="I86" s="521" t="e">
        <f ca="1">gr(charge_entree[[#This Row],[ch_S-DCO]])</f>
        <v>#NAME?</v>
      </c>
      <c r="J86" s="521" t="e">
        <f ca="1">gr(charge_entree[[#This Row],[ch_S_DOC]])</f>
        <v>#NAME?</v>
      </c>
      <c r="K86" s="521" t="e">
        <f ca="1">gr(charge_entree[[#This Row],[ch_S_NH4]])</f>
        <v>#NAME?</v>
      </c>
      <c r="L86" s="521" t="e">
        <f ca="1">gr(charge_entree[[#This Row],[ch_S_NO2]])</f>
        <v>#NAME?</v>
      </c>
      <c r="M86" s="521" t="e">
        <f ca="1">gr(charge_entree[[#This Row],[ch_S_NO3]])</f>
        <v>#NAME?</v>
      </c>
      <c r="N86" s="521" t="e">
        <f ca="1">gr(charge_entree[[#This Row],[ch_S_PTOT]])</f>
        <v>#NAME?</v>
      </c>
      <c r="O86" s="521" t="e">
        <f ca="1">gr(charge_entree[[#This Row],[ch_S_SNDT]])</f>
        <v>#NAME?</v>
      </c>
    </row>
    <row r="87" spans="1:15" x14ac:dyDescent="0.2">
      <c r="A87" s="222">
        <f>calculs!A87</f>
        <v>44638</v>
      </c>
      <c r="B87" s="521" t="e">
        <f ca="1">gr(charge_entree[[#This Row],[ch_E_DBO5]])</f>
        <v>#NAME?</v>
      </c>
      <c r="C87" s="521" t="e">
        <f ca="1">gr(charge_entree[[#This Row],[ch_E_DCO]])</f>
        <v>#NAME?</v>
      </c>
      <c r="D87" s="521" t="e">
        <f ca="1">gr(charge_entree[[#This Row],[ch_E_COT]])</f>
        <v>#NAME?</v>
      </c>
      <c r="E87" s="521" t="e">
        <f ca="1">gr(charge_entree[[#This Row],[ch_E_NH4]])</f>
        <v>#NAME?</v>
      </c>
      <c r="F87" s="521" t="e">
        <f ca="1">gr(charge_entree[[#This Row],[ch_E_NTOT]])</f>
        <v>#NAME?</v>
      </c>
      <c r="G87" s="521" t="e">
        <f ca="1">gr(charge_entree[[#This Row],[ch_E_PTOT]])</f>
        <v>#NAME?</v>
      </c>
      <c r="H87" s="521" t="e">
        <f ca="1">gr(charge_entree[[#This Row],[ch_S_DBO]])</f>
        <v>#NAME?</v>
      </c>
      <c r="I87" s="521" t="e">
        <f ca="1">gr(charge_entree[[#This Row],[ch_S-DCO]])</f>
        <v>#NAME?</v>
      </c>
      <c r="J87" s="521" t="e">
        <f ca="1">gr(charge_entree[[#This Row],[ch_S_DOC]])</f>
        <v>#NAME?</v>
      </c>
      <c r="K87" s="521" t="e">
        <f ca="1">gr(charge_entree[[#This Row],[ch_S_NH4]])</f>
        <v>#NAME?</v>
      </c>
      <c r="L87" s="521" t="e">
        <f ca="1">gr(charge_entree[[#This Row],[ch_S_NO2]])</f>
        <v>#NAME?</v>
      </c>
      <c r="M87" s="521" t="e">
        <f ca="1">gr(charge_entree[[#This Row],[ch_S_NO3]])</f>
        <v>#NAME?</v>
      </c>
      <c r="N87" s="521" t="e">
        <f ca="1">gr(charge_entree[[#This Row],[ch_S_PTOT]])</f>
        <v>#NAME?</v>
      </c>
      <c r="O87" s="521" t="e">
        <f ca="1">gr(charge_entree[[#This Row],[ch_S_SNDT]])</f>
        <v>#NAME?</v>
      </c>
    </row>
    <row r="88" spans="1:15" x14ac:dyDescent="0.2">
      <c r="A88" s="222">
        <f>calculs!A88</f>
        <v>44639</v>
      </c>
      <c r="B88" s="521" t="e">
        <f ca="1">gr(charge_entree[[#This Row],[ch_E_DBO5]])</f>
        <v>#NAME?</v>
      </c>
      <c r="C88" s="521" t="e">
        <f ca="1">gr(charge_entree[[#This Row],[ch_E_DCO]])</f>
        <v>#NAME?</v>
      </c>
      <c r="D88" s="521" t="e">
        <f ca="1">gr(charge_entree[[#This Row],[ch_E_COT]])</f>
        <v>#NAME?</v>
      </c>
      <c r="E88" s="521" t="e">
        <f ca="1">gr(charge_entree[[#This Row],[ch_E_NH4]])</f>
        <v>#NAME?</v>
      </c>
      <c r="F88" s="521" t="e">
        <f ca="1">gr(charge_entree[[#This Row],[ch_E_NTOT]])</f>
        <v>#NAME?</v>
      </c>
      <c r="G88" s="521" t="e">
        <f ca="1">gr(charge_entree[[#This Row],[ch_E_PTOT]])</f>
        <v>#NAME?</v>
      </c>
      <c r="H88" s="521" t="e">
        <f ca="1">gr(charge_entree[[#This Row],[ch_S_DBO]])</f>
        <v>#NAME?</v>
      </c>
      <c r="I88" s="521" t="e">
        <f ca="1">gr(charge_entree[[#This Row],[ch_S-DCO]])</f>
        <v>#NAME?</v>
      </c>
      <c r="J88" s="521" t="e">
        <f ca="1">gr(charge_entree[[#This Row],[ch_S_DOC]])</f>
        <v>#NAME?</v>
      </c>
      <c r="K88" s="521" t="e">
        <f ca="1">gr(charge_entree[[#This Row],[ch_S_NH4]])</f>
        <v>#NAME?</v>
      </c>
      <c r="L88" s="521" t="e">
        <f ca="1">gr(charge_entree[[#This Row],[ch_S_NO2]])</f>
        <v>#NAME?</v>
      </c>
      <c r="M88" s="521" t="e">
        <f ca="1">gr(charge_entree[[#This Row],[ch_S_NO3]])</f>
        <v>#NAME?</v>
      </c>
      <c r="N88" s="521" t="e">
        <f ca="1">gr(charge_entree[[#This Row],[ch_S_PTOT]])</f>
        <v>#NAME?</v>
      </c>
      <c r="O88" s="521" t="e">
        <f ca="1">gr(charge_entree[[#This Row],[ch_S_SNDT]])</f>
        <v>#NAME?</v>
      </c>
    </row>
    <row r="89" spans="1:15" x14ac:dyDescent="0.2">
      <c r="A89" s="222">
        <f>calculs!A89</f>
        <v>44640</v>
      </c>
      <c r="B89" s="521" t="e">
        <f ca="1">gr(charge_entree[[#This Row],[ch_E_DBO5]])</f>
        <v>#NAME?</v>
      </c>
      <c r="C89" s="521" t="e">
        <f ca="1">gr(charge_entree[[#This Row],[ch_E_DCO]])</f>
        <v>#NAME?</v>
      </c>
      <c r="D89" s="521" t="e">
        <f ca="1">gr(charge_entree[[#This Row],[ch_E_COT]])</f>
        <v>#NAME?</v>
      </c>
      <c r="E89" s="521" t="e">
        <f ca="1">gr(charge_entree[[#This Row],[ch_E_NH4]])</f>
        <v>#NAME?</v>
      </c>
      <c r="F89" s="521" t="e">
        <f ca="1">gr(charge_entree[[#This Row],[ch_E_NTOT]])</f>
        <v>#NAME?</v>
      </c>
      <c r="G89" s="521" t="e">
        <f ca="1">gr(charge_entree[[#This Row],[ch_E_PTOT]])</f>
        <v>#NAME?</v>
      </c>
      <c r="H89" s="521" t="e">
        <f ca="1">gr(charge_entree[[#This Row],[ch_S_DBO]])</f>
        <v>#NAME?</v>
      </c>
      <c r="I89" s="521" t="e">
        <f ca="1">gr(charge_entree[[#This Row],[ch_S-DCO]])</f>
        <v>#NAME?</v>
      </c>
      <c r="J89" s="521" t="e">
        <f ca="1">gr(charge_entree[[#This Row],[ch_S_DOC]])</f>
        <v>#NAME?</v>
      </c>
      <c r="K89" s="521" t="e">
        <f ca="1">gr(charge_entree[[#This Row],[ch_S_NH4]])</f>
        <v>#NAME?</v>
      </c>
      <c r="L89" s="521" t="e">
        <f ca="1">gr(charge_entree[[#This Row],[ch_S_NO2]])</f>
        <v>#NAME?</v>
      </c>
      <c r="M89" s="521" t="e">
        <f ca="1">gr(charge_entree[[#This Row],[ch_S_NO3]])</f>
        <v>#NAME?</v>
      </c>
      <c r="N89" s="521" t="e">
        <f ca="1">gr(charge_entree[[#This Row],[ch_S_PTOT]])</f>
        <v>#NAME?</v>
      </c>
      <c r="O89" s="521" t="e">
        <f ca="1">gr(charge_entree[[#This Row],[ch_S_SNDT]])</f>
        <v>#NAME?</v>
      </c>
    </row>
    <row r="90" spans="1:15" x14ac:dyDescent="0.2">
      <c r="A90" s="222">
        <f>calculs!A90</f>
        <v>44641</v>
      </c>
      <c r="B90" s="521" t="e">
        <f ca="1">gr(charge_entree[[#This Row],[ch_E_DBO5]])</f>
        <v>#NAME?</v>
      </c>
      <c r="C90" s="521" t="e">
        <f ca="1">gr(charge_entree[[#This Row],[ch_E_DCO]])</f>
        <v>#NAME?</v>
      </c>
      <c r="D90" s="521" t="e">
        <f ca="1">gr(charge_entree[[#This Row],[ch_E_COT]])</f>
        <v>#NAME?</v>
      </c>
      <c r="E90" s="521" t="e">
        <f ca="1">gr(charge_entree[[#This Row],[ch_E_NH4]])</f>
        <v>#NAME?</v>
      </c>
      <c r="F90" s="521" t="e">
        <f ca="1">gr(charge_entree[[#This Row],[ch_E_NTOT]])</f>
        <v>#NAME?</v>
      </c>
      <c r="G90" s="521" t="e">
        <f ca="1">gr(charge_entree[[#This Row],[ch_E_PTOT]])</f>
        <v>#NAME?</v>
      </c>
      <c r="H90" s="521" t="e">
        <f ca="1">gr(charge_entree[[#This Row],[ch_S_DBO]])</f>
        <v>#NAME?</v>
      </c>
      <c r="I90" s="521" t="e">
        <f ca="1">gr(charge_entree[[#This Row],[ch_S-DCO]])</f>
        <v>#NAME?</v>
      </c>
      <c r="J90" s="521" t="e">
        <f ca="1">gr(charge_entree[[#This Row],[ch_S_DOC]])</f>
        <v>#NAME?</v>
      </c>
      <c r="K90" s="521" t="e">
        <f ca="1">gr(charge_entree[[#This Row],[ch_S_NH4]])</f>
        <v>#NAME?</v>
      </c>
      <c r="L90" s="521" t="e">
        <f ca="1">gr(charge_entree[[#This Row],[ch_S_NO2]])</f>
        <v>#NAME?</v>
      </c>
      <c r="M90" s="521" t="e">
        <f ca="1">gr(charge_entree[[#This Row],[ch_S_NO3]])</f>
        <v>#NAME?</v>
      </c>
      <c r="N90" s="521" t="e">
        <f ca="1">gr(charge_entree[[#This Row],[ch_S_PTOT]])</f>
        <v>#NAME?</v>
      </c>
      <c r="O90" s="521" t="e">
        <f ca="1">gr(charge_entree[[#This Row],[ch_S_SNDT]])</f>
        <v>#NAME?</v>
      </c>
    </row>
    <row r="91" spans="1:15" x14ac:dyDescent="0.2">
      <c r="A91" s="222">
        <f>calculs!A91</f>
        <v>44642</v>
      </c>
      <c r="B91" s="521" t="e">
        <f ca="1">gr(charge_entree[[#This Row],[ch_E_DBO5]])</f>
        <v>#NAME?</v>
      </c>
      <c r="C91" s="521" t="e">
        <f ca="1">gr(charge_entree[[#This Row],[ch_E_DCO]])</f>
        <v>#NAME?</v>
      </c>
      <c r="D91" s="521" t="e">
        <f ca="1">gr(charge_entree[[#This Row],[ch_E_COT]])</f>
        <v>#NAME?</v>
      </c>
      <c r="E91" s="521" t="e">
        <f ca="1">gr(charge_entree[[#This Row],[ch_E_NH4]])</f>
        <v>#NAME?</v>
      </c>
      <c r="F91" s="521" t="e">
        <f ca="1">gr(charge_entree[[#This Row],[ch_E_NTOT]])</f>
        <v>#NAME?</v>
      </c>
      <c r="G91" s="521" t="e">
        <f ca="1">gr(charge_entree[[#This Row],[ch_E_PTOT]])</f>
        <v>#NAME?</v>
      </c>
      <c r="H91" s="521" t="e">
        <f ca="1">gr(charge_entree[[#This Row],[ch_S_DBO]])</f>
        <v>#NAME?</v>
      </c>
      <c r="I91" s="521" t="e">
        <f ca="1">gr(charge_entree[[#This Row],[ch_S-DCO]])</f>
        <v>#NAME?</v>
      </c>
      <c r="J91" s="521" t="e">
        <f ca="1">gr(charge_entree[[#This Row],[ch_S_DOC]])</f>
        <v>#NAME?</v>
      </c>
      <c r="K91" s="521" t="e">
        <f ca="1">gr(charge_entree[[#This Row],[ch_S_NH4]])</f>
        <v>#NAME?</v>
      </c>
      <c r="L91" s="521" t="e">
        <f ca="1">gr(charge_entree[[#This Row],[ch_S_NO2]])</f>
        <v>#NAME?</v>
      </c>
      <c r="M91" s="521" t="e">
        <f ca="1">gr(charge_entree[[#This Row],[ch_S_NO3]])</f>
        <v>#NAME?</v>
      </c>
      <c r="N91" s="521" t="e">
        <f ca="1">gr(charge_entree[[#This Row],[ch_S_PTOT]])</f>
        <v>#NAME?</v>
      </c>
      <c r="O91" s="521" t="e">
        <f ca="1">gr(charge_entree[[#This Row],[ch_S_SNDT]])</f>
        <v>#NAME?</v>
      </c>
    </row>
    <row r="92" spans="1:15" x14ac:dyDescent="0.2">
      <c r="A92" s="222">
        <f>calculs!A92</f>
        <v>44643</v>
      </c>
      <c r="B92" s="521" t="e">
        <f ca="1">gr(charge_entree[[#This Row],[ch_E_DBO5]])</f>
        <v>#NAME?</v>
      </c>
      <c r="C92" s="521" t="e">
        <f ca="1">gr(charge_entree[[#This Row],[ch_E_DCO]])</f>
        <v>#NAME?</v>
      </c>
      <c r="D92" s="521" t="e">
        <f ca="1">gr(charge_entree[[#This Row],[ch_E_COT]])</f>
        <v>#NAME?</v>
      </c>
      <c r="E92" s="521" t="e">
        <f ca="1">gr(charge_entree[[#This Row],[ch_E_NH4]])</f>
        <v>#NAME?</v>
      </c>
      <c r="F92" s="521" t="e">
        <f ca="1">gr(charge_entree[[#This Row],[ch_E_NTOT]])</f>
        <v>#NAME?</v>
      </c>
      <c r="G92" s="521" t="e">
        <f ca="1">gr(charge_entree[[#This Row],[ch_E_PTOT]])</f>
        <v>#NAME?</v>
      </c>
      <c r="H92" s="521" t="e">
        <f ca="1">gr(charge_entree[[#This Row],[ch_S_DBO]])</f>
        <v>#NAME?</v>
      </c>
      <c r="I92" s="521" t="e">
        <f ca="1">gr(charge_entree[[#This Row],[ch_S-DCO]])</f>
        <v>#NAME?</v>
      </c>
      <c r="J92" s="521" t="e">
        <f ca="1">gr(charge_entree[[#This Row],[ch_S_DOC]])</f>
        <v>#NAME?</v>
      </c>
      <c r="K92" s="521" t="e">
        <f ca="1">gr(charge_entree[[#This Row],[ch_S_NH4]])</f>
        <v>#NAME?</v>
      </c>
      <c r="L92" s="521" t="e">
        <f ca="1">gr(charge_entree[[#This Row],[ch_S_NO2]])</f>
        <v>#NAME?</v>
      </c>
      <c r="M92" s="521" t="e">
        <f ca="1">gr(charge_entree[[#This Row],[ch_S_NO3]])</f>
        <v>#NAME?</v>
      </c>
      <c r="N92" s="521" t="e">
        <f ca="1">gr(charge_entree[[#This Row],[ch_S_PTOT]])</f>
        <v>#NAME?</v>
      </c>
      <c r="O92" s="521" t="e">
        <f ca="1">gr(charge_entree[[#This Row],[ch_S_SNDT]])</f>
        <v>#NAME?</v>
      </c>
    </row>
    <row r="93" spans="1:15" x14ac:dyDescent="0.2">
      <c r="A93" s="222">
        <f>calculs!A93</f>
        <v>44644</v>
      </c>
      <c r="B93" s="521" t="e">
        <f ca="1">gr(charge_entree[[#This Row],[ch_E_DBO5]])</f>
        <v>#NAME?</v>
      </c>
      <c r="C93" s="521" t="e">
        <f ca="1">gr(charge_entree[[#This Row],[ch_E_DCO]])</f>
        <v>#NAME?</v>
      </c>
      <c r="D93" s="521" t="e">
        <f ca="1">gr(charge_entree[[#This Row],[ch_E_COT]])</f>
        <v>#NAME?</v>
      </c>
      <c r="E93" s="521" t="e">
        <f ca="1">gr(charge_entree[[#This Row],[ch_E_NH4]])</f>
        <v>#NAME?</v>
      </c>
      <c r="F93" s="521" t="e">
        <f ca="1">gr(charge_entree[[#This Row],[ch_E_NTOT]])</f>
        <v>#NAME?</v>
      </c>
      <c r="G93" s="521" t="e">
        <f ca="1">gr(charge_entree[[#This Row],[ch_E_PTOT]])</f>
        <v>#NAME?</v>
      </c>
      <c r="H93" s="521" t="e">
        <f ca="1">gr(charge_entree[[#This Row],[ch_S_DBO]])</f>
        <v>#NAME?</v>
      </c>
      <c r="I93" s="521" t="e">
        <f ca="1">gr(charge_entree[[#This Row],[ch_S-DCO]])</f>
        <v>#NAME?</v>
      </c>
      <c r="J93" s="521" t="e">
        <f ca="1">gr(charge_entree[[#This Row],[ch_S_DOC]])</f>
        <v>#NAME?</v>
      </c>
      <c r="K93" s="521" t="e">
        <f ca="1">gr(charge_entree[[#This Row],[ch_S_NH4]])</f>
        <v>#NAME?</v>
      </c>
      <c r="L93" s="521" t="e">
        <f ca="1">gr(charge_entree[[#This Row],[ch_S_NO2]])</f>
        <v>#NAME?</v>
      </c>
      <c r="M93" s="521" t="e">
        <f ca="1">gr(charge_entree[[#This Row],[ch_S_NO3]])</f>
        <v>#NAME?</v>
      </c>
      <c r="N93" s="521" t="e">
        <f ca="1">gr(charge_entree[[#This Row],[ch_S_PTOT]])</f>
        <v>#NAME?</v>
      </c>
      <c r="O93" s="521" t="e">
        <f ca="1">gr(charge_entree[[#This Row],[ch_S_SNDT]])</f>
        <v>#NAME?</v>
      </c>
    </row>
    <row r="94" spans="1:15" x14ac:dyDescent="0.2">
      <c r="A94" s="222">
        <f>calculs!A94</f>
        <v>44645</v>
      </c>
      <c r="B94" s="521" t="e">
        <f ca="1">gr(charge_entree[[#This Row],[ch_E_DBO5]])</f>
        <v>#NAME?</v>
      </c>
      <c r="C94" s="521" t="e">
        <f ca="1">gr(charge_entree[[#This Row],[ch_E_DCO]])</f>
        <v>#NAME?</v>
      </c>
      <c r="D94" s="521" t="e">
        <f ca="1">gr(charge_entree[[#This Row],[ch_E_COT]])</f>
        <v>#NAME?</v>
      </c>
      <c r="E94" s="521" t="e">
        <f ca="1">gr(charge_entree[[#This Row],[ch_E_NH4]])</f>
        <v>#NAME?</v>
      </c>
      <c r="F94" s="521" t="e">
        <f ca="1">gr(charge_entree[[#This Row],[ch_E_NTOT]])</f>
        <v>#NAME?</v>
      </c>
      <c r="G94" s="521" t="e">
        <f ca="1">gr(charge_entree[[#This Row],[ch_E_PTOT]])</f>
        <v>#NAME?</v>
      </c>
      <c r="H94" s="521" t="e">
        <f ca="1">gr(charge_entree[[#This Row],[ch_S_DBO]])</f>
        <v>#NAME?</v>
      </c>
      <c r="I94" s="521" t="e">
        <f ca="1">gr(charge_entree[[#This Row],[ch_S-DCO]])</f>
        <v>#NAME?</v>
      </c>
      <c r="J94" s="521" t="e">
        <f ca="1">gr(charge_entree[[#This Row],[ch_S_DOC]])</f>
        <v>#NAME?</v>
      </c>
      <c r="K94" s="521" t="e">
        <f ca="1">gr(charge_entree[[#This Row],[ch_S_NH4]])</f>
        <v>#NAME?</v>
      </c>
      <c r="L94" s="521" t="e">
        <f ca="1">gr(charge_entree[[#This Row],[ch_S_NO2]])</f>
        <v>#NAME?</v>
      </c>
      <c r="M94" s="521" t="e">
        <f ca="1">gr(charge_entree[[#This Row],[ch_S_NO3]])</f>
        <v>#NAME?</v>
      </c>
      <c r="N94" s="521" t="e">
        <f ca="1">gr(charge_entree[[#This Row],[ch_S_PTOT]])</f>
        <v>#NAME?</v>
      </c>
      <c r="O94" s="521" t="e">
        <f ca="1">gr(charge_entree[[#This Row],[ch_S_SNDT]])</f>
        <v>#NAME?</v>
      </c>
    </row>
    <row r="95" spans="1:15" x14ac:dyDescent="0.2">
      <c r="A95" s="222">
        <f>calculs!A95</f>
        <v>44646</v>
      </c>
      <c r="B95" s="521" t="e">
        <f ca="1">gr(charge_entree[[#This Row],[ch_E_DBO5]])</f>
        <v>#NAME?</v>
      </c>
      <c r="C95" s="521" t="e">
        <f ca="1">gr(charge_entree[[#This Row],[ch_E_DCO]])</f>
        <v>#NAME?</v>
      </c>
      <c r="D95" s="521" t="e">
        <f ca="1">gr(charge_entree[[#This Row],[ch_E_COT]])</f>
        <v>#NAME?</v>
      </c>
      <c r="E95" s="521" t="e">
        <f ca="1">gr(charge_entree[[#This Row],[ch_E_NH4]])</f>
        <v>#NAME?</v>
      </c>
      <c r="F95" s="521" t="e">
        <f ca="1">gr(charge_entree[[#This Row],[ch_E_NTOT]])</f>
        <v>#NAME?</v>
      </c>
      <c r="G95" s="521" t="e">
        <f ca="1">gr(charge_entree[[#This Row],[ch_E_PTOT]])</f>
        <v>#NAME?</v>
      </c>
      <c r="H95" s="521" t="e">
        <f ca="1">gr(charge_entree[[#This Row],[ch_S_DBO]])</f>
        <v>#NAME?</v>
      </c>
      <c r="I95" s="521" t="e">
        <f ca="1">gr(charge_entree[[#This Row],[ch_S-DCO]])</f>
        <v>#NAME?</v>
      </c>
      <c r="J95" s="521" t="e">
        <f ca="1">gr(charge_entree[[#This Row],[ch_S_DOC]])</f>
        <v>#NAME?</v>
      </c>
      <c r="K95" s="521" t="e">
        <f ca="1">gr(charge_entree[[#This Row],[ch_S_NH4]])</f>
        <v>#NAME?</v>
      </c>
      <c r="L95" s="521" t="e">
        <f ca="1">gr(charge_entree[[#This Row],[ch_S_NO2]])</f>
        <v>#NAME?</v>
      </c>
      <c r="M95" s="521" t="e">
        <f ca="1">gr(charge_entree[[#This Row],[ch_S_NO3]])</f>
        <v>#NAME?</v>
      </c>
      <c r="N95" s="521" t="e">
        <f ca="1">gr(charge_entree[[#This Row],[ch_S_PTOT]])</f>
        <v>#NAME?</v>
      </c>
      <c r="O95" s="521" t="e">
        <f ca="1">gr(charge_entree[[#This Row],[ch_S_SNDT]])</f>
        <v>#NAME?</v>
      </c>
    </row>
    <row r="96" spans="1:15" x14ac:dyDescent="0.2">
      <c r="A96" s="222">
        <f>calculs!A96</f>
        <v>44647</v>
      </c>
      <c r="B96" s="521" t="e">
        <f ca="1">gr(charge_entree[[#This Row],[ch_E_DBO5]])</f>
        <v>#NAME?</v>
      </c>
      <c r="C96" s="521" t="e">
        <f ca="1">gr(charge_entree[[#This Row],[ch_E_DCO]])</f>
        <v>#NAME?</v>
      </c>
      <c r="D96" s="521" t="e">
        <f ca="1">gr(charge_entree[[#This Row],[ch_E_COT]])</f>
        <v>#NAME?</v>
      </c>
      <c r="E96" s="521" t="e">
        <f ca="1">gr(charge_entree[[#This Row],[ch_E_NH4]])</f>
        <v>#NAME?</v>
      </c>
      <c r="F96" s="521" t="e">
        <f ca="1">gr(charge_entree[[#This Row],[ch_E_NTOT]])</f>
        <v>#NAME?</v>
      </c>
      <c r="G96" s="521" t="e">
        <f ca="1">gr(charge_entree[[#This Row],[ch_E_PTOT]])</f>
        <v>#NAME?</v>
      </c>
      <c r="H96" s="521" t="e">
        <f ca="1">gr(charge_entree[[#This Row],[ch_S_DBO]])</f>
        <v>#NAME?</v>
      </c>
      <c r="I96" s="521" t="e">
        <f ca="1">gr(charge_entree[[#This Row],[ch_S-DCO]])</f>
        <v>#NAME?</v>
      </c>
      <c r="J96" s="521" t="e">
        <f ca="1">gr(charge_entree[[#This Row],[ch_S_DOC]])</f>
        <v>#NAME?</v>
      </c>
      <c r="K96" s="521" t="e">
        <f ca="1">gr(charge_entree[[#This Row],[ch_S_NH4]])</f>
        <v>#NAME?</v>
      </c>
      <c r="L96" s="521" t="e">
        <f ca="1">gr(charge_entree[[#This Row],[ch_S_NO2]])</f>
        <v>#NAME?</v>
      </c>
      <c r="M96" s="521" t="e">
        <f ca="1">gr(charge_entree[[#This Row],[ch_S_NO3]])</f>
        <v>#NAME?</v>
      </c>
      <c r="N96" s="521" t="e">
        <f ca="1">gr(charge_entree[[#This Row],[ch_S_PTOT]])</f>
        <v>#NAME?</v>
      </c>
      <c r="O96" s="521" t="e">
        <f ca="1">gr(charge_entree[[#This Row],[ch_S_SNDT]])</f>
        <v>#NAME?</v>
      </c>
    </row>
    <row r="97" spans="1:15" x14ac:dyDescent="0.2">
      <c r="A97" s="222">
        <f>calculs!A97</f>
        <v>44648</v>
      </c>
      <c r="B97" s="521" t="e">
        <f ca="1">gr(charge_entree[[#This Row],[ch_E_DBO5]])</f>
        <v>#NAME?</v>
      </c>
      <c r="C97" s="521" t="e">
        <f ca="1">gr(charge_entree[[#This Row],[ch_E_DCO]])</f>
        <v>#NAME?</v>
      </c>
      <c r="D97" s="521" t="e">
        <f ca="1">gr(charge_entree[[#This Row],[ch_E_COT]])</f>
        <v>#NAME?</v>
      </c>
      <c r="E97" s="521" t="e">
        <f ca="1">gr(charge_entree[[#This Row],[ch_E_NH4]])</f>
        <v>#NAME?</v>
      </c>
      <c r="F97" s="521" t="e">
        <f ca="1">gr(charge_entree[[#This Row],[ch_E_NTOT]])</f>
        <v>#NAME?</v>
      </c>
      <c r="G97" s="521" t="e">
        <f ca="1">gr(charge_entree[[#This Row],[ch_E_PTOT]])</f>
        <v>#NAME?</v>
      </c>
      <c r="H97" s="521" t="e">
        <f ca="1">gr(charge_entree[[#This Row],[ch_S_DBO]])</f>
        <v>#NAME?</v>
      </c>
      <c r="I97" s="521" t="e">
        <f ca="1">gr(charge_entree[[#This Row],[ch_S-DCO]])</f>
        <v>#NAME?</v>
      </c>
      <c r="J97" s="521" t="e">
        <f ca="1">gr(charge_entree[[#This Row],[ch_S_DOC]])</f>
        <v>#NAME?</v>
      </c>
      <c r="K97" s="521" t="e">
        <f ca="1">gr(charge_entree[[#This Row],[ch_S_NH4]])</f>
        <v>#NAME?</v>
      </c>
      <c r="L97" s="521" t="e">
        <f ca="1">gr(charge_entree[[#This Row],[ch_S_NO2]])</f>
        <v>#NAME?</v>
      </c>
      <c r="M97" s="521" t="e">
        <f ca="1">gr(charge_entree[[#This Row],[ch_S_NO3]])</f>
        <v>#NAME?</v>
      </c>
      <c r="N97" s="521" t="e">
        <f ca="1">gr(charge_entree[[#This Row],[ch_S_PTOT]])</f>
        <v>#NAME?</v>
      </c>
      <c r="O97" s="521" t="e">
        <f ca="1">gr(charge_entree[[#This Row],[ch_S_SNDT]])</f>
        <v>#NAME?</v>
      </c>
    </row>
    <row r="98" spans="1:15" x14ac:dyDescent="0.2">
      <c r="A98" s="222">
        <f>calculs!A98</f>
        <v>44649</v>
      </c>
      <c r="B98" s="521" t="e">
        <f ca="1">gr(charge_entree[[#This Row],[ch_E_DBO5]])</f>
        <v>#NAME?</v>
      </c>
      <c r="C98" s="521" t="e">
        <f ca="1">gr(charge_entree[[#This Row],[ch_E_DCO]])</f>
        <v>#NAME?</v>
      </c>
      <c r="D98" s="521" t="e">
        <f ca="1">gr(charge_entree[[#This Row],[ch_E_COT]])</f>
        <v>#NAME?</v>
      </c>
      <c r="E98" s="521" t="e">
        <f ca="1">gr(charge_entree[[#This Row],[ch_E_NH4]])</f>
        <v>#NAME?</v>
      </c>
      <c r="F98" s="521" t="e">
        <f ca="1">gr(charge_entree[[#This Row],[ch_E_NTOT]])</f>
        <v>#NAME?</v>
      </c>
      <c r="G98" s="521" t="e">
        <f ca="1">gr(charge_entree[[#This Row],[ch_E_PTOT]])</f>
        <v>#NAME?</v>
      </c>
      <c r="H98" s="521" t="e">
        <f ca="1">gr(charge_entree[[#This Row],[ch_S_DBO]])</f>
        <v>#NAME?</v>
      </c>
      <c r="I98" s="521" t="e">
        <f ca="1">gr(charge_entree[[#This Row],[ch_S-DCO]])</f>
        <v>#NAME?</v>
      </c>
      <c r="J98" s="521" t="e">
        <f ca="1">gr(charge_entree[[#This Row],[ch_S_DOC]])</f>
        <v>#NAME?</v>
      </c>
      <c r="K98" s="521" t="e">
        <f ca="1">gr(charge_entree[[#This Row],[ch_S_NH4]])</f>
        <v>#NAME?</v>
      </c>
      <c r="L98" s="521" t="e">
        <f ca="1">gr(charge_entree[[#This Row],[ch_S_NO2]])</f>
        <v>#NAME?</v>
      </c>
      <c r="M98" s="521" t="e">
        <f ca="1">gr(charge_entree[[#This Row],[ch_S_NO3]])</f>
        <v>#NAME?</v>
      </c>
      <c r="N98" s="521" t="e">
        <f ca="1">gr(charge_entree[[#This Row],[ch_S_PTOT]])</f>
        <v>#NAME?</v>
      </c>
      <c r="O98" s="521" t="e">
        <f ca="1">gr(charge_entree[[#This Row],[ch_S_SNDT]])</f>
        <v>#NAME?</v>
      </c>
    </row>
    <row r="99" spans="1:15" x14ac:dyDescent="0.2">
      <c r="A99" s="222">
        <f>calculs!A99</f>
        <v>44650</v>
      </c>
      <c r="B99" s="521" t="e">
        <f ca="1">gr(charge_entree[[#This Row],[ch_E_DBO5]])</f>
        <v>#NAME?</v>
      </c>
      <c r="C99" s="521" t="e">
        <f ca="1">gr(charge_entree[[#This Row],[ch_E_DCO]])</f>
        <v>#NAME?</v>
      </c>
      <c r="D99" s="521" t="e">
        <f ca="1">gr(charge_entree[[#This Row],[ch_E_COT]])</f>
        <v>#NAME?</v>
      </c>
      <c r="E99" s="521" t="e">
        <f ca="1">gr(charge_entree[[#This Row],[ch_E_NH4]])</f>
        <v>#NAME?</v>
      </c>
      <c r="F99" s="521" t="e">
        <f ca="1">gr(charge_entree[[#This Row],[ch_E_NTOT]])</f>
        <v>#NAME?</v>
      </c>
      <c r="G99" s="521" t="e">
        <f ca="1">gr(charge_entree[[#This Row],[ch_E_PTOT]])</f>
        <v>#NAME?</v>
      </c>
      <c r="H99" s="521" t="e">
        <f ca="1">gr(charge_entree[[#This Row],[ch_S_DBO]])</f>
        <v>#NAME?</v>
      </c>
      <c r="I99" s="521" t="e">
        <f ca="1">gr(charge_entree[[#This Row],[ch_S-DCO]])</f>
        <v>#NAME?</v>
      </c>
      <c r="J99" s="521" t="e">
        <f ca="1">gr(charge_entree[[#This Row],[ch_S_DOC]])</f>
        <v>#NAME?</v>
      </c>
      <c r="K99" s="521" t="e">
        <f ca="1">gr(charge_entree[[#This Row],[ch_S_NH4]])</f>
        <v>#NAME?</v>
      </c>
      <c r="L99" s="521" t="e">
        <f ca="1">gr(charge_entree[[#This Row],[ch_S_NO2]])</f>
        <v>#NAME?</v>
      </c>
      <c r="M99" s="521" t="e">
        <f ca="1">gr(charge_entree[[#This Row],[ch_S_NO3]])</f>
        <v>#NAME?</v>
      </c>
      <c r="N99" s="521" t="e">
        <f ca="1">gr(charge_entree[[#This Row],[ch_S_PTOT]])</f>
        <v>#NAME?</v>
      </c>
      <c r="O99" s="521" t="e">
        <f ca="1">gr(charge_entree[[#This Row],[ch_S_SNDT]])</f>
        <v>#NAME?</v>
      </c>
    </row>
    <row r="100" spans="1:15" x14ac:dyDescent="0.2">
      <c r="A100" s="222">
        <f>calculs!A100</f>
        <v>44651</v>
      </c>
      <c r="B100" s="521" t="e">
        <f ca="1">gr(charge_entree[[#This Row],[ch_E_DBO5]])</f>
        <v>#NAME?</v>
      </c>
      <c r="C100" s="521" t="e">
        <f ca="1">gr(charge_entree[[#This Row],[ch_E_DCO]])</f>
        <v>#NAME?</v>
      </c>
      <c r="D100" s="521" t="e">
        <f ca="1">gr(charge_entree[[#This Row],[ch_E_COT]])</f>
        <v>#NAME?</v>
      </c>
      <c r="E100" s="521" t="e">
        <f ca="1">gr(charge_entree[[#This Row],[ch_E_NH4]])</f>
        <v>#NAME?</v>
      </c>
      <c r="F100" s="521" t="e">
        <f ca="1">gr(charge_entree[[#This Row],[ch_E_NTOT]])</f>
        <v>#NAME?</v>
      </c>
      <c r="G100" s="521" t="e">
        <f ca="1">gr(charge_entree[[#This Row],[ch_E_PTOT]])</f>
        <v>#NAME?</v>
      </c>
      <c r="H100" s="521" t="e">
        <f ca="1">gr(charge_entree[[#This Row],[ch_S_DBO]])</f>
        <v>#NAME?</v>
      </c>
      <c r="I100" s="521" t="e">
        <f ca="1">gr(charge_entree[[#This Row],[ch_S-DCO]])</f>
        <v>#NAME?</v>
      </c>
      <c r="J100" s="521" t="e">
        <f ca="1">gr(charge_entree[[#This Row],[ch_S_DOC]])</f>
        <v>#NAME?</v>
      </c>
      <c r="K100" s="521" t="e">
        <f ca="1">gr(charge_entree[[#This Row],[ch_S_NH4]])</f>
        <v>#NAME?</v>
      </c>
      <c r="L100" s="521" t="e">
        <f ca="1">gr(charge_entree[[#This Row],[ch_S_NO2]])</f>
        <v>#NAME?</v>
      </c>
      <c r="M100" s="521" t="e">
        <f ca="1">gr(charge_entree[[#This Row],[ch_S_NO3]])</f>
        <v>#NAME?</v>
      </c>
      <c r="N100" s="521" t="e">
        <f ca="1">gr(charge_entree[[#This Row],[ch_S_PTOT]])</f>
        <v>#NAME?</v>
      </c>
      <c r="O100" s="521" t="e">
        <f ca="1">gr(charge_entree[[#This Row],[ch_S_SNDT]])</f>
        <v>#NAME?</v>
      </c>
    </row>
    <row r="101" spans="1:15" x14ac:dyDescent="0.2">
      <c r="A101" s="222">
        <f>calculs!A101</f>
        <v>44652</v>
      </c>
      <c r="B101" s="521" t="e">
        <f ca="1">gr(charge_entree[[#This Row],[ch_E_DBO5]])</f>
        <v>#NAME?</v>
      </c>
      <c r="C101" s="521" t="e">
        <f ca="1">gr(charge_entree[[#This Row],[ch_E_DCO]])</f>
        <v>#NAME?</v>
      </c>
      <c r="D101" s="521" t="e">
        <f ca="1">gr(charge_entree[[#This Row],[ch_E_COT]])</f>
        <v>#NAME?</v>
      </c>
      <c r="E101" s="521" t="e">
        <f ca="1">gr(charge_entree[[#This Row],[ch_E_NH4]])</f>
        <v>#NAME?</v>
      </c>
      <c r="F101" s="521" t="e">
        <f ca="1">gr(charge_entree[[#This Row],[ch_E_NTOT]])</f>
        <v>#NAME?</v>
      </c>
      <c r="G101" s="521" t="e">
        <f ca="1">gr(charge_entree[[#This Row],[ch_E_PTOT]])</f>
        <v>#NAME?</v>
      </c>
      <c r="H101" s="521" t="e">
        <f ca="1">gr(charge_entree[[#This Row],[ch_S_DBO]])</f>
        <v>#NAME?</v>
      </c>
      <c r="I101" s="521" t="e">
        <f ca="1">gr(charge_entree[[#This Row],[ch_S-DCO]])</f>
        <v>#NAME?</v>
      </c>
      <c r="J101" s="521" t="e">
        <f ca="1">gr(charge_entree[[#This Row],[ch_S_DOC]])</f>
        <v>#NAME?</v>
      </c>
      <c r="K101" s="521" t="e">
        <f ca="1">gr(charge_entree[[#This Row],[ch_S_NH4]])</f>
        <v>#NAME?</v>
      </c>
      <c r="L101" s="521" t="e">
        <f ca="1">gr(charge_entree[[#This Row],[ch_S_NO2]])</f>
        <v>#NAME?</v>
      </c>
      <c r="M101" s="521" t="e">
        <f ca="1">gr(charge_entree[[#This Row],[ch_S_NO3]])</f>
        <v>#NAME?</v>
      </c>
      <c r="N101" s="521" t="e">
        <f ca="1">gr(charge_entree[[#This Row],[ch_S_PTOT]])</f>
        <v>#NAME?</v>
      </c>
      <c r="O101" s="521" t="e">
        <f ca="1">gr(charge_entree[[#This Row],[ch_S_SNDT]])</f>
        <v>#NAME?</v>
      </c>
    </row>
    <row r="102" spans="1:15" x14ac:dyDescent="0.2">
      <c r="A102" s="222">
        <f>calculs!A102</f>
        <v>44653</v>
      </c>
      <c r="B102" s="521" t="e">
        <f ca="1">gr(charge_entree[[#This Row],[ch_E_DBO5]])</f>
        <v>#NAME?</v>
      </c>
      <c r="C102" s="521" t="e">
        <f ca="1">gr(charge_entree[[#This Row],[ch_E_DCO]])</f>
        <v>#NAME?</v>
      </c>
      <c r="D102" s="521" t="e">
        <f ca="1">gr(charge_entree[[#This Row],[ch_E_COT]])</f>
        <v>#NAME?</v>
      </c>
      <c r="E102" s="521" t="e">
        <f ca="1">gr(charge_entree[[#This Row],[ch_E_NH4]])</f>
        <v>#NAME?</v>
      </c>
      <c r="F102" s="521" t="e">
        <f ca="1">gr(charge_entree[[#This Row],[ch_E_NTOT]])</f>
        <v>#NAME?</v>
      </c>
      <c r="G102" s="521" t="e">
        <f ca="1">gr(charge_entree[[#This Row],[ch_E_PTOT]])</f>
        <v>#NAME?</v>
      </c>
      <c r="H102" s="521" t="e">
        <f ca="1">gr(charge_entree[[#This Row],[ch_S_DBO]])</f>
        <v>#NAME?</v>
      </c>
      <c r="I102" s="521" t="e">
        <f ca="1">gr(charge_entree[[#This Row],[ch_S-DCO]])</f>
        <v>#NAME?</v>
      </c>
      <c r="J102" s="521" t="e">
        <f ca="1">gr(charge_entree[[#This Row],[ch_S_DOC]])</f>
        <v>#NAME?</v>
      </c>
      <c r="K102" s="521" t="e">
        <f ca="1">gr(charge_entree[[#This Row],[ch_S_NH4]])</f>
        <v>#NAME?</v>
      </c>
      <c r="L102" s="521" t="e">
        <f ca="1">gr(charge_entree[[#This Row],[ch_S_NO2]])</f>
        <v>#NAME?</v>
      </c>
      <c r="M102" s="521" t="e">
        <f ca="1">gr(charge_entree[[#This Row],[ch_S_NO3]])</f>
        <v>#NAME?</v>
      </c>
      <c r="N102" s="521" t="e">
        <f ca="1">gr(charge_entree[[#This Row],[ch_S_PTOT]])</f>
        <v>#NAME?</v>
      </c>
      <c r="O102" s="521" t="e">
        <f ca="1">gr(charge_entree[[#This Row],[ch_S_SNDT]])</f>
        <v>#NAME?</v>
      </c>
    </row>
    <row r="103" spans="1:15" x14ac:dyDescent="0.2">
      <c r="A103" s="222">
        <f>calculs!A103</f>
        <v>44654</v>
      </c>
      <c r="B103" s="521" t="e">
        <f ca="1">gr(charge_entree[[#This Row],[ch_E_DBO5]])</f>
        <v>#NAME?</v>
      </c>
      <c r="C103" s="521" t="e">
        <f ca="1">gr(charge_entree[[#This Row],[ch_E_DCO]])</f>
        <v>#NAME?</v>
      </c>
      <c r="D103" s="521" t="e">
        <f ca="1">gr(charge_entree[[#This Row],[ch_E_COT]])</f>
        <v>#NAME?</v>
      </c>
      <c r="E103" s="521" t="e">
        <f ca="1">gr(charge_entree[[#This Row],[ch_E_NH4]])</f>
        <v>#NAME?</v>
      </c>
      <c r="F103" s="521" t="e">
        <f ca="1">gr(charge_entree[[#This Row],[ch_E_NTOT]])</f>
        <v>#NAME?</v>
      </c>
      <c r="G103" s="521" t="e">
        <f ca="1">gr(charge_entree[[#This Row],[ch_E_PTOT]])</f>
        <v>#NAME?</v>
      </c>
      <c r="H103" s="521" t="e">
        <f ca="1">gr(charge_entree[[#This Row],[ch_S_DBO]])</f>
        <v>#NAME?</v>
      </c>
      <c r="I103" s="521" t="e">
        <f ca="1">gr(charge_entree[[#This Row],[ch_S-DCO]])</f>
        <v>#NAME?</v>
      </c>
      <c r="J103" s="521" t="e">
        <f ca="1">gr(charge_entree[[#This Row],[ch_S_DOC]])</f>
        <v>#NAME?</v>
      </c>
      <c r="K103" s="521" t="e">
        <f ca="1">gr(charge_entree[[#This Row],[ch_S_NH4]])</f>
        <v>#NAME?</v>
      </c>
      <c r="L103" s="521" t="e">
        <f ca="1">gr(charge_entree[[#This Row],[ch_S_NO2]])</f>
        <v>#NAME?</v>
      </c>
      <c r="M103" s="521" t="e">
        <f ca="1">gr(charge_entree[[#This Row],[ch_S_NO3]])</f>
        <v>#NAME?</v>
      </c>
      <c r="N103" s="521" t="e">
        <f ca="1">gr(charge_entree[[#This Row],[ch_S_PTOT]])</f>
        <v>#NAME?</v>
      </c>
      <c r="O103" s="521" t="e">
        <f ca="1">gr(charge_entree[[#This Row],[ch_S_SNDT]])</f>
        <v>#NAME?</v>
      </c>
    </row>
    <row r="104" spans="1:15" x14ac:dyDescent="0.2">
      <c r="A104" s="222">
        <f>calculs!A104</f>
        <v>44655</v>
      </c>
      <c r="B104" s="521" t="e">
        <f ca="1">gr(charge_entree[[#This Row],[ch_E_DBO5]])</f>
        <v>#NAME?</v>
      </c>
      <c r="C104" s="521" t="e">
        <f ca="1">gr(charge_entree[[#This Row],[ch_E_DCO]])</f>
        <v>#NAME?</v>
      </c>
      <c r="D104" s="521" t="e">
        <f ca="1">gr(charge_entree[[#This Row],[ch_E_COT]])</f>
        <v>#NAME?</v>
      </c>
      <c r="E104" s="521" t="e">
        <f ca="1">gr(charge_entree[[#This Row],[ch_E_NH4]])</f>
        <v>#NAME?</v>
      </c>
      <c r="F104" s="521" t="e">
        <f ca="1">gr(charge_entree[[#This Row],[ch_E_NTOT]])</f>
        <v>#NAME?</v>
      </c>
      <c r="G104" s="521" t="e">
        <f ca="1">gr(charge_entree[[#This Row],[ch_E_PTOT]])</f>
        <v>#NAME?</v>
      </c>
      <c r="H104" s="521" t="e">
        <f ca="1">gr(charge_entree[[#This Row],[ch_S_DBO]])</f>
        <v>#NAME?</v>
      </c>
      <c r="I104" s="521" t="e">
        <f ca="1">gr(charge_entree[[#This Row],[ch_S-DCO]])</f>
        <v>#NAME?</v>
      </c>
      <c r="J104" s="521" t="e">
        <f ca="1">gr(charge_entree[[#This Row],[ch_S_DOC]])</f>
        <v>#NAME?</v>
      </c>
      <c r="K104" s="521" t="e">
        <f ca="1">gr(charge_entree[[#This Row],[ch_S_NH4]])</f>
        <v>#NAME?</v>
      </c>
      <c r="L104" s="521" t="e">
        <f ca="1">gr(charge_entree[[#This Row],[ch_S_NO2]])</f>
        <v>#NAME?</v>
      </c>
      <c r="M104" s="521" t="e">
        <f ca="1">gr(charge_entree[[#This Row],[ch_S_NO3]])</f>
        <v>#NAME?</v>
      </c>
      <c r="N104" s="521" t="e">
        <f ca="1">gr(charge_entree[[#This Row],[ch_S_PTOT]])</f>
        <v>#NAME?</v>
      </c>
      <c r="O104" s="521" t="e">
        <f ca="1">gr(charge_entree[[#This Row],[ch_S_SNDT]])</f>
        <v>#NAME?</v>
      </c>
    </row>
    <row r="105" spans="1:15" x14ac:dyDescent="0.2">
      <c r="A105" s="222">
        <f>calculs!A105</f>
        <v>44656</v>
      </c>
      <c r="B105" s="521" t="e">
        <f ca="1">gr(charge_entree[[#This Row],[ch_E_DBO5]])</f>
        <v>#NAME?</v>
      </c>
      <c r="C105" s="521" t="e">
        <f ca="1">gr(charge_entree[[#This Row],[ch_E_DCO]])</f>
        <v>#NAME?</v>
      </c>
      <c r="D105" s="521" t="e">
        <f ca="1">gr(charge_entree[[#This Row],[ch_E_COT]])</f>
        <v>#NAME?</v>
      </c>
      <c r="E105" s="521" t="e">
        <f ca="1">gr(charge_entree[[#This Row],[ch_E_NH4]])</f>
        <v>#NAME?</v>
      </c>
      <c r="F105" s="521" t="e">
        <f ca="1">gr(charge_entree[[#This Row],[ch_E_NTOT]])</f>
        <v>#NAME?</v>
      </c>
      <c r="G105" s="521" t="e">
        <f ca="1">gr(charge_entree[[#This Row],[ch_E_PTOT]])</f>
        <v>#NAME?</v>
      </c>
      <c r="H105" s="521" t="e">
        <f ca="1">gr(charge_entree[[#This Row],[ch_S_DBO]])</f>
        <v>#NAME?</v>
      </c>
      <c r="I105" s="521" t="e">
        <f ca="1">gr(charge_entree[[#This Row],[ch_S-DCO]])</f>
        <v>#NAME?</v>
      </c>
      <c r="J105" s="521" t="e">
        <f ca="1">gr(charge_entree[[#This Row],[ch_S_DOC]])</f>
        <v>#NAME?</v>
      </c>
      <c r="K105" s="521" t="e">
        <f ca="1">gr(charge_entree[[#This Row],[ch_S_NH4]])</f>
        <v>#NAME?</v>
      </c>
      <c r="L105" s="521" t="e">
        <f ca="1">gr(charge_entree[[#This Row],[ch_S_NO2]])</f>
        <v>#NAME?</v>
      </c>
      <c r="M105" s="521" t="e">
        <f ca="1">gr(charge_entree[[#This Row],[ch_S_NO3]])</f>
        <v>#NAME?</v>
      </c>
      <c r="N105" s="521" t="e">
        <f ca="1">gr(charge_entree[[#This Row],[ch_S_PTOT]])</f>
        <v>#NAME?</v>
      </c>
      <c r="O105" s="521" t="e">
        <f ca="1">gr(charge_entree[[#This Row],[ch_S_SNDT]])</f>
        <v>#NAME?</v>
      </c>
    </row>
    <row r="106" spans="1:15" x14ac:dyDescent="0.2">
      <c r="A106" s="222">
        <f>calculs!A106</f>
        <v>44657</v>
      </c>
      <c r="B106" s="521" t="e">
        <f ca="1">gr(charge_entree[[#This Row],[ch_E_DBO5]])</f>
        <v>#NAME?</v>
      </c>
      <c r="C106" s="521" t="e">
        <f ca="1">gr(charge_entree[[#This Row],[ch_E_DCO]])</f>
        <v>#NAME?</v>
      </c>
      <c r="D106" s="521" t="e">
        <f ca="1">gr(charge_entree[[#This Row],[ch_E_COT]])</f>
        <v>#NAME?</v>
      </c>
      <c r="E106" s="521" t="e">
        <f ca="1">gr(charge_entree[[#This Row],[ch_E_NH4]])</f>
        <v>#NAME?</v>
      </c>
      <c r="F106" s="521" t="e">
        <f ca="1">gr(charge_entree[[#This Row],[ch_E_NTOT]])</f>
        <v>#NAME?</v>
      </c>
      <c r="G106" s="521" t="e">
        <f ca="1">gr(charge_entree[[#This Row],[ch_E_PTOT]])</f>
        <v>#NAME?</v>
      </c>
      <c r="H106" s="521" t="e">
        <f ca="1">gr(charge_entree[[#This Row],[ch_S_DBO]])</f>
        <v>#NAME?</v>
      </c>
      <c r="I106" s="521" t="e">
        <f ca="1">gr(charge_entree[[#This Row],[ch_S-DCO]])</f>
        <v>#NAME?</v>
      </c>
      <c r="J106" s="521" t="e">
        <f ca="1">gr(charge_entree[[#This Row],[ch_S_DOC]])</f>
        <v>#NAME?</v>
      </c>
      <c r="K106" s="521" t="e">
        <f ca="1">gr(charge_entree[[#This Row],[ch_S_NH4]])</f>
        <v>#NAME?</v>
      </c>
      <c r="L106" s="521" t="e">
        <f ca="1">gr(charge_entree[[#This Row],[ch_S_NO2]])</f>
        <v>#NAME?</v>
      </c>
      <c r="M106" s="521" t="e">
        <f ca="1">gr(charge_entree[[#This Row],[ch_S_NO3]])</f>
        <v>#NAME?</v>
      </c>
      <c r="N106" s="521" t="e">
        <f ca="1">gr(charge_entree[[#This Row],[ch_S_PTOT]])</f>
        <v>#NAME?</v>
      </c>
      <c r="O106" s="521" t="e">
        <f ca="1">gr(charge_entree[[#This Row],[ch_S_SNDT]])</f>
        <v>#NAME?</v>
      </c>
    </row>
    <row r="107" spans="1:15" x14ac:dyDescent="0.2">
      <c r="A107" s="222">
        <f>calculs!A107</f>
        <v>44658</v>
      </c>
      <c r="B107" s="521" t="e">
        <f ca="1">gr(charge_entree[[#This Row],[ch_E_DBO5]])</f>
        <v>#NAME?</v>
      </c>
      <c r="C107" s="521" t="e">
        <f ca="1">gr(charge_entree[[#This Row],[ch_E_DCO]])</f>
        <v>#NAME?</v>
      </c>
      <c r="D107" s="521" t="e">
        <f ca="1">gr(charge_entree[[#This Row],[ch_E_COT]])</f>
        <v>#NAME?</v>
      </c>
      <c r="E107" s="521" t="e">
        <f ca="1">gr(charge_entree[[#This Row],[ch_E_NH4]])</f>
        <v>#NAME?</v>
      </c>
      <c r="F107" s="521" t="e">
        <f ca="1">gr(charge_entree[[#This Row],[ch_E_NTOT]])</f>
        <v>#NAME?</v>
      </c>
      <c r="G107" s="521" t="e">
        <f ca="1">gr(charge_entree[[#This Row],[ch_E_PTOT]])</f>
        <v>#NAME?</v>
      </c>
      <c r="H107" s="521" t="e">
        <f ca="1">gr(charge_entree[[#This Row],[ch_S_DBO]])</f>
        <v>#NAME?</v>
      </c>
      <c r="I107" s="521" t="e">
        <f ca="1">gr(charge_entree[[#This Row],[ch_S-DCO]])</f>
        <v>#NAME?</v>
      </c>
      <c r="J107" s="521" t="e">
        <f ca="1">gr(charge_entree[[#This Row],[ch_S_DOC]])</f>
        <v>#NAME?</v>
      </c>
      <c r="K107" s="521" t="e">
        <f ca="1">gr(charge_entree[[#This Row],[ch_S_NH4]])</f>
        <v>#NAME?</v>
      </c>
      <c r="L107" s="521" t="e">
        <f ca="1">gr(charge_entree[[#This Row],[ch_S_NO2]])</f>
        <v>#NAME?</v>
      </c>
      <c r="M107" s="521" t="e">
        <f ca="1">gr(charge_entree[[#This Row],[ch_S_NO3]])</f>
        <v>#NAME?</v>
      </c>
      <c r="N107" s="521" t="e">
        <f ca="1">gr(charge_entree[[#This Row],[ch_S_PTOT]])</f>
        <v>#NAME?</v>
      </c>
      <c r="O107" s="521" t="e">
        <f ca="1">gr(charge_entree[[#This Row],[ch_S_SNDT]])</f>
        <v>#NAME?</v>
      </c>
    </row>
    <row r="108" spans="1:15" x14ac:dyDescent="0.2">
      <c r="A108" s="222">
        <f>calculs!A108</f>
        <v>44659</v>
      </c>
      <c r="B108" s="521" t="e">
        <f ca="1">gr(charge_entree[[#This Row],[ch_E_DBO5]])</f>
        <v>#NAME?</v>
      </c>
      <c r="C108" s="521" t="e">
        <f ca="1">gr(charge_entree[[#This Row],[ch_E_DCO]])</f>
        <v>#NAME?</v>
      </c>
      <c r="D108" s="521" t="e">
        <f ca="1">gr(charge_entree[[#This Row],[ch_E_COT]])</f>
        <v>#NAME?</v>
      </c>
      <c r="E108" s="521" t="e">
        <f ca="1">gr(charge_entree[[#This Row],[ch_E_NH4]])</f>
        <v>#NAME?</v>
      </c>
      <c r="F108" s="521" t="e">
        <f ca="1">gr(charge_entree[[#This Row],[ch_E_NTOT]])</f>
        <v>#NAME?</v>
      </c>
      <c r="G108" s="521" t="e">
        <f ca="1">gr(charge_entree[[#This Row],[ch_E_PTOT]])</f>
        <v>#NAME?</v>
      </c>
      <c r="H108" s="521" t="e">
        <f ca="1">gr(charge_entree[[#This Row],[ch_S_DBO]])</f>
        <v>#NAME?</v>
      </c>
      <c r="I108" s="521" t="e">
        <f ca="1">gr(charge_entree[[#This Row],[ch_S-DCO]])</f>
        <v>#NAME?</v>
      </c>
      <c r="J108" s="521" t="e">
        <f ca="1">gr(charge_entree[[#This Row],[ch_S_DOC]])</f>
        <v>#NAME?</v>
      </c>
      <c r="K108" s="521" t="e">
        <f ca="1">gr(charge_entree[[#This Row],[ch_S_NH4]])</f>
        <v>#NAME?</v>
      </c>
      <c r="L108" s="521" t="e">
        <f ca="1">gr(charge_entree[[#This Row],[ch_S_NO2]])</f>
        <v>#NAME?</v>
      </c>
      <c r="M108" s="521" t="e">
        <f ca="1">gr(charge_entree[[#This Row],[ch_S_NO3]])</f>
        <v>#NAME?</v>
      </c>
      <c r="N108" s="521" t="e">
        <f ca="1">gr(charge_entree[[#This Row],[ch_S_PTOT]])</f>
        <v>#NAME?</v>
      </c>
      <c r="O108" s="521" t="e">
        <f ca="1">gr(charge_entree[[#This Row],[ch_S_SNDT]])</f>
        <v>#NAME?</v>
      </c>
    </row>
    <row r="109" spans="1:15" x14ac:dyDescent="0.2">
      <c r="A109" s="222">
        <f>calculs!A109</f>
        <v>44660</v>
      </c>
      <c r="B109" s="521" t="e">
        <f ca="1">gr(charge_entree[[#This Row],[ch_E_DBO5]])</f>
        <v>#NAME?</v>
      </c>
      <c r="C109" s="521" t="e">
        <f ca="1">gr(charge_entree[[#This Row],[ch_E_DCO]])</f>
        <v>#NAME?</v>
      </c>
      <c r="D109" s="521" t="e">
        <f ca="1">gr(charge_entree[[#This Row],[ch_E_COT]])</f>
        <v>#NAME?</v>
      </c>
      <c r="E109" s="521" t="e">
        <f ca="1">gr(charge_entree[[#This Row],[ch_E_NH4]])</f>
        <v>#NAME?</v>
      </c>
      <c r="F109" s="521" t="e">
        <f ca="1">gr(charge_entree[[#This Row],[ch_E_NTOT]])</f>
        <v>#NAME?</v>
      </c>
      <c r="G109" s="521" t="e">
        <f ca="1">gr(charge_entree[[#This Row],[ch_E_PTOT]])</f>
        <v>#NAME?</v>
      </c>
      <c r="H109" s="521" t="e">
        <f ca="1">gr(charge_entree[[#This Row],[ch_S_DBO]])</f>
        <v>#NAME?</v>
      </c>
      <c r="I109" s="521" t="e">
        <f ca="1">gr(charge_entree[[#This Row],[ch_S-DCO]])</f>
        <v>#NAME?</v>
      </c>
      <c r="J109" s="521" t="e">
        <f ca="1">gr(charge_entree[[#This Row],[ch_S_DOC]])</f>
        <v>#NAME?</v>
      </c>
      <c r="K109" s="521" t="e">
        <f ca="1">gr(charge_entree[[#This Row],[ch_S_NH4]])</f>
        <v>#NAME?</v>
      </c>
      <c r="L109" s="521" t="e">
        <f ca="1">gr(charge_entree[[#This Row],[ch_S_NO2]])</f>
        <v>#NAME?</v>
      </c>
      <c r="M109" s="521" t="e">
        <f ca="1">gr(charge_entree[[#This Row],[ch_S_NO3]])</f>
        <v>#NAME?</v>
      </c>
      <c r="N109" s="521" t="e">
        <f ca="1">gr(charge_entree[[#This Row],[ch_S_PTOT]])</f>
        <v>#NAME?</v>
      </c>
      <c r="O109" s="521" t="e">
        <f ca="1">gr(charge_entree[[#This Row],[ch_S_SNDT]])</f>
        <v>#NAME?</v>
      </c>
    </row>
    <row r="110" spans="1:15" x14ac:dyDescent="0.2">
      <c r="A110" s="222">
        <f>calculs!A110</f>
        <v>44661</v>
      </c>
      <c r="B110" s="521" t="e">
        <f ca="1">gr(charge_entree[[#This Row],[ch_E_DBO5]])</f>
        <v>#NAME?</v>
      </c>
      <c r="C110" s="521" t="e">
        <f ca="1">gr(charge_entree[[#This Row],[ch_E_DCO]])</f>
        <v>#NAME?</v>
      </c>
      <c r="D110" s="521" t="e">
        <f ca="1">gr(charge_entree[[#This Row],[ch_E_COT]])</f>
        <v>#NAME?</v>
      </c>
      <c r="E110" s="521" t="e">
        <f ca="1">gr(charge_entree[[#This Row],[ch_E_NH4]])</f>
        <v>#NAME?</v>
      </c>
      <c r="F110" s="521" t="e">
        <f ca="1">gr(charge_entree[[#This Row],[ch_E_NTOT]])</f>
        <v>#NAME?</v>
      </c>
      <c r="G110" s="521" t="e">
        <f ca="1">gr(charge_entree[[#This Row],[ch_E_PTOT]])</f>
        <v>#NAME?</v>
      </c>
      <c r="H110" s="521" t="e">
        <f ca="1">gr(charge_entree[[#This Row],[ch_S_DBO]])</f>
        <v>#NAME?</v>
      </c>
      <c r="I110" s="521" t="e">
        <f ca="1">gr(charge_entree[[#This Row],[ch_S-DCO]])</f>
        <v>#NAME?</v>
      </c>
      <c r="J110" s="521" t="e">
        <f ca="1">gr(charge_entree[[#This Row],[ch_S_DOC]])</f>
        <v>#NAME?</v>
      </c>
      <c r="K110" s="521" t="e">
        <f ca="1">gr(charge_entree[[#This Row],[ch_S_NH4]])</f>
        <v>#NAME?</v>
      </c>
      <c r="L110" s="521" t="e">
        <f ca="1">gr(charge_entree[[#This Row],[ch_S_NO2]])</f>
        <v>#NAME?</v>
      </c>
      <c r="M110" s="521" t="e">
        <f ca="1">gr(charge_entree[[#This Row],[ch_S_NO3]])</f>
        <v>#NAME?</v>
      </c>
      <c r="N110" s="521" t="e">
        <f ca="1">gr(charge_entree[[#This Row],[ch_S_PTOT]])</f>
        <v>#NAME?</v>
      </c>
      <c r="O110" s="521" t="e">
        <f ca="1">gr(charge_entree[[#This Row],[ch_S_SNDT]])</f>
        <v>#NAME?</v>
      </c>
    </row>
    <row r="111" spans="1:15" x14ac:dyDescent="0.2">
      <c r="A111" s="222">
        <f>calculs!A111</f>
        <v>44662</v>
      </c>
      <c r="B111" s="521" t="e">
        <f ca="1">gr(charge_entree[[#This Row],[ch_E_DBO5]])</f>
        <v>#NAME?</v>
      </c>
      <c r="C111" s="521" t="e">
        <f ca="1">gr(charge_entree[[#This Row],[ch_E_DCO]])</f>
        <v>#NAME?</v>
      </c>
      <c r="D111" s="521" t="e">
        <f ca="1">gr(charge_entree[[#This Row],[ch_E_COT]])</f>
        <v>#NAME?</v>
      </c>
      <c r="E111" s="521" t="e">
        <f ca="1">gr(charge_entree[[#This Row],[ch_E_NH4]])</f>
        <v>#NAME?</v>
      </c>
      <c r="F111" s="521" t="e">
        <f ca="1">gr(charge_entree[[#This Row],[ch_E_NTOT]])</f>
        <v>#NAME?</v>
      </c>
      <c r="G111" s="521" t="e">
        <f ca="1">gr(charge_entree[[#This Row],[ch_E_PTOT]])</f>
        <v>#NAME?</v>
      </c>
      <c r="H111" s="521" t="e">
        <f ca="1">gr(charge_entree[[#This Row],[ch_S_DBO]])</f>
        <v>#NAME?</v>
      </c>
      <c r="I111" s="521" t="e">
        <f ca="1">gr(charge_entree[[#This Row],[ch_S-DCO]])</f>
        <v>#NAME?</v>
      </c>
      <c r="J111" s="521" t="e">
        <f ca="1">gr(charge_entree[[#This Row],[ch_S_DOC]])</f>
        <v>#NAME?</v>
      </c>
      <c r="K111" s="521" t="e">
        <f ca="1">gr(charge_entree[[#This Row],[ch_S_NH4]])</f>
        <v>#NAME?</v>
      </c>
      <c r="L111" s="521" t="e">
        <f ca="1">gr(charge_entree[[#This Row],[ch_S_NO2]])</f>
        <v>#NAME?</v>
      </c>
      <c r="M111" s="521" t="e">
        <f ca="1">gr(charge_entree[[#This Row],[ch_S_NO3]])</f>
        <v>#NAME?</v>
      </c>
      <c r="N111" s="521" t="e">
        <f ca="1">gr(charge_entree[[#This Row],[ch_S_PTOT]])</f>
        <v>#NAME?</v>
      </c>
      <c r="O111" s="521" t="e">
        <f ca="1">gr(charge_entree[[#This Row],[ch_S_SNDT]])</f>
        <v>#NAME?</v>
      </c>
    </row>
    <row r="112" spans="1:15" x14ac:dyDescent="0.2">
      <c r="A112" s="222">
        <f>calculs!A112</f>
        <v>44663</v>
      </c>
      <c r="B112" s="521" t="e">
        <f ca="1">gr(charge_entree[[#This Row],[ch_E_DBO5]])</f>
        <v>#NAME?</v>
      </c>
      <c r="C112" s="521" t="e">
        <f ca="1">gr(charge_entree[[#This Row],[ch_E_DCO]])</f>
        <v>#NAME?</v>
      </c>
      <c r="D112" s="521" t="e">
        <f ca="1">gr(charge_entree[[#This Row],[ch_E_COT]])</f>
        <v>#NAME?</v>
      </c>
      <c r="E112" s="521" t="e">
        <f ca="1">gr(charge_entree[[#This Row],[ch_E_NH4]])</f>
        <v>#NAME?</v>
      </c>
      <c r="F112" s="521" t="e">
        <f ca="1">gr(charge_entree[[#This Row],[ch_E_NTOT]])</f>
        <v>#NAME?</v>
      </c>
      <c r="G112" s="521" t="e">
        <f ca="1">gr(charge_entree[[#This Row],[ch_E_PTOT]])</f>
        <v>#NAME?</v>
      </c>
      <c r="H112" s="521" t="e">
        <f ca="1">gr(charge_entree[[#This Row],[ch_S_DBO]])</f>
        <v>#NAME?</v>
      </c>
      <c r="I112" s="521" t="e">
        <f ca="1">gr(charge_entree[[#This Row],[ch_S-DCO]])</f>
        <v>#NAME?</v>
      </c>
      <c r="J112" s="521" t="e">
        <f ca="1">gr(charge_entree[[#This Row],[ch_S_DOC]])</f>
        <v>#NAME?</v>
      </c>
      <c r="K112" s="521" t="e">
        <f ca="1">gr(charge_entree[[#This Row],[ch_S_NH4]])</f>
        <v>#NAME?</v>
      </c>
      <c r="L112" s="521" t="e">
        <f ca="1">gr(charge_entree[[#This Row],[ch_S_NO2]])</f>
        <v>#NAME?</v>
      </c>
      <c r="M112" s="521" t="e">
        <f ca="1">gr(charge_entree[[#This Row],[ch_S_NO3]])</f>
        <v>#NAME?</v>
      </c>
      <c r="N112" s="521" t="e">
        <f ca="1">gr(charge_entree[[#This Row],[ch_S_PTOT]])</f>
        <v>#NAME?</v>
      </c>
      <c r="O112" s="521" t="e">
        <f ca="1">gr(charge_entree[[#This Row],[ch_S_SNDT]])</f>
        <v>#NAME?</v>
      </c>
    </row>
    <row r="113" spans="1:15" x14ac:dyDescent="0.2">
      <c r="A113" s="222">
        <f>calculs!A113</f>
        <v>44664</v>
      </c>
      <c r="B113" s="521" t="e">
        <f ca="1">gr(charge_entree[[#This Row],[ch_E_DBO5]])</f>
        <v>#NAME?</v>
      </c>
      <c r="C113" s="521" t="e">
        <f ca="1">gr(charge_entree[[#This Row],[ch_E_DCO]])</f>
        <v>#NAME?</v>
      </c>
      <c r="D113" s="521" t="e">
        <f ca="1">gr(charge_entree[[#This Row],[ch_E_COT]])</f>
        <v>#NAME?</v>
      </c>
      <c r="E113" s="521" t="e">
        <f ca="1">gr(charge_entree[[#This Row],[ch_E_NH4]])</f>
        <v>#NAME?</v>
      </c>
      <c r="F113" s="521" t="e">
        <f ca="1">gr(charge_entree[[#This Row],[ch_E_NTOT]])</f>
        <v>#NAME?</v>
      </c>
      <c r="G113" s="521" t="e">
        <f ca="1">gr(charge_entree[[#This Row],[ch_E_PTOT]])</f>
        <v>#NAME?</v>
      </c>
      <c r="H113" s="521" t="e">
        <f ca="1">gr(charge_entree[[#This Row],[ch_S_DBO]])</f>
        <v>#NAME?</v>
      </c>
      <c r="I113" s="521" t="e">
        <f ca="1">gr(charge_entree[[#This Row],[ch_S-DCO]])</f>
        <v>#NAME?</v>
      </c>
      <c r="J113" s="521" t="e">
        <f ca="1">gr(charge_entree[[#This Row],[ch_S_DOC]])</f>
        <v>#NAME?</v>
      </c>
      <c r="K113" s="521" t="e">
        <f ca="1">gr(charge_entree[[#This Row],[ch_S_NH4]])</f>
        <v>#NAME?</v>
      </c>
      <c r="L113" s="521" t="e">
        <f ca="1">gr(charge_entree[[#This Row],[ch_S_NO2]])</f>
        <v>#NAME?</v>
      </c>
      <c r="M113" s="521" t="e">
        <f ca="1">gr(charge_entree[[#This Row],[ch_S_NO3]])</f>
        <v>#NAME?</v>
      </c>
      <c r="N113" s="521" t="e">
        <f ca="1">gr(charge_entree[[#This Row],[ch_S_PTOT]])</f>
        <v>#NAME?</v>
      </c>
      <c r="O113" s="521" t="e">
        <f ca="1">gr(charge_entree[[#This Row],[ch_S_SNDT]])</f>
        <v>#NAME?</v>
      </c>
    </row>
    <row r="114" spans="1:15" x14ac:dyDescent="0.2">
      <c r="A114" s="222">
        <f>calculs!A114</f>
        <v>44665</v>
      </c>
      <c r="B114" s="521" t="e">
        <f ca="1">gr(charge_entree[[#This Row],[ch_E_DBO5]])</f>
        <v>#NAME?</v>
      </c>
      <c r="C114" s="521" t="e">
        <f ca="1">gr(charge_entree[[#This Row],[ch_E_DCO]])</f>
        <v>#NAME?</v>
      </c>
      <c r="D114" s="521" t="e">
        <f ca="1">gr(charge_entree[[#This Row],[ch_E_COT]])</f>
        <v>#NAME?</v>
      </c>
      <c r="E114" s="521" t="e">
        <f ca="1">gr(charge_entree[[#This Row],[ch_E_NH4]])</f>
        <v>#NAME?</v>
      </c>
      <c r="F114" s="521" t="e">
        <f ca="1">gr(charge_entree[[#This Row],[ch_E_NTOT]])</f>
        <v>#NAME?</v>
      </c>
      <c r="G114" s="521" t="e">
        <f ca="1">gr(charge_entree[[#This Row],[ch_E_PTOT]])</f>
        <v>#NAME?</v>
      </c>
      <c r="H114" s="521" t="e">
        <f ca="1">gr(charge_entree[[#This Row],[ch_S_DBO]])</f>
        <v>#NAME?</v>
      </c>
      <c r="I114" s="521" t="e">
        <f ca="1">gr(charge_entree[[#This Row],[ch_S-DCO]])</f>
        <v>#NAME?</v>
      </c>
      <c r="J114" s="521" t="e">
        <f ca="1">gr(charge_entree[[#This Row],[ch_S_DOC]])</f>
        <v>#NAME?</v>
      </c>
      <c r="K114" s="521" t="e">
        <f ca="1">gr(charge_entree[[#This Row],[ch_S_NH4]])</f>
        <v>#NAME?</v>
      </c>
      <c r="L114" s="521" t="e">
        <f ca="1">gr(charge_entree[[#This Row],[ch_S_NO2]])</f>
        <v>#NAME?</v>
      </c>
      <c r="M114" s="521" t="e">
        <f ca="1">gr(charge_entree[[#This Row],[ch_S_NO3]])</f>
        <v>#NAME?</v>
      </c>
      <c r="N114" s="521" t="e">
        <f ca="1">gr(charge_entree[[#This Row],[ch_S_PTOT]])</f>
        <v>#NAME?</v>
      </c>
      <c r="O114" s="521" t="e">
        <f ca="1">gr(charge_entree[[#This Row],[ch_S_SNDT]])</f>
        <v>#NAME?</v>
      </c>
    </row>
    <row r="115" spans="1:15" x14ac:dyDescent="0.2">
      <c r="A115" s="222">
        <f>calculs!A115</f>
        <v>44666</v>
      </c>
      <c r="B115" s="521" t="e">
        <f ca="1">gr(charge_entree[[#This Row],[ch_E_DBO5]])</f>
        <v>#NAME?</v>
      </c>
      <c r="C115" s="521" t="e">
        <f ca="1">gr(charge_entree[[#This Row],[ch_E_DCO]])</f>
        <v>#NAME?</v>
      </c>
      <c r="D115" s="521" t="e">
        <f ca="1">gr(charge_entree[[#This Row],[ch_E_COT]])</f>
        <v>#NAME?</v>
      </c>
      <c r="E115" s="521" t="e">
        <f ca="1">gr(charge_entree[[#This Row],[ch_E_NH4]])</f>
        <v>#NAME?</v>
      </c>
      <c r="F115" s="521" t="e">
        <f ca="1">gr(charge_entree[[#This Row],[ch_E_NTOT]])</f>
        <v>#NAME?</v>
      </c>
      <c r="G115" s="521" t="e">
        <f ca="1">gr(charge_entree[[#This Row],[ch_E_PTOT]])</f>
        <v>#NAME?</v>
      </c>
      <c r="H115" s="521" t="e">
        <f ca="1">gr(charge_entree[[#This Row],[ch_S_DBO]])</f>
        <v>#NAME?</v>
      </c>
      <c r="I115" s="521" t="e">
        <f ca="1">gr(charge_entree[[#This Row],[ch_S-DCO]])</f>
        <v>#NAME?</v>
      </c>
      <c r="J115" s="521" t="e">
        <f ca="1">gr(charge_entree[[#This Row],[ch_S_DOC]])</f>
        <v>#NAME?</v>
      </c>
      <c r="K115" s="521" t="e">
        <f ca="1">gr(charge_entree[[#This Row],[ch_S_NH4]])</f>
        <v>#NAME?</v>
      </c>
      <c r="L115" s="521" t="e">
        <f ca="1">gr(charge_entree[[#This Row],[ch_S_NO2]])</f>
        <v>#NAME?</v>
      </c>
      <c r="M115" s="521" t="e">
        <f ca="1">gr(charge_entree[[#This Row],[ch_S_NO3]])</f>
        <v>#NAME?</v>
      </c>
      <c r="N115" s="521" t="e">
        <f ca="1">gr(charge_entree[[#This Row],[ch_S_PTOT]])</f>
        <v>#NAME?</v>
      </c>
      <c r="O115" s="521" t="e">
        <f ca="1">gr(charge_entree[[#This Row],[ch_S_SNDT]])</f>
        <v>#NAME?</v>
      </c>
    </row>
    <row r="116" spans="1:15" x14ac:dyDescent="0.2">
      <c r="A116" s="222">
        <f>calculs!A116</f>
        <v>44667</v>
      </c>
      <c r="B116" s="521" t="e">
        <f ca="1">gr(charge_entree[[#This Row],[ch_E_DBO5]])</f>
        <v>#NAME?</v>
      </c>
      <c r="C116" s="521" t="e">
        <f ca="1">gr(charge_entree[[#This Row],[ch_E_DCO]])</f>
        <v>#NAME?</v>
      </c>
      <c r="D116" s="521" t="e">
        <f ca="1">gr(charge_entree[[#This Row],[ch_E_COT]])</f>
        <v>#NAME?</v>
      </c>
      <c r="E116" s="521" t="e">
        <f ca="1">gr(charge_entree[[#This Row],[ch_E_NH4]])</f>
        <v>#NAME?</v>
      </c>
      <c r="F116" s="521" t="e">
        <f ca="1">gr(charge_entree[[#This Row],[ch_E_NTOT]])</f>
        <v>#NAME?</v>
      </c>
      <c r="G116" s="521" t="e">
        <f ca="1">gr(charge_entree[[#This Row],[ch_E_PTOT]])</f>
        <v>#NAME?</v>
      </c>
      <c r="H116" s="521" t="e">
        <f ca="1">gr(charge_entree[[#This Row],[ch_S_DBO]])</f>
        <v>#NAME?</v>
      </c>
      <c r="I116" s="521" t="e">
        <f ca="1">gr(charge_entree[[#This Row],[ch_S-DCO]])</f>
        <v>#NAME?</v>
      </c>
      <c r="J116" s="521" t="e">
        <f ca="1">gr(charge_entree[[#This Row],[ch_S_DOC]])</f>
        <v>#NAME?</v>
      </c>
      <c r="K116" s="521" t="e">
        <f ca="1">gr(charge_entree[[#This Row],[ch_S_NH4]])</f>
        <v>#NAME?</v>
      </c>
      <c r="L116" s="521" t="e">
        <f ca="1">gr(charge_entree[[#This Row],[ch_S_NO2]])</f>
        <v>#NAME?</v>
      </c>
      <c r="M116" s="521" t="e">
        <f ca="1">gr(charge_entree[[#This Row],[ch_S_NO3]])</f>
        <v>#NAME?</v>
      </c>
      <c r="N116" s="521" t="e">
        <f ca="1">gr(charge_entree[[#This Row],[ch_S_PTOT]])</f>
        <v>#NAME?</v>
      </c>
      <c r="O116" s="521" t="e">
        <f ca="1">gr(charge_entree[[#This Row],[ch_S_SNDT]])</f>
        <v>#NAME?</v>
      </c>
    </row>
    <row r="117" spans="1:15" x14ac:dyDescent="0.2">
      <c r="A117" s="222">
        <f>calculs!A117</f>
        <v>44668</v>
      </c>
      <c r="B117" s="521" t="e">
        <f ca="1">gr(charge_entree[[#This Row],[ch_E_DBO5]])</f>
        <v>#NAME?</v>
      </c>
      <c r="C117" s="521" t="e">
        <f ca="1">gr(charge_entree[[#This Row],[ch_E_DCO]])</f>
        <v>#NAME?</v>
      </c>
      <c r="D117" s="521" t="e">
        <f ca="1">gr(charge_entree[[#This Row],[ch_E_COT]])</f>
        <v>#NAME?</v>
      </c>
      <c r="E117" s="521" t="e">
        <f ca="1">gr(charge_entree[[#This Row],[ch_E_NH4]])</f>
        <v>#NAME?</v>
      </c>
      <c r="F117" s="521" t="e">
        <f ca="1">gr(charge_entree[[#This Row],[ch_E_NTOT]])</f>
        <v>#NAME?</v>
      </c>
      <c r="G117" s="521" t="e">
        <f ca="1">gr(charge_entree[[#This Row],[ch_E_PTOT]])</f>
        <v>#NAME?</v>
      </c>
      <c r="H117" s="521" t="e">
        <f ca="1">gr(charge_entree[[#This Row],[ch_S_DBO]])</f>
        <v>#NAME?</v>
      </c>
      <c r="I117" s="521" t="e">
        <f ca="1">gr(charge_entree[[#This Row],[ch_S-DCO]])</f>
        <v>#NAME?</v>
      </c>
      <c r="J117" s="521" t="e">
        <f ca="1">gr(charge_entree[[#This Row],[ch_S_DOC]])</f>
        <v>#NAME?</v>
      </c>
      <c r="K117" s="521" t="e">
        <f ca="1">gr(charge_entree[[#This Row],[ch_S_NH4]])</f>
        <v>#NAME?</v>
      </c>
      <c r="L117" s="521" t="e">
        <f ca="1">gr(charge_entree[[#This Row],[ch_S_NO2]])</f>
        <v>#NAME?</v>
      </c>
      <c r="M117" s="521" t="e">
        <f ca="1">gr(charge_entree[[#This Row],[ch_S_NO3]])</f>
        <v>#NAME?</v>
      </c>
      <c r="N117" s="521" t="e">
        <f ca="1">gr(charge_entree[[#This Row],[ch_S_PTOT]])</f>
        <v>#NAME?</v>
      </c>
      <c r="O117" s="521" t="e">
        <f ca="1">gr(charge_entree[[#This Row],[ch_S_SNDT]])</f>
        <v>#NAME?</v>
      </c>
    </row>
    <row r="118" spans="1:15" x14ac:dyDescent="0.2">
      <c r="A118" s="222">
        <f>calculs!A118</f>
        <v>44669</v>
      </c>
      <c r="B118" s="521" t="e">
        <f ca="1">gr(charge_entree[[#This Row],[ch_E_DBO5]])</f>
        <v>#NAME?</v>
      </c>
      <c r="C118" s="521" t="e">
        <f ca="1">gr(charge_entree[[#This Row],[ch_E_DCO]])</f>
        <v>#NAME?</v>
      </c>
      <c r="D118" s="521" t="e">
        <f ca="1">gr(charge_entree[[#This Row],[ch_E_COT]])</f>
        <v>#NAME?</v>
      </c>
      <c r="E118" s="521" t="e">
        <f ca="1">gr(charge_entree[[#This Row],[ch_E_NH4]])</f>
        <v>#NAME?</v>
      </c>
      <c r="F118" s="521" t="e">
        <f ca="1">gr(charge_entree[[#This Row],[ch_E_NTOT]])</f>
        <v>#NAME?</v>
      </c>
      <c r="G118" s="521" t="e">
        <f ca="1">gr(charge_entree[[#This Row],[ch_E_PTOT]])</f>
        <v>#NAME?</v>
      </c>
      <c r="H118" s="521" t="e">
        <f ca="1">gr(charge_entree[[#This Row],[ch_S_DBO]])</f>
        <v>#NAME?</v>
      </c>
      <c r="I118" s="521" t="e">
        <f ca="1">gr(charge_entree[[#This Row],[ch_S-DCO]])</f>
        <v>#NAME?</v>
      </c>
      <c r="J118" s="521" t="e">
        <f ca="1">gr(charge_entree[[#This Row],[ch_S_DOC]])</f>
        <v>#NAME?</v>
      </c>
      <c r="K118" s="521" t="e">
        <f ca="1">gr(charge_entree[[#This Row],[ch_S_NH4]])</f>
        <v>#NAME?</v>
      </c>
      <c r="L118" s="521" t="e">
        <f ca="1">gr(charge_entree[[#This Row],[ch_S_NO2]])</f>
        <v>#NAME?</v>
      </c>
      <c r="M118" s="521" t="e">
        <f ca="1">gr(charge_entree[[#This Row],[ch_S_NO3]])</f>
        <v>#NAME?</v>
      </c>
      <c r="N118" s="521" t="e">
        <f ca="1">gr(charge_entree[[#This Row],[ch_S_PTOT]])</f>
        <v>#NAME?</v>
      </c>
      <c r="O118" s="521" t="e">
        <f ca="1">gr(charge_entree[[#This Row],[ch_S_SNDT]])</f>
        <v>#NAME?</v>
      </c>
    </row>
    <row r="119" spans="1:15" x14ac:dyDescent="0.2">
      <c r="A119" s="222">
        <f>calculs!A119</f>
        <v>44670</v>
      </c>
      <c r="B119" s="521" t="e">
        <f ca="1">gr(charge_entree[[#This Row],[ch_E_DBO5]])</f>
        <v>#NAME?</v>
      </c>
      <c r="C119" s="521" t="e">
        <f ca="1">gr(charge_entree[[#This Row],[ch_E_DCO]])</f>
        <v>#NAME?</v>
      </c>
      <c r="D119" s="521" t="e">
        <f ca="1">gr(charge_entree[[#This Row],[ch_E_COT]])</f>
        <v>#NAME?</v>
      </c>
      <c r="E119" s="521" t="e">
        <f ca="1">gr(charge_entree[[#This Row],[ch_E_NH4]])</f>
        <v>#NAME?</v>
      </c>
      <c r="F119" s="521" t="e">
        <f ca="1">gr(charge_entree[[#This Row],[ch_E_NTOT]])</f>
        <v>#NAME?</v>
      </c>
      <c r="G119" s="521" t="e">
        <f ca="1">gr(charge_entree[[#This Row],[ch_E_PTOT]])</f>
        <v>#NAME?</v>
      </c>
      <c r="H119" s="521" t="e">
        <f ca="1">gr(charge_entree[[#This Row],[ch_S_DBO]])</f>
        <v>#NAME?</v>
      </c>
      <c r="I119" s="521" t="e">
        <f ca="1">gr(charge_entree[[#This Row],[ch_S-DCO]])</f>
        <v>#NAME?</v>
      </c>
      <c r="J119" s="521" t="e">
        <f ca="1">gr(charge_entree[[#This Row],[ch_S_DOC]])</f>
        <v>#NAME?</v>
      </c>
      <c r="K119" s="521" t="e">
        <f ca="1">gr(charge_entree[[#This Row],[ch_S_NH4]])</f>
        <v>#NAME?</v>
      </c>
      <c r="L119" s="521" t="e">
        <f ca="1">gr(charge_entree[[#This Row],[ch_S_NO2]])</f>
        <v>#NAME?</v>
      </c>
      <c r="M119" s="521" t="e">
        <f ca="1">gr(charge_entree[[#This Row],[ch_S_NO3]])</f>
        <v>#NAME?</v>
      </c>
      <c r="N119" s="521" t="e">
        <f ca="1">gr(charge_entree[[#This Row],[ch_S_PTOT]])</f>
        <v>#NAME?</v>
      </c>
      <c r="O119" s="521" t="e">
        <f ca="1">gr(charge_entree[[#This Row],[ch_S_SNDT]])</f>
        <v>#NAME?</v>
      </c>
    </row>
    <row r="120" spans="1:15" x14ac:dyDescent="0.2">
      <c r="A120" s="222">
        <f>calculs!A120</f>
        <v>44671</v>
      </c>
      <c r="B120" s="521" t="e">
        <f ca="1">gr(charge_entree[[#This Row],[ch_E_DBO5]])</f>
        <v>#NAME?</v>
      </c>
      <c r="C120" s="521" t="e">
        <f ca="1">gr(charge_entree[[#This Row],[ch_E_DCO]])</f>
        <v>#NAME?</v>
      </c>
      <c r="D120" s="521" t="e">
        <f ca="1">gr(charge_entree[[#This Row],[ch_E_COT]])</f>
        <v>#NAME?</v>
      </c>
      <c r="E120" s="521" t="e">
        <f ca="1">gr(charge_entree[[#This Row],[ch_E_NH4]])</f>
        <v>#NAME?</v>
      </c>
      <c r="F120" s="521" t="e">
        <f ca="1">gr(charge_entree[[#This Row],[ch_E_NTOT]])</f>
        <v>#NAME?</v>
      </c>
      <c r="G120" s="521" t="e">
        <f ca="1">gr(charge_entree[[#This Row],[ch_E_PTOT]])</f>
        <v>#NAME?</v>
      </c>
      <c r="H120" s="521" t="e">
        <f ca="1">gr(charge_entree[[#This Row],[ch_S_DBO]])</f>
        <v>#NAME?</v>
      </c>
      <c r="I120" s="521" t="e">
        <f ca="1">gr(charge_entree[[#This Row],[ch_S-DCO]])</f>
        <v>#NAME?</v>
      </c>
      <c r="J120" s="521" t="e">
        <f ca="1">gr(charge_entree[[#This Row],[ch_S_DOC]])</f>
        <v>#NAME?</v>
      </c>
      <c r="K120" s="521" t="e">
        <f ca="1">gr(charge_entree[[#This Row],[ch_S_NH4]])</f>
        <v>#NAME?</v>
      </c>
      <c r="L120" s="521" t="e">
        <f ca="1">gr(charge_entree[[#This Row],[ch_S_NO2]])</f>
        <v>#NAME?</v>
      </c>
      <c r="M120" s="521" t="e">
        <f ca="1">gr(charge_entree[[#This Row],[ch_S_NO3]])</f>
        <v>#NAME?</v>
      </c>
      <c r="N120" s="521" t="e">
        <f ca="1">gr(charge_entree[[#This Row],[ch_S_PTOT]])</f>
        <v>#NAME?</v>
      </c>
      <c r="O120" s="521" t="e">
        <f ca="1">gr(charge_entree[[#This Row],[ch_S_SNDT]])</f>
        <v>#NAME?</v>
      </c>
    </row>
    <row r="121" spans="1:15" x14ac:dyDescent="0.2">
      <c r="A121" s="222">
        <f>calculs!A121</f>
        <v>44672</v>
      </c>
      <c r="B121" s="521" t="e">
        <f ca="1">gr(charge_entree[[#This Row],[ch_E_DBO5]])</f>
        <v>#NAME?</v>
      </c>
      <c r="C121" s="521" t="e">
        <f ca="1">gr(charge_entree[[#This Row],[ch_E_DCO]])</f>
        <v>#NAME?</v>
      </c>
      <c r="D121" s="521" t="e">
        <f ca="1">gr(charge_entree[[#This Row],[ch_E_COT]])</f>
        <v>#NAME?</v>
      </c>
      <c r="E121" s="521" t="e">
        <f ca="1">gr(charge_entree[[#This Row],[ch_E_NH4]])</f>
        <v>#NAME?</v>
      </c>
      <c r="F121" s="521" t="e">
        <f ca="1">gr(charge_entree[[#This Row],[ch_E_NTOT]])</f>
        <v>#NAME?</v>
      </c>
      <c r="G121" s="521" t="e">
        <f ca="1">gr(charge_entree[[#This Row],[ch_E_PTOT]])</f>
        <v>#NAME?</v>
      </c>
      <c r="H121" s="521" t="e">
        <f ca="1">gr(charge_entree[[#This Row],[ch_S_DBO]])</f>
        <v>#NAME?</v>
      </c>
      <c r="I121" s="521" t="e">
        <f ca="1">gr(charge_entree[[#This Row],[ch_S-DCO]])</f>
        <v>#NAME?</v>
      </c>
      <c r="J121" s="521" t="e">
        <f ca="1">gr(charge_entree[[#This Row],[ch_S_DOC]])</f>
        <v>#NAME?</v>
      </c>
      <c r="K121" s="521" t="e">
        <f ca="1">gr(charge_entree[[#This Row],[ch_S_NH4]])</f>
        <v>#NAME?</v>
      </c>
      <c r="L121" s="521" t="e">
        <f ca="1">gr(charge_entree[[#This Row],[ch_S_NO2]])</f>
        <v>#NAME?</v>
      </c>
      <c r="M121" s="521" t="e">
        <f ca="1">gr(charge_entree[[#This Row],[ch_S_NO3]])</f>
        <v>#NAME?</v>
      </c>
      <c r="N121" s="521" t="e">
        <f ca="1">gr(charge_entree[[#This Row],[ch_S_PTOT]])</f>
        <v>#NAME?</v>
      </c>
      <c r="O121" s="521" t="e">
        <f ca="1">gr(charge_entree[[#This Row],[ch_S_SNDT]])</f>
        <v>#NAME?</v>
      </c>
    </row>
    <row r="122" spans="1:15" x14ac:dyDescent="0.2">
      <c r="A122" s="222">
        <f>calculs!A122</f>
        <v>44673</v>
      </c>
      <c r="B122" s="521" t="e">
        <f ca="1">gr(charge_entree[[#This Row],[ch_E_DBO5]])</f>
        <v>#NAME?</v>
      </c>
      <c r="C122" s="521" t="e">
        <f ca="1">gr(charge_entree[[#This Row],[ch_E_DCO]])</f>
        <v>#NAME?</v>
      </c>
      <c r="D122" s="521" t="e">
        <f ca="1">gr(charge_entree[[#This Row],[ch_E_COT]])</f>
        <v>#NAME?</v>
      </c>
      <c r="E122" s="521" t="e">
        <f ca="1">gr(charge_entree[[#This Row],[ch_E_NH4]])</f>
        <v>#NAME?</v>
      </c>
      <c r="F122" s="521" t="e">
        <f ca="1">gr(charge_entree[[#This Row],[ch_E_NTOT]])</f>
        <v>#NAME?</v>
      </c>
      <c r="G122" s="521" t="e">
        <f ca="1">gr(charge_entree[[#This Row],[ch_E_PTOT]])</f>
        <v>#NAME?</v>
      </c>
      <c r="H122" s="521" t="e">
        <f ca="1">gr(charge_entree[[#This Row],[ch_S_DBO]])</f>
        <v>#NAME?</v>
      </c>
      <c r="I122" s="521" t="e">
        <f ca="1">gr(charge_entree[[#This Row],[ch_S-DCO]])</f>
        <v>#NAME?</v>
      </c>
      <c r="J122" s="521" t="e">
        <f ca="1">gr(charge_entree[[#This Row],[ch_S_DOC]])</f>
        <v>#NAME?</v>
      </c>
      <c r="K122" s="521" t="e">
        <f ca="1">gr(charge_entree[[#This Row],[ch_S_NH4]])</f>
        <v>#NAME?</v>
      </c>
      <c r="L122" s="521" t="e">
        <f ca="1">gr(charge_entree[[#This Row],[ch_S_NO2]])</f>
        <v>#NAME?</v>
      </c>
      <c r="M122" s="521" t="e">
        <f ca="1">gr(charge_entree[[#This Row],[ch_S_NO3]])</f>
        <v>#NAME?</v>
      </c>
      <c r="N122" s="521" t="e">
        <f ca="1">gr(charge_entree[[#This Row],[ch_S_PTOT]])</f>
        <v>#NAME?</v>
      </c>
      <c r="O122" s="521" t="e">
        <f ca="1">gr(charge_entree[[#This Row],[ch_S_SNDT]])</f>
        <v>#NAME?</v>
      </c>
    </row>
    <row r="123" spans="1:15" x14ac:dyDescent="0.2">
      <c r="A123" s="222">
        <f>calculs!A123</f>
        <v>44674</v>
      </c>
      <c r="B123" s="521" t="e">
        <f ca="1">gr(charge_entree[[#This Row],[ch_E_DBO5]])</f>
        <v>#NAME?</v>
      </c>
      <c r="C123" s="521" t="e">
        <f ca="1">gr(charge_entree[[#This Row],[ch_E_DCO]])</f>
        <v>#NAME?</v>
      </c>
      <c r="D123" s="521" t="e">
        <f ca="1">gr(charge_entree[[#This Row],[ch_E_COT]])</f>
        <v>#NAME?</v>
      </c>
      <c r="E123" s="521" t="e">
        <f ca="1">gr(charge_entree[[#This Row],[ch_E_NH4]])</f>
        <v>#NAME?</v>
      </c>
      <c r="F123" s="521" t="e">
        <f ca="1">gr(charge_entree[[#This Row],[ch_E_NTOT]])</f>
        <v>#NAME?</v>
      </c>
      <c r="G123" s="521" t="e">
        <f ca="1">gr(charge_entree[[#This Row],[ch_E_PTOT]])</f>
        <v>#NAME?</v>
      </c>
      <c r="H123" s="521" t="e">
        <f ca="1">gr(charge_entree[[#This Row],[ch_S_DBO]])</f>
        <v>#NAME?</v>
      </c>
      <c r="I123" s="521" t="e">
        <f ca="1">gr(charge_entree[[#This Row],[ch_S-DCO]])</f>
        <v>#NAME?</v>
      </c>
      <c r="J123" s="521" t="e">
        <f ca="1">gr(charge_entree[[#This Row],[ch_S_DOC]])</f>
        <v>#NAME?</v>
      </c>
      <c r="K123" s="521" t="e">
        <f ca="1">gr(charge_entree[[#This Row],[ch_S_NH4]])</f>
        <v>#NAME?</v>
      </c>
      <c r="L123" s="521" t="e">
        <f ca="1">gr(charge_entree[[#This Row],[ch_S_NO2]])</f>
        <v>#NAME?</v>
      </c>
      <c r="M123" s="521" t="e">
        <f ca="1">gr(charge_entree[[#This Row],[ch_S_NO3]])</f>
        <v>#NAME?</v>
      </c>
      <c r="N123" s="521" t="e">
        <f ca="1">gr(charge_entree[[#This Row],[ch_S_PTOT]])</f>
        <v>#NAME?</v>
      </c>
      <c r="O123" s="521" t="e">
        <f ca="1">gr(charge_entree[[#This Row],[ch_S_SNDT]])</f>
        <v>#NAME?</v>
      </c>
    </row>
    <row r="124" spans="1:15" x14ac:dyDescent="0.2">
      <c r="A124" s="222">
        <f>calculs!A124</f>
        <v>44675</v>
      </c>
      <c r="B124" s="521" t="e">
        <f ca="1">gr(charge_entree[[#This Row],[ch_E_DBO5]])</f>
        <v>#NAME?</v>
      </c>
      <c r="C124" s="521" t="e">
        <f ca="1">gr(charge_entree[[#This Row],[ch_E_DCO]])</f>
        <v>#NAME?</v>
      </c>
      <c r="D124" s="521" t="e">
        <f ca="1">gr(charge_entree[[#This Row],[ch_E_COT]])</f>
        <v>#NAME?</v>
      </c>
      <c r="E124" s="521" t="e">
        <f ca="1">gr(charge_entree[[#This Row],[ch_E_NH4]])</f>
        <v>#NAME?</v>
      </c>
      <c r="F124" s="521" t="e">
        <f ca="1">gr(charge_entree[[#This Row],[ch_E_NTOT]])</f>
        <v>#NAME?</v>
      </c>
      <c r="G124" s="521" t="e">
        <f ca="1">gr(charge_entree[[#This Row],[ch_E_PTOT]])</f>
        <v>#NAME?</v>
      </c>
      <c r="H124" s="521" t="e">
        <f ca="1">gr(charge_entree[[#This Row],[ch_S_DBO]])</f>
        <v>#NAME?</v>
      </c>
      <c r="I124" s="521" t="e">
        <f ca="1">gr(charge_entree[[#This Row],[ch_S-DCO]])</f>
        <v>#NAME?</v>
      </c>
      <c r="J124" s="521" t="e">
        <f ca="1">gr(charge_entree[[#This Row],[ch_S_DOC]])</f>
        <v>#NAME?</v>
      </c>
      <c r="K124" s="521" t="e">
        <f ca="1">gr(charge_entree[[#This Row],[ch_S_NH4]])</f>
        <v>#NAME?</v>
      </c>
      <c r="L124" s="521" t="e">
        <f ca="1">gr(charge_entree[[#This Row],[ch_S_NO2]])</f>
        <v>#NAME?</v>
      </c>
      <c r="M124" s="521" t="e">
        <f ca="1">gr(charge_entree[[#This Row],[ch_S_NO3]])</f>
        <v>#NAME?</v>
      </c>
      <c r="N124" s="521" t="e">
        <f ca="1">gr(charge_entree[[#This Row],[ch_S_PTOT]])</f>
        <v>#NAME?</v>
      </c>
      <c r="O124" s="521" t="e">
        <f ca="1">gr(charge_entree[[#This Row],[ch_S_SNDT]])</f>
        <v>#NAME?</v>
      </c>
    </row>
    <row r="125" spans="1:15" x14ac:dyDescent="0.2">
      <c r="A125" s="222">
        <f>calculs!A125</f>
        <v>44676</v>
      </c>
      <c r="B125" s="521" t="e">
        <f ca="1">gr(charge_entree[[#This Row],[ch_E_DBO5]])</f>
        <v>#NAME?</v>
      </c>
      <c r="C125" s="521" t="e">
        <f ca="1">gr(charge_entree[[#This Row],[ch_E_DCO]])</f>
        <v>#NAME?</v>
      </c>
      <c r="D125" s="521" t="e">
        <f ca="1">gr(charge_entree[[#This Row],[ch_E_COT]])</f>
        <v>#NAME?</v>
      </c>
      <c r="E125" s="521" t="e">
        <f ca="1">gr(charge_entree[[#This Row],[ch_E_NH4]])</f>
        <v>#NAME?</v>
      </c>
      <c r="F125" s="521" t="e">
        <f ca="1">gr(charge_entree[[#This Row],[ch_E_NTOT]])</f>
        <v>#NAME?</v>
      </c>
      <c r="G125" s="521" t="e">
        <f ca="1">gr(charge_entree[[#This Row],[ch_E_PTOT]])</f>
        <v>#NAME?</v>
      </c>
      <c r="H125" s="521" t="e">
        <f ca="1">gr(charge_entree[[#This Row],[ch_S_DBO]])</f>
        <v>#NAME?</v>
      </c>
      <c r="I125" s="521" t="e">
        <f ca="1">gr(charge_entree[[#This Row],[ch_S-DCO]])</f>
        <v>#NAME?</v>
      </c>
      <c r="J125" s="521" t="e">
        <f ca="1">gr(charge_entree[[#This Row],[ch_S_DOC]])</f>
        <v>#NAME?</v>
      </c>
      <c r="K125" s="521" t="e">
        <f ca="1">gr(charge_entree[[#This Row],[ch_S_NH4]])</f>
        <v>#NAME?</v>
      </c>
      <c r="L125" s="521" t="e">
        <f ca="1">gr(charge_entree[[#This Row],[ch_S_NO2]])</f>
        <v>#NAME?</v>
      </c>
      <c r="M125" s="521" t="e">
        <f ca="1">gr(charge_entree[[#This Row],[ch_S_NO3]])</f>
        <v>#NAME?</v>
      </c>
      <c r="N125" s="521" t="e">
        <f ca="1">gr(charge_entree[[#This Row],[ch_S_PTOT]])</f>
        <v>#NAME?</v>
      </c>
      <c r="O125" s="521" t="e">
        <f ca="1">gr(charge_entree[[#This Row],[ch_S_SNDT]])</f>
        <v>#NAME?</v>
      </c>
    </row>
    <row r="126" spans="1:15" x14ac:dyDescent="0.2">
      <c r="A126" s="222">
        <f>calculs!A126</f>
        <v>44677</v>
      </c>
      <c r="B126" s="521" t="e">
        <f ca="1">gr(charge_entree[[#This Row],[ch_E_DBO5]])</f>
        <v>#NAME?</v>
      </c>
      <c r="C126" s="521" t="e">
        <f ca="1">gr(charge_entree[[#This Row],[ch_E_DCO]])</f>
        <v>#NAME?</v>
      </c>
      <c r="D126" s="521" t="e">
        <f ca="1">gr(charge_entree[[#This Row],[ch_E_COT]])</f>
        <v>#NAME?</v>
      </c>
      <c r="E126" s="521" t="e">
        <f ca="1">gr(charge_entree[[#This Row],[ch_E_NH4]])</f>
        <v>#NAME?</v>
      </c>
      <c r="F126" s="521" t="e">
        <f ca="1">gr(charge_entree[[#This Row],[ch_E_NTOT]])</f>
        <v>#NAME?</v>
      </c>
      <c r="G126" s="521" t="e">
        <f ca="1">gr(charge_entree[[#This Row],[ch_E_PTOT]])</f>
        <v>#NAME?</v>
      </c>
      <c r="H126" s="521" t="e">
        <f ca="1">gr(charge_entree[[#This Row],[ch_S_DBO]])</f>
        <v>#NAME?</v>
      </c>
      <c r="I126" s="521" t="e">
        <f ca="1">gr(charge_entree[[#This Row],[ch_S-DCO]])</f>
        <v>#NAME?</v>
      </c>
      <c r="J126" s="521" t="e">
        <f ca="1">gr(charge_entree[[#This Row],[ch_S_DOC]])</f>
        <v>#NAME?</v>
      </c>
      <c r="K126" s="521" t="e">
        <f ca="1">gr(charge_entree[[#This Row],[ch_S_NH4]])</f>
        <v>#NAME?</v>
      </c>
      <c r="L126" s="521" t="e">
        <f ca="1">gr(charge_entree[[#This Row],[ch_S_NO2]])</f>
        <v>#NAME?</v>
      </c>
      <c r="M126" s="521" t="e">
        <f ca="1">gr(charge_entree[[#This Row],[ch_S_NO3]])</f>
        <v>#NAME?</v>
      </c>
      <c r="N126" s="521" t="e">
        <f ca="1">gr(charge_entree[[#This Row],[ch_S_PTOT]])</f>
        <v>#NAME?</v>
      </c>
      <c r="O126" s="521" t="e">
        <f ca="1">gr(charge_entree[[#This Row],[ch_S_SNDT]])</f>
        <v>#NAME?</v>
      </c>
    </row>
    <row r="127" spans="1:15" x14ac:dyDescent="0.2">
      <c r="A127" s="222">
        <f>calculs!A127</f>
        <v>44678</v>
      </c>
      <c r="B127" s="521" t="e">
        <f ca="1">gr(charge_entree[[#This Row],[ch_E_DBO5]])</f>
        <v>#NAME?</v>
      </c>
      <c r="C127" s="521" t="e">
        <f ca="1">gr(charge_entree[[#This Row],[ch_E_DCO]])</f>
        <v>#NAME?</v>
      </c>
      <c r="D127" s="521" t="e">
        <f ca="1">gr(charge_entree[[#This Row],[ch_E_COT]])</f>
        <v>#NAME?</v>
      </c>
      <c r="E127" s="521" t="e">
        <f ca="1">gr(charge_entree[[#This Row],[ch_E_NH4]])</f>
        <v>#NAME?</v>
      </c>
      <c r="F127" s="521" t="e">
        <f ca="1">gr(charge_entree[[#This Row],[ch_E_NTOT]])</f>
        <v>#NAME?</v>
      </c>
      <c r="G127" s="521" t="e">
        <f ca="1">gr(charge_entree[[#This Row],[ch_E_PTOT]])</f>
        <v>#NAME?</v>
      </c>
      <c r="H127" s="521" t="e">
        <f ca="1">gr(charge_entree[[#This Row],[ch_S_DBO]])</f>
        <v>#NAME?</v>
      </c>
      <c r="I127" s="521" t="e">
        <f ca="1">gr(charge_entree[[#This Row],[ch_S-DCO]])</f>
        <v>#NAME?</v>
      </c>
      <c r="J127" s="521" t="e">
        <f ca="1">gr(charge_entree[[#This Row],[ch_S_DOC]])</f>
        <v>#NAME?</v>
      </c>
      <c r="K127" s="521" t="e">
        <f ca="1">gr(charge_entree[[#This Row],[ch_S_NH4]])</f>
        <v>#NAME?</v>
      </c>
      <c r="L127" s="521" t="e">
        <f ca="1">gr(charge_entree[[#This Row],[ch_S_NO2]])</f>
        <v>#NAME?</v>
      </c>
      <c r="M127" s="521" t="e">
        <f ca="1">gr(charge_entree[[#This Row],[ch_S_NO3]])</f>
        <v>#NAME?</v>
      </c>
      <c r="N127" s="521" t="e">
        <f ca="1">gr(charge_entree[[#This Row],[ch_S_PTOT]])</f>
        <v>#NAME?</v>
      </c>
      <c r="O127" s="521" t="e">
        <f ca="1">gr(charge_entree[[#This Row],[ch_S_SNDT]])</f>
        <v>#NAME?</v>
      </c>
    </row>
    <row r="128" spans="1:15" x14ac:dyDescent="0.2">
      <c r="A128" s="222">
        <f>calculs!A128</f>
        <v>44679</v>
      </c>
      <c r="B128" s="521" t="e">
        <f ca="1">gr(charge_entree[[#This Row],[ch_E_DBO5]])</f>
        <v>#NAME?</v>
      </c>
      <c r="C128" s="521" t="e">
        <f ca="1">gr(charge_entree[[#This Row],[ch_E_DCO]])</f>
        <v>#NAME?</v>
      </c>
      <c r="D128" s="521" t="e">
        <f ca="1">gr(charge_entree[[#This Row],[ch_E_COT]])</f>
        <v>#NAME?</v>
      </c>
      <c r="E128" s="521" t="e">
        <f ca="1">gr(charge_entree[[#This Row],[ch_E_NH4]])</f>
        <v>#NAME?</v>
      </c>
      <c r="F128" s="521" t="e">
        <f ca="1">gr(charge_entree[[#This Row],[ch_E_NTOT]])</f>
        <v>#NAME?</v>
      </c>
      <c r="G128" s="521" t="e">
        <f ca="1">gr(charge_entree[[#This Row],[ch_E_PTOT]])</f>
        <v>#NAME?</v>
      </c>
      <c r="H128" s="521" t="e">
        <f ca="1">gr(charge_entree[[#This Row],[ch_S_DBO]])</f>
        <v>#NAME?</v>
      </c>
      <c r="I128" s="521" t="e">
        <f ca="1">gr(charge_entree[[#This Row],[ch_S-DCO]])</f>
        <v>#NAME?</v>
      </c>
      <c r="J128" s="521" t="e">
        <f ca="1">gr(charge_entree[[#This Row],[ch_S_DOC]])</f>
        <v>#NAME?</v>
      </c>
      <c r="K128" s="521" t="e">
        <f ca="1">gr(charge_entree[[#This Row],[ch_S_NH4]])</f>
        <v>#NAME?</v>
      </c>
      <c r="L128" s="521" t="e">
        <f ca="1">gr(charge_entree[[#This Row],[ch_S_NO2]])</f>
        <v>#NAME?</v>
      </c>
      <c r="M128" s="521" t="e">
        <f ca="1">gr(charge_entree[[#This Row],[ch_S_NO3]])</f>
        <v>#NAME?</v>
      </c>
      <c r="N128" s="521" t="e">
        <f ca="1">gr(charge_entree[[#This Row],[ch_S_PTOT]])</f>
        <v>#NAME?</v>
      </c>
      <c r="O128" s="521" t="e">
        <f ca="1">gr(charge_entree[[#This Row],[ch_S_SNDT]])</f>
        <v>#NAME?</v>
      </c>
    </row>
    <row r="129" spans="1:15" x14ac:dyDescent="0.2">
      <c r="A129" s="222">
        <f>calculs!A129</f>
        <v>44680</v>
      </c>
      <c r="B129" s="521" t="e">
        <f ca="1">gr(charge_entree[[#This Row],[ch_E_DBO5]])</f>
        <v>#NAME?</v>
      </c>
      <c r="C129" s="521" t="e">
        <f ca="1">gr(charge_entree[[#This Row],[ch_E_DCO]])</f>
        <v>#NAME?</v>
      </c>
      <c r="D129" s="521" t="e">
        <f ca="1">gr(charge_entree[[#This Row],[ch_E_COT]])</f>
        <v>#NAME?</v>
      </c>
      <c r="E129" s="521" t="e">
        <f ca="1">gr(charge_entree[[#This Row],[ch_E_NH4]])</f>
        <v>#NAME?</v>
      </c>
      <c r="F129" s="521" t="e">
        <f ca="1">gr(charge_entree[[#This Row],[ch_E_NTOT]])</f>
        <v>#NAME?</v>
      </c>
      <c r="G129" s="521" t="e">
        <f ca="1">gr(charge_entree[[#This Row],[ch_E_PTOT]])</f>
        <v>#NAME?</v>
      </c>
      <c r="H129" s="521" t="e">
        <f ca="1">gr(charge_entree[[#This Row],[ch_S_DBO]])</f>
        <v>#NAME?</v>
      </c>
      <c r="I129" s="521" t="e">
        <f ca="1">gr(charge_entree[[#This Row],[ch_S-DCO]])</f>
        <v>#NAME?</v>
      </c>
      <c r="J129" s="521" t="e">
        <f ca="1">gr(charge_entree[[#This Row],[ch_S_DOC]])</f>
        <v>#NAME?</v>
      </c>
      <c r="K129" s="521" t="e">
        <f ca="1">gr(charge_entree[[#This Row],[ch_S_NH4]])</f>
        <v>#NAME?</v>
      </c>
      <c r="L129" s="521" t="e">
        <f ca="1">gr(charge_entree[[#This Row],[ch_S_NO2]])</f>
        <v>#NAME?</v>
      </c>
      <c r="M129" s="521" t="e">
        <f ca="1">gr(charge_entree[[#This Row],[ch_S_NO3]])</f>
        <v>#NAME?</v>
      </c>
      <c r="N129" s="521" t="e">
        <f ca="1">gr(charge_entree[[#This Row],[ch_S_PTOT]])</f>
        <v>#NAME?</v>
      </c>
      <c r="O129" s="521" t="e">
        <f ca="1">gr(charge_entree[[#This Row],[ch_S_SNDT]])</f>
        <v>#NAME?</v>
      </c>
    </row>
    <row r="130" spans="1:15" x14ac:dyDescent="0.2">
      <c r="A130" s="222">
        <f>calculs!A130</f>
        <v>44681</v>
      </c>
      <c r="B130" s="521" t="e">
        <f ca="1">gr(charge_entree[[#This Row],[ch_E_DBO5]])</f>
        <v>#NAME?</v>
      </c>
      <c r="C130" s="521" t="e">
        <f ca="1">gr(charge_entree[[#This Row],[ch_E_DCO]])</f>
        <v>#NAME?</v>
      </c>
      <c r="D130" s="521" t="e">
        <f ca="1">gr(charge_entree[[#This Row],[ch_E_COT]])</f>
        <v>#NAME?</v>
      </c>
      <c r="E130" s="521" t="e">
        <f ca="1">gr(charge_entree[[#This Row],[ch_E_NH4]])</f>
        <v>#NAME?</v>
      </c>
      <c r="F130" s="521" t="e">
        <f ca="1">gr(charge_entree[[#This Row],[ch_E_NTOT]])</f>
        <v>#NAME?</v>
      </c>
      <c r="G130" s="521" t="e">
        <f ca="1">gr(charge_entree[[#This Row],[ch_E_PTOT]])</f>
        <v>#NAME?</v>
      </c>
      <c r="H130" s="521" t="e">
        <f ca="1">gr(charge_entree[[#This Row],[ch_S_DBO]])</f>
        <v>#NAME?</v>
      </c>
      <c r="I130" s="521" t="e">
        <f ca="1">gr(charge_entree[[#This Row],[ch_S-DCO]])</f>
        <v>#NAME?</v>
      </c>
      <c r="J130" s="521" t="e">
        <f ca="1">gr(charge_entree[[#This Row],[ch_S_DOC]])</f>
        <v>#NAME?</v>
      </c>
      <c r="K130" s="521" t="e">
        <f ca="1">gr(charge_entree[[#This Row],[ch_S_NH4]])</f>
        <v>#NAME?</v>
      </c>
      <c r="L130" s="521" t="e">
        <f ca="1">gr(charge_entree[[#This Row],[ch_S_NO2]])</f>
        <v>#NAME?</v>
      </c>
      <c r="M130" s="521" t="e">
        <f ca="1">gr(charge_entree[[#This Row],[ch_S_NO3]])</f>
        <v>#NAME?</v>
      </c>
      <c r="N130" s="521" t="e">
        <f ca="1">gr(charge_entree[[#This Row],[ch_S_PTOT]])</f>
        <v>#NAME?</v>
      </c>
      <c r="O130" s="521" t="e">
        <f ca="1">gr(charge_entree[[#This Row],[ch_S_SNDT]])</f>
        <v>#NAME?</v>
      </c>
    </row>
    <row r="131" spans="1:15" x14ac:dyDescent="0.2">
      <c r="A131" s="222">
        <f>calculs!A131</f>
        <v>44682</v>
      </c>
      <c r="B131" s="521" t="e">
        <f ca="1">gr(charge_entree[[#This Row],[ch_E_DBO5]])</f>
        <v>#NAME?</v>
      </c>
      <c r="C131" s="521" t="e">
        <f ca="1">gr(charge_entree[[#This Row],[ch_E_DCO]])</f>
        <v>#NAME?</v>
      </c>
      <c r="D131" s="521" t="e">
        <f ca="1">gr(charge_entree[[#This Row],[ch_E_COT]])</f>
        <v>#NAME?</v>
      </c>
      <c r="E131" s="521" t="e">
        <f ca="1">gr(charge_entree[[#This Row],[ch_E_NH4]])</f>
        <v>#NAME?</v>
      </c>
      <c r="F131" s="521" t="e">
        <f ca="1">gr(charge_entree[[#This Row],[ch_E_NTOT]])</f>
        <v>#NAME?</v>
      </c>
      <c r="G131" s="521" t="e">
        <f ca="1">gr(charge_entree[[#This Row],[ch_E_PTOT]])</f>
        <v>#NAME?</v>
      </c>
      <c r="H131" s="521" t="e">
        <f ca="1">gr(charge_entree[[#This Row],[ch_S_DBO]])</f>
        <v>#NAME?</v>
      </c>
      <c r="I131" s="521" t="e">
        <f ca="1">gr(charge_entree[[#This Row],[ch_S-DCO]])</f>
        <v>#NAME?</v>
      </c>
      <c r="J131" s="521" t="e">
        <f ca="1">gr(charge_entree[[#This Row],[ch_S_DOC]])</f>
        <v>#NAME?</v>
      </c>
      <c r="K131" s="521" t="e">
        <f ca="1">gr(charge_entree[[#This Row],[ch_S_NH4]])</f>
        <v>#NAME?</v>
      </c>
      <c r="L131" s="521" t="e">
        <f ca="1">gr(charge_entree[[#This Row],[ch_S_NO2]])</f>
        <v>#NAME?</v>
      </c>
      <c r="M131" s="521" t="e">
        <f ca="1">gr(charge_entree[[#This Row],[ch_S_NO3]])</f>
        <v>#NAME?</v>
      </c>
      <c r="N131" s="521" t="e">
        <f ca="1">gr(charge_entree[[#This Row],[ch_S_PTOT]])</f>
        <v>#NAME?</v>
      </c>
      <c r="O131" s="521" t="e">
        <f ca="1">gr(charge_entree[[#This Row],[ch_S_SNDT]])</f>
        <v>#NAME?</v>
      </c>
    </row>
    <row r="132" spans="1:15" x14ac:dyDescent="0.2">
      <c r="A132" s="222">
        <f>calculs!A132</f>
        <v>44683</v>
      </c>
      <c r="B132" s="521" t="e">
        <f ca="1">gr(charge_entree[[#This Row],[ch_E_DBO5]])</f>
        <v>#NAME?</v>
      </c>
      <c r="C132" s="521" t="e">
        <f ca="1">gr(charge_entree[[#This Row],[ch_E_DCO]])</f>
        <v>#NAME?</v>
      </c>
      <c r="D132" s="521" t="e">
        <f ca="1">gr(charge_entree[[#This Row],[ch_E_COT]])</f>
        <v>#NAME?</v>
      </c>
      <c r="E132" s="521" t="e">
        <f ca="1">gr(charge_entree[[#This Row],[ch_E_NH4]])</f>
        <v>#NAME?</v>
      </c>
      <c r="F132" s="521" t="e">
        <f ca="1">gr(charge_entree[[#This Row],[ch_E_NTOT]])</f>
        <v>#NAME?</v>
      </c>
      <c r="G132" s="521" t="e">
        <f ca="1">gr(charge_entree[[#This Row],[ch_E_PTOT]])</f>
        <v>#NAME?</v>
      </c>
      <c r="H132" s="521" t="e">
        <f ca="1">gr(charge_entree[[#This Row],[ch_S_DBO]])</f>
        <v>#NAME?</v>
      </c>
      <c r="I132" s="521" t="e">
        <f ca="1">gr(charge_entree[[#This Row],[ch_S-DCO]])</f>
        <v>#NAME?</v>
      </c>
      <c r="J132" s="521" t="e">
        <f ca="1">gr(charge_entree[[#This Row],[ch_S_DOC]])</f>
        <v>#NAME?</v>
      </c>
      <c r="K132" s="521" t="e">
        <f ca="1">gr(charge_entree[[#This Row],[ch_S_NH4]])</f>
        <v>#NAME?</v>
      </c>
      <c r="L132" s="521" t="e">
        <f ca="1">gr(charge_entree[[#This Row],[ch_S_NO2]])</f>
        <v>#NAME?</v>
      </c>
      <c r="M132" s="521" t="e">
        <f ca="1">gr(charge_entree[[#This Row],[ch_S_NO3]])</f>
        <v>#NAME?</v>
      </c>
      <c r="N132" s="521" t="e">
        <f ca="1">gr(charge_entree[[#This Row],[ch_S_PTOT]])</f>
        <v>#NAME?</v>
      </c>
      <c r="O132" s="521" t="e">
        <f ca="1">gr(charge_entree[[#This Row],[ch_S_SNDT]])</f>
        <v>#NAME?</v>
      </c>
    </row>
    <row r="133" spans="1:15" x14ac:dyDescent="0.2">
      <c r="A133" s="222">
        <f>calculs!A133</f>
        <v>44684</v>
      </c>
      <c r="B133" s="521" t="e">
        <f ca="1">gr(charge_entree[[#This Row],[ch_E_DBO5]])</f>
        <v>#NAME?</v>
      </c>
      <c r="C133" s="521" t="e">
        <f ca="1">gr(charge_entree[[#This Row],[ch_E_DCO]])</f>
        <v>#NAME?</v>
      </c>
      <c r="D133" s="521" t="e">
        <f ca="1">gr(charge_entree[[#This Row],[ch_E_COT]])</f>
        <v>#NAME?</v>
      </c>
      <c r="E133" s="521" t="e">
        <f ca="1">gr(charge_entree[[#This Row],[ch_E_NH4]])</f>
        <v>#NAME?</v>
      </c>
      <c r="F133" s="521" t="e">
        <f ca="1">gr(charge_entree[[#This Row],[ch_E_NTOT]])</f>
        <v>#NAME?</v>
      </c>
      <c r="G133" s="521" t="e">
        <f ca="1">gr(charge_entree[[#This Row],[ch_E_PTOT]])</f>
        <v>#NAME?</v>
      </c>
      <c r="H133" s="521" t="e">
        <f ca="1">gr(charge_entree[[#This Row],[ch_S_DBO]])</f>
        <v>#NAME?</v>
      </c>
      <c r="I133" s="521" t="e">
        <f ca="1">gr(charge_entree[[#This Row],[ch_S-DCO]])</f>
        <v>#NAME?</v>
      </c>
      <c r="J133" s="521" t="e">
        <f ca="1">gr(charge_entree[[#This Row],[ch_S_DOC]])</f>
        <v>#NAME?</v>
      </c>
      <c r="K133" s="521" t="e">
        <f ca="1">gr(charge_entree[[#This Row],[ch_S_NH4]])</f>
        <v>#NAME?</v>
      </c>
      <c r="L133" s="521" t="e">
        <f ca="1">gr(charge_entree[[#This Row],[ch_S_NO2]])</f>
        <v>#NAME?</v>
      </c>
      <c r="M133" s="521" t="e">
        <f ca="1">gr(charge_entree[[#This Row],[ch_S_NO3]])</f>
        <v>#NAME?</v>
      </c>
      <c r="N133" s="521" t="e">
        <f ca="1">gr(charge_entree[[#This Row],[ch_S_PTOT]])</f>
        <v>#NAME?</v>
      </c>
      <c r="O133" s="521" t="e">
        <f ca="1">gr(charge_entree[[#This Row],[ch_S_SNDT]])</f>
        <v>#NAME?</v>
      </c>
    </row>
    <row r="134" spans="1:15" x14ac:dyDescent="0.2">
      <c r="A134" s="222">
        <f>calculs!A134</f>
        <v>44685</v>
      </c>
      <c r="B134" s="521" t="e">
        <f ca="1">gr(charge_entree[[#This Row],[ch_E_DBO5]])</f>
        <v>#NAME?</v>
      </c>
      <c r="C134" s="521" t="e">
        <f ca="1">gr(charge_entree[[#This Row],[ch_E_DCO]])</f>
        <v>#NAME?</v>
      </c>
      <c r="D134" s="521" t="e">
        <f ca="1">gr(charge_entree[[#This Row],[ch_E_COT]])</f>
        <v>#NAME?</v>
      </c>
      <c r="E134" s="521" t="e">
        <f ca="1">gr(charge_entree[[#This Row],[ch_E_NH4]])</f>
        <v>#NAME?</v>
      </c>
      <c r="F134" s="521" t="e">
        <f ca="1">gr(charge_entree[[#This Row],[ch_E_NTOT]])</f>
        <v>#NAME?</v>
      </c>
      <c r="G134" s="521" t="e">
        <f ca="1">gr(charge_entree[[#This Row],[ch_E_PTOT]])</f>
        <v>#NAME?</v>
      </c>
      <c r="H134" s="521" t="e">
        <f ca="1">gr(charge_entree[[#This Row],[ch_S_DBO]])</f>
        <v>#NAME?</v>
      </c>
      <c r="I134" s="521" t="e">
        <f ca="1">gr(charge_entree[[#This Row],[ch_S-DCO]])</f>
        <v>#NAME?</v>
      </c>
      <c r="J134" s="521" t="e">
        <f ca="1">gr(charge_entree[[#This Row],[ch_S_DOC]])</f>
        <v>#NAME?</v>
      </c>
      <c r="K134" s="521" t="e">
        <f ca="1">gr(charge_entree[[#This Row],[ch_S_NH4]])</f>
        <v>#NAME?</v>
      </c>
      <c r="L134" s="521" t="e">
        <f ca="1">gr(charge_entree[[#This Row],[ch_S_NO2]])</f>
        <v>#NAME?</v>
      </c>
      <c r="M134" s="521" t="e">
        <f ca="1">gr(charge_entree[[#This Row],[ch_S_NO3]])</f>
        <v>#NAME?</v>
      </c>
      <c r="N134" s="521" t="e">
        <f ca="1">gr(charge_entree[[#This Row],[ch_S_PTOT]])</f>
        <v>#NAME?</v>
      </c>
      <c r="O134" s="521" t="e">
        <f ca="1">gr(charge_entree[[#This Row],[ch_S_SNDT]])</f>
        <v>#NAME?</v>
      </c>
    </row>
    <row r="135" spans="1:15" x14ac:dyDescent="0.2">
      <c r="A135" s="222">
        <f>calculs!A135</f>
        <v>44686</v>
      </c>
      <c r="B135" s="521" t="e">
        <f ca="1">gr(charge_entree[[#This Row],[ch_E_DBO5]])</f>
        <v>#NAME?</v>
      </c>
      <c r="C135" s="521" t="e">
        <f ca="1">gr(charge_entree[[#This Row],[ch_E_DCO]])</f>
        <v>#NAME?</v>
      </c>
      <c r="D135" s="521" t="e">
        <f ca="1">gr(charge_entree[[#This Row],[ch_E_COT]])</f>
        <v>#NAME?</v>
      </c>
      <c r="E135" s="521" t="e">
        <f ca="1">gr(charge_entree[[#This Row],[ch_E_NH4]])</f>
        <v>#NAME?</v>
      </c>
      <c r="F135" s="521" t="e">
        <f ca="1">gr(charge_entree[[#This Row],[ch_E_NTOT]])</f>
        <v>#NAME?</v>
      </c>
      <c r="G135" s="521" t="e">
        <f ca="1">gr(charge_entree[[#This Row],[ch_E_PTOT]])</f>
        <v>#NAME?</v>
      </c>
      <c r="H135" s="521" t="e">
        <f ca="1">gr(charge_entree[[#This Row],[ch_S_DBO]])</f>
        <v>#NAME?</v>
      </c>
      <c r="I135" s="521" t="e">
        <f ca="1">gr(charge_entree[[#This Row],[ch_S-DCO]])</f>
        <v>#NAME?</v>
      </c>
      <c r="J135" s="521" t="e">
        <f ca="1">gr(charge_entree[[#This Row],[ch_S_DOC]])</f>
        <v>#NAME?</v>
      </c>
      <c r="K135" s="521" t="e">
        <f ca="1">gr(charge_entree[[#This Row],[ch_S_NH4]])</f>
        <v>#NAME?</v>
      </c>
      <c r="L135" s="521" t="e">
        <f ca="1">gr(charge_entree[[#This Row],[ch_S_NO2]])</f>
        <v>#NAME?</v>
      </c>
      <c r="M135" s="521" t="e">
        <f ca="1">gr(charge_entree[[#This Row],[ch_S_NO3]])</f>
        <v>#NAME?</v>
      </c>
      <c r="N135" s="521" t="e">
        <f ca="1">gr(charge_entree[[#This Row],[ch_S_PTOT]])</f>
        <v>#NAME?</v>
      </c>
      <c r="O135" s="521" t="e">
        <f ca="1">gr(charge_entree[[#This Row],[ch_S_SNDT]])</f>
        <v>#NAME?</v>
      </c>
    </row>
    <row r="136" spans="1:15" x14ac:dyDescent="0.2">
      <c r="A136" s="222">
        <f>calculs!A136</f>
        <v>44687</v>
      </c>
      <c r="B136" s="521" t="e">
        <f ca="1">gr(charge_entree[[#This Row],[ch_E_DBO5]])</f>
        <v>#NAME?</v>
      </c>
      <c r="C136" s="521" t="e">
        <f ca="1">gr(charge_entree[[#This Row],[ch_E_DCO]])</f>
        <v>#NAME?</v>
      </c>
      <c r="D136" s="521" t="e">
        <f ca="1">gr(charge_entree[[#This Row],[ch_E_COT]])</f>
        <v>#NAME?</v>
      </c>
      <c r="E136" s="521" t="e">
        <f ca="1">gr(charge_entree[[#This Row],[ch_E_NH4]])</f>
        <v>#NAME?</v>
      </c>
      <c r="F136" s="521" t="e">
        <f ca="1">gr(charge_entree[[#This Row],[ch_E_NTOT]])</f>
        <v>#NAME?</v>
      </c>
      <c r="G136" s="521" t="e">
        <f ca="1">gr(charge_entree[[#This Row],[ch_E_PTOT]])</f>
        <v>#NAME?</v>
      </c>
      <c r="H136" s="521" t="e">
        <f ca="1">gr(charge_entree[[#This Row],[ch_S_DBO]])</f>
        <v>#NAME?</v>
      </c>
      <c r="I136" s="521" t="e">
        <f ca="1">gr(charge_entree[[#This Row],[ch_S-DCO]])</f>
        <v>#NAME?</v>
      </c>
      <c r="J136" s="521" t="e">
        <f ca="1">gr(charge_entree[[#This Row],[ch_S_DOC]])</f>
        <v>#NAME?</v>
      </c>
      <c r="K136" s="521" t="e">
        <f ca="1">gr(charge_entree[[#This Row],[ch_S_NH4]])</f>
        <v>#NAME?</v>
      </c>
      <c r="L136" s="521" t="e">
        <f ca="1">gr(charge_entree[[#This Row],[ch_S_NO2]])</f>
        <v>#NAME?</v>
      </c>
      <c r="M136" s="521" t="e">
        <f ca="1">gr(charge_entree[[#This Row],[ch_S_NO3]])</f>
        <v>#NAME?</v>
      </c>
      <c r="N136" s="521" t="e">
        <f ca="1">gr(charge_entree[[#This Row],[ch_S_PTOT]])</f>
        <v>#NAME?</v>
      </c>
      <c r="O136" s="521" t="e">
        <f ca="1">gr(charge_entree[[#This Row],[ch_S_SNDT]])</f>
        <v>#NAME?</v>
      </c>
    </row>
    <row r="137" spans="1:15" x14ac:dyDescent="0.2">
      <c r="A137" s="222">
        <f>calculs!A137</f>
        <v>44688</v>
      </c>
      <c r="B137" s="521" t="e">
        <f ca="1">gr(charge_entree[[#This Row],[ch_E_DBO5]])</f>
        <v>#NAME?</v>
      </c>
      <c r="C137" s="521" t="e">
        <f ca="1">gr(charge_entree[[#This Row],[ch_E_DCO]])</f>
        <v>#NAME?</v>
      </c>
      <c r="D137" s="521" t="e">
        <f ca="1">gr(charge_entree[[#This Row],[ch_E_COT]])</f>
        <v>#NAME?</v>
      </c>
      <c r="E137" s="521" t="e">
        <f ca="1">gr(charge_entree[[#This Row],[ch_E_NH4]])</f>
        <v>#NAME?</v>
      </c>
      <c r="F137" s="521" t="e">
        <f ca="1">gr(charge_entree[[#This Row],[ch_E_NTOT]])</f>
        <v>#NAME?</v>
      </c>
      <c r="G137" s="521" t="e">
        <f ca="1">gr(charge_entree[[#This Row],[ch_E_PTOT]])</f>
        <v>#NAME?</v>
      </c>
      <c r="H137" s="521" t="e">
        <f ca="1">gr(charge_entree[[#This Row],[ch_S_DBO]])</f>
        <v>#NAME?</v>
      </c>
      <c r="I137" s="521" t="e">
        <f ca="1">gr(charge_entree[[#This Row],[ch_S-DCO]])</f>
        <v>#NAME?</v>
      </c>
      <c r="J137" s="521" t="e">
        <f ca="1">gr(charge_entree[[#This Row],[ch_S_DOC]])</f>
        <v>#NAME?</v>
      </c>
      <c r="K137" s="521" t="e">
        <f ca="1">gr(charge_entree[[#This Row],[ch_S_NH4]])</f>
        <v>#NAME?</v>
      </c>
      <c r="L137" s="521" t="e">
        <f ca="1">gr(charge_entree[[#This Row],[ch_S_NO2]])</f>
        <v>#NAME?</v>
      </c>
      <c r="M137" s="521" t="e">
        <f ca="1">gr(charge_entree[[#This Row],[ch_S_NO3]])</f>
        <v>#NAME?</v>
      </c>
      <c r="N137" s="521" t="e">
        <f ca="1">gr(charge_entree[[#This Row],[ch_S_PTOT]])</f>
        <v>#NAME?</v>
      </c>
      <c r="O137" s="521" t="e">
        <f ca="1">gr(charge_entree[[#This Row],[ch_S_SNDT]])</f>
        <v>#NAME?</v>
      </c>
    </row>
    <row r="138" spans="1:15" x14ac:dyDescent="0.2">
      <c r="A138" s="222">
        <f>calculs!A138</f>
        <v>44689</v>
      </c>
      <c r="B138" s="521" t="e">
        <f ca="1">gr(charge_entree[[#This Row],[ch_E_DBO5]])</f>
        <v>#NAME?</v>
      </c>
      <c r="C138" s="521" t="e">
        <f ca="1">gr(charge_entree[[#This Row],[ch_E_DCO]])</f>
        <v>#NAME?</v>
      </c>
      <c r="D138" s="521" t="e">
        <f ca="1">gr(charge_entree[[#This Row],[ch_E_COT]])</f>
        <v>#NAME?</v>
      </c>
      <c r="E138" s="521" t="e">
        <f ca="1">gr(charge_entree[[#This Row],[ch_E_NH4]])</f>
        <v>#NAME?</v>
      </c>
      <c r="F138" s="521" t="e">
        <f ca="1">gr(charge_entree[[#This Row],[ch_E_NTOT]])</f>
        <v>#NAME?</v>
      </c>
      <c r="G138" s="521" t="e">
        <f ca="1">gr(charge_entree[[#This Row],[ch_E_PTOT]])</f>
        <v>#NAME?</v>
      </c>
      <c r="H138" s="521" t="e">
        <f ca="1">gr(charge_entree[[#This Row],[ch_S_DBO]])</f>
        <v>#NAME?</v>
      </c>
      <c r="I138" s="521" t="e">
        <f ca="1">gr(charge_entree[[#This Row],[ch_S-DCO]])</f>
        <v>#NAME?</v>
      </c>
      <c r="J138" s="521" t="e">
        <f ca="1">gr(charge_entree[[#This Row],[ch_S_DOC]])</f>
        <v>#NAME?</v>
      </c>
      <c r="K138" s="521" t="e">
        <f ca="1">gr(charge_entree[[#This Row],[ch_S_NH4]])</f>
        <v>#NAME?</v>
      </c>
      <c r="L138" s="521" t="e">
        <f ca="1">gr(charge_entree[[#This Row],[ch_S_NO2]])</f>
        <v>#NAME?</v>
      </c>
      <c r="M138" s="521" t="e">
        <f ca="1">gr(charge_entree[[#This Row],[ch_S_NO3]])</f>
        <v>#NAME?</v>
      </c>
      <c r="N138" s="521" t="e">
        <f ca="1">gr(charge_entree[[#This Row],[ch_S_PTOT]])</f>
        <v>#NAME?</v>
      </c>
      <c r="O138" s="521" t="e">
        <f ca="1">gr(charge_entree[[#This Row],[ch_S_SNDT]])</f>
        <v>#NAME?</v>
      </c>
    </row>
    <row r="139" spans="1:15" x14ac:dyDescent="0.2">
      <c r="A139" s="222">
        <f>calculs!A139</f>
        <v>44690</v>
      </c>
      <c r="B139" s="521" t="e">
        <f ca="1">gr(charge_entree[[#This Row],[ch_E_DBO5]])</f>
        <v>#NAME?</v>
      </c>
      <c r="C139" s="521" t="e">
        <f ca="1">gr(charge_entree[[#This Row],[ch_E_DCO]])</f>
        <v>#NAME?</v>
      </c>
      <c r="D139" s="521" t="e">
        <f ca="1">gr(charge_entree[[#This Row],[ch_E_COT]])</f>
        <v>#NAME?</v>
      </c>
      <c r="E139" s="521" t="e">
        <f ca="1">gr(charge_entree[[#This Row],[ch_E_NH4]])</f>
        <v>#NAME?</v>
      </c>
      <c r="F139" s="521" t="e">
        <f ca="1">gr(charge_entree[[#This Row],[ch_E_NTOT]])</f>
        <v>#NAME?</v>
      </c>
      <c r="G139" s="521" t="e">
        <f ca="1">gr(charge_entree[[#This Row],[ch_E_PTOT]])</f>
        <v>#NAME?</v>
      </c>
      <c r="H139" s="521" t="e">
        <f ca="1">gr(charge_entree[[#This Row],[ch_S_DBO]])</f>
        <v>#NAME?</v>
      </c>
      <c r="I139" s="521" t="e">
        <f ca="1">gr(charge_entree[[#This Row],[ch_S-DCO]])</f>
        <v>#NAME?</v>
      </c>
      <c r="J139" s="521" t="e">
        <f ca="1">gr(charge_entree[[#This Row],[ch_S_DOC]])</f>
        <v>#NAME?</v>
      </c>
      <c r="K139" s="521" t="e">
        <f ca="1">gr(charge_entree[[#This Row],[ch_S_NH4]])</f>
        <v>#NAME?</v>
      </c>
      <c r="L139" s="521" t="e">
        <f ca="1">gr(charge_entree[[#This Row],[ch_S_NO2]])</f>
        <v>#NAME?</v>
      </c>
      <c r="M139" s="521" t="e">
        <f ca="1">gr(charge_entree[[#This Row],[ch_S_NO3]])</f>
        <v>#NAME?</v>
      </c>
      <c r="N139" s="521" t="e">
        <f ca="1">gr(charge_entree[[#This Row],[ch_S_PTOT]])</f>
        <v>#NAME?</v>
      </c>
      <c r="O139" s="521" t="e">
        <f ca="1">gr(charge_entree[[#This Row],[ch_S_SNDT]])</f>
        <v>#NAME?</v>
      </c>
    </row>
    <row r="140" spans="1:15" x14ac:dyDescent="0.2">
      <c r="A140" s="222">
        <f>calculs!A140</f>
        <v>44691</v>
      </c>
      <c r="B140" s="521" t="e">
        <f ca="1">gr(charge_entree[[#This Row],[ch_E_DBO5]])</f>
        <v>#NAME?</v>
      </c>
      <c r="C140" s="521" t="e">
        <f ca="1">gr(charge_entree[[#This Row],[ch_E_DCO]])</f>
        <v>#NAME?</v>
      </c>
      <c r="D140" s="521" t="e">
        <f ca="1">gr(charge_entree[[#This Row],[ch_E_COT]])</f>
        <v>#NAME?</v>
      </c>
      <c r="E140" s="521" t="e">
        <f ca="1">gr(charge_entree[[#This Row],[ch_E_NH4]])</f>
        <v>#NAME?</v>
      </c>
      <c r="F140" s="521" t="e">
        <f ca="1">gr(charge_entree[[#This Row],[ch_E_NTOT]])</f>
        <v>#NAME?</v>
      </c>
      <c r="G140" s="521" t="e">
        <f ca="1">gr(charge_entree[[#This Row],[ch_E_PTOT]])</f>
        <v>#NAME?</v>
      </c>
      <c r="H140" s="521" t="e">
        <f ca="1">gr(charge_entree[[#This Row],[ch_S_DBO]])</f>
        <v>#NAME?</v>
      </c>
      <c r="I140" s="521" t="e">
        <f ca="1">gr(charge_entree[[#This Row],[ch_S-DCO]])</f>
        <v>#NAME?</v>
      </c>
      <c r="J140" s="521" t="e">
        <f ca="1">gr(charge_entree[[#This Row],[ch_S_DOC]])</f>
        <v>#NAME?</v>
      </c>
      <c r="K140" s="521" t="e">
        <f ca="1">gr(charge_entree[[#This Row],[ch_S_NH4]])</f>
        <v>#NAME?</v>
      </c>
      <c r="L140" s="521" t="e">
        <f ca="1">gr(charge_entree[[#This Row],[ch_S_NO2]])</f>
        <v>#NAME?</v>
      </c>
      <c r="M140" s="521" t="e">
        <f ca="1">gr(charge_entree[[#This Row],[ch_S_NO3]])</f>
        <v>#NAME?</v>
      </c>
      <c r="N140" s="521" t="e">
        <f ca="1">gr(charge_entree[[#This Row],[ch_S_PTOT]])</f>
        <v>#NAME?</v>
      </c>
      <c r="O140" s="521" t="e">
        <f ca="1">gr(charge_entree[[#This Row],[ch_S_SNDT]])</f>
        <v>#NAME?</v>
      </c>
    </row>
    <row r="141" spans="1:15" x14ac:dyDescent="0.2">
      <c r="A141" s="222">
        <f>calculs!A141</f>
        <v>44692</v>
      </c>
      <c r="B141" s="521" t="e">
        <f ca="1">gr(charge_entree[[#This Row],[ch_E_DBO5]])</f>
        <v>#NAME?</v>
      </c>
      <c r="C141" s="521" t="e">
        <f ca="1">gr(charge_entree[[#This Row],[ch_E_DCO]])</f>
        <v>#NAME?</v>
      </c>
      <c r="D141" s="521" t="e">
        <f ca="1">gr(charge_entree[[#This Row],[ch_E_COT]])</f>
        <v>#NAME?</v>
      </c>
      <c r="E141" s="521" t="e">
        <f ca="1">gr(charge_entree[[#This Row],[ch_E_NH4]])</f>
        <v>#NAME?</v>
      </c>
      <c r="F141" s="521" t="e">
        <f ca="1">gr(charge_entree[[#This Row],[ch_E_NTOT]])</f>
        <v>#NAME?</v>
      </c>
      <c r="G141" s="521" t="e">
        <f ca="1">gr(charge_entree[[#This Row],[ch_E_PTOT]])</f>
        <v>#NAME?</v>
      </c>
      <c r="H141" s="521" t="e">
        <f ca="1">gr(charge_entree[[#This Row],[ch_S_DBO]])</f>
        <v>#NAME?</v>
      </c>
      <c r="I141" s="521" t="e">
        <f ca="1">gr(charge_entree[[#This Row],[ch_S-DCO]])</f>
        <v>#NAME?</v>
      </c>
      <c r="J141" s="521" t="e">
        <f ca="1">gr(charge_entree[[#This Row],[ch_S_DOC]])</f>
        <v>#NAME?</v>
      </c>
      <c r="K141" s="521" t="e">
        <f ca="1">gr(charge_entree[[#This Row],[ch_S_NH4]])</f>
        <v>#NAME?</v>
      </c>
      <c r="L141" s="521" t="e">
        <f ca="1">gr(charge_entree[[#This Row],[ch_S_NO2]])</f>
        <v>#NAME?</v>
      </c>
      <c r="M141" s="521" t="e">
        <f ca="1">gr(charge_entree[[#This Row],[ch_S_NO3]])</f>
        <v>#NAME?</v>
      </c>
      <c r="N141" s="521" t="e">
        <f ca="1">gr(charge_entree[[#This Row],[ch_S_PTOT]])</f>
        <v>#NAME?</v>
      </c>
      <c r="O141" s="521" t="e">
        <f ca="1">gr(charge_entree[[#This Row],[ch_S_SNDT]])</f>
        <v>#NAME?</v>
      </c>
    </row>
    <row r="142" spans="1:15" x14ac:dyDescent="0.2">
      <c r="A142" s="222">
        <f>calculs!A142</f>
        <v>44693</v>
      </c>
      <c r="B142" s="521" t="e">
        <f ca="1">gr(charge_entree[[#This Row],[ch_E_DBO5]])</f>
        <v>#NAME?</v>
      </c>
      <c r="C142" s="521" t="e">
        <f ca="1">gr(charge_entree[[#This Row],[ch_E_DCO]])</f>
        <v>#NAME?</v>
      </c>
      <c r="D142" s="521" t="e">
        <f ca="1">gr(charge_entree[[#This Row],[ch_E_COT]])</f>
        <v>#NAME?</v>
      </c>
      <c r="E142" s="521" t="e">
        <f ca="1">gr(charge_entree[[#This Row],[ch_E_NH4]])</f>
        <v>#NAME?</v>
      </c>
      <c r="F142" s="521" t="e">
        <f ca="1">gr(charge_entree[[#This Row],[ch_E_NTOT]])</f>
        <v>#NAME?</v>
      </c>
      <c r="G142" s="521" t="e">
        <f ca="1">gr(charge_entree[[#This Row],[ch_E_PTOT]])</f>
        <v>#NAME?</v>
      </c>
      <c r="H142" s="521" t="e">
        <f ca="1">gr(charge_entree[[#This Row],[ch_S_DBO]])</f>
        <v>#NAME?</v>
      </c>
      <c r="I142" s="521" t="e">
        <f ca="1">gr(charge_entree[[#This Row],[ch_S-DCO]])</f>
        <v>#NAME?</v>
      </c>
      <c r="J142" s="521" t="e">
        <f ca="1">gr(charge_entree[[#This Row],[ch_S_DOC]])</f>
        <v>#NAME?</v>
      </c>
      <c r="K142" s="521" t="e">
        <f ca="1">gr(charge_entree[[#This Row],[ch_S_NH4]])</f>
        <v>#NAME?</v>
      </c>
      <c r="L142" s="521" t="e">
        <f ca="1">gr(charge_entree[[#This Row],[ch_S_NO2]])</f>
        <v>#NAME?</v>
      </c>
      <c r="M142" s="521" t="e">
        <f ca="1">gr(charge_entree[[#This Row],[ch_S_NO3]])</f>
        <v>#NAME?</v>
      </c>
      <c r="N142" s="521" t="e">
        <f ca="1">gr(charge_entree[[#This Row],[ch_S_PTOT]])</f>
        <v>#NAME?</v>
      </c>
      <c r="O142" s="521" t="e">
        <f ca="1">gr(charge_entree[[#This Row],[ch_S_SNDT]])</f>
        <v>#NAME?</v>
      </c>
    </row>
    <row r="143" spans="1:15" x14ac:dyDescent="0.2">
      <c r="A143" s="222">
        <f>calculs!A143</f>
        <v>44694</v>
      </c>
      <c r="B143" s="521" t="e">
        <f ca="1">gr(charge_entree[[#This Row],[ch_E_DBO5]])</f>
        <v>#NAME?</v>
      </c>
      <c r="C143" s="521" t="e">
        <f ca="1">gr(charge_entree[[#This Row],[ch_E_DCO]])</f>
        <v>#NAME?</v>
      </c>
      <c r="D143" s="521" t="e">
        <f ca="1">gr(charge_entree[[#This Row],[ch_E_COT]])</f>
        <v>#NAME?</v>
      </c>
      <c r="E143" s="521" t="e">
        <f ca="1">gr(charge_entree[[#This Row],[ch_E_NH4]])</f>
        <v>#NAME?</v>
      </c>
      <c r="F143" s="521" t="e">
        <f ca="1">gr(charge_entree[[#This Row],[ch_E_NTOT]])</f>
        <v>#NAME?</v>
      </c>
      <c r="G143" s="521" t="e">
        <f ca="1">gr(charge_entree[[#This Row],[ch_E_PTOT]])</f>
        <v>#NAME?</v>
      </c>
      <c r="H143" s="521" t="e">
        <f ca="1">gr(charge_entree[[#This Row],[ch_S_DBO]])</f>
        <v>#NAME?</v>
      </c>
      <c r="I143" s="521" t="e">
        <f ca="1">gr(charge_entree[[#This Row],[ch_S-DCO]])</f>
        <v>#NAME?</v>
      </c>
      <c r="J143" s="521" t="e">
        <f ca="1">gr(charge_entree[[#This Row],[ch_S_DOC]])</f>
        <v>#NAME?</v>
      </c>
      <c r="K143" s="521" t="e">
        <f ca="1">gr(charge_entree[[#This Row],[ch_S_NH4]])</f>
        <v>#NAME?</v>
      </c>
      <c r="L143" s="521" t="e">
        <f ca="1">gr(charge_entree[[#This Row],[ch_S_NO2]])</f>
        <v>#NAME?</v>
      </c>
      <c r="M143" s="521" t="e">
        <f ca="1">gr(charge_entree[[#This Row],[ch_S_NO3]])</f>
        <v>#NAME?</v>
      </c>
      <c r="N143" s="521" t="e">
        <f ca="1">gr(charge_entree[[#This Row],[ch_S_PTOT]])</f>
        <v>#NAME?</v>
      </c>
      <c r="O143" s="521" t="e">
        <f ca="1">gr(charge_entree[[#This Row],[ch_S_SNDT]])</f>
        <v>#NAME?</v>
      </c>
    </row>
    <row r="144" spans="1:15" x14ac:dyDescent="0.2">
      <c r="A144" s="222">
        <f>calculs!A144</f>
        <v>44695</v>
      </c>
      <c r="B144" s="521" t="e">
        <f ca="1">gr(charge_entree[[#This Row],[ch_E_DBO5]])</f>
        <v>#NAME?</v>
      </c>
      <c r="C144" s="521" t="e">
        <f ca="1">gr(charge_entree[[#This Row],[ch_E_DCO]])</f>
        <v>#NAME?</v>
      </c>
      <c r="D144" s="521" t="e">
        <f ca="1">gr(charge_entree[[#This Row],[ch_E_COT]])</f>
        <v>#NAME?</v>
      </c>
      <c r="E144" s="521" t="e">
        <f ca="1">gr(charge_entree[[#This Row],[ch_E_NH4]])</f>
        <v>#NAME?</v>
      </c>
      <c r="F144" s="521" t="e">
        <f ca="1">gr(charge_entree[[#This Row],[ch_E_NTOT]])</f>
        <v>#NAME?</v>
      </c>
      <c r="G144" s="521" t="e">
        <f ca="1">gr(charge_entree[[#This Row],[ch_E_PTOT]])</f>
        <v>#NAME?</v>
      </c>
      <c r="H144" s="521" t="e">
        <f ca="1">gr(charge_entree[[#This Row],[ch_S_DBO]])</f>
        <v>#NAME?</v>
      </c>
      <c r="I144" s="521" t="e">
        <f ca="1">gr(charge_entree[[#This Row],[ch_S-DCO]])</f>
        <v>#NAME?</v>
      </c>
      <c r="J144" s="521" t="e">
        <f ca="1">gr(charge_entree[[#This Row],[ch_S_DOC]])</f>
        <v>#NAME?</v>
      </c>
      <c r="K144" s="521" t="e">
        <f ca="1">gr(charge_entree[[#This Row],[ch_S_NH4]])</f>
        <v>#NAME?</v>
      </c>
      <c r="L144" s="521" t="e">
        <f ca="1">gr(charge_entree[[#This Row],[ch_S_NO2]])</f>
        <v>#NAME?</v>
      </c>
      <c r="M144" s="521" t="e">
        <f ca="1">gr(charge_entree[[#This Row],[ch_S_NO3]])</f>
        <v>#NAME?</v>
      </c>
      <c r="N144" s="521" t="e">
        <f ca="1">gr(charge_entree[[#This Row],[ch_S_PTOT]])</f>
        <v>#NAME?</v>
      </c>
      <c r="O144" s="521" t="e">
        <f ca="1">gr(charge_entree[[#This Row],[ch_S_SNDT]])</f>
        <v>#NAME?</v>
      </c>
    </row>
    <row r="145" spans="1:15" x14ac:dyDescent="0.2">
      <c r="A145" s="222">
        <f>calculs!A145</f>
        <v>44696</v>
      </c>
      <c r="B145" s="521" t="e">
        <f ca="1">gr(charge_entree[[#This Row],[ch_E_DBO5]])</f>
        <v>#NAME?</v>
      </c>
      <c r="C145" s="521" t="e">
        <f ca="1">gr(charge_entree[[#This Row],[ch_E_DCO]])</f>
        <v>#NAME?</v>
      </c>
      <c r="D145" s="521" t="e">
        <f ca="1">gr(charge_entree[[#This Row],[ch_E_COT]])</f>
        <v>#NAME?</v>
      </c>
      <c r="E145" s="521" t="e">
        <f ca="1">gr(charge_entree[[#This Row],[ch_E_NH4]])</f>
        <v>#NAME?</v>
      </c>
      <c r="F145" s="521" t="e">
        <f ca="1">gr(charge_entree[[#This Row],[ch_E_NTOT]])</f>
        <v>#NAME?</v>
      </c>
      <c r="G145" s="521" t="e">
        <f ca="1">gr(charge_entree[[#This Row],[ch_E_PTOT]])</f>
        <v>#NAME?</v>
      </c>
      <c r="H145" s="521" t="e">
        <f ca="1">gr(charge_entree[[#This Row],[ch_S_DBO]])</f>
        <v>#NAME?</v>
      </c>
      <c r="I145" s="521" t="e">
        <f ca="1">gr(charge_entree[[#This Row],[ch_S-DCO]])</f>
        <v>#NAME?</v>
      </c>
      <c r="J145" s="521" t="e">
        <f ca="1">gr(charge_entree[[#This Row],[ch_S_DOC]])</f>
        <v>#NAME?</v>
      </c>
      <c r="K145" s="521" t="e">
        <f ca="1">gr(charge_entree[[#This Row],[ch_S_NH4]])</f>
        <v>#NAME?</v>
      </c>
      <c r="L145" s="521" t="e">
        <f ca="1">gr(charge_entree[[#This Row],[ch_S_NO2]])</f>
        <v>#NAME?</v>
      </c>
      <c r="M145" s="521" t="e">
        <f ca="1">gr(charge_entree[[#This Row],[ch_S_NO3]])</f>
        <v>#NAME?</v>
      </c>
      <c r="N145" s="521" t="e">
        <f ca="1">gr(charge_entree[[#This Row],[ch_S_PTOT]])</f>
        <v>#NAME?</v>
      </c>
      <c r="O145" s="521" t="e">
        <f ca="1">gr(charge_entree[[#This Row],[ch_S_SNDT]])</f>
        <v>#NAME?</v>
      </c>
    </row>
    <row r="146" spans="1:15" x14ac:dyDescent="0.2">
      <c r="A146" s="222">
        <f>calculs!A146</f>
        <v>44697</v>
      </c>
      <c r="B146" s="521" t="e">
        <f ca="1">gr(charge_entree[[#This Row],[ch_E_DBO5]])</f>
        <v>#NAME?</v>
      </c>
      <c r="C146" s="521" t="e">
        <f ca="1">gr(charge_entree[[#This Row],[ch_E_DCO]])</f>
        <v>#NAME?</v>
      </c>
      <c r="D146" s="521" t="e">
        <f ca="1">gr(charge_entree[[#This Row],[ch_E_COT]])</f>
        <v>#NAME?</v>
      </c>
      <c r="E146" s="521" t="e">
        <f ca="1">gr(charge_entree[[#This Row],[ch_E_NH4]])</f>
        <v>#NAME?</v>
      </c>
      <c r="F146" s="521" t="e">
        <f ca="1">gr(charge_entree[[#This Row],[ch_E_NTOT]])</f>
        <v>#NAME?</v>
      </c>
      <c r="G146" s="521" t="e">
        <f ca="1">gr(charge_entree[[#This Row],[ch_E_PTOT]])</f>
        <v>#NAME?</v>
      </c>
      <c r="H146" s="521" t="e">
        <f ca="1">gr(charge_entree[[#This Row],[ch_S_DBO]])</f>
        <v>#NAME?</v>
      </c>
      <c r="I146" s="521" t="e">
        <f ca="1">gr(charge_entree[[#This Row],[ch_S-DCO]])</f>
        <v>#NAME?</v>
      </c>
      <c r="J146" s="521" t="e">
        <f ca="1">gr(charge_entree[[#This Row],[ch_S_DOC]])</f>
        <v>#NAME?</v>
      </c>
      <c r="K146" s="521" t="e">
        <f ca="1">gr(charge_entree[[#This Row],[ch_S_NH4]])</f>
        <v>#NAME?</v>
      </c>
      <c r="L146" s="521" t="e">
        <f ca="1">gr(charge_entree[[#This Row],[ch_S_NO2]])</f>
        <v>#NAME?</v>
      </c>
      <c r="M146" s="521" t="e">
        <f ca="1">gr(charge_entree[[#This Row],[ch_S_NO3]])</f>
        <v>#NAME?</v>
      </c>
      <c r="N146" s="521" t="e">
        <f ca="1">gr(charge_entree[[#This Row],[ch_S_PTOT]])</f>
        <v>#NAME?</v>
      </c>
      <c r="O146" s="521" t="e">
        <f ca="1">gr(charge_entree[[#This Row],[ch_S_SNDT]])</f>
        <v>#NAME?</v>
      </c>
    </row>
    <row r="147" spans="1:15" x14ac:dyDescent="0.2">
      <c r="A147" s="222">
        <f>calculs!A147</f>
        <v>44698</v>
      </c>
      <c r="B147" s="521" t="e">
        <f ca="1">gr(charge_entree[[#This Row],[ch_E_DBO5]])</f>
        <v>#NAME?</v>
      </c>
      <c r="C147" s="521" t="e">
        <f ca="1">gr(charge_entree[[#This Row],[ch_E_DCO]])</f>
        <v>#NAME?</v>
      </c>
      <c r="D147" s="521" t="e">
        <f ca="1">gr(charge_entree[[#This Row],[ch_E_COT]])</f>
        <v>#NAME?</v>
      </c>
      <c r="E147" s="521" t="e">
        <f ca="1">gr(charge_entree[[#This Row],[ch_E_NH4]])</f>
        <v>#NAME?</v>
      </c>
      <c r="F147" s="521" t="e">
        <f ca="1">gr(charge_entree[[#This Row],[ch_E_NTOT]])</f>
        <v>#NAME?</v>
      </c>
      <c r="G147" s="521" t="e">
        <f ca="1">gr(charge_entree[[#This Row],[ch_E_PTOT]])</f>
        <v>#NAME?</v>
      </c>
      <c r="H147" s="521" t="e">
        <f ca="1">gr(charge_entree[[#This Row],[ch_S_DBO]])</f>
        <v>#NAME?</v>
      </c>
      <c r="I147" s="521" t="e">
        <f ca="1">gr(charge_entree[[#This Row],[ch_S-DCO]])</f>
        <v>#NAME?</v>
      </c>
      <c r="J147" s="521" t="e">
        <f ca="1">gr(charge_entree[[#This Row],[ch_S_DOC]])</f>
        <v>#NAME?</v>
      </c>
      <c r="K147" s="521" t="e">
        <f ca="1">gr(charge_entree[[#This Row],[ch_S_NH4]])</f>
        <v>#NAME?</v>
      </c>
      <c r="L147" s="521" t="e">
        <f ca="1">gr(charge_entree[[#This Row],[ch_S_NO2]])</f>
        <v>#NAME?</v>
      </c>
      <c r="M147" s="521" t="e">
        <f ca="1">gr(charge_entree[[#This Row],[ch_S_NO3]])</f>
        <v>#NAME?</v>
      </c>
      <c r="N147" s="521" t="e">
        <f ca="1">gr(charge_entree[[#This Row],[ch_S_PTOT]])</f>
        <v>#NAME?</v>
      </c>
      <c r="O147" s="521" t="e">
        <f ca="1">gr(charge_entree[[#This Row],[ch_S_SNDT]])</f>
        <v>#NAME?</v>
      </c>
    </row>
    <row r="148" spans="1:15" x14ac:dyDescent="0.2">
      <c r="A148" s="222">
        <f>calculs!A148</f>
        <v>44699</v>
      </c>
      <c r="B148" s="521" t="e">
        <f ca="1">gr(charge_entree[[#This Row],[ch_E_DBO5]])</f>
        <v>#NAME?</v>
      </c>
      <c r="C148" s="521" t="e">
        <f ca="1">gr(charge_entree[[#This Row],[ch_E_DCO]])</f>
        <v>#NAME?</v>
      </c>
      <c r="D148" s="521" t="e">
        <f ca="1">gr(charge_entree[[#This Row],[ch_E_COT]])</f>
        <v>#NAME?</v>
      </c>
      <c r="E148" s="521" t="e">
        <f ca="1">gr(charge_entree[[#This Row],[ch_E_NH4]])</f>
        <v>#NAME?</v>
      </c>
      <c r="F148" s="521" t="e">
        <f ca="1">gr(charge_entree[[#This Row],[ch_E_NTOT]])</f>
        <v>#NAME?</v>
      </c>
      <c r="G148" s="521" t="e">
        <f ca="1">gr(charge_entree[[#This Row],[ch_E_PTOT]])</f>
        <v>#NAME?</v>
      </c>
      <c r="H148" s="521" t="e">
        <f ca="1">gr(charge_entree[[#This Row],[ch_S_DBO]])</f>
        <v>#NAME?</v>
      </c>
      <c r="I148" s="521" t="e">
        <f ca="1">gr(charge_entree[[#This Row],[ch_S-DCO]])</f>
        <v>#NAME?</v>
      </c>
      <c r="J148" s="521" t="e">
        <f ca="1">gr(charge_entree[[#This Row],[ch_S_DOC]])</f>
        <v>#NAME?</v>
      </c>
      <c r="K148" s="521" t="e">
        <f ca="1">gr(charge_entree[[#This Row],[ch_S_NH4]])</f>
        <v>#NAME?</v>
      </c>
      <c r="L148" s="521" t="e">
        <f ca="1">gr(charge_entree[[#This Row],[ch_S_NO2]])</f>
        <v>#NAME?</v>
      </c>
      <c r="M148" s="521" t="e">
        <f ca="1">gr(charge_entree[[#This Row],[ch_S_NO3]])</f>
        <v>#NAME?</v>
      </c>
      <c r="N148" s="521" t="e">
        <f ca="1">gr(charge_entree[[#This Row],[ch_S_PTOT]])</f>
        <v>#NAME?</v>
      </c>
      <c r="O148" s="521" t="e">
        <f ca="1">gr(charge_entree[[#This Row],[ch_S_SNDT]])</f>
        <v>#NAME?</v>
      </c>
    </row>
    <row r="149" spans="1:15" x14ac:dyDescent="0.2">
      <c r="A149" s="222">
        <f>calculs!A149</f>
        <v>44700</v>
      </c>
      <c r="B149" s="521" t="e">
        <f ca="1">gr(charge_entree[[#This Row],[ch_E_DBO5]])</f>
        <v>#NAME?</v>
      </c>
      <c r="C149" s="521" t="e">
        <f ca="1">gr(charge_entree[[#This Row],[ch_E_DCO]])</f>
        <v>#NAME?</v>
      </c>
      <c r="D149" s="521" t="e">
        <f ca="1">gr(charge_entree[[#This Row],[ch_E_COT]])</f>
        <v>#NAME?</v>
      </c>
      <c r="E149" s="521" t="e">
        <f ca="1">gr(charge_entree[[#This Row],[ch_E_NH4]])</f>
        <v>#NAME?</v>
      </c>
      <c r="F149" s="521" t="e">
        <f ca="1">gr(charge_entree[[#This Row],[ch_E_NTOT]])</f>
        <v>#NAME?</v>
      </c>
      <c r="G149" s="521" t="e">
        <f ca="1">gr(charge_entree[[#This Row],[ch_E_PTOT]])</f>
        <v>#NAME?</v>
      </c>
      <c r="H149" s="521" t="e">
        <f ca="1">gr(charge_entree[[#This Row],[ch_S_DBO]])</f>
        <v>#NAME?</v>
      </c>
      <c r="I149" s="521" t="e">
        <f ca="1">gr(charge_entree[[#This Row],[ch_S-DCO]])</f>
        <v>#NAME?</v>
      </c>
      <c r="J149" s="521" t="e">
        <f ca="1">gr(charge_entree[[#This Row],[ch_S_DOC]])</f>
        <v>#NAME?</v>
      </c>
      <c r="K149" s="521" t="e">
        <f ca="1">gr(charge_entree[[#This Row],[ch_S_NH4]])</f>
        <v>#NAME?</v>
      </c>
      <c r="L149" s="521" t="e">
        <f ca="1">gr(charge_entree[[#This Row],[ch_S_NO2]])</f>
        <v>#NAME?</v>
      </c>
      <c r="M149" s="521" t="e">
        <f ca="1">gr(charge_entree[[#This Row],[ch_S_NO3]])</f>
        <v>#NAME?</v>
      </c>
      <c r="N149" s="521" t="e">
        <f ca="1">gr(charge_entree[[#This Row],[ch_S_PTOT]])</f>
        <v>#NAME?</v>
      </c>
      <c r="O149" s="521" t="e">
        <f ca="1">gr(charge_entree[[#This Row],[ch_S_SNDT]])</f>
        <v>#NAME?</v>
      </c>
    </row>
    <row r="150" spans="1:15" x14ac:dyDescent="0.2">
      <c r="A150" s="222">
        <f>calculs!A150</f>
        <v>44701</v>
      </c>
      <c r="B150" s="521" t="e">
        <f ca="1">gr(charge_entree[[#This Row],[ch_E_DBO5]])</f>
        <v>#NAME?</v>
      </c>
      <c r="C150" s="521" t="e">
        <f ca="1">gr(charge_entree[[#This Row],[ch_E_DCO]])</f>
        <v>#NAME?</v>
      </c>
      <c r="D150" s="521" t="e">
        <f ca="1">gr(charge_entree[[#This Row],[ch_E_COT]])</f>
        <v>#NAME?</v>
      </c>
      <c r="E150" s="521" t="e">
        <f ca="1">gr(charge_entree[[#This Row],[ch_E_NH4]])</f>
        <v>#NAME?</v>
      </c>
      <c r="F150" s="521" t="e">
        <f ca="1">gr(charge_entree[[#This Row],[ch_E_NTOT]])</f>
        <v>#NAME?</v>
      </c>
      <c r="G150" s="521" t="e">
        <f ca="1">gr(charge_entree[[#This Row],[ch_E_PTOT]])</f>
        <v>#NAME?</v>
      </c>
      <c r="H150" s="521" t="e">
        <f ca="1">gr(charge_entree[[#This Row],[ch_S_DBO]])</f>
        <v>#NAME?</v>
      </c>
      <c r="I150" s="521" t="e">
        <f ca="1">gr(charge_entree[[#This Row],[ch_S-DCO]])</f>
        <v>#NAME?</v>
      </c>
      <c r="J150" s="521" t="e">
        <f ca="1">gr(charge_entree[[#This Row],[ch_S_DOC]])</f>
        <v>#NAME?</v>
      </c>
      <c r="K150" s="521" t="e">
        <f ca="1">gr(charge_entree[[#This Row],[ch_S_NH4]])</f>
        <v>#NAME?</v>
      </c>
      <c r="L150" s="521" t="e">
        <f ca="1">gr(charge_entree[[#This Row],[ch_S_NO2]])</f>
        <v>#NAME?</v>
      </c>
      <c r="M150" s="521" t="e">
        <f ca="1">gr(charge_entree[[#This Row],[ch_S_NO3]])</f>
        <v>#NAME?</v>
      </c>
      <c r="N150" s="521" t="e">
        <f ca="1">gr(charge_entree[[#This Row],[ch_S_PTOT]])</f>
        <v>#NAME?</v>
      </c>
      <c r="O150" s="521" t="e">
        <f ca="1">gr(charge_entree[[#This Row],[ch_S_SNDT]])</f>
        <v>#NAME?</v>
      </c>
    </row>
    <row r="151" spans="1:15" x14ac:dyDescent="0.2">
      <c r="A151" s="222">
        <f>calculs!A151</f>
        <v>44702</v>
      </c>
      <c r="B151" s="521" t="e">
        <f ca="1">gr(charge_entree[[#This Row],[ch_E_DBO5]])</f>
        <v>#NAME?</v>
      </c>
      <c r="C151" s="521" t="e">
        <f ca="1">gr(charge_entree[[#This Row],[ch_E_DCO]])</f>
        <v>#NAME?</v>
      </c>
      <c r="D151" s="521" t="e">
        <f ca="1">gr(charge_entree[[#This Row],[ch_E_COT]])</f>
        <v>#NAME?</v>
      </c>
      <c r="E151" s="521" t="e">
        <f ca="1">gr(charge_entree[[#This Row],[ch_E_NH4]])</f>
        <v>#NAME?</v>
      </c>
      <c r="F151" s="521" t="e">
        <f ca="1">gr(charge_entree[[#This Row],[ch_E_NTOT]])</f>
        <v>#NAME?</v>
      </c>
      <c r="G151" s="521" t="e">
        <f ca="1">gr(charge_entree[[#This Row],[ch_E_PTOT]])</f>
        <v>#NAME?</v>
      </c>
      <c r="H151" s="521" t="e">
        <f ca="1">gr(charge_entree[[#This Row],[ch_S_DBO]])</f>
        <v>#NAME?</v>
      </c>
      <c r="I151" s="521" t="e">
        <f ca="1">gr(charge_entree[[#This Row],[ch_S-DCO]])</f>
        <v>#NAME?</v>
      </c>
      <c r="J151" s="521" t="e">
        <f ca="1">gr(charge_entree[[#This Row],[ch_S_DOC]])</f>
        <v>#NAME?</v>
      </c>
      <c r="K151" s="521" t="e">
        <f ca="1">gr(charge_entree[[#This Row],[ch_S_NH4]])</f>
        <v>#NAME?</v>
      </c>
      <c r="L151" s="521" t="e">
        <f ca="1">gr(charge_entree[[#This Row],[ch_S_NO2]])</f>
        <v>#NAME?</v>
      </c>
      <c r="M151" s="521" t="e">
        <f ca="1">gr(charge_entree[[#This Row],[ch_S_NO3]])</f>
        <v>#NAME?</v>
      </c>
      <c r="N151" s="521" t="e">
        <f ca="1">gr(charge_entree[[#This Row],[ch_S_PTOT]])</f>
        <v>#NAME?</v>
      </c>
      <c r="O151" s="521" t="e">
        <f ca="1">gr(charge_entree[[#This Row],[ch_S_SNDT]])</f>
        <v>#NAME?</v>
      </c>
    </row>
    <row r="152" spans="1:15" x14ac:dyDescent="0.2">
      <c r="A152" s="222">
        <f>calculs!A152</f>
        <v>44703</v>
      </c>
      <c r="B152" s="521" t="e">
        <f ca="1">gr(charge_entree[[#This Row],[ch_E_DBO5]])</f>
        <v>#NAME?</v>
      </c>
      <c r="C152" s="521" t="e">
        <f ca="1">gr(charge_entree[[#This Row],[ch_E_DCO]])</f>
        <v>#NAME?</v>
      </c>
      <c r="D152" s="521" t="e">
        <f ca="1">gr(charge_entree[[#This Row],[ch_E_COT]])</f>
        <v>#NAME?</v>
      </c>
      <c r="E152" s="521" t="e">
        <f ca="1">gr(charge_entree[[#This Row],[ch_E_NH4]])</f>
        <v>#NAME?</v>
      </c>
      <c r="F152" s="521" t="e">
        <f ca="1">gr(charge_entree[[#This Row],[ch_E_NTOT]])</f>
        <v>#NAME?</v>
      </c>
      <c r="G152" s="521" t="e">
        <f ca="1">gr(charge_entree[[#This Row],[ch_E_PTOT]])</f>
        <v>#NAME?</v>
      </c>
      <c r="H152" s="521" t="e">
        <f ca="1">gr(charge_entree[[#This Row],[ch_S_DBO]])</f>
        <v>#NAME?</v>
      </c>
      <c r="I152" s="521" t="e">
        <f ca="1">gr(charge_entree[[#This Row],[ch_S-DCO]])</f>
        <v>#NAME?</v>
      </c>
      <c r="J152" s="521" t="e">
        <f ca="1">gr(charge_entree[[#This Row],[ch_S_DOC]])</f>
        <v>#NAME?</v>
      </c>
      <c r="K152" s="521" t="e">
        <f ca="1">gr(charge_entree[[#This Row],[ch_S_NH4]])</f>
        <v>#NAME?</v>
      </c>
      <c r="L152" s="521" t="e">
        <f ca="1">gr(charge_entree[[#This Row],[ch_S_NO2]])</f>
        <v>#NAME?</v>
      </c>
      <c r="M152" s="521" t="e">
        <f ca="1">gr(charge_entree[[#This Row],[ch_S_NO3]])</f>
        <v>#NAME?</v>
      </c>
      <c r="N152" s="521" t="e">
        <f ca="1">gr(charge_entree[[#This Row],[ch_S_PTOT]])</f>
        <v>#NAME?</v>
      </c>
      <c r="O152" s="521" t="e">
        <f ca="1">gr(charge_entree[[#This Row],[ch_S_SNDT]])</f>
        <v>#NAME?</v>
      </c>
    </row>
    <row r="153" spans="1:15" x14ac:dyDescent="0.2">
      <c r="A153" s="222">
        <f>calculs!A153</f>
        <v>44704</v>
      </c>
      <c r="B153" s="521" t="e">
        <f ca="1">gr(charge_entree[[#This Row],[ch_E_DBO5]])</f>
        <v>#NAME?</v>
      </c>
      <c r="C153" s="521" t="e">
        <f ca="1">gr(charge_entree[[#This Row],[ch_E_DCO]])</f>
        <v>#NAME?</v>
      </c>
      <c r="D153" s="521" t="e">
        <f ca="1">gr(charge_entree[[#This Row],[ch_E_COT]])</f>
        <v>#NAME?</v>
      </c>
      <c r="E153" s="521" t="e">
        <f ca="1">gr(charge_entree[[#This Row],[ch_E_NH4]])</f>
        <v>#NAME?</v>
      </c>
      <c r="F153" s="521" t="e">
        <f ca="1">gr(charge_entree[[#This Row],[ch_E_NTOT]])</f>
        <v>#NAME?</v>
      </c>
      <c r="G153" s="521" t="e">
        <f ca="1">gr(charge_entree[[#This Row],[ch_E_PTOT]])</f>
        <v>#NAME?</v>
      </c>
      <c r="H153" s="521" t="e">
        <f ca="1">gr(charge_entree[[#This Row],[ch_S_DBO]])</f>
        <v>#NAME?</v>
      </c>
      <c r="I153" s="521" t="e">
        <f ca="1">gr(charge_entree[[#This Row],[ch_S-DCO]])</f>
        <v>#NAME?</v>
      </c>
      <c r="J153" s="521" t="e">
        <f ca="1">gr(charge_entree[[#This Row],[ch_S_DOC]])</f>
        <v>#NAME?</v>
      </c>
      <c r="K153" s="521" t="e">
        <f ca="1">gr(charge_entree[[#This Row],[ch_S_NH4]])</f>
        <v>#NAME?</v>
      </c>
      <c r="L153" s="521" t="e">
        <f ca="1">gr(charge_entree[[#This Row],[ch_S_NO2]])</f>
        <v>#NAME?</v>
      </c>
      <c r="M153" s="521" t="e">
        <f ca="1">gr(charge_entree[[#This Row],[ch_S_NO3]])</f>
        <v>#NAME?</v>
      </c>
      <c r="N153" s="521" t="e">
        <f ca="1">gr(charge_entree[[#This Row],[ch_S_PTOT]])</f>
        <v>#NAME?</v>
      </c>
      <c r="O153" s="521" t="e">
        <f ca="1">gr(charge_entree[[#This Row],[ch_S_SNDT]])</f>
        <v>#NAME?</v>
      </c>
    </row>
    <row r="154" spans="1:15" x14ac:dyDescent="0.2">
      <c r="A154" s="222">
        <f>calculs!A154</f>
        <v>44705</v>
      </c>
      <c r="B154" s="521" t="e">
        <f ca="1">gr(charge_entree[[#This Row],[ch_E_DBO5]])</f>
        <v>#NAME?</v>
      </c>
      <c r="C154" s="521" t="e">
        <f ca="1">gr(charge_entree[[#This Row],[ch_E_DCO]])</f>
        <v>#NAME?</v>
      </c>
      <c r="D154" s="521" t="e">
        <f ca="1">gr(charge_entree[[#This Row],[ch_E_COT]])</f>
        <v>#NAME?</v>
      </c>
      <c r="E154" s="521" t="e">
        <f ca="1">gr(charge_entree[[#This Row],[ch_E_NH4]])</f>
        <v>#NAME?</v>
      </c>
      <c r="F154" s="521" t="e">
        <f ca="1">gr(charge_entree[[#This Row],[ch_E_NTOT]])</f>
        <v>#NAME?</v>
      </c>
      <c r="G154" s="521" t="e">
        <f ca="1">gr(charge_entree[[#This Row],[ch_E_PTOT]])</f>
        <v>#NAME?</v>
      </c>
      <c r="H154" s="521" t="e">
        <f ca="1">gr(charge_entree[[#This Row],[ch_S_DBO]])</f>
        <v>#NAME?</v>
      </c>
      <c r="I154" s="521" t="e">
        <f ca="1">gr(charge_entree[[#This Row],[ch_S-DCO]])</f>
        <v>#NAME?</v>
      </c>
      <c r="J154" s="521" t="e">
        <f ca="1">gr(charge_entree[[#This Row],[ch_S_DOC]])</f>
        <v>#NAME?</v>
      </c>
      <c r="K154" s="521" t="e">
        <f ca="1">gr(charge_entree[[#This Row],[ch_S_NH4]])</f>
        <v>#NAME?</v>
      </c>
      <c r="L154" s="521" t="e">
        <f ca="1">gr(charge_entree[[#This Row],[ch_S_NO2]])</f>
        <v>#NAME?</v>
      </c>
      <c r="M154" s="521" t="e">
        <f ca="1">gr(charge_entree[[#This Row],[ch_S_NO3]])</f>
        <v>#NAME?</v>
      </c>
      <c r="N154" s="521" t="e">
        <f ca="1">gr(charge_entree[[#This Row],[ch_S_PTOT]])</f>
        <v>#NAME?</v>
      </c>
      <c r="O154" s="521" t="e">
        <f ca="1">gr(charge_entree[[#This Row],[ch_S_SNDT]])</f>
        <v>#NAME?</v>
      </c>
    </row>
    <row r="155" spans="1:15" x14ac:dyDescent="0.2">
      <c r="A155" s="222">
        <f>calculs!A155</f>
        <v>44706</v>
      </c>
      <c r="B155" s="521" t="e">
        <f ca="1">gr(charge_entree[[#This Row],[ch_E_DBO5]])</f>
        <v>#NAME?</v>
      </c>
      <c r="C155" s="521" t="e">
        <f ca="1">gr(charge_entree[[#This Row],[ch_E_DCO]])</f>
        <v>#NAME?</v>
      </c>
      <c r="D155" s="521" t="e">
        <f ca="1">gr(charge_entree[[#This Row],[ch_E_COT]])</f>
        <v>#NAME?</v>
      </c>
      <c r="E155" s="521" t="e">
        <f ca="1">gr(charge_entree[[#This Row],[ch_E_NH4]])</f>
        <v>#NAME?</v>
      </c>
      <c r="F155" s="521" t="e">
        <f ca="1">gr(charge_entree[[#This Row],[ch_E_NTOT]])</f>
        <v>#NAME?</v>
      </c>
      <c r="G155" s="521" t="e">
        <f ca="1">gr(charge_entree[[#This Row],[ch_E_PTOT]])</f>
        <v>#NAME?</v>
      </c>
      <c r="H155" s="521" t="e">
        <f ca="1">gr(charge_entree[[#This Row],[ch_S_DBO]])</f>
        <v>#NAME?</v>
      </c>
      <c r="I155" s="521" t="e">
        <f ca="1">gr(charge_entree[[#This Row],[ch_S-DCO]])</f>
        <v>#NAME?</v>
      </c>
      <c r="J155" s="521" t="e">
        <f ca="1">gr(charge_entree[[#This Row],[ch_S_DOC]])</f>
        <v>#NAME?</v>
      </c>
      <c r="K155" s="521" t="e">
        <f ca="1">gr(charge_entree[[#This Row],[ch_S_NH4]])</f>
        <v>#NAME?</v>
      </c>
      <c r="L155" s="521" t="e">
        <f ca="1">gr(charge_entree[[#This Row],[ch_S_NO2]])</f>
        <v>#NAME?</v>
      </c>
      <c r="M155" s="521" t="e">
        <f ca="1">gr(charge_entree[[#This Row],[ch_S_NO3]])</f>
        <v>#NAME?</v>
      </c>
      <c r="N155" s="521" t="e">
        <f ca="1">gr(charge_entree[[#This Row],[ch_S_PTOT]])</f>
        <v>#NAME?</v>
      </c>
      <c r="O155" s="521" t="e">
        <f ca="1">gr(charge_entree[[#This Row],[ch_S_SNDT]])</f>
        <v>#NAME?</v>
      </c>
    </row>
    <row r="156" spans="1:15" x14ac:dyDescent="0.2">
      <c r="A156" s="222">
        <f>calculs!A156</f>
        <v>44707</v>
      </c>
      <c r="B156" s="521" t="e">
        <f ca="1">gr(charge_entree[[#This Row],[ch_E_DBO5]])</f>
        <v>#NAME?</v>
      </c>
      <c r="C156" s="521" t="e">
        <f ca="1">gr(charge_entree[[#This Row],[ch_E_DCO]])</f>
        <v>#NAME?</v>
      </c>
      <c r="D156" s="521" t="e">
        <f ca="1">gr(charge_entree[[#This Row],[ch_E_COT]])</f>
        <v>#NAME?</v>
      </c>
      <c r="E156" s="521" t="e">
        <f ca="1">gr(charge_entree[[#This Row],[ch_E_NH4]])</f>
        <v>#NAME?</v>
      </c>
      <c r="F156" s="521" t="e">
        <f ca="1">gr(charge_entree[[#This Row],[ch_E_NTOT]])</f>
        <v>#NAME?</v>
      </c>
      <c r="G156" s="521" t="e">
        <f ca="1">gr(charge_entree[[#This Row],[ch_E_PTOT]])</f>
        <v>#NAME?</v>
      </c>
      <c r="H156" s="521" t="e">
        <f ca="1">gr(charge_entree[[#This Row],[ch_S_DBO]])</f>
        <v>#NAME?</v>
      </c>
      <c r="I156" s="521" t="e">
        <f ca="1">gr(charge_entree[[#This Row],[ch_S-DCO]])</f>
        <v>#NAME?</v>
      </c>
      <c r="J156" s="521" t="e">
        <f ca="1">gr(charge_entree[[#This Row],[ch_S_DOC]])</f>
        <v>#NAME?</v>
      </c>
      <c r="K156" s="521" t="e">
        <f ca="1">gr(charge_entree[[#This Row],[ch_S_NH4]])</f>
        <v>#NAME?</v>
      </c>
      <c r="L156" s="521" t="e">
        <f ca="1">gr(charge_entree[[#This Row],[ch_S_NO2]])</f>
        <v>#NAME?</v>
      </c>
      <c r="M156" s="521" t="e">
        <f ca="1">gr(charge_entree[[#This Row],[ch_S_NO3]])</f>
        <v>#NAME?</v>
      </c>
      <c r="N156" s="521" t="e">
        <f ca="1">gr(charge_entree[[#This Row],[ch_S_PTOT]])</f>
        <v>#NAME?</v>
      </c>
      <c r="O156" s="521" t="e">
        <f ca="1">gr(charge_entree[[#This Row],[ch_S_SNDT]])</f>
        <v>#NAME?</v>
      </c>
    </row>
    <row r="157" spans="1:15" x14ac:dyDescent="0.2">
      <c r="A157" s="222">
        <f>calculs!A157</f>
        <v>44708</v>
      </c>
      <c r="B157" s="521" t="e">
        <f ca="1">gr(charge_entree[[#This Row],[ch_E_DBO5]])</f>
        <v>#NAME?</v>
      </c>
      <c r="C157" s="521" t="e">
        <f ca="1">gr(charge_entree[[#This Row],[ch_E_DCO]])</f>
        <v>#NAME?</v>
      </c>
      <c r="D157" s="521" t="e">
        <f ca="1">gr(charge_entree[[#This Row],[ch_E_COT]])</f>
        <v>#NAME?</v>
      </c>
      <c r="E157" s="521" t="e">
        <f ca="1">gr(charge_entree[[#This Row],[ch_E_NH4]])</f>
        <v>#NAME?</v>
      </c>
      <c r="F157" s="521" t="e">
        <f ca="1">gr(charge_entree[[#This Row],[ch_E_NTOT]])</f>
        <v>#NAME?</v>
      </c>
      <c r="G157" s="521" t="e">
        <f ca="1">gr(charge_entree[[#This Row],[ch_E_PTOT]])</f>
        <v>#NAME?</v>
      </c>
      <c r="H157" s="521" t="e">
        <f ca="1">gr(charge_entree[[#This Row],[ch_S_DBO]])</f>
        <v>#NAME?</v>
      </c>
      <c r="I157" s="521" t="e">
        <f ca="1">gr(charge_entree[[#This Row],[ch_S-DCO]])</f>
        <v>#NAME?</v>
      </c>
      <c r="J157" s="521" t="e">
        <f ca="1">gr(charge_entree[[#This Row],[ch_S_DOC]])</f>
        <v>#NAME?</v>
      </c>
      <c r="K157" s="521" t="e">
        <f ca="1">gr(charge_entree[[#This Row],[ch_S_NH4]])</f>
        <v>#NAME?</v>
      </c>
      <c r="L157" s="521" t="e">
        <f ca="1">gr(charge_entree[[#This Row],[ch_S_NO2]])</f>
        <v>#NAME?</v>
      </c>
      <c r="M157" s="521" t="e">
        <f ca="1">gr(charge_entree[[#This Row],[ch_S_NO3]])</f>
        <v>#NAME?</v>
      </c>
      <c r="N157" s="521" t="e">
        <f ca="1">gr(charge_entree[[#This Row],[ch_S_PTOT]])</f>
        <v>#NAME?</v>
      </c>
      <c r="O157" s="521" t="e">
        <f ca="1">gr(charge_entree[[#This Row],[ch_S_SNDT]])</f>
        <v>#NAME?</v>
      </c>
    </row>
    <row r="158" spans="1:15" x14ac:dyDescent="0.2">
      <c r="A158" s="222">
        <f>calculs!A158</f>
        <v>44709</v>
      </c>
      <c r="B158" s="521" t="e">
        <f ca="1">gr(charge_entree[[#This Row],[ch_E_DBO5]])</f>
        <v>#NAME?</v>
      </c>
      <c r="C158" s="521" t="e">
        <f ca="1">gr(charge_entree[[#This Row],[ch_E_DCO]])</f>
        <v>#NAME?</v>
      </c>
      <c r="D158" s="521" t="e">
        <f ca="1">gr(charge_entree[[#This Row],[ch_E_COT]])</f>
        <v>#NAME?</v>
      </c>
      <c r="E158" s="521" t="e">
        <f ca="1">gr(charge_entree[[#This Row],[ch_E_NH4]])</f>
        <v>#NAME?</v>
      </c>
      <c r="F158" s="521" t="e">
        <f ca="1">gr(charge_entree[[#This Row],[ch_E_NTOT]])</f>
        <v>#NAME?</v>
      </c>
      <c r="G158" s="521" t="e">
        <f ca="1">gr(charge_entree[[#This Row],[ch_E_PTOT]])</f>
        <v>#NAME?</v>
      </c>
      <c r="H158" s="521" t="e">
        <f ca="1">gr(charge_entree[[#This Row],[ch_S_DBO]])</f>
        <v>#NAME?</v>
      </c>
      <c r="I158" s="521" t="e">
        <f ca="1">gr(charge_entree[[#This Row],[ch_S-DCO]])</f>
        <v>#NAME?</v>
      </c>
      <c r="J158" s="521" t="e">
        <f ca="1">gr(charge_entree[[#This Row],[ch_S_DOC]])</f>
        <v>#NAME?</v>
      </c>
      <c r="K158" s="521" t="e">
        <f ca="1">gr(charge_entree[[#This Row],[ch_S_NH4]])</f>
        <v>#NAME?</v>
      </c>
      <c r="L158" s="521" t="e">
        <f ca="1">gr(charge_entree[[#This Row],[ch_S_NO2]])</f>
        <v>#NAME?</v>
      </c>
      <c r="M158" s="521" t="e">
        <f ca="1">gr(charge_entree[[#This Row],[ch_S_NO3]])</f>
        <v>#NAME?</v>
      </c>
      <c r="N158" s="521" t="e">
        <f ca="1">gr(charge_entree[[#This Row],[ch_S_PTOT]])</f>
        <v>#NAME?</v>
      </c>
      <c r="O158" s="521" t="e">
        <f ca="1">gr(charge_entree[[#This Row],[ch_S_SNDT]])</f>
        <v>#NAME?</v>
      </c>
    </row>
    <row r="159" spans="1:15" x14ac:dyDescent="0.2">
      <c r="A159" s="222">
        <f>calculs!A159</f>
        <v>44710</v>
      </c>
      <c r="B159" s="521" t="e">
        <f ca="1">gr(charge_entree[[#This Row],[ch_E_DBO5]])</f>
        <v>#NAME?</v>
      </c>
      <c r="C159" s="521" t="e">
        <f ca="1">gr(charge_entree[[#This Row],[ch_E_DCO]])</f>
        <v>#NAME?</v>
      </c>
      <c r="D159" s="521" t="e">
        <f ca="1">gr(charge_entree[[#This Row],[ch_E_COT]])</f>
        <v>#NAME?</v>
      </c>
      <c r="E159" s="521" t="e">
        <f ca="1">gr(charge_entree[[#This Row],[ch_E_NH4]])</f>
        <v>#NAME?</v>
      </c>
      <c r="F159" s="521" t="e">
        <f ca="1">gr(charge_entree[[#This Row],[ch_E_NTOT]])</f>
        <v>#NAME?</v>
      </c>
      <c r="G159" s="521" t="e">
        <f ca="1">gr(charge_entree[[#This Row],[ch_E_PTOT]])</f>
        <v>#NAME?</v>
      </c>
      <c r="H159" s="521" t="e">
        <f ca="1">gr(charge_entree[[#This Row],[ch_S_DBO]])</f>
        <v>#NAME?</v>
      </c>
      <c r="I159" s="521" t="e">
        <f ca="1">gr(charge_entree[[#This Row],[ch_S-DCO]])</f>
        <v>#NAME?</v>
      </c>
      <c r="J159" s="521" t="e">
        <f ca="1">gr(charge_entree[[#This Row],[ch_S_DOC]])</f>
        <v>#NAME?</v>
      </c>
      <c r="K159" s="521" t="e">
        <f ca="1">gr(charge_entree[[#This Row],[ch_S_NH4]])</f>
        <v>#NAME?</v>
      </c>
      <c r="L159" s="521" t="e">
        <f ca="1">gr(charge_entree[[#This Row],[ch_S_NO2]])</f>
        <v>#NAME?</v>
      </c>
      <c r="M159" s="521" t="e">
        <f ca="1">gr(charge_entree[[#This Row],[ch_S_NO3]])</f>
        <v>#NAME?</v>
      </c>
      <c r="N159" s="521" t="e">
        <f ca="1">gr(charge_entree[[#This Row],[ch_S_PTOT]])</f>
        <v>#NAME?</v>
      </c>
      <c r="O159" s="521" t="e">
        <f ca="1">gr(charge_entree[[#This Row],[ch_S_SNDT]])</f>
        <v>#NAME?</v>
      </c>
    </row>
    <row r="160" spans="1:15" x14ac:dyDescent="0.2">
      <c r="A160" s="222">
        <f>calculs!A160</f>
        <v>44711</v>
      </c>
      <c r="B160" s="521" t="e">
        <f ca="1">gr(charge_entree[[#This Row],[ch_E_DBO5]])</f>
        <v>#NAME?</v>
      </c>
      <c r="C160" s="521" t="e">
        <f ca="1">gr(charge_entree[[#This Row],[ch_E_DCO]])</f>
        <v>#NAME?</v>
      </c>
      <c r="D160" s="521" t="e">
        <f ca="1">gr(charge_entree[[#This Row],[ch_E_COT]])</f>
        <v>#NAME?</v>
      </c>
      <c r="E160" s="521" t="e">
        <f ca="1">gr(charge_entree[[#This Row],[ch_E_NH4]])</f>
        <v>#NAME?</v>
      </c>
      <c r="F160" s="521" t="e">
        <f ca="1">gr(charge_entree[[#This Row],[ch_E_NTOT]])</f>
        <v>#NAME?</v>
      </c>
      <c r="G160" s="521" t="e">
        <f ca="1">gr(charge_entree[[#This Row],[ch_E_PTOT]])</f>
        <v>#NAME?</v>
      </c>
      <c r="H160" s="521" t="e">
        <f ca="1">gr(charge_entree[[#This Row],[ch_S_DBO]])</f>
        <v>#NAME?</v>
      </c>
      <c r="I160" s="521" t="e">
        <f ca="1">gr(charge_entree[[#This Row],[ch_S-DCO]])</f>
        <v>#NAME?</v>
      </c>
      <c r="J160" s="521" t="e">
        <f ca="1">gr(charge_entree[[#This Row],[ch_S_DOC]])</f>
        <v>#NAME?</v>
      </c>
      <c r="K160" s="521" t="e">
        <f ca="1">gr(charge_entree[[#This Row],[ch_S_NH4]])</f>
        <v>#NAME?</v>
      </c>
      <c r="L160" s="521" t="e">
        <f ca="1">gr(charge_entree[[#This Row],[ch_S_NO2]])</f>
        <v>#NAME?</v>
      </c>
      <c r="M160" s="521" t="e">
        <f ca="1">gr(charge_entree[[#This Row],[ch_S_NO3]])</f>
        <v>#NAME?</v>
      </c>
      <c r="N160" s="521" t="e">
        <f ca="1">gr(charge_entree[[#This Row],[ch_S_PTOT]])</f>
        <v>#NAME?</v>
      </c>
      <c r="O160" s="521" t="e">
        <f ca="1">gr(charge_entree[[#This Row],[ch_S_SNDT]])</f>
        <v>#NAME?</v>
      </c>
    </row>
    <row r="161" spans="1:15" x14ac:dyDescent="0.2">
      <c r="A161" s="222">
        <f>calculs!A161</f>
        <v>44712</v>
      </c>
      <c r="B161" s="521" t="e">
        <f ca="1">gr(charge_entree[[#This Row],[ch_E_DBO5]])</f>
        <v>#NAME?</v>
      </c>
      <c r="C161" s="521" t="e">
        <f ca="1">gr(charge_entree[[#This Row],[ch_E_DCO]])</f>
        <v>#NAME?</v>
      </c>
      <c r="D161" s="521" t="e">
        <f ca="1">gr(charge_entree[[#This Row],[ch_E_COT]])</f>
        <v>#NAME?</v>
      </c>
      <c r="E161" s="521" t="e">
        <f ca="1">gr(charge_entree[[#This Row],[ch_E_NH4]])</f>
        <v>#NAME?</v>
      </c>
      <c r="F161" s="521" t="e">
        <f ca="1">gr(charge_entree[[#This Row],[ch_E_NTOT]])</f>
        <v>#NAME?</v>
      </c>
      <c r="G161" s="521" t="e">
        <f ca="1">gr(charge_entree[[#This Row],[ch_E_PTOT]])</f>
        <v>#NAME?</v>
      </c>
      <c r="H161" s="521" t="e">
        <f ca="1">gr(charge_entree[[#This Row],[ch_S_DBO]])</f>
        <v>#NAME?</v>
      </c>
      <c r="I161" s="521" t="e">
        <f ca="1">gr(charge_entree[[#This Row],[ch_S-DCO]])</f>
        <v>#NAME?</v>
      </c>
      <c r="J161" s="521" t="e">
        <f ca="1">gr(charge_entree[[#This Row],[ch_S_DOC]])</f>
        <v>#NAME?</v>
      </c>
      <c r="K161" s="521" t="e">
        <f ca="1">gr(charge_entree[[#This Row],[ch_S_NH4]])</f>
        <v>#NAME?</v>
      </c>
      <c r="L161" s="521" t="e">
        <f ca="1">gr(charge_entree[[#This Row],[ch_S_NO2]])</f>
        <v>#NAME?</v>
      </c>
      <c r="M161" s="521" t="e">
        <f ca="1">gr(charge_entree[[#This Row],[ch_S_NO3]])</f>
        <v>#NAME?</v>
      </c>
      <c r="N161" s="521" t="e">
        <f ca="1">gr(charge_entree[[#This Row],[ch_S_PTOT]])</f>
        <v>#NAME?</v>
      </c>
      <c r="O161" s="521" t="e">
        <f ca="1">gr(charge_entree[[#This Row],[ch_S_SNDT]])</f>
        <v>#NAME?</v>
      </c>
    </row>
    <row r="162" spans="1:15" x14ac:dyDescent="0.2">
      <c r="A162" s="222">
        <f>calculs!A162</f>
        <v>44713</v>
      </c>
      <c r="B162" s="521" t="e">
        <f ca="1">gr(charge_entree[[#This Row],[ch_E_DBO5]])</f>
        <v>#NAME?</v>
      </c>
      <c r="C162" s="521" t="e">
        <f ca="1">gr(charge_entree[[#This Row],[ch_E_DCO]])</f>
        <v>#NAME?</v>
      </c>
      <c r="D162" s="521" t="e">
        <f ca="1">gr(charge_entree[[#This Row],[ch_E_COT]])</f>
        <v>#NAME?</v>
      </c>
      <c r="E162" s="521" t="e">
        <f ca="1">gr(charge_entree[[#This Row],[ch_E_NH4]])</f>
        <v>#NAME?</v>
      </c>
      <c r="F162" s="521" t="e">
        <f ca="1">gr(charge_entree[[#This Row],[ch_E_NTOT]])</f>
        <v>#NAME?</v>
      </c>
      <c r="G162" s="521" t="e">
        <f ca="1">gr(charge_entree[[#This Row],[ch_E_PTOT]])</f>
        <v>#NAME?</v>
      </c>
      <c r="H162" s="521" t="e">
        <f ca="1">gr(charge_entree[[#This Row],[ch_S_DBO]])</f>
        <v>#NAME?</v>
      </c>
      <c r="I162" s="521" t="e">
        <f ca="1">gr(charge_entree[[#This Row],[ch_S-DCO]])</f>
        <v>#NAME?</v>
      </c>
      <c r="J162" s="521" t="e">
        <f ca="1">gr(charge_entree[[#This Row],[ch_S_DOC]])</f>
        <v>#NAME?</v>
      </c>
      <c r="K162" s="521" t="e">
        <f ca="1">gr(charge_entree[[#This Row],[ch_S_NH4]])</f>
        <v>#NAME?</v>
      </c>
      <c r="L162" s="521" t="e">
        <f ca="1">gr(charge_entree[[#This Row],[ch_S_NO2]])</f>
        <v>#NAME?</v>
      </c>
      <c r="M162" s="521" t="e">
        <f ca="1">gr(charge_entree[[#This Row],[ch_S_NO3]])</f>
        <v>#NAME?</v>
      </c>
      <c r="N162" s="521" t="e">
        <f ca="1">gr(charge_entree[[#This Row],[ch_S_PTOT]])</f>
        <v>#NAME?</v>
      </c>
      <c r="O162" s="521" t="e">
        <f ca="1">gr(charge_entree[[#This Row],[ch_S_SNDT]])</f>
        <v>#NAME?</v>
      </c>
    </row>
    <row r="163" spans="1:15" x14ac:dyDescent="0.2">
      <c r="A163" s="222">
        <f>calculs!A163</f>
        <v>44714</v>
      </c>
      <c r="B163" s="521" t="e">
        <f ca="1">gr(charge_entree[[#This Row],[ch_E_DBO5]])</f>
        <v>#NAME?</v>
      </c>
      <c r="C163" s="521" t="e">
        <f ca="1">gr(charge_entree[[#This Row],[ch_E_DCO]])</f>
        <v>#NAME?</v>
      </c>
      <c r="D163" s="521" t="e">
        <f ca="1">gr(charge_entree[[#This Row],[ch_E_COT]])</f>
        <v>#NAME?</v>
      </c>
      <c r="E163" s="521" t="e">
        <f ca="1">gr(charge_entree[[#This Row],[ch_E_NH4]])</f>
        <v>#NAME?</v>
      </c>
      <c r="F163" s="521" t="e">
        <f ca="1">gr(charge_entree[[#This Row],[ch_E_NTOT]])</f>
        <v>#NAME?</v>
      </c>
      <c r="G163" s="521" t="e">
        <f ca="1">gr(charge_entree[[#This Row],[ch_E_PTOT]])</f>
        <v>#NAME?</v>
      </c>
      <c r="H163" s="521" t="e">
        <f ca="1">gr(charge_entree[[#This Row],[ch_S_DBO]])</f>
        <v>#NAME?</v>
      </c>
      <c r="I163" s="521" t="e">
        <f ca="1">gr(charge_entree[[#This Row],[ch_S-DCO]])</f>
        <v>#NAME?</v>
      </c>
      <c r="J163" s="521" t="e">
        <f ca="1">gr(charge_entree[[#This Row],[ch_S_DOC]])</f>
        <v>#NAME?</v>
      </c>
      <c r="K163" s="521" t="e">
        <f ca="1">gr(charge_entree[[#This Row],[ch_S_NH4]])</f>
        <v>#NAME?</v>
      </c>
      <c r="L163" s="521" t="e">
        <f ca="1">gr(charge_entree[[#This Row],[ch_S_NO2]])</f>
        <v>#NAME?</v>
      </c>
      <c r="M163" s="521" t="e">
        <f ca="1">gr(charge_entree[[#This Row],[ch_S_NO3]])</f>
        <v>#NAME?</v>
      </c>
      <c r="N163" s="521" t="e">
        <f ca="1">gr(charge_entree[[#This Row],[ch_S_PTOT]])</f>
        <v>#NAME?</v>
      </c>
      <c r="O163" s="521" t="e">
        <f ca="1">gr(charge_entree[[#This Row],[ch_S_SNDT]])</f>
        <v>#NAME?</v>
      </c>
    </row>
    <row r="164" spans="1:15" x14ac:dyDescent="0.2">
      <c r="A164" s="222">
        <f>calculs!A164</f>
        <v>44715</v>
      </c>
      <c r="B164" s="521" t="e">
        <f ca="1">gr(charge_entree[[#This Row],[ch_E_DBO5]])</f>
        <v>#NAME?</v>
      </c>
      <c r="C164" s="521" t="e">
        <f ca="1">gr(charge_entree[[#This Row],[ch_E_DCO]])</f>
        <v>#NAME?</v>
      </c>
      <c r="D164" s="521" t="e">
        <f ca="1">gr(charge_entree[[#This Row],[ch_E_COT]])</f>
        <v>#NAME?</v>
      </c>
      <c r="E164" s="521" t="e">
        <f ca="1">gr(charge_entree[[#This Row],[ch_E_NH4]])</f>
        <v>#NAME?</v>
      </c>
      <c r="F164" s="521" t="e">
        <f ca="1">gr(charge_entree[[#This Row],[ch_E_NTOT]])</f>
        <v>#NAME?</v>
      </c>
      <c r="G164" s="521" t="e">
        <f ca="1">gr(charge_entree[[#This Row],[ch_E_PTOT]])</f>
        <v>#NAME?</v>
      </c>
      <c r="H164" s="521" t="e">
        <f ca="1">gr(charge_entree[[#This Row],[ch_S_DBO]])</f>
        <v>#NAME?</v>
      </c>
      <c r="I164" s="521" t="e">
        <f ca="1">gr(charge_entree[[#This Row],[ch_S-DCO]])</f>
        <v>#NAME?</v>
      </c>
      <c r="J164" s="521" t="e">
        <f ca="1">gr(charge_entree[[#This Row],[ch_S_DOC]])</f>
        <v>#NAME?</v>
      </c>
      <c r="K164" s="521" t="e">
        <f ca="1">gr(charge_entree[[#This Row],[ch_S_NH4]])</f>
        <v>#NAME?</v>
      </c>
      <c r="L164" s="521" t="e">
        <f ca="1">gr(charge_entree[[#This Row],[ch_S_NO2]])</f>
        <v>#NAME?</v>
      </c>
      <c r="M164" s="521" t="e">
        <f ca="1">gr(charge_entree[[#This Row],[ch_S_NO3]])</f>
        <v>#NAME?</v>
      </c>
      <c r="N164" s="521" t="e">
        <f ca="1">gr(charge_entree[[#This Row],[ch_S_PTOT]])</f>
        <v>#NAME?</v>
      </c>
      <c r="O164" s="521" t="e">
        <f ca="1">gr(charge_entree[[#This Row],[ch_S_SNDT]])</f>
        <v>#NAME?</v>
      </c>
    </row>
    <row r="165" spans="1:15" x14ac:dyDescent="0.2">
      <c r="A165" s="222">
        <f>calculs!A165</f>
        <v>44716</v>
      </c>
      <c r="B165" s="521" t="e">
        <f ca="1">gr(charge_entree[[#This Row],[ch_E_DBO5]])</f>
        <v>#NAME?</v>
      </c>
      <c r="C165" s="521" t="e">
        <f ca="1">gr(charge_entree[[#This Row],[ch_E_DCO]])</f>
        <v>#NAME?</v>
      </c>
      <c r="D165" s="521" t="e">
        <f ca="1">gr(charge_entree[[#This Row],[ch_E_COT]])</f>
        <v>#NAME?</v>
      </c>
      <c r="E165" s="521" t="e">
        <f ca="1">gr(charge_entree[[#This Row],[ch_E_NH4]])</f>
        <v>#NAME?</v>
      </c>
      <c r="F165" s="521" t="e">
        <f ca="1">gr(charge_entree[[#This Row],[ch_E_NTOT]])</f>
        <v>#NAME?</v>
      </c>
      <c r="G165" s="521" t="e">
        <f ca="1">gr(charge_entree[[#This Row],[ch_E_PTOT]])</f>
        <v>#NAME?</v>
      </c>
      <c r="H165" s="521" t="e">
        <f ca="1">gr(charge_entree[[#This Row],[ch_S_DBO]])</f>
        <v>#NAME?</v>
      </c>
      <c r="I165" s="521" t="e">
        <f ca="1">gr(charge_entree[[#This Row],[ch_S-DCO]])</f>
        <v>#NAME?</v>
      </c>
      <c r="J165" s="521" t="e">
        <f ca="1">gr(charge_entree[[#This Row],[ch_S_DOC]])</f>
        <v>#NAME?</v>
      </c>
      <c r="K165" s="521" t="e">
        <f ca="1">gr(charge_entree[[#This Row],[ch_S_NH4]])</f>
        <v>#NAME?</v>
      </c>
      <c r="L165" s="521" t="e">
        <f ca="1">gr(charge_entree[[#This Row],[ch_S_NO2]])</f>
        <v>#NAME?</v>
      </c>
      <c r="M165" s="521" t="e">
        <f ca="1">gr(charge_entree[[#This Row],[ch_S_NO3]])</f>
        <v>#NAME?</v>
      </c>
      <c r="N165" s="521" t="e">
        <f ca="1">gr(charge_entree[[#This Row],[ch_S_PTOT]])</f>
        <v>#NAME?</v>
      </c>
      <c r="O165" s="521" t="e">
        <f ca="1">gr(charge_entree[[#This Row],[ch_S_SNDT]])</f>
        <v>#NAME?</v>
      </c>
    </row>
    <row r="166" spans="1:15" x14ac:dyDescent="0.2">
      <c r="A166" s="222">
        <f>calculs!A166</f>
        <v>44717</v>
      </c>
      <c r="B166" s="521" t="e">
        <f ca="1">gr(charge_entree[[#This Row],[ch_E_DBO5]])</f>
        <v>#NAME?</v>
      </c>
      <c r="C166" s="521" t="e">
        <f ca="1">gr(charge_entree[[#This Row],[ch_E_DCO]])</f>
        <v>#NAME?</v>
      </c>
      <c r="D166" s="521" t="e">
        <f ca="1">gr(charge_entree[[#This Row],[ch_E_COT]])</f>
        <v>#NAME?</v>
      </c>
      <c r="E166" s="521" t="e">
        <f ca="1">gr(charge_entree[[#This Row],[ch_E_NH4]])</f>
        <v>#NAME?</v>
      </c>
      <c r="F166" s="521" t="e">
        <f ca="1">gr(charge_entree[[#This Row],[ch_E_NTOT]])</f>
        <v>#NAME?</v>
      </c>
      <c r="G166" s="521" t="e">
        <f ca="1">gr(charge_entree[[#This Row],[ch_E_PTOT]])</f>
        <v>#NAME?</v>
      </c>
      <c r="H166" s="521" t="e">
        <f ca="1">gr(charge_entree[[#This Row],[ch_S_DBO]])</f>
        <v>#NAME?</v>
      </c>
      <c r="I166" s="521" t="e">
        <f ca="1">gr(charge_entree[[#This Row],[ch_S-DCO]])</f>
        <v>#NAME?</v>
      </c>
      <c r="J166" s="521" t="e">
        <f ca="1">gr(charge_entree[[#This Row],[ch_S_DOC]])</f>
        <v>#NAME?</v>
      </c>
      <c r="K166" s="521" t="e">
        <f ca="1">gr(charge_entree[[#This Row],[ch_S_NH4]])</f>
        <v>#NAME?</v>
      </c>
      <c r="L166" s="521" t="e">
        <f ca="1">gr(charge_entree[[#This Row],[ch_S_NO2]])</f>
        <v>#NAME?</v>
      </c>
      <c r="M166" s="521" t="e">
        <f ca="1">gr(charge_entree[[#This Row],[ch_S_NO3]])</f>
        <v>#NAME?</v>
      </c>
      <c r="N166" s="521" t="e">
        <f ca="1">gr(charge_entree[[#This Row],[ch_S_PTOT]])</f>
        <v>#NAME?</v>
      </c>
      <c r="O166" s="521" t="e">
        <f ca="1">gr(charge_entree[[#This Row],[ch_S_SNDT]])</f>
        <v>#NAME?</v>
      </c>
    </row>
    <row r="167" spans="1:15" x14ac:dyDescent="0.2">
      <c r="A167" s="222">
        <f>calculs!A167</f>
        <v>44718</v>
      </c>
      <c r="B167" s="521" t="e">
        <f ca="1">gr(charge_entree[[#This Row],[ch_E_DBO5]])</f>
        <v>#NAME?</v>
      </c>
      <c r="C167" s="521" t="e">
        <f ca="1">gr(charge_entree[[#This Row],[ch_E_DCO]])</f>
        <v>#NAME?</v>
      </c>
      <c r="D167" s="521" t="e">
        <f ca="1">gr(charge_entree[[#This Row],[ch_E_COT]])</f>
        <v>#NAME?</v>
      </c>
      <c r="E167" s="521" t="e">
        <f ca="1">gr(charge_entree[[#This Row],[ch_E_NH4]])</f>
        <v>#NAME?</v>
      </c>
      <c r="F167" s="521" t="e">
        <f ca="1">gr(charge_entree[[#This Row],[ch_E_NTOT]])</f>
        <v>#NAME?</v>
      </c>
      <c r="G167" s="521" t="e">
        <f ca="1">gr(charge_entree[[#This Row],[ch_E_PTOT]])</f>
        <v>#NAME?</v>
      </c>
      <c r="H167" s="521" t="e">
        <f ca="1">gr(charge_entree[[#This Row],[ch_S_DBO]])</f>
        <v>#NAME?</v>
      </c>
      <c r="I167" s="521" t="e">
        <f ca="1">gr(charge_entree[[#This Row],[ch_S-DCO]])</f>
        <v>#NAME?</v>
      </c>
      <c r="J167" s="521" t="e">
        <f ca="1">gr(charge_entree[[#This Row],[ch_S_DOC]])</f>
        <v>#NAME?</v>
      </c>
      <c r="K167" s="521" t="e">
        <f ca="1">gr(charge_entree[[#This Row],[ch_S_NH4]])</f>
        <v>#NAME?</v>
      </c>
      <c r="L167" s="521" t="e">
        <f ca="1">gr(charge_entree[[#This Row],[ch_S_NO2]])</f>
        <v>#NAME?</v>
      </c>
      <c r="M167" s="521" t="e">
        <f ca="1">gr(charge_entree[[#This Row],[ch_S_NO3]])</f>
        <v>#NAME?</v>
      </c>
      <c r="N167" s="521" t="e">
        <f ca="1">gr(charge_entree[[#This Row],[ch_S_PTOT]])</f>
        <v>#NAME?</v>
      </c>
      <c r="O167" s="521" t="e">
        <f ca="1">gr(charge_entree[[#This Row],[ch_S_SNDT]])</f>
        <v>#NAME?</v>
      </c>
    </row>
    <row r="168" spans="1:15" x14ac:dyDescent="0.2">
      <c r="A168" s="222">
        <f>calculs!A168</f>
        <v>44719</v>
      </c>
      <c r="B168" s="521" t="e">
        <f ca="1">gr(charge_entree[[#This Row],[ch_E_DBO5]])</f>
        <v>#NAME?</v>
      </c>
      <c r="C168" s="521" t="e">
        <f ca="1">gr(charge_entree[[#This Row],[ch_E_DCO]])</f>
        <v>#NAME?</v>
      </c>
      <c r="D168" s="521" t="e">
        <f ca="1">gr(charge_entree[[#This Row],[ch_E_COT]])</f>
        <v>#NAME?</v>
      </c>
      <c r="E168" s="521" t="e">
        <f ca="1">gr(charge_entree[[#This Row],[ch_E_NH4]])</f>
        <v>#NAME?</v>
      </c>
      <c r="F168" s="521" t="e">
        <f ca="1">gr(charge_entree[[#This Row],[ch_E_NTOT]])</f>
        <v>#NAME?</v>
      </c>
      <c r="G168" s="521" t="e">
        <f ca="1">gr(charge_entree[[#This Row],[ch_E_PTOT]])</f>
        <v>#NAME?</v>
      </c>
      <c r="H168" s="521" t="e">
        <f ca="1">gr(charge_entree[[#This Row],[ch_S_DBO]])</f>
        <v>#NAME?</v>
      </c>
      <c r="I168" s="521" t="e">
        <f ca="1">gr(charge_entree[[#This Row],[ch_S-DCO]])</f>
        <v>#NAME?</v>
      </c>
      <c r="J168" s="521" t="e">
        <f ca="1">gr(charge_entree[[#This Row],[ch_S_DOC]])</f>
        <v>#NAME?</v>
      </c>
      <c r="K168" s="521" t="e">
        <f ca="1">gr(charge_entree[[#This Row],[ch_S_NH4]])</f>
        <v>#NAME?</v>
      </c>
      <c r="L168" s="521" t="e">
        <f ca="1">gr(charge_entree[[#This Row],[ch_S_NO2]])</f>
        <v>#NAME?</v>
      </c>
      <c r="M168" s="521" t="e">
        <f ca="1">gr(charge_entree[[#This Row],[ch_S_NO3]])</f>
        <v>#NAME?</v>
      </c>
      <c r="N168" s="521" t="e">
        <f ca="1">gr(charge_entree[[#This Row],[ch_S_PTOT]])</f>
        <v>#NAME?</v>
      </c>
      <c r="O168" s="521" t="e">
        <f ca="1">gr(charge_entree[[#This Row],[ch_S_SNDT]])</f>
        <v>#NAME?</v>
      </c>
    </row>
    <row r="169" spans="1:15" x14ac:dyDescent="0.2">
      <c r="A169" s="222">
        <f>calculs!A169</f>
        <v>44720</v>
      </c>
      <c r="B169" s="521" t="e">
        <f ca="1">gr(charge_entree[[#This Row],[ch_E_DBO5]])</f>
        <v>#NAME?</v>
      </c>
      <c r="C169" s="521" t="e">
        <f ca="1">gr(charge_entree[[#This Row],[ch_E_DCO]])</f>
        <v>#NAME?</v>
      </c>
      <c r="D169" s="521" t="e">
        <f ca="1">gr(charge_entree[[#This Row],[ch_E_COT]])</f>
        <v>#NAME?</v>
      </c>
      <c r="E169" s="521" t="e">
        <f ca="1">gr(charge_entree[[#This Row],[ch_E_NH4]])</f>
        <v>#NAME?</v>
      </c>
      <c r="F169" s="521" t="e">
        <f ca="1">gr(charge_entree[[#This Row],[ch_E_NTOT]])</f>
        <v>#NAME?</v>
      </c>
      <c r="G169" s="521" t="e">
        <f ca="1">gr(charge_entree[[#This Row],[ch_E_PTOT]])</f>
        <v>#NAME?</v>
      </c>
      <c r="H169" s="521" t="e">
        <f ca="1">gr(charge_entree[[#This Row],[ch_S_DBO]])</f>
        <v>#NAME?</v>
      </c>
      <c r="I169" s="521" t="e">
        <f ca="1">gr(charge_entree[[#This Row],[ch_S-DCO]])</f>
        <v>#NAME?</v>
      </c>
      <c r="J169" s="521" t="e">
        <f ca="1">gr(charge_entree[[#This Row],[ch_S_DOC]])</f>
        <v>#NAME?</v>
      </c>
      <c r="K169" s="521" t="e">
        <f ca="1">gr(charge_entree[[#This Row],[ch_S_NH4]])</f>
        <v>#NAME?</v>
      </c>
      <c r="L169" s="521" t="e">
        <f ca="1">gr(charge_entree[[#This Row],[ch_S_NO2]])</f>
        <v>#NAME?</v>
      </c>
      <c r="M169" s="521" t="e">
        <f ca="1">gr(charge_entree[[#This Row],[ch_S_NO3]])</f>
        <v>#NAME?</v>
      </c>
      <c r="N169" s="521" t="e">
        <f ca="1">gr(charge_entree[[#This Row],[ch_S_PTOT]])</f>
        <v>#NAME?</v>
      </c>
      <c r="O169" s="521" t="e">
        <f ca="1">gr(charge_entree[[#This Row],[ch_S_SNDT]])</f>
        <v>#NAME?</v>
      </c>
    </row>
    <row r="170" spans="1:15" x14ac:dyDescent="0.2">
      <c r="A170" s="222">
        <f>calculs!A170</f>
        <v>44721</v>
      </c>
      <c r="B170" s="521" t="e">
        <f ca="1">gr(charge_entree[[#This Row],[ch_E_DBO5]])</f>
        <v>#NAME?</v>
      </c>
      <c r="C170" s="521" t="e">
        <f ca="1">gr(charge_entree[[#This Row],[ch_E_DCO]])</f>
        <v>#NAME?</v>
      </c>
      <c r="D170" s="521" t="e">
        <f ca="1">gr(charge_entree[[#This Row],[ch_E_COT]])</f>
        <v>#NAME?</v>
      </c>
      <c r="E170" s="521" t="e">
        <f ca="1">gr(charge_entree[[#This Row],[ch_E_NH4]])</f>
        <v>#NAME?</v>
      </c>
      <c r="F170" s="521" t="e">
        <f ca="1">gr(charge_entree[[#This Row],[ch_E_NTOT]])</f>
        <v>#NAME?</v>
      </c>
      <c r="G170" s="521" t="e">
        <f ca="1">gr(charge_entree[[#This Row],[ch_E_PTOT]])</f>
        <v>#NAME?</v>
      </c>
      <c r="H170" s="521" t="e">
        <f ca="1">gr(charge_entree[[#This Row],[ch_S_DBO]])</f>
        <v>#NAME?</v>
      </c>
      <c r="I170" s="521" t="e">
        <f ca="1">gr(charge_entree[[#This Row],[ch_S-DCO]])</f>
        <v>#NAME?</v>
      </c>
      <c r="J170" s="521" t="e">
        <f ca="1">gr(charge_entree[[#This Row],[ch_S_DOC]])</f>
        <v>#NAME?</v>
      </c>
      <c r="K170" s="521" t="e">
        <f ca="1">gr(charge_entree[[#This Row],[ch_S_NH4]])</f>
        <v>#NAME?</v>
      </c>
      <c r="L170" s="521" t="e">
        <f ca="1">gr(charge_entree[[#This Row],[ch_S_NO2]])</f>
        <v>#NAME?</v>
      </c>
      <c r="M170" s="521" t="e">
        <f ca="1">gr(charge_entree[[#This Row],[ch_S_NO3]])</f>
        <v>#NAME?</v>
      </c>
      <c r="N170" s="521" t="e">
        <f ca="1">gr(charge_entree[[#This Row],[ch_S_PTOT]])</f>
        <v>#NAME?</v>
      </c>
      <c r="O170" s="521" t="e">
        <f ca="1">gr(charge_entree[[#This Row],[ch_S_SNDT]])</f>
        <v>#NAME?</v>
      </c>
    </row>
    <row r="171" spans="1:15" x14ac:dyDescent="0.2">
      <c r="A171" s="222">
        <f>calculs!A171</f>
        <v>44722</v>
      </c>
      <c r="B171" s="521" t="e">
        <f ca="1">gr(charge_entree[[#This Row],[ch_E_DBO5]])</f>
        <v>#NAME?</v>
      </c>
      <c r="C171" s="521" t="e">
        <f ca="1">gr(charge_entree[[#This Row],[ch_E_DCO]])</f>
        <v>#NAME?</v>
      </c>
      <c r="D171" s="521" t="e">
        <f ca="1">gr(charge_entree[[#This Row],[ch_E_COT]])</f>
        <v>#NAME?</v>
      </c>
      <c r="E171" s="521" t="e">
        <f ca="1">gr(charge_entree[[#This Row],[ch_E_NH4]])</f>
        <v>#NAME?</v>
      </c>
      <c r="F171" s="521" t="e">
        <f ca="1">gr(charge_entree[[#This Row],[ch_E_NTOT]])</f>
        <v>#NAME?</v>
      </c>
      <c r="G171" s="521" t="e">
        <f ca="1">gr(charge_entree[[#This Row],[ch_E_PTOT]])</f>
        <v>#NAME?</v>
      </c>
      <c r="H171" s="521" t="e">
        <f ca="1">gr(charge_entree[[#This Row],[ch_S_DBO]])</f>
        <v>#NAME?</v>
      </c>
      <c r="I171" s="521" t="e">
        <f ca="1">gr(charge_entree[[#This Row],[ch_S-DCO]])</f>
        <v>#NAME?</v>
      </c>
      <c r="J171" s="521" t="e">
        <f ca="1">gr(charge_entree[[#This Row],[ch_S_DOC]])</f>
        <v>#NAME?</v>
      </c>
      <c r="K171" s="521" t="e">
        <f ca="1">gr(charge_entree[[#This Row],[ch_S_NH4]])</f>
        <v>#NAME?</v>
      </c>
      <c r="L171" s="521" t="e">
        <f ca="1">gr(charge_entree[[#This Row],[ch_S_NO2]])</f>
        <v>#NAME?</v>
      </c>
      <c r="M171" s="521" t="e">
        <f ca="1">gr(charge_entree[[#This Row],[ch_S_NO3]])</f>
        <v>#NAME?</v>
      </c>
      <c r="N171" s="521" t="e">
        <f ca="1">gr(charge_entree[[#This Row],[ch_S_PTOT]])</f>
        <v>#NAME?</v>
      </c>
      <c r="O171" s="521" t="e">
        <f ca="1">gr(charge_entree[[#This Row],[ch_S_SNDT]])</f>
        <v>#NAME?</v>
      </c>
    </row>
    <row r="172" spans="1:15" x14ac:dyDescent="0.2">
      <c r="A172" s="222">
        <f>calculs!A172</f>
        <v>44723</v>
      </c>
      <c r="B172" s="521" t="e">
        <f ca="1">gr(charge_entree[[#This Row],[ch_E_DBO5]])</f>
        <v>#NAME?</v>
      </c>
      <c r="C172" s="521" t="e">
        <f ca="1">gr(charge_entree[[#This Row],[ch_E_DCO]])</f>
        <v>#NAME?</v>
      </c>
      <c r="D172" s="521" t="e">
        <f ca="1">gr(charge_entree[[#This Row],[ch_E_COT]])</f>
        <v>#NAME?</v>
      </c>
      <c r="E172" s="521" t="e">
        <f ca="1">gr(charge_entree[[#This Row],[ch_E_NH4]])</f>
        <v>#NAME?</v>
      </c>
      <c r="F172" s="521" t="e">
        <f ca="1">gr(charge_entree[[#This Row],[ch_E_NTOT]])</f>
        <v>#NAME?</v>
      </c>
      <c r="G172" s="521" t="e">
        <f ca="1">gr(charge_entree[[#This Row],[ch_E_PTOT]])</f>
        <v>#NAME?</v>
      </c>
      <c r="H172" s="521" t="e">
        <f ca="1">gr(charge_entree[[#This Row],[ch_S_DBO]])</f>
        <v>#NAME?</v>
      </c>
      <c r="I172" s="521" t="e">
        <f ca="1">gr(charge_entree[[#This Row],[ch_S-DCO]])</f>
        <v>#NAME?</v>
      </c>
      <c r="J172" s="521" t="e">
        <f ca="1">gr(charge_entree[[#This Row],[ch_S_DOC]])</f>
        <v>#NAME?</v>
      </c>
      <c r="K172" s="521" t="e">
        <f ca="1">gr(charge_entree[[#This Row],[ch_S_NH4]])</f>
        <v>#NAME?</v>
      </c>
      <c r="L172" s="521" t="e">
        <f ca="1">gr(charge_entree[[#This Row],[ch_S_NO2]])</f>
        <v>#NAME?</v>
      </c>
      <c r="M172" s="521" t="e">
        <f ca="1">gr(charge_entree[[#This Row],[ch_S_NO3]])</f>
        <v>#NAME?</v>
      </c>
      <c r="N172" s="521" t="e">
        <f ca="1">gr(charge_entree[[#This Row],[ch_S_PTOT]])</f>
        <v>#NAME?</v>
      </c>
      <c r="O172" s="521" t="e">
        <f ca="1">gr(charge_entree[[#This Row],[ch_S_SNDT]])</f>
        <v>#NAME?</v>
      </c>
    </row>
    <row r="173" spans="1:15" x14ac:dyDescent="0.2">
      <c r="A173" s="222">
        <f>calculs!A173</f>
        <v>44724</v>
      </c>
      <c r="B173" s="521" t="e">
        <f ca="1">gr(charge_entree[[#This Row],[ch_E_DBO5]])</f>
        <v>#NAME?</v>
      </c>
      <c r="C173" s="521" t="e">
        <f ca="1">gr(charge_entree[[#This Row],[ch_E_DCO]])</f>
        <v>#NAME?</v>
      </c>
      <c r="D173" s="521" t="e">
        <f ca="1">gr(charge_entree[[#This Row],[ch_E_COT]])</f>
        <v>#NAME?</v>
      </c>
      <c r="E173" s="521" t="e">
        <f ca="1">gr(charge_entree[[#This Row],[ch_E_NH4]])</f>
        <v>#NAME?</v>
      </c>
      <c r="F173" s="521" t="e">
        <f ca="1">gr(charge_entree[[#This Row],[ch_E_NTOT]])</f>
        <v>#NAME?</v>
      </c>
      <c r="G173" s="521" t="e">
        <f ca="1">gr(charge_entree[[#This Row],[ch_E_PTOT]])</f>
        <v>#NAME?</v>
      </c>
      <c r="H173" s="521" t="e">
        <f ca="1">gr(charge_entree[[#This Row],[ch_S_DBO]])</f>
        <v>#NAME?</v>
      </c>
      <c r="I173" s="521" t="e">
        <f ca="1">gr(charge_entree[[#This Row],[ch_S-DCO]])</f>
        <v>#NAME?</v>
      </c>
      <c r="J173" s="521" t="e">
        <f ca="1">gr(charge_entree[[#This Row],[ch_S_DOC]])</f>
        <v>#NAME?</v>
      </c>
      <c r="K173" s="521" t="e">
        <f ca="1">gr(charge_entree[[#This Row],[ch_S_NH4]])</f>
        <v>#NAME?</v>
      </c>
      <c r="L173" s="521" t="e">
        <f ca="1">gr(charge_entree[[#This Row],[ch_S_NO2]])</f>
        <v>#NAME?</v>
      </c>
      <c r="M173" s="521" t="e">
        <f ca="1">gr(charge_entree[[#This Row],[ch_S_NO3]])</f>
        <v>#NAME?</v>
      </c>
      <c r="N173" s="521" t="e">
        <f ca="1">gr(charge_entree[[#This Row],[ch_S_PTOT]])</f>
        <v>#NAME?</v>
      </c>
      <c r="O173" s="521" t="e">
        <f ca="1">gr(charge_entree[[#This Row],[ch_S_SNDT]])</f>
        <v>#NAME?</v>
      </c>
    </row>
    <row r="174" spans="1:15" x14ac:dyDescent="0.2">
      <c r="A174" s="222">
        <f>calculs!A174</f>
        <v>44725</v>
      </c>
      <c r="B174" s="521" t="e">
        <f ca="1">gr(charge_entree[[#This Row],[ch_E_DBO5]])</f>
        <v>#NAME?</v>
      </c>
      <c r="C174" s="521" t="e">
        <f ca="1">gr(charge_entree[[#This Row],[ch_E_DCO]])</f>
        <v>#NAME?</v>
      </c>
      <c r="D174" s="521" t="e">
        <f ca="1">gr(charge_entree[[#This Row],[ch_E_COT]])</f>
        <v>#NAME?</v>
      </c>
      <c r="E174" s="521" t="e">
        <f ca="1">gr(charge_entree[[#This Row],[ch_E_NH4]])</f>
        <v>#NAME?</v>
      </c>
      <c r="F174" s="521" t="e">
        <f ca="1">gr(charge_entree[[#This Row],[ch_E_NTOT]])</f>
        <v>#NAME?</v>
      </c>
      <c r="G174" s="521" t="e">
        <f ca="1">gr(charge_entree[[#This Row],[ch_E_PTOT]])</f>
        <v>#NAME?</v>
      </c>
      <c r="H174" s="521" t="e">
        <f ca="1">gr(charge_entree[[#This Row],[ch_S_DBO]])</f>
        <v>#NAME?</v>
      </c>
      <c r="I174" s="521" t="e">
        <f ca="1">gr(charge_entree[[#This Row],[ch_S-DCO]])</f>
        <v>#NAME?</v>
      </c>
      <c r="J174" s="521" t="e">
        <f ca="1">gr(charge_entree[[#This Row],[ch_S_DOC]])</f>
        <v>#NAME?</v>
      </c>
      <c r="K174" s="521" t="e">
        <f ca="1">gr(charge_entree[[#This Row],[ch_S_NH4]])</f>
        <v>#NAME?</v>
      </c>
      <c r="L174" s="521" t="e">
        <f ca="1">gr(charge_entree[[#This Row],[ch_S_NO2]])</f>
        <v>#NAME?</v>
      </c>
      <c r="M174" s="521" t="e">
        <f ca="1">gr(charge_entree[[#This Row],[ch_S_NO3]])</f>
        <v>#NAME?</v>
      </c>
      <c r="N174" s="521" t="e">
        <f ca="1">gr(charge_entree[[#This Row],[ch_S_PTOT]])</f>
        <v>#NAME?</v>
      </c>
      <c r="O174" s="521" t="e">
        <f ca="1">gr(charge_entree[[#This Row],[ch_S_SNDT]])</f>
        <v>#NAME?</v>
      </c>
    </row>
    <row r="175" spans="1:15" x14ac:dyDescent="0.2">
      <c r="A175" s="222">
        <f>calculs!A175</f>
        <v>44726</v>
      </c>
      <c r="B175" s="521" t="e">
        <f ca="1">gr(charge_entree[[#This Row],[ch_E_DBO5]])</f>
        <v>#NAME?</v>
      </c>
      <c r="C175" s="521" t="e">
        <f ca="1">gr(charge_entree[[#This Row],[ch_E_DCO]])</f>
        <v>#NAME?</v>
      </c>
      <c r="D175" s="521" t="e">
        <f ca="1">gr(charge_entree[[#This Row],[ch_E_COT]])</f>
        <v>#NAME?</v>
      </c>
      <c r="E175" s="521" t="e">
        <f ca="1">gr(charge_entree[[#This Row],[ch_E_NH4]])</f>
        <v>#NAME?</v>
      </c>
      <c r="F175" s="521" t="e">
        <f ca="1">gr(charge_entree[[#This Row],[ch_E_NTOT]])</f>
        <v>#NAME?</v>
      </c>
      <c r="G175" s="521" t="e">
        <f ca="1">gr(charge_entree[[#This Row],[ch_E_PTOT]])</f>
        <v>#NAME?</v>
      </c>
      <c r="H175" s="521" t="e">
        <f ca="1">gr(charge_entree[[#This Row],[ch_S_DBO]])</f>
        <v>#NAME?</v>
      </c>
      <c r="I175" s="521" t="e">
        <f ca="1">gr(charge_entree[[#This Row],[ch_S-DCO]])</f>
        <v>#NAME?</v>
      </c>
      <c r="J175" s="521" t="e">
        <f ca="1">gr(charge_entree[[#This Row],[ch_S_DOC]])</f>
        <v>#NAME?</v>
      </c>
      <c r="K175" s="521" t="e">
        <f ca="1">gr(charge_entree[[#This Row],[ch_S_NH4]])</f>
        <v>#NAME?</v>
      </c>
      <c r="L175" s="521" t="e">
        <f ca="1">gr(charge_entree[[#This Row],[ch_S_NO2]])</f>
        <v>#NAME?</v>
      </c>
      <c r="M175" s="521" t="e">
        <f ca="1">gr(charge_entree[[#This Row],[ch_S_NO3]])</f>
        <v>#NAME?</v>
      </c>
      <c r="N175" s="521" t="e">
        <f ca="1">gr(charge_entree[[#This Row],[ch_S_PTOT]])</f>
        <v>#NAME?</v>
      </c>
      <c r="O175" s="521" t="e">
        <f ca="1">gr(charge_entree[[#This Row],[ch_S_SNDT]])</f>
        <v>#NAME?</v>
      </c>
    </row>
    <row r="176" spans="1:15" x14ac:dyDescent="0.2">
      <c r="A176" s="222">
        <f>calculs!A176</f>
        <v>44727</v>
      </c>
      <c r="B176" s="521" t="e">
        <f ca="1">gr(charge_entree[[#This Row],[ch_E_DBO5]])</f>
        <v>#NAME?</v>
      </c>
      <c r="C176" s="521" t="e">
        <f ca="1">gr(charge_entree[[#This Row],[ch_E_DCO]])</f>
        <v>#NAME?</v>
      </c>
      <c r="D176" s="521" t="e">
        <f ca="1">gr(charge_entree[[#This Row],[ch_E_COT]])</f>
        <v>#NAME?</v>
      </c>
      <c r="E176" s="521" t="e">
        <f ca="1">gr(charge_entree[[#This Row],[ch_E_NH4]])</f>
        <v>#NAME?</v>
      </c>
      <c r="F176" s="521" t="e">
        <f ca="1">gr(charge_entree[[#This Row],[ch_E_NTOT]])</f>
        <v>#NAME?</v>
      </c>
      <c r="G176" s="521" t="e">
        <f ca="1">gr(charge_entree[[#This Row],[ch_E_PTOT]])</f>
        <v>#NAME?</v>
      </c>
      <c r="H176" s="521" t="e">
        <f ca="1">gr(charge_entree[[#This Row],[ch_S_DBO]])</f>
        <v>#NAME?</v>
      </c>
      <c r="I176" s="521" t="e">
        <f ca="1">gr(charge_entree[[#This Row],[ch_S-DCO]])</f>
        <v>#NAME?</v>
      </c>
      <c r="J176" s="521" t="e">
        <f ca="1">gr(charge_entree[[#This Row],[ch_S_DOC]])</f>
        <v>#NAME?</v>
      </c>
      <c r="K176" s="521" t="e">
        <f ca="1">gr(charge_entree[[#This Row],[ch_S_NH4]])</f>
        <v>#NAME?</v>
      </c>
      <c r="L176" s="521" t="e">
        <f ca="1">gr(charge_entree[[#This Row],[ch_S_NO2]])</f>
        <v>#NAME?</v>
      </c>
      <c r="M176" s="521" t="e">
        <f ca="1">gr(charge_entree[[#This Row],[ch_S_NO3]])</f>
        <v>#NAME?</v>
      </c>
      <c r="N176" s="521" t="e">
        <f ca="1">gr(charge_entree[[#This Row],[ch_S_PTOT]])</f>
        <v>#NAME?</v>
      </c>
      <c r="O176" s="521" t="e">
        <f ca="1">gr(charge_entree[[#This Row],[ch_S_SNDT]])</f>
        <v>#NAME?</v>
      </c>
    </row>
    <row r="177" spans="1:15" x14ac:dyDescent="0.2">
      <c r="A177" s="222">
        <f>calculs!A177</f>
        <v>44728</v>
      </c>
      <c r="B177" s="521" t="e">
        <f ca="1">gr(charge_entree[[#This Row],[ch_E_DBO5]])</f>
        <v>#NAME?</v>
      </c>
      <c r="C177" s="521" t="e">
        <f ca="1">gr(charge_entree[[#This Row],[ch_E_DCO]])</f>
        <v>#NAME?</v>
      </c>
      <c r="D177" s="521" t="e">
        <f ca="1">gr(charge_entree[[#This Row],[ch_E_COT]])</f>
        <v>#NAME?</v>
      </c>
      <c r="E177" s="521" t="e">
        <f ca="1">gr(charge_entree[[#This Row],[ch_E_NH4]])</f>
        <v>#NAME?</v>
      </c>
      <c r="F177" s="521" t="e">
        <f ca="1">gr(charge_entree[[#This Row],[ch_E_NTOT]])</f>
        <v>#NAME?</v>
      </c>
      <c r="G177" s="521" t="e">
        <f ca="1">gr(charge_entree[[#This Row],[ch_E_PTOT]])</f>
        <v>#NAME?</v>
      </c>
      <c r="H177" s="521" t="e">
        <f ca="1">gr(charge_entree[[#This Row],[ch_S_DBO]])</f>
        <v>#NAME?</v>
      </c>
      <c r="I177" s="521" t="e">
        <f ca="1">gr(charge_entree[[#This Row],[ch_S-DCO]])</f>
        <v>#NAME?</v>
      </c>
      <c r="J177" s="521" t="e">
        <f ca="1">gr(charge_entree[[#This Row],[ch_S_DOC]])</f>
        <v>#NAME?</v>
      </c>
      <c r="K177" s="521" t="e">
        <f ca="1">gr(charge_entree[[#This Row],[ch_S_NH4]])</f>
        <v>#NAME?</v>
      </c>
      <c r="L177" s="521" t="e">
        <f ca="1">gr(charge_entree[[#This Row],[ch_S_NO2]])</f>
        <v>#NAME?</v>
      </c>
      <c r="M177" s="521" t="e">
        <f ca="1">gr(charge_entree[[#This Row],[ch_S_NO3]])</f>
        <v>#NAME?</v>
      </c>
      <c r="N177" s="521" t="e">
        <f ca="1">gr(charge_entree[[#This Row],[ch_S_PTOT]])</f>
        <v>#NAME?</v>
      </c>
      <c r="O177" s="521" t="e">
        <f ca="1">gr(charge_entree[[#This Row],[ch_S_SNDT]])</f>
        <v>#NAME?</v>
      </c>
    </row>
    <row r="178" spans="1:15" x14ac:dyDescent="0.2">
      <c r="A178" s="222">
        <f>calculs!A178</f>
        <v>44729</v>
      </c>
      <c r="B178" s="521" t="e">
        <f ca="1">gr(charge_entree[[#This Row],[ch_E_DBO5]])</f>
        <v>#NAME?</v>
      </c>
      <c r="C178" s="521" t="e">
        <f ca="1">gr(charge_entree[[#This Row],[ch_E_DCO]])</f>
        <v>#NAME?</v>
      </c>
      <c r="D178" s="521" t="e">
        <f ca="1">gr(charge_entree[[#This Row],[ch_E_COT]])</f>
        <v>#NAME?</v>
      </c>
      <c r="E178" s="521" t="e">
        <f ca="1">gr(charge_entree[[#This Row],[ch_E_NH4]])</f>
        <v>#NAME?</v>
      </c>
      <c r="F178" s="521" t="e">
        <f ca="1">gr(charge_entree[[#This Row],[ch_E_NTOT]])</f>
        <v>#NAME?</v>
      </c>
      <c r="G178" s="521" t="e">
        <f ca="1">gr(charge_entree[[#This Row],[ch_E_PTOT]])</f>
        <v>#NAME?</v>
      </c>
      <c r="H178" s="521" t="e">
        <f ca="1">gr(charge_entree[[#This Row],[ch_S_DBO]])</f>
        <v>#NAME?</v>
      </c>
      <c r="I178" s="521" t="e">
        <f ca="1">gr(charge_entree[[#This Row],[ch_S-DCO]])</f>
        <v>#NAME?</v>
      </c>
      <c r="J178" s="521" t="e">
        <f ca="1">gr(charge_entree[[#This Row],[ch_S_DOC]])</f>
        <v>#NAME?</v>
      </c>
      <c r="K178" s="521" t="e">
        <f ca="1">gr(charge_entree[[#This Row],[ch_S_NH4]])</f>
        <v>#NAME?</v>
      </c>
      <c r="L178" s="521" t="e">
        <f ca="1">gr(charge_entree[[#This Row],[ch_S_NO2]])</f>
        <v>#NAME?</v>
      </c>
      <c r="M178" s="521" t="e">
        <f ca="1">gr(charge_entree[[#This Row],[ch_S_NO3]])</f>
        <v>#NAME?</v>
      </c>
      <c r="N178" s="521" t="e">
        <f ca="1">gr(charge_entree[[#This Row],[ch_S_PTOT]])</f>
        <v>#NAME?</v>
      </c>
      <c r="O178" s="521" t="e">
        <f ca="1">gr(charge_entree[[#This Row],[ch_S_SNDT]])</f>
        <v>#NAME?</v>
      </c>
    </row>
    <row r="179" spans="1:15" x14ac:dyDescent="0.2">
      <c r="A179" s="222">
        <f>calculs!A179</f>
        <v>44730</v>
      </c>
      <c r="B179" s="521" t="e">
        <f ca="1">gr(charge_entree[[#This Row],[ch_E_DBO5]])</f>
        <v>#NAME?</v>
      </c>
      <c r="C179" s="521" t="e">
        <f ca="1">gr(charge_entree[[#This Row],[ch_E_DCO]])</f>
        <v>#NAME?</v>
      </c>
      <c r="D179" s="521" t="e">
        <f ca="1">gr(charge_entree[[#This Row],[ch_E_COT]])</f>
        <v>#NAME?</v>
      </c>
      <c r="E179" s="521" t="e">
        <f ca="1">gr(charge_entree[[#This Row],[ch_E_NH4]])</f>
        <v>#NAME?</v>
      </c>
      <c r="F179" s="521" t="e">
        <f ca="1">gr(charge_entree[[#This Row],[ch_E_NTOT]])</f>
        <v>#NAME?</v>
      </c>
      <c r="G179" s="521" t="e">
        <f ca="1">gr(charge_entree[[#This Row],[ch_E_PTOT]])</f>
        <v>#NAME?</v>
      </c>
      <c r="H179" s="521" t="e">
        <f ca="1">gr(charge_entree[[#This Row],[ch_S_DBO]])</f>
        <v>#NAME?</v>
      </c>
      <c r="I179" s="521" t="e">
        <f ca="1">gr(charge_entree[[#This Row],[ch_S-DCO]])</f>
        <v>#NAME?</v>
      </c>
      <c r="J179" s="521" t="e">
        <f ca="1">gr(charge_entree[[#This Row],[ch_S_DOC]])</f>
        <v>#NAME?</v>
      </c>
      <c r="K179" s="521" t="e">
        <f ca="1">gr(charge_entree[[#This Row],[ch_S_NH4]])</f>
        <v>#NAME?</v>
      </c>
      <c r="L179" s="521" t="e">
        <f ca="1">gr(charge_entree[[#This Row],[ch_S_NO2]])</f>
        <v>#NAME?</v>
      </c>
      <c r="M179" s="521" t="e">
        <f ca="1">gr(charge_entree[[#This Row],[ch_S_NO3]])</f>
        <v>#NAME?</v>
      </c>
      <c r="N179" s="521" t="e">
        <f ca="1">gr(charge_entree[[#This Row],[ch_S_PTOT]])</f>
        <v>#NAME?</v>
      </c>
      <c r="O179" s="521" t="e">
        <f ca="1">gr(charge_entree[[#This Row],[ch_S_SNDT]])</f>
        <v>#NAME?</v>
      </c>
    </row>
    <row r="180" spans="1:15" x14ac:dyDescent="0.2">
      <c r="A180" s="222">
        <f>calculs!A180</f>
        <v>44731</v>
      </c>
      <c r="B180" s="521" t="e">
        <f ca="1">gr(charge_entree[[#This Row],[ch_E_DBO5]])</f>
        <v>#NAME?</v>
      </c>
      <c r="C180" s="521" t="e">
        <f ca="1">gr(charge_entree[[#This Row],[ch_E_DCO]])</f>
        <v>#NAME?</v>
      </c>
      <c r="D180" s="521" t="e">
        <f ca="1">gr(charge_entree[[#This Row],[ch_E_COT]])</f>
        <v>#NAME?</v>
      </c>
      <c r="E180" s="521" t="e">
        <f ca="1">gr(charge_entree[[#This Row],[ch_E_NH4]])</f>
        <v>#NAME?</v>
      </c>
      <c r="F180" s="521" t="e">
        <f ca="1">gr(charge_entree[[#This Row],[ch_E_NTOT]])</f>
        <v>#NAME?</v>
      </c>
      <c r="G180" s="521" t="e">
        <f ca="1">gr(charge_entree[[#This Row],[ch_E_PTOT]])</f>
        <v>#NAME?</v>
      </c>
      <c r="H180" s="521" t="e">
        <f ca="1">gr(charge_entree[[#This Row],[ch_S_DBO]])</f>
        <v>#NAME?</v>
      </c>
      <c r="I180" s="521" t="e">
        <f ca="1">gr(charge_entree[[#This Row],[ch_S-DCO]])</f>
        <v>#NAME?</v>
      </c>
      <c r="J180" s="521" t="e">
        <f ca="1">gr(charge_entree[[#This Row],[ch_S_DOC]])</f>
        <v>#NAME?</v>
      </c>
      <c r="K180" s="521" t="e">
        <f ca="1">gr(charge_entree[[#This Row],[ch_S_NH4]])</f>
        <v>#NAME?</v>
      </c>
      <c r="L180" s="521" t="e">
        <f ca="1">gr(charge_entree[[#This Row],[ch_S_NO2]])</f>
        <v>#NAME?</v>
      </c>
      <c r="M180" s="521" t="e">
        <f ca="1">gr(charge_entree[[#This Row],[ch_S_NO3]])</f>
        <v>#NAME?</v>
      </c>
      <c r="N180" s="521" t="e">
        <f ca="1">gr(charge_entree[[#This Row],[ch_S_PTOT]])</f>
        <v>#NAME?</v>
      </c>
      <c r="O180" s="521" t="e">
        <f ca="1">gr(charge_entree[[#This Row],[ch_S_SNDT]])</f>
        <v>#NAME?</v>
      </c>
    </row>
    <row r="181" spans="1:15" x14ac:dyDescent="0.2">
      <c r="A181" s="222">
        <f>calculs!A181</f>
        <v>44732</v>
      </c>
      <c r="B181" s="521" t="e">
        <f ca="1">gr(charge_entree[[#This Row],[ch_E_DBO5]])</f>
        <v>#NAME?</v>
      </c>
      <c r="C181" s="521" t="e">
        <f ca="1">gr(charge_entree[[#This Row],[ch_E_DCO]])</f>
        <v>#NAME?</v>
      </c>
      <c r="D181" s="521" t="e">
        <f ca="1">gr(charge_entree[[#This Row],[ch_E_COT]])</f>
        <v>#NAME?</v>
      </c>
      <c r="E181" s="521" t="e">
        <f ca="1">gr(charge_entree[[#This Row],[ch_E_NH4]])</f>
        <v>#NAME?</v>
      </c>
      <c r="F181" s="521" t="e">
        <f ca="1">gr(charge_entree[[#This Row],[ch_E_NTOT]])</f>
        <v>#NAME?</v>
      </c>
      <c r="G181" s="521" t="e">
        <f ca="1">gr(charge_entree[[#This Row],[ch_E_PTOT]])</f>
        <v>#NAME?</v>
      </c>
      <c r="H181" s="521" t="e">
        <f ca="1">gr(charge_entree[[#This Row],[ch_S_DBO]])</f>
        <v>#NAME?</v>
      </c>
      <c r="I181" s="521" t="e">
        <f ca="1">gr(charge_entree[[#This Row],[ch_S-DCO]])</f>
        <v>#NAME?</v>
      </c>
      <c r="J181" s="521" t="e">
        <f ca="1">gr(charge_entree[[#This Row],[ch_S_DOC]])</f>
        <v>#NAME?</v>
      </c>
      <c r="K181" s="521" t="e">
        <f ca="1">gr(charge_entree[[#This Row],[ch_S_NH4]])</f>
        <v>#NAME?</v>
      </c>
      <c r="L181" s="521" t="e">
        <f ca="1">gr(charge_entree[[#This Row],[ch_S_NO2]])</f>
        <v>#NAME?</v>
      </c>
      <c r="M181" s="521" t="e">
        <f ca="1">gr(charge_entree[[#This Row],[ch_S_NO3]])</f>
        <v>#NAME?</v>
      </c>
      <c r="N181" s="521" t="e">
        <f ca="1">gr(charge_entree[[#This Row],[ch_S_PTOT]])</f>
        <v>#NAME?</v>
      </c>
      <c r="O181" s="521" t="e">
        <f ca="1">gr(charge_entree[[#This Row],[ch_S_SNDT]])</f>
        <v>#NAME?</v>
      </c>
    </row>
    <row r="182" spans="1:15" x14ac:dyDescent="0.2">
      <c r="A182" s="222">
        <f>calculs!A182</f>
        <v>44733</v>
      </c>
      <c r="B182" s="521" t="e">
        <f ca="1">gr(charge_entree[[#This Row],[ch_E_DBO5]])</f>
        <v>#NAME?</v>
      </c>
      <c r="C182" s="521" t="e">
        <f ca="1">gr(charge_entree[[#This Row],[ch_E_DCO]])</f>
        <v>#NAME?</v>
      </c>
      <c r="D182" s="521" t="e">
        <f ca="1">gr(charge_entree[[#This Row],[ch_E_COT]])</f>
        <v>#NAME?</v>
      </c>
      <c r="E182" s="521" t="e">
        <f ca="1">gr(charge_entree[[#This Row],[ch_E_NH4]])</f>
        <v>#NAME?</v>
      </c>
      <c r="F182" s="521" t="e">
        <f ca="1">gr(charge_entree[[#This Row],[ch_E_NTOT]])</f>
        <v>#NAME?</v>
      </c>
      <c r="G182" s="521" t="e">
        <f ca="1">gr(charge_entree[[#This Row],[ch_E_PTOT]])</f>
        <v>#NAME?</v>
      </c>
      <c r="H182" s="521" t="e">
        <f ca="1">gr(charge_entree[[#This Row],[ch_S_DBO]])</f>
        <v>#NAME?</v>
      </c>
      <c r="I182" s="521" t="e">
        <f ca="1">gr(charge_entree[[#This Row],[ch_S-DCO]])</f>
        <v>#NAME?</v>
      </c>
      <c r="J182" s="521" t="e">
        <f ca="1">gr(charge_entree[[#This Row],[ch_S_DOC]])</f>
        <v>#NAME?</v>
      </c>
      <c r="K182" s="521" t="e">
        <f ca="1">gr(charge_entree[[#This Row],[ch_S_NH4]])</f>
        <v>#NAME?</v>
      </c>
      <c r="L182" s="521" t="e">
        <f ca="1">gr(charge_entree[[#This Row],[ch_S_NO2]])</f>
        <v>#NAME?</v>
      </c>
      <c r="M182" s="521" t="e">
        <f ca="1">gr(charge_entree[[#This Row],[ch_S_NO3]])</f>
        <v>#NAME?</v>
      </c>
      <c r="N182" s="521" t="e">
        <f ca="1">gr(charge_entree[[#This Row],[ch_S_PTOT]])</f>
        <v>#NAME?</v>
      </c>
      <c r="O182" s="521" t="e">
        <f ca="1">gr(charge_entree[[#This Row],[ch_S_SNDT]])</f>
        <v>#NAME?</v>
      </c>
    </row>
    <row r="183" spans="1:15" x14ac:dyDescent="0.2">
      <c r="A183" s="222">
        <f>calculs!A183</f>
        <v>44734</v>
      </c>
      <c r="B183" s="521" t="e">
        <f ca="1">gr(charge_entree[[#This Row],[ch_E_DBO5]])</f>
        <v>#NAME?</v>
      </c>
      <c r="C183" s="521" t="e">
        <f ca="1">gr(charge_entree[[#This Row],[ch_E_DCO]])</f>
        <v>#NAME?</v>
      </c>
      <c r="D183" s="521" t="e">
        <f ca="1">gr(charge_entree[[#This Row],[ch_E_COT]])</f>
        <v>#NAME?</v>
      </c>
      <c r="E183" s="521" t="e">
        <f ca="1">gr(charge_entree[[#This Row],[ch_E_NH4]])</f>
        <v>#NAME?</v>
      </c>
      <c r="F183" s="521" t="e">
        <f ca="1">gr(charge_entree[[#This Row],[ch_E_NTOT]])</f>
        <v>#NAME?</v>
      </c>
      <c r="G183" s="521" t="e">
        <f ca="1">gr(charge_entree[[#This Row],[ch_E_PTOT]])</f>
        <v>#NAME?</v>
      </c>
      <c r="H183" s="521" t="e">
        <f ca="1">gr(charge_entree[[#This Row],[ch_S_DBO]])</f>
        <v>#NAME?</v>
      </c>
      <c r="I183" s="521" t="e">
        <f ca="1">gr(charge_entree[[#This Row],[ch_S-DCO]])</f>
        <v>#NAME?</v>
      </c>
      <c r="J183" s="521" t="e">
        <f ca="1">gr(charge_entree[[#This Row],[ch_S_DOC]])</f>
        <v>#NAME?</v>
      </c>
      <c r="K183" s="521" t="e">
        <f ca="1">gr(charge_entree[[#This Row],[ch_S_NH4]])</f>
        <v>#NAME?</v>
      </c>
      <c r="L183" s="521" t="e">
        <f ca="1">gr(charge_entree[[#This Row],[ch_S_NO2]])</f>
        <v>#NAME?</v>
      </c>
      <c r="M183" s="521" t="e">
        <f ca="1">gr(charge_entree[[#This Row],[ch_S_NO3]])</f>
        <v>#NAME?</v>
      </c>
      <c r="N183" s="521" t="e">
        <f ca="1">gr(charge_entree[[#This Row],[ch_S_PTOT]])</f>
        <v>#NAME?</v>
      </c>
      <c r="O183" s="521" t="e">
        <f ca="1">gr(charge_entree[[#This Row],[ch_S_SNDT]])</f>
        <v>#NAME?</v>
      </c>
    </row>
    <row r="184" spans="1:15" x14ac:dyDescent="0.2">
      <c r="A184" s="222">
        <f>calculs!A184</f>
        <v>44735</v>
      </c>
      <c r="B184" s="521" t="e">
        <f ca="1">gr(charge_entree[[#This Row],[ch_E_DBO5]])</f>
        <v>#NAME?</v>
      </c>
      <c r="C184" s="521" t="e">
        <f ca="1">gr(charge_entree[[#This Row],[ch_E_DCO]])</f>
        <v>#NAME?</v>
      </c>
      <c r="D184" s="521" t="e">
        <f ca="1">gr(charge_entree[[#This Row],[ch_E_COT]])</f>
        <v>#NAME?</v>
      </c>
      <c r="E184" s="521" t="e">
        <f ca="1">gr(charge_entree[[#This Row],[ch_E_NH4]])</f>
        <v>#NAME?</v>
      </c>
      <c r="F184" s="521" t="e">
        <f ca="1">gr(charge_entree[[#This Row],[ch_E_NTOT]])</f>
        <v>#NAME?</v>
      </c>
      <c r="G184" s="521" t="e">
        <f ca="1">gr(charge_entree[[#This Row],[ch_E_PTOT]])</f>
        <v>#NAME?</v>
      </c>
      <c r="H184" s="521" t="e">
        <f ca="1">gr(charge_entree[[#This Row],[ch_S_DBO]])</f>
        <v>#NAME?</v>
      </c>
      <c r="I184" s="521" t="e">
        <f ca="1">gr(charge_entree[[#This Row],[ch_S-DCO]])</f>
        <v>#NAME?</v>
      </c>
      <c r="J184" s="521" t="e">
        <f ca="1">gr(charge_entree[[#This Row],[ch_S_DOC]])</f>
        <v>#NAME?</v>
      </c>
      <c r="K184" s="521" t="e">
        <f ca="1">gr(charge_entree[[#This Row],[ch_S_NH4]])</f>
        <v>#NAME?</v>
      </c>
      <c r="L184" s="521" t="e">
        <f ca="1">gr(charge_entree[[#This Row],[ch_S_NO2]])</f>
        <v>#NAME?</v>
      </c>
      <c r="M184" s="521" t="e">
        <f ca="1">gr(charge_entree[[#This Row],[ch_S_NO3]])</f>
        <v>#NAME?</v>
      </c>
      <c r="N184" s="521" t="e">
        <f ca="1">gr(charge_entree[[#This Row],[ch_S_PTOT]])</f>
        <v>#NAME?</v>
      </c>
      <c r="O184" s="521" t="e">
        <f ca="1">gr(charge_entree[[#This Row],[ch_S_SNDT]])</f>
        <v>#NAME?</v>
      </c>
    </row>
    <row r="185" spans="1:15" x14ac:dyDescent="0.2">
      <c r="A185" s="222">
        <f>calculs!A185</f>
        <v>44736</v>
      </c>
      <c r="B185" s="521" t="e">
        <f ca="1">gr(charge_entree[[#This Row],[ch_E_DBO5]])</f>
        <v>#NAME?</v>
      </c>
      <c r="C185" s="521" t="e">
        <f ca="1">gr(charge_entree[[#This Row],[ch_E_DCO]])</f>
        <v>#NAME?</v>
      </c>
      <c r="D185" s="521" t="e">
        <f ca="1">gr(charge_entree[[#This Row],[ch_E_COT]])</f>
        <v>#NAME?</v>
      </c>
      <c r="E185" s="521" t="e">
        <f ca="1">gr(charge_entree[[#This Row],[ch_E_NH4]])</f>
        <v>#NAME?</v>
      </c>
      <c r="F185" s="521" t="e">
        <f ca="1">gr(charge_entree[[#This Row],[ch_E_NTOT]])</f>
        <v>#NAME?</v>
      </c>
      <c r="G185" s="521" t="e">
        <f ca="1">gr(charge_entree[[#This Row],[ch_E_PTOT]])</f>
        <v>#NAME?</v>
      </c>
      <c r="H185" s="521" t="e">
        <f ca="1">gr(charge_entree[[#This Row],[ch_S_DBO]])</f>
        <v>#NAME?</v>
      </c>
      <c r="I185" s="521" t="e">
        <f ca="1">gr(charge_entree[[#This Row],[ch_S-DCO]])</f>
        <v>#NAME?</v>
      </c>
      <c r="J185" s="521" t="e">
        <f ca="1">gr(charge_entree[[#This Row],[ch_S_DOC]])</f>
        <v>#NAME?</v>
      </c>
      <c r="K185" s="521" t="e">
        <f ca="1">gr(charge_entree[[#This Row],[ch_S_NH4]])</f>
        <v>#NAME?</v>
      </c>
      <c r="L185" s="521" t="e">
        <f ca="1">gr(charge_entree[[#This Row],[ch_S_NO2]])</f>
        <v>#NAME?</v>
      </c>
      <c r="M185" s="521" t="e">
        <f ca="1">gr(charge_entree[[#This Row],[ch_S_NO3]])</f>
        <v>#NAME?</v>
      </c>
      <c r="N185" s="521" t="e">
        <f ca="1">gr(charge_entree[[#This Row],[ch_S_PTOT]])</f>
        <v>#NAME?</v>
      </c>
      <c r="O185" s="521" t="e">
        <f ca="1">gr(charge_entree[[#This Row],[ch_S_SNDT]])</f>
        <v>#NAME?</v>
      </c>
    </row>
    <row r="186" spans="1:15" x14ac:dyDescent="0.2">
      <c r="A186" s="222">
        <f>calculs!A186</f>
        <v>44737</v>
      </c>
      <c r="B186" s="521" t="e">
        <f ca="1">gr(charge_entree[[#This Row],[ch_E_DBO5]])</f>
        <v>#NAME?</v>
      </c>
      <c r="C186" s="521" t="e">
        <f ca="1">gr(charge_entree[[#This Row],[ch_E_DCO]])</f>
        <v>#NAME?</v>
      </c>
      <c r="D186" s="521" t="e">
        <f ca="1">gr(charge_entree[[#This Row],[ch_E_COT]])</f>
        <v>#NAME?</v>
      </c>
      <c r="E186" s="521" t="e">
        <f ca="1">gr(charge_entree[[#This Row],[ch_E_NH4]])</f>
        <v>#NAME?</v>
      </c>
      <c r="F186" s="521" t="e">
        <f ca="1">gr(charge_entree[[#This Row],[ch_E_NTOT]])</f>
        <v>#NAME?</v>
      </c>
      <c r="G186" s="521" t="e">
        <f ca="1">gr(charge_entree[[#This Row],[ch_E_PTOT]])</f>
        <v>#NAME?</v>
      </c>
      <c r="H186" s="521" t="e">
        <f ca="1">gr(charge_entree[[#This Row],[ch_S_DBO]])</f>
        <v>#NAME?</v>
      </c>
      <c r="I186" s="521" t="e">
        <f ca="1">gr(charge_entree[[#This Row],[ch_S-DCO]])</f>
        <v>#NAME?</v>
      </c>
      <c r="J186" s="521" t="e">
        <f ca="1">gr(charge_entree[[#This Row],[ch_S_DOC]])</f>
        <v>#NAME?</v>
      </c>
      <c r="K186" s="521" t="e">
        <f ca="1">gr(charge_entree[[#This Row],[ch_S_NH4]])</f>
        <v>#NAME?</v>
      </c>
      <c r="L186" s="521" t="e">
        <f ca="1">gr(charge_entree[[#This Row],[ch_S_NO2]])</f>
        <v>#NAME?</v>
      </c>
      <c r="M186" s="521" t="e">
        <f ca="1">gr(charge_entree[[#This Row],[ch_S_NO3]])</f>
        <v>#NAME?</v>
      </c>
      <c r="N186" s="521" t="e">
        <f ca="1">gr(charge_entree[[#This Row],[ch_S_PTOT]])</f>
        <v>#NAME?</v>
      </c>
      <c r="O186" s="521" t="e">
        <f ca="1">gr(charge_entree[[#This Row],[ch_S_SNDT]])</f>
        <v>#NAME?</v>
      </c>
    </row>
    <row r="187" spans="1:15" x14ac:dyDescent="0.2">
      <c r="A187" s="222">
        <f>calculs!A187</f>
        <v>44738</v>
      </c>
      <c r="B187" s="521" t="e">
        <f ca="1">gr(charge_entree[[#This Row],[ch_E_DBO5]])</f>
        <v>#NAME?</v>
      </c>
      <c r="C187" s="521" t="e">
        <f ca="1">gr(charge_entree[[#This Row],[ch_E_DCO]])</f>
        <v>#NAME?</v>
      </c>
      <c r="D187" s="521" t="e">
        <f ca="1">gr(charge_entree[[#This Row],[ch_E_COT]])</f>
        <v>#NAME?</v>
      </c>
      <c r="E187" s="521" t="e">
        <f ca="1">gr(charge_entree[[#This Row],[ch_E_NH4]])</f>
        <v>#NAME?</v>
      </c>
      <c r="F187" s="521" t="e">
        <f ca="1">gr(charge_entree[[#This Row],[ch_E_NTOT]])</f>
        <v>#NAME?</v>
      </c>
      <c r="G187" s="521" t="e">
        <f ca="1">gr(charge_entree[[#This Row],[ch_E_PTOT]])</f>
        <v>#NAME?</v>
      </c>
      <c r="H187" s="521" t="e">
        <f ca="1">gr(charge_entree[[#This Row],[ch_S_DBO]])</f>
        <v>#NAME?</v>
      </c>
      <c r="I187" s="521" t="e">
        <f ca="1">gr(charge_entree[[#This Row],[ch_S-DCO]])</f>
        <v>#NAME?</v>
      </c>
      <c r="J187" s="521" t="e">
        <f ca="1">gr(charge_entree[[#This Row],[ch_S_DOC]])</f>
        <v>#NAME?</v>
      </c>
      <c r="K187" s="521" t="e">
        <f ca="1">gr(charge_entree[[#This Row],[ch_S_NH4]])</f>
        <v>#NAME?</v>
      </c>
      <c r="L187" s="521" t="e">
        <f ca="1">gr(charge_entree[[#This Row],[ch_S_NO2]])</f>
        <v>#NAME?</v>
      </c>
      <c r="M187" s="521" t="e">
        <f ca="1">gr(charge_entree[[#This Row],[ch_S_NO3]])</f>
        <v>#NAME?</v>
      </c>
      <c r="N187" s="521" t="e">
        <f ca="1">gr(charge_entree[[#This Row],[ch_S_PTOT]])</f>
        <v>#NAME?</v>
      </c>
      <c r="O187" s="521" t="e">
        <f ca="1">gr(charge_entree[[#This Row],[ch_S_SNDT]])</f>
        <v>#NAME?</v>
      </c>
    </row>
    <row r="188" spans="1:15" x14ac:dyDescent="0.2">
      <c r="A188" s="222">
        <f>calculs!A188</f>
        <v>44739</v>
      </c>
      <c r="B188" s="521" t="e">
        <f ca="1">gr(charge_entree[[#This Row],[ch_E_DBO5]])</f>
        <v>#NAME?</v>
      </c>
      <c r="C188" s="521" t="e">
        <f ca="1">gr(charge_entree[[#This Row],[ch_E_DCO]])</f>
        <v>#NAME?</v>
      </c>
      <c r="D188" s="521" t="e">
        <f ca="1">gr(charge_entree[[#This Row],[ch_E_COT]])</f>
        <v>#NAME?</v>
      </c>
      <c r="E188" s="521" t="e">
        <f ca="1">gr(charge_entree[[#This Row],[ch_E_NH4]])</f>
        <v>#NAME?</v>
      </c>
      <c r="F188" s="521" t="e">
        <f ca="1">gr(charge_entree[[#This Row],[ch_E_NTOT]])</f>
        <v>#NAME?</v>
      </c>
      <c r="G188" s="521" t="e">
        <f ca="1">gr(charge_entree[[#This Row],[ch_E_PTOT]])</f>
        <v>#NAME?</v>
      </c>
      <c r="H188" s="521" t="e">
        <f ca="1">gr(charge_entree[[#This Row],[ch_S_DBO]])</f>
        <v>#NAME?</v>
      </c>
      <c r="I188" s="521" t="e">
        <f ca="1">gr(charge_entree[[#This Row],[ch_S-DCO]])</f>
        <v>#NAME?</v>
      </c>
      <c r="J188" s="521" t="e">
        <f ca="1">gr(charge_entree[[#This Row],[ch_S_DOC]])</f>
        <v>#NAME?</v>
      </c>
      <c r="K188" s="521" t="e">
        <f ca="1">gr(charge_entree[[#This Row],[ch_S_NH4]])</f>
        <v>#NAME?</v>
      </c>
      <c r="L188" s="521" t="e">
        <f ca="1">gr(charge_entree[[#This Row],[ch_S_NO2]])</f>
        <v>#NAME?</v>
      </c>
      <c r="M188" s="521" t="e">
        <f ca="1">gr(charge_entree[[#This Row],[ch_S_NO3]])</f>
        <v>#NAME?</v>
      </c>
      <c r="N188" s="521" t="e">
        <f ca="1">gr(charge_entree[[#This Row],[ch_S_PTOT]])</f>
        <v>#NAME?</v>
      </c>
      <c r="O188" s="521" t="e">
        <f ca="1">gr(charge_entree[[#This Row],[ch_S_SNDT]])</f>
        <v>#NAME?</v>
      </c>
    </row>
    <row r="189" spans="1:15" x14ac:dyDescent="0.2">
      <c r="A189" s="222">
        <f>calculs!A189</f>
        <v>44740</v>
      </c>
      <c r="B189" s="521" t="e">
        <f ca="1">gr(charge_entree[[#This Row],[ch_E_DBO5]])</f>
        <v>#NAME?</v>
      </c>
      <c r="C189" s="521" t="e">
        <f ca="1">gr(charge_entree[[#This Row],[ch_E_DCO]])</f>
        <v>#NAME?</v>
      </c>
      <c r="D189" s="521" t="e">
        <f ca="1">gr(charge_entree[[#This Row],[ch_E_COT]])</f>
        <v>#NAME?</v>
      </c>
      <c r="E189" s="521" t="e">
        <f ca="1">gr(charge_entree[[#This Row],[ch_E_NH4]])</f>
        <v>#NAME?</v>
      </c>
      <c r="F189" s="521" t="e">
        <f ca="1">gr(charge_entree[[#This Row],[ch_E_NTOT]])</f>
        <v>#NAME?</v>
      </c>
      <c r="G189" s="521" t="e">
        <f ca="1">gr(charge_entree[[#This Row],[ch_E_PTOT]])</f>
        <v>#NAME?</v>
      </c>
      <c r="H189" s="521" t="e">
        <f ca="1">gr(charge_entree[[#This Row],[ch_S_DBO]])</f>
        <v>#NAME?</v>
      </c>
      <c r="I189" s="521" t="e">
        <f ca="1">gr(charge_entree[[#This Row],[ch_S-DCO]])</f>
        <v>#NAME?</v>
      </c>
      <c r="J189" s="521" t="e">
        <f ca="1">gr(charge_entree[[#This Row],[ch_S_DOC]])</f>
        <v>#NAME?</v>
      </c>
      <c r="K189" s="521" t="e">
        <f ca="1">gr(charge_entree[[#This Row],[ch_S_NH4]])</f>
        <v>#NAME?</v>
      </c>
      <c r="L189" s="521" t="e">
        <f ca="1">gr(charge_entree[[#This Row],[ch_S_NO2]])</f>
        <v>#NAME?</v>
      </c>
      <c r="M189" s="521" t="e">
        <f ca="1">gr(charge_entree[[#This Row],[ch_S_NO3]])</f>
        <v>#NAME?</v>
      </c>
      <c r="N189" s="521" t="e">
        <f ca="1">gr(charge_entree[[#This Row],[ch_S_PTOT]])</f>
        <v>#NAME?</v>
      </c>
      <c r="O189" s="521" t="e">
        <f ca="1">gr(charge_entree[[#This Row],[ch_S_SNDT]])</f>
        <v>#NAME?</v>
      </c>
    </row>
    <row r="190" spans="1:15" x14ac:dyDescent="0.2">
      <c r="A190" s="222">
        <f>calculs!A190</f>
        <v>44741</v>
      </c>
      <c r="B190" s="521" t="e">
        <f ca="1">gr(charge_entree[[#This Row],[ch_E_DBO5]])</f>
        <v>#NAME?</v>
      </c>
      <c r="C190" s="521" t="e">
        <f ca="1">gr(charge_entree[[#This Row],[ch_E_DCO]])</f>
        <v>#NAME?</v>
      </c>
      <c r="D190" s="521" t="e">
        <f ca="1">gr(charge_entree[[#This Row],[ch_E_COT]])</f>
        <v>#NAME?</v>
      </c>
      <c r="E190" s="521" t="e">
        <f ca="1">gr(charge_entree[[#This Row],[ch_E_NH4]])</f>
        <v>#NAME?</v>
      </c>
      <c r="F190" s="521" t="e">
        <f ca="1">gr(charge_entree[[#This Row],[ch_E_NTOT]])</f>
        <v>#NAME?</v>
      </c>
      <c r="G190" s="521" t="e">
        <f ca="1">gr(charge_entree[[#This Row],[ch_E_PTOT]])</f>
        <v>#NAME?</v>
      </c>
      <c r="H190" s="521" t="e">
        <f ca="1">gr(charge_entree[[#This Row],[ch_S_DBO]])</f>
        <v>#NAME?</v>
      </c>
      <c r="I190" s="521" t="e">
        <f ca="1">gr(charge_entree[[#This Row],[ch_S-DCO]])</f>
        <v>#NAME?</v>
      </c>
      <c r="J190" s="521" t="e">
        <f ca="1">gr(charge_entree[[#This Row],[ch_S_DOC]])</f>
        <v>#NAME?</v>
      </c>
      <c r="K190" s="521" t="e">
        <f ca="1">gr(charge_entree[[#This Row],[ch_S_NH4]])</f>
        <v>#NAME?</v>
      </c>
      <c r="L190" s="521" t="e">
        <f ca="1">gr(charge_entree[[#This Row],[ch_S_NO2]])</f>
        <v>#NAME?</v>
      </c>
      <c r="M190" s="521" t="e">
        <f ca="1">gr(charge_entree[[#This Row],[ch_S_NO3]])</f>
        <v>#NAME?</v>
      </c>
      <c r="N190" s="521" t="e">
        <f ca="1">gr(charge_entree[[#This Row],[ch_S_PTOT]])</f>
        <v>#NAME?</v>
      </c>
      <c r="O190" s="521" t="e">
        <f ca="1">gr(charge_entree[[#This Row],[ch_S_SNDT]])</f>
        <v>#NAME?</v>
      </c>
    </row>
    <row r="191" spans="1:15" x14ac:dyDescent="0.2">
      <c r="A191" s="222">
        <f>calculs!A191</f>
        <v>44742</v>
      </c>
      <c r="B191" s="521" t="e">
        <f ca="1">gr(charge_entree[[#This Row],[ch_E_DBO5]])</f>
        <v>#NAME?</v>
      </c>
      <c r="C191" s="521" t="e">
        <f ca="1">gr(charge_entree[[#This Row],[ch_E_DCO]])</f>
        <v>#NAME?</v>
      </c>
      <c r="D191" s="521" t="e">
        <f ca="1">gr(charge_entree[[#This Row],[ch_E_COT]])</f>
        <v>#NAME?</v>
      </c>
      <c r="E191" s="521" t="e">
        <f ca="1">gr(charge_entree[[#This Row],[ch_E_NH4]])</f>
        <v>#NAME?</v>
      </c>
      <c r="F191" s="521" t="e">
        <f ca="1">gr(charge_entree[[#This Row],[ch_E_NTOT]])</f>
        <v>#NAME?</v>
      </c>
      <c r="G191" s="521" t="e">
        <f ca="1">gr(charge_entree[[#This Row],[ch_E_PTOT]])</f>
        <v>#NAME?</v>
      </c>
      <c r="H191" s="521" t="e">
        <f ca="1">gr(charge_entree[[#This Row],[ch_S_DBO]])</f>
        <v>#NAME?</v>
      </c>
      <c r="I191" s="521" t="e">
        <f ca="1">gr(charge_entree[[#This Row],[ch_S-DCO]])</f>
        <v>#NAME?</v>
      </c>
      <c r="J191" s="521" t="e">
        <f ca="1">gr(charge_entree[[#This Row],[ch_S_DOC]])</f>
        <v>#NAME?</v>
      </c>
      <c r="K191" s="521" t="e">
        <f ca="1">gr(charge_entree[[#This Row],[ch_S_NH4]])</f>
        <v>#NAME?</v>
      </c>
      <c r="L191" s="521" t="e">
        <f ca="1">gr(charge_entree[[#This Row],[ch_S_NO2]])</f>
        <v>#NAME?</v>
      </c>
      <c r="M191" s="521" t="e">
        <f ca="1">gr(charge_entree[[#This Row],[ch_S_NO3]])</f>
        <v>#NAME?</v>
      </c>
      <c r="N191" s="521" t="e">
        <f ca="1">gr(charge_entree[[#This Row],[ch_S_PTOT]])</f>
        <v>#NAME?</v>
      </c>
      <c r="O191" s="521" t="e">
        <f ca="1">gr(charge_entree[[#This Row],[ch_S_SNDT]])</f>
        <v>#NAME?</v>
      </c>
    </row>
    <row r="192" spans="1:15" x14ac:dyDescent="0.2">
      <c r="A192" s="222">
        <f>calculs!A192</f>
        <v>44743</v>
      </c>
      <c r="B192" s="521" t="e">
        <f ca="1">gr(charge_entree[[#This Row],[ch_E_DBO5]])</f>
        <v>#NAME?</v>
      </c>
      <c r="C192" s="521" t="e">
        <f ca="1">gr(charge_entree[[#This Row],[ch_E_DCO]])</f>
        <v>#NAME?</v>
      </c>
      <c r="D192" s="521" t="e">
        <f ca="1">gr(charge_entree[[#This Row],[ch_E_COT]])</f>
        <v>#NAME?</v>
      </c>
      <c r="E192" s="521" t="e">
        <f ca="1">gr(charge_entree[[#This Row],[ch_E_NH4]])</f>
        <v>#NAME?</v>
      </c>
      <c r="F192" s="521" t="e">
        <f ca="1">gr(charge_entree[[#This Row],[ch_E_NTOT]])</f>
        <v>#NAME?</v>
      </c>
      <c r="G192" s="521" t="e">
        <f ca="1">gr(charge_entree[[#This Row],[ch_E_PTOT]])</f>
        <v>#NAME?</v>
      </c>
      <c r="H192" s="521" t="e">
        <f ca="1">gr(charge_entree[[#This Row],[ch_S_DBO]])</f>
        <v>#NAME?</v>
      </c>
      <c r="I192" s="521" t="e">
        <f ca="1">gr(charge_entree[[#This Row],[ch_S-DCO]])</f>
        <v>#NAME?</v>
      </c>
      <c r="J192" s="521" t="e">
        <f ca="1">gr(charge_entree[[#This Row],[ch_S_DOC]])</f>
        <v>#NAME?</v>
      </c>
      <c r="K192" s="521" t="e">
        <f ca="1">gr(charge_entree[[#This Row],[ch_S_NH4]])</f>
        <v>#NAME?</v>
      </c>
      <c r="L192" s="521" t="e">
        <f ca="1">gr(charge_entree[[#This Row],[ch_S_NO2]])</f>
        <v>#NAME?</v>
      </c>
      <c r="M192" s="521" t="e">
        <f ca="1">gr(charge_entree[[#This Row],[ch_S_NO3]])</f>
        <v>#NAME?</v>
      </c>
      <c r="N192" s="521" t="e">
        <f ca="1">gr(charge_entree[[#This Row],[ch_S_PTOT]])</f>
        <v>#NAME?</v>
      </c>
      <c r="O192" s="521" t="e">
        <f ca="1">gr(charge_entree[[#This Row],[ch_S_SNDT]])</f>
        <v>#NAME?</v>
      </c>
    </row>
    <row r="193" spans="1:15" x14ac:dyDescent="0.2">
      <c r="A193" s="222">
        <f>calculs!A193</f>
        <v>44744</v>
      </c>
      <c r="B193" s="521" t="e">
        <f ca="1">gr(charge_entree[[#This Row],[ch_E_DBO5]])</f>
        <v>#NAME?</v>
      </c>
      <c r="C193" s="521" t="e">
        <f ca="1">gr(charge_entree[[#This Row],[ch_E_DCO]])</f>
        <v>#NAME?</v>
      </c>
      <c r="D193" s="521" t="e">
        <f ca="1">gr(charge_entree[[#This Row],[ch_E_COT]])</f>
        <v>#NAME?</v>
      </c>
      <c r="E193" s="521" t="e">
        <f ca="1">gr(charge_entree[[#This Row],[ch_E_NH4]])</f>
        <v>#NAME?</v>
      </c>
      <c r="F193" s="521" t="e">
        <f ca="1">gr(charge_entree[[#This Row],[ch_E_NTOT]])</f>
        <v>#NAME?</v>
      </c>
      <c r="G193" s="521" t="e">
        <f ca="1">gr(charge_entree[[#This Row],[ch_E_PTOT]])</f>
        <v>#NAME?</v>
      </c>
      <c r="H193" s="521" t="e">
        <f ca="1">gr(charge_entree[[#This Row],[ch_S_DBO]])</f>
        <v>#NAME?</v>
      </c>
      <c r="I193" s="521" t="e">
        <f ca="1">gr(charge_entree[[#This Row],[ch_S-DCO]])</f>
        <v>#NAME?</v>
      </c>
      <c r="J193" s="521" t="e">
        <f ca="1">gr(charge_entree[[#This Row],[ch_S_DOC]])</f>
        <v>#NAME?</v>
      </c>
      <c r="K193" s="521" t="e">
        <f ca="1">gr(charge_entree[[#This Row],[ch_S_NH4]])</f>
        <v>#NAME?</v>
      </c>
      <c r="L193" s="521" t="e">
        <f ca="1">gr(charge_entree[[#This Row],[ch_S_NO2]])</f>
        <v>#NAME?</v>
      </c>
      <c r="M193" s="521" t="e">
        <f ca="1">gr(charge_entree[[#This Row],[ch_S_NO3]])</f>
        <v>#NAME?</v>
      </c>
      <c r="N193" s="521" t="e">
        <f ca="1">gr(charge_entree[[#This Row],[ch_S_PTOT]])</f>
        <v>#NAME?</v>
      </c>
      <c r="O193" s="521" t="e">
        <f ca="1">gr(charge_entree[[#This Row],[ch_S_SNDT]])</f>
        <v>#NAME?</v>
      </c>
    </row>
    <row r="194" spans="1:15" x14ac:dyDescent="0.2">
      <c r="A194" s="222">
        <f>calculs!A194</f>
        <v>44745</v>
      </c>
      <c r="B194" s="521" t="e">
        <f ca="1">gr(charge_entree[[#This Row],[ch_E_DBO5]])</f>
        <v>#NAME?</v>
      </c>
      <c r="C194" s="521" t="e">
        <f ca="1">gr(charge_entree[[#This Row],[ch_E_DCO]])</f>
        <v>#NAME?</v>
      </c>
      <c r="D194" s="521" t="e">
        <f ca="1">gr(charge_entree[[#This Row],[ch_E_COT]])</f>
        <v>#NAME?</v>
      </c>
      <c r="E194" s="521" t="e">
        <f ca="1">gr(charge_entree[[#This Row],[ch_E_NH4]])</f>
        <v>#NAME?</v>
      </c>
      <c r="F194" s="521" t="e">
        <f ca="1">gr(charge_entree[[#This Row],[ch_E_NTOT]])</f>
        <v>#NAME?</v>
      </c>
      <c r="G194" s="521" t="e">
        <f ca="1">gr(charge_entree[[#This Row],[ch_E_PTOT]])</f>
        <v>#NAME?</v>
      </c>
      <c r="H194" s="521" t="e">
        <f ca="1">gr(charge_entree[[#This Row],[ch_S_DBO]])</f>
        <v>#NAME?</v>
      </c>
      <c r="I194" s="521" t="e">
        <f ca="1">gr(charge_entree[[#This Row],[ch_S-DCO]])</f>
        <v>#NAME?</v>
      </c>
      <c r="J194" s="521" t="e">
        <f ca="1">gr(charge_entree[[#This Row],[ch_S_DOC]])</f>
        <v>#NAME?</v>
      </c>
      <c r="K194" s="521" t="e">
        <f ca="1">gr(charge_entree[[#This Row],[ch_S_NH4]])</f>
        <v>#NAME?</v>
      </c>
      <c r="L194" s="521" t="e">
        <f ca="1">gr(charge_entree[[#This Row],[ch_S_NO2]])</f>
        <v>#NAME?</v>
      </c>
      <c r="M194" s="521" t="e">
        <f ca="1">gr(charge_entree[[#This Row],[ch_S_NO3]])</f>
        <v>#NAME?</v>
      </c>
      <c r="N194" s="521" t="e">
        <f ca="1">gr(charge_entree[[#This Row],[ch_S_PTOT]])</f>
        <v>#NAME?</v>
      </c>
      <c r="O194" s="521" t="e">
        <f ca="1">gr(charge_entree[[#This Row],[ch_S_SNDT]])</f>
        <v>#NAME?</v>
      </c>
    </row>
    <row r="195" spans="1:15" x14ac:dyDescent="0.2">
      <c r="A195" s="222">
        <f>calculs!A195</f>
        <v>44746</v>
      </c>
      <c r="B195" s="521" t="e">
        <f ca="1">gr(charge_entree[[#This Row],[ch_E_DBO5]])</f>
        <v>#NAME?</v>
      </c>
      <c r="C195" s="521" t="e">
        <f ca="1">gr(charge_entree[[#This Row],[ch_E_DCO]])</f>
        <v>#NAME?</v>
      </c>
      <c r="D195" s="521" t="e">
        <f ca="1">gr(charge_entree[[#This Row],[ch_E_COT]])</f>
        <v>#NAME?</v>
      </c>
      <c r="E195" s="521" t="e">
        <f ca="1">gr(charge_entree[[#This Row],[ch_E_NH4]])</f>
        <v>#NAME?</v>
      </c>
      <c r="F195" s="521" t="e">
        <f ca="1">gr(charge_entree[[#This Row],[ch_E_NTOT]])</f>
        <v>#NAME?</v>
      </c>
      <c r="G195" s="521" t="e">
        <f ca="1">gr(charge_entree[[#This Row],[ch_E_PTOT]])</f>
        <v>#NAME?</v>
      </c>
      <c r="H195" s="521" t="e">
        <f ca="1">gr(charge_entree[[#This Row],[ch_S_DBO]])</f>
        <v>#NAME?</v>
      </c>
      <c r="I195" s="521" t="e">
        <f ca="1">gr(charge_entree[[#This Row],[ch_S-DCO]])</f>
        <v>#NAME?</v>
      </c>
      <c r="J195" s="521" t="e">
        <f ca="1">gr(charge_entree[[#This Row],[ch_S_DOC]])</f>
        <v>#NAME?</v>
      </c>
      <c r="K195" s="521" t="e">
        <f ca="1">gr(charge_entree[[#This Row],[ch_S_NH4]])</f>
        <v>#NAME?</v>
      </c>
      <c r="L195" s="521" t="e">
        <f ca="1">gr(charge_entree[[#This Row],[ch_S_NO2]])</f>
        <v>#NAME?</v>
      </c>
      <c r="M195" s="521" t="e">
        <f ca="1">gr(charge_entree[[#This Row],[ch_S_NO3]])</f>
        <v>#NAME?</v>
      </c>
      <c r="N195" s="521" t="e">
        <f ca="1">gr(charge_entree[[#This Row],[ch_S_PTOT]])</f>
        <v>#NAME?</v>
      </c>
      <c r="O195" s="521" t="e">
        <f ca="1">gr(charge_entree[[#This Row],[ch_S_SNDT]])</f>
        <v>#NAME?</v>
      </c>
    </row>
    <row r="196" spans="1:15" x14ac:dyDescent="0.2">
      <c r="A196" s="222">
        <f>calculs!A196</f>
        <v>44747</v>
      </c>
      <c r="B196" s="521" t="e">
        <f ca="1">gr(charge_entree[[#This Row],[ch_E_DBO5]])</f>
        <v>#NAME?</v>
      </c>
      <c r="C196" s="521" t="e">
        <f ca="1">gr(charge_entree[[#This Row],[ch_E_DCO]])</f>
        <v>#NAME?</v>
      </c>
      <c r="D196" s="521" t="e">
        <f ca="1">gr(charge_entree[[#This Row],[ch_E_COT]])</f>
        <v>#NAME?</v>
      </c>
      <c r="E196" s="521" t="e">
        <f ca="1">gr(charge_entree[[#This Row],[ch_E_NH4]])</f>
        <v>#NAME?</v>
      </c>
      <c r="F196" s="521" t="e">
        <f ca="1">gr(charge_entree[[#This Row],[ch_E_NTOT]])</f>
        <v>#NAME?</v>
      </c>
      <c r="G196" s="521" t="e">
        <f ca="1">gr(charge_entree[[#This Row],[ch_E_PTOT]])</f>
        <v>#NAME?</v>
      </c>
      <c r="H196" s="521" t="e">
        <f ca="1">gr(charge_entree[[#This Row],[ch_S_DBO]])</f>
        <v>#NAME?</v>
      </c>
      <c r="I196" s="521" t="e">
        <f ca="1">gr(charge_entree[[#This Row],[ch_S-DCO]])</f>
        <v>#NAME?</v>
      </c>
      <c r="J196" s="521" t="e">
        <f ca="1">gr(charge_entree[[#This Row],[ch_S_DOC]])</f>
        <v>#NAME?</v>
      </c>
      <c r="K196" s="521" t="e">
        <f ca="1">gr(charge_entree[[#This Row],[ch_S_NH4]])</f>
        <v>#NAME?</v>
      </c>
      <c r="L196" s="521" t="e">
        <f ca="1">gr(charge_entree[[#This Row],[ch_S_NO2]])</f>
        <v>#NAME?</v>
      </c>
      <c r="M196" s="521" t="e">
        <f ca="1">gr(charge_entree[[#This Row],[ch_S_NO3]])</f>
        <v>#NAME?</v>
      </c>
      <c r="N196" s="521" t="e">
        <f ca="1">gr(charge_entree[[#This Row],[ch_S_PTOT]])</f>
        <v>#NAME?</v>
      </c>
      <c r="O196" s="521" t="e">
        <f ca="1">gr(charge_entree[[#This Row],[ch_S_SNDT]])</f>
        <v>#NAME?</v>
      </c>
    </row>
    <row r="197" spans="1:15" x14ac:dyDescent="0.2">
      <c r="A197" s="222">
        <f>calculs!A197</f>
        <v>44748</v>
      </c>
      <c r="B197" s="521" t="e">
        <f ca="1">gr(charge_entree[[#This Row],[ch_E_DBO5]])</f>
        <v>#NAME?</v>
      </c>
      <c r="C197" s="521" t="e">
        <f ca="1">gr(charge_entree[[#This Row],[ch_E_DCO]])</f>
        <v>#NAME?</v>
      </c>
      <c r="D197" s="521" t="e">
        <f ca="1">gr(charge_entree[[#This Row],[ch_E_COT]])</f>
        <v>#NAME?</v>
      </c>
      <c r="E197" s="521" t="e">
        <f ca="1">gr(charge_entree[[#This Row],[ch_E_NH4]])</f>
        <v>#NAME?</v>
      </c>
      <c r="F197" s="521" t="e">
        <f ca="1">gr(charge_entree[[#This Row],[ch_E_NTOT]])</f>
        <v>#NAME?</v>
      </c>
      <c r="G197" s="521" t="e">
        <f ca="1">gr(charge_entree[[#This Row],[ch_E_PTOT]])</f>
        <v>#NAME?</v>
      </c>
      <c r="H197" s="521" t="e">
        <f ca="1">gr(charge_entree[[#This Row],[ch_S_DBO]])</f>
        <v>#NAME?</v>
      </c>
      <c r="I197" s="521" t="e">
        <f ca="1">gr(charge_entree[[#This Row],[ch_S-DCO]])</f>
        <v>#NAME?</v>
      </c>
      <c r="J197" s="521" t="e">
        <f ca="1">gr(charge_entree[[#This Row],[ch_S_DOC]])</f>
        <v>#NAME?</v>
      </c>
      <c r="K197" s="521" t="e">
        <f ca="1">gr(charge_entree[[#This Row],[ch_S_NH4]])</f>
        <v>#NAME?</v>
      </c>
      <c r="L197" s="521" t="e">
        <f ca="1">gr(charge_entree[[#This Row],[ch_S_NO2]])</f>
        <v>#NAME?</v>
      </c>
      <c r="M197" s="521" t="e">
        <f ca="1">gr(charge_entree[[#This Row],[ch_S_NO3]])</f>
        <v>#NAME?</v>
      </c>
      <c r="N197" s="521" t="e">
        <f ca="1">gr(charge_entree[[#This Row],[ch_S_PTOT]])</f>
        <v>#NAME?</v>
      </c>
      <c r="O197" s="521" t="e">
        <f ca="1">gr(charge_entree[[#This Row],[ch_S_SNDT]])</f>
        <v>#NAME?</v>
      </c>
    </row>
    <row r="198" spans="1:15" x14ac:dyDescent="0.2">
      <c r="A198" s="222">
        <f>calculs!A198</f>
        <v>44749</v>
      </c>
      <c r="B198" s="521" t="e">
        <f ca="1">gr(charge_entree[[#This Row],[ch_E_DBO5]])</f>
        <v>#NAME?</v>
      </c>
      <c r="C198" s="521" t="e">
        <f ca="1">gr(charge_entree[[#This Row],[ch_E_DCO]])</f>
        <v>#NAME?</v>
      </c>
      <c r="D198" s="521" t="e">
        <f ca="1">gr(charge_entree[[#This Row],[ch_E_COT]])</f>
        <v>#NAME?</v>
      </c>
      <c r="E198" s="521" t="e">
        <f ca="1">gr(charge_entree[[#This Row],[ch_E_NH4]])</f>
        <v>#NAME?</v>
      </c>
      <c r="F198" s="521" t="e">
        <f ca="1">gr(charge_entree[[#This Row],[ch_E_NTOT]])</f>
        <v>#NAME?</v>
      </c>
      <c r="G198" s="521" t="e">
        <f ca="1">gr(charge_entree[[#This Row],[ch_E_PTOT]])</f>
        <v>#NAME?</v>
      </c>
      <c r="H198" s="521" t="e">
        <f ca="1">gr(charge_entree[[#This Row],[ch_S_DBO]])</f>
        <v>#NAME?</v>
      </c>
      <c r="I198" s="521" t="e">
        <f ca="1">gr(charge_entree[[#This Row],[ch_S-DCO]])</f>
        <v>#NAME?</v>
      </c>
      <c r="J198" s="521" t="e">
        <f ca="1">gr(charge_entree[[#This Row],[ch_S_DOC]])</f>
        <v>#NAME?</v>
      </c>
      <c r="K198" s="521" t="e">
        <f ca="1">gr(charge_entree[[#This Row],[ch_S_NH4]])</f>
        <v>#NAME?</v>
      </c>
      <c r="L198" s="521" t="e">
        <f ca="1">gr(charge_entree[[#This Row],[ch_S_NO2]])</f>
        <v>#NAME?</v>
      </c>
      <c r="M198" s="521" t="e">
        <f ca="1">gr(charge_entree[[#This Row],[ch_S_NO3]])</f>
        <v>#NAME?</v>
      </c>
      <c r="N198" s="521" t="e">
        <f ca="1">gr(charge_entree[[#This Row],[ch_S_PTOT]])</f>
        <v>#NAME?</v>
      </c>
      <c r="O198" s="521" t="e">
        <f ca="1">gr(charge_entree[[#This Row],[ch_S_SNDT]])</f>
        <v>#NAME?</v>
      </c>
    </row>
    <row r="199" spans="1:15" x14ac:dyDescent="0.2">
      <c r="A199" s="222">
        <f>calculs!A199</f>
        <v>44750</v>
      </c>
      <c r="B199" s="521" t="e">
        <f ca="1">gr(charge_entree[[#This Row],[ch_E_DBO5]])</f>
        <v>#NAME?</v>
      </c>
      <c r="C199" s="521" t="e">
        <f ca="1">gr(charge_entree[[#This Row],[ch_E_DCO]])</f>
        <v>#NAME?</v>
      </c>
      <c r="D199" s="521" t="e">
        <f ca="1">gr(charge_entree[[#This Row],[ch_E_COT]])</f>
        <v>#NAME?</v>
      </c>
      <c r="E199" s="521" t="e">
        <f ca="1">gr(charge_entree[[#This Row],[ch_E_NH4]])</f>
        <v>#NAME?</v>
      </c>
      <c r="F199" s="521" t="e">
        <f ca="1">gr(charge_entree[[#This Row],[ch_E_NTOT]])</f>
        <v>#NAME?</v>
      </c>
      <c r="G199" s="521" t="e">
        <f ca="1">gr(charge_entree[[#This Row],[ch_E_PTOT]])</f>
        <v>#NAME?</v>
      </c>
      <c r="H199" s="521" t="e">
        <f ca="1">gr(charge_entree[[#This Row],[ch_S_DBO]])</f>
        <v>#NAME?</v>
      </c>
      <c r="I199" s="521" t="e">
        <f ca="1">gr(charge_entree[[#This Row],[ch_S-DCO]])</f>
        <v>#NAME?</v>
      </c>
      <c r="J199" s="521" t="e">
        <f ca="1">gr(charge_entree[[#This Row],[ch_S_DOC]])</f>
        <v>#NAME?</v>
      </c>
      <c r="K199" s="521" t="e">
        <f ca="1">gr(charge_entree[[#This Row],[ch_S_NH4]])</f>
        <v>#NAME?</v>
      </c>
      <c r="L199" s="521" t="e">
        <f ca="1">gr(charge_entree[[#This Row],[ch_S_NO2]])</f>
        <v>#NAME?</v>
      </c>
      <c r="M199" s="521" t="e">
        <f ca="1">gr(charge_entree[[#This Row],[ch_S_NO3]])</f>
        <v>#NAME?</v>
      </c>
      <c r="N199" s="521" t="e">
        <f ca="1">gr(charge_entree[[#This Row],[ch_S_PTOT]])</f>
        <v>#NAME?</v>
      </c>
      <c r="O199" s="521" t="e">
        <f ca="1">gr(charge_entree[[#This Row],[ch_S_SNDT]])</f>
        <v>#NAME?</v>
      </c>
    </row>
    <row r="200" spans="1:15" x14ac:dyDescent="0.2">
      <c r="A200" s="222">
        <f>calculs!A200</f>
        <v>44751</v>
      </c>
      <c r="B200" s="521" t="e">
        <f ca="1">gr(charge_entree[[#This Row],[ch_E_DBO5]])</f>
        <v>#NAME?</v>
      </c>
      <c r="C200" s="521" t="e">
        <f ca="1">gr(charge_entree[[#This Row],[ch_E_DCO]])</f>
        <v>#NAME?</v>
      </c>
      <c r="D200" s="521" t="e">
        <f ca="1">gr(charge_entree[[#This Row],[ch_E_COT]])</f>
        <v>#NAME?</v>
      </c>
      <c r="E200" s="521" t="e">
        <f ca="1">gr(charge_entree[[#This Row],[ch_E_NH4]])</f>
        <v>#NAME?</v>
      </c>
      <c r="F200" s="521" t="e">
        <f ca="1">gr(charge_entree[[#This Row],[ch_E_NTOT]])</f>
        <v>#NAME?</v>
      </c>
      <c r="G200" s="521" t="e">
        <f ca="1">gr(charge_entree[[#This Row],[ch_E_PTOT]])</f>
        <v>#NAME?</v>
      </c>
      <c r="H200" s="521" t="e">
        <f ca="1">gr(charge_entree[[#This Row],[ch_S_DBO]])</f>
        <v>#NAME?</v>
      </c>
      <c r="I200" s="521" t="e">
        <f ca="1">gr(charge_entree[[#This Row],[ch_S-DCO]])</f>
        <v>#NAME?</v>
      </c>
      <c r="J200" s="521" t="e">
        <f ca="1">gr(charge_entree[[#This Row],[ch_S_DOC]])</f>
        <v>#NAME?</v>
      </c>
      <c r="K200" s="521" t="e">
        <f ca="1">gr(charge_entree[[#This Row],[ch_S_NH4]])</f>
        <v>#NAME?</v>
      </c>
      <c r="L200" s="521" t="e">
        <f ca="1">gr(charge_entree[[#This Row],[ch_S_NO2]])</f>
        <v>#NAME?</v>
      </c>
      <c r="M200" s="521" t="e">
        <f ca="1">gr(charge_entree[[#This Row],[ch_S_NO3]])</f>
        <v>#NAME?</v>
      </c>
      <c r="N200" s="521" t="e">
        <f ca="1">gr(charge_entree[[#This Row],[ch_S_PTOT]])</f>
        <v>#NAME?</v>
      </c>
      <c r="O200" s="521" t="e">
        <f ca="1">gr(charge_entree[[#This Row],[ch_S_SNDT]])</f>
        <v>#NAME?</v>
      </c>
    </row>
    <row r="201" spans="1:15" x14ac:dyDescent="0.2">
      <c r="A201" s="222">
        <f>calculs!A201</f>
        <v>44752</v>
      </c>
      <c r="B201" s="521" t="e">
        <f ca="1">gr(charge_entree[[#This Row],[ch_E_DBO5]])</f>
        <v>#NAME?</v>
      </c>
      <c r="C201" s="521" t="e">
        <f ca="1">gr(charge_entree[[#This Row],[ch_E_DCO]])</f>
        <v>#NAME?</v>
      </c>
      <c r="D201" s="521" t="e">
        <f ca="1">gr(charge_entree[[#This Row],[ch_E_COT]])</f>
        <v>#NAME?</v>
      </c>
      <c r="E201" s="521" t="e">
        <f ca="1">gr(charge_entree[[#This Row],[ch_E_NH4]])</f>
        <v>#NAME?</v>
      </c>
      <c r="F201" s="521" t="e">
        <f ca="1">gr(charge_entree[[#This Row],[ch_E_NTOT]])</f>
        <v>#NAME?</v>
      </c>
      <c r="G201" s="521" t="e">
        <f ca="1">gr(charge_entree[[#This Row],[ch_E_PTOT]])</f>
        <v>#NAME?</v>
      </c>
      <c r="H201" s="521" t="e">
        <f ca="1">gr(charge_entree[[#This Row],[ch_S_DBO]])</f>
        <v>#NAME?</v>
      </c>
      <c r="I201" s="521" t="e">
        <f ca="1">gr(charge_entree[[#This Row],[ch_S-DCO]])</f>
        <v>#NAME?</v>
      </c>
      <c r="J201" s="521" t="e">
        <f ca="1">gr(charge_entree[[#This Row],[ch_S_DOC]])</f>
        <v>#NAME?</v>
      </c>
      <c r="K201" s="521" t="e">
        <f ca="1">gr(charge_entree[[#This Row],[ch_S_NH4]])</f>
        <v>#NAME?</v>
      </c>
      <c r="L201" s="521" t="e">
        <f ca="1">gr(charge_entree[[#This Row],[ch_S_NO2]])</f>
        <v>#NAME?</v>
      </c>
      <c r="M201" s="521" t="e">
        <f ca="1">gr(charge_entree[[#This Row],[ch_S_NO3]])</f>
        <v>#NAME?</v>
      </c>
      <c r="N201" s="521" t="e">
        <f ca="1">gr(charge_entree[[#This Row],[ch_S_PTOT]])</f>
        <v>#NAME?</v>
      </c>
      <c r="O201" s="521" t="e">
        <f ca="1">gr(charge_entree[[#This Row],[ch_S_SNDT]])</f>
        <v>#NAME?</v>
      </c>
    </row>
    <row r="202" spans="1:15" x14ac:dyDescent="0.2">
      <c r="A202" s="222">
        <f>calculs!A202</f>
        <v>44753</v>
      </c>
      <c r="B202" s="521" t="e">
        <f ca="1">gr(charge_entree[[#This Row],[ch_E_DBO5]])</f>
        <v>#NAME?</v>
      </c>
      <c r="C202" s="521" t="e">
        <f ca="1">gr(charge_entree[[#This Row],[ch_E_DCO]])</f>
        <v>#NAME?</v>
      </c>
      <c r="D202" s="521" t="e">
        <f ca="1">gr(charge_entree[[#This Row],[ch_E_COT]])</f>
        <v>#NAME?</v>
      </c>
      <c r="E202" s="521" t="e">
        <f ca="1">gr(charge_entree[[#This Row],[ch_E_NH4]])</f>
        <v>#NAME?</v>
      </c>
      <c r="F202" s="521" t="e">
        <f ca="1">gr(charge_entree[[#This Row],[ch_E_NTOT]])</f>
        <v>#NAME?</v>
      </c>
      <c r="G202" s="521" t="e">
        <f ca="1">gr(charge_entree[[#This Row],[ch_E_PTOT]])</f>
        <v>#NAME?</v>
      </c>
      <c r="H202" s="521" t="e">
        <f ca="1">gr(charge_entree[[#This Row],[ch_S_DBO]])</f>
        <v>#NAME?</v>
      </c>
      <c r="I202" s="521" t="e">
        <f ca="1">gr(charge_entree[[#This Row],[ch_S-DCO]])</f>
        <v>#NAME?</v>
      </c>
      <c r="J202" s="521" t="e">
        <f ca="1">gr(charge_entree[[#This Row],[ch_S_DOC]])</f>
        <v>#NAME?</v>
      </c>
      <c r="K202" s="521" t="e">
        <f ca="1">gr(charge_entree[[#This Row],[ch_S_NH4]])</f>
        <v>#NAME?</v>
      </c>
      <c r="L202" s="521" t="e">
        <f ca="1">gr(charge_entree[[#This Row],[ch_S_NO2]])</f>
        <v>#NAME?</v>
      </c>
      <c r="M202" s="521" t="e">
        <f ca="1">gr(charge_entree[[#This Row],[ch_S_NO3]])</f>
        <v>#NAME?</v>
      </c>
      <c r="N202" s="521" t="e">
        <f ca="1">gr(charge_entree[[#This Row],[ch_S_PTOT]])</f>
        <v>#NAME?</v>
      </c>
      <c r="O202" s="521" t="e">
        <f ca="1">gr(charge_entree[[#This Row],[ch_S_SNDT]])</f>
        <v>#NAME?</v>
      </c>
    </row>
    <row r="203" spans="1:15" x14ac:dyDescent="0.2">
      <c r="A203" s="222">
        <f>calculs!A203</f>
        <v>44754</v>
      </c>
      <c r="B203" s="521" t="e">
        <f ca="1">gr(charge_entree[[#This Row],[ch_E_DBO5]])</f>
        <v>#NAME?</v>
      </c>
      <c r="C203" s="521" t="e">
        <f ca="1">gr(charge_entree[[#This Row],[ch_E_DCO]])</f>
        <v>#NAME?</v>
      </c>
      <c r="D203" s="521" t="e">
        <f ca="1">gr(charge_entree[[#This Row],[ch_E_COT]])</f>
        <v>#NAME?</v>
      </c>
      <c r="E203" s="521" t="e">
        <f ca="1">gr(charge_entree[[#This Row],[ch_E_NH4]])</f>
        <v>#NAME?</v>
      </c>
      <c r="F203" s="521" t="e">
        <f ca="1">gr(charge_entree[[#This Row],[ch_E_NTOT]])</f>
        <v>#NAME?</v>
      </c>
      <c r="G203" s="521" t="e">
        <f ca="1">gr(charge_entree[[#This Row],[ch_E_PTOT]])</f>
        <v>#NAME?</v>
      </c>
      <c r="H203" s="521" t="e">
        <f ca="1">gr(charge_entree[[#This Row],[ch_S_DBO]])</f>
        <v>#NAME?</v>
      </c>
      <c r="I203" s="521" t="e">
        <f ca="1">gr(charge_entree[[#This Row],[ch_S-DCO]])</f>
        <v>#NAME?</v>
      </c>
      <c r="J203" s="521" t="e">
        <f ca="1">gr(charge_entree[[#This Row],[ch_S_DOC]])</f>
        <v>#NAME?</v>
      </c>
      <c r="K203" s="521" t="e">
        <f ca="1">gr(charge_entree[[#This Row],[ch_S_NH4]])</f>
        <v>#NAME?</v>
      </c>
      <c r="L203" s="521" t="e">
        <f ca="1">gr(charge_entree[[#This Row],[ch_S_NO2]])</f>
        <v>#NAME?</v>
      </c>
      <c r="M203" s="521" t="e">
        <f ca="1">gr(charge_entree[[#This Row],[ch_S_NO3]])</f>
        <v>#NAME?</v>
      </c>
      <c r="N203" s="521" t="e">
        <f ca="1">gr(charge_entree[[#This Row],[ch_S_PTOT]])</f>
        <v>#NAME?</v>
      </c>
      <c r="O203" s="521" t="e">
        <f ca="1">gr(charge_entree[[#This Row],[ch_S_SNDT]])</f>
        <v>#NAME?</v>
      </c>
    </row>
    <row r="204" spans="1:15" x14ac:dyDescent="0.2">
      <c r="A204" s="222">
        <f>calculs!A204</f>
        <v>44755</v>
      </c>
      <c r="B204" s="521" t="e">
        <f ca="1">gr(charge_entree[[#This Row],[ch_E_DBO5]])</f>
        <v>#NAME?</v>
      </c>
      <c r="C204" s="521" t="e">
        <f ca="1">gr(charge_entree[[#This Row],[ch_E_DCO]])</f>
        <v>#NAME?</v>
      </c>
      <c r="D204" s="521" t="e">
        <f ca="1">gr(charge_entree[[#This Row],[ch_E_COT]])</f>
        <v>#NAME?</v>
      </c>
      <c r="E204" s="521" t="e">
        <f ca="1">gr(charge_entree[[#This Row],[ch_E_NH4]])</f>
        <v>#NAME?</v>
      </c>
      <c r="F204" s="521" t="e">
        <f ca="1">gr(charge_entree[[#This Row],[ch_E_NTOT]])</f>
        <v>#NAME?</v>
      </c>
      <c r="G204" s="521" t="e">
        <f ca="1">gr(charge_entree[[#This Row],[ch_E_PTOT]])</f>
        <v>#NAME?</v>
      </c>
      <c r="H204" s="521" t="e">
        <f ca="1">gr(charge_entree[[#This Row],[ch_S_DBO]])</f>
        <v>#NAME?</v>
      </c>
      <c r="I204" s="521" t="e">
        <f ca="1">gr(charge_entree[[#This Row],[ch_S-DCO]])</f>
        <v>#NAME?</v>
      </c>
      <c r="J204" s="521" t="e">
        <f ca="1">gr(charge_entree[[#This Row],[ch_S_DOC]])</f>
        <v>#NAME?</v>
      </c>
      <c r="K204" s="521" t="e">
        <f ca="1">gr(charge_entree[[#This Row],[ch_S_NH4]])</f>
        <v>#NAME?</v>
      </c>
      <c r="L204" s="521" t="e">
        <f ca="1">gr(charge_entree[[#This Row],[ch_S_NO2]])</f>
        <v>#NAME?</v>
      </c>
      <c r="M204" s="521" t="e">
        <f ca="1">gr(charge_entree[[#This Row],[ch_S_NO3]])</f>
        <v>#NAME?</v>
      </c>
      <c r="N204" s="521" t="e">
        <f ca="1">gr(charge_entree[[#This Row],[ch_S_PTOT]])</f>
        <v>#NAME?</v>
      </c>
      <c r="O204" s="521" t="e">
        <f ca="1">gr(charge_entree[[#This Row],[ch_S_SNDT]])</f>
        <v>#NAME?</v>
      </c>
    </row>
    <row r="205" spans="1:15" x14ac:dyDescent="0.2">
      <c r="A205" s="222">
        <f>calculs!A205</f>
        <v>44756</v>
      </c>
      <c r="B205" s="521" t="e">
        <f ca="1">gr(charge_entree[[#This Row],[ch_E_DBO5]])</f>
        <v>#NAME?</v>
      </c>
      <c r="C205" s="521" t="e">
        <f ca="1">gr(charge_entree[[#This Row],[ch_E_DCO]])</f>
        <v>#NAME?</v>
      </c>
      <c r="D205" s="521" t="e">
        <f ca="1">gr(charge_entree[[#This Row],[ch_E_COT]])</f>
        <v>#NAME?</v>
      </c>
      <c r="E205" s="521" t="e">
        <f ca="1">gr(charge_entree[[#This Row],[ch_E_NH4]])</f>
        <v>#NAME?</v>
      </c>
      <c r="F205" s="521" t="e">
        <f ca="1">gr(charge_entree[[#This Row],[ch_E_NTOT]])</f>
        <v>#NAME?</v>
      </c>
      <c r="G205" s="521" t="e">
        <f ca="1">gr(charge_entree[[#This Row],[ch_E_PTOT]])</f>
        <v>#NAME?</v>
      </c>
      <c r="H205" s="521" t="e">
        <f ca="1">gr(charge_entree[[#This Row],[ch_S_DBO]])</f>
        <v>#NAME?</v>
      </c>
      <c r="I205" s="521" t="e">
        <f ca="1">gr(charge_entree[[#This Row],[ch_S-DCO]])</f>
        <v>#NAME?</v>
      </c>
      <c r="J205" s="521" t="e">
        <f ca="1">gr(charge_entree[[#This Row],[ch_S_DOC]])</f>
        <v>#NAME?</v>
      </c>
      <c r="K205" s="521" t="e">
        <f ca="1">gr(charge_entree[[#This Row],[ch_S_NH4]])</f>
        <v>#NAME?</v>
      </c>
      <c r="L205" s="521" t="e">
        <f ca="1">gr(charge_entree[[#This Row],[ch_S_NO2]])</f>
        <v>#NAME?</v>
      </c>
      <c r="M205" s="521" t="e">
        <f ca="1">gr(charge_entree[[#This Row],[ch_S_NO3]])</f>
        <v>#NAME?</v>
      </c>
      <c r="N205" s="521" t="e">
        <f ca="1">gr(charge_entree[[#This Row],[ch_S_PTOT]])</f>
        <v>#NAME?</v>
      </c>
      <c r="O205" s="521" t="e">
        <f ca="1">gr(charge_entree[[#This Row],[ch_S_SNDT]])</f>
        <v>#NAME?</v>
      </c>
    </row>
    <row r="206" spans="1:15" x14ac:dyDescent="0.2">
      <c r="A206" s="222">
        <f>calculs!A206</f>
        <v>44757</v>
      </c>
      <c r="B206" s="521" t="e">
        <f ca="1">gr(charge_entree[[#This Row],[ch_E_DBO5]])</f>
        <v>#NAME?</v>
      </c>
      <c r="C206" s="521" t="e">
        <f ca="1">gr(charge_entree[[#This Row],[ch_E_DCO]])</f>
        <v>#NAME?</v>
      </c>
      <c r="D206" s="521" t="e">
        <f ca="1">gr(charge_entree[[#This Row],[ch_E_COT]])</f>
        <v>#NAME?</v>
      </c>
      <c r="E206" s="521" t="e">
        <f ca="1">gr(charge_entree[[#This Row],[ch_E_NH4]])</f>
        <v>#NAME?</v>
      </c>
      <c r="F206" s="521" t="e">
        <f ca="1">gr(charge_entree[[#This Row],[ch_E_NTOT]])</f>
        <v>#NAME?</v>
      </c>
      <c r="G206" s="521" t="e">
        <f ca="1">gr(charge_entree[[#This Row],[ch_E_PTOT]])</f>
        <v>#NAME?</v>
      </c>
      <c r="H206" s="521" t="e">
        <f ca="1">gr(charge_entree[[#This Row],[ch_S_DBO]])</f>
        <v>#NAME?</v>
      </c>
      <c r="I206" s="521" t="e">
        <f ca="1">gr(charge_entree[[#This Row],[ch_S-DCO]])</f>
        <v>#NAME?</v>
      </c>
      <c r="J206" s="521" t="e">
        <f ca="1">gr(charge_entree[[#This Row],[ch_S_DOC]])</f>
        <v>#NAME?</v>
      </c>
      <c r="K206" s="521" t="e">
        <f ca="1">gr(charge_entree[[#This Row],[ch_S_NH4]])</f>
        <v>#NAME?</v>
      </c>
      <c r="L206" s="521" t="e">
        <f ca="1">gr(charge_entree[[#This Row],[ch_S_NO2]])</f>
        <v>#NAME?</v>
      </c>
      <c r="M206" s="521" t="e">
        <f ca="1">gr(charge_entree[[#This Row],[ch_S_NO3]])</f>
        <v>#NAME?</v>
      </c>
      <c r="N206" s="521" t="e">
        <f ca="1">gr(charge_entree[[#This Row],[ch_S_PTOT]])</f>
        <v>#NAME?</v>
      </c>
      <c r="O206" s="521" t="e">
        <f ca="1">gr(charge_entree[[#This Row],[ch_S_SNDT]])</f>
        <v>#NAME?</v>
      </c>
    </row>
    <row r="207" spans="1:15" x14ac:dyDescent="0.2">
      <c r="A207" s="222">
        <f>calculs!A207</f>
        <v>44758</v>
      </c>
      <c r="B207" s="521" t="e">
        <f ca="1">gr(charge_entree[[#This Row],[ch_E_DBO5]])</f>
        <v>#NAME?</v>
      </c>
      <c r="C207" s="521" t="e">
        <f ca="1">gr(charge_entree[[#This Row],[ch_E_DCO]])</f>
        <v>#NAME?</v>
      </c>
      <c r="D207" s="521" t="e">
        <f ca="1">gr(charge_entree[[#This Row],[ch_E_COT]])</f>
        <v>#NAME?</v>
      </c>
      <c r="E207" s="521" t="e">
        <f ca="1">gr(charge_entree[[#This Row],[ch_E_NH4]])</f>
        <v>#NAME?</v>
      </c>
      <c r="F207" s="521" t="e">
        <f ca="1">gr(charge_entree[[#This Row],[ch_E_NTOT]])</f>
        <v>#NAME?</v>
      </c>
      <c r="G207" s="521" t="e">
        <f ca="1">gr(charge_entree[[#This Row],[ch_E_PTOT]])</f>
        <v>#NAME?</v>
      </c>
      <c r="H207" s="521" t="e">
        <f ca="1">gr(charge_entree[[#This Row],[ch_S_DBO]])</f>
        <v>#NAME?</v>
      </c>
      <c r="I207" s="521" t="e">
        <f ca="1">gr(charge_entree[[#This Row],[ch_S-DCO]])</f>
        <v>#NAME?</v>
      </c>
      <c r="J207" s="521" t="e">
        <f ca="1">gr(charge_entree[[#This Row],[ch_S_DOC]])</f>
        <v>#NAME?</v>
      </c>
      <c r="K207" s="521" t="e">
        <f ca="1">gr(charge_entree[[#This Row],[ch_S_NH4]])</f>
        <v>#NAME?</v>
      </c>
      <c r="L207" s="521" t="e">
        <f ca="1">gr(charge_entree[[#This Row],[ch_S_NO2]])</f>
        <v>#NAME?</v>
      </c>
      <c r="M207" s="521" t="e">
        <f ca="1">gr(charge_entree[[#This Row],[ch_S_NO3]])</f>
        <v>#NAME?</v>
      </c>
      <c r="N207" s="521" t="e">
        <f ca="1">gr(charge_entree[[#This Row],[ch_S_PTOT]])</f>
        <v>#NAME?</v>
      </c>
      <c r="O207" s="521" t="e">
        <f ca="1">gr(charge_entree[[#This Row],[ch_S_SNDT]])</f>
        <v>#NAME?</v>
      </c>
    </row>
    <row r="208" spans="1:15" x14ac:dyDescent="0.2">
      <c r="A208" s="222">
        <f>calculs!A208</f>
        <v>44759</v>
      </c>
      <c r="B208" s="521" t="e">
        <f ca="1">gr(charge_entree[[#This Row],[ch_E_DBO5]])</f>
        <v>#NAME?</v>
      </c>
      <c r="C208" s="521" t="e">
        <f ca="1">gr(charge_entree[[#This Row],[ch_E_DCO]])</f>
        <v>#NAME?</v>
      </c>
      <c r="D208" s="521" t="e">
        <f ca="1">gr(charge_entree[[#This Row],[ch_E_COT]])</f>
        <v>#NAME?</v>
      </c>
      <c r="E208" s="521" t="e">
        <f ca="1">gr(charge_entree[[#This Row],[ch_E_NH4]])</f>
        <v>#NAME?</v>
      </c>
      <c r="F208" s="521" t="e">
        <f ca="1">gr(charge_entree[[#This Row],[ch_E_NTOT]])</f>
        <v>#NAME?</v>
      </c>
      <c r="G208" s="521" t="e">
        <f ca="1">gr(charge_entree[[#This Row],[ch_E_PTOT]])</f>
        <v>#NAME?</v>
      </c>
      <c r="H208" s="521" t="e">
        <f ca="1">gr(charge_entree[[#This Row],[ch_S_DBO]])</f>
        <v>#NAME?</v>
      </c>
      <c r="I208" s="521" t="e">
        <f ca="1">gr(charge_entree[[#This Row],[ch_S-DCO]])</f>
        <v>#NAME?</v>
      </c>
      <c r="J208" s="521" t="e">
        <f ca="1">gr(charge_entree[[#This Row],[ch_S_DOC]])</f>
        <v>#NAME?</v>
      </c>
      <c r="K208" s="521" t="e">
        <f ca="1">gr(charge_entree[[#This Row],[ch_S_NH4]])</f>
        <v>#NAME?</v>
      </c>
      <c r="L208" s="521" t="e">
        <f ca="1">gr(charge_entree[[#This Row],[ch_S_NO2]])</f>
        <v>#NAME?</v>
      </c>
      <c r="M208" s="521" t="e">
        <f ca="1">gr(charge_entree[[#This Row],[ch_S_NO3]])</f>
        <v>#NAME?</v>
      </c>
      <c r="N208" s="521" t="e">
        <f ca="1">gr(charge_entree[[#This Row],[ch_S_PTOT]])</f>
        <v>#NAME?</v>
      </c>
      <c r="O208" s="521" t="e">
        <f ca="1">gr(charge_entree[[#This Row],[ch_S_SNDT]])</f>
        <v>#NAME?</v>
      </c>
    </row>
    <row r="209" spans="1:15" x14ac:dyDescent="0.2">
      <c r="A209" s="222">
        <f>calculs!A209</f>
        <v>44760</v>
      </c>
      <c r="B209" s="521" t="e">
        <f ca="1">gr(charge_entree[[#This Row],[ch_E_DBO5]])</f>
        <v>#NAME?</v>
      </c>
      <c r="C209" s="521" t="e">
        <f ca="1">gr(charge_entree[[#This Row],[ch_E_DCO]])</f>
        <v>#NAME?</v>
      </c>
      <c r="D209" s="521" t="e">
        <f ca="1">gr(charge_entree[[#This Row],[ch_E_COT]])</f>
        <v>#NAME?</v>
      </c>
      <c r="E209" s="521" t="e">
        <f ca="1">gr(charge_entree[[#This Row],[ch_E_NH4]])</f>
        <v>#NAME?</v>
      </c>
      <c r="F209" s="521" t="e">
        <f ca="1">gr(charge_entree[[#This Row],[ch_E_NTOT]])</f>
        <v>#NAME?</v>
      </c>
      <c r="G209" s="521" t="e">
        <f ca="1">gr(charge_entree[[#This Row],[ch_E_PTOT]])</f>
        <v>#NAME?</v>
      </c>
      <c r="H209" s="521" t="e">
        <f ca="1">gr(charge_entree[[#This Row],[ch_S_DBO]])</f>
        <v>#NAME?</v>
      </c>
      <c r="I209" s="521" t="e">
        <f ca="1">gr(charge_entree[[#This Row],[ch_S-DCO]])</f>
        <v>#NAME?</v>
      </c>
      <c r="J209" s="521" t="e">
        <f ca="1">gr(charge_entree[[#This Row],[ch_S_DOC]])</f>
        <v>#NAME?</v>
      </c>
      <c r="K209" s="521" t="e">
        <f ca="1">gr(charge_entree[[#This Row],[ch_S_NH4]])</f>
        <v>#NAME?</v>
      </c>
      <c r="L209" s="521" t="e">
        <f ca="1">gr(charge_entree[[#This Row],[ch_S_NO2]])</f>
        <v>#NAME?</v>
      </c>
      <c r="M209" s="521" t="e">
        <f ca="1">gr(charge_entree[[#This Row],[ch_S_NO3]])</f>
        <v>#NAME?</v>
      </c>
      <c r="N209" s="521" t="e">
        <f ca="1">gr(charge_entree[[#This Row],[ch_S_PTOT]])</f>
        <v>#NAME?</v>
      </c>
      <c r="O209" s="521" t="e">
        <f ca="1">gr(charge_entree[[#This Row],[ch_S_SNDT]])</f>
        <v>#NAME?</v>
      </c>
    </row>
    <row r="210" spans="1:15" x14ac:dyDescent="0.2">
      <c r="A210" s="222">
        <f>calculs!A210</f>
        <v>44761</v>
      </c>
      <c r="B210" s="521" t="e">
        <f ca="1">gr(charge_entree[[#This Row],[ch_E_DBO5]])</f>
        <v>#NAME?</v>
      </c>
      <c r="C210" s="521" t="e">
        <f ca="1">gr(charge_entree[[#This Row],[ch_E_DCO]])</f>
        <v>#NAME?</v>
      </c>
      <c r="D210" s="521" t="e">
        <f ca="1">gr(charge_entree[[#This Row],[ch_E_COT]])</f>
        <v>#NAME?</v>
      </c>
      <c r="E210" s="521" t="e">
        <f ca="1">gr(charge_entree[[#This Row],[ch_E_NH4]])</f>
        <v>#NAME?</v>
      </c>
      <c r="F210" s="521" t="e">
        <f ca="1">gr(charge_entree[[#This Row],[ch_E_NTOT]])</f>
        <v>#NAME?</v>
      </c>
      <c r="G210" s="521" t="e">
        <f ca="1">gr(charge_entree[[#This Row],[ch_E_PTOT]])</f>
        <v>#NAME?</v>
      </c>
      <c r="H210" s="521" t="e">
        <f ca="1">gr(charge_entree[[#This Row],[ch_S_DBO]])</f>
        <v>#NAME?</v>
      </c>
      <c r="I210" s="521" t="e">
        <f ca="1">gr(charge_entree[[#This Row],[ch_S-DCO]])</f>
        <v>#NAME?</v>
      </c>
      <c r="J210" s="521" t="e">
        <f ca="1">gr(charge_entree[[#This Row],[ch_S_DOC]])</f>
        <v>#NAME?</v>
      </c>
      <c r="K210" s="521" t="e">
        <f ca="1">gr(charge_entree[[#This Row],[ch_S_NH4]])</f>
        <v>#NAME?</v>
      </c>
      <c r="L210" s="521" t="e">
        <f ca="1">gr(charge_entree[[#This Row],[ch_S_NO2]])</f>
        <v>#NAME?</v>
      </c>
      <c r="M210" s="521" t="e">
        <f ca="1">gr(charge_entree[[#This Row],[ch_S_NO3]])</f>
        <v>#NAME?</v>
      </c>
      <c r="N210" s="521" t="e">
        <f ca="1">gr(charge_entree[[#This Row],[ch_S_PTOT]])</f>
        <v>#NAME?</v>
      </c>
      <c r="O210" s="521" t="e">
        <f ca="1">gr(charge_entree[[#This Row],[ch_S_SNDT]])</f>
        <v>#NAME?</v>
      </c>
    </row>
    <row r="211" spans="1:15" x14ac:dyDescent="0.2">
      <c r="A211" s="222">
        <f>calculs!A211</f>
        <v>44762</v>
      </c>
      <c r="B211" s="521" t="e">
        <f ca="1">gr(charge_entree[[#This Row],[ch_E_DBO5]])</f>
        <v>#NAME?</v>
      </c>
      <c r="C211" s="521" t="e">
        <f ca="1">gr(charge_entree[[#This Row],[ch_E_DCO]])</f>
        <v>#NAME?</v>
      </c>
      <c r="D211" s="521" t="e">
        <f ca="1">gr(charge_entree[[#This Row],[ch_E_COT]])</f>
        <v>#NAME?</v>
      </c>
      <c r="E211" s="521" t="e">
        <f ca="1">gr(charge_entree[[#This Row],[ch_E_NH4]])</f>
        <v>#NAME?</v>
      </c>
      <c r="F211" s="521" t="e">
        <f ca="1">gr(charge_entree[[#This Row],[ch_E_NTOT]])</f>
        <v>#NAME?</v>
      </c>
      <c r="G211" s="521" t="e">
        <f ca="1">gr(charge_entree[[#This Row],[ch_E_PTOT]])</f>
        <v>#NAME?</v>
      </c>
      <c r="H211" s="521" t="e">
        <f ca="1">gr(charge_entree[[#This Row],[ch_S_DBO]])</f>
        <v>#NAME?</v>
      </c>
      <c r="I211" s="521" t="e">
        <f ca="1">gr(charge_entree[[#This Row],[ch_S-DCO]])</f>
        <v>#NAME?</v>
      </c>
      <c r="J211" s="521" t="e">
        <f ca="1">gr(charge_entree[[#This Row],[ch_S_DOC]])</f>
        <v>#NAME?</v>
      </c>
      <c r="K211" s="521" t="e">
        <f ca="1">gr(charge_entree[[#This Row],[ch_S_NH4]])</f>
        <v>#NAME?</v>
      </c>
      <c r="L211" s="521" t="e">
        <f ca="1">gr(charge_entree[[#This Row],[ch_S_NO2]])</f>
        <v>#NAME?</v>
      </c>
      <c r="M211" s="521" t="e">
        <f ca="1">gr(charge_entree[[#This Row],[ch_S_NO3]])</f>
        <v>#NAME?</v>
      </c>
      <c r="N211" s="521" t="e">
        <f ca="1">gr(charge_entree[[#This Row],[ch_S_PTOT]])</f>
        <v>#NAME?</v>
      </c>
      <c r="O211" s="521" t="e">
        <f ca="1">gr(charge_entree[[#This Row],[ch_S_SNDT]])</f>
        <v>#NAME?</v>
      </c>
    </row>
    <row r="212" spans="1:15" x14ac:dyDescent="0.2">
      <c r="A212" s="222">
        <f>calculs!A212</f>
        <v>44763</v>
      </c>
      <c r="B212" s="521" t="e">
        <f ca="1">gr(charge_entree[[#This Row],[ch_E_DBO5]])</f>
        <v>#NAME?</v>
      </c>
      <c r="C212" s="521" t="e">
        <f ca="1">gr(charge_entree[[#This Row],[ch_E_DCO]])</f>
        <v>#NAME?</v>
      </c>
      <c r="D212" s="521" t="e">
        <f ca="1">gr(charge_entree[[#This Row],[ch_E_COT]])</f>
        <v>#NAME?</v>
      </c>
      <c r="E212" s="521" t="e">
        <f ca="1">gr(charge_entree[[#This Row],[ch_E_NH4]])</f>
        <v>#NAME?</v>
      </c>
      <c r="F212" s="521" t="e">
        <f ca="1">gr(charge_entree[[#This Row],[ch_E_NTOT]])</f>
        <v>#NAME?</v>
      </c>
      <c r="G212" s="521" t="e">
        <f ca="1">gr(charge_entree[[#This Row],[ch_E_PTOT]])</f>
        <v>#NAME?</v>
      </c>
      <c r="H212" s="521" t="e">
        <f ca="1">gr(charge_entree[[#This Row],[ch_S_DBO]])</f>
        <v>#NAME?</v>
      </c>
      <c r="I212" s="521" t="e">
        <f ca="1">gr(charge_entree[[#This Row],[ch_S-DCO]])</f>
        <v>#NAME?</v>
      </c>
      <c r="J212" s="521" t="e">
        <f ca="1">gr(charge_entree[[#This Row],[ch_S_DOC]])</f>
        <v>#NAME?</v>
      </c>
      <c r="K212" s="521" t="e">
        <f ca="1">gr(charge_entree[[#This Row],[ch_S_NH4]])</f>
        <v>#NAME?</v>
      </c>
      <c r="L212" s="521" t="e">
        <f ca="1">gr(charge_entree[[#This Row],[ch_S_NO2]])</f>
        <v>#NAME?</v>
      </c>
      <c r="M212" s="521" t="e">
        <f ca="1">gr(charge_entree[[#This Row],[ch_S_NO3]])</f>
        <v>#NAME?</v>
      </c>
      <c r="N212" s="521" t="e">
        <f ca="1">gr(charge_entree[[#This Row],[ch_S_PTOT]])</f>
        <v>#NAME?</v>
      </c>
      <c r="O212" s="521" t="e">
        <f ca="1">gr(charge_entree[[#This Row],[ch_S_SNDT]])</f>
        <v>#NAME?</v>
      </c>
    </row>
    <row r="213" spans="1:15" x14ac:dyDescent="0.2">
      <c r="A213" s="222">
        <f>calculs!A213</f>
        <v>44764</v>
      </c>
      <c r="B213" s="521" t="e">
        <f ca="1">gr(charge_entree[[#This Row],[ch_E_DBO5]])</f>
        <v>#NAME?</v>
      </c>
      <c r="C213" s="521" t="e">
        <f ca="1">gr(charge_entree[[#This Row],[ch_E_DCO]])</f>
        <v>#NAME?</v>
      </c>
      <c r="D213" s="521" t="e">
        <f ca="1">gr(charge_entree[[#This Row],[ch_E_COT]])</f>
        <v>#NAME?</v>
      </c>
      <c r="E213" s="521" t="e">
        <f ca="1">gr(charge_entree[[#This Row],[ch_E_NH4]])</f>
        <v>#NAME?</v>
      </c>
      <c r="F213" s="521" t="e">
        <f ca="1">gr(charge_entree[[#This Row],[ch_E_NTOT]])</f>
        <v>#NAME?</v>
      </c>
      <c r="G213" s="521" t="e">
        <f ca="1">gr(charge_entree[[#This Row],[ch_E_PTOT]])</f>
        <v>#NAME?</v>
      </c>
      <c r="H213" s="521" t="e">
        <f ca="1">gr(charge_entree[[#This Row],[ch_S_DBO]])</f>
        <v>#NAME?</v>
      </c>
      <c r="I213" s="521" t="e">
        <f ca="1">gr(charge_entree[[#This Row],[ch_S-DCO]])</f>
        <v>#NAME?</v>
      </c>
      <c r="J213" s="521" t="e">
        <f ca="1">gr(charge_entree[[#This Row],[ch_S_DOC]])</f>
        <v>#NAME?</v>
      </c>
      <c r="K213" s="521" t="e">
        <f ca="1">gr(charge_entree[[#This Row],[ch_S_NH4]])</f>
        <v>#NAME?</v>
      </c>
      <c r="L213" s="521" t="e">
        <f ca="1">gr(charge_entree[[#This Row],[ch_S_NO2]])</f>
        <v>#NAME?</v>
      </c>
      <c r="M213" s="521" t="e">
        <f ca="1">gr(charge_entree[[#This Row],[ch_S_NO3]])</f>
        <v>#NAME?</v>
      </c>
      <c r="N213" s="521" t="e">
        <f ca="1">gr(charge_entree[[#This Row],[ch_S_PTOT]])</f>
        <v>#NAME?</v>
      </c>
      <c r="O213" s="521" t="e">
        <f ca="1">gr(charge_entree[[#This Row],[ch_S_SNDT]])</f>
        <v>#NAME?</v>
      </c>
    </row>
    <row r="214" spans="1:15" x14ac:dyDescent="0.2">
      <c r="A214" s="222">
        <f>calculs!A214</f>
        <v>44765</v>
      </c>
      <c r="B214" s="521" t="e">
        <f ca="1">gr(charge_entree[[#This Row],[ch_E_DBO5]])</f>
        <v>#NAME?</v>
      </c>
      <c r="C214" s="521" t="e">
        <f ca="1">gr(charge_entree[[#This Row],[ch_E_DCO]])</f>
        <v>#NAME?</v>
      </c>
      <c r="D214" s="521" t="e">
        <f ca="1">gr(charge_entree[[#This Row],[ch_E_COT]])</f>
        <v>#NAME?</v>
      </c>
      <c r="E214" s="521" t="e">
        <f ca="1">gr(charge_entree[[#This Row],[ch_E_NH4]])</f>
        <v>#NAME?</v>
      </c>
      <c r="F214" s="521" t="e">
        <f ca="1">gr(charge_entree[[#This Row],[ch_E_NTOT]])</f>
        <v>#NAME?</v>
      </c>
      <c r="G214" s="521" t="e">
        <f ca="1">gr(charge_entree[[#This Row],[ch_E_PTOT]])</f>
        <v>#NAME?</v>
      </c>
      <c r="H214" s="521" t="e">
        <f ca="1">gr(charge_entree[[#This Row],[ch_S_DBO]])</f>
        <v>#NAME?</v>
      </c>
      <c r="I214" s="521" t="e">
        <f ca="1">gr(charge_entree[[#This Row],[ch_S-DCO]])</f>
        <v>#NAME?</v>
      </c>
      <c r="J214" s="521" t="e">
        <f ca="1">gr(charge_entree[[#This Row],[ch_S_DOC]])</f>
        <v>#NAME?</v>
      </c>
      <c r="K214" s="521" t="e">
        <f ca="1">gr(charge_entree[[#This Row],[ch_S_NH4]])</f>
        <v>#NAME?</v>
      </c>
      <c r="L214" s="521" t="e">
        <f ca="1">gr(charge_entree[[#This Row],[ch_S_NO2]])</f>
        <v>#NAME?</v>
      </c>
      <c r="M214" s="521" t="e">
        <f ca="1">gr(charge_entree[[#This Row],[ch_S_NO3]])</f>
        <v>#NAME?</v>
      </c>
      <c r="N214" s="521" t="e">
        <f ca="1">gr(charge_entree[[#This Row],[ch_S_PTOT]])</f>
        <v>#NAME?</v>
      </c>
      <c r="O214" s="521" t="e">
        <f ca="1">gr(charge_entree[[#This Row],[ch_S_SNDT]])</f>
        <v>#NAME?</v>
      </c>
    </row>
    <row r="215" spans="1:15" x14ac:dyDescent="0.2">
      <c r="A215" s="222">
        <f>calculs!A215</f>
        <v>44766</v>
      </c>
      <c r="B215" s="521" t="e">
        <f ca="1">gr(charge_entree[[#This Row],[ch_E_DBO5]])</f>
        <v>#NAME?</v>
      </c>
      <c r="C215" s="521" t="e">
        <f ca="1">gr(charge_entree[[#This Row],[ch_E_DCO]])</f>
        <v>#NAME?</v>
      </c>
      <c r="D215" s="521" t="e">
        <f ca="1">gr(charge_entree[[#This Row],[ch_E_COT]])</f>
        <v>#NAME?</v>
      </c>
      <c r="E215" s="521" t="e">
        <f ca="1">gr(charge_entree[[#This Row],[ch_E_NH4]])</f>
        <v>#NAME?</v>
      </c>
      <c r="F215" s="521" t="e">
        <f ca="1">gr(charge_entree[[#This Row],[ch_E_NTOT]])</f>
        <v>#NAME?</v>
      </c>
      <c r="G215" s="521" t="e">
        <f ca="1">gr(charge_entree[[#This Row],[ch_E_PTOT]])</f>
        <v>#NAME?</v>
      </c>
      <c r="H215" s="521" t="e">
        <f ca="1">gr(charge_entree[[#This Row],[ch_S_DBO]])</f>
        <v>#NAME?</v>
      </c>
      <c r="I215" s="521" t="e">
        <f ca="1">gr(charge_entree[[#This Row],[ch_S-DCO]])</f>
        <v>#NAME?</v>
      </c>
      <c r="J215" s="521" t="e">
        <f ca="1">gr(charge_entree[[#This Row],[ch_S_DOC]])</f>
        <v>#NAME?</v>
      </c>
      <c r="K215" s="521" t="e">
        <f ca="1">gr(charge_entree[[#This Row],[ch_S_NH4]])</f>
        <v>#NAME?</v>
      </c>
      <c r="L215" s="521" t="e">
        <f ca="1">gr(charge_entree[[#This Row],[ch_S_NO2]])</f>
        <v>#NAME?</v>
      </c>
      <c r="M215" s="521" t="e">
        <f ca="1">gr(charge_entree[[#This Row],[ch_S_NO3]])</f>
        <v>#NAME?</v>
      </c>
      <c r="N215" s="521" t="e">
        <f ca="1">gr(charge_entree[[#This Row],[ch_S_PTOT]])</f>
        <v>#NAME?</v>
      </c>
      <c r="O215" s="521" t="e">
        <f ca="1">gr(charge_entree[[#This Row],[ch_S_SNDT]])</f>
        <v>#NAME?</v>
      </c>
    </row>
    <row r="216" spans="1:15" x14ac:dyDescent="0.2">
      <c r="A216" s="222">
        <f>calculs!A216</f>
        <v>44767</v>
      </c>
      <c r="B216" s="521" t="e">
        <f ca="1">gr(charge_entree[[#This Row],[ch_E_DBO5]])</f>
        <v>#NAME?</v>
      </c>
      <c r="C216" s="521" t="e">
        <f ca="1">gr(charge_entree[[#This Row],[ch_E_DCO]])</f>
        <v>#NAME?</v>
      </c>
      <c r="D216" s="521" t="e">
        <f ca="1">gr(charge_entree[[#This Row],[ch_E_COT]])</f>
        <v>#NAME?</v>
      </c>
      <c r="E216" s="521" t="e">
        <f ca="1">gr(charge_entree[[#This Row],[ch_E_NH4]])</f>
        <v>#NAME?</v>
      </c>
      <c r="F216" s="521" t="e">
        <f ca="1">gr(charge_entree[[#This Row],[ch_E_NTOT]])</f>
        <v>#NAME?</v>
      </c>
      <c r="G216" s="521" t="e">
        <f ca="1">gr(charge_entree[[#This Row],[ch_E_PTOT]])</f>
        <v>#NAME?</v>
      </c>
      <c r="H216" s="521" t="e">
        <f ca="1">gr(charge_entree[[#This Row],[ch_S_DBO]])</f>
        <v>#NAME?</v>
      </c>
      <c r="I216" s="521" t="e">
        <f ca="1">gr(charge_entree[[#This Row],[ch_S-DCO]])</f>
        <v>#NAME?</v>
      </c>
      <c r="J216" s="521" t="e">
        <f ca="1">gr(charge_entree[[#This Row],[ch_S_DOC]])</f>
        <v>#NAME?</v>
      </c>
      <c r="K216" s="521" t="e">
        <f ca="1">gr(charge_entree[[#This Row],[ch_S_NH4]])</f>
        <v>#NAME?</v>
      </c>
      <c r="L216" s="521" t="e">
        <f ca="1">gr(charge_entree[[#This Row],[ch_S_NO2]])</f>
        <v>#NAME?</v>
      </c>
      <c r="M216" s="521" t="e">
        <f ca="1">gr(charge_entree[[#This Row],[ch_S_NO3]])</f>
        <v>#NAME?</v>
      </c>
      <c r="N216" s="521" t="e">
        <f ca="1">gr(charge_entree[[#This Row],[ch_S_PTOT]])</f>
        <v>#NAME?</v>
      </c>
      <c r="O216" s="521" t="e">
        <f ca="1">gr(charge_entree[[#This Row],[ch_S_SNDT]])</f>
        <v>#NAME?</v>
      </c>
    </row>
    <row r="217" spans="1:15" x14ac:dyDescent="0.2">
      <c r="A217" s="222">
        <f>calculs!A217</f>
        <v>44768</v>
      </c>
      <c r="B217" s="521" t="e">
        <f ca="1">gr(charge_entree[[#This Row],[ch_E_DBO5]])</f>
        <v>#NAME?</v>
      </c>
      <c r="C217" s="521" t="e">
        <f ca="1">gr(charge_entree[[#This Row],[ch_E_DCO]])</f>
        <v>#NAME?</v>
      </c>
      <c r="D217" s="521" t="e">
        <f ca="1">gr(charge_entree[[#This Row],[ch_E_COT]])</f>
        <v>#NAME?</v>
      </c>
      <c r="E217" s="521" t="e">
        <f ca="1">gr(charge_entree[[#This Row],[ch_E_NH4]])</f>
        <v>#NAME?</v>
      </c>
      <c r="F217" s="521" t="e">
        <f ca="1">gr(charge_entree[[#This Row],[ch_E_NTOT]])</f>
        <v>#NAME?</v>
      </c>
      <c r="G217" s="521" t="e">
        <f ca="1">gr(charge_entree[[#This Row],[ch_E_PTOT]])</f>
        <v>#NAME?</v>
      </c>
      <c r="H217" s="521" t="e">
        <f ca="1">gr(charge_entree[[#This Row],[ch_S_DBO]])</f>
        <v>#NAME?</v>
      </c>
      <c r="I217" s="521" t="e">
        <f ca="1">gr(charge_entree[[#This Row],[ch_S-DCO]])</f>
        <v>#NAME?</v>
      </c>
      <c r="J217" s="521" t="e">
        <f ca="1">gr(charge_entree[[#This Row],[ch_S_DOC]])</f>
        <v>#NAME?</v>
      </c>
      <c r="K217" s="521" t="e">
        <f ca="1">gr(charge_entree[[#This Row],[ch_S_NH4]])</f>
        <v>#NAME?</v>
      </c>
      <c r="L217" s="521" t="e">
        <f ca="1">gr(charge_entree[[#This Row],[ch_S_NO2]])</f>
        <v>#NAME?</v>
      </c>
      <c r="M217" s="521" t="e">
        <f ca="1">gr(charge_entree[[#This Row],[ch_S_NO3]])</f>
        <v>#NAME?</v>
      </c>
      <c r="N217" s="521" t="e">
        <f ca="1">gr(charge_entree[[#This Row],[ch_S_PTOT]])</f>
        <v>#NAME?</v>
      </c>
      <c r="O217" s="521" t="e">
        <f ca="1">gr(charge_entree[[#This Row],[ch_S_SNDT]])</f>
        <v>#NAME?</v>
      </c>
    </row>
    <row r="218" spans="1:15" x14ac:dyDescent="0.2">
      <c r="A218" s="222">
        <f>calculs!A218</f>
        <v>44769</v>
      </c>
      <c r="B218" s="521" t="e">
        <f ca="1">gr(charge_entree[[#This Row],[ch_E_DBO5]])</f>
        <v>#NAME?</v>
      </c>
      <c r="C218" s="521" t="e">
        <f ca="1">gr(charge_entree[[#This Row],[ch_E_DCO]])</f>
        <v>#NAME?</v>
      </c>
      <c r="D218" s="521" t="e">
        <f ca="1">gr(charge_entree[[#This Row],[ch_E_COT]])</f>
        <v>#NAME?</v>
      </c>
      <c r="E218" s="521" t="e">
        <f ca="1">gr(charge_entree[[#This Row],[ch_E_NH4]])</f>
        <v>#NAME?</v>
      </c>
      <c r="F218" s="521" t="e">
        <f ca="1">gr(charge_entree[[#This Row],[ch_E_NTOT]])</f>
        <v>#NAME?</v>
      </c>
      <c r="G218" s="521" t="e">
        <f ca="1">gr(charge_entree[[#This Row],[ch_E_PTOT]])</f>
        <v>#NAME?</v>
      </c>
      <c r="H218" s="521" t="e">
        <f ca="1">gr(charge_entree[[#This Row],[ch_S_DBO]])</f>
        <v>#NAME?</v>
      </c>
      <c r="I218" s="521" t="e">
        <f ca="1">gr(charge_entree[[#This Row],[ch_S-DCO]])</f>
        <v>#NAME?</v>
      </c>
      <c r="J218" s="521" t="e">
        <f ca="1">gr(charge_entree[[#This Row],[ch_S_DOC]])</f>
        <v>#NAME?</v>
      </c>
      <c r="K218" s="521" t="e">
        <f ca="1">gr(charge_entree[[#This Row],[ch_S_NH4]])</f>
        <v>#NAME?</v>
      </c>
      <c r="L218" s="521" t="e">
        <f ca="1">gr(charge_entree[[#This Row],[ch_S_NO2]])</f>
        <v>#NAME?</v>
      </c>
      <c r="M218" s="521" t="e">
        <f ca="1">gr(charge_entree[[#This Row],[ch_S_NO3]])</f>
        <v>#NAME?</v>
      </c>
      <c r="N218" s="521" t="e">
        <f ca="1">gr(charge_entree[[#This Row],[ch_S_PTOT]])</f>
        <v>#NAME?</v>
      </c>
      <c r="O218" s="521" t="e">
        <f ca="1">gr(charge_entree[[#This Row],[ch_S_SNDT]])</f>
        <v>#NAME?</v>
      </c>
    </row>
    <row r="219" spans="1:15" x14ac:dyDescent="0.2">
      <c r="A219" s="222">
        <f>calculs!A219</f>
        <v>44770</v>
      </c>
      <c r="B219" s="521" t="e">
        <f ca="1">gr(charge_entree[[#This Row],[ch_E_DBO5]])</f>
        <v>#NAME?</v>
      </c>
      <c r="C219" s="521" t="e">
        <f ca="1">gr(charge_entree[[#This Row],[ch_E_DCO]])</f>
        <v>#NAME?</v>
      </c>
      <c r="D219" s="521" t="e">
        <f ca="1">gr(charge_entree[[#This Row],[ch_E_COT]])</f>
        <v>#NAME?</v>
      </c>
      <c r="E219" s="521" t="e">
        <f ca="1">gr(charge_entree[[#This Row],[ch_E_NH4]])</f>
        <v>#NAME?</v>
      </c>
      <c r="F219" s="521" t="e">
        <f ca="1">gr(charge_entree[[#This Row],[ch_E_NTOT]])</f>
        <v>#NAME?</v>
      </c>
      <c r="G219" s="521" t="e">
        <f ca="1">gr(charge_entree[[#This Row],[ch_E_PTOT]])</f>
        <v>#NAME?</v>
      </c>
      <c r="H219" s="521" t="e">
        <f ca="1">gr(charge_entree[[#This Row],[ch_S_DBO]])</f>
        <v>#NAME?</v>
      </c>
      <c r="I219" s="521" t="e">
        <f ca="1">gr(charge_entree[[#This Row],[ch_S-DCO]])</f>
        <v>#NAME?</v>
      </c>
      <c r="J219" s="521" t="e">
        <f ca="1">gr(charge_entree[[#This Row],[ch_S_DOC]])</f>
        <v>#NAME?</v>
      </c>
      <c r="K219" s="521" t="e">
        <f ca="1">gr(charge_entree[[#This Row],[ch_S_NH4]])</f>
        <v>#NAME?</v>
      </c>
      <c r="L219" s="521" t="e">
        <f ca="1">gr(charge_entree[[#This Row],[ch_S_NO2]])</f>
        <v>#NAME?</v>
      </c>
      <c r="M219" s="521" t="e">
        <f ca="1">gr(charge_entree[[#This Row],[ch_S_NO3]])</f>
        <v>#NAME?</v>
      </c>
      <c r="N219" s="521" t="e">
        <f ca="1">gr(charge_entree[[#This Row],[ch_S_PTOT]])</f>
        <v>#NAME?</v>
      </c>
      <c r="O219" s="521" t="e">
        <f ca="1">gr(charge_entree[[#This Row],[ch_S_SNDT]])</f>
        <v>#NAME?</v>
      </c>
    </row>
    <row r="220" spans="1:15" x14ac:dyDescent="0.2">
      <c r="A220" s="222">
        <f>calculs!A220</f>
        <v>44771</v>
      </c>
      <c r="B220" s="521" t="e">
        <f ca="1">gr(charge_entree[[#This Row],[ch_E_DBO5]])</f>
        <v>#NAME?</v>
      </c>
      <c r="C220" s="521" t="e">
        <f ca="1">gr(charge_entree[[#This Row],[ch_E_DCO]])</f>
        <v>#NAME?</v>
      </c>
      <c r="D220" s="521" t="e">
        <f ca="1">gr(charge_entree[[#This Row],[ch_E_COT]])</f>
        <v>#NAME?</v>
      </c>
      <c r="E220" s="521" t="e">
        <f ca="1">gr(charge_entree[[#This Row],[ch_E_NH4]])</f>
        <v>#NAME?</v>
      </c>
      <c r="F220" s="521" t="e">
        <f ca="1">gr(charge_entree[[#This Row],[ch_E_NTOT]])</f>
        <v>#NAME?</v>
      </c>
      <c r="G220" s="521" t="e">
        <f ca="1">gr(charge_entree[[#This Row],[ch_E_PTOT]])</f>
        <v>#NAME?</v>
      </c>
      <c r="H220" s="521" t="e">
        <f ca="1">gr(charge_entree[[#This Row],[ch_S_DBO]])</f>
        <v>#NAME?</v>
      </c>
      <c r="I220" s="521" t="e">
        <f ca="1">gr(charge_entree[[#This Row],[ch_S-DCO]])</f>
        <v>#NAME?</v>
      </c>
      <c r="J220" s="521" t="e">
        <f ca="1">gr(charge_entree[[#This Row],[ch_S_DOC]])</f>
        <v>#NAME?</v>
      </c>
      <c r="K220" s="521" t="e">
        <f ca="1">gr(charge_entree[[#This Row],[ch_S_NH4]])</f>
        <v>#NAME?</v>
      </c>
      <c r="L220" s="521" t="e">
        <f ca="1">gr(charge_entree[[#This Row],[ch_S_NO2]])</f>
        <v>#NAME?</v>
      </c>
      <c r="M220" s="521" t="e">
        <f ca="1">gr(charge_entree[[#This Row],[ch_S_NO3]])</f>
        <v>#NAME?</v>
      </c>
      <c r="N220" s="521" t="e">
        <f ca="1">gr(charge_entree[[#This Row],[ch_S_PTOT]])</f>
        <v>#NAME?</v>
      </c>
      <c r="O220" s="521" t="e">
        <f ca="1">gr(charge_entree[[#This Row],[ch_S_SNDT]])</f>
        <v>#NAME?</v>
      </c>
    </row>
    <row r="221" spans="1:15" x14ac:dyDescent="0.2">
      <c r="A221" s="222">
        <f>calculs!A221</f>
        <v>44772</v>
      </c>
      <c r="B221" s="521" t="e">
        <f ca="1">gr(charge_entree[[#This Row],[ch_E_DBO5]])</f>
        <v>#NAME?</v>
      </c>
      <c r="C221" s="521" t="e">
        <f ca="1">gr(charge_entree[[#This Row],[ch_E_DCO]])</f>
        <v>#NAME?</v>
      </c>
      <c r="D221" s="521" t="e">
        <f ca="1">gr(charge_entree[[#This Row],[ch_E_COT]])</f>
        <v>#NAME?</v>
      </c>
      <c r="E221" s="521" t="e">
        <f ca="1">gr(charge_entree[[#This Row],[ch_E_NH4]])</f>
        <v>#NAME?</v>
      </c>
      <c r="F221" s="521" t="e">
        <f ca="1">gr(charge_entree[[#This Row],[ch_E_NTOT]])</f>
        <v>#NAME?</v>
      </c>
      <c r="G221" s="521" t="e">
        <f ca="1">gr(charge_entree[[#This Row],[ch_E_PTOT]])</f>
        <v>#NAME?</v>
      </c>
      <c r="H221" s="521" t="e">
        <f ca="1">gr(charge_entree[[#This Row],[ch_S_DBO]])</f>
        <v>#NAME?</v>
      </c>
      <c r="I221" s="521" t="e">
        <f ca="1">gr(charge_entree[[#This Row],[ch_S-DCO]])</f>
        <v>#NAME?</v>
      </c>
      <c r="J221" s="521" t="e">
        <f ca="1">gr(charge_entree[[#This Row],[ch_S_DOC]])</f>
        <v>#NAME?</v>
      </c>
      <c r="K221" s="521" t="e">
        <f ca="1">gr(charge_entree[[#This Row],[ch_S_NH4]])</f>
        <v>#NAME?</v>
      </c>
      <c r="L221" s="521" t="e">
        <f ca="1">gr(charge_entree[[#This Row],[ch_S_NO2]])</f>
        <v>#NAME?</v>
      </c>
      <c r="M221" s="521" t="e">
        <f ca="1">gr(charge_entree[[#This Row],[ch_S_NO3]])</f>
        <v>#NAME?</v>
      </c>
      <c r="N221" s="521" t="e">
        <f ca="1">gr(charge_entree[[#This Row],[ch_S_PTOT]])</f>
        <v>#NAME?</v>
      </c>
      <c r="O221" s="521" t="e">
        <f ca="1">gr(charge_entree[[#This Row],[ch_S_SNDT]])</f>
        <v>#NAME?</v>
      </c>
    </row>
    <row r="222" spans="1:15" x14ac:dyDescent="0.2">
      <c r="A222" s="222">
        <f>calculs!A222</f>
        <v>44773</v>
      </c>
      <c r="B222" s="521" t="e">
        <f ca="1">gr(charge_entree[[#This Row],[ch_E_DBO5]])</f>
        <v>#NAME?</v>
      </c>
      <c r="C222" s="521" t="e">
        <f ca="1">gr(charge_entree[[#This Row],[ch_E_DCO]])</f>
        <v>#NAME?</v>
      </c>
      <c r="D222" s="521" t="e">
        <f ca="1">gr(charge_entree[[#This Row],[ch_E_COT]])</f>
        <v>#NAME?</v>
      </c>
      <c r="E222" s="521" t="e">
        <f ca="1">gr(charge_entree[[#This Row],[ch_E_NH4]])</f>
        <v>#NAME?</v>
      </c>
      <c r="F222" s="521" t="e">
        <f ca="1">gr(charge_entree[[#This Row],[ch_E_NTOT]])</f>
        <v>#NAME?</v>
      </c>
      <c r="G222" s="521" t="e">
        <f ca="1">gr(charge_entree[[#This Row],[ch_E_PTOT]])</f>
        <v>#NAME?</v>
      </c>
      <c r="H222" s="521" t="e">
        <f ca="1">gr(charge_entree[[#This Row],[ch_S_DBO]])</f>
        <v>#NAME?</v>
      </c>
      <c r="I222" s="521" t="e">
        <f ca="1">gr(charge_entree[[#This Row],[ch_S-DCO]])</f>
        <v>#NAME?</v>
      </c>
      <c r="J222" s="521" t="e">
        <f ca="1">gr(charge_entree[[#This Row],[ch_S_DOC]])</f>
        <v>#NAME?</v>
      </c>
      <c r="K222" s="521" t="e">
        <f ca="1">gr(charge_entree[[#This Row],[ch_S_NH4]])</f>
        <v>#NAME?</v>
      </c>
      <c r="L222" s="521" t="e">
        <f ca="1">gr(charge_entree[[#This Row],[ch_S_NO2]])</f>
        <v>#NAME?</v>
      </c>
      <c r="M222" s="521" t="e">
        <f ca="1">gr(charge_entree[[#This Row],[ch_S_NO3]])</f>
        <v>#NAME?</v>
      </c>
      <c r="N222" s="521" t="e">
        <f ca="1">gr(charge_entree[[#This Row],[ch_S_PTOT]])</f>
        <v>#NAME?</v>
      </c>
      <c r="O222" s="521" t="e">
        <f ca="1">gr(charge_entree[[#This Row],[ch_S_SNDT]])</f>
        <v>#NAME?</v>
      </c>
    </row>
    <row r="223" spans="1:15" x14ac:dyDescent="0.2">
      <c r="A223" s="222">
        <f>calculs!A223</f>
        <v>44774</v>
      </c>
      <c r="B223" s="521" t="e">
        <f ca="1">gr(charge_entree[[#This Row],[ch_E_DBO5]])</f>
        <v>#NAME?</v>
      </c>
      <c r="C223" s="521" t="e">
        <f ca="1">gr(charge_entree[[#This Row],[ch_E_DCO]])</f>
        <v>#NAME?</v>
      </c>
      <c r="D223" s="521" t="e">
        <f ca="1">gr(charge_entree[[#This Row],[ch_E_COT]])</f>
        <v>#NAME?</v>
      </c>
      <c r="E223" s="521" t="e">
        <f ca="1">gr(charge_entree[[#This Row],[ch_E_NH4]])</f>
        <v>#NAME?</v>
      </c>
      <c r="F223" s="521" t="e">
        <f ca="1">gr(charge_entree[[#This Row],[ch_E_NTOT]])</f>
        <v>#NAME?</v>
      </c>
      <c r="G223" s="521" t="e">
        <f ca="1">gr(charge_entree[[#This Row],[ch_E_PTOT]])</f>
        <v>#NAME?</v>
      </c>
      <c r="H223" s="521" t="e">
        <f ca="1">gr(charge_entree[[#This Row],[ch_S_DBO]])</f>
        <v>#NAME?</v>
      </c>
      <c r="I223" s="521" t="e">
        <f ca="1">gr(charge_entree[[#This Row],[ch_S-DCO]])</f>
        <v>#NAME?</v>
      </c>
      <c r="J223" s="521" t="e">
        <f ca="1">gr(charge_entree[[#This Row],[ch_S_DOC]])</f>
        <v>#NAME?</v>
      </c>
      <c r="K223" s="521" t="e">
        <f ca="1">gr(charge_entree[[#This Row],[ch_S_NH4]])</f>
        <v>#NAME?</v>
      </c>
      <c r="L223" s="521" t="e">
        <f ca="1">gr(charge_entree[[#This Row],[ch_S_NO2]])</f>
        <v>#NAME?</v>
      </c>
      <c r="M223" s="521" t="e">
        <f ca="1">gr(charge_entree[[#This Row],[ch_S_NO3]])</f>
        <v>#NAME?</v>
      </c>
      <c r="N223" s="521" t="e">
        <f ca="1">gr(charge_entree[[#This Row],[ch_S_PTOT]])</f>
        <v>#NAME?</v>
      </c>
      <c r="O223" s="521" t="e">
        <f ca="1">gr(charge_entree[[#This Row],[ch_S_SNDT]])</f>
        <v>#NAME?</v>
      </c>
    </row>
    <row r="224" spans="1:15" x14ac:dyDescent="0.2">
      <c r="A224" s="222">
        <f>calculs!A224</f>
        <v>44775</v>
      </c>
      <c r="B224" s="521" t="e">
        <f ca="1">gr(charge_entree[[#This Row],[ch_E_DBO5]])</f>
        <v>#NAME?</v>
      </c>
      <c r="C224" s="521" t="e">
        <f ca="1">gr(charge_entree[[#This Row],[ch_E_DCO]])</f>
        <v>#NAME?</v>
      </c>
      <c r="D224" s="521" t="e">
        <f ca="1">gr(charge_entree[[#This Row],[ch_E_COT]])</f>
        <v>#NAME?</v>
      </c>
      <c r="E224" s="521" t="e">
        <f ca="1">gr(charge_entree[[#This Row],[ch_E_NH4]])</f>
        <v>#NAME?</v>
      </c>
      <c r="F224" s="521" t="e">
        <f ca="1">gr(charge_entree[[#This Row],[ch_E_NTOT]])</f>
        <v>#NAME?</v>
      </c>
      <c r="G224" s="521" t="e">
        <f ca="1">gr(charge_entree[[#This Row],[ch_E_PTOT]])</f>
        <v>#NAME?</v>
      </c>
      <c r="H224" s="521" t="e">
        <f ca="1">gr(charge_entree[[#This Row],[ch_S_DBO]])</f>
        <v>#NAME?</v>
      </c>
      <c r="I224" s="521" t="e">
        <f ca="1">gr(charge_entree[[#This Row],[ch_S-DCO]])</f>
        <v>#NAME?</v>
      </c>
      <c r="J224" s="521" t="e">
        <f ca="1">gr(charge_entree[[#This Row],[ch_S_DOC]])</f>
        <v>#NAME?</v>
      </c>
      <c r="K224" s="521" t="e">
        <f ca="1">gr(charge_entree[[#This Row],[ch_S_NH4]])</f>
        <v>#NAME?</v>
      </c>
      <c r="L224" s="521" t="e">
        <f ca="1">gr(charge_entree[[#This Row],[ch_S_NO2]])</f>
        <v>#NAME?</v>
      </c>
      <c r="M224" s="521" t="e">
        <f ca="1">gr(charge_entree[[#This Row],[ch_S_NO3]])</f>
        <v>#NAME?</v>
      </c>
      <c r="N224" s="521" t="e">
        <f ca="1">gr(charge_entree[[#This Row],[ch_S_PTOT]])</f>
        <v>#NAME?</v>
      </c>
      <c r="O224" s="521" t="e">
        <f ca="1">gr(charge_entree[[#This Row],[ch_S_SNDT]])</f>
        <v>#NAME?</v>
      </c>
    </row>
    <row r="225" spans="1:15" x14ac:dyDescent="0.2">
      <c r="A225" s="222">
        <f>calculs!A225</f>
        <v>44776</v>
      </c>
      <c r="B225" s="521" t="e">
        <f ca="1">gr(charge_entree[[#This Row],[ch_E_DBO5]])</f>
        <v>#NAME?</v>
      </c>
      <c r="C225" s="521" t="e">
        <f ca="1">gr(charge_entree[[#This Row],[ch_E_DCO]])</f>
        <v>#NAME?</v>
      </c>
      <c r="D225" s="521" t="e">
        <f ca="1">gr(charge_entree[[#This Row],[ch_E_COT]])</f>
        <v>#NAME?</v>
      </c>
      <c r="E225" s="521" t="e">
        <f ca="1">gr(charge_entree[[#This Row],[ch_E_NH4]])</f>
        <v>#NAME?</v>
      </c>
      <c r="F225" s="521" t="e">
        <f ca="1">gr(charge_entree[[#This Row],[ch_E_NTOT]])</f>
        <v>#NAME?</v>
      </c>
      <c r="G225" s="521" t="e">
        <f ca="1">gr(charge_entree[[#This Row],[ch_E_PTOT]])</f>
        <v>#NAME?</v>
      </c>
      <c r="H225" s="521" t="e">
        <f ca="1">gr(charge_entree[[#This Row],[ch_S_DBO]])</f>
        <v>#NAME?</v>
      </c>
      <c r="I225" s="521" t="e">
        <f ca="1">gr(charge_entree[[#This Row],[ch_S-DCO]])</f>
        <v>#NAME?</v>
      </c>
      <c r="J225" s="521" t="e">
        <f ca="1">gr(charge_entree[[#This Row],[ch_S_DOC]])</f>
        <v>#NAME?</v>
      </c>
      <c r="K225" s="521" t="e">
        <f ca="1">gr(charge_entree[[#This Row],[ch_S_NH4]])</f>
        <v>#NAME?</v>
      </c>
      <c r="L225" s="521" t="e">
        <f ca="1">gr(charge_entree[[#This Row],[ch_S_NO2]])</f>
        <v>#NAME?</v>
      </c>
      <c r="M225" s="521" t="e">
        <f ca="1">gr(charge_entree[[#This Row],[ch_S_NO3]])</f>
        <v>#NAME?</v>
      </c>
      <c r="N225" s="521" t="e">
        <f ca="1">gr(charge_entree[[#This Row],[ch_S_PTOT]])</f>
        <v>#NAME?</v>
      </c>
      <c r="O225" s="521" t="e">
        <f ca="1">gr(charge_entree[[#This Row],[ch_S_SNDT]])</f>
        <v>#NAME?</v>
      </c>
    </row>
    <row r="226" spans="1:15" x14ac:dyDescent="0.2">
      <c r="A226" s="222">
        <f>calculs!A226</f>
        <v>44777</v>
      </c>
      <c r="B226" s="521" t="e">
        <f ca="1">gr(charge_entree[[#This Row],[ch_E_DBO5]])</f>
        <v>#NAME?</v>
      </c>
      <c r="C226" s="521" t="e">
        <f ca="1">gr(charge_entree[[#This Row],[ch_E_DCO]])</f>
        <v>#NAME?</v>
      </c>
      <c r="D226" s="521" t="e">
        <f ca="1">gr(charge_entree[[#This Row],[ch_E_COT]])</f>
        <v>#NAME?</v>
      </c>
      <c r="E226" s="521" t="e">
        <f ca="1">gr(charge_entree[[#This Row],[ch_E_NH4]])</f>
        <v>#NAME?</v>
      </c>
      <c r="F226" s="521" t="e">
        <f ca="1">gr(charge_entree[[#This Row],[ch_E_NTOT]])</f>
        <v>#NAME?</v>
      </c>
      <c r="G226" s="521" t="e">
        <f ca="1">gr(charge_entree[[#This Row],[ch_E_PTOT]])</f>
        <v>#NAME?</v>
      </c>
      <c r="H226" s="521" t="e">
        <f ca="1">gr(charge_entree[[#This Row],[ch_S_DBO]])</f>
        <v>#NAME?</v>
      </c>
      <c r="I226" s="521" t="e">
        <f ca="1">gr(charge_entree[[#This Row],[ch_S-DCO]])</f>
        <v>#NAME?</v>
      </c>
      <c r="J226" s="521" t="e">
        <f ca="1">gr(charge_entree[[#This Row],[ch_S_DOC]])</f>
        <v>#NAME?</v>
      </c>
      <c r="K226" s="521" t="e">
        <f ca="1">gr(charge_entree[[#This Row],[ch_S_NH4]])</f>
        <v>#NAME?</v>
      </c>
      <c r="L226" s="521" t="e">
        <f ca="1">gr(charge_entree[[#This Row],[ch_S_NO2]])</f>
        <v>#NAME?</v>
      </c>
      <c r="M226" s="521" t="e">
        <f ca="1">gr(charge_entree[[#This Row],[ch_S_NO3]])</f>
        <v>#NAME?</v>
      </c>
      <c r="N226" s="521" t="e">
        <f ca="1">gr(charge_entree[[#This Row],[ch_S_PTOT]])</f>
        <v>#NAME?</v>
      </c>
      <c r="O226" s="521" t="e">
        <f ca="1">gr(charge_entree[[#This Row],[ch_S_SNDT]])</f>
        <v>#NAME?</v>
      </c>
    </row>
    <row r="227" spans="1:15" x14ac:dyDescent="0.2">
      <c r="A227" s="222">
        <f>calculs!A227</f>
        <v>44778</v>
      </c>
      <c r="B227" s="521" t="e">
        <f ca="1">gr(charge_entree[[#This Row],[ch_E_DBO5]])</f>
        <v>#NAME?</v>
      </c>
      <c r="C227" s="521" t="e">
        <f ca="1">gr(charge_entree[[#This Row],[ch_E_DCO]])</f>
        <v>#NAME?</v>
      </c>
      <c r="D227" s="521" t="e">
        <f ca="1">gr(charge_entree[[#This Row],[ch_E_COT]])</f>
        <v>#NAME?</v>
      </c>
      <c r="E227" s="521" t="e">
        <f ca="1">gr(charge_entree[[#This Row],[ch_E_NH4]])</f>
        <v>#NAME?</v>
      </c>
      <c r="F227" s="521" t="e">
        <f ca="1">gr(charge_entree[[#This Row],[ch_E_NTOT]])</f>
        <v>#NAME?</v>
      </c>
      <c r="G227" s="521" t="e">
        <f ca="1">gr(charge_entree[[#This Row],[ch_E_PTOT]])</f>
        <v>#NAME?</v>
      </c>
      <c r="H227" s="521" t="e">
        <f ca="1">gr(charge_entree[[#This Row],[ch_S_DBO]])</f>
        <v>#NAME?</v>
      </c>
      <c r="I227" s="521" t="e">
        <f ca="1">gr(charge_entree[[#This Row],[ch_S-DCO]])</f>
        <v>#NAME?</v>
      </c>
      <c r="J227" s="521" t="e">
        <f ca="1">gr(charge_entree[[#This Row],[ch_S_DOC]])</f>
        <v>#NAME?</v>
      </c>
      <c r="K227" s="521" t="e">
        <f ca="1">gr(charge_entree[[#This Row],[ch_S_NH4]])</f>
        <v>#NAME?</v>
      </c>
      <c r="L227" s="521" t="e">
        <f ca="1">gr(charge_entree[[#This Row],[ch_S_NO2]])</f>
        <v>#NAME?</v>
      </c>
      <c r="M227" s="521" t="e">
        <f ca="1">gr(charge_entree[[#This Row],[ch_S_NO3]])</f>
        <v>#NAME?</v>
      </c>
      <c r="N227" s="521" t="e">
        <f ca="1">gr(charge_entree[[#This Row],[ch_S_PTOT]])</f>
        <v>#NAME?</v>
      </c>
      <c r="O227" s="521" t="e">
        <f ca="1">gr(charge_entree[[#This Row],[ch_S_SNDT]])</f>
        <v>#NAME?</v>
      </c>
    </row>
    <row r="228" spans="1:15" x14ac:dyDescent="0.2">
      <c r="A228" s="222">
        <f>calculs!A228</f>
        <v>44779</v>
      </c>
      <c r="B228" s="521" t="e">
        <f ca="1">gr(charge_entree[[#This Row],[ch_E_DBO5]])</f>
        <v>#NAME?</v>
      </c>
      <c r="C228" s="521" t="e">
        <f ca="1">gr(charge_entree[[#This Row],[ch_E_DCO]])</f>
        <v>#NAME?</v>
      </c>
      <c r="D228" s="521" t="e">
        <f ca="1">gr(charge_entree[[#This Row],[ch_E_COT]])</f>
        <v>#NAME?</v>
      </c>
      <c r="E228" s="521" t="e">
        <f ca="1">gr(charge_entree[[#This Row],[ch_E_NH4]])</f>
        <v>#NAME?</v>
      </c>
      <c r="F228" s="521" t="e">
        <f ca="1">gr(charge_entree[[#This Row],[ch_E_NTOT]])</f>
        <v>#NAME?</v>
      </c>
      <c r="G228" s="521" t="e">
        <f ca="1">gr(charge_entree[[#This Row],[ch_E_PTOT]])</f>
        <v>#NAME?</v>
      </c>
      <c r="H228" s="521" t="e">
        <f ca="1">gr(charge_entree[[#This Row],[ch_S_DBO]])</f>
        <v>#NAME?</v>
      </c>
      <c r="I228" s="521" t="e">
        <f ca="1">gr(charge_entree[[#This Row],[ch_S-DCO]])</f>
        <v>#NAME?</v>
      </c>
      <c r="J228" s="521" t="e">
        <f ca="1">gr(charge_entree[[#This Row],[ch_S_DOC]])</f>
        <v>#NAME?</v>
      </c>
      <c r="K228" s="521" t="e">
        <f ca="1">gr(charge_entree[[#This Row],[ch_S_NH4]])</f>
        <v>#NAME?</v>
      </c>
      <c r="L228" s="521" t="e">
        <f ca="1">gr(charge_entree[[#This Row],[ch_S_NO2]])</f>
        <v>#NAME?</v>
      </c>
      <c r="M228" s="521" t="e">
        <f ca="1">gr(charge_entree[[#This Row],[ch_S_NO3]])</f>
        <v>#NAME?</v>
      </c>
      <c r="N228" s="521" t="e">
        <f ca="1">gr(charge_entree[[#This Row],[ch_S_PTOT]])</f>
        <v>#NAME?</v>
      </c>
      <c r="O228" s="521" t="e">
        <f ca="1">gr(charge_entree[[#This Row],[ch_S_SNDT]])</f>
        <v>#NAME?</v>
      </c>
    </row>
    <row r="229" spans="1:15" x14ac:dyDescent="0.2">
      <c r="A229" s="222">
        <f>calculs!A229</f>
        <v>44780</v>
      </c>
      <c r="B229" s="521" t="e">
        <f ca="1">gr(charge_entree[[#This Row],[ch_E_DBO5]])</f>
        <v>#NAME?</v>
      </c>
      <c r="C229" s="521" t="e">
        <f ca="1">gr(charge_entree[[#This Row],[ch_E_DCO]])</f>
        <v>#NAME?</v>
      </c>
      <c r="D229" s="521" t="e">
        <f ca="1">gr(charge_entree[[#This Row],[ch_E_COT]])</f>
        <v>#NAME?</v>
      </c>
      <c r="E229" s="521" t="e">
        <f ca="1">gr(charge_entree[[#This Row],[ch_E_NH4]])</f>
        <v>#NAME?</v>
      </c>
      <c r="F229" s="521" t="e">
        <f ca="1">gr(charge_entree[[#This Row],[ch_E_NTOT]])</f>
        <v>#NAME?</v>
      </c>
      <c r="G229" s="521" t="e">
        <f ca="1">gr(charge_entree[[#This Row],[ch_E_PTOT]])</f>
        <v>#NAME?</v>
      </c>
      <c r="H229" s="521" t="e">
        <f ca="1">gr(charge_entree[[#This Row],[ch_S_DBO]])</f>
        <v>#NAME?</v>
      </c>
      <c r="I229" s="521" t="e">
        <f ca="1">gr(charge_entree[[#This Row],[ch_S-DCO]])</f>
        <v>#NAME?</v>
      </c>
      <c r="J229" s="521" t="e">
        <f ca="1">gr(charge_entree[[#This Row],[ch_S_DOC]])</f>
        <v>#NAME?</v>
      </c>
      <c r="K229" s="521" t="e">
        <f ca="1">gr(charge_entree[[#This Row],[ch_S_NH4]])</f>
        <v>#NAME?</v>
      </c>
      <c r="L229" s="521" t="e">
        <f ca="1">gr(charge_entree[[#This Row],[ch_S_NO2]])</f>
        <v>#NAME?</v>
      </c>
      <c r="M229" s="521" t="e">
        <f ca="1">gr(charge_entree[[#This Row],[ch_S_NO3]])</f>
        <v>#NAME?</v>
      </c>
      <c r="N229" s="521" t="e">
        <f ca="1">gr(charge_entree[[#This Row],[ch_S_PTOT]])</f>
        <v>#NAME?</v>
      </c>
      <c r="O229" s="521" t="e">
        <f ca="1">gr(charge_entree[[#This Row],[ch_S_SNDT]])</f>
        <v>#NAME?</v>
      </c>
    </row>
    <row r="230" spans="1:15" x14ac:dyDescent="0.2">
      <c r="A230" s="222">
        <f>calculs!A230</f>
        <v>44781</v>
      </c>
      <c r="B230" s="521" t="e">
        <f ca="1">gr(charge_entree[[#This Row],[ch_E_DBO5]])</f>
        <v>#NAME?</v>
      </c>
      <c r="C230" s="521" t="e">
        <f ca="1">gr(charge_entree[[#This Row],[ch_E_DCO]])</f>
        <v>#NAME?</v>
      </c>
      <c r="D230" s="521" t="e">
        <f ca="1">gr(charge_entree[[#This Row],[ch_E_COT]])</f>
        <v>#NAME?</v>
      </c>
      <c r="E230" s="521" t="e">
        <f ca="1">gr(charge_entree[[#This Row],[ch_E_NH4]])</f>
        <v>#NAME?</v>
      </c>
      <c r="F230" s="521" t="e">
        <f ca="1">gr(charge_entree[[#This Row],[ch_E_NTOT]])</f>
        <v>#NAME?</v>
      </c>
      <c r="G230" s="521" t="e">
        <f ca="1">gr(charge_entree[[#This Row],[ch_E_PTOT]])</f>
        <v>#NAME?</v>
      </c>
      <c r="H230" s="521" t="e">
        <f ca="1">gr(charge_entree[[#This Row],[ch_S_DBO]])</f>
        <v>#NAME?</v>
      </c>
      <c r="I230" s="521" t="e">
        <f ca="1">gr(charge_entree[[#This Row],[ch_S-DCO]])</f>
        <v>#NAME?</v>
      </c>
      <c r="J230" s="521" t="e">
        <f ca="1">gr(charge_entree[[#This Row],[ch_S_DOC]])</f>
        <v>#NAME?</v>
      </c>
      <c r="K230" s="521" t="e">
        <f ca="1">gr(charge_entree[[#This Row],[ch_S_NH4]])</f>
        <v>#NAME?</v>
      </c>
      <c r="L230" s="521" t="e">
        <f ca="1">gr(charge_entree[[#This Row],[ch_S_NO2]])</f>
        <v>#NAME?</v>
      </c>
      <c r="M230" s="521" t="e">
        <f ca="1">gr(charge_entree[[#This Row],[ch_S_NO3]])</f>
        <v>#NAME?</v>
      </c>
      <c r="N230" s="521" t="e">
        <f ca="1">gr(charge_entree[[#This Row],[ch_S_PTOT]])</f>
        <v>#NAME?</v>
      </c>
      <c r="O230" s="521" t="e">
        <f ca="1">gr(charge_entree[[#This Row],[ch_S_SNDT]])</f>
        <v>#NAME?</v>
      </c>
    </row>
    <row r="231" spans="1:15" x14ac:dyDescent="0.2">
      <c r="A231" s="222">
        <f>calculs!A231</f>
        <v>44782</v>
      </c>
      <c r="B231" s="521" t="e">
        <f ca="1">gr(charge_entree[[#This Row],[ch_E_DBO5]])</f>
        <v>#NAME?</v>
      </c>
      <c r="C231" s="521" t="e">
        <f ca="1">gr(charge_entree[[#This Row],[ch_E_DCO]])</f>
        <v>#NAME?</v>
      </c>
      <c r="D231" s="521" t="e">
        <f ca="1">gr(charge_entree[[#This Row],[ch_E_COT]])</f>
        <v>#NAME?</v>
      </c>
      <c r="E231" s="521" t="e">
        <f ca="1">gr(charge_entree[[#This Row],[ch_E_NH4]])</f>
        <v>#NAME?</v>
      </c>
      <c r="F231" s="521" t="e">
        <f ca="1">gr(charge_entree[[#This Row],[ch_E_NTOT]])</f>
        <v>#NAME?</v>
      </c>
      <c r="G231" s="521" t="e">
        <f ca="1">gr(charge_entree[[#This Row],[ch_E_PTOT]])</f>
        <v>#NAME?</v>
      </c>
      <c r="H231" s="521" t="e">
        <f ca="1">gr(charge_entree[[#This Row],[ch_S_DBO]])</f>
        <v>#NAME?</v>
      </c>
      <c r="I231" s="521" t="e">
        <f ca="1">gr(charge_entree[[#This Row],[ch_S-DCO]])</f>
        <v>#NAME?</v>
      </c>
      <c r="J231" s="521" t="e">
        <f ca="1">gr(charge_entree[[#This Row],[ch_S_DOC]])</f>
        <v>#NAME?</v>
      </c>
      <c r="K231" s="521" t="e">
        <f ca="1">gr(charge_entree[[#This Row],[ch_S_NH4]])</f>
        <v>#NAME?</v>
      </c>
      <c r="L231" s="521" t="e">
        <f ca="1">gr(charge_entree[[#This Row],[ch_S_NO2]])</f>
        <v>#NAME?</v>
      </c>
      <c r="M231" s="521" t="e">
        <f ca="1">gr(charge_entree[[#This Row],[ch_S_NO3]])</f>
        <v>#NAME?</v>
      </c>
      <c r="N231" s="521" t="e">
        <f ca="1">gr(charge_entree[[#This Row],[ch_S_PTOT]])</f>
        <v>#NAME?</v>
      </c>
      <c r="O231" s="521" t="e">
        <f ca="1">gr(charge_entree[[#This Row],[ch_S_SNDT]])</f>
        <v>#NAME?</v>
      </c>
    </row>
    <row r="232" spans="1:15" x14ac:dyDescent="0.2">
      <c r="A232" s="222">
        <f>calculs!A232</f>
        <v>44783</v>
      </c>
      <c r="B232" s="521" t="e">
        <f ca="1">gr(charge_entree[[#This Row],[ch_E_DBO5]])</f>
        <v>#NAME?</v>
      </c>
      <c r="C232" s="521" t="e">
        <f ca="1">gr(charge_entree[[#This Row],[ch_E_DCO]])</f>
        <v>#NAME?</v>
      </c>
      <c r="D232" s="521" t="e">
        <f ca="1">gr(charge_entree[[#This Row],[ch_E_COT]])</f>
        <v>#NAME?</v>
      </c>
      <c r="E232" s="521" t="e">
        <f ca="1">gr(charge_entree[[#This Row],[ch_E_NH4]])</f>
        <v>#NAME?</v>
      </c>
      <c r="F232" s="521" t="e">
        <f ca="1">gr(charge_entree[[#This Row],[ch_E_NTOT]])</f>
        <v>#NAME?</v>
      </c>
      <c r="G232" s="521" t="e">
        <f ca="1">gr(charge_entree[[#This Row],[ch_E_PTOT]])</f>
        <v>#NAME?</v>
      </c>
      <c r="H232" s="521" t="e">
        <f ca="1">gr(charge_entree[[#This Row],[ch_S_DBO]])</f>
        <v>#NAME?</v>
      </c>
      <c r="I232" s="521" t="e">
        <f ca="1">gr(charge_entree[[#This Row],[ch_S-DCO]])</f>
        <v>#NAME?</v>
      </c>
      <c r="J232" s="521" t="e">
        <f ca="1">gr(charge_entree[[#This Row],[ch_S_DOC]])</f>
        <v>#NAME?</v>
      </c>
      <c r="K232" s="521" t="e">
        <f ca="1">gr(charge_entree[[#This Row],[ch_S_NH4]])</f>
        <v>#NAME?</v>
      </c>
      <c r="L232" s="521" t="e">
        <f ca="1">gr(charge_entree[[#This Row],[ch_S_NO2]])</f>
        <v>#NAME?</v>
      </c>
      <c r="M232" s="521" t="e">
        <f ca="1">gr(charge_entree[[#This Row],[ch_S_NO3]])</f>
        <v>#NAME?</v>
      </c>
      <c r="N232" s="521" t="e">
        <f ca="1">gr(charge_entree[[#This Row],[ch_S_PTOT]])</f>
        <v>#NAME?</v>
      </c>
      <c r="O232" s="521" t="e">
        <f ca="1">gr(charge_entree[[#This Row],[ch_S_SNDT]])</f>
        <v>#NAME?</v>
      </c>
    </row>
    <row r="233" spans="1:15" x14ac:dyDescent="0.2">
      <c r="A233" s="222">
        <f>calculs!A233</f>
        <v>44784</v>
      </c>
      <c r="B233" s="521" t="e">
        <f ca="1">gr(charge_entree[[#This Row],[ch_E_DBO5]])</f>
        <v>#NAME?</v>
      </c>
      <c r="C233" s="521" t="e">
        <f ca="1">gr(charge_entree[[#This Row],[ch_E_DCO]])</f>
        <v>#NAME?</v>
      </c>
      <c r="D233" s="521" t="e">
        <f ca="1">gr(charge_entree[[#This Row],[ch_E_COT]])</f>
        <v>#NAME?</v>
      </c>
      <c r="E233" s="521" t="e">
        <f ca="1">gr(charge_entree[[#This Row],[ch_E_NH4]])</f>
        <v>#NAME?</v>
      </c>
      <c r="F233" s="521" t="e">
        <f ca="1">gr(charge_entree[[#This Row],[ch_E_NTOT]])</f>
        <v>#NAME?</v>
      </c>
      <c r="G233" s="521" t="e">
        <f ca="1">gr(charge_entree[[#This Row],[ch_E_PTOT]])</f>
        <v>#NAME?</v>
      </c>
      <c r="H233" s="521" t="e">
        <f ca="1">gr(charge_entree[[#This Row],[ch_S_DBO]])</f>
        <v>#NAME?</v>
      </c>
      <c r="I233" s="521" t="e">
        <f ca="1">gr(charge_entree[[#This Row],[ch_S-DCO]])</f>
        <v>#NAME?</v>
      </c>
      <c r="J233" s="521" t="e">
        <f ca="1">gr(charge_entree[[#This Row],[ch_S_DOC]])</f>
        <v>#NAME?</v>
      </c>
      <c r="K233" s="521" t="e">
        <f ca="1">gr(charge_entree[[#This Row],[ch_S_NH4]])</f>
        <v>#NAME?</v>
      </c>
      <c r="L233" s="521" t="e">
        <f ca="1">gr(charge_entree[[#This Row],[ch_S_NO2]])</f>
        <v>#NAME?</v>
      </c>
      <c r="M233" s="521" t="e">
        <f ca="1">gr(charge_entree[[#This Row],[ch_S_NO3]])</f>
        <v>#NAME?</v>
      </c>
      <c r="N233" s="521" t="e">
        <f ca="1">gr(charge_entree[[#This Row],[ch_S_PTOT]])</f>
        <v>#NAME?</v>
      </c>
      <c r="O233" s="521" t="e">
        <f ca="1">gr(charge_entree[[#This Row],[ch_S_SNDT]])</f>
        <v>#NAME?</v>
      </c>
    </row>
    <row r="234" spans="1:15" x14ac:dyDescent="0.2">
      <c r="A234" s="222">
        <f>calculs!A234</f>
        <v>44785</v>
      </c>
      <c r="B234" s="521" t="e">
        <f ca="1">gr(charge_entree[[#This Row],[ch_E_DBO5]])</f>
        <v>#NAME?</v>
      </c>
      <c r="C234" s="521" t="e">
        <f ca="1">gr(charge_entree[[#This Row],[ch_E_DCO]])</f>
        <v>#NAME?</v>
      </c>
      <c r="D234" s="521" t="e">
        <f ca="1">gr(charge_entree[[#This Row],[ch_E_COT]])</f>
        <v>#NAME?</v>
      </c>
      <c r="E234" s="521" t="e">
        <f ca="1">gr(charge_entree[[#This Row],[ch_E_NH4]])</f>
        <v>#NAME?</v>
      </c>
      <c r="F234" s="521" t="e">
        <f ca="1">gr(charge_entree[[#This Row],[ch_E_NTOT]])</f>
        <v>#NAME?</v>
      </c>
      <c r="G234" s="521" t="e">
        <f ca="1">gr(charge_entree[[#This Row],[ch_E_PTOT]])</f>
        <v>#NAME?</v>
      </c>
      <c r="H234" s="521" t="e">
        <f ca="1">gr(charge_entree[[#This Row],[ch_S_DBO]])</f>
        <v>#NAME?</v>
      </c>
      <c r="I234" s="521" t="e">
        <f ca="1">gr(charge_entree[[#This Row],[ch_S-DCO]])</f>
        <v>#NAME?</v>
      </c>
      <c r="J234" s="521" t="e">
        <f ca="1">gr(charge_entree[[#This Row],[ch_S_DOC]])</f>
        <v>#NAME?</v>
      </c>
      <c r="K234" s="521" t="e">
        <f ca="1">gr(charge_entree[[#This Row],[ch_S_NH4]])</f>
        <v>#NAME?</v>
      </c>
      <c r="L234" s="521" t="e">
        <f ca="1">gr(charge_entree[[#This Row],[ch_S_NO2]])</f>
        <v>#NAME?</v>
      </c>
      <c r="M234" s="521" t="e">
        <f ca="1">gr(charge_entree[[#This Row],[ch_S_NO3]])</f>
        <v>#NAME?</v>
      </c>
      <c r="N234" s="521" t="e">
        <f ca="1">gr(charge_entree[[#This Row],[ch_S_PTOT]])</f>
        <v>#NAME?</v>
      </c>
      <c r="O234" s="521" t="e">
        <f ca="1">gr(charge_entree[[#This Row],[ch_S_SNDT]])</f>
        <v>#NAME?</v>
      </c>
    </row>
    <row r="235" spans="1:15" x14ac:dyDescent="0.2">
      <c r="A235" s="222">
        <f>calculs!A235</f>
        <v>44786</v>
      </c>
      <c r="B235" s="521" t="e">
        <f ca="1">gr(charge_entree[[#This Row],[ch_E_DBO5]])</f>
        <v>#NAME?</v>
      </c>
      <c r="C235" s="521" t="e">
        <f ca="1">gr(charge_entree[[#This Row],[ch_E_DCO]])</f>
        <v>#NAME?</v>
      </c>
      <c r="D235" s="521" t="e">
        <f ca="1">gr(charge_entree[[#This Row],[ch_E_COT]])</f>
        <v>#NAME?</v>
      </c>
      <c r="E235" s="521" t="e">
        <f ca="1">gr(charge_entree[[#This Row],[ch_E_NH4]])</f>
        <v>#NAME?</v>
      </c>
      <c r="F235" s="521" t="e">
        <f ca="1">gr(charge_entree[[#This Row],[ch_E_NTOT]])</f>
        <v>#NAME?</v>
      </c>
      <c r="G235" s="521" t="e">
        <f ca="1">gr(charge_entree[[#This Row],[ch_E_PTOT]])</f>
        <v>#NAME?</v>
      </c>
      <c r="H235" s="521" t="e">
        <f ca="1">gr(charge_entree[[#This Row],[ch_S_DBO]])</f>
        <v>#NAME?</v>
      </c>
      <c r="I235" s="521" t="e">
        <f ca="1">gr(charge_entree[[#This Row],[ch_S-DCO]])</f>
        <v>#NAME?</v>
      </c>
      <c r="J235" s="521" t="e">
        <f ca="1">gr(charge_entree[[#This Row],[ch_S_DOC]])</f>
        <v>#NAME?</v>
      </c>
      <c r="K235" s="521" t="e">
        <f ca="1">gr(charge_entree[[#This Row],[ch_S_NH4]])</f>
        <v>#NAME?</v>
      </c>
      <c r="L235" s="521" t="e">
        <f ca="1">gr(charge_entree[[#This Row],[ch_S_NO2]])</f>
        <v>#NAME?</v>
      </c>
      <c r="M235" s="521" t="e">
        <f ca="1">gr(charge_entree[[#This Row],[ch_S_NO3]])</f>
        <v>#NAME?</v>
      </c>
      <c r="N235" s="521" t="e">
        <f ca="1">gr(charge_entree[[#This Row],[ch_S_PTOT]])</f>
        <v>#NAME?</v>
      </c>
      <c r="O235" s="521" t="e">
        <f ca="1">gr(charge_entree[[#This Row],[ch_S_SNDT]])</f>
        <v>#NAME?</v>
      </c>
    </row>
    <row r="236" spans="1:15" x14ac:dyDescent="0.2">
      <c r="A236" s="222">
        <f>calculs!A236</f>
        <v>44787</v>
      </c>
      <c r="B236" s="521" t="e">
        <f ca="1">gr(charge_entree[[#This Row],[ch_E_DBO5]])</f>
        <v>#NAME?</v>
      </c>
      <c r="C236" s="521" t="e">
        <f ca="1">gr(charge_entree[[#This Row],[ch_E_DCO]])</f>
        <v>#NAME?</v>
      </c>
      <c r="D236" s="521" t="e">
        <f ca="1">gr(charge_entree[[#This Row],[ch_E_COT]])</f>
        <v>#NAME?</v>
      </c>
      <c r="E236" s="521" t="e">
        <f ca="1">gr(charge_entree[[#This Row],[ch_E_NH4]])</f>
        <v>#NAME?</v>
      </c>
      <c r="F236" s="521" t="e">
        <f ca="1">gr(charge_entree[[#This Row],[ch_E_NTOT]])</f>
        <v>#NAME?</v>
      </c>
      <c r="G236" s="521" t="e">
        <f ca="1">gr(charge_entree[[#This Row],[ch_E_PTOT]])</f>
        <v>#NAME?</v>
      </c>
      <c r="H236" s="521" t="e">
        <f ca="1">gr(charge_entree[[#This Row],[ch_S_DBO]])</f>
        <v>#NAME?</v>
      </c>
      <c r="I236" s="521" t="e">
        <f ca="1">gr(charge_entree[[#This Row],[ch_S-DCO]])</f>
        <v>#NAME?</v>
      </c>
      <c r="J236" s="521" t="e">
        <f ca="1">gr(charge_entree[[#This Row],[ch_S_DOC]])</f>
        <v>#NAME?</v>
      </c>
      <c r="K236" s="521" t="e">
        <f ca="1">gr(charge_entree[[#This Row],[ch_S_NH4]])</f>
        <v>#NAME?</v>
      </c>
      <c r="L236" s="521" t="e">
        <f ca="1">gr(charge_entree[[#This Row],[ch_S_NO2]])</f>
        <v>#NAME?</v>
      </c>
      <c r="M236" s="521" t="e">
        <f ca="1">gr(charge_entree[[#This Row],[ch_S_NO3]])</f>
        <v>#NAME?</v>
      </c>
      <c r="N236" s="521" t="e">
        <f ca="1">gr(charge_entree[[#This Row],[ch_S_PTOT]])</f>
        <v>#NAME?</v>
      </c>
      <c r="O236" s="521" t="e">
        <f ca="1">gr(charge_entree[[#This Row],[ch_S_SNDT]])</f>
        <v>#NAME?</v>
      </c>
    </row>
    <row r="237" spans="1:15" x14ac:dyDescent="0.2">
      <c r="A237" s="222">
        <f>calculs!A237</f>
        <v>44788</v>
      </c>
      <c r="B237" s="521" t="e">
        <f ca="1">gr(charge_entree[[#This Row],[ch_E_DBO5]])</f>
        <v>#NAME?</v>
      </c>
      <c r="C237" s="521" t="e">
        <f ca="1">gr(charge_entree[[#This Row],[ch_E_DCO]])</f>
        <v>#NAME?</v>
      </c>
      <c r="D237" s="521" t="e">
        <f ca="1">gr(charge_entree[[#This Row],[ch_E_COT]])</f>
        <v>#NAME?</v>
      </c>
      <c r="E237" s="521" t="e">
        <f ca="1">gr(charge_entree[[#This Row],[ch_E_NH4]])</f>
        <v>#NAME?</v>
      </c>
      <c r="F237" s="521" t="e">
        <f ca="1">gr(charge_entree[[#This Row],[ch_E_NTOT]])</f>
        <v>#NAME?</v>
      </c>
      <c r="G237" s="521" t="e">
        <f ca="1">gr(charge_entree[[#This Row],[ch_E_PTOT]])</f>
        <v>#NAME?</v>
      </c>
      <c r="H237" s="521" t="e">
        <f ca="1">gr(charge_entree[[#This Row],[ch_S_DBO]])</f>
        <v>#NAME?</v>
      </c>
      <c r="I237" s="521" t="e">
        <f ca="1">gr(charge_entree[[#This Row],[ch_S-DCO]])</f>
        <v>#NAME?</v>
      </c>
      <c r="J237" s="521" t="e">
        <f ca="1">gr(charge_entree[[#This Row],[ch_S_DOC]])</f>
        <v>#NAME?</v>
      </c>
      <c r="K237" s="521" t="e">
        <f ca="1">gr(charge_entree[[#This Row],[ch_S_NH4]])</f>
        <v>#NAME?</v>
      </c>
      <c r="L237" s="521" t="e">
        <f ca="1">gr(charge_entree[[#This Row],[ch_S_NO2]])</f>
        <v>#NAME?</v>
      </c>
      <c r="M237" s="521" t="e">
        <f ca="1">gr(charge_entree[[#This Row],[ch_S_NO3]])</f>
        <v>#NAME?</v>
      </c>
      <c r="N237" s="521" t="e">
        <f ca="1">gr(charge_entree[[#This Row],[ch_S_PTOT]])</f>
        <v>#NAME?</v>
      </c>
      <c r="O237" s="521" t="e">
        <f ca="1">gr(charge_entree[[#This Row],[ch_S_SNDT]])</f>
        <v>#NAME?</v>
      </c>
    </row>
    <row r="238" spans="1:15" x14ac:dyDescent="0.2">
      <c r="A238" s="222">
        <f>calculs!A238</f>
        <v>44789</v>
      </c>
      <c r="B238" s="521" t="e">
        <f ca="1">gr(charge_entree[[#This Row],[ch_E_DBO5]])</f>
        <v>#NAME?</v>
      </c>
      <c r="C238" s="521" t="e">
        <f ca="1">gr(charge_entree[[#This Row],[ch_E_DCO]])</f>
        <v>#NAME?</v>
      </c>
      <c r="D238" s="521" t="e">
        <f ca="1">gr(charge_entree[[#This Row],[ch_E_COT]])</f>
        <v>#NAME?</v>
      </c>
      <c r="E238" s="521" t="e">
        <f ca="1">gr(charge_entree[[#This Row],[ch_E_NH4]])</f>
        <v>#NAME?</v>
      </c>
      <c r="F238" s="521" t="e">
        <f ca="1">gr(charge_entree[[#This Row],[ch_E_NTOT]])</f>
        <v>#NAME?</v>
      </c>
      <c r="G238" s="521" t="e">
        <f ca="1">gr(charge_entree[[#This Row],[ch_E_PTOT]])</f>
        <v>#NAME?</v>
      </c>
      <c r="H238" s="521" t="e">
        <f ca="1">gr(charge_entree[[#This Row],[ch_S_DBO]])</f>
        <v>#NAME?</v>
      </c>
      <c r="I238" s="521" t="e">
        <f ca="1">gr(charge_entree[[#This Row],[ch_S-DCO]])</f>
        <v>#NAME?</v>
      </c>
      <c r="J238" s="521" t="e">
        <f ca="1">gr(charge_entree[[#This Row],[ch_S_DOC]])</f>
        <v>#NAME?</v>
      </c>
      <c r="K238" s="521" t="e">
        <f ca="1">gr(charge_entree[[#This Row],[ch_S_NH4]])</f>
        <v>#NAME?</v>
      </c>
      <c r="L238" s="521" t="e">
        <f ca="1">gr(charge_entree[[#This Row],[ch_S_NO2]])</f>
        <v>#NAME?</v>
      </c>
      <c r="M238" s="521" t="e">
        <f ca="1">gr(charge_entree[[#This Row],[ch_S_NO3]])</f>
        <v>#NAME?</v>
      </c>
      <c r="N238" s="521" t="e">
        <f ca="1">gr(charge_entree[[#This Row],[ch_S_PTOT]])</f>
        <v>#NAME?</v>
      </c>
      <c r="O238" s="521" t="e">
        <f ca="1">gr(charge_entree[[#This Row],[ch_S_SNDT]])</f>
        <v>#NAME?</v>
      </c>
    </row>
    <row r="239" spans="1:15" x14ac:dyDescent="0.2">
      <c r="A239" s="222">
        <f>calculs!A239</f>
        <v>44790</v>
      </c>
      <c r="B239" s="521" t="e">
        <f ca="1">gr(charge_entree[[#This Row],[ch_E_DBO5]])</f>
        <v>#NAME?</v>
      </c>
      <c r="C239" s="521" t="e">
        <f ca="1">gr(charge_entree[[#This Row],[ch_E_DCO]])</f>
        <v>#NAME?</v>
      </c>
      <c r="D239" s="521" t="e">
        <f ca="1">gr(charge_entree[[#This Row],[ch_E_COT]])</f>
        <v>#NAME?</v>
      </c>
      <c r="E239" s="521" t="e">
        <f ca="1">gr(charge_entree[[#This Row],[ch_E_NH4]])</f>
        <v>#NAME?</v>
      </c>
      <c r="F239" s="521" t="e">
        <f ca="1">gr(charge_entree[[#This Row],[ch_E_NTOT]])</f>
        <v>#NAME?</v>
      </c>
      <c r="G239" s="521" t="e">
        <f ca="1">gr(charge_entree[[#This Row],[ch_E_PTOT]])</f>
        <v>#NAME?</v>
      </c>
      <c r="H239" s="521" t="e">
        <f ca="1">gr(charge_entree[[#This Row],[ch_S_DBO]])</f>
        <v>#NAME?</v>
      </c>
      <c r="I239" s="521" t="e">
        <f ca="1">gr(charge_entree[[#This Row],[ch_S-DCO]])</f>
        <v>#NAME?</v>
      </c>
      <c r="J239" s="521" t="e">
        <f ca="1">gr(charge_entree[[#This Row],[ch_S_DOC]])</f>
        <v>#NAME?</v>
      </c>
      <c r="K239" s="521" t="e">
        <f ca="1">gr(charge_entree[[#This Row],[ch_S_NH4]])</f>
        <v>#NAME?</v>
      </c>
      <c r="L239" s="521" t="e">
        <f ca="1">gr(charge_entree[[#This Row],[ch_S_NO2]])</f>
        <v>#NAME?</v>
      </c>
      <c r="M239" s="521" t="e">
        <f ca="1">gr(charge_entree[[#This Row],[ch_S_NO3]])</f>
        <v>#NAME?</v>
      </c>
      <c r="N239" s="521" t="e">
        <f ca="1">gr(charge_entree[[#This Row],[ch_S_PTOT]])</f>
        <v>#NAME?</v>
      </c>
      <c r="O239" s="521" t="e">
        <f ca="1">gr(charge_entree[[#This Row],[ch_S_SNDT]])</f>
        <v>#NAME?</v>
      </c>
    </row>
    <row r="240" spans="1:15" x14ac:dyDescent="0.2">
      <c r="A240" s="222">
        <f>calculs!A240</f>
        <v>44791</v>
      </c>
      <c r="B240" s="521" t="e">
        <f ca="1">gr(charge_entree[[#This Row],[ch_E_DBO5]])</f>
        <v>#NAME?</v>
      </c>
      <c r="C240" s="521" t="e">
        <f ca="1">gr(charge_entree[[#This Row],[ch_E_DCO]])</f>
        <v>#NAME?</v>
      </c>
      <c r="D240" s="521" t="e">
        <f ca="1">gr(charge_entree[[#This Row],[ch_E_COT]])</f>
        <v>#NAME?</v>
      </c>
      <c r="E240" s="521" t="e">
        <f ca="1">gr(charge_entree[[#This Row],[ch_E_NH4]])</f>
        <v>#NAME?</v>
      </c>
      <c r="F240" s="521" t="e">
        <f ca="1">gr(charge_entree[[#This Row],[ch_E_NTOT]])</f>
        <v>#NAME?</v>
      </c>
      <c r="G240" s="521" t="e">
        <f ca="1">gr(charge_entree[[#This Row],[ch_E_PTOT]])</f>
        <v>#NAME?</v>
      </c>
      <c r="H240" s="521" t="e">
        <f ca="1">gr(charge_entree[[#This Row],[ch_S_DBO]])</f>
        <v>#NAME?</v>
      </c>
      <c r="I240" s="521" t="e">
        <f ca="1">gr(charge_entree[[#This Row],[ch_S-DCO]])</f>
        <v>#NAME?</v>
      </c>
      <c r="J240" s="521" t="e">
        <f ca="1">gr(charge_entree[[#This Row],[ch_S_DOC]])</f>
        <v>#NAME?</v>
      </c>
      <c r="K240" s="521" t="e">
        <f ca="1">gr(charge_entree[[#This Row],[ch_S_NH4]])</f>
        <v>#NAME?</v>
      </c>
      <c r="L240" s="521" t="e">
        <f ca="1">gr(charge_entree[[#This Row],[ch_S_NO2]])</f>
        <v>#NAME?</v>
      </c>
      <c r="M240" s="521" t="e">
        <f ca="1">gr(charge_entree[[#This Row],[ch_S_NO3]])</f>
        <v>#NAME?</v>
      </c>
      <c r="N240" s="521" t="e">
        <f ca="1">gr(charge_entree[[#This Row],[ch_S_PTOT]])</f>
        <v>#NAME?</v>
      </c>
      <c r="O240" s="521" t="e">
        <f ca="1">gr(charge_entree[[#This Row],[ch_S_SNDT]])</f>
        <v>#NAME?</v>
      </c>
    </row>
    <row r="241" spans="1:15" x14ac:dyDescent="0.2">
      <c r="A241" s="222">
        <f>calculs!A241</f>
        <v>44792</v>
      </c>
      <c r="B241" s="521" t="e">
        <f ca="1">gr(charge_entree[[#This Row],[ch_E_DBO5]])</f>
        <v>#NAME?</v>
      </c>
      <c r="C241" s="521" t="e">
        <f ca="1">gr(charge_entree[[#This Row],[ch_E_DCO]])</f>
        <v>#NAME?</v>
      </c>
      <c r="D241" s="521" t="e">
        <f ca="1">gr(charge_entree[[#This Row],[ch_E_COT]])</f>
        <v>#NAME?</v>
      </c>
      <c r="E241" s="521" t="e">
        <f ca="1">gr(charge_entree[[#This Row],[ch_E_NH4]])</f>
        <v>#NAME?</v>
      </c>
      <c r="F241" s="521" t="e">
        <f ca="1">gr(charge_entree[[#This Row],[ch_E_NTOT]])</f>
        <v>#NAME?</v>
      </c>
      <c r="G241" s="521" t="e">
        <f ca="1">gr(charge_entree[[#This Row],[ch_E_PTOT]])</f>
        <v>#NAME?</v>
      </c>
      <c r="H241" s="521" t="e">
        <f ca="1">gr(charge_entree[[#This Row],[ch_S_DBO]])</f>
        <v>#NAME?</v>
      </c>
      <c r="I241" s="521" t="e">
        <f ca="1">gr(charge_entree[[#This Row],[ch_S-DCO]])</f>
        <v>#NAME?</v>
      </c>
      <c r="J241" s="521" t="e">
        <f ca="1">gr(charge_entree[[#This Row],[ch_S_DOC]])</f>
        <v>#NAME?</v>
      </c>
      <c r="K241" s="521" t="e">
        <f ca="1">gr(charge_entree[[#This Row],[ch_S_NH4]])</f>
        <v>#NAME?</v>
      </c>
      <c r="L241" s="521" t="e">
        <f ca="1">gr(charge_entree[[#This Row],[ch_S_NO2]])</f>
        <v>#NAME?</v>
      </c>
      <c r="M241" s="521" t="e">
        <f ca="1">gr(charge_entree[[#This Row],[ch_S_NO3]])</f>
        <v>#NAME?</v>
      </c>
      <c r="N241" s="521" t="e">
        <f ca="1">gr(charge_entree[[#This Row],[ch_S_PTOT]])</f>
        <v>#NAME?</v>
      </c>
      <c r="O241" s="521" t="e">
        <f ca="1">gr(charge_entree[[#This Row],[ch_S_SNDT]])</f>
        <v>#NAME?</v>
      </c>
    </row>
    <row r="242" spans="1:15" x14ac:dyDescent="0.2">
      <c r="A242" s="222">
        <f>calculs!A242</f>
        <v>44793</v>
      </c>
      <c r="B242" s="521" t="e">
        <f ca="1">gr(charge_entree[[#This Row],[ch_E_DBO5]])</f>
        <v>#NAME?</v>
      </c>
      <c r="C242" s="521" t="e">
        <f ca="1">gr(charge_entree[[#This Row],[ch_E_DCO]])</f>
        <v>#NAME?</v>
      </c>
      <c r="D242" s="521" t="e">
        <f ca="1">gr(charge_entree[[#This Row],[ch_E_COT]])</f>
        <v>#NAME?</v>
      </c>
      <c r="E242" s="521" t="e">
        <f ca="1">gr(charge_entree[[#This Row],[ch_E_NH4]])</f>
        <v>#NAME?</v>
      </c>
      <c r="F242" s="521" t="e">
        <f ca="1">gr(charge_entree[[#This Row],[ch_E_NTOT]])</f>
        <v>#NAME?</v>
      </c>
      <c r="G242" s="521" t="e">
        <f ca="1">gr(charge_entree[[#This Row],[ch_E_PTOT]])</f>
        <v>#NAME?</v>
      </c>
      <c r="H242" s="521" t="e">
        <f ca="1">gr(charge_entree[[#This Row],[ch_S_DBO]])</f>
        <v>#NAME?</v>
      </c>
      <c r="I242" s="521" t="e">
        <f ca="1">gr(charge_entree[[#This Row],[ch_S-DCO]])</f>
        <v>#NAME?</v>
      </c>
      <c r="J242" s="521" t="e">
        <f ca="1">gr(charge_entree[[#This Row],[ch_S_DOC]])</f>
        <v>#NAME?</v>
      </c>
      <c r="K242" s="521" t="e">
        <f ca="1">gr(charge_entree[[#This Row],[ch_S_NH4]])</f>
        <v>#NAME?</v>
      </c>
      <c r="L242" s="521" t="e">
        <f ca="1">gr(charge_entree[[#This Row],[ch_S_NO2]])</f>
        <v>#NAME?</v>
      </c>
      <c r="M242" s="521" t="e">
        <f ca="1">gr(charge_entree[[#This Row],[ch_S_NO3]])</f>
        <v>#NAME?</v>
      </c>
      <c r="N242" s="521" t="e">
        <f ca="1">gr(charge_entree[[#This Row],[ch_S_PTOT]])</f>
        <v>#NAME?</v>
      </c>
      <c r="O242" s="521" t="e">
        <f ca="1">gr(charge_entree[[#This Row],[ch_S_SNDT]])</f>
        <v>#NAME?</v>
      </c>
    </row>
    <row r="243" spans="1:15" x14ac:dyDescent="0.2">
      <c r="A243" s="222">
        <f>calculs!A243</f>
        <v>44794</v>
      </c>
      <c r="B243" s="521" t="e">
        <f ca="1">gr(charge_entree[[#This Row],[ch_E_DBO5]])</f>
        <v>#NAME?</v>
      </c>
      <c r="C243" s="521" t="e">
        <f ca="1">gr(charge_entree[[#This Row],[ch_E_DCO]])</f>
        <v>#NAME?</v>
      </c>
      <c r="D243" s="521" t="e">
        <f ca="1">gr(charge_entree[[#This Row],[ch_E_COT]])</f>
        <v>#NAME?</v>
      </c>
      <c r="E243" s="521" t="e">
        <f ca="1">gr(charge_entree[[#This Row],[ch_E_NH4]])</f>
        <v>#NAME?</v>
      </c>
      <c r="F243" s="521" t="e">
        <f ca="1">gr(charge_entree[[#This Row],[ch_E_NTOT]])</f>
        <v>#NAME?</v>
      </c>
      <c r="G243" s="521" t="e">
        <f ca="1">gr(charge_entree[[#This Row],[ch_E_PTOT]])</f>
        <v>#NAME?</v>
      </c>
      <c r="H243" s="521" t="e">
        <f ca="1">gr(charge_entree[[#This Row],[ch_S_DBO]])</f>
        <v>#NAME?</v>
      </c>
      <c r="I243" s="521" t="e">
        <f ca="1">gr(charge_entree[[#This Row],[ch_S-DCO]])</f>
        <v>#NAME?</v>
      </c>
      <c r="J243" s="521" t="e">
        <f ca="1">gr(charge_entree[[#This Row],[ch_S_DOC]])</f>
        <v>#NAME?</v>
      </c>
      <c r="K243" s="521" t="e">
        <f ca="1">gr(charge_entree[[#This Row],[ch_S_NH4]])</f>
        <v>#NAME?</v>
      </c>
      <c r="L243" s="521" t="e">
        <f ca="1">gr(charge_entree[[#This Row],[ch_S_NO2]])</f>
        <v>#NAME?</v>
      </c>
      <c r="M243" s="521" t="e">
        <f ca="1">gr(charge_entree[[#This Row],[ch_S_NO3]])</f>
        <v>#NAME?</v>
      </c>
      <c r="N243" s="521" t="e">
        <f ca="1">gr(charge_entree[[#This Row],[ch_S_PTOT]])</f>
        <v>#NAME?</v>
      </c>
      <c r="O243" s="521" t="e">
        <f ca="1">gr(charge_entree[[#This Row],[ch_S_SNDT]])</f>
        <v>#NAME?</v>
      </c>
    </row>
    <row r="244" spans="1:15" x14ac:dyDescent="0.2">
      <c r="A244" s="222">
        <f>calculs!A244</f>
        <v>44795</v>
      </c>
      <c r="B244" s="521" t="e">
        <f ca="1">gr(charge_entree[[#This Row],[ch_E_DBO5]])</f>
        <v>#NAME?</v>
      </c>
      <c r="C244" s="521" t="e">
        <f ca="1">gr(charge_entree[[#This Row],[ch_E_DCO]])</f>
        <v>#NAME?</v>
      </c>
      <c r="D244" s="521" t="e">
        <f ca="1">gr(charge_entree[[#This Row],[ch_E_COT]])</f>
        <v>#NAME?</v>
      </c>
      <c r="E244" s="521" t="e">
        <f ca="1">gr(charge_entree[[#This Row],[ch_E_NH4]])</f>
        <v>#NAME?</v>
      </c>
      <c r="F244" s="521" t="e">
        <f ca="1">gr(charge_entree[[#This Row],[ch_E_NTOT]])</f>
        <v>#NAME?</v>
      </c>
      <c r="G244" s="521" t="e">
        <f ca="1">gr(charge_entree[[#This Row],[ch_E_PTOT]])</f>
        <v>#NAME?</v>
      </c>
      <c r="H244" s="521" t="e">
        <f ca="1">gr(charge_entree[[#This Row],[ch_S_DBO]])</f>
        <v>#NAME?</v>
      </c>
      <c r="I244" s="521" t="e">
        <f ca="1">gr(charge_entree[[#This Row],[ch_S-DCO]])</f>
        <v>#NAME?</v>
      </c>
      <c r="J244" s="521" t="e">
        <f ca="1">gr(charge_entree[[#This Row],[ch_S_DOC]])</f>
        <v>#NAME?</v>
      </c>
      <c r="K244" s="521" t="e">
        <f ca="1">gr(charge_entree[[#This Row],[ch_S_NH4]])</f>
        <v>#NAME?</v>
      </c>
      <c r="L244" s="521" t="e">
        <f ca="1">gr(charge_entree[[#This Row],[ch_S_NO2]])</f>
        <v>#NAME?</v>
      </c>
      <c r="M244" s="521" t="e">
        <f ca="1">gr(charge_entree[[#This Row],[ch_S_NO3]])</f>
        <v>#NAME?</v>
      </c>
      <c r="N244" s="521" t="e">
        <f ca="1">gr(charge_entree[[#This Row],[ch_S_PTOT]])</f>
        <v>#NAME?</v>
      </c>
      <c r="O244" s="521" t="e">
        <f ca="1">gr(charge_entree[[#This Row],[ch_S_SNDT]])</f>
        <v>#NAME?</v>
      </c>
    </row>
    <row r="245" spans="1:15" x14ac:dyDescent="0.2">
      <c r="A245" s="222">
        <f>calculs!A245</f>
        <v>44796</v>
      </c>
      <c r="B245" s="521" t="e">
        <f ca="1">gr(charge_entree[[#This Row],[ch_E_DBO5]])</f>
        <v>#NAME?</v>
      </c>
      <c r="C245" s="521" t="e">
        <f ca="1">gr(charge_entree[[#This Row],[ch_E_DCO]])</f>
        <v>#NAME?</v>
      </c>
      <c r="D245" s="521" t="e">
        <f ca="1">gr(charge_entree[[#This Row],[ch_E_COT]])</f>
        <v>#NAME?</v>
      </c>
      <c r="E245" s="521" t="e">
        <f ca="1">gr(charge_entree[[#This Row],[ch_E_NH4]])</f>
        <v>#NAME?</v>
      </c>
      <c r="F245" s="521" t="e">
        <f ca="1">gr(charge_entree[[#This Row],[ch_E_NTOT]])</f>
        <v>#NAME?</v>
      </c>
      <c r="G245" s="521" t="e">
        <f ca="1">gr(charge_entree[[#This Row],[ch_E_PTOT]])</f>
        <v>#NAME?</v>
      </c>
      <c r="H245" s="521" t="e">
        <f ca="1">gr(charge_entree[[#This Row],[ch_S_DBO]])</f>
        <v>#NAME?</v>
      </c>
      <c r="I245" s="521" t="e">
        <f ca="1">gr(charge_entree[[#This Row],[ch_S-DCO]])</f>
        <v>#NAME?</v>
      </c>
      <c r="J245" s="521" t="e">
        <f ca="1">gr(charge_entree[[#This Row],[ch_S_DOC]])</f>
        <v>#NAME?</v>
      </c>
      <c r="K245" s="521" t="e">
        <f ca="1">gr(charge_entree[[#This Row],[ch_S_NH4]])</f>
        <v>#NAME?</v>
      </c>
      <c r="L245" s="521" t="e">
        <f ca="1">gr(charge_entree[[#This Row],[ch_S_NO2]])</f>
        <v>#NAME?</v>
      </c>
      <c r="M245" s="521" t="e">
        <f ca="1">gr(charge_entree[[#This Row],[ch_S_NO3]])</f>
        <v>#NAME?</v>
      </c>
      <c r="N245" s="521" t="e">
        <f ca="1">gr(charge_entree[[#This Row],[ch_S_PTOT]])</f>
        <v>#NAME?</v>
      </c>
      <c r="O245" s="521" t="e">
        <f ca="1">gr(charge_entree[[#This Row],[ch_S_SNDT]])</f>
        <v>#NAME?</v>
      </c>
    </row>
    <row r="246" spans="1:15" x14ac:dyDescent="0.2">
      <c r="A246" s="222">
        <f>calculs!A246</f>
        <v>44797</v>
      </c>
      <c r="B246" s="521" t="e">
        <f ca="1">gr(charge_entree[[#This Row],[ch_E_DBO5]])</f>
        <v>#NAME?</v>
      </c>
      <c r="C246" s="521" t="e">
        <f ca="1">gr(charge_entree[[#This Row],[ch_E_DCO]])</f>
        <v>#NAME?</v>
      </c>
      <c r="D246" s="521" t="e">
        <f ca="1">gr(charge_entree[[#This Row],[ch_E_COT]])</f>
        <v>#NAME?</v>
      </c>
      <c r="E246" s="521" t="e">
        <f ca="1">gr(charge_entree[[#This Row],[ch_E_NH4]])</f>
        <v>#NAME?</v>
      </c>
      <c r="F246" s="521" t="e">
        <f ca="1">gr(charge_entree[[#This Row],[ch_E_NTOT]])</f>
        <v>#NAME?</v>
      </c>
      <c r="G246" s="521" t="e">
        <f ca="1">gr(charge_entree[[#This Row],[ch_E_PTOT]])</f>
        <v>#NAME?</v>
      </c>
      <c r="H246" s="521" t="e">
        <f ca="1">gr(charge_entree[[#This Row],[ch_S_DBO]])</f>
        <v>#NAME?</v>
      </c>
      <c r="I246" s="521" t="e">
        <f ca="1">gr(charge_entree[[#This Row],[ch_S-DCO]])</f>
        <v>#NAME?</v>
      </c>
      <c r="J246" s="521" t="e">
        <f ca="1">gr(charge_entree[[#This Row],[ch_S_DOC]])</f>
        <v>#NAME?</v>
      </c>
      <c r="K246" s="521" t="e">
        <f ca="1">gr(charge_entree[[#This Row],[ch_S_NH4]])</f>
        <v>#NAME?</v>
      </c>
      <c r="L246" s="521" t="e">
        <f ca="1">gr(charge_entree[[#This Row],[ch_S_NO2]])</f>
        <v>#NAME?</v>
      </c>
      <c r="M246" s="521" t="e">
        <f ca="1">gr(charge_entree[[#This Row],[ch_S_NO3]])</f>
        <v>#NAME?</v>
      </c>
      <c r="N246" s="521" t="e">
        <f ca="1">gr(charge_entree[[#This Row],[ch_S_PTOT]])</f>
        <v>#NAME?</v>
      </c>
      <c r="O246" s="521" t="e">
        <f ca="1">gr(charge_entree[[#This Row],[ch_S_SNDT]])</f>
        <v>#NAME?</v>
      </c>
    </row>
    <row r="247" spans="1:15" x14ac:dyDescent="0.2">
      <c r="A247" s="222">
        <f>calculs!A247</f>
        <v>44798</v>
      </c>
      <c r="B247" s="521" t="e">
        <f ca="1">gr(charge_entree[[#This Row],[ch_E_DBO5]])</f>
        <v>#NAME?</v>
      </c>
      <c r="C247" s="521" t="e">
        <f ca="1">gr(charge_entree[[#This Row],[ch_E_DCO]])</f>
        <v>#NAME?</v>
      </c>
      <c r="D247" s="521" t="e">
        <f ca="1">gr(charge_entree[[#This Row],[ch_E_COT]])</f>
        <v>#NAME?</v>
      </c>
      <c r="E247" s="521" t="e">
        <f ca="1">gr(charge_entree[[#This Row],[ch_E_NH4]])</f>
        <v>#NAME?</v>
      </c>
      <c r="F247" s="521" t="e">
        <f ca="1">gr(charge_entree[[#This Row],[ch_E_NTOT]])</f>
        <v>#NAME?</v>
      </c>
      <c r="G247" s="521" t="e">
        <f ca="1">gr(charge_entree[[#This Row],[ch_E_PTOT]])</f>
        <v>#NAME?</v>
      </c>
      <c r="H247" s="521" t="e">
        <f ca="1">gr(charge_entree[[#This Row],[ch_S_DBO]])</f>
        <v>#NAME?</v>
      </c>
      <c r="I247" s="521" t="e">
        <f ca="1">gr(charge_entree[[#This Row],[ch_S-DCO]])</f>
        <v>#NAME?</v>
      </c>
      <c r="J247" s="521" t="e">
        <f ca="1">gr(charge_entree[[#This Row],[ch_S_DOC]])</f>
        <v>#NAME?</v>
      </c>
      <c r="K247" s="521" t="e">
        <f ca="1">gr(charge_entree[[#This Row],[ch_S_NH4]])</f>
        <v>#NAME?</v>
      </c>
      <c r="L247" s="521" t="e">
        <f ca="1">gr(charge_entree[[#This Row],[ch_S_NO2]])</f>
        <v>#NAME?</v>
      </c>
      <c r="M247" s="521" t="e">
        <f ca="1">gr(charge_entree[[#This Row],[ch_S_NO3]])</f>
        <v>#NAME?</v>
      </c>
      <c r="N247" s="521" t="e">
        <f ca="1">gr(charge_entree[[#This Row],[ch_S_PTOT]])</f>
        <v>#NAME?</v>
      </c>
      <c r="O247" s="521" t="e">
        <f ca="1">gr(charge_entree[[#This Row],[ch_S_SNDT]])</f>
        <v>#NAME?</v>
      </c>
    </row>
    <row r="248" spans="1:15" x14ac:dyDescent="0.2">
      <c r="A248" s="222">
        <f>calculs!A248</f>
        <v>44799</v>
      </c>
      <c r="B248" s="521" t="e">
        <f ca="1">gr(charge_entree[[#This Row],[ch_E_DBO5]])</f>
        <v>#NAME?</v>
      </c>
      <c r="C248" s="521" t="e">
        <f ca="1">gr(charge_entree[[#This Row],[ch_E_DCO]])</f>
        <v>#NAME?</v>
      </c>
      <c r="D248" s="521" t="e">
        <f ca="1">gr(charge_entree[[#This Row],[ch_E_COT]])</f>
        <v>#NAME?</v>
      </c>
      <c r="E248" s="521" t="e">
        <f ca="1">gr(charge_entree[[#This Row],[ch_E_NH4]])</f>
        <v>#NAME?</v>
      </c>
      <c r="F248" s="521" t="e">
        <f ca="1">gr(charge_entree[[#This Row],[ch_E_NTOT]])</f>
        <v>#NAME?</v>
      </c>
      <c r="G248" s="521" t="e">
        <f ca="1">gr(charge_entree[[#This Row],[ch_E_PTOT]])</f>
        <v>#NAME?</v>
      </c>
      <c r="H248" s="521" t="e">
        <f ca="1">gr(charge_entree[[#This Row],[ch_S_DBO]])</f>
        <v>#NAME?</v>
      </c>
      <c r="I248" s="521" t="e">
        <f ca="1">gr(charge_entree[[#This Row],[ch_S-DCO]])</f>
        <v>#NAME?</v>
      </c>
      <c r="J248" s="521" t="e">
        <f ca="1">gr(charge_entree[[#This Row],[ch_S_DOC]])</f>
        <v>#NAME?</v>
      </c>
      <c r="K248" s="521" t="e">
        <f ca="1">gr(charge_entree[[#This Row],[ch_S_NH4]])</f>
        <v>#NAME?</v>
      </c>
      <c r="L248" s="521" t="e">
        <f ca="1">gr(charge_entree[[#This Row],[ch_S_NO2]])</f>
        <v>#NAME?</v>
      </c>
      <c r="M248" s="521" t="e">
        <f ca="1">gr(charge_entree[[#This Row],[ch_S_NO3]])</f>
        <v>#NAME?</v>
      </c>
      <c r="N248" s="521" t="e">
        <f ca="1">gr(charge_entree[[#This Row],[ch_S_PTOT]])</f>
        <v>#NAME?</v>
      </c>
      <c r="O248" s="521" t="e">
        <f ca="1">gr(charge_entree[[#This Row],[ch_S_SNDT]])</f>
        <v>#NAME?</v>
      </c>
    </row>
    <row r="249" spans="1:15" x14ac:dyDescent="0.2">
      <c r="A249" s="222">
        <f>calculs!A249</f>
        <v>44800</v>
      </c>
      <c r="B249" s="521" t="e">
        <f ca="1">gr(charge_entree[[#This Row],[ch_E_DBO5]])</f>
        <v>#NAME?</v>
      </c>
      <c r="C249" s="521" t="e">
        <f ca="1">gr(charge_entree[[#This Row],[ch_E_DCO]])</f>
        <v>#NAME?</v>
      </c>
      <c r="D249" s="521" t="e">
        <f ca="1">gr(charge_entree[[#This Row],[ch_E_COT]])</f>
        <v>#NAME?</v>
      </c>
      <c r="E249" s="521" t="e">
        <f ca="1">gr(charge_entree[[#This Row],[ch_E_NH4]])</f>
        <v>#NAME?</v>
      </c>
      <c r="F249" s="521" t="e">
        <f ca="1">gr(charge_entree[[#This Row],[ch_E_NTOT]])</f>
        <v>#NAME?</v>
      </c>
      <c r="G249" s="521" t="e">
        <f ca="1">gr(charge_entree[[#This Row],[ch_E_PTOT]])</f>
        <v>#NAME?</v>
      </c>
      <c r="H249" s="521" t="e">
        <f ca="1">gr(charge_entree[[#This Row],[ch_S_DBO]])</f>
        <v>#NAME?</v>
      </c>
      <c r="I249" s="521" t="e">
        <f ca="1">gr(charge_entree[[#This Row],[ch_S-DCO]])</f>
        <v>#NAME?</v>
      </c>
      <c r="J249" s="521" t="e">
        <f ca="1">gr(charge_entree[[#This Row],[ch_S_DOC]])</f>
        <v>#NAME?</v>
      </c>
      <c r="K249" s="521" t="e">
        <f ca="1">gr(charge_entree[[#This Row],[ch_S_NH4]])</f>
        <v>#NAME?</v>
      </c>
      <c r="L249" s="521" t="e">
        <f ca="1">gr(charge_entree[[#This Row],[ch_S_NO2]])</f>
        <v>#NAME?</v>
      </c>
      <c r="M249" s="521" t="e">
        <f ca="1">gr(charge_entree[[#This Row],[ch_S_NO3]])</f>
        <v>#NAME?</v>
      </c>
      <c r="N249" s="521" t="e">
        <f ca="1">gr(charge_entree[[#This Row],[ch_S_PTOT]])</f>
        <v>#NAME?</v>
      </c>
      <c r="O249" s="521" t="e">
        <f ca="1">gr(charge_entree[[#This Row],[ch_S_SNDT]])</f>
        <v>#NAME?</v>
      </c>
    </row>
    <row r="250" spans="1:15" x14ac:dyDescent="0.2">
      <c r="A250" s="222">
        <f>calculs!A250</f>
        <v>44801</v>
      </c>
      <c r="B250" s="521" t="e">
        <f ca="1">gr(charge_entree[[#This Row],[ch_E_DBO5]])</f>
        <v>#NAME?</v>
      </c>
      <c r="C250" s="521" t="e">
        <f ca="1">gr(charge_entree[[#This Row],[ch_E_DCO]])</f>
        <v>#NAME?</v>
      </c>
      <c r="D250" s="521" t="e">
        <f ca="1">gr(charge_entree[[#This Row],[ch_E_COT]])</f>
        <v>#NAME?</v>
      </c>
      <c r="E250" s="521" t="e">
        <f ca="1">gr(charge_entree[[#This Row],[ch_E_NH4]])</f>
        <v>#NAME?</v>
      </c>
      <c r="F250" s="521" t="e">
        <f ca="1">gr(charge_entree[[#This Row],[ch_E_NTOT]])</f>
        <v>#NAME?</v>
      </c>
      <c r="G250" s="521" t="e">
        <f ca="1">gr(charge_entree[[#This Row],[ch_E_PTOT]])</f>
        <v>#NAME?</v>
      </c>
      <c r="H250" s="521" t="e">
        <f ca="1">gr(charge_entree[[#This Row],[ch_S_DBO]])</f>
        <v>#NAME?</v>
      </c>
      <c r="I250" s="521" t="e">
        <f ca="1">gr(charge_entree[[#This Row],[ch_S-DCO]])</f>
        <v>#NAME?</v>
      </c>
      <c r="J250" s="521" t="e">
        <f ca="1">gr(charge_entree[[#This Row],[ch_S_DOC]])</f>
        <v>#NAME?</v>
      </c>
      <c r="K250" s="521" t="e">
        <f ca="1">gr(charge_entree[[#This Row],[ch_S_NH4]])</f>
        <v>#NAME?</v>
      </c>
      <c r="L250" s="521" t="e">
        <f ca="1">gr(charge_entree[[#This Row],[ch_S_NO2]])</f>
        <v>#NAME?</v>
      </c>
      <c r="M250" s="521" t="e">
        <f ca="1">gr(charge_entree[[#This Row],[ch_S_NO3]])</f>
        <v>#NAME?</v>
      </c>
      <c r="N250" s="521" t="e">
        <f ca="1">gr(charge_entree[[#This Row],[ch_S_PTOT]])</f>
        <v>#NAME?</v>
      </c>
      <c r="O250" s="521" t="e">
        <f ca="1">gr(charge_entree[[#This Row],[ch_S_SNDT]])</f>
        <v>#NAME?</v>
      </c>
    </row>
    <row r="251" spans="1:15" x14ac:dyDescent="0.2">
      <c r="A251" s="222">
        <f>calculs!A251</f>
        <v>44802</v>
      </c>
      <c r="B251" s="521" t="e">
        <f ca="1">gr(charge_entree[[#This Row],[ch_E_DBO5]])</f>
        <v>#NAME?</v>
      </c>
      <c r="C251" s="521" t="e">
        <f ca="1">gr(charge_entree[[#This Row],[ch_E_DCO]])</f>
        <v>#NAME?</v>
      </c>
      <c r="D251" s="521" t="e">
        <f ca="1">gr(charge_entree[[#This Row],[ch_E_COT]])</f>
        <v>#NAME?</v>
      </c>
      <c r="E251" s="521" t="e">
        <f ca="1">gr(charge_entree[[#This Row],[ch_E_NH4]])</f>
        <v>#NAME?</v>
      </c>
      <c r="F251" s="521" t="e">
        <f ca="1">gr(charge_entree[[#This Row],[ch_E_NTOT]])</f>
        <v>#NAME?</v>
      </c>
      <c r="G251" s="521" t="e">
        <f ca="1">gr(charge_entree[[#This Row],[ch_E_PTOT]])</f>
        <v>#NAME?</v>
      </c>
      <c r="H251" s="521" t="e">
        <f ca="1">gr(charge_entree[[#This Row],[ch_S_DBO]])</f>
        <v>#NAME?</v>
      </c>
      <c r="I251" s="521" t="e">
        <f ca="1">gr(charge_entree[[#This Row],[ch_S-DCO]])</f>
        <v>#NAME?</v>
      </c>
      <c r="J251" s="521" t="e">
        <f ca="1">gr(charge_entree[[#This Row],[ch_S_DOC]])</f>
        <v>#NAME?</v>
      </c>
      <c r="K251" s="521" t="e">
        <f ca="1">gr(charge_entree[[#This Row],[ch_S_NH4]])</f>
        <v>#NAME?</v>
      </c>
      <c r="L251" s="521" t="e">
        <f ca="1">gr(charge_entree[[#This Row],[ch_S_NO2]])</f>
        <v>#NAME?</v>
      </c>
      <c r="M251" s="521" t="e">
        <f ca="1">gr(charge_entree[[#This Row],[ch_S_NO3]])</f>
        <v>#NAME?</v>
      </c>
      <c r="N251" s="521" t="e">
        <f ca="1">gr(charge_entree[[#This Row],[ch_S_PTOT]])</f>
        <v>#NAME?</v>
      </c>
      <c r="O251" s="521" t="e">
        <f ca="1">gr(charge_entree[[#This Row],[ch_S_SNDT]])</f>
        <v>#NAME?</v>
      </c>
    </row>
    <row r="252" spans="1:15" x14ac:dyDescent="0.2">
      <c r="A252" s="222">
        <f>calculs!A252</f>
        <v>44803</v>
      </c>
      <c r="B252" s="521" t="e">
        <f ca="1">gr(charge_entree[[#This Row],[ch_E_DBO5]])</f>
        <v>#NAME?</v>
      </c>
      <c r="C252" s="521" t="e">
        <f ca="1">gr(charge_entree[[#This Row],[ch_E_DCO]])</f>
        <v>#NAME?</v>
      </c>
      <c r="D252" s="521" t="e">
        <f ca="1">gr(charge_entree[[#This Row],[ch_E_COT]])</f>
        <v>#NAME?</v>
      </c>
      <c r="E252" s="521" t="e">
        <f ca="1">gr(charge_entree[[#This Row],[ch_E_NH4]])</f>
        <v>#NAME?</v>
      </c>
      <c r="F252" s="521" t="e">
        <f ca="1">gr(charge_entree[[#This Row],[ch_E_NTOT]])</f>
        <v>#NAME?</v>
      </c>
      <c r="G252" s="521" t="e">
        <f ca="1">gr(charge_entree[[#This Row],[ch_E_PTOT]])</f>
        <v>#NAME?</v>
      </c>
      <c r="H252" s="521" t="e">
        <f ca="1">gr(charge_entree[[#This Row],[ch_S_DBO]])</f>
        <v>#NAME?</v>
      </c>
      <c r="I252" s="521" t="e">
        <f ca="1">gr(charge_entree[[#This Row],[ch_S-DCO]])</f>
        <v>#NAME?</v>
      </c>
      <c r="J252" s="521" t="e">
        <f ca="1">gr(charge_entree[[#This Row],[ch_S_DOC]])</f>
        <v>#NAME?</v>
      </c>
      <c r="K252" s="521" t="e">
        <f ca="1">gr(charge_entree[[#This Row],[ch_S_NH4]])</f>
        <v>#NAME?</v>
      </c>
      <c r="L252" s="521" t="e">
        <f ca="1">gr(charge_entree[[#This Row],[ch_S_NO2]])</f>
        <v>#NAME?</v>
      </c>
      <c r="M252" s="521" t="e">
        <f ca="1">gr(charge_entree[[#This Row],[ch_S_NO3]])</f>
        <v>#NAME?</v>
      </c>
      <c r="N252" s="521" t="e">
        <f ca="1">gr(charge_entree[[#This Row],[ch_S_PTOT]])</f>
        <v>#NAME?</v>
      </c>
      <c r="O252" s="521" t="e">
        <f ca="1">gr(charge_entree[[#This Row],[ch_S_SNDT]])</f>
        <v>#NAME?</v>
      </c>
    </row>
    <row r="253" spans="1:15" x14ac:dyDescent="0.2">
      <c r="A253" s="222">
        <f>calculs!A253</f>
        <v>44804</v>
      </c>
      <c r="B253" s="521" t="e">
        <f ca="1">gr(charge_entree[[#This Row],[ch_E_DBO5]])</f>
        <v>#NAME?</v>
      </c>
      <c r="C253" s="521" t="e">
        <f ca="1">gr(charge_entree[[#This Row],[ch_E_DCO]])</f>
        <v>#NAME?</v>
      </c>
      <c r="D253" s="521" t="e">
        <f ca="1">gr(charge_entree[[#This Row],[ch_E_COT]])</f>
        <v>#NAME?</v>
      </c>
      <c r="E253" s="521" t="e">
        <f ca="1">gr(charge_entree[[#This Row],[ch_E_NH4]])</f>
        <v>#NAME?</v>
      </c>
      <c r="F253" s="521" t="e">
        <f ca="1">gr(charge_entree[[#This Row],[ch_E_NTOT]])</f>
        <v>#NAME?</v>
      </c>
      <c r="G253" s="521" t="e">
        <f ca="1">gr(charge_entree[[#This Row],[ch_E_PTOT]])</f>
        <v>#NAME?</v>
      </c>
      <c r="H253" s="521" t="e">
        <f ca="1">gr(charge_entree[[#This Row],[ch_S_DBO]])</f>
        <v>#NAME?</v>
      </c>
      <c r="I253" s="521" t="e">
        <f ca="1">gr(charge_entree[[#This Row],[ch_S-DCO]])</f>
        <v>#NAME?</v>
      </c>
      <c r="J253" s="521" t="e">
        <f ca="1">gr(charge_entree[[#This Row],[ch_S_DOC]])</f>
        <v>#NAME?</v>
      </c>
      <c r="K253" s="521" t="e">
        <f ca="1">gr(charge_entree[[#This Row],[ch_S_NH4]])</f>
        <v>#NAME?</v>
      </c>
      <c r="L253" s="521" t="e">
        <f ca="1">gr(charge_entree[[#This Row],[ch_S_NO2]])</f>
        <v>#NAME?</v>
      </c>
      <c r="M253" s="521" t="e">
        <f ca="1">gr(charge_entree[[#This Row],[ch_S_NO3]])</f>
        <v>#NAME?</v>
      </c>
      <c r="N253" s="521" t="e">
        <f ca="1">gr(charge_entree[[#This Row],[ch_S_PTOT]])</f>
        <v>#NAME?</v>
      </c>
      <c r="O253" s="521" t="e">
        <f ca="1">gr(charge_entree[[#This Row],[ch_S_SNDT]])</f>
        <v>#NAME?</v>
      </c>
    </row>
    <row r="254" spans="1:15" x14ac:dyDescent="0.2">
      <c r="A254" s="222">
        <f>calculs!A254</f>
        <v>44805</v>
      </c>
      <c r="B254" s="521" t="e">
        <f ca="1">gr(charge_entree[[#This Row],[ch_E_DBO5]])</f>
        <v>#NAME?</v>
      </c>
      <c r="C254" s="521" t="e">
        <f ca="1">gr(charge_entree[[#This Row],[ch_E_DCO]])</f>
        <v>#NAME?</v>
      </c>
      <c r="D254" s="521" t="e">
        <f ca="1">gr(charge_entree[[#This Row],[ch_E_COT]])</f>
        <v>#NAME?</v>
      </c>
      <c r="E254" s="521" t="e">
        <f ca="1">gr(charge_entree[[#This Row],[ch_E_NH4]])</f>
        <v>#NAME?</v>
      </c>
      <c r="F254" s="521" t="e">
        <f ca="1">gr(charge_entree[[#This Row],[ch_E_NTOT]])</f>
        <v>#NAME?</v>
      </c>
      <c r="G254" s="521" t="e">
        <f ca="1">gr(charge_entree[[#This Row],[ch_E_PTOT]])</f>
        <v>#NAME?</v>
      </c>
      <c r="H254" s="521" t="e">
        <f ca="1">gr(charge_entree[[#This Row],[ch_S_DBO]])</f>
        <v>#NAME?</v>
      </c>
      <c r="I254" s="521" t="e">
        <f ca="1">gr(charge_entree[[#This Row],[ch_S-DCO]])</f>
        <v>#NAME?</v>
      </c>
      <c r="J254" s="521" t="e">
        <f ca="1">gr(charge_entree[[#This Row],[ch_S_DOC]])</f>
        <v>#NAME?</v>
      </c>
      <c r="K254" s="521" t="e">
        <f ca="1">gr(charge_entree[[#This Row],[ch_S_NH4]])</f>
        <v>#NAME?</v>
      </c>
      <c r="L254" s="521" t="e">
        <f ca="1">gr(charge_entree[[#This Row],[ch_S_NO2]])</f>
        <v>#NAME?</v>
      </c>
      <c r="M254" s="521" t="e">
        <f ca="1">gr(charge_entree[[#This Row],[ch_S_NO3]])</f>
        <v>#NAME?</v>
      </c>
      <c r="N254" s="521" t="e">
        <f ca="1">gr(charge_entree[[#This Row],[ch_S_PTOT]])</f>
        <v>#NAME?</v>
      </c>
      <c r="O254" s="521" t="e">
        <f ca="1">gr(charge_entree[[#This Row],[ch_S_SNDT]])</f>
        <v>#NAME?</v>
      </c>
    </row>
    <row r="255" spans="1:15" x14ac:dyDescent="0.2">
      <c r="A255" s="222">
        <f>calculs!A255</f>
        <v>44806</v>
      </c>
      <c r="B255" s="521" t="e">
        <f ca="1">gr(charge_entree[[#This Row],[ch_E_DBO5]])</f>
        <v>#NAME?</v>
      </c>
      <c r="C255" s="521" t="e">
        <f ca="1">gr(charge_entree[[#This Row],[ch_E_DCO]])</f>
        <v>#NAME?</v>
      </c>
      <c r="D255" s="521" t="e">
        <f ca="1">gr(charge_entree[[#This Row],[ch_E_COT]])</f>
        <v>#NAME?</v>
      </c>
      <c r="E255" s="521" t="e">
        <f ca="1">gr(charge_entree[[#This Row],[ch_E_NH4]])</f>
        <v>#NAME?</v>
      </c>
      <c r="F255" s="521" t="e">
        <f ca="1">gr(charge_entree[[#This Row],[ch_E_NTOT]])</f>
        <v>#NAME?</v>
      </c>
      <c r="G255" s="521" t="e">
        <f ca="1">gr(charge_entree[[#This Row],[ch_E_PTOT]])</f>
        <v>#NAME?</v>
      </c>
      <c r="H255" s="521" t="e">
        <f ca="1">gr(charge_entree[[#This Row],[ch_S_DBO]])</f>
        <v>#NAME?</v>
      </c>
      <c r="I255" s="521" t="e">
        <f ca="1">gr(charge_entree[[#This Row],[ch_S-DCO]])</f>
        <v>#NAME?</v>
      </c>
      <c r="J255" s="521" t="e">
        <f ca="1">gr(charge_entree[[#This Row],[ch_S_DOC]])</f>
        <v>#NAME?</v>
      </c>
      <c r="K255" s="521" t="e">
        <f ca="1">gr(charge_entree[[#This Row],[ch_S_NH4]])</f>
        <v>#NAME?</v>
      </c>
      <c r="L255" s="521" t="e">
        <f ca="1">gr(charge_entree[[#This Row],[ch_S_NO2]])</f>
        <v>#NAME?</v>
      </c>
      <c r="M255" s="521" t="e">
        <f ca="1">gr(charge_entree[[#This Row],[ch_S_NO3]])</f>
        <v>#NAME?</v>
      </c>
      <c r="N255" s="521" t="e">
        <f ca="1">gr(charge_entree[[#This Row],[ch_S_PTOT]])</f>
        <v>#NAME?</v>
      </c>
      <c r="O255" s="521" t="e">
        <f ca="1">gr(charge_entree[[#This Row],[ch_S_SNDT]])</f>
        <v>#NAME?</v>
      </c>
    </row>
    <row r="256" spans="1:15" x14ac:dyDescent="0.2">
      <c r="A256" s="222">
        <f>calculs!A256</f>
        <v>44807</v>
      </c>
      <c r="B256" s="521" t="e">
        <f ca="1">gr(charge_entree[[#This Row],[ch_E_DBO5]])</f>
        <v>#NAME?</v>
      </c>
      <c r="C256" s="521" t="e">
        <f ca="1">gr(charge_entree[[#This Row],[ch_E_DCO]])</f>
        <v>#NAME?</v>
      </c>
      <c r="D256" s="521" t="e">
        <f ca="1">gr(charge_entree[[#This Row],[ch_E_COT]])</f>
        <v>#NAME?</v>
      </c>
      <c r="E256" s="521" t="e">
        <f ca="1">gr(charge_entree[[#This Row],[ch_E_NH4]])</f>
        <v>#NAME?</v>
      </c>
      <c r="F256" s="521" t="e">
        <f ca="1">gr(charge_entree[[#This Row],[ch_E_NTOT]])</f>
        <v>#NAME?</v>
      </c>
      <c r="G256" s="521" t="e">
        <f ca="1">gr(charge_entree[[#This Row],[ch_E_PTOT]])</f>
        <v>#NAME?</v>
      </c>
      <c r="H256" s="521" t="e">
        <f ca="1">gr(charge_entree[[#This Row],[ch_S_DBO]])</f>
        <v>#NAME?</v>
      </c>
      <c r="I256" s="521" t="e">
        <f ca="1">gr(charge_entree[[#This Row],[ch_S-DCO]])</f>
        <v>#NAME?</v>
      </c>
      <c r="J256" s="521" t="e">
        <f ca="1">gr(charge_entree[[#This Row],[ch_S_DOC]])</f>
        <v>#NAME?</v>
      </c>
      <c r="K256" s="521" t="e">
        <f ca="1">gr(charge_entree[[#This Row],[ch_S_NH4]])</f>
        <v>#NAME?</v>
      </c>
      <c r="L256" s="521" t="e">
        <f ca="1">gr(charge_entree[[#This Row],[ch_S_NO2]])</f>
        <v>#NAME?</v>
      </c>
      <c r="M256" s="521" t="e">
        <f ca="1">gr(charge_entree[[#This Row],[ch_S_NO3]])</f>
        <v>#NAME?</v>
      </c>
      <c r="N256" s="521" t="e">
        <f ca="1">gr(charge_entree[[#This Row],[ch_S_PTOT]])</f>
        <v>#NAME?</v>
      </c>
      <c r="O256" s="521" t="e">
        <f ca="1">gr(charge_entree[[#This Row],[ch_S_SNDT]])</f>
        <v>#NAME?</v>
      </c>
    </row>
    <row r="257" spans="1:15" x14ac:dyDescent="0.2">
      <c r="A257" s="222">
        <f>calculs!A257</f>
        <v>44808</v>
      </c>
      <c r="B257" s="521" t="e">
        <f ca="1">gr(charge_entree[[#This Row],[ch_E_DBO5]])</f>
        <v>#NAME?</v>
      </c>
      <c r="C257" s="521" t="e">
        <f ca="1">gr(charge_entree[[#This Row],[ch_E_DCO]])</f>
        <v>#NAME?</v>
      </c>
      <c r="D257" s="521" t="e">
        <f ca="1">gr(charge_entree[[#This Row],[ch_E_COT]])</f>
        <v>#NAME?</v>
      </c>
      <c r="E257" s="521" t="e">
        <f ca="1">gr(charge_entree[[#This Row],[ch_E_NH4]])</f>
        <v>#NAME?</v>
      </c>
      <c r="F257" s="521" t="e">
        <f ca="1">gr(charge_entree[[#This Row],[ch_E_NTOT]])</f>
        <v>#NAME?</v>
      </c>
      <c r="G257" s="521" t="e">
        <f ca="1">gr(charge_entree[[#This Row],[ch_E_PTOT]])</f>
        <v>#NAME?</v>
      </c>
      <c r="H257" s="521" t="e">
        <f ca="1">gr(charge_entree[[#This Row],[ch_S_DBO]])</f>
        <v>#NAME?</v>
      </c>
      <c r="I257" s="521" t="e">
        <f ca="1">gr(charge_entree[[#This Row],[ch_S-DCO]])</f>
        <v>#NAME?</v>
      </c>
      <c r="J257" s="521" t="e">
        <f ca="1">gr(charge_entree[[#This Row],[ch_S_DOC]])</f>
        <v>#NAME?</v>
      </c>
      <c r="K257" s="521" t="e">
        <f ca="1">gr(charge_entree[[#This Row],[ch_S_NH4]])</f>
        <v>#NAME?</v>
      </c>
      <c r="L257" s="521" t="e">
        <f ca="1">gr(charge_entree[[#This Row],[ch_S_NO2]])</f>
        <v>#NAME?</v>
      </c>
      <c r="M257" s="521" t="e">
        <f ca="1">gr(charge_entree[[#This Row],[ch_S_NO3]])</f>
        <v>#NAME?</v>
      </c>
      <c r="N257" s="521" t="e">
        <f ca="1">gr(charge_entree[[#This Row],[ch_S_PTOT]])</f>
        <v>#NAME?</v>
      </c>
      <c r="O257" s="521" t="e">
        <f ca="1">gr(charge_entree[[#This Row],[ch_S_SNDT]])</f>
        <v>#NAME?</v>
      </c>
    </row>
    <row r="258" spans="1:15" x14ac:dyDescent="0.2">
      <c r="A258" s="222">
        <f>calculs!A258</f>
        <v>44809</v>
      </c>
      <c r="B258" s="521" t="e">
        <f ca="1">gr(charge_entree[[#This Row],[ch_E_DBO5]])</f>
        <v>#NAME?</v>
      </c>
      <c r="C258" s="521" t="e">
        <f ca="1">gr(charge_entree[[#This Row],[ch_E_DCO]])</f>
        <v>#NAME?</v>
      </c>
      <c r="D258" s="521" t="e">
        <f ca="1">gr(charge_entree[[#This Row],[ch_E_COT]])</f>
        <v>#NAME?</v>
      </c>
      <c r="E258" s="521" t="e">
        <f ca="1">gr(charge_entree[[#This Row],[ch_E_NH4]])</f>
        <v>#NAME?</v>
      </c>
      <c r="F258" s="521" t="e">
        <f ca="1">gr(charge_entree[[#This Row],[ch_E_NTOT]])</f>
        <v>#NAME?</v>
      </c>
      <c r="G258" s="521" t="e">
        <f ca="1">gr(charge_entree[[#This Row],[ch_E_PTOT]])</f>
        <v>#NAME?</v>
      </c>
      <c r="H258" s="521" t="e">
        <f ca="1">gr(charge_entree[[#This Row],[ch_S_DBO]])</f>
        <v>#NAME?</v>
      </c>
      <c r="I258" s="521" t="e">
        <f ca="1">gr(charge_entree[[#This Row],[ch_S-DCO]])</f>
        <v>#NAME?</v>
      </c>
      <c r="J258" s="521" t="e">
        <f ca="1">gr(charge_entree[[#This Row],[ch_S_DOC]])</f>
        <v>#NAME?</v>
      </c>
      <c r="K258" s="521" t="e">
        <f ca="1">gr(charge_entree[[#This Row],[ch_S_NH4]])</f>
        <v>#NAME?</v>
      </c>
      <c r="L258" s="521" t="e">
        <f ca="1">gr(charge_entree[[#This Row],[ch_S_NO2]])</f>
        <v>#NAME?</v>
      </c>
      <c r="M258" s="521" t="e">
        <f ca="1">gr(charge_entree[[#This Row],[ch_S_NO3]])</f>
        <v>#NAME?</v>
      </c>
      <c r="N258" s="521" t="e">
        <f ca="1">gr(charge_entree[[#This Row],[ch_S_PTOT]])</f>
        <v>#NAME?</v>
      </c>
      <c r="O258" s="521" t="e">
        <f ca="1">gr(charge_entree[[#This Row],[ch_S_SNDT]])</f>
        <v>#NAME?</v>
      </c>
    </row>
    <row r="259" spans="1:15" x14ac:dyDescent="0.2">
      <c r="A259" s="222">
        <f>calculs!A259</f>
        <v>44810</v>
      </c>
      <c r="B259" s="521" t="e">
        <f ca="1">gr(charge_entree[[#This Row],[ch_E_DBO5]])</f>
        <v>#NAME?</v>
      </c>
      <c r="C259" s="521" t="e">
        <f ca="1">gr(charge_entree[[#This Row],[ch_E_DCO]])</f>
        <v>#NAME?</v>
      </c>
      <c r="D259" s="521" t="e">
        <f ca="1">gr(charge_entree[[#This Row],[ch_E_COT]])</f>
        <v>#NAME?</v>
      </c>
      <c r="E259" s="521" t="e">
        <f ca="1">gr(charge_entree[[#This Row],[ch_E_NH4]])</f>
        <v>#NAME?</v>
      </c>
      <c r="F259" s="521" t="e">
        <f ca="1">gr(charge_entree[[#This Row],[ch_E_NTOT]])</f>
        <v>#NAME?</v>
      </c>
      <c r="G259" s="521" t="e">
        <f ca="1">gr(charge_entree[[#This Row],[ch_E_PTOT]])</f>
        <v>#NAME?</v>
      </c>
      <c r="H259" s="521" t="e">
        <f ca="1">gr(charge_entree[[#This Row],[ch_S_DBO]])</f>
        <v>#NAME?</v>
      </c>
      <c r="I259" s="521" t="e">
        <f ca="1">gr(charge_entree[[#This Row],[ch_S-DCO]])</f>
        <v>#NAME?</v>
      </c>
      <c r="J259" s="521" t="e">
        <f ca="1">gr(charge_entree[[#This Row],[ch_S_DOC]])</f>
        <v>#NAME?</v>
      </c>
      <c r="K259" s="521" t="e">
        <f ca="1">gr(charge_entree[[#This Row],[ch_S_NH4]])</f>
        <v>#NAME?</v>
      </c>
      <c r="L259" s="521" t="e">
        <f ca="1">gr(charge_entree[[#This Row],[ch_S_NO2]])</f>
        <v>#NAME?</v>
      </c>
      <c r="M259" s="521" t="e">
        <f ca="1">gr(charge_entree[[#This Row],[ch_S_NO3]])</f>
        <v>#NAME?</v>
      </c>
      <c r="N259" s="521" t="e">
        <f ca="1">gr(charge_entree[[#This Row],[ch_S_PTOT]])</f>
        <v>#NAME?</v>
      </c>
      <c r="O259" s="521" t="e">
        <f ca="1">gr(charge_entree[[#This Row],[ch_S_SNDT]])</f>
        <v>#NAME?</v>
      </c>
    </row>
    <row r="260" spans="1:15" x14ac:dyDescent="0.2">
      <c r="A260" s="222">
        <f>calculs!A260</f>
        <v>44811</v>
      </c>
      <c r="B260" s="521" t="e">
        <f ca="1">gr(charge_entree[[#This Row],[ch_E_DBO5]])</f>
        <v>#NAME?</v>
      </c>
      <c r="C260" s="521" t="e">
        <f ca="1">gr(charge_entree[[#This Row],[ch_E_DCO]])</f>
        <v>#NAME?</v>
      </c>
      <c r="D260" s="521" t="e">
        <f ca="1">gr(charge_entree[[#This Row],[ch_E_COT]])</f>
        <v>#NAME?</v>
      </c>
      <c r="E260" s="521" t="e">
        <f ca="1">gr(charge_entree[[#This Row],[ch_E_NH4]])</f>
        <v>#NAME?</v>
      </c>
      <c r="F260" s="521" t="e">
        <f ca="1">gr(charge_entree[[#This Row],[ch_E_NTOT]])</f>
        <v>#NAME?</v>
      </c>
      <c r="G260" s="521" t="e">
        <f ca="1">gr(charge_entree[[#This Row],[ch_E_PTOT]])</f>
        <v>#NAME?</v>
      </c>
      <c r="H260" s="521" t="e">
        <f ca="1">gr(charge_entree[[#This Row],[ch_S_DBO]])</f>
        <v>#NAME?</v>
      </c>
      <c r="I260" s="521" t="e">
        <f ca="1">gr(charge_entree[[#This Row],[ch_S-DCO]])</f>
        <v>#NAME?</v>
      </c>
      <c r="J260" s="521" t="e">
        <f ca="1">gr(charge_entree[[#This Row],[ch_S_DOC]])</f>
        <v>#NAME?</v>
      </c>
      <c r="K260" s="521" t="e">
        <f ca="1">gr(charge_entree[[#This Row],[ch_S_NH4]])</f>
        <v>#NAME?</v>
      </c>
      <c r="L260" s="521" t="e">
        <f ca="1">gr(charge_entree[[#This Row],[ch_S_NO2]])</f>
        <v>#NAME?</v>
      </c>
      <c r="M260" s="521" t="e">
        <f ca="1">gr(charge_entree[[#This Row],[ch_S_NO3]])</f>
        <v>#NAME?</v>
      </c>
      <c r="N260" s="521" t="e">
        <f ca="1">gr(charge_entree[[#This Row],[ch_S_PTOT]])</f>
        <v>#NAME?</v>
      </c>
      <c r="O260" s="521" t="e">
        <f ca="1">gr(charge_entree[[#This Row],[ch_S_SNDT]])</f>
        <v>#NAME?</v>
      </c>
    </row>
    <row r="261" spans="1:15" x14ac:dyDescent="0.2">
      <c r="A261" s="222">
        <f>calculs!A261</f>
        <v>44812</v>
      </c>
      <c r="B261" s="521" t="e">
        <f ca="1">gr(charge_entree[[#This Row],[ch_E_DBO5]])</f>
        <v>#NAME?</v>
      </c>
      <c r="C261" s="521" t="e">
        <f ca="1">gr(charge_entree[[#This Row],[ch_E_DCO]])</f>
        <v>#NAME?</v>
      </c>
      <c r="D261" s="521" t="e">
        <f ca="1">gr(charge_entree[[#This Row],[ch_E_COT]])</f>
        <v>#NAME?</v>
      </c>
      <c r="E261" s="521" t="e">
        <f ca="1">gr(charge_entree[[#This Row],[ch_E_NH4]])</f>
        <v>#NAME?</v>
      </c>
      <c r="F261" s="521" t="e">
        <f ca="1">gr(charge_entree[[#This Row],[ch_E_NTOT]])</f>
        <v>#NAME?</v>
      </c>
      <c r="G261" s="521" t="e">
        <f ca="1">gr(charge_entree[[#This Row],[ch_E_PTOT]])</f>
        <v>#NAME?</v>
      </c>
      <c r="H261" s="521" t="e">
        <f ca="1">gr(charge_entree[[#This Row],[ch_S_DBO]])</f>
        <v>#NAME?</v>
      </c>
      <c r="I261" s="521" t="e">
        <f ca="1">gr(charge_entree[[#This Row],[ch_S-DCO]])</f>
        <v>#NAME?</v>
      </c>
      <c r="J261" s="521" t="e">
        <f ca="1">gr(charge_entree[[#This Row],[ch_S_DOC]])</f>
        <v>#NAME?</v>
      </c>
      <c r="K261" s="521" t="e">
        <f ca="1">gr(charge_entree[[#This Row],[ch_S_NH4]])</f>
        <v>#NAME?</v>
      </c>
      <c r="L261" s="521" t="e">
        <f ca="1">gr(charge_entree[[#This Row],[ch_S_NO2]])</f>
        <v>#NAME?</v>
      </c>
      <c r="M261" s="521" t="e">
        <f ca="1">gr(charge_entree[[#This Row],[ch_S_NO3]])</f>
        <v>#NAME?</v>
      </c>
      <c r="N261" s="521" t="e">
        <f ca="1">gr(charge_entree[[#This Row],[ch_S_PTOT]])</f>
        <v>#NAME?</v>
      </c>
      <c r="O261" s="521" t="e">
        <f ca="1">gr(charge_entree[[#This Row],[ch_S_SNDT]])</f>
        <v>#NAME?</v>
      </c>
    </row>
    <row r="262" spans="1:15" x14ac:dyDescent="0.2">
      <c r="A262" s="222">
        <f>calculs!A262</f>
        <v>44813</v>
      </c>
      <c r="B262" s="521" t="e">
        <f ca="1">gr(charge_entree[[#This Row],[ch_E_DBO5]])</f>
        <v>#NAME?</v>
      </c>
      <c r="C262" s="521" t="e">
        <f ca="1">gr(charge_entree[[#This Row],[ch_E_DCO]])</f>
        <v>#NAME?</v>
      </c>
      <c r="D262" s="521" t="e">
        <f ca="1">gr(charge_entree[[#This Row],[ch_E_COT]])</f>
        <v>#NAME?</v>
      </c>
      <c r="E262" s="521" t="e">
        <f ca="1">gr(charge_entree[[#This Row],[ch_E_NH4]])</f>
        <v>#NAME?</v>
      </c>
      <c r="F262" s="521" t="e">
        <f ca="1">gr(charge_entree[[#This Row],[ch_E_NTOT]])</f>
        <v>#NAME?</v>
      </c>
      <c r="G262" s="521" t="e">
        <f ca="1">gr(charge_entree[[#This Row],[ch_E_PTOT]])</f>
        <v>#NAME?</v>
      </c>
      <c r="H262" s="521" t="e">
        <f ca="1">gr(charge_entree[[#This Row],[ch_S_DBO]])</f>
        <v>#NAME?</v>
      </c>
      <c r="I262" s="521" t="e">
        <f ca="1">gr(charge_entree[[#This Row],[ch_S-DCO]])</f>
        <v>#NAME?</v>
      </c>
      <c r="J262" s="521" t="e">
        <f ca="1">gr(charge_entree[[#This Row],[ch_S_DOC]])</f>
        <v>#NAME?</v>
      </c>
      <c r="K262" s="521" t="e">
        <f ca="1">gr(charge_entree[[#This Row],[ch_S_NH4]])</f>
        <v>#NAME?</v>
      </c>
      <c r="L262" s="521" t="e">
        <f ca="1">gr(charge_entree[[#This Row],[ch_S_NO2]])</f>
        <v>#NAME?</v>
      </c>
      <c r="M262" s="521" t="e">
        <f ca="1">gr(charge_entree[[#This Row],[ch_S_NO3]])</f>
        <v>#NAME?</v>
      </c>
      <c r="N262" s="521" t="e">
        <f ca="1">gr(charge_entree[[#This Row],[ch_S_PTOT]])</f>
        <v>#NAME?</v>
      </c>
      <c r="O262" s="521" t="e">
        <f ca="1">gr(charge_entree[[#This Row],[ch_S_SNDT]])</f>
        <v>#NAME?</v>
      </c>
    </row>
    <row r="263" spans="1:15" x14ac:dyDescent="0.2">
      <c r="A263" s="222">
        <f>calculs!A263</f>
        <v>44814</v>
      </c>
      <c r="B263" s="521" t="e">
        <f ca="1">gr(charge_entree[[#This Row],[ch_E_DBO5]])</f>
        <v>#NAME?</v>
      </c>
      <c r="C263" s="521" t="e">
        <f ca="1">gr(charge_entree[[#This Row],[ch_E_DCO]])</f>
        <v>#NAME?</v>
      </c>
      <c r="D263" s="521" t="e">
        <f ca="1">gr(charge_entree[[#This Row],[ch_E_COT]])</f>
        <v>#NAME?</v>
      </c>
      <c r="E263" s="521" t="e">
        <f ca="1">gr(charge_entree[[#This Row],[ch_E_NH4]])</f>
        <v>#NAME?</v>
      </c>
      <c r="F263" s="521" t="e">
        <f ca="1">gr(charge_entree[[#This Row],[ch_E_NTOT]])</f>
        <v>#NAME?</v>
      </c>
      <c r="G263" s="521" t="e">
        <f ca="1">gr(charge_entree[[#This Row],[ch_E_PTOT]])</f>
        <v>#NAME?</v>
      </c>
      <c r="H263" s="521" t="e">
        <f ca="1">gr(charge_entree[[#This Row],[ch_S_DBO]])</f>
        <v>#NAME?</v>
      </c>
      <c r="I263" s="521" t="e">
        <f ca="1">gr(charge_entree[[#This Row],[ch_S-DCO]])</f>
        <v>#NAME?</v>
      </c>
      <c r="J263" s="521" t="e">
        <f ca="1">gr(charge_entree[[#This Row],[ch_S_DOC]])</f>
        <v>#NAME?</v>
      </c>
      <c r="K263" s="521" t="e">
        <f ca="1">gr(charge_entree[[#This Row],[ch_S_NH4]])</f>
        <v>#NAME?</v>
      </c>
      <c r="L263" s="521" t="e">
        <f ca="1">gr(charge_entree[[#This Row],[ch_S_NO2]])</f>
        <v>#NAME?</v>
      </c>
      <c r="M263" s="521" t="e">
        <f ca="1">gr(charge_entree[[#This Row],[ch_S_NO3]])</f>
        <v>#NAME?</v>
      </c>
      <c r="N263" s="521" t="e">
        <f ca="1">gr(charge_entree[[#This Row],[ch_S_PTOT]])</f>
        <v>#NAME?</v>
      </c>
      <c r="O263" s="521" t="e">
        <f ca="1">gr(charge_entree[[#This Row],[ch_S_SNDT]])</f>
        <v>#NAME?</v>
      </c>
    </row>
    <row r="264" spans="1:15" x14ac:dyDescent="0.2">
      <c r="A264" s="222">
        <f>calculs!A264</f>
        <v>44815</v>
      </c>
      <c r="B264" s="521" t="e">
        <f ca="1">gr(charge_entree[[#This Row],[ch_E_DBO5]])</f>
        <v>#NAME?</v>
      </c>
      <c r="C264" s="521" t="e">
        <f ca="1">gr(charge_entree[[#This Row],[ch_E_DCO]])</f>
        <v>#NAME?</v>
      </c>
      <c r="D264" s="521" t="e">
        <f ca="1">gr(charge_entree[[#This Row],[ch_E_COT]])</f>
        <v>#NAME?</v>
      </c>
      <c r="E264" s="521" t="e">
        <f ca="1">gr(charge_entree[[#This Row],[ch_E_NH4]])</f>
        <v>#NAME?</v>
      </c>
      <c r="F264" s="521" t="e">
        <f ca="1">gr(charge_entree[[#This Row],[ch_E_NTOT]])</f>
        <v>#NAME?</v>
      </c>
      <c r="G264" s="521" t="e">
        <f ca="1">gr(charge_entree[[#This Row],[ch_E_PTOT]])</f>
        <v>#NAME?</v>
      </c>
      <c r="H264" s="521" t="e">
        <f ca="1">gr(charge_entree[[#This Row],[ch_S_DBO]])</f>
        <v>#NAME?</v>
      </c>
      <c r="I264" s="521" t="e">
        <f ca="1">gr(charge_entree[[#This Row],[ch_S-DCO]])</f>
        <v>#NAME?</v>
      </c>
      <c r="J264" s="521" t="e">
        <f ca="1">gr(charge_entree[[#This Row],[ch_S_DOC]])</f>
        <v>#NAME?</v>
      </c>
      <c r="K264" s="521" t="e">
        <f ca="1">gr(charge_entree[[#This Row],[ch_S_NH4]])</f>
        <v>#NAME?</v>
      </c>
      <c r="L264" s="521" t="e">
        <f ca="1">gr(charge_entree[[#This Row],[ch_S_NO2]])</f>
        <v>#NAME?</v>
      </c>
      <c r="M264" s="521" t="e">
        <f ca="1">gr(charge_entree[[#This Row],[ch_S_NO3]])</f>
        <v>#NAME?</v>
      </c>
      <c r="N264" s="521" t="e">
        <f ca="1">gr(charge_entree[[#This Row],[ch_S_PTOT]])</f>
        <v>#NAME?</v>
      </c>
      <c r="O264" s="521" t="e">
        <f ca="1">gr(charge_entree[[#This Row],[ch_S_SNDT]])</f>
        <v>#NAME?</v>
      </c>
    </row>
    <row r="265" spans="1:15" x14ac:dyDescent="0.2">
      <c r="A265" s="222">
        <f>calculs!A265</f>
        <v>44816</v>
      </c>
      <c r="B265" s="521" t="e">
        <f ca="1">gr(charge_entree[[#This Row],[ch_E_DBO5]])</f>
        <v>#NAME?</v>
      </c>
      <c r="C265" s="521" t="e">
        <f ca="1">gr(charge_entree[[#This Row],[ch_E_DCO]])</f>
        <v>#NAME?</v>
      </c>
      <c r="D265" s="521" t="e">
        <f ca="1">gr(charge_entree[[#This Row],[ch_E_COT]])</f>
        <v>#NAME?</v>
      </c>
      <c r="E265" s="521" t="e">
        <f ca="1">gr(charge_entree[[#This Row],[ch_E_NH4]])</f>
        <v>#NAME?</v>
      </c>
      <c r="F265" s="521" t="e">
        <f ca="1">gr(charge_entree[[#This Row],[ch_E_NTOT]])</f>
        <v>#NAME?</v>
      </c>
      <c r="G265" s="521" t="e">
        <f ca="1">gr(charge_entree[[#This Row],[ch_E_PTOT]])</f>
        <v>#NAME?</v>
      </c>
      <c r="H265" s="521" t="e">
        <f ca="1">gr(charge_entree[[#This Row],[ch_S_DBO]])</f>
        <v>#NAME?</v>
      </c>
      <c r="I265" s="521" t="e">
        <f ca="1">gr(charge_entree[[#This Row],[ch_S-DCO]])</f>
        <v>#NAME?</v>
      </c>
      <c r="J265" s="521" t="e">
        <f ca="1">gr(charge_entree[[#This Row],[ch_S_DOC]])</f>
        <v>#NAME?</v>
      </c>
      <c r="K265" s="521" t="e">
        <f ca="1">gr(charge_entree[[#This Row],[ch_S_NH4]])</f>
        <v>#NAME?</v>
      </c>
      <c r="L265" s="521" t="e">
        <f ca="1">gr(charge_entree[[#This Row],[ch_S_NO2]])</f>
        <v>#NAME?</v>
      </c>
      <c r="M265" s="521" t="e">
        <f ca="1">gr(charge_entree[[#This Row],[ch_S_NO3]])</f>
        <v>#NAME?</v>
      </c>
      <c r="N265" s="521" t="e">
        <f ca="1">gr(charge_entree[[#This Row],[ch_S_PTOT]])</f>
        <v>#NAME?</v>
      </c>
      <c r="O265" s="521" t="e">
        <f ca="1">gr(charge_entree[[#This Row],[ch_S_SNDT]])</f>
        <v>#NAME?</v>
      </c>
    </row>
    <row r="266" spans="1:15" x14ac:dyDescent="0.2">
      <c r="A266" s="222">
        <f>calculs!A266</f>
        <v>44817</v>
      </c>
      <c r="B266" s="521" t="e">
        <f ca="1">gr(charge_entree[[#This Row],[ch_E_DBO5]])</f>
        <v>#NAME?</v>
      </c>
      <c r="C266" s="521" t="e">
        <f ca="1">gr(charge_entree[[#This Row],[ch_E_DCO]])</f>
        <v>#NAME?</v>
      </c>
      <c r="D266" s="521" t="e">
        <f ca="1">gr(charge_entree[[#This Row],[ch_E_COT]])</f>
        <v>#NAME?</v>
      </c>
      <c r="E266" s="521" t="e">
        <f ca="1">gr(charge_entree[[#This Row],[ch_E_NH4]])</f>
        <v>#NAME?</v>
      </c>
      <c r="F266" s="521" t="e">
        <f ca="1">gr(charge_entree[[#This Row],[ch_E_NTOT]])</f>
        <v>#NAME?</v>
      </c>
      <c r="G266" s="521" t="e">
        <f ca="1">gr(charge_entree[[#This Row],[ch_E_PTOT]])</f>
        <v>#NAME?</v>
      </c>
      <c r="H266" s="521" t="e">
        <f ca="1">gr(charge_entree[[#This Row],[ch_S_DBO]])</f>
        <v>#NAME?</v>
      </c>
      <c r="I266" s="521" t="e">
        <f ca="1">gr(charge_entree[[#This Row],[ch_S-DCO]])</f>
        <v>#NAME?</v>
      </c>
      <c r="J266" s="521" t="e">
        <f ca="1">gr(charge_entree[[#This Row],[ch_S_DOC]])</f>
        <v>#NAME?</v>
      </c>
      <c r="K266" s="521" t="e">
        <f ca="1">gr(charge_entree[[#This Row],[ch_S_NH4]])</f>
        <v>#NAME?</v>
      </c>
      <c r="L266" s="521" t="e">
        <f ca="1">gr(charge_entree[[#This Row],[ch_S_NO2]])</f>
        <v>#NAME?</v>
      </c>
      <c r="M266" s="521" t="e">
        <f ca="1">gr(charge_entree[[#This Row],[ch_S_NO3]])</f>
        <v>#NAME?</v>
      </c>
      <c r="N266" s="521" t="e">
        <f ca="1">gr(charge_entree[[#This Row],[ch_S_PTOT]])</f>
        <v>#NAME?</v>
      </c>
      <c r="O266" s="521" t="e">
        <f ca="1">gr(charge_entree[[#This Row],[ch_S_SNDT]])</f>
        <v>#NAME?</v>
      </c>
    </row>
    <row r="267" spans="1:15" x14ac:dyDescent="0.2">
      <c r="A267" s="222">
        <f>calculs!A267</f>
        <v>44818</v>
      </c>
      <c r="B267" s="521" t="e">
        <f ca="1">gr(charge_entree[[#This Row],[ch_E_DBO5]])</f>
        <v>#NAME?</v>
      </c>
      <c r="C267" s="521" t="e">
        <f ca="1">gr(charge_entree[[#This Row],[ch_E_DCO]])</f>
        <v>#NAME?</v>
      </c>
      <c r="D267" s="521" t="e">
        <f ca="1">gr(charge_entree[[#This Row],[ch_E_COT]])</f>
        <v>#NAME?</v>
      </c>
      <c r="E267" s="521" t="e">
        <f ca="1">gr(charge_entree[[#This Row],[ch_E_NH4]])</f>
        <v>#NAME?</v>
      </c>
      <c r="F267" s="521" t="e">
        <f ca="1">gr(charge_entree[[#This Row],[ch_E_NTOT]])</f>
        <v>#NAME?</v>
      </c>
      <c r="G267" s="521" t="e">
        <f ca="1">gr(charge_entree[[#This Row],[ch_E_PTOT]])</f>
        <v>#NAME?</v>
      </c>
      <c r="H267" s="521" t="e">
        <f ca="1">gr(charge_entree[[#This Row],[ch_S_DBO]])</f>
        <v>#NAME?</v>
      </c>
      <c r="I267" s="521" t="e">
        <f ca="1">gr(charge_entree[[#This Row],[ch_S-DCO]])</f>
        <v>#NAME?</v>
      </c>
      <c r="J267" s="521" t="e">
        <f ca="1">gr(charge_entree[[#This Row],[ch_S_DOC]])</f>
        <v>#NAME?</v>
      </c>
      <c r="K267" s="521" t="e">
        <f ca="1">gr(charge_entree[[#This Row],[ch_S_NH4]])</f>
        <v>#NAME?</v>
      </c>
      <c r="L267" s="521" t="e">
        <f ca="1">gr(charge_entree[[#This Row],[ch_S_NO2]])</f>
        <v>#NAME?</v>
      </c>
      <c r="M267" s="521" t="e">
        <f ca="1">gr(charge_entree[[#This Row],[ch_S_NO3]])</f>
        <v>#NAME?</v>
      </c>
      <c r="N267" s="521" t="e">
        <f ca="1">gr(charge_entree[[#This Row],[ch_S_PTOT]])</f>
        <v>#NAME?</v>
      </c>
      <c r="O267" s="521" t="e">
        <f ca="1">gr(charge_entree[[#This Row],[ch_S_SNDT]])</f>
        <v>#NAME?</v>
      </c>
    </row>
    <row r="268" spans="1:15" x14ac:dyDescent="0.2">
      <c r="A268" s="222">
        <f>calculs!A268</f>
        <v>44819</v>
      </c>
      <c r="B268" s="521" t="e">
        <f ca="1">gr(charge_entree[[#This Row],[ch_E_DBO5]])</f>
        <v>#NAME?</v>
      </c>
      <c r="C268" s="521" t="e">
        <f ca="1">gr(charge_entree[[#This Row],[ch_E_DCO]])</f>
        <v>#NAME?</v>
      </c>
      <c r="D268" s="521" t="e">
        <f ca="1">gr(charge_entree[[#This Row],[ch_E_COT]])</f>
        <v>#NAME?</v>
      </c>
      <c r="E268" s="521" t="e">
        <f ca="1">gr(charge_entree[[#This Row],[ch_E_NH4]])</f>
        <v>#NAME?</v>
      </c>
      <c r="F268" s="521" t="e">
        <f ca="1">gr(charge_entree[[#This Row],[ch_E_NTOT]])</f>
        <v>#NAME?</v>
      </c>
      <c r="G268" s="521" t="e">
        <f ca="1">gr(charge_entree[[#This Row],[ch_E_PTOT]])</f>
        <v>#NAME?</v>
      </c>
      <c r="H268" s="521" t="e">
        <f ca="1">gr(charge_entree[[#This Row],[ch_S_DBO]])</f>
        <v>#NAME?</v>
      </c>
      <c r="I268" s="521" t="e">
        <f ca="1">gr(charge_entree[[#This Row],[ch_S-DCO]])</f>
        <v>#NAME?</v>
      </c>
      <c r="J268" s="521" t="e">
        <f ca="1">gr(charge_entree[[#This Row],[ch_S_DOC]])</f>
        <v>#NAME?</v>
      </c>
      <c r="K268" s="521" t="e">
        <f ca="1">gr(charge_entree[[#This Row],[ch_S_NH4]])</f>
        <v>#NAME?</v>
      </c>
      <c r="L268" s="521" t="e">
        <f ca="1">gr(charge_entree[[#This Row],[ch_S_NO2]])</f>
        <v>#NAME?</v>
      </c>
      <c r="M268" s="521" t="e">
        <f ca="1">gr(charge_entree[[#This Row],[ch_S_NO3]])</f>
        <v>#NAME?</v>
      </c>
      <c r="N268" s="521" t="e">
        <f ca="1">gr(charge_entree[[#This Row],[ch_S_PTOT]])</f>
        <v>#NAME?</v>
      </c>
      <c r="O268" s="521" t="e">
        <f ca="1">gr(charge_entree[[#This Row],[ch_S_SNDT]])</f>
        <v>#NAME?</v>
      </c>
    </row>
    <row r="269" spans="1:15" x14ac:dyDescent="0.2">
      <c r="A269" s="222">
        <f>calculs!A269</f>
        <v>44820</v>
      </c>
      <c r="B269" s="521" t="e">
        <f ca="1">gr(charge_entree[[#This Row],[ch_E_DBO5]])</f>
        <v>#NAME?</v>
      </c>
      <c r="C269" s="521" t="e">
        <f ca="1">gr(charge_entree[[#This Row],[ch_E_DCO]])</f>
        <v>#NAME?</v>
      </c>
      <c r="D269" s="521" t="e">
        <f ca="1">gr(charge_entree[[#This Row],[ch_E_COT]])</f>
        <v>#NAME?</v>
      </c>
      <c r="E269" s="521" t="e">
        <f ca="1">gr(charge_entree[[#This Row],[ch_E_NH4]])</f>
        <v>#NAME?</v>
      </c>
      <c r="F269" s="521" t="e">
        <f ca="1">gr(charge_entree[[#This Row],[ch_E_NTOT]])</f>
        <v>#NAME?</v>
      </c>
      <c r="G269" s="521" t="e">
        <f ca="1">gr(charge_entree[[#This Row],[ch_E_PTOT]])</f>
        <v>#NAME?</v>
      </c>
      <c r="H269" s="521" t="e">
        <f ca="1">gr(charge_entree[[#This Row],[ch_S_DBO]])</f>
        <v>#NAME?</v>
      </c>
      <c r="I269" s="521" t="e">
        <f ca="1">gr(charge_entree[[#This Row],[ch_S-DCO]])</f>
        <v>#NAME?</v>
      </c>
      <c r="J269" s="521" t="e">
        <f ca="1">gr(charge_entree[[#This Row],[ch_S_DOC]])</f>
        <v>#NAME?</v>
      </c>
      <c r="K269" s="521" t="e">
        <f ca="1">gr(charge_entree[[#This Row],[ch_S_NH4]])</f>
        <v>#NAME?</v>
      </c>
      <c r="L269" s="521" t="e">
        <f ca="1">gr(charge_entree[[#This Row],[ch_S_NO2]])</f>
        <v>#NAME?</v>
      </c>
      <c r="M269" s="521" t="e">
        <f ca="1">gr(charge_entree[[#This Row],[ch_S_NO3]])</f>
        <v>#NAME?</v>
      </c>
      <c r="N269" s="521" t="e">
        <f ca="1">gr(charge_entree[[#This Row],[ch_S_PTOT]])</f>
        <v>#NAME?</v>
      </c>
      <c r="O269" s="521" t="e">
        <f ca="1">gr(charge_entree[[#This Row],[ch_S_SNDT]])</f>
        <v>#NAME?</v>
      </c>
    </row>
    <row r="270" spans="1:15" x14ac:dyDescent="0.2">
      <c r="A270" s="222">
        <f>calculs!A270</f>
        <v>44821</v>
      </c>
      <c r="B270" s="521" t="e">
        <f ca="1">gr(charge_entree[[#This Row],[ch_E_DBO5]])</f>
        <v>#NAME?</v>
      </c>
      <c r="C270" s="521" t="e">
        <f ca="1">gr(charge_entree[[#This Row],[ch_E_DCO]])</f>
        <v>#NAME?</v>
      </c>
      <c r="D270" s="521" t="e">
        <f ca="1">gr(charge_entree[[#This Row],[ch_E_COT]])</f>
        <v>#NAME?</v>
      </c>
      <c r="E270" s="521" t="e">
        <f ca="1">gr(charge_entree[[#This Row],[ch_E_NH4]])</f>
        <v>#NAME?</v>
      </c>
      <c r="F270" s="521" t="e">
        <f ca="1">gr(charge_entree[[#This Row],[ch_E_NTOT]])</f>
        <v>#NAME?</v>
      </c>
      <c r="G270" s="521" t="e">
        <f ca="1">gr(charge_entree[[#This Row],[ch_E_PTOT]])</f>
        <v>#NAME?</v>
      </c>
      <c r="H270" s="521" t="e">
        <f ca="1">gr(charge_entree[[#This Row],[ch_S_DBO]])</f>
        <v>#NAME?</v>
      </c>
      <c r="I270" s="521" t="e">
        <f ca="1">gr(charge_entree[[#This Row],[ch_S-DCO]])</f>
        <v>#NAME?</v>
      </c>
      <c r="J270" s="521" t="e">
        <f ca="1">gr(charge_entree[[#This Row],[ch_S_DOC]])</f>
        <v>#NAME?</v>
      </c>
      <c r="K270" s="521" t="e">
        <f ca="1">gr(charge_entree[[#This Row],[ch_S_NH4]])</f>
        <v>#NAME?</v>
      </c>
      <c r="L270" s="521" t="e">
        <f ca="1">gr(charge_entree[[#This Row],[ch_S_NO2]])</f>
        <v>#NAME?</v>
      </c>
      <c r="M270" s="521" t="e">
        <f ca="1">gr(charge_entree[[#This Row],[ch_S_NO3]])</f>
        <v>#NAME?</v>
      </c>
      <c r="N270" s="521" t="e">
        <f ca="1">gr(charge_entree[[#This Row],[ch_S_PTOT]])</f>
        <v>#NAME?</v>
      </c>
      <c r="O270" s="521" t="e">
        <f ca="1">gr(charge_entree[[#This Row],[ch_S_SNDT]])</f>
        <v>#NAME?</v>
      </c>
    </row>
    <row r="271" spans="1:15" x14ac:dyDescent="0.2">
      <c r="A271" s="222">
        <f>calculs!A271</f>
        <v>44822</v>
      </c>
      <c r="B271" s="521" t="e">
        <f ca="1">gr(charge_entree[[#This Row],[ch_E_DBO5]])</f>
        <v>#NAME?</v>
      </c>
      <c r="C271" s="521" t="e">
        <f ca="1">gr(charge_entree[[#This Row],[ch_E_DCO]])</f>
        <v>#NAME?</v>
      </c>
      <c r="D271" s="521" t="e">
        <f ca="1">gr(charge_entree[[#This Row],[ch_E_COT]])</f>
        <v>#NAME?</v>
      </c>
      <c r="E271" s="521" t="e">
        <f ca="1">gr(charge_entree[[#This Row],[ch_E_NH4]])</f>
        <v>#NAME?</v>
      </c>
      <c r="F271" s="521" t="e">
        <f ca="1">gr(charge_entree[[#This Row],[ch_E_NTOT]])</f>
        <v>#NAME?</v>
      </c>
      <c r="G271" s="521" t="e">
        <f ca="1">gr(charge_entree[[#This Row],[ch_E_PTOT]])</f>
        <v>#NAME?</v>
      </c>
      <c r="H271" s="521" t="e">
        <f ca="1">gr(charge_entree[[#This Row],[ch_S_DBO]])</f>
        <v>#NAME?</v>
      </c>
      <c r="I271" s="521" t="e">
        <f ca="1">gr(charge_entree[[#This Row],[ch_S-DCO]])</f>
        <v>#NAME?</v>
      </c>
      <c r="J271" s="521" t="e">
        <f ca="1">gr(charge_entree[[#This Row],[ch_S_DOC]])</f>
        <v>#NAME?</v>
      </c>
      <c r="K271" s="521" t="e">
        <f ca="1">gr(charge_entree[[#This Row],[ch_S_NH4]])</f>
        <v>#NAME?</v>
      </c>
      <c r="L271" s="521" t="e">
        <f ca="1">gr(charge_entree[[#This Row],[ch_S_NO2]])</f>
        <v>#NAME?</v>
      </c>
      <c r="M271" s="521" t="e">
        <f ca="1">gr(charge_entree[[#This Row],[ch_S_NO3]])</f>
        <v>#NAME?</v>
      </c>
      <c r="N271" s="521" t="e">
        <f ca="1">gr(charge_entree[[#This Row],[ch_S_PTOT]])</f>
        <v>#NAME?</v>
      </c>
      <c r="O271" s="521" t="e">
        <f ca="1">gr(charge_entree[[#This Row],[ch_S_SNDT]])</f>
        <v>#NAME?</v>
      </c>
    </row>
    <row r="272" spans="1:15" x14ac:dyDescent="0.2">
      <c r="A272" s="222">
        <f>calculs!A272</f>
        <v>44823</v>
      </c>
      <c r="B272" s="521" t="e">
        <f ca="1">gr(charge_entree[[#This Row],[ch_E_DBO5]])</f>
        <v>#NAME?</v>
      </c>
      <c r="C272" s="521" t="e">
        <f ca="1">gr(charge_entree[[#This Row],[ch_E_DCO]])</f>
        <v>#NAME?</v>
      </c>
      <c r="D272" s="521" t="e">
        <f ca="1">gr(charge_entree[[#This Row],[ch_E_COT]])</f>
        <v>#NAME?</v>
      </c>
      <c r="E272" s="521" t="e">
        <f ca="1">gr(charge_entree[[#This Row],[ch_E_NH4]])</f>
        <v>#NAME?</v>
      </c>
      <c r="F272" s="521" t="e">
        <f ca="1">gr(charge_entree[[#This Row],[ch_E_NTOT]])</f>
        <v>#NAME?</v>
      </c>
      <c r="G272" s="521" t="e">
        <f ca="1">gr(charge_entree[[#This Row],[ch_E_PTOT]])</f>
        <v>#NAME?</v>
      </c>
      <c r="H272" s="521" t="e">
        <f ca="1">gr(charge_entree[[#This Row],[ch_S_DBO]])</f>
        <v>#NAME?</v>
      </c>
      <c r="I272" s="521" t="e">
        <f ca="1">gr(charge_entree[[#This Row],[ch_S-DCO]])</f>
        <v>#NAME?</v>
      </c>
      <c r="J272" s="521" t="e">
        <f ca="1">gr(charge_entree[[#This Row],[ch_S_DOC]])</f>
        <v>#NAME?</v>
      </c>
      <c r="K272" s="521" t="e">
        <f ca="1">gr(charge_entree[[#This Row],[ch_S_NH4]])</f>
        <v>#NAME?</v>
      </c>
      <c r="L272" s="521" t="e">
        <f ca="1">gr(charge_entree[[#This Row],[ch_S_NO2]])</f>
        <v>#NAME?</v>
      </c>
      <c r="M272" s="521" t="e">
        <f ca="1">gr(charge_entree[[#This Row],[ch_S_NO3]])</f>
        <v>#NAME?</v>
      </c>
      <c r="N272" s="521" t="e">
        <f ca="1">gr(charge_entree[[#This Row],[ch_S_PTOT]])</f>
        <v>#NAME?</v>
      </c>
      <c r="O272" s="521" t="e">
        <f ca="1">gr(charge_entree[[#This Row],[ch_S_SNDT]])</f>
        <v>#NAME?</v>
      </c>
    </row>
    <row r="273" spans="1:15" x14ac:dyDescent="0.2">
      <c r="A273" s="222">
        <f>calculs!A273</f>
        <v>44824</v>
      </c>
      <c r="B273" s="521" t="e">
        <f ca="1">gr(charge_entree[[#This Row],[ch_E_DBO5]])</f>
        <v>#NAME?</v>
      </c>
      <c r="C273" s="521" t="e">
        <f ca="1">gr(charge_entree[[#This Row],[ch_E_DCO]])</f>
        <v>#NAME?</v>
      </c>
      <c r="D273" s="521" t="e">
        <f ca="1">gr(charge_entree[[#This Row],[ch_E_COT]])</f>
        <v>#NAME?</v>
      </c>
      <c r="E273" s="521" t="e">
        <f ca="1">gr(charge_entree[[#This Row],[ch_E_NH4]])</f>
        <v>#NAME?</v>
      </c>
      <c r="F273" s="521" t="e">
        <f ca="1">gr(charge_entree[[#This Row],[ch_E_NTOT]])</f>
        <v>#NAME?</v>
      </c>
      <c r="G273" s="521" t="e">
        <f ca="1">gr(charge_entree[[#This Row],[ch_E_PTOT]])</f>
        <v>#NAME?</v>
      </c>
      <c r="H273" s="521" t="e">
        <f ca="1">gr(charge_entree[[#This Row],[ch_S_DBO]])</f>
        <v>#NAME?</v>
      </c>
      <c r="I273" s="521" t="e">
        <f ca="1">gr(charge_entree[[#This Row],[ch_S-DCO]])</f>
        <v>#NAME?</v>
      </c>
      <c r="J273" s="521" t="e">
        <f ca="1">gr(charge_entree[[#This Row],[ch_S_DOC]])</f>
        <v>#NAME?</v>
      </c>
      <c r="K273" s="521" t="e">
        <f ca="1">gr(charge_entree[[#This Row],[ch_S_NH4]])</f>
        <v>#NAME?</v>
      </c>
      <c r="L273" s="521" t="e">
        <f ca="1">gr(charge_entree[[#This Row],[ch_S_NO2]])</f>
        <v>#NAME?</v>
      </c>
      <c r="M273" s="521" t="e">
        <f ca="1">gr(charge_entree[[#This Row],[ch_S_NO3]])</f>
        <v>#NAME?</v>
      </c>
      <c r="N273" s="521" t="e">
        <f ca="1">gr(charge_entree[[#This Row],[ch_S_PTOT]])</f>
        <v>#NAME?</v>
      </c>
      <c r="O273" s="521" t="e">
        <f ca="1">gr(charge_entree[[#This Row],[ch_S_SNDT]])</f>
        <v>#NAME?</v>
      </c>
    </row>
    <row r="274" spans="1:15" x14ac:dyDescent="0.2">
      <c r="A274" s="222">
        <f>calculs!A274</f>
        <v>44825</v>
      </c>
      <c r="B274" s="521" t="e">
        <f ca="1">gr(charge_entree[[#This Row],[ch_E_DBO5]])</f>
        <v>#NAME?</v>
      </c>
      <c r="C274" s="521" t="e">
        <f ca="1">gr(charge_entree[[#This Row],[ch_E_DCO]])</f>
        <v>#NAME?</v>
      </c>
      <c r="D274" s="521" t="e">
        <f ca="1">gr(charge_entree[[#This Row],[ch_E_COT]])</f>
        <v>#NAME?</v>
      </c>
      <c r="E274" s="521" t="e">
        <f ca="1">gr(charge_entree[[#This Row],[ch_E_NH4]])</f>
        <v>#NAME?</v>
      </c>
      <c r="F274" s="521" t="e">
        <f ca="1">gr(charge_entree[[#This Row],[ch_E_NTOT]])</f>
        <v>#NAME?</v>
      </c>
      <c r="G274" s="521" t="e">
        <f ca="1">gr(charge_entree[[#This Row],[ch_E_PTOT]])</f>
        <v>#NAME?</v>
      </c>
      <c r="H274" s="521" t="e">
        <f ca="1">gr(charge_entree[[#This Row],[ch_S_DBO]])</f>
        <v>#NAME?</v>
      </c>
      <c r="I274" s="521" t="e">
        <f ca="1">gr(charge_entree[[#This Row],[ch_S-DCO]])</f>
        <v>#NAME?</v>
      </c>
      <c r="J274" s="521" t="e">
        <f ca="1">gr(charge_entree[[#This Row],[ch_S_DOC]])</f>
        <v>#NAME?</v>
      </c>
      <c r="K274" s="521" t="e">
        <f ca="1">gr(charge_entree[[#This Row],[ch_S_NH4]])</f>
        <v>#NAME?</v>
      </c>
      <c r="L274" s="521" t="e">
        <f ca="1">gr(charge_entree[[#This Row],[ch_S_NO2]])</f>
        <v>#NAME?</v>
      </c>
      <c r="M274" s="521" t="e">
        <f ca="1">gr(charge_entree[[#This Row],[ch_S_NO3]])</f>
        <v>#NAME?</v>
      </c>
      <c r="N274" s="521" t="e">
        <f ca="1">gr(charge_entree[[#This Row],[ch_S_PTOT]])</f>
        <v>#NAME?</v>
      </c>
      <c r="O274" s="521" t="e">
        <f ca="1">gr(charge_entree[[#This Row],[ch_S_SNDT]])</f>
        <v>#NAME?</v>
      </c>
    </row>
    <row r="275" spans="1:15" x14ac:dyDescent="0.2">
      <c r="A275" s="222">
        <f>calculs!A275</f>
        <v>44826</v>
      </c>
      <c r="B275" s="521" t="e">
        <f ca="1">gr(charge_entree[[#This Row],[ch_E_DBO5]])</f>
        <v>#NAME?</v>
      </c>
      <c r="C275" s="521" t="e">
        <f ca="1">gr(charge_entree[[#This Row],[ch_E_DCO]])</f>
        <v>#NAME?</v>
      </c>
      <c r="D275" s="521" t="e">
        <f ca="1">gr(charge_entree[[#This Row],[ch_E_COT]])</f>
        <v>#NAME?</v>
      </c>
      <c r="E275" s="521" t="e">
        <f ca="1">gr(charge_entree[[#This Row],[ch_E_NH4]])</f>
        <v>#NAME?</v>
      </c>
      <c r="F275" s="521" t="e">
        <f ca="1">gr(charge_entree[[#This Row],[ch_E_NTOT]])</f>
        <v>#NAME?</v>
      </c>
      <c r="G275" s="521" t="e">
        <f ca="1">gr(charge_entree[[#This Row],[ch_E_PTOT]])</f>
        <v>#NAME?</v>
      </c>
      <c r="H275" s="521" t="e">
        <f ca="1">gr(charge_entree[[#This Row],[ch_S_DBO]])</f>
        <v>#NAME?</v>
      </c>
      <c r="I275" s="521" t="e">
        <f ca="1">gr(charge_entree[[#This Row],[ch_S-DCO]])</f>
        <v>#NAME?</v>
      </c>
      <c r="J275" s="521" t="e">
        <f ca="1">gr(charge_entree[[#This Row],[ch_S_DOC]])</f>
        <v>#NAME?</v>
      </c>
      <c r="K275" s="521" t="e">
        <f ca="1">gr(charge_entree[[#This Row],[ch_S_NH4]])</f>
        <v>#NAME?</v>
      </c>
      <c r="L275" s="521" t="e">
        <f ca="1">gr(charge_entree[[#This Row],[ch_S_NO2]])</f>
        <v>#NAME?</v>
      </c>
      <c r="M275" s="521" t="e">
        <f ca="1">gr(charge_entree[[#This Row],[ch_S_NO3]])</f>
        <v>#NAME?</v>
      </c>
      <c r="N275" s="521" t="e">
        <f ca="1">gr(charge_entree[[#This Row],[ch_S_PTOT]])</f>
        <v>#NAME?</v>
      </c>
      <c r="O275" s="521" t="e">
        <f ca="1">gr(charge_entree[[#This Row],[ch_S_SNDT]])</f>
        <v>#NAME?</v>
      </c>
    </row>
    <row r="276" spans="1:15" x14ac:dyDescent="0.2">
      <c r="A276" s="222">
        <f>calculs!A276</f>
        <v>44827</v>
      </c>
      <c r="B276" s="521" t="e">
        <f ca="1">gr(charge_entree[[#This Row],[ch_E_DBO5]])</f>
        <v>#NAME?</v>
      </c>
      <c r="C276" s="521" t="e">
        <f ca="1">gr(charge_entree[[#This Row],[ch_E_DCO]])</f>
        <v>#NAME?</v>
      </c>
      <c r="D276" s="521" t="e">
        <f ca="1">gr(charge_entree[[#This Row],[ch_E_COT]])</f>
        <v>#NAME?</v>
      </c>
      <c r="E276" s="521" t="e">
        <f ca="1">gr(charge_entree[[#This Row],[ch_E_NH4]])</f>
        <v>#NAME?</v>
      </c>
      <c r="F276" s="521" t="e">
        <f ca="1">gr(charge_entree[[#This Row],[ch_E_NTOT]])</f>
        <v>#NAME?</v>
      </c>
      <c r="G276" s="521" t="e">
        <f ca="1">gr(charge_entree[[#This Row],[ch_E_PTOT]])</f>
        <v>#NAME?</v>
      </c>
      <c r="H276" s="521" t="e">
        <f ca="1">gr(charge_entree[[#This Row],[ch_S_DBO]])</f>
        <v>#NAME?</v>
      </c>
      <c r="I276" s="521" t="e">
        <f ca="1">gr(charge_entree[[#This Row],[ch_S-DCO]])</f>
        <v>#NAME?</v>
      </c>
      <c r="J276" s="521" t="e">
        <f ca="1">gr(charge_entree[[#This Row],[ch_S_DOC]])</f>
        <v>#NAME?</v>
      </c>
      <c r="K276" s="521" t="e">
        <f ca="1">gr(charge_entree[[#This Row],[ch_S_NH4]])</f>
        <v>#NAME?</v>
      </c>
      <c r="L276" s="521" t="e">
        <f ca="1">gr(charge_entree[[#This Row],[ch_S_NO2]])</f>
        <v>#NAME?</v>
      </c>
      <c r="M276" s="521" t="e">
        <f ca="1">gr(charge_entree[[#This Row],[ch_S_NO3]])</f>
        <v>#NAME?</v>
      </c>
      <c r="N276" s="521" t="e">
        <f ca="1">gr(charge_entree[[#This Row],[ch_S_PTOT]])</f>
        <v>#NAME?</v>
      </c>
      <c r="O276" s="521" t="e">
        <f ca="1">gr(charge_entree[[#This Row],[ch_S_SNDT]])</f>
        <v>#NAME?</v>
      </c>
    </row>
    <row r="277" spans="1:15" x14ac:dyDescent="0.2">
      <c r="A277" s="222">
        <f>calculs!A277</f>
        <v>44828</v>
      </c>
      <c r="B277" s="521" t="e">
        <f ca="1">gr(charge_entree[[#This Row],[ch_E_DBO5]])</f>
        <v>#NAME?</v>
      </c>
      <c r="C277" s="521" t="e">
        <f ca="1">gr(charge_entree[[#This Row],[ch_E_DCO]])</f>
        <v>#NAME?</v>
      </c>
      <c r="D277" s="521" t="e">
        <f ca="1">gr(charge_entree[[#This Row],[ch_E_COT]])</f>
        <v>#NAME?</v>
      </c>
      <c r="E277" s="521" t="e">
        <f ca="1">gr(charge_entree[[#This Row],[ch_E_NH4]])</f>
        <v>#NAME?</v>
      </c>
      <c r="F277" s="521" t="e">
        <f ca="1">gr(charge_entree[[#This Row],[ch_E_NTOT]])</f>
        <v>#NAME?</v>
      </c>
      <c r="G277" s="521" t="e">
        <f ca="1">gr(charge_entree[[#This Row],[ch_E_PTOT]])</f>
        <v>#NAME?</v>
      </c>
      <c r="H277" s="521" t="e">
        <f ca="1">gr(charge_entree[[#This Row],[ch_S_DBO]])</f>
        <v>#NAME?</v>
      </c>
      <c r="I277" s="521" t="e">
        <f ca="1">gr(charge_entree[[#This Row],[ch_S-DCO]])</f>
        <v>#NAME?</v>
      </c>
      <c r="J277" s="521" t="e">
        <f ca="1">gr(charge_entree[[#This Row],[ch_S_DOC]])</f>
        <v>#NAME?</v>
      </c>
      <c r="K277" s="521" t="e">
        <f ca="1">gr(charge_entree[[#This Row],[ch_S_NH4]])</f>
        <v>#NAME?</v>
      </c>
      <c r="L277" s="521" t="e">
        <f ca="1">gr(charge_entree[[#This Row],[ch_S_NO2]])</f>
        <v>#NAME?</v>
      </c>
      <c r="M277" s="521" t="e">
        <f ca="1">gr(charge_entree[[#This Row],[ch_S_NO3]])</f>
        <v>#NAME?</v>
      </c>
      <c r="N277" s="521" t="e">
        <f ca="1">gr(charge_entree[[#This Row],[ch_S_PTOT]])</f>
        <v>#NAME?</v>
      </c>
      <c r="O277" s="521" t="e">
        <f ca="1">gr(charge_entree[[#This Row],[ch_S_SNDT]])</f>
        <v>#NAME?</v>
      </c>
    </row>
    <row r="278" spans="1:15" x14ac:dyDescent="0.2">
      <c r="A278" s="222">
        <f>calculs!A278</f>
        <v>44829</v>
      </c>
      <c r="B278" s="521" t="e">
        <f ca="1">gr(charge_entree[[#This Row],[ch_E_DBO5]])</f>
        <v>#NAME?</v>
      </c>
      <c r="C278" s="521" t="e">
        <f ca="1">gr(charge_entree[[#This Row],[ch_E_DCO]])</f>
        <v>#NAME?</v>
      </c>
      <c r="D278" s="521" t="e">
        <f ca="1">gr(charge_entree[[#This Row],[ch_E_COT]])</f>
        <v>#NAME?</v>
      </c>
      <c r="E278" s="521" t="e">
        <f ca="1">gr(charge_entree[[#This Row],[ch_E_NH4]])</f>
        <v>#NAME?</v>
      </c>
      <c r="F278" s="521" t="e">
        <f ca="1">gr(charge_entree[[#This Row],[ch_E_NTOT]])</f>
        <v>#NAME?</v>
      </c>
      <c r="G278" s="521" t="e">
        <f ca="1">gr(charge_entree[[#This Row],[ch_E_PTOT]])</f>
        <v>#NAME?</v>
      </c>
      <c r="H278" s="521" t="e">
        <f ca="1">gr(charge_entree[[#This Row],[ch_S_DBO]])</f>
        <v>#NAME?</v>
      </c>
      <c r="I278" s="521" t="e">
        <f ca="1">gr(charge_entree[[#This Row],[ch_S-DCO]])</f>
        <v>#NAME?</v>
      </c>
      <c r="J278" s="521" t="e">
        <f ca="1">gr(charge_entree[[#This Row],[ch_S_DOC]])</f>
        <v>#NAME?</v>
      </c>
      <c r="K278" s="521" t="e">
        <f ca="1">gr(charge_entree[[#This Row],[ch_S_NH4]])</f>
        <v>#NAME?</v>
      </c>
      <c r="L278" s="521" t="e">
        <f ca="1">gr(charge_entree[[#This Row],[ch_S_NO2]])</f>
        <v>#NAME?</v>
      </c>
      <c r="M278" s="521" t="e">
        <f ca="1">gr(charge_entree[[#This Row],[ch_S_NO3]])</f>
        <v>#NAME?</v>
      </c>
      <c r="N278" s="521" t="e">
        <f ca="1">gr(charge_entree[[#This Row],[ch_S_PTOT]])</f>
        <v>#NAME?</v>
      </c>
      <c r="O278" s="521" t="e">
        <f ca="1">gr(charge_entree[[#This Row],[ch_S_SNDT]])</f>
        <v>#NAME?</v>
      </c>
    </row>
    <row r="279" spans="1:15" x14ac:dyDescent="0.2">
      <c r="A279" s="222">
        <f>calculs!A279</f>
        <v>44830</v>
      </c>
      <c r="B279" s="521" t="e">
        <f ca="1">gr(charge_entree[[#This Row],[ch_E_DBO5]])</f>
        <v>#NAME?</v>
      </c>
      <c r="C279" s="521" t="e">
        <f ca="1">gr(charge_entree[[#This Row],[ch_E_DCO]])</f>
        <v>#NAME?</v>
      </c>
      <c r="D279" s="521" t="e">
        <f ca="1">gr(charge_entree[[#This Row],[ch_E_COT]])</f>
        <v>#NAME?</v>
      </c>
      <c r="E279" s="521" t="e">
        <f ca="1">gr(charge_entree[[#This Row],[ch_E_NH4]])</f>
        <v>#NAME?</v>
      </c>
      <c r="F279" s="521" t="e">
        <f ca="1">gr(charge_entree[[#This Row],[ch_E_NTOT]])</f>
        <v>#NAME?</v>
      </c>
      <c r="G279" s="521" t="e">
        <f ca="1">gr(charge_entree[[#This Row],[ch_E_PTOT]])</f>
        <v>#NAME?</v>
      </c>
      <c r="H279" s="521" t="e">
        <f ca="1">gr(charge_entree[[#This Row],[ch_S_DBO]])</f>
        <v>#NAME?</v>
      </c>
      <c r="I279" s="521" t="e">
        <f ca="1">gr(charge_entree[[#This Row],[ch_S-DCO]])</f>
        <v>#NAME?</v>
      </c>
      <c r="J279" s="521" t="e">
        <f ca="1">gr(charge_entree[[#This Row],[ch_S_DOC]])</f>
        <v>#NAME?</v>
      </c>
      <c r="K279" s="521" t="e">
        <f ca="1">gr(charge_entree[[#This Row],[ch_S_NH4]])</f>
        <v>#NAME?</v>
      </c>
      <c r="L279" s="521" t="e">
        <f ca="1">gr(charge_entree[[#This Row],[ch_S_NO2]])</f>
        <v>#NAME?</v>
      </c>
      <c r="M279" s="521" t="e">
        <f ca="1">gr(charge_entree[[#This Row],[ch_S_NO3]])</f>
        <v>#NAME?</v>
      </c>
      <c r="N279" s="521" t="e">
        <f ca="1">gr(charge_entree[[#This Row],[ch_S_PTOT]])</f>
        <v>#NAME?</v>
      </c>
      <c r="O279" s="521" t="e">
        <f ca="1">gr(charge_entree[[#This Row],[ch_S_SNDT]])</f>
        <v>#NAME?</v>
      </c>
    </row>
    <row r="280" spans="1:15" x14ac:dyDescent="0.2">
      <c r="A280" s="222">
        <f>calculs!A280</f>
        <v>44831</v>
      </c>
      <c r="B280" s="521" t="e">
        <f ca="1">gr(charge_entree[[#This Row],[ch_E_DBO5]])</f>
        <v>#NAME?</v>
      </c>
      <c r="C280" s="521" t="e">
        <f ca="1">gr(charge_entree[[#This Row],[ch_E_DCO]])</f>
        <v>#NAME?</v>
      </c>
      <c r="D280" s="521" t="e">
        <f ca="1">gr(charge_entree[[#This Row],[ch_E_COT]])</f>
        <v>#NAME?</v>
      </c>
      <c r="E280" s="521" t="e">
        <f ca="1">gr(charge_entree[[#This Row],[ch_E_NH4]])</f>
        <v>#NAME?</v>
      </c>
      <c r="F280" s="521" t="e">
        <f ca="1">gr(charge_entree[[#This Row],[ch_E_NTOT]])</f>
        <v>#NAME?</v>
      </c>
      <c r="G280" s="521" t="e">
        <f ca="1">gr(charge_entree[[#This Row],[ch_E_PTOT]])</f>
        <v>#NAME?</v>
      </c>
      <c r="H280" s="521" t="e">
        <f ca="1">gr(charge_entree[[#This Row],[ch_S_DBO]])</f>
        <v>#NAME?</v>
      </c>
      <c r="I280" s="521" t="e">
        <f ca="1">gr(charge_entree[[#This Row],[ch_S-DCO]])</f>
        <v>#NAME?</v>
      </c>
      <c r="J280" s="521" t="e">
        <f ca="1">gr(charge_entree[[#This Row],[ch_S_DOC]])</f>
        <v>#NAME?</v>
      </c>
      <c r="K280" s="521" t="e">
        <f ca="1">gr(charge_entree[[#This Row],[ch_S_NH4]])</f>
        <v>#NAME?</v>
      </c>
      <c r="L280" s="521" t="e">
        <f ca="1">gr(charge_entree[[#This Row],[ch_S_NO2]])</f>
        <v>#NAME?</v>
      </c>
      <c r="M280" s="521" t="e">
        <f ca="1">gr(charge_entree[[#This Row],[ch_S_NO3]])</f>
        <v>#NAME?</v>
      </c>
      <c r="N280" s="521" t="e">
        <f ca="1">gr(charge_entree[[#This Row],[ch_S_PTOT]])</f>
        <v>#NAME?</v>
      </c>
      <c r="O280" s="521" t="e">
        <f ca="1">gr(charge_entree[[#This Row],[ch_S_SNDT]])</f>
        <v>#NAME?</v>
      </c>
    </row>
    <row r="281" spans="1:15" x14ac:dyDescent="0.2">
      <c r="A281" s="222">
        <f>calculs!A281</f>
        <v>44832</v>
      </c>
      <c r="B281" s="521" t="e">
        <f ca="1">gr(charge_entree[[#This Row],[ch_E_DBO5]])</f>
        <v>#NAME?</v>
      </c>
      <c r="C281" s="521" t="e">
        <f ca="1">gr(charge_entree[[#This Row],[ch_E_DCO]])</f>
        <v>#NAME?</v>
      </c>
      <c r="D281" s="521" t="e">
        <f ca="1">gr(charge_entree[[#This Row],[ch_E_COT]])</f>
        <v>#NAME?</v>
      </c>
      <c r="E281" s="521" t="e">
        <f ca="1">gr(charge_entree[[#This Row],[ch_E_NH4]])</f>
        <v>#NAME?</v>
      </c>
      <c r="F281" s="521" t="e">
        <f ca="1">gr(charge_entree[[#This Row],[ch_E_NTOT]])</f>
        <v>#NAME?</v>
      </c>
      <c r="G281" s="521" t="e">
        <f ca="1">gr(charge_entree[[#This Row],[ch_E_PTOT]])</f>
        <v>#NAME?</v>
      </c>
      <c r="H281" s="521" t="e">
        <f ca="1">gr(charge_entree[[#This Row],[ch_S_DBO]])</f>
        <v>#NAME?</v>
      </c>
      <c r="I281" s="521" t="e">
        <f ca="1">gr(charge_entree[[#This Row],[ch_S-DCO]])</f>
        <v>#NAME?</v>
      </c>
      <c r="J281" s="521" t="e">
        <f ca="1">gr(charge_entree[[#This Row],[ch_S_DOC]])</f>
        <v>#NAME?</v>
      </c>
      <c r="K281" s="521" t="e">
        <f ca="1">gr(charge_entree[[#This Row],[ch_S_NH4]])</f>
        <v>#NAME?</v>
      </c>
      <c r="L281" s="521" t="e">
        <f ca="1">gr(charge_entree[[#This Row],[ch_S_NO2]])</f>
        <v>#NAME?</v>
      </c>
      <c r="M281" s="521" t="e">
        <f ca="1">gr(charge_entree[[#This Row],[ch_S_NO3]])</f>
        <v>#NAME?</v>
      </c>
      <c r="N281" s="521" t="e">
        <f ca="1">gr(charge_entree[[#This Row],[ch_S_PTOT]])</f>
        <v>#NAME?</v>
      </c>
      <c r="O281" s="521" t="e">
        <f ca="1">gr(charge_entree[[#This Row],[ch_S_SNDT]])</f>
        <v>#NAME?</v>
      </c>
    </row>
    <row r="282" spans="1:15" x14ac:dyDescent="0.2">
      <c r="A282" s="222">
        <f>calculs!A282</f>
        <v>44833</v>
      </c>
      <c r="B282" s="521" t="e">
        <f ca="1">gr(charge_entree[[#This Row],[ch_E_DBO5]])</f>
        <v>#NAME?</v>
      </c>
      <c r="C282" s="521" t="e">
        <f ca="1">gr(charge_entree[[#This Row],[ch_E_DCO]])</f>
        <v>#NAME?</v>
      </c>
      <c r="D282" s="521" t="e">
        <f ca="1">gr(charge_entree[[#This Row],[ch_E_COT]])</f>
        <v>#NAME?</v>
      </c>
      <c r="E282" s="521" t="e">
        <f ca="1">gr(charge_entree[[#This Row],[ch_E_NH4]])</f>
        <v>#NAME?</v>
      </c>
      <c r="F282" s="521" t="e">
        <f ca="1">gr(charge_entree[[#This Row],[ch_E_NTOT]])</f>
        <v>#NAME?</v>
      </c>
      <c r="G282" s="521" t="e">
        <f ca="1">gr(charge_entree[[#This Row],[ch_E_PTOT]])</f>
        <v>#NAME?</v>
      </c>
      <c r="H282" s="521" t="e">
        <f ca="1">gr(charge_entree[[#This Row],[ch_S_DBO]])</f>
        <v>#NAME?</v>
      </c>
      <c r="I282" s="521" t="e">
        <f ca="1">gr(charge_entree[[#This Row],[ch_S-DCO]])</f>
        <v>#NAME?</v>
      </c>
      <c r="J282" s="521" t="e">
        <f ca="1">gr(charge_entree[[#This Row],[ch_S_DOC]])</f>
        <v>#NAME?</v>
      </c>
      <c r="K282" s="521" t="e">
        <f ca="1">gr(charge_entree[[#This Row],[ch_S_NH4]])</f>
        <v>#NAME?</v>
      </c>
      <c r="L282" s="521" t="e">
        <f ca="1">gr(charge_entree[[#This Row],[ch_S_NO2]])</f>
        <v>#NAME?</v>
      </c>
      <c r="M282" s="521" t="e">
        <f ca="1">gr(charge_entree[[#This Row],[ch_S_NO3]])</f>
        <v>#NAME?</v>
      </c>
      <c r="N282" s="521" t="e">
        <f ca="1">gr(charge_entree[[#This Row],[ch_S_PTOT]])</f>
        <v>#NAME?</v>
      </c>
      <c r="O282" s="521" t="e">
        <f ca="1">gr(charge_entree[[#This Row],[ch_S_SNDT]])</f>
        <v>#NAME?</v>
      </c>
    </row>
    <row r="283" spans="1:15" x14ac:dyDescent="0.2">
      <c r="A283" s="222">
        <f>calculs!A283</f>
        <v>44834</v>
      </c>
      <c r="B283" s="521" t="e">
        <f ca="1">gr(charge_entree[[#This Row],[ch_E_DBO5]])</f>
        <v>#NAME?</v>
      </c>
      <c r="C283" s="521" t="e">
        <f ca="1">gr(charge_entree[[#This Row],[ch_E_DCO]])</f>
        <v>#NAME?</v>
      </c>
      <c r="D283" s="521" t="e">
        <f ca="1">gr(charge_entree[[#This Row],[ch_E_COT]])</f>
        <v>#NAME?</v>
      </c>
      <c r="E283" s="521" t="e">
        <f ca="1">gr(charge_entree[[#This Row],[ch_E_NH4]])</f>
        <v>#NAME?</v>
      </c>
      <c r="F283" s="521" t="e">
        <f ca="1">gr(charge_entree[[#This Row],[ch_E_NTOT]])</f>
        <v>#NAME?</v>
      </c>
      <c r="G283" s="521" t="e">
        <f ca="1">gr(charge_entree[[#This Row],[ch_E_PTOT]])</f>
        <v>#NAME?</v>
      </c>
      <c r="H283" s="521" t="e">
        <f ca="1">gr(charge_entree[[#This Row],[ch_S_DBO]])</f>
        <v>#NAME?</v>
      </c>
      <c r="I283" s="521" t="e">
        <f ca="1">gr(charge_entree[[#This Row],[ch_S-DCO]])</f>
        <v>#NAME?</v>
      </c>
      <c r="J283" s="521" t="e">
        <f ca="1">gr(charge_entree[[#This Row],[ch_S_DOC]])</f>
        <v>#NAME?</v>
      </c>
      <c r="K283" s="521" t="e">
        <f ca="1">gr(charge_entree[[#This Row],[ch_S_NH4]])</f>
        <v>#NAME?</v>
      </c>
      <c r="L283" s="521" t="e">
        <f ca="1">gr(charge_entree[[#This Row],[ch_S_NO2]])</f>
        <v>#NAME?</v>
      </c>
      <c r="M283" s="521" t="e">
        <f ca="1">gr(charge_entree[[#This Row],[ch_S_NO3]])</f>
        <v>#NAME?</v>
      </c>
      <c r="N283" s="521" t="e">
        <f ca="1">gr(charge_entree[[#This Row],[ch_S_PTOT]])</f>
        <v>#NAME?</v>
      </c>
      <c r="O283" s="521" t="e">
        <f ca="1">gr(charge_entree[[#This Row],[ch_S_SNDT]])</f>
        <v>#NAME?</v>
      </c>
    </row>
    <row r="284" spans="1:15" x14ac:dyDescent="0.2">
      <c r="A284" s="222">
        <f>calculs!A284</f>
        <v>44835</v>
      </c>
      <c r="B284" s="521" t="e">
        <f ca="1">gr(charge_entree[[#This Row],[ch_E_DBO5]])</f>
        <v>#NAME?</v>
      </c>
      <c r="C284" s="521" t="e">
        <f ca="1">gr(charge_entree[[#This Row],[ch_E_DCO]])</f>
        <v>#NAME?</v>
      </c>
      <c r="D284" s="521" t="e">
        <f ca="1">gr(charge_entree[[#This Row],[ch_E_COT]])</f>
        <v>#NAME?</v>
      </c>
      <c r="E284" s="521" t="e">
        <f ca="1">gr(charge_entree[[#This Row],[ch_E_NH4]])</f>
        <v>#NAME?</v>
      </c>
      <c r="F284" s="521" t="e">
        <f ca="1">gr(charge_entree[[#This Row],[ch_E_NTOT]])</f>
        <v>#NAME?</v>
      </c>
      <c r="G284" s="521" t="e">
        <f ca="1">gr(charge_entree[[#This Row],[ch_E_PTOT]])</f>
        <v>#NAME?</v>
      </c>
      <c r="H284" s="521" t="e">
        <f ca="1">gr(charge_entree[[#This Row],[ch_S_DBO]])</f>
        <v>#NAME?</v>
      </c>
      <c r="I284" s="521" t="e">
        <f ca="1">gr(charge_entree[[#This Row],[ch_S-DCO]])</f>
        <v>#NAME?</v>
      </c>
      <c r="J284" s="521" t="e">
        <f ca="1">gr(charge_entree[[#This Row],[ch_S_DOC]])</f>
        <v>#NAME?</v>
      </c>
      <c r="K284" s="521" t="e">
        <f ca="1">gr(charge_entree[[#This Row],[ch_S_NH4]])</f>
        <v>#NAME?</v>
      </c>
      <c r="L284" s="521" t="e">
        <f ca="1">gr(charge_entree[[#This Row],[ch_S_NO2]])</f>
        <v>#NAME?</v>
      </c>
      <c r="M284" s="521" t="e">
        <f ca="1">gr(charge_entree[[#This Row],[ch_S_NO3]])</f>
        <v>#NAME?</v>
      </c>
      <c r="N284" s="521" t="e">
        <f ca="1">gr(charge_entree[[#This Row],[ch_S_PTOT]])</f>
        <v>#NAME?</v>
      </c>
      <c r="O284" s="521" t="e">
        <f ca="1">gr(charge_entree[[#This Row],[ch_S_SNDT]])</f>
        <v>#NAME?</v>
      </c>
    </row>
    <row r="285" spans="1:15" x14ac:dyDescent="0.2">
      <c r="A285" s="222">
        <f>calculs!A285</f>
        <v>44836</v>
      </c>
      <c r="B285" s="521" t="e">
        <f ca="1">gr(charge_entree[[#This Row],[ch_E_DBO5]])</f>
        <v>#NAME?</v>
      </c>
      <c r="C285" s="521" t="e">
        <f ca="1">gr(charge_entree[[#This Row],[ch_E_DCO]])</f>
        <v>#NAME?</v>
      </c>
      <c r="D285" s="521" t="e">
        <f ca="1">gr(charge_entree[[#This Row],[ch_E_COT]])</f>
        <v>#NAME?</v>
      </c>
      <c r="E285" s="521" t="e">
        <f ca="1">gr(charge_entree[[#This Row],[ch_E_NH4]])</f>
        <v>#NAME?</v>
      </c>
      <c r="F285" s="521" t="e">
        <f ca="1">gr(charge_entree[[#This Row],[ch_E_NTOT]])</f>
        <v>#NAME?</v>
      </c>
      <c r="G285" s="521" t="e">
        <f ca="1">gr(charge_entree[[#This Row],[ch_E_PTOT]])</f>
        <v>#NAME?</v>
      </c>
      <c r="H285" s="521" t="e">
        <f ca="1">gr(charge_entree[[#This Row],[ch_S_DBO]])</f>
        <v>#NAME?</v>
      </c>
      <c r="I285" s="521" t="e">
        <f ca="1">gr(charge_entree[[#This Row],[ch_S-DCO]])</f>
        <v>#NAME?</v>
      </c>
      <c r="J285" s="521" t="e">
        <f ca="1">gr(charge_entree[[#This Row],[ch_S_DOC]])</f>
        <v>#NAME?</v>
      </c>
      <c r="K285" s="521" t="e">
        <f ca="1">gr(charge_entree[[#This Row],[ch_S_NH4]])</f>
        <v>#NAME?</v>
      </c>
      <c r="L285" s="521" t="e">
        <f ca="1">gr(charge_entree[[#This Row],[ch_S_NO2]])</f>
        <v>#NAME?</v>
      </c>
      <c r="M285" s="521" t="e">
        <f ca="1">gr(charge_entree[[#This Row],[ch_S_NO3]])</f>
        <v>#NAME?</v>
      </c>
      <c r="N285" s="521" t="e">
        <f ca="1">gr(charge_entree[[#This Row],[ch_S_PTOT]])</f>
        <v>#NAME?</v>
      </c>
      <c r="O285" s="521" t="e">
        <f ca="1">gr(charge_entree[[#This Row],[ch_S_SNDT]])</f>
        <v>#NAME?</v>
      </c>
    </row>
    <row r="286" spans="1:15" x14ac:dyDescent="0.2">
      <c r="A286" s="222">
        <f>calculs!A286</f>
        <v>44837</v>
      </c>
      <c r="B286" s="521" t="e">
        <f ca="1">gr(charge_entree[[#This Row],[ch_E_DBO5]])</f>
        <v>#NAME?</v>
      </c>
      <c r="C286" s="521" t="e">
        <f ca="1">gr(charge_entree[[#This Row],[ch_E_DCO]])</f>
        <v>#NAME?</v>
      </c>
      <c r="D286" s="521" t="e">
        <f ca="1">gr(charge_entree[[#This Row],[ch_E_COT]])</f>
        <v>#NAME?</v>
      </c>
      <c r="E286" s="521" t="e">
        <f ca="1">gr(charge_entree[[#This Row],[ch_E_NH4]])</f>
        <v>#NAME?</v>
      </c>
      <c r="F286" s="521" t="e">
        <f ca="1">gr(charge_entree[[#This Row],[ch_E_NTOT]])</f>
        <v>#NAME?</v>
      </c>
      <c r="G286" s="521" t="e">
        <f ca="1">gr(charge_entree[[#This Row],[ch_E_PTOT]])</f>
        <v>#NAME?</v>
      </c>
      <c r="H286" s="521" t="e">
        <f ca="1">gr(charge_entree[[#This Row],[ch_S_DBO]])</f>
        <v>#NAME?</v>
      </c>
      <c r="I286" s="521" t="e">
        <f ca="1">gr(charge_entree[[#This Row],[ch_S-DCO]])</f>
        <v>#NAME?</v>
      </c>
      <c r="J286" s="521" t="e">
        <f ca="1">gr(charge_entree[[#This Row],[ch_S_DOC]])</f>
        <v>#NAME?</v>
      </c>
      <c r="K286" s="521" t="e">
        <f ca="1">gr(charge_entree[[#This Row],[ch_S_NH4]])</f>
        <v>#NAME?</v>
      </c>
      <c r="L286" s="521" t="e">
        <f ca="1">gr(charge_entree[[#This Row],[ch_S_NO2]])</f>
        <v>#NAME?</v>
      </c>
      <c r="M286" s="521" t="e">
        <f ca="1">gr(charge_entree[[#This Row],[ch_S_NO3]])</f>
        <v>#NAME?</v>
      </c>
      <c r="N286" s="521" t="e">
        <f ca="1">gr(charge_entree[[#This Row],[ch_S_PTOT]])</f>
        <v>#NAME?</v>
      </c>
      <c r="O286" s="521" t="e">
        <f ca="1">gr(charge_entree[[#This Row],[ch_S_SNDT]])</f>
        <v>#NAME?</v>
      </c>
    </row>
    <row r="287" spans="1:15" x14ac:dyDescent="0.2">
      <c r="A287" s="222">
        <f>calculs!A287</f>
        <v>44838</v>
      </c>
      <c r="B287" s="521" t="e">
        <f ca="1">gr(charge_entree[[#This Row],[ch_E_DBO5]])</f>
        <v>#NAME?</v>
      </c>
      <c r="C287" s="521" t="e">
        <f ca="1">gr(charge_entree[[#This Row],[ch_E_DCO]])</f>
        <v>#NAME?</v>
      </c>
      <c r="D287" s="521" t="e">
        <f ca="1">gr(charge_entree[[#This Row],[ch_E_COT]])</f>
        <v>#NAME?</v>
      </c>
      <c r="E287" s="521" t="e">
        <f ca="1">gr(charge_entree[[#This Row],[ch_E_NH4]])</f>
        <v>#NAME?</v>
      </c>
      <c r="F287" s="521" t="e">
        <f ca="1">gr(charge_entree[[#This Row],[ch_E_NTOT]])</f>
        <v>#NAME?</v>
      </c>
      <c r="G287" s="521" t="e">
        <f ca="1">gr(charge_entree[[#This Row],[ch_E_PTOT]])</f>
        <v>#NAME?</v>
      </c>
      <c r="H287" s="521" t="e">
        <f ca="1">gr(charge_entree[[#This Row],[ch_S_DBO]])</f>
        <v>#NAME?</v>
      </c>
      <c r="I287" s="521" t="e">
        <f ca="1">gr(charge_entree[[#This Row],[ch_S-DCO]])</f>
        <v>#NAME?</v>
      </c>
      <c r="J287" s="521" t="e">
        <f ca="1">gr(charge_entree[[#This Row],[ch_S_DOC]])</f>
        <v>#NAME?</v>
      </c>
      <c r="K287" s="521" t="e">
        <f ca="1">gr(charge_entree[[#This Row],[ch_S_NH4]])</f>
        <v>#NAME?</v>
      </c>
      <c r="L287" s="521" t="e">
        <f ca="1">gr(charge_entree[[#This Row],[ch_S_NO2]])</f>
        <v>#NAME?</v>
      </c>
      <c r="M287" s="521" t="e">
        <f ca="1">gr(charge_entree[[#This Row],[ch_S_NO3]])</f>
        <v>#NAME?</v>
      </c>
      <c r="N287" s="521" t="e">
        <f ca="1">gr(charge_entree[[#This Row],[ch_S_PTOT]])</f>
        <v>#NAME?</v>
      </c>
      <c r="O287" s="521" t="e">
        <f ca="1">gr(charge_entree[[#This Row],[ch_S_SNDT]])</f>
        <v>#NAME?</v>
      </c>
    </row>
    <row r="288" spans="1:15" x14ac:dyDescent="0.2">
      <c r="A288" s="222">
        <f>calculs!A288</f>
        <v>44839</v>
      </c>
      <c r="B288" s="521" t="e">
        <f ca="1">gr(charge_entree[[#This Row],[ch_E_DBO5]])</f>
        <v>#NAME?</v>
      </c>
      <c r="C288" s="521" t="e">
        <f ca="1">gr(charge_entree[[#This Row],[ch_E_DCO]])</f>
        <v>#NAME?</v>
      </c>
      <c r="D288" s="521" t="e">
        <f ca="1">gr(charge_entree[[#This Row],[ch_E_COT]])</f>
        <v>#NAME?</v>
      </c>
      <c r="E288" s="521" t="e">
        <f ca="1">gr(charge_entree[[#This Row],[ch_E_NH4]])</f>
        <v>#NAME?</v>
      </c>
      <c r="F288" s="521" t="e">
        <f ca="1">gr(charge_entree[[#This Row],[ch_E_NTOT]])</f>
        <v>#NAME?</v>
      </c>
      <c r="G288" s="521" t="e">
        <f ca="1">gr(charge_entree[[#This Row],[ch_E_PTOT]])</f>
        <v>#NAME?</v>
      </c>
      <c r="H288" s="521" t="e">
        <f ca="1">gr(charge_entree[[#This Row],[ch_S_DBO]])</f>
        <v>#NAME?</v>
      </c>
      <c r="I288" s="521" t="e">
        <f ca="1">gr(charge_entree[[#This Row],[ch_S-DCO]])</f>
        <v>#NAME?</v>
      </c>
      <c r="J288" s="521" t="e">
        <f ca="1">gr(charge_entree[[#This Row],[ch_S_DOC]])</f>
        <v>#NAME?</v>
      </c>
      <c r="K288" s="521" t="e">
        <f ca="1">gr(charge_entree[[#This Row],[ch_S_NH4]])</f>
        <v>#NAME?</v>
      </c>
      <c r="L288" s="521" t="e">
        <f ca="1">gr(charge_entree[[#This Row],[ch_S_NO2]])</f>
        <v>#NAME?</v>
      </c>
      <c r="M288" s="521" t="e">
        <f ca="1">gr(charge_entree[[#This Row],[ch_S_NO3]])</f>
        <v>#NAME?</v>
      </c>
      <c r="N288" s="521" t="e">
        <f ca="1">gr(charge_entree[[#This Row],[ch_S_PTOT]])</f>
        <v>#NAME?</v>
      </c>
      <c r="O288" s="521" t="e">
        <f ca="1">gr(charge_entree[[#This Row],[ch_S_SNDT]])</f>
        <v>#NAME?</v>
      </c>
    </row>
    <row r="289" spans="1:15" x14ac:dyDescent="0.2">
      <c r="A289" s="222">
        <f>calculs!A289</f>
        <v>44840</v>
      </c>
      <c r="B289" s="521" t="e">
        <f ca="1">gr(charge_entree[[#This Row],[ch_E_DBO5]])</f>
        <v>#NAME?</v>
      </c>
      <c r="C289" s="521" t="e">
        <f ca="1">gr(charge_entree[[#This Row],[ch_E_DCO]])</f>
        <v>#NAME?</v>
      </c>
      <c r="D289" s="521" t="e">
        <f ca="1">gr(charge_entree[[#This Row],[ch_E_COT]])</f>
        <v>#NAME?</v>
      </c>
      <c r="E289" s="521" t="e">
        <f ca="1">gr(charge_entree[[#This Row],[ch_E_NH4]])</f>
        <v>#NAME?</v>
      </c>
      <c r="F289" s="521" t="e">
        <f ca="1">gr(charge_entree[[#This Row],[ch_E_NTOT]])</f>
        <v>#NAME?</v>
      </c>
      <c r="G289" s="521" t="e">
        <f ca="1">gr(charge_entree[[#This Row],[ch_E_PTOT]])</f>
        <v>#NAME?</v>
      </c>
      <c r="H289" s="521" t="e">
        <f ca="1">gr(charge_entree[[#This Row],[ch_S_DBO]])</f>
        <v>#NAME?</v>
      </c>
      <c r="I289" s="521" t="e">
        <f ca="1">gr(charge_entree[[#This Row],[ch_S-DCO]])</f>
        <v>#NAME?</v>
      </c>
      <c r="J289" s="521" t="e">
        <f ca="1">gr(charge_entree[[#This Row],[ch_S_DOC]])</f>
        <v>#NAME?</v>
      </c>
      <c r="K289" s="521" t="e">
        <f ca="1">gr(charge_entree[[#This Row],[ch_S_NH4]])</f>
        <v>#NAME?</v>
      </c>
      <c r="L289" s="521" t="e">
        <f ca="1">gr(charge_entree[[#This Row],[ch_S_NO2]])</f>
        <v>#NAME?</v>
      </c>
      <c r="M289" s="521" t="e">
        <f ca="1">gr(charge_entree[[#This Row],[ch_S_NO3]])</f>
        <v>#NAME?</v>
      </c>
      <c r="N289" s="521" t="e">
        <f ca="1">gr(charge_entree[[#This Row],[ch_S_PTOT]])</f>
        <v>#NAME?</v>
      </c>
      <c r="O289" s="521" t="e">
        <f ca="1">gr(charge_entree[[#This Row],[ch_S_SNDT]])</f>
        <v>#NAME?</v>
      </c>
    </row>
    <row r="290" spans="1:15" x14ac:dyDescent="0.2">
      <c r="A290" s="222">
        <f>calculs!A290</f>
        <v>44841</v>
      </c>
      <c r="B290" s="521" t="e">
        <f ca="1">gr(charge_entree[[#This Row],[ch_E_DBO5]])</f>
        <v>#NAME?</v>
      </c>
      <c r="C290" s="521" t="e">
        <f ca="1">gr(charge_entree[[#This Row],[ch_E_DCO]])</f>
        <v>#NAME?</v>
      </c>
      <c r="D290" s="521" t="e">
        <f ca="1">gr(charge_entree[[#This Row],[ch_E_COT]])</f>
        <v>#NAME?</v>
      </c>
      <c r="E290" s="521" t="e">
        <f ca="1">gr(charge_entree[[#This Row],[ch_E_NH4]])</f>
        <v>#NAME?</v>
      </c>
      <c r="F290" s="521" t="e">
        <f ca="1">gr(charge_entree[[#This Row],[ch_E_NTOT]])</f>
        <v>#NAME?</v>
      </c>
      <c r="G290" s="521" t="e">
        <f ca="1">gr(charge_entree[[#This Row],[ch_E_PTOT]])</f>
        <v>#NAME?</v>
      </c>
      <c r="H290" s="521" t="e">
        <f ca="1">gr(charge_entree[[#This Row],[ch_S_DBO]])</f>
        <v>#NAME?</v>
      </c>
      <c r="I290" s="521" t="e">
        <f ca="1">gr(charge_entree[[#This Row],[ch_S-DCO]])</f>
        <v>#NAME?</v>
      </c>
      <c r="J290" s="521" t="e">
        <f ca="1">gr(charge_entree[[#This Row],[ch_S_DOC]])</f>
        <v>#NAME?</v>
      </c>
      <c r="K290" s="521" t="e">
        <f ca="1">gr(charge_entree[[#This Row],[ch_S_NH4]])</f>
        <v>#NAME?</v>
      </c>
      <c r="L290" s="521" t="e">
        <f ca="1">gr(charge_entree[[#This Row],[ch_S_NO2]])</f>
        <v>#NAME?</v>
      </c>
      <c r="M290" s="521" t="e">
        <f ca="1">gr(charge_entree[[#This Row],[ch_S_NO3]])</f>
        <v>#NAME?</v>
      </c>
      <c r="N290" s="521" t="e">
        <f ca="1">gr(charge_entree[[#This Row],[ch_S_PTOT]])</f>
        <v>#NAME?</v>
      </c>
      <c r="O290" s="521" t="e">
        <f ca="1">gr(charge_entree[[#This Row],[ch_S_SNDT]])</f>
        <v>#NAME?</v>
      </c>
    </row>
    <row r="291" spans="1:15" x14ac:dyDescent="0.2">
      <c r="A291" s="222">
        <f>calculs!A291</f>
        <v>44842</v>
      </c>
      <c r="B291" s="521" t="e">
        <f ca="1">gr(charge_entree[[#This Row],[ch_E_DBO5]])</f>
        <v>#NAME?</v>
      </c>
      <c r="C291" s="521" t="e">
        <f ca="1">gr(charge_entree[[#This Row],[ch_E_DCO]])</f>
        <v>#NAME?</v>
      </c>
      <c r="D291" s="521" t="e">
        <f ca="1">gr(charge_entree[[#This Row],[ch_E_COT]])</f>
        <v>#NAME?</v>
      </c>
      <c r="E291" s="521" t="e">
        <f ca="1">gr(charge_entree[[#This Row],[ch_E_NH4]])</f>
        <v>#NAME?</v>
      </c>
      <c r="F291" s="521" t="e">
        <f ca="1">gr(charge_entree[[#This Row],[ch_E_NTOT]])</f>
        <v>#NAME?</v>
      </c>
      <c r="G291" s="521" t="e">
        <f ca="1">gr(charge_entree[[#This Row],[ch_E_PTOT]])</f>
        <v>#NAME?</v>
      </c>
      <c r="H291" s="521" t="e">
        <f ca="1">gr(charge_entree[[#This Row],[ch_S_DBO]])</f>
        <v>#NAME?</v>
      </c>
      <c r="I291" s="521" t="e">
        <f ca="1">gr(charge_entree[[#This Row],[ch_S-DCO]])</f>
        <v>#NAME?</v>
      </c>
      <c r="J291" s="521" t="e">
        <f ca="1">gr(charge_entree[[#This Row],[ch_S_DOC]])</f>
        <v>#NAME?</v>
      </c>
      <c r="K291" s="521" t="e">
        <f ca="1">gr(charge_entree[[#This Row],[ch_S_NH4]])</f>
        <v>#NAME?</v>
      </c>
      <c r="L291" s="521" t="e">
        <f ca="1">gr(charge_entree[[#This Row],[ch_S_NO2]])</f>
        <v>#NAME?</v>
      </c>
      <c r="M291" s="521" t="e">
        <f ca="1">gr(charge_entree[[#This Row],[ch_S_NO3]])</f>
        <v>#NAME?</v>
      </c>
      <c r="N291" s="521" t="e">
        <f ca="1">gr(charge_entree[[#This Row],[ch_S_PTOT]])</f>
        <v>#NAME?</v>
      </c>
      <c r="O291" s="521" t="e">
        <f ca="1">gr(charge_entree[[#This Row],[ch_S_SNDT]])</f>
        <v>#NAME?</v>
      </c>
    </row>
    <row r="292" spans="1:15" x14ac:dyDescent="0.2">
      <c r="A292" s="222">
        <f>calculs!A292</f>
        <v>44843</v>
      </c>
      <c r="B292" s="521" t="e">
        <f ca="1">gr(charge_entree[[#This Row],[ch_E_DBO5]])</f>
        <v>#NAME?</v>
      </c>
      <c r="C292" s="521" t="e">
        <f ca="1">gr(charge_entree[[#This Row],[ch_E_DCO]])</f>
        <v>#NAME?</v>
      </c>
      <c r="D292" s="521" t="e">
        <f ca="1">gr(charge_entree[[#This Row],[ch_E_COT]])</f>
        <v>#NAME?</v>
      </c>
      <c r="E292" s="521" t="e">
        <f ca="1">gr(charge_entree[[#This Row],[ch_E_NH4]])</f>
        <v>#NAME?</v>
      </c>
      <c r="F292" s="521" t="e">
        <f ca="1">gr(charge_entree[[#This Row],[ch_E_NTOT]])</f>
        <v>#NAME?</v>
      </c>
      <c r="G292" s="521" t="e">
        <f ca="1">gr(charge_entree[[#This Row],[ch_E_PTOT]])</f>
        <v>#NAME?</v>
      </c>
      <c r="H292" s="521" t="e">
        <f ca="1">gr(charge_entree[[#This Row],[ch_S_DBO]])</f>
        <v>#NAME?</v>
      </c>
      <c r="I292" s="521" t="e">
        <f ca="1">gr(charge_entree[[#This Row],[ch_S-DCO]])</f>
        <v>#NAME?</v>
      </c>
      <c r="J292" s="521" t="e">
        <f ca="1">gr(charge_entree[[#This Row],[ch_S_DOC]])</f>
        <v>#NAME?</v>
      </c>
      <c r="K292" s="521" t="e">
        <f ca="1">gr(charge_entree[[#This Row],[ch_S_NH4]])</f>
        <v>#NAME?</v>
      </c>
      <c r="L292" s="521" t="e">
        <f ca="1">gr(charge_entree[[#This Row],[ch_S_NO2]])</f>
        <v>#NAME?</v>
      </c>
      <c r="M292" s="521" t="e">
        <f ca="1">gr(charge_entree[[#This Row],[ch_S_NO3]])</f>
        <v>#NAME?</v>
      </c>
      <c r="N292" s="521" t="e">
        <f ca="1">gr(charge_entree[[#This Row],[ch_S_PTOT]])</f>
        <v>#NAME?</v>
      </c>
      <c r="O292" s="521" t="e">
        <f ca="1">gr(charge_entree[[#This Row],[ch_S_SNDT]])</f>
        <v>#NAME?</v>
      </c>
    </row>
    <row r="293" spans="1:15" x14ac:dyDescent="0.2">
      <c r="A293" s="222">
        <f>calculs!A293</f>
        <v>44844</v>
      </c>
      <c r="B293" s="521" t="e">
        <f ca="1">gr(charge_entree[[#This Row],[ch_E_DBO5]])</f>
        <v>#NAME?</v>
      </c>
      <c r="C293" s="521" t="e">
        <f ca="1">gr(charge_entree[[#This Row],[ch_E_DCO]])</f>
        <v>#NAME?</v>
      </c>
      <c r="D293" s="521" t="e">
        <f ca="1">gr(charge_entree[[#This Row],[ch_E_COT]])</f>
        <v>#NAME?</v>
      </c>
      <c r="E293" s="521" t="e">
        <f ca="1">gr(charge_entree[[#This Row],[ch_E_NH4]])</f>
        <v>#NAME?</v>
      </c>
      <c r="F293" s="521" t="e">
        <f ca="1">gr(charge_entree[[#This Row],[ch_E_NTOT]])</f>
        <v>#NAME?</v>
      </c>
      <c r="G293" s="521" t="e">
        <f ca="1">gr(charge_entree[[#This Row],[ch_E_PTOT]])</f>
        <v>#NAME?</v>
      </c>
      <c r="H293" s="521" t="e">
        <f ca="1">gr(charge_entree[[#This Row],[ch_S_DBO]])</f>
        <v>#NAME?</v>
      </c>
      <c r="I293" s="521" t="e">
        <f ca="1">gr(charge_entree[[#This Row],[ch_S-DCO]])</f>
        <v>#NAME?</v>
      </c>
      <c r="J293" s="521" t="e">
        <f ca="1">gr(charge_entree[[#This Row],[ch_S_DOC]])</f>
        <v>#NAME?</v>
      </c>
      <c r="K293" s="521" t="e">
        <f ca="1">gr(charge_entree[[#This Row],[ch_S_NH4]])</f>
        <v>#NAME?</v>
      </c>
      <c r="L293" s="521" t="e">
        <f ca="1">gr(charge_entree[[#This Row],[ch_S_NO2]])</f>
        <v>#NAME?</v>
      </c>
      <c r="M293" s="521" t="e">
        <f ca="1">gr(charge_entree[[#This Row],[ch_S_NO3]])</f>
        <v>#NAME?</v>
      </c>
      <c r="N293" s="521" t="e">
        <f ca="1">gr(charge_entree[[#This Row],[ch_S_PTOT]])</f>
        <v>#NAME?</v>
      </c>
      <c r="O293" s="521" t="e">
        <f ca="1">gr(charge_entree[[#This Row],[ch_S_SNDT]])</f>
        <v>#NAME?</v>
      </c>
    </row>
    <row r="294" spans="1:15" x14ac:dyDescent="0.2">
      <c r="A294" s="222">
        <f>calculs!A294</f>
        <v>44845</v>
      </c>
      <c r="B294" s="521" t="e">
        <f ca="1">gr(charge_entree[[#This Row],[ch_E_DBO5]])</f>
        <v>#NAME?</v>
      </c>
      <c r="C294" s="521" t="e">
        <f ca="1">gr(charge_entree[[#This Row],[ch_E_DCO]])</f>
        <v>#NAME?</v>
      </c>
      <c r="D294" s="521" t="e">
        <f ca="1">gr(charge_entree[[#This Row],[ch_E_COT]])</f>
        <v>#NAME?</v>
      </c>
      <c r="E294" s="521" t="e">
        <f ca="1">gr(charge_entree[[#This Row],[ch_E_NH4]])</f>
        <v>#NAME?</v>
      </c>
      <c r="F294" s="521" t="e">
        <f ca="1">gr(charge_entree[[#This Row],[ch_E_NTOT]])</f>
        <v>#NAME?</v>
      </c>
      <c r="G294" s="521" t="e">
        <f ca="1">gr(charge_entree[[#This Row],[ch_E_PTOT]])</f>
        <v>#NAME?</v>
      </c>
      <c r="H294" s="521" t="e">
        <f ca="1">gr(charge_entree[[#This Row],[ch_S_DBO]])</f>
        <v>#NAME?</v>
      </c>
      <c r="I294" s="521" t="e">
        <f ca="1">gr(charge_entree[[#This Row],[ch_S-DCO]])</f>
        <v>#NAME?</v>
      </c>
      <c r="J294" s="521" t="e">
        <f ca="1">gr(charge_entree[[#This Row],[ch_S_DOC]])</f>
        <v>#NAME?</v>
      </c>
      <c r="K294" s="521" t="e">
        <f ca="1">gr(charge_entree[[#This Row],[ch_S_NH4]])</f>
        <v>#NAME?</v>
      </c>
      <c r="L294" s="521" t="e">
        <f ca="1">gr(charge_entree[[#This Row],[ch_S_NO2]])</f>
        <v>#NAME?</v>
      </c>
      <c r="M294" s="521" t="e">
        <f ca="1">gr(charge_entree[[#This Row],[ch_S_NO3]])</f>
        <v>#NAME?</v>
      </c>
      <c r="N294" s="521" t="e">
        <f ca="1">gr(charge_entree[[#This Row],[ch_S_PTOT]])</f>
        <v>#NAME?</v>
      </c>
      <c r="O294" s="521" t="e">
        <f ca="1">gr(charge_entree[[#This Row],[ch_S_SNDT]])</f>
        <v>#NAME?</v>
      </c>
    </row>
    <row r="295" spans="1:15" x14ac:dyDescent="0.2">
      <c r="A295" s="222">
        <f>calculs!A295</f>
        <v>44846</v>
      </c>
      <c r="B295" s="521" t="e">
        <f ca="1">gr(charge_entree[[#This Row],[ch_E_DBO5]])</f>
        <v>#NAME?</v>
      </c>
      <c r="C295" s="521" t="e">
        <f ca="1">gr(charge_entree[[#This Row],[ch_E_DCO]])</f>
        <v>#NAME?</v>
      </c>
      <c r="D295" s="521" t="e">
        <f ca="1">gr(charge_entree[[#This Row],[ch_E_COT]])</f>
        <v>#NAME?</v>
      </c>
      <c r="E295" s="521" t="e">
        <f ca="1">gr(charge_entree[[#This Row],[ch_E_NH4]])</f>
        <v>#NAME?</v>
      </c>
      <c r="F295" s="521" t="e">
        <f ca="1">gr(charge_entree[[#This Row],[ch_E_NTOT]])</f>
        <v>#NAME?</v>
      </c>
      <c r="G295" s="521" t="e">
        <f ca="1">gr(charge_entree[[#This Row],[ch_E_PTOT]])</f>
        <v>#NAME?</v>
      </c>
      <c r="H295" s="521" t="e">
        <f ca="1">gr(charge_entree[[#This Row],[ch_S_DBO]])</f>
        <v>#NAME?</v>
      </c>
      <c r="I295" s="521" t="e">
        <f ca="1">gr(charge_entree[[#This Row],[ch_S-DCO]])</f>
        <v>#NAME?</v>
      </c>
      <c r="J295" s="521" t="e">
        <f ca="1">gr(charge_entree[[#This Row],[ch_S_DOC]])</f>
        <v>#NAME?</v>
      </c>
      <c r="K295" s="521" t="e">
        <f ca="1">gr(charge_entree[[#This Row],[ch_S_NH4]])</f>
        <v>#NAME?</v>
      </c>
      <c r="L295" s="521" t="e">
        <f ca="1">gr(charge_entree[[#This Row],[ch_S_NO2]])</f>
        <v>#NAME?</v>
      </c>
      <c r="M295" s="521" t="e">
        <f ca="1">gr(charge_entree[[#This Row],[ch_S_NO3]])</f>
        <v>#NAME?</v>
      </c>
      <c r="N295" s="521" t="e">
        <f ca="1">gr(charge_entree[[#This Row],[ch_S_PTOT]])</f>
        <v>#NAME?</v>
      </c>
      <c r="O295" s="521" t="e">
        <f ca="1">gr(charge_entree[[#This Row],[ch_S_SNDT]])</f>
        <v>#NAME?</v>
      </c>
    </row>
    <row r="296" spans="1:15" x14ac:dyDescent="0.2">
      <c r="A296" s="222">
        <f>calculs!A296</f>
        <v>44847</v>
      </c>
      <c r="B296" s="521" t="e">
        <f ca="1">gr(charge_entree[[#This Row],[ch_E_DBO5]])</f>
        <v>#NAME?</v>
      </c>
      <c r="C296" s="521" t="e">
        <f ca="1">gr(charge_entree[[#This Row],[ch_E_DCO]])</f>
        <v>#NAME?</v>
      </c>
      <c r="D296" s="521" t="e">
        <f ca="1">gr(charge_entree[[#This Row],[ch_E_COT]])</f>
        <v>#NAME?</v>
      </c>
      <c r="E296" s="521" t="e">
        <f ca="1">gr(charge_entree[[#This Row],[ch_E_NH4]])</f>
        <v>#NAME?</v>
      </c>
      <c r="F296" s="521" t="e">
        <f ca="1">gr(charge_entree[[#This Row],[ch_E_NTOT]])</f>
        <v>#NAME?</v>
      </c>
      <c r="G296" s="521" t="e">
        <f ca="1">gr(charge_entree[[#This Row],[ch_E_PTOT]])</f>
        <v>#NAME?</v>
      </c>
      <c r="H296" s="521" t="e">
        <f ca="1">gr(charge_entree[[#This Row],[ch_S_DBO]])</f>
        <v>#NAME?</v>
      </c>
      <c r="I296" s="521" t="e">
        <f ca="1">gr(charge_entree[[#This Row],[ch_S-DCO]])</f>
        <v>#NAME?</v>
      </c>
      <c r="J296" s="521" t="e">
        <f ca="1">gr(charge_entree[[#This Row],[ch_S_DOC]])</f>
        <v>#NAME?</v>
      </c>
      <c r="K296" s="521" t="e">
        <f ca="1">gr(charge_entree[[#This Row],[ch_S_NH4]])</f>
        <v>#NAME?</v>
      </c>
      <c r="L296" s="521" t="e">
        <f ca="1">gr(charge_entree[[#This Row],[ch_S_NO2]])</f>
        <v>#NAME?</v>
      </c>
      <c r="M296" s="521" t="e">
        <f ca="1">gr(charge_entree[[#This Row],[ch_S_NO3]])</f>
        <v>#NAME?</v>
      </c>
      <c r="N296" s="521" t="e">
        <f ca="1">gr(charge_entree[[#This Row],[ch_S_PTOT]])</f>
        <v>#NAME?</v>
      </c>
      <c r="O296" s="521" t="e">
        <f ca="1">gr(charge_entree[[#This Row],[ch_S_SNDT]])</f>
        <v>#NAME?</v>
      </c>
    </row>
    <row r="297" spans="1:15" x14ac:dyDescent="0.2">
      <c r="A297" s="222">
        <f>calculs!A297</f>
        <v>44848</v>
      </c>
      <c r="B297" s="521" t="e">
        <f ca="1">gr(charge_entree[[#This Row],[ch_E_DBO5]])</f>
        <v>#NAME?</v>
      </c>
      <c r="C297" s="521" t="e">
        <f ca="1">gr(charge_entree[[#This Row],[ch_E_DCO]])</f>
        <v>#NAME?</v>
      </c>
      <c r="D297" s="521" t="e">
        <f ca="1">gr(charge_entree[[#This Row],[ch_E_COT]])</f>
        <v>#NAME?</v>
      </c>
      <c r="E297" s="521" t="e">
        <f ca="1">gr(charge_entree[[#This Row],[ch_E_NH4]])</f>
        <v>#NAME?</v>
      </c>
      <c r="F297" s="521" t="e">
        <f ca="1">gr(charge_entree[[#This Row],[ch_E_NTOT]])</f>
        <v>#NAME?</v>
      </c>
      <c r="G297" s="521" t="e">
        <f ca="1">gr(charge_entree[[#This Row],[ch_E_PTOT]])</f>
        <v>#NAME?</v>
      </c>
      <c r="H297" s="521" t="e">
        <f ca="1">gr(charge_entree[[#This Row],[ch_S_DBO]])</f>
        <v>#NAME?</v>
      </c>
      <c r="I297" s="521" t="e">
        <f ca="1">gr(charge_entree[[#This Row],[ch_S-DCO]])</f>
        <v>#NAME?</v>
      </c>
      <c r="J297" s="521" t="e">
        <f ca="1">gr(charge_entree[[#This Row],[ch_S_DOC]])</f>
        <v>#NAME?</v>
      </c>
      <c r="K297" s="521" t="e">
        <f ca="1">gr(charge_entree[[#This Row],[ch_S_NH4]])</f>
        <v>#NAME?</v>
      </c>
      <c r="L297" s="521" t="e">
        <f ca="1">gr(charge_entree[[#This Row],[ch_S_NO2]])</f>
        <v>#NAME?</v>
      </c>
      <c r="M297" s="521" t="e">
        <f ca="1">gr(charge_entree[[#This Row],[ch_S_NO3]])</f>
        <v>#NAME?</v>
      </c>
      <c r="N297" s="521" t="e">
        <f ca="1">gr(charge_entree[[#This Row],[ch_S_PTOT]])</f>
        <v>#NAME?</v>
      </c>
      <c r="O297" s="521" t="e">
        <f ca="1">gr(charge_entree[[#This Row],[ch_S_SNDT]])</f>
        <v>#NAME?</v>
      </c>
    </row>
    <row r="298" spans="1:15" x14ac:dyDescent="0.2">
      <c r="A298" s="222">
        <f>calculs!A298</f>
        <v>44849</v>
      </c>
      <c r="B298" s="521" t="e">
        <f ca="1">gr(charge_entree[[#This Row],[ch_E_DBO5]])</f>
        <v>#NAME?</v>
      </c>
      <c r="C298" s="521" t="e">
        <f ca="1">gr(charge_entree[[#This Row],[ch_E_DCO]])</f>
        <v>#NAME?</v>
      </c>
      <c r="D298" s="521" t="e">
        <f ca="1">gr(charge_entree[[#This Row],[ch_E_COT]])</f>
        <v>#NAME?</v>
      </c>
      <c r="E298" s="521" t="e">
        <f ca="1">gr(charge_entree[[#This Row],[ch_E_NH4]])</f>
        <v>#NAME?</v>
      </c>
      <c r="F298" s="521" t="e">
        <f ca="1">gr(charge_entree[[#This Row],[ch_E_NTOT]])</f>
        <v>#NAME?</v>
      </c>
      <c r="G298" s="521" t="e">
        <f ca="1">gr(charge_entree[[#This Row],[ch_E_PTOT]])</f>
        <v>#NAME?</v>
      </c>
      <c r="H298" s="521" t="e">
        <f ca="1">gr(charge_entree[[#This Row],[ch_S_DBO]])</f>
        <v>#NAME?</v>
      </c>
      <c r="I298" s="521" t="e">
        <f ca="1">gr(charge_entree[[#This Row],[ch_S-DCO]])</f>
        <v>#NAME?</v>
      </c>
      <c r="J298" s="521" t="e">
        <f ca="1">gr(charge_entree[[#This Row],[ch_S_DOC]])</f>
        <v>#NAME?</v>
      </c>
      <c r="K298" s="521" t="e">
        <f ca="1">gr(charge_entree[[#This Row],[ch_S_NH4]])</f>
        <v>#NAME?</v>
      </c>
      <c r="L298" s="521" t="e">
        <f ca="1">gr(charge_entree[[#This Row],[ch_S_NO2]])</f>
        <v>#NAME?</v>
      </c>
      <c r="M298" s="521" t="e">
        <f ca="1">gr(charge_entree[[#This Row],[ch_S_NO3]])</f>
        <v>#NAME?</v>
      </c>
      <c r="N298" s="521" t="e">
        <f ca="1">gr(charge_entree[[#This Row],[ch_S_PTOT]])</f>
        <v>#NAME?</v>
      </c>
      <c r="O298" s="521" t="e">
        <f ca="1">gr(charge_entree[[#This Row],[ch_S_SNDT]])</f>
        <v>#NAME?</v>
      </c>
    </row>
    <row r="299" spans="1:15" x14ac:dyDescent="0.2">
      <c r="A299" s="222">
        <f>calculs!A299</f>
        <v>44850</v>
      </c>
      <c r="B299" s="521" t="e">
        <f ca="1">gr(charge_entree[[#This Row],[ch_E_DBO5]])</f>
        <v>#NAME?</v>
      </c>
      <c r="C299" s="521" t="e">
        <f ca="1">gr(charge_entree[[#This Row],[ch_E_DCO]])</f>
        <v>#NAME?</v>
      </c>
      <c r="D299" s="521" t="e">
        <f ca="1">gr(charge_entree[[#This Row],[ch_E_COT]])</f>
        <v>#NAME?</v>
      </c>
      <c r="E299" s="521" t="e">
        <f ca="1">gr(charge_entree[[#This Row],[ch_E_NH4]])</f>
        <v>#NAME?</v>
      </c>
      <c r="F299" s="521" t="e">
        <f ca="1">gr(charge_entree[[#This Row],[ch_E_NTOT]])</f>
        <v>#NAME?</v>
      </c>
      <c r="G299" s="521" t="e">
        <f ca="1">gr(charge_entree[[#This Row],[ch_E_PTOT]])</f>
        <v>#NAME?</v>
      </c>
      <c r="H299" s="521" t="e">
        <f ca="1">gr(charge_entree[[#This Row],[ch_S_DBO]])</f>
        <v>#NAME?</v>
      </c>
      <c r="I299" s="521" t="e">
        <f ca="1">gr(charge_entree[[#This Row],[ch_S-DCO]])</f>
        <v>#NAME?</v>
      </c>
      <c r="J299" s="521" t="e">
        <f ca="1">gr(charge_entree[[#This Row],[ch_S_DOC]])</f>
        <v>#NAME?</v>
      </c>
      <c r="K299" s="521" t="e">
        <f ca="1">gr(charge_entree[[#This Row],[ch_S_NH4]])</f>
        <v>#NAME?</v>
      </c>
      <c r="L299" s="521" t="e">
        <f ca="1">gr(charge_entree[[#This Row],[ch_S_NO2]])</f>
        <v>#NAME?</v>
      </c>
      <c r="M299" s="521" t="e">
        <f ca="1">gr(charge_entree[[#This Row],[ch_S_NO3]])</f>
        <v>#NAME?</v>
      </c>
      <c r="N299" s="521" t="e">
        <f ca="1">gr(charge_entree[[#This Row],[ch_S_PTOT]])</f>
        <v>#NAME?</v>
      </c>
      <c r="O299" s="521" t="e">
        <f ca="1">gr(charge_entree[[#This Row],[ch_S_SNDT]])</f>
        <v>#NAME?</v>
      </c>
    </row>
    <row r="300" spans="1:15" x14ac:dyDescent="0.2">
      <c r="A300" s="222">
        <f>calculs!A300</f>
        <v>44851</v>
      </c>
      <c r="B300" s="521" t="e">
        <f ca="1">gr(charge_entree[[#This Row],[ch_E_DBO5]])</f>
        <v>#NAME?</v>
      </c>
      <c r="C300" s="521" t="e">
        <f ca="1">gr(charge_entree[[#This Row],[ch_E_DCO]])</f>
        <v>#NAME?</v>
      </c>
      <c r="D300" s="521" t="e">
        <f ca="1">gr(charge_entree[[#This Row],[ch_E_COT]])</f>
        <v>#NAME?</v>
      </c>
      <c r="E300" s="521" t="e">
        <f ca="1">gr(charge_entree[[#This Row],[ch_E_NH4]])</f>
        <v>#NAME?</v>
      </c>
      <c r="F300" s="521" t="e">
        <f ca="1">gr(charge_entree[[#This Row],[ch_E_NTOT]])</f>
        <v>#NAME?</v>
      </c>
      <c r="G300" s="521" t="e">
        <f ca="1">gr(charge_entree[[#This Row],[ch_E_PTOT]])</f>
        <v>#NAME?</v>
      </c>
      <c r="H300" s="521" t="e">
        <f ca="1">gr(charge_entree[[#This Row],[ch_S_DBO]])</f>
        <v>#NAME?</v>
      </c>
      <c r="I300" s="521" t="e">
        <f ca="1">gr(charge_entree[[#This Row],[ch_S-DCO]])</f>
        <v>#NAME?</v>
      </c>
      <c r="J300" s="521" t="e">
        <f ca="1">gr(charge_entree[[#This Row],[ch_S_DOC]])</f>
        <v>#NAME?</v>
      </c>
      <c r="K300" s="521" t="e">
        <f ca="1">gr(charge_entree[[#This Row],[ch_S_NH4]])</f>
        <v>#NAME?</v>
      </c>
      <c r="L300" s="521" t="e">
        <f ca="1">gr(charge_entree[[#This Row],[ch_S_NO2]])</f>
        <v>#NAME?</v>
      </c>
      <c r="M300" s="521" t="e">
        <f ca="1">gr(charge_entree[[#This Row],[ch_S_NO3]])</f>
        <v>#NAME?</v>
      </c>
      <c r="N300" s="521" t="e">
        <f ca="1">gr(charge_entree[[#This Row],[ch_S_PTOT]])</f>
        <v>#NAME?</v>
      </c>
      <c r="O300" s="521" t="e">
        <f ca="1">gr(charge_entree[[#This Row],[ch_S_SNDT]])</f>
        <v>#NAME?</v>
      </c>
    </row>
    <row r="301" spans="1:15" x14ac:dyDescent="0.2">
      <c r="A301" s="222">
        <f>calculs!A301</f>
        <v>44852</v>
      </c>
      <c r="B301" s="521" t="e">
        <f ca="1">gr(charge_entree[[#This Row],[ch_E_DBO5]])</f>
        <v>#NAME?</v>
      </c>
      <c r="C301" s="521" t="e">
        <f ca="1">gr(charge_entree[[#This Row],[ch_E_DCO]])</f>
        <v>#NAME?</v>
      </c>
      <c r="D301" s="521" t="e">
        <f ca="1">gr(charge_entree[[#This Row],[ch_E_COT]])</f>
        <v>#NAME?</v>
      </c>
      <c r="E301" s="521" t="e">
        <f ca="1">gr(charge_entree[[#This Row],[ch_E_NH4]])</f>
        <v>#NAME?</v>
      </c>
      <c r="F301" s="521" t="e">
        <f ca="1">gr(charge_entree[[#This Row],[ch_E_NTOT]])</f>
        <v>#NAME?</v>
      </c>
      <c r="G301" s="521" t="e">
        <f ca="1">gr(charge_entree[[#This Row],[ch_E_PTOT]])</f>
        <v>#NAME?</v>
      </c>
      <c r="H301" s="521" t="e">
        <f ca="1">gr(charge_entree[[#This Row],[ch_S_DBO]])</f>
        <v>#NAME?</v>
      </c>
      <c r="I301" s="521" t="e">
        <f ca="1">gr(charge_entree[[#This Row],[ch_S-DCO]])</f>
        <v>#NAME?</v>
      </c>
      <c r="J301" s="521" t="e">
        <f ca="1">gr(charge_entree[[#This Row],[ch_S_DOC]])</f>
        <v>#NAME?</v>
      </c>
      <c r="K301" s="521" t="e">
        <f ca="1">gr(charge_entree[[#This Row],[ch_S_NH4]])</f>
        <v>#NAME?</v>
      </c>
      <c r="L301" s="521" t="e">
        <f ca="1">gr(charge_entree[[#This Row],[ch_S_NO2]])</f>
        <v>#NAME?</v>
      </c>
      <c r="M301" s="521" t="e">
        <f ca="1">gr(charge_entree[[#This Row],[ch_S_NO3]])</f>
        <v>#NAME?</v>
      </c>
      <c r="N301" s="521" t="e">
        <f ca="1">gr(charge_entree[[#This Row],[ch_S_PTOT]])</f>
        <v>#NAME?</v>
      </c>
      <c r="O301" s="521" t="e">
        <f ca="1">gr(charge_entree[[#This Row],[ch_S_SNDT]])</f>
        <v>#NAME?</v>
      </c>
    </row>
    <row r="302" spans="1:15" x14ac:dyDescent="0.2">
      <c r="A302" s="222">
        <f>calculs!A302</f>
        <v>44853</v>
      </c>
      <c r="B302" s="521" t="e">
        <f ca="1">gr(charge_entree[[#This Row],[ch_E_DBO5]])</f>
        <v>#NAME?</v>
      </c>
      <c r="C302" s="521" t="e">
        <f ca="1">gr(charge_entree[[#This Row],[ch_E_DCO]])</f>
        <v>#NAME?</v>
      </c>
      <c r="D302" s="521" t="e">
        <f ca="1">gr(charge_entree[[#This Row],[ch_E_COT]])</f>
        <v>#NAME?</v>
      </c>
      <c r="E302" s="521" t="e">
        <f ca="1">gr(charge_entree[[#This Row],[ch_E_NH4]])</f>
        <v>#NAME?</v>
      </c>
      <c r="F302" s="521" t="e">
        <f ca="1">gr(charge_entree[[#This Row],[ch_E_NTOT]])</f>
        <v>#NAME?</v>
      </c>
      <c r="G302" s="521" t="e">
        <f ca="1">gr(charge_entree[[#This Row],[ch_E_PTOT]])</f>
        <v>#NAME?</v>
      </c>
      <c r="H302" s="521" t="e">
        <f ca="1">gr(charge_entree[[#This Row],[ch_S_DBO]])</f>
        <v>#NAME?</v>
      </c>
      <c r="I302" s="521" t="e">
        <f ca="1">gr(charge_entree[[#This Row],[ch_S-DCO]])</f>
        <v>#NAME?</v>
      </c>
      <c r="J302" s="521" t="e">
        <f ca="1">gr(charge_entree[[#This Row],[ch_S_DOC]])</f>
        <v>#NAME?</v>
      </c>
      <c r="K302" s="521" t="e">
        <f ca="1">gr(charge_entree[[#This Row],[ch_S_NH4]])</f>
        <v>#NAME?</v>
      </c>
      <c r="L302" s="521" t="e">
        <f ca="1">gr(charge_entree[[#This Row],[ch_S_NO2]])</f>
        <v>#NAME?</v>
      </c>
      <c r="M302" s="521" t="e">
        <f ca="1">gr(charge_entree[[#This Row],[ch_S_NO3]])</f>
        <v>#NAME?</v>
      </c>
      <c r="N302" s="521" t="e">
        <f ca="1">gr(charge_entree[[#This Row],[ch_S_PTOT]])</f>
        <v>#NAME?</v>
      </c>
      <c r="O302" s="521" t="e">
        <f ca="1">gr(charge_entree[[#This Row],[ch_S_SNDT]])</f>
        <v>#NAME?</v>
      </c>
    </row>
    <row r="303" spans="1:15" x14ac:dyDescent="0.2">
      <c r="A303" s="222">
        <f>calculs!A303</f>
        <v>44854</v>
      </c>
      <c r="B303" s="521" t="e">
        <f ca="1">gr(charge_entree[[#This Row],[ch_E_DBO5]])</f>
        <v>#NAME?</v>
      </c>
      <c r="C303" s="521" t="e">
        <f ca="1">gr(charge_entree[[#This Row],[ch_E_DCO]])</f>
        <v>#NAME?</v>
      </c>
      <c r="D303" s="521" t="e">
        <f ca="1">gr(charge_entree[[#This Row],[ch_E_COT]])</f>
        <v>#NAME?</v>
      </c>
      <c r="E303" s="521" t="e">
        <f ca="1">gr(charge_entree[[#This Row],[ch_E_NH4]])</f>
        <v>#NAME?</v>
      </c>
      <c r="F303" s="521" t="e">
        <f ca="1">gr(charge_entree[[#This Row],[ch_E_NTOT]])</f>
        <v>#NAME?</v>
      </c>
      <c r="G303" s="521" t="e">
        <f ca="1">gr(charge_entree[[#This Row],[ch_E_PTOT]])</f>
        <v>#NAME?</v>
      </c>
      <c r="H303" s="521" t="e">
        <f ca="1">gr(charge_entree[[#This Row],[ch_S_DBO]])</f>
        <v>#NAME?</v>
      </c>
      <c r="I303" s="521" t="e">
        <f ca="1">gr(charge_entree[[#This Row],[ch_S-DCO]])</f>
        <v>#NAME?</v>
      </c>
      <c r="J303" s="521" t="e">
        <f ca="1">gr(charge_entree[[#This Row],[ch_S_DOC]])</f>
        <v>#NAME?</v>
      </c>
      <c r="K303" s="521" t="e">
        <f ca="1">gr(charge_entree[[#This Row],[ch_S_NH4]])</f>
        <v>#NAME?</v>
      </c>
      <c r="L303" s="521" t="e">
        <f ca="1">gr(charge_entree[[#This Row],[ch_S_NO2]])</f>
        <v>#NAME?</v>
      </c>
      <c r="M303" s="521" t="e">
        <f ca="1">gr(charge_entree[[#This Row],[ch_S_NO3]])</f>
        <v>#NAME?</v>
      </c>
      <c r="N303" s="521" t="e">
        <f ca="1">gr(charge_entree[[#This Row],[ch_S_PTOT]])</f>
        <v>#NAME?</v>
      </c>
      <c r="O303" s="521" t="e">
        <f ca="1">gr(charge_entree[[#This Row],[ch_S_SNDT]])</f>
        <v>#NAME?</v>
      </c>
    </row>
    <row r="304" spans="1:15" x14ac:dyDescent="0.2">
      <c r="A304" s="222">
        <f>calculs!A304</f>
        <v>44855</v>
      </c>
      <c r="B304" s="521" t="e">
        <f ca="1">gr(charge_entree[[#This Row],[ch_E_DBO5]])</f>
        <v>#NAME?</v>
      </c>
      <c r="C304" s="521" t="e">
        <f ca="1">gr(charge_entree[[#This Row],[ch_E_DCO]])</f>
        <v>#NAME?</v>
      </c>
      <c r="D304" s="521" t="e">
        <f ca="1">gr(charge_entree[[#This Row],[ch_E_COT]])</f>
        <v>#NAME?</v>
      </c>
      <c r="E304" s="521" t="e">
        <f ca="1">gr(charge_entree[[#This Row],[ch_E_NH4]])</f>
        <v>#NAME?</v>
      </c>
      <c r="F304" s="521" t="e">
        <f ca="1">gr(charge_entree[[#This Row],[ch_E_NTOT]])</f>
        <v>#NAME?</v>
      </c>
      <c r="G304" s="521" t="e">
        <f ca="1">gr(charge_entree[[#This Row],[ch_E_PTOT]])</f>
        <v>#NAME?</v>
      </c>
      <c r="H304" s="521" t="e">
        <f ca="1">gr(charge_entree[[#This Row],[ch_S_DBO]])</f>
        <v>#NAME?</v>
      </c>
      <c r="I304" s="521" t="e">
        <f ca="1">gr(charge_entree[[#This Row],[ch_S-DCO]])</f>
        <v>#NAME?</v>
      </c>
      <c r="J304" s="521" t="e">
        <f ca="1">gr(charge_entree[[#This Row],[ch_S_DOC]])</f>
        <v>#NAME?</v>
      </c>
      <c r="K304" s="521" t="e">
        <f ca="1">gr(charge_entree[[#This Row],[ch_S_NH4]])</f>
        <v>#NAME?</v>
      </c>
      <c r="L304" s="521" t="e">
        <f ca="1">gr(charge_entree[[#This Row],[ch_S_NO2]])</f>
        <v>#NAME?</v>
      </c>
      <c r="M304" s="521" t="e">
        <f ca="1">gr(charge_entree[[#This Row],[ch_S_NO3]])</f>
        <v>#NAME?</v>
      </c>
      <c r="N304" s="521" t="e">
        <f ca="1">gr(charge_entree[[#This Row],[ch_S_PTOT]])</f>
        <v>#NAME?</v>
      </c>
      <c r="O304" s="521" t="e">
        <f ca="1">gr(charge_entree[[#This Row],[ch_S_SNDT]])</f>
        <v>#NAME?</v>
      </c>
    </row>
    <row r="305" spans="1:15" x14ac:dyDescent="0.2">
      <c r="A305" s="222">
        <f>calculs!A305</f>
        <v>44856</v>
      </c>
      <c r="B305" s="521" t="e">
        <f ca="1">gr(charge_entree[[#This Row],[ch_E_DBO5]])</f>
        <v>#NAME?</v>
      </c>
      <c r="C305" s="521" t="e">
        <f ca="1">gr(charge_entree[[#This Row],[ch_E_DCO]])</f>
        <v>#NAME?</v>
      </c>
      <c r="D305" s="521" t="e">
        <f ca="1">gr(charge_entree[[#This Row],[ch_E_COT]])</f>
        <v>#NAME?</v>
      </c>
      <c r="E305" s="521" t="e">
        <f ca="1">gr(charge_entree[[#This Row],[ch_E_NH4]])</f>
        <v>#NAME?</v>
      </c>
      <c r="F305" s="521" t="e">
        <f ca="1">gr(charge_entree[[#This Row],[ch_E_NTOT]])</f>
        <v>#NAME?</v>
      </c>
      <c r="G305" s="521" t="e">
        <f ca="1">gr(charge_entree[[#This Row],[ch_E_PTOT]])</f>
        <v>#NAME?</v>
      </c>
      <c r="H305" s="521" t="e">
        <f ca="1">gr(charge_entree[[#This Row],[ch_S_DBO]])</f>
        <v>#NAME?</v>
      </c>
      <c r="I305" s="521" t="e">
        <f ca="1">gr(charge_entree[[#This Row],[ch_S-DCO]])</f>
        <v>#NAME?</v>
      </c>
      <c r="J305" s="521" t="e">
        <f ca="1">gr(charge_entree[[#This Row],[ch_S_DOC]])</f>
        <v>#NAME?</v>
      </c>
      <c r="K305" s="521" t="e">
        <f ca="1">gr(charge_entree[[#This Row],[ch_S_NH4]])</f>
        <v>#NAME?</v>
      </c>
      <c r="L305" s="521" t="e">
        <f ca="1">gr(charge_entree[[#This Row],[ch_S_NO2]])</f>
        <v>#NAME?</v>
      </c>
      <c r="M305" s="521" t="e">
        <f ca="1">gr(charge_entree[[#This Row],[ch_S_NO3]])</f>
        <v>#NAME?</v>
      </c>
      <c r="N305" s="521" t="e">
        <f ca="1">gr(charge_entree[[#This Row],[ch_S_PTOT]])</f>
        <v>#NAME?</v>
      </c>
      <c r="O305" s="521" t="e">
        <f ca="1">gr(charge_entree[[#This Row],[ch_S_SNDT]])</f>
        <v>#NAME?</v>
      </c>
    </row>
    <row r="306" spans="1:15" x14ac:dyDescent="0.2">
      <c r="A306" s="222">
        <f>calculs!A306</f>
        <v>44857</v>
      </c>
      <c r="B306" s="521" t="e">
        <f ca="1">gr(charge_entree[[#This Row],[ch_E_DBO5]])</f>
        <v>#NAME?</v>
      </c>
      <c r="C306" s="521" t="e">
        <f ca="1">gr(charge_entree[[#This Row],[ch_E_DCO]])</f>
        <v>#NAME?</v>
      </c>
      <c r="D306" s="521" t="e">
        <f ca="1">gr(charge_entree[[#This Row],[ch_E_COT]])</f>
        <v>#NAME?</v>
      </c>
      <c r="E306" s="521" t="e">
        <f ca="1">gr(charge_entree[[#This Row],[ch_E_NH4]])</f>
        <v>#NAME?</v>
      </c>
      <c r="F306" s="521" t="e">
        <f ca="1">gr(charge_entree[[#This Row],[ch_E_NTOT]])</f>
        <v>#NAME?</v>
      </c>
      <c r="G306" s="521" t="e">
        <f ca="1">gr(charge_entree[[#This Row],[ch_E_PTOT]])</f>
        <v>#NAME?</v>
      </c>
      <c r="H306" s="521" t="e">
        <f ca="1">gr(charge_entree[[#This Row],[ch_S_DBO]])</f>
        <v>#NAME?</v>
      </c>
      <c r="I306" s="521" t="e">
        <f ca="1">gr(charge_entree[[#This Row],[ch_S-DCO]])</f>
        <v>#NAME?</v>
      </c>
      <c r="J306" s="521" t="e">
        <f ca="1">gr(charge_entree[[#This Row],[ch_S_DOC]])</f>
        <v>#NAME?</v>
      </c>
      <c r="K306" s="521" t="e">
        <f ca="1">gr(charge_entree[[#This Row],[ch_S_NH4]])</f>
        <v>#NAME?</v>
      </c>
      <c r="L306" s="521" t="e">
        <f ca="1">gr(charge_entree[[#This Row],[ch_S_NO2]])</f>
        <v>#NAME?</v>
      </c>
      <c r="M306" s="521" t="e">
        <f ca="1">gr(charge_entree[[#This Row],[ch_S_NO3]])</f>
        <v>#NAME?</v>
      </c>
      <c r="N306" s="521" t="e">
        <f ca="1">gr(charge_entree[[#This Row],[ch_S_PTOT]])</f>
        <v>#NAME?</v>
      </c>
      <c r="O306" s="521" t="e">
        <f ca="1">gr(charge_entree[[#This Row],[ch_S_SNDT]])</f>
        <v>#NAME?</v>
      </c>
    </row>
    <row r="307" spans="1:15" x14ac:dyDescent="0.2">
      <c r="A307" s="222">
        <f>calculs!A307</f>
        <v>44858</v>
      </c>
      <c r="B307" s="521" t="e">
        <f ca="1">gr(charge_entree[[#This Row],[ch_E_DBO5]])</f>
        <v>#NAME?</v>
      </c>
      <c r="C307" s="521" t="e">
        <f ca="1">gr(charge_entree[[#This Row],[ch_E_DCO]])</f>
        <v>#NAME?</v>
      </c>
      <c r="D307" s="521" t="e">
        <f ca="1">gr(charge_entree[[#This Row],[ch_E_COT]])</f>
        <v>#NAME?</v>
      </c>
      <c r="E307" s="521" t="e">
        <f ca="1">gr(charge_entree[[#This Row],[ch_E_NH4]])</f>
        <v>#NAME?</v>
      </c>
      <c r="F307" s="521" t="e">
        <f ca="1">gr(charge_entree[[#This Row],[ch_E_NTOT]])</f>
        <v>#NAME?</v>
      </c>
      <c r="G307" s="521" t="e">
        <f ca="1">gr(charge_entree[[#This Row],[ch_E_PTOT]])</f>
        <v>#NAME?</v>
      </c>
      <c r="H307" s="521" t="e">
        <f ca="1">gr(charge_entree[[#This Row],[ch_S_DBO]])</f>
        <v>#NAME?</v>
      </c>
      <c r="I307" s="521" t="e">
        <f ca="1">gr(charge_entree[[#This Row],[ch_S-DCO]])</f>
        <v>#NAME?</v>
      </c>
      <c r="J307" s="521" t="e">
        <f ca="1">gr(charge_entree[[#This Row],[ch_S_DOC]])</f>
        <v>#NAME?</v>
      </c>
      <c r="K307" s="521" t="e">
        <f ca="1">gr(charge_entree[[#This Row],[ch_S_NH4]])</f>
        <v>#NAME?</v>
      </c>
      <c r="L307" s="521" t="e">
        <f ca="1">gr(charge_entree[[#This Row],[ch_S_NO2]])</f>
        <v>#NAME?</v>
      </c>
      <c r="M307" s="521" t="e">
        <f ca="1">gr(charge_entree[[#This Row],[ch_S_NO3]])</f>
        <v>#NAME?</v>
      </c>
      <c r="N307" s="521" t="e">
        <f ca="1">gr(charge_entree[[#This Row],[ch_S_PTOT]])</f>
        <v>#NAME?</v>
      </c>
      <c r="O307" s="521" t="e">
        <f ca="1">gr(charge_entree[[#This Row],[ch_S_SNDT]])</f>
        <v>#NAME?</v>
      </c>
    </row>
    <row r="308" spans="1:15" x14ac:dyDescent="0.2">
      <c r="A308" s="222">
        <f>calculs!A308</f>
        <v>44859</v>
      </c>
      <c r="B308" s="521" t="e">
        <f ca="1">gr(charge_entree[[#This Row],[ch_E_DBO5]])</f>
        <v>#NAME?</v>
      </c>
      <c r="C308" s="521" t="e">
        <f ca="1">gr(charge_entree[[#This Row],[ch_E_DCO]])</f>
        <v>#NAME?</v>
      </c>
      <c r="D308" s="521" t="e">
        <f ca="1">gr(charge_entree[[#This Row],[ch_E_COT]])</f>
        <v>#NAME?</v>
      </c>
      <c r="E308" s="521" t="e">
        <f ca="1">gr(charge_entree[[#This Row],[ch_E_NH4]])</f>
        <v>#NAME?</v>
      </c>
      <c r="F308" s="521" t="e">
        <f ca="1">gr(charge_entree[[#This Row],[ch_E_NTOT]])</f>
        <v>#NAME?</v>
      </c>
      <c r="G308" s="521" t="e">
        <f ca="1">gr(charge_entree[[#This Row],[ch_E_PTOT]])</f>
        <v>#NAME?</v>
      </c>
      <c r="H308" s="521" t="e">
        <f ca="1">gr(charge_entree[[#This Row],[ch_S_DBO]])</f>
        <v>#NAME?</v>
      </c>
      <c r="I308" s="521" t="e">
        <f ca="1">gr(charge_entree[[#This Row],[ch_S-DCO]])</f>
        <v>#NAME?</v>
      </c>
      <c r="J308" s="521" t="e">
        <f ca="1">gr(charge_entree[[#This Row],[ch_S_DOC]])</f>
        <v>#NAME?</v>
      </c>
      <c r="K308" s="521" t="e">
        <f ca="1">gr(charge_entree[[#This Row],[ch_S_NH4]])</f>
        <v>#NAME?</v>
      </c>
      <c r="L308" s="521" t="e">
        <f ca="1">gr(charge_entree[[#This Row],[ch_S_NO2]])</f>
        <v>#NAME?</v>
      </c>
      <c r="M308" s="521" t="e">
        <f ca="1">gr(charge_entree[[#This Row],[ch_S_NO3]])</f>
        <v>#NAME?</v>
      </c>
      <c r="N308" s="521" t="e">
        <f ca="1">gr(charge_entree[[#This Row],[ch_S_PTOT]])</f>
        <v>#NAME?</v>
      </c>
      <c r="O308" s="521" t="e">
        <f ca="1">gr(charge_entree[[#This Row],[ch_S_SNDT]])</f>
        <v>#NAME?</v>
      </c>
    </row>
    <row r="309" spans="1:15" x14ac:dyDescent="0.2">
      <c r="A309" s="222">
        <f>calculs!A309</f>
        <v>44860</v>
      </c>
      <c r="B309" s="521" t="e">
        <f ca="1">gr(charge_entree[[#This Row],[ch_E_DBO5]])</f>
        <v>#NAME?</v>
      </c>
      <c r="C309" s="521" t="e">
        <f ca="1">gr(charge_entree[[#This Row],[ch_E_DCO]])</f>
        <v>#NAME?</v>
      </c>
      <c r="D309" s="521" t="e">
        <f ca="1">gr(charge_entree[[#This Row],[ch_E_COT]])</f>
        <v>#NAME?</v>
      </c>
      <c r="E309" s="521" t="e">
        <f ca="1">gr(charge_entree[[#This Row],[ch_E_NH4]])</f>
        <v>#NAME?</v>
      </c>
      <c r="F309" s="521" t="e">
        <f ca="1">gr(charge_entree[[#This Row],[ch_E_NTOT]])</f>
        <v>#NAME?</v>
      </c>
      <c r="G309" s="521" t="e">
        <f ca="1">gr(charge_entree[[#This Row],[ch_E_PTOT]])</f>
        <v>#NAME?</v>
      </c>
      <c r="H309" s="521" t="e">
        <f ca="1">gr(charge_entree[[#This Row],[ch_S_DBO]])</f>
        <v>#NAME?</v>
      </c>
      <c r="I309" s="521" t="e">
        <f ca="1">gr(charge_entree[[#This Row],[ch_S-DCO]])</f>
        <v>#NAME?</v>
      </c>
      <c r="J309" s="521" t="e">
        <f ca="1">gr(charge_entree[[#This Row],[ch_S_DOC]])</f>
        <v>#NAME?</v>
      </c>
      <c r="K309" s="521" t="e">
        <f ca="1">gr(charge_entree[[#This Row],[ch_S_NH4]])</f>
        <v>#NAME?</v>
      </c>
      <c r="L309" s="521" t="e">
        <f ca="1">gr(charge_entree[[#This Row],[ch_S_NO2]])</f>
        <v>#NAME?</v>
      </c>
      <c r="M309" s="521" t="e">
        <f ca="1">gr(charge_entree[[#This Row],[ch_S_NO3]])</f>
        <v>#NAME?</v>
      </c>
      <c r="N309" s="521" t="e">
        <f ca="1">gr(charge_entree[[#This Row],[ch_S_PTOT]])</f>
        <v>#NAME?</v>
      </c>
      <c r="O309" s="521" t="e">
        <f ca="1">gr(charge_entree[[#This Row],[ch_S_SNDT]])</f>
        <v>#NAME?</v>
      </c>
    </row>
    <row r="310" spans="1:15" x14ac:dyDescent="0.2">
      <c r="A310" s="222">
        <f>calculs!A310</f>
        <v>44861</v>
      </c>
      <c r="B310" s="521" t="e">
        <f ca="1">gr(charge_entree[[#This Row],[ch_E_DBO5]])</f>
        <v>#NAME?</v>
      </c>
      <c r="C310" s="521" t="e">
        <f ca="1">gr(charge_entree[[#This Row],[ch_E_DCO]])</f>
        <v>#NAME?</v>
      </c>
      <c r="D310" s="521" t="e">
        <f ca="1">gr(charge_entree[[#This Row],[ch_E_COT]])</f>
        <v>#NAME?</v>
      </c>
      <c r="E310" s="521" t="e">
        <f ca="1">gr(charge_entree[[#This Row],[ch_E_NH4]])</f>
        <v>#NAME?</v>
      </c>
      <c r="F310" s="521" t="e">
        <f ca="1">gr(charge_entree[[#This Row],[ch_E_NTOT]])</f>
        <v>#NAME?</v>
      </c>
      <c r="G310" s="521" t="e">
        <f ca="1">gr(charge_entree[[#This Row],[ch_E_PTOT]])</f>
        <v>#NAME?</v>
      </c>
      <c r="H310" s="521" t="e">
        <f ca="1">gr(charge_entree[[#This Row],[ch_S_DBO]])</f>
        <v>#NAME?</v>
      </c>
      <c r="I310" s="521" t="e">
        <f ca="1">gr(charge_entree[[#This Row],[ch_S-DCO]])</f>
        <v>#NAME?</v>
      </c>
      <c r="J310" s="521" t="e">
        <f ca="1">gr(charge_entree[[#This Row],[ch_S_DOC]])</f>
        <v>#NAME?</v>
      </c>
      <c r="K310" s="521" t="e">
        <f ca="1">gr(charge_entree[[#This Row],[ch_S_NH4]])</f>
        <v>#NAME?</v>
      </c>
      <c r="L310" s="521" t="e">
        <f ca="1">gr(charge_entree[[#This Row],[ch_S_NO2]])</f>
        <v>#NAME?</v>
      </c>
      <c r="M310" s="521" t="e">
        <f ca="1">gr(charge_entree[[#This Row],[ch_S_NO3]])</f>
        <v>#NAME?</v>
      </c>
      <c r="N310" s="521" t="e">
        <f ca="1">gr(charge_entree[[#This Row],[ch_S_PTOT]])</f>
        <v>#NAME?</v>
      </c>
      <c r="O310" s="521" t="e">
        <f ca="1">gr(charge_entree[[#This Row],[ch_S_SNDT]])</f>
        <v>#NAME?</v>
      </c>
    </row>
    <row r="311" spans="1:15" x14ac:dyDescent="0.2">
      <c r="A311" s="222">
        <f>calculs!A311</f>
        <v>44862</v>
      </c>
      <c r="B311" s="521" t="e">
        <f ca="1">gr(charge_entree[[#This Row],[ch_E_DBO5]])</f>
        <v>#NAME?</v>
      </c>
      <c r="C311" s="521" t="e">
        <f ca="1">gr(charge_entree[[#This Row],[ch_E_DCO]])</f>
        <v>#NAME?</v>
      </c>
      <c r="D311" s="521" t="e">
        <f ca="1">gr(charge_entree[[#This Row],[ch_E_COT]])</f>
        <v>#NAME?</v>
      </c>
      <c r="E311" s="521" t="e">
        <f ca="1">gr(charge_entree[[#This Row],[ch_E_NH4]])</f>
        <v>#NAME?</v>
      </c>
      <c r="F311" s="521" t="e">
        <f ca="1">gr(charge_entree[[#This Row],[ch_E_NTOT]])</f>
        <v>#NAME?</v>
      </c>
      <c r="G311" s="521" t="e">
        <f ca="1">gr(charge_entree[[#This Row],[ch_E_PTOT]])</f>
        <v>#NAME?</v>
      </c>
      <c r="H311" s="521" t="e">
        <f ca="1">gr(charge_entree[[#This Row],[ch_S_DBO]])</f>
        <v>#NAME?</v>
      </c>
      <c r="I311" s="521" t="e">
        <f ca="1">gr(charge_entree[[#This Row],[ch_S-DCO]])</f>
        <v>#NAME?</v>
      </c>
      <c r="J311" s="521" t="e">
        <f ca="1">gr(charge_entree[[#This Row],[ch_S_DOC]])</f>
        <v>#NAME?</v>
      </c>
      <c r="K311" s="521" t="e">
        <f ca="1">gr(charge_entree[[#This Row],[ch_S_NH4]])</f>
        <v>#NAME?</v>
      </c>
      <c r="L311" s="521" t="e">
        <f ca="1">gr(charge_entree[[#This Row],[ch_S_NO2]])</f>
        <v>#NAME?</v>
      </c>
      <c r="M311" s="521" t="e">
        <f ca="1">gr(charge_entree[[#This Row],[ch_S_NO3]])</f>
        <v>#NAME?</v>
      </c>
      <c r="N311" s="521" t="e">
        <f ca="1">gr(charge_entree[[#This Row],[ch_S_PTOT]])</f>
        <v>#NAME?</v>
      </c>
      <c r="O311" s="521" t="e">
        <f ca="1">gr(charge_entree[[#This Row],[ch_S_SNDT]])</f>
        <v>#NAME?</v>
      </c>
    </row>
    <row r="312" spans="1:15" x14ac:dyDescent="0.2">
      <c r="A312" s="222">
        <f>calculs!A312</f>
        <v>44863</v>
      </c>
      <c r="B312" s="521" t="e">
        <f ca="1">gr(charge_entree[[#This Row],[ch_E_DBO5]])</f>
        <v>#NAME?</v>
      </c>
      <c r="C312" s="521" t="e">
        <f ca="1">gr(charge_entree[[#This Row],[ch_E_DCO]])</f>
        <v>#NAME?</v>
      </c>
      <c r="D312" s="521" t="e">
        <f ca="1">gr(charge_entree[[#This Row],[ch_E_COT]])</f>
        <v>#NAME?</v>
      </c>
      <c r="E312" s="521" t="e">
        <f ca="1">gr(charge_entree[[#This Row],[ch_E_NH4]])</f>
        <v>#NAME?</v>
      </c>
      <c r="F312" s="521" t="e">
        <f ca="1">gr(charge_entree[[#This Row],[ch_E_NTOT]])</f>
        <v>#NAME?</v>
      </c>
      <c r="G312" s="521" t="e">
        <f ca="1">gr(charge_entree[[#This Row],[ch_E_PTOT]])</f>
        <v>#NAME?</v>
      </c>
      <c r="H312" s="521" t="e">
        <f ca="1">gr(charge_entree[[#This Row],[ch_S_DBO]])</f>
        <v>#NAME?</v>
      </c>
      <c r="I312" s="521" t="e">
        <f ca="1">gr(charge_entree[[#This Row],[ch_S-DCO]])</f>
        <v>#NAME?</v>
      </c>
      <c r="J312" s="521" t="e">
        <f ca="1">gr(charge_entree[[#This Row],[ch_S_DOC]])</f>
        <v>#NAME?</v>
      </c>
      <c r="K312" s="521" t="e">
        <f ca="1">gr(charge_entree[[#This Row],[ch_S_NH4]])</f>
        <v>#NAME?</v>
      </c>
      <c r="L312" s="521" t="e">
        <f ca="1">gr(charge_entree[[#This Row],[ch_S_NO2]])</f>
        <v>#NAME?</v>
      </c>
      <c r="M312" s="521" t="e">
        <f ca="1">gr(charge_entree[[#This Row],[ch_S_NO3]])</f>
        <v>#NAME?</v>
      </c>
      <c r="N312" s="521" t="e">
        <f ca="1">gr(charge_entree[[#This Row],[ch_S_PTOT]])</f>
        <v>#NAME?</v>
      </c>
      <c r="O312" s="521" t="e">
        <f ca="1">gr(charge_entree[[#This Row],[ch_S_SNDT]])</f>
        <v>#NAME?</v>
      </c>
    </row>
    <row r="313" spans="1:15" x14ac:dyDescent="0.2">
      <c r="A313" s="222">
        <f>calculs!A313</f>
        <v>44864</v>
      </c>
      <c r="B313" s="521" t="e">
        <f ca="1">gr(charge_entree[[#This Row],[ch_E_DBO5]])</f>
        <v>#NAME?</v>
      </c>
      <c r="C313" s="521" t="e">
        <f ca="1">gr(charge_entree[[#This Row],[ch_E_DCO]])</f>
        <v>#NAME?</v>
      </c>
      <c r="D313" s="521" t="e">
        <f ca="1">gr(charge_entree[[#This Row],[ch_E_COT]])</f>
        <v>#NAME?</v>
      </c>
      <c r="E313" s="521" t="e">
        <f ca="1">gr(charge_entree[[#This Row],[ch_E_NH4]])</f>
        <v>#NAME?</v>
      </c>
      <c r="F313" s="521" t="e">
        <f ca="1">gr(charge_entree[[#This Row],[ch_E_NTOT]])</f>
        <v>#NAME?</v>
      </c>
      <c r="G313" s="521" t="e">
        <f ca="1">gr(charge_entree[[#This Row],[ch_E_PTOT]])</f>
        <v>#NAME?</v>
      </c>
      <c r="H313" s="521" t="e">
        <f ca="1">gr(charge_entree[[#This Row],[ch_S_DBO]])</f>
        <v>#NAME?</v>
      </c>
      <c r="I313" s="521" t="e">
        <f ca="1">gr(charge_entree[[#This Row],[ch_S-DCO]])</f>
        <v>#NAME?</v>
      </c>
      <c r="J313" s="521" t="e">
        <f ca="1">gr(charge_entree[[#This Row],[ch_S_DOC]])</f>
        <v>#NAME?</v>
      </c>
      <c r="K313" s="521" t="e">
        <f ca="1">gr(charge_entree[[#This Row],[ch_S_NH4]])</f>
        <v>#NAME?</v>
      </c>
      <c r="L313" s="521" t="e">
        <f ca="1">gr(charge_entree[[#This Row],[ch_S_NO2]])</f>
        <v>#NAME?</v>
      </c>
      <c r="M313" s="521" t="e">
        <f ca="1">gr(charge_entree[[#This Row],[ch_S_NO3]])</f>
        <v>#NAME?</v>
      </c>
      <c r="N313" s="521" t="e">
        <f ca="1">gr(charge_entree[[#This Row],[ch_S_PTOT]])</f>
        <v>#NAME?</v>
      </c>
      <c r="O313" s="521" t="e">
        <f ca="1">gr(charge_entree[[#This Row],[ch_S_SNDT]])</f>
        <v>#NAME?</v>
      </c>
    </row>
    <row r="314" spans="1:15" x14ac:dyDescent="0.2">
      <c r="A314" s="222">
        <f>calculs!A314</f>
        <v>44865</v>
      </c>
      <c r="B314" s="521" t="e">
        <f ca="1">gr(charge_entree[[#This Row],[ch_E_DBO5]])</f>
        <v>#NAME?</v>
      </c>
      <c r="C314" s="521" t="e">
        <f ca="1">gr(charge_entree[[#This Row],[ch_E_DCO]])</f>
        <v>#NAME?</v>
      </c>
      <c r="D314" s="521" t="e">
        <f ca="1">gr(charge_entree[[#This Row],[ch_E_COT]])</f>
        <v>#NAME?</v>
      </c>
      <c r="E314" s="521" t="e">
        <f ca="1">gr(charge_entree[[#This Row],[ch_E_NH4]])</f>
        <v>#NAME?</v>
      </c>
      <c r="F314" s="521" t="e">
        <f ca="1">gr(charge_entree[[#This Row],[ch_E_NTOT]])</f>
        <v>#NAME?</v>
      </c>
      <c r="G314" s="521" t="e">
        <f ca="1">gr(charge_entree[[#This Row],[ch_E_PTOT]])</f>
        <v>#NAME?</v>
      </c>
      <c r="H314" s="521" t="e">
        <f ca="1">gr(charge_entree[[#This Row],[ch_S_DBO]])</f>
        <v>#NAME?</v>
      </c>
      <c r="I314" s="521" t="e">
        <f ca="1">gr(charge_entree[[#This Row],[ch_S-DCO]])</f>
        <v>#NAME?</v>
      </c>
      <c r="J314" s="521" t="e">
        <f ca="1">gr(charge_entree[[#This Row],[ch_S_DOC]])</f>
        <v>#NAME?</v>
      </c>
      <c r="K314" s="521" t="e">
        <f ca="1">gr(charge_entree[[#This Row],[ch_S_NH4]])</f>
        <v>#NAME?</v>
      </c>
      <c r="L314" s="521" t="e">
        <f ca="1">gr(charge_entree[[#This Row],[ch_S_NO2]])</f>
        <v>#NAME?</v>
      </c>
      <c r="M314" s="521" t="e">
        <f ca="1">gr(charge_entree[[#This Row],[ch_S_NO3]])</f>
        <v>#NAME?</v>
      </c>
      <c r="N314" s="521" t="e">
        <f ca="1">gr(charge_entree[[#This Row],[ch_S_PTOT]])</f>
        <v>#NAME?</v>
      </c>
      <c r="O314" s="521" t="e">
        <f ca="1">gr(charge_entree[[#This Row],[ch_S_SNDT]])</f>
        <v>#NAME?</v>
      </c>
    </row>
    <row r="315" spans="1:15" x14ac:dyDescent="0.2">
      <c r="A315" s="222">
        <f>calculs!A315</f>
        <v>44866</v>
      </c>
      <c r="B315" s="521" t="e">
        <f ca="1">gr(charge_entree[[#This Row],[ch_E_DBO5]])</f>
        <v>#NAME?</v>
      </c>
      <c r="C315" s="521" t="e">
        <f ca="1">gr(charge_entree[[#This Row],[ch_E_DCO]])</f>
        <v>#NAME?</v>
      </c>
      <c r="D315" s="521" t="e">
        <f ca="1">gr(charge_entree[[#This Row],[ch_E_COT]])</f>
        <v>#NAME?</v>
      </c>
      <c r="E315" s="521" t="e">
        <f ca="1">gr(charge_entree[[#This Row],[ch_E_NH4]])</f>
        <v>#NAME?</v>
      </c>
      <c r="F315" s="521" t="e">
        <f ca="1">gr(charge_entree[[#This Row],[ch_E_NTOT]])</f>
        <v>#NAME?</v>
      </c>
      <c r="G315" s="521" t="e">
        <f ca="1">gr(charge_entree[[#This Row],[ch_E_PTOT]])</f>
        <v>#NAME?</v>
      </c>
      <c r="H315" s="521" t="e">
        <f ca="1">gr(charge_entree[[#This Row],[ch_S_DBO]])</f>
        <v>#NAME?</v>
      </c>
      <c r="I315" s="521" t="e">
        <f ca="1">gr(charge_entree[[#This Row],[ch_S-DCO]])</f>
        <v>#NAME?</v>
      </c>
      <c r="J315" s="521" t="e">
        <f ca="1">gr(charge_entree[[#This Row],[ch_S_DOC]])</f>
        <v>#NAME?</v>
      </c>
      <c r="K315" s="521" t="e">
        <f ca="1">gr(charge_entree[[#This Row],[ch_S_NH4]])</f>
        <v>#NAME?</v>
      </c>
      <c r="L315" s="521" t="e">
        <f ca="1">gr(charge_entree[[#This Row],[ch_S_NO2]])</f>
        <v>#NAME?</v>
      </c>
      <c r="M315" s="521" t="e">
        <f ca="1">gr(charge_entree[[#This Row],[ch_S_NO3]])</f>
        <v>#NAME?</v>
      </c>
      <c r="N315" s="521" t="e">
        <f ca="1">gr(charge_entree[[#This Row],[ch_S_PTOT]])</f>
        <v>#NAME?</v>
      </c>
      <c r="O315" s="521" t="e">
        <f ca="1">gr(charge_entree[[#This Row],[ch_S_SNDT]])</f>
        <v>#NAME?</v>
      </c>
    </row>
    <row r="316" spans="1:15" x14ac:dyDescent="0.2">
      <c r="A316" s="222">
        <f>calculs!A316</f>
        <v>44867</v>
      </c>
      <c r="B316" s="521" t="e">
        <f ca="1">gr(charge_entree[[#This Row],[ch_E_DBO5]])</f>
        <v>#NAME?</v>
      </c>
      <c r="C316" s="521" t="e">
        <f ca="1">gr(charge_entree[[#This Row],[ch_E_DCO]])</f>
        <v>#NAME?</v>
      </c>
      <c r="D316" s="521" t="e">
        <f ca="1">gr(charge_entree[[#This Row],[ch_E_COT]])</f>
        <v>#NAME?</v>
      </c>
      <c r="E316" s="521" t="e">
        <f ca="1">gr(charge_entree[[#This Row],[ch_E_NH4]])</f>
        <v>#NAME?</v>
      </c>
      <c r="F316" s="521" t="e">
        <f ca="1">gr(charge_entree[[#This Row],[ch_E_NTOT]])</f>
        <v>#NAME?</v>
      </c>
      <c r="G316" s="521" t="e">
        <f ca="1">gr(charge_entree[[#This Row],[ch_E_PTOT]])</f>
        <v>#NAME?</v>
      </c>
      <c r="H316" s="521" t="e">
        <f ca="1">gr(charge_entree[[#This Row],[ch_S_DBO]])</f>
        <v>#NAME?</v>
      </c>
      <c r="I316" s="521" t="e">
        <f ca="1">gr(charge_entree[[#This Row],[ch_S-DCO]])</f>
        <v>#NAME?</v>
      </c>
      <c r="J316" s="521" t="e">
        <f ca="1">gr(charge_entree[[#This Row],[ch_S_DOC]])</f>
        <v>#NAME?</v>
      </c>
      <c r="K316" s="521" t="e">
        <f ca="1">gr(charge_entree[[#This Row],[ch_S_NH4]])</f>
        <v>#NAME?</v>
      </c>
      <c r="L316" s="521" t="e">
        <f ca="1">gr(charge_entree[[#This Row],[ch_S_NO2]])</f>
        <v>#NAME?</v>
      </c>
      <c r="M316" s="521" t="e">
        <f ca="1">gr(charge_entree[[#This Row],[ch_S_NO3]])</f>
        <v>#NAME?</v>
      </c>
      <c r="N316" s="521" t="e">
        <f ca="1">gr(charge_entree[[#This Row],[ch_S_PTOT]])</f>
        <v>#NAME?</v>
      </c>
      <c r="O316" s="521" t="e">
        <f ca="1">gr(charge_entree[[#This Row],[ch_S_SNDT]])</f>
        <v>#NAME?</v>
      </c>
    </row>
    <row r="317" spans="1:15" x14ac:dyDescent="0.2">
      <c r="A317" s="222">
        <f>calculs!A317</f>
        <v>44868</v>
      </c>
      <c r="B317" s="521" t="e">
        <f ca="1">gr(charge_entree[[#This Row],[ch_E_DBO5]])</f>
        <v>#NAME?</v>
      </c>
      <c r="C317" s="521" t="e">
        <f ca="1">gr(charge_entree[[#This Row],[ch_E_DCO]])</f>
        <v>#NAME?</v>
      </c>
      <c r="D317" s="521" t="e">
        <f ca="1">gr(charge_entree[[#This Row],[ch_E_COT]])</f>
        <v>#NAME?</v>
      </c>
      <c r="E317" s="521" t="e">
        <f ca="1">gr(charge_entree[[#This Row],[ch_E_NH4]])</f>
        <v>#NAME?</v>
      </c>
      <c r="F317" s="521" t="e">
        <f ca="1">gr(charge_entree[[#This Row],[ch_E_NTOT]])</f>
        <v>#NAME?</v>
      </c>
      <c r="G317" s="521" t="e">
        <f ca="1">gr(charge_entree[[#This Row],[ch_E_PTOT]])</f>
        <v>#NAME?</v>
      </c>
      <c r="H317" s="521" t="e">
        <f ca="1">gr(charge_entree[[#This Row],[ch_S_DBO]])</f>
        <v>#NAME?</v>
      </c>
      <c r="I317" s="521" t="e">
        <f ca="1">gr(charge_entree[[#This Row],[ch_S-DCO]])</f>
        <v>#NAME?</v>
      </c>
      <c r="J317" s="521" t="e">
        <f ca="1">gr(charge_entree[[#This Row],[ch_S_DOC]])</f>
        <v>#NAME?</v>
      </c>
      <c r="K317" s="521" t="e">
        <f ca="1">gr(charge_entree[[#This Row],[ch_S_NH4]])</f>
        <v>#NAME?</v>
      </c>
      <c r="L317" s="521" t="e">
        <f ca="1">gr(charge_entree[[#This Row],[ch_S_NO2]])</f>
        <v>#NAME?</v>
      </c>
      <c r="M317" s="521" t="e">
        <f ca="1">gr(charge_entree[[#This Row],[ch_S_NO3]])</f>
        <v>#NAME?</v>
      </c>
      <c r="N317" s="521" t="e">
        <f ca="1">gr(charge_entree[[#This Row],[ch_S_PTOT]])</f>
        <v>#NAME?</v>
      </c>
      <c r="O317" s="521" t="e">
        <f ca="1">gr(charge_entree[[#This Row],[ch_S_SNDT]])</f>
        <v>#NAME?</v>
      </c>
    </row>
    <row r="318" spans="1:15" x14ac:dyDescent="0.2">
      <c r="A318" s="222">
        <f>calculs!A318</f>
        <v>44869</v>
      </c>
      <c r="B318" s="521" t="e">
        <f ca="1">gr(charge_entree[[#This Row],[ch_E_DBO5]])</f>
        <v>#NAME?</v>
      </c>
      <c r="C318" s="521" t="e">
        <f ca="1">gr(charge_entree[[#This Row],[ch_E_DCO]])</f>
        <v>#NAME?</v>
      </c>
      <c r="D318" s="521" t="e">
        <f ca="1">gr(charge_entree[[#This Row],[ch_E_COT]])</f>
        <v>#NAME?</v>
      </c>
      <c r="E318" s="521" t="e">
        <f ca="1">gr(charge_entree[[#This Row],[ch_E_NH4]])</f>
        <v>#NAME?</v>
      </c>
      <c r="F318" s="521" t="e">
        <f ca="1">gr(charge_entree[[#This Row],[ch_E_NTOT]])</f>
        <v>#NAME?</v>
      </c>
      <c r="G318" s="521" t="e">
        <f ca="1">gr(charge_entree[[#This Row],[ch_E_PTOT]])</f>
        <v>#NAME?</v>
      </c>
      <c r="H318" s="521" t="e">
        <f ca="1">gr(charge_entree[[#This Row],[ch_S_DBO]])</f>
        <v>#NAME?</v>
      </c>
      <c r="I318" s="521" t="e">
        <f ca="1">gr(charge_entree[[#This Row],[ch_S-DCO]])</f>
        <v>#NAME?</v>
      </c>
      <c r="J318" s="521" t="e">
        <f ca="1">gr(charge_entree[[#This Row],[ch_S_DOC]])</f>
        <v>#NAME?</v>
      </c>
      <c r="K318" s="521" t="e">
        <f ca="1">gr(charge_entree[[#This Row],[ch_S_NH4]])</f>
        <v>#NAME?</v>
      </c>
      <c r="L318" s="521" t="e">
        <f ca="1">gr(charge_entree[[#This Row],[ch_S_NO2]])</f>
        <v>#NAME?</v>
      </c>
      <c r="M318" s="521" t="e">
        <f ca="1">gr(charge_entree[[#This Row],[ch_S_NO3]])</f>
        <v>#NAME?</v>
      </c>
      <c r="N318" s="521" t="e">
        <f ca="1">gr(charge_entree[[#This Row],[ch_S_PTOT]])</f>
        <v>#NAME?</v>
      </c>
      <c r="O318" s="521" t="e">
        <f ca="1">gr(charge_entree[[#This Row],[ch_S_SNDT]])</f>
        <v>#NAME?</v>
      </c>
    </row>
    <row r="319" spans="1:15" x14ac:dyDescent="0.2">
      <c r="A319" s="222">
        <f>calculs!A319</f>
        <v>44870</v>
      </c>
      <c r="B319" s="521" t="e">
        <f ca="1">gr(charge_entree[[#This Row],[ch_E_DBO5]])</f>
        <v>#NAME?</v>
      </c>
      <c r="C319" s="521" t="e">
        <f ca="1">gr(charge_entree[[#This Row],[ch_E_DCO]])</f>
        <v>#NAME?</v>
      </c>
      <c r="D319" s="521" t="e">
        <f ca="1">gr(charge_entree[[#This Row],[ch_E_COT]])</f>
        <v>#NAME?</v>
      </c>
      <c r="E319" s="521" t="e">
        <f ca="1">gr(charge_entree[[#This Row],[ch_E_NH4]])</f>
        <v>#NAME?</v>
      </c>
      <c r="F319" s="521" t="e">
        <f ca="1">gr(charge_entree[[#This Row],[ch_E_NTOT]])</f>
        <v>#NAME?</v>
      </c>
      <c r="G319" s="521" t="e">
        <f ca="1">gr(charge_entree[[#This Row],[ch_E_PTOT]])</f>
        <v>#NAME?</v>
      </c>
      <c r="H319" s="521" t="e">
        <f ca="1">gr(charge_entree[[#This Row],[ch_S_DBO]])</f>
        <v>#NAME?</v>
      </c>
      <c r="I319" s="521" t="e">
        <f ca="1">gr(charge_entree[[#This Row],[ch_S-DCO]])</f>
        <v>#NAME?</v>
      </c>
      <c r="J319" s="521" t="e">
        <f ca="1">gr(charge_entree[[#This Row],[ch_S_DOC]])</f>
        <v>#NAME?</v>
      </c>
      <c r="K319" s="521" t="e">
        <f ca="1">gr(charge_entree[[#This Row],[ch_S_NH4]])</f>
        <v>#NAME?</v>
      </c>
      <c r="L319" s="521" t="e">
        <f ca="1">gr(charge_entree[[#This Row],[ch_S_NO2]])</f>
        <v>#NAME?</v>
      </c>
      <c r="M319" s="521" t="e">
        <f ca="1">gr(charge_entree[[#This Row],[ch_S_NO3]])</f>
        <v>#NAME?</v>
      </c>
      <c r="N319" s="521" t="e">
        <f ca="1">gr(charge_entree[[#This Row],[ch_S_PTOT]])</f>
        <v>#NAME?</v>
      </c>
      <c r="O319" s="521" t="e">
        <f ca="1">gr(charge_entree[[#This Row],[ch_S_SNDT]])</f>
        <v>#NAME?</v>
      </c>
    </row>
    <row r="320" spans="1:15" x14ac:dyDescent="0.2">
      <c r="A320" s="222">
        <f>calculs!A320</f>
        <v>44871</v>
      </c>
      <c r="B320" s="521" t="e">
        <f ca="1">gr(charge_entree[[#This Row],[ch_E_DBO5]])</f>
        <v>#NAME?</v>
      </c>
      <c r="C320" s="521" t="e">
        <f ca="1">gr(charge_entree[[#This Row],[ch_E_DCO]])</f>
        <v>#NAME?</v>
      </c>
      <c r="D320" s="521" t="e">
        <f ca="1">gr(charge_entree[[#This Row],[ch_E_COT]])</f>
        <v>#NAME?</v>
      </c>
      <c r="E320" s="521" t="e">
        <f ca="1">gr(charge_entree[[#This Row],[ch_E_NH4]])</f>
        <v>#NAME?</v>
      </c>
      <c r="F320" s="521" t="e">
        <f ca="1">gr(charge_entree[[#This Row],[ch_E_NTOT]])</f>
        <v>#NAME?</v>
      </c>
      <c r="G320" s="521" t="e">
        <f ca="1">gr(charge_entree[[#This Row],[ch_E_PTOT]])</f>
        <v>#NAME?</v>
      </c>
      <c r="H320" s="521" t="e">
        <f ca="1">gr(charge_entree[[#This Row],[ch_S_DBO]])</f>
        <v>#NAME?</v>
      </c>
      <c r="I320" s="521" t="e">
        <f ca="1">gr(charge_entree[[#This Row],[ch_S-DCO]])</f>
        <v>#NAME?</v>
      </c>
      <c r="J320" s="521" t="e">
        <f ca="1">gr(charge_entree[[#This Row],[ch_S_DOC]])</f>
        <v>#NAME?</v>
      </c>
      <c r="K320" s="521" t="e">
        <f ca="1">gr(charge_entree[[#This Row],[ch_S_NH4]])</f>
        <v>#NAME?</v>
      </c>
      <c r="L320" s="521" t="e">
        <f ca="1">gr(charge_entree[[#This Row],[ch_S_NO2]])</f>
        <v>#NAME?</v>
      </c>
      <c r="M320" s="521" t="e">
        <f ca="1">gr(charge_entree[[#This Row],[ch_S_NO3]])</f>
        <v>#NAME?</v>
      </c>
      <c r="N320" s="521" t="e">
        <f ca="1">gr(charge_entree[[#This Row],[ch_S_PTOT]])</f>
        <v>#NAME?</v>
      </c>
      <c r="O320" s="521" t="e">
        <f ca="1">gr(charge_entree[[#This Row],[ch_S_SNDT]])</f>
        <v>#NAME?</v>
      </c>
    </row>
    <row r="321" spans="1:15" x14ac:dyDescent="0.2">
      <c r="A321" s="222">
        <f>calculs!A321</f>
        <v>44872</v>
      </c>
      <c r="B321" s="521" t="e">
        <f ca="1">gr(charge_entree[[#This Row],[ch_E_DBO5]])</f>
        <v>#NAME?</v>
      </c>
      <c r="C321" s="521" t="e">
        <f ca="1">gr(charge_entree[[#This Row],[ch_E_DCO]])</f>
        <v>#NAME?</v>
      </c>
      <c r="D321" s="521" t="e">
        <f ca="1">gr(charge_entree[[#This Row],[ch_E_COT]])</f>
        <v>#NAME?</v>
      </c>
      <c r="E321" s="521" t="e">
        <f ca="1">gr(charge_entree[[#This Row],[ch_E_NH4]])</f>
        <v>#NAME?</v>
      </c>
      <c r="F321" s="521" t="e">
        <f ca="1">gr(charge_entree[[#This Row],[ch_E_NTOT]])</f>
        <v>#NAME?</v>
      </c>
      <c r="G321" s="521" t="e">
        <f ca="1">gr(charge_entree[[#This Row],[ch_E_PTOT]])</f>
        <v>#NAME?</v>
      </c>
      <c r="H321" s="521" t="e">
        <f ca="1">gr(charge_entree[[#This Row],[ch_S_DBO]])</f>
        <v>#NAME?</v>
      </c>
      <c r="I321" s="521" t="e">
        <f ca="1">gr(charge_entree[[#This Row],[ch_S-DCO]])</f>
        <v>#NAME?</v>
      </c>
      <c r="J321" s="521" t="e">
        <f ca="1">gr(charge_entree[[#This Row],[ch_S_DOC]])</f>
        <v>#NAME?</v>
      </c>
      <c r="K321" s="521" t="e">
        <f ca="1">gr(charge_entree[[#This Row],[ch_S_NH4]])</f>
        <v>#NAME?</v>
      </c>
      <c r="L321" s="521" t="e">
        <f ca="1">gr(charge_entree[[#This Row],[ch_S_NO2]])</f>
        <v>#NAME?</v>
      </c>
      <c r="M321" s="521" t="e">
        <f ca="1">gr(charge_entree[[#This Row],[ch_S_NO3]])</f>
        <v>#NAME?</v>
      </c>
      <c r="N321" s="521" t="e">
        <f ca="1">gr(charge_entree[[#This Row],[ch_S_PTOT]])</f>
        <v>#NAME?</v>
      </c>
      <c r="O321" s="521" t="e">
        <f ca="1">gr(charge_entree[[#This Row],[ch_S_SNDT]])</f>
        <v>#NAME?</v>
      </c>
    </row>
    <row r="322" spans="1:15" x14ac:dyDescent="0.2">
      <c r="A322" s="222">
        <f>calculs!A322</f>
        <v>44873</v>
      </c>
      <c r="B322" s="521" t="e">
        <f ca="1">gr(charge_entree[[#This Row],[ch_E_DBO5]])</f>
        <v>#NAME?</v>
      </c>
      <c r="C322" s="521" t="e">
        <f ca="1">gr(charge_entree[[#This Row],[ch_E_DCO]])</f>
        <v>#NAME?</v>
      </c>
      <c r="D322" s="521" t="e">
        <f ca="1">gr(charge_entree[[#This Row],[ch_E_COT]])</f>
        <v>#NAME?</v>
      </c>
      <c r="E322" s="521" t="e">
        <f ca="1">gr(charge_entree[[#This Row],[ch_E_NH4]])</f>
        <v>#NAME?</v>
      </c>
      <c r="F322" s="521" t="e">
        <f ca="1">gr(charge_entree[[#This Row],[ch_E_NTOT]])</f>
        <v>#NAME?</v>
      </c>
      <c r="G322" s="521" t="e">
        <f ca="1">gr(charge_entree[[#This Row],[ch_E_PTOT]])</f>
        <v>#NAME?</v>
      </c>
      <c r="H322" s="521" t="e">
        <f ca="1">gr(charge_entree[[#This Row],[ch_S_DBO]])</f>
        <v>#NAME?</v>
      </c>
      <c r="I322" s="521" t="e">
        <f ca="1">gr(charge_entree[[#This Row],[ch_S-DCO]])</f>
        <v>#NAME?</v>
      </c>
      <c r="J322" s="521" t="e">
        <f ca="1">gr(charge_entree[[#This Row],[ch_S_DOC]])</f>
        <v>#NAME?</v>
      </c>
      <c r="K322" s="521" t="e">
        <f ca="1">gr(charge_entree[[#This Row],[ch_S_NH4]])</f>
        <v>#NAME?</v>
      </c>
      <c r="L322" s="521" t="e">
        <f ca="1">gr(charge_entree[[#This Row],[ch_S_NO2]])</f>
        <v>#NAME?</v>
      </c>
      <c r="M322" s="521" t="e">
        <f ca="1">gr(charge_entree[[#This Row],[ch_S_NO3]])</f>
        <v>#NAME?</v>
      </c>
      <c r="N322" s="521" t="e">
        <f ca="1">gr(charge_entree[[#This Row],[ch_S_PTOT]])</f>
        <v>#NAME?</v>
      </c>
      <c r="O322" s="521" t="e">
        <f ca="1">gr(charge_entree[[#This Row],[ch_S_SNDT]])</f>
        <v>#NAME?</v>
      </c>
    </row>
    <row r="323" spans="1:15" x14ac:dyDescent="0.2">
      <c r="A323" s="222">
        <f>calculs!A323</f>
        <v>44874</v>
      </c>
      <c r="B323" s="521" t="e">
        <f ca="1">gr(charge_entree[[#This Row],[ch_E_DBO5]])</f>
        <v>#NAME?</v>
      </c>
      <c r="C323" s="521" t="e">
        <f ca="1">gr(charge_entree[[#This Row],[ch_E_DCO]])</f>
        <v>#NAME?</v>
      </c>
      <c r="D323" s="521" t="e">
        <f ca="1">gr(charge_entree[[#This Row],[ch_E_COT]])</f>
        <v>#NAME?</v>
      </c>
      <c r="E323" s="521" t="e">
        <f ca="1">gr(charge_entree[[#This Row],[ch_E_NH4]])</f>
        <v>#NAME?</v>
      </c>
      <c r="F323" s="521" t="e">
        <f ca="1">gr(charge_entree[[#This Row],[ch_E_NTOT]])</f>
        <v>#NAME?</v>
      </c>
      <c r="G323" s="521" t="e">
        <f ca="1">gr(charge_entree[[#This Row],[ch_E_PTOT]])</f>
        <v>#NAME?</v>
      </c>
      <c r="H323" s="521" t="e">
        <f ca="1">gr(charge_entree[[#This Row],[ch_S_DBO]])</f>
        <v>#NAME?</v>
      </c>
      <c r="I323" s="521" t="e">
        <f ca="1">gr(charge_entree[[#This Row],[ch_S-DCO]])</f>
        <v>#NAME?</v>
      </c>
      <c r="J323" s="521" t="e">
        <f ca="1">gr(charge_entree[[#This Row],[ch_S_DOC]])</f>
        <v>#NAME?</v>
      </c>
      <c r="K323" s="521" t="e">
        <f ca="1">gr(charge_entree[[#This Row],[ch_S_NH4]])</f>
        <v>#NAME?</v>
      </c>
      <c r="L323" s="521" t="e">
        <f ca="1">gr(charge_entree[[#This Row],[ch_S_NO2]])</f>
        <v>#NAME?</v>
      </c>
      <c r="M323" s="521" t="e">
        <f ca="1">gr(charge_entree[[#This Row],[ch_S_NO3]])</f>
        <v>#NAME?</v>
      </c>
      <c r="N323" s="521" t="e">
        <f ca="1">gr(charge_entree[[#This Row],[ch_S_PTOT]])</f>
        <v>#NAME?</v>
      </c>
      <c r="O323" s="521" t="e">
        <f ca="1">gr(charge_entree[[#This Row],[ch_S_SNDT]])</f>
        <v>#NAME?</v>
      </c>
    </row>
    <row r="324" spans="1:15" x14ac:dyDescent="0.2">
      <c r="A324" s="222">
        <f>calculs!A324</f>
        <v>44875</v>
      </c>
      <c r="B324" s="521" t="e">
        <f ca="1">gr(charge_entree[[#This Row],[ch_E_DBO5]])</f>
        <v>#NAME?</v>
      </c>
      <c r="C324" s="521" t="e">
        <f ca="1">gr(charge_entree[[#This Row],[ch_E_DCO]])</f>
        <v>#NAME?</v>
      </c>
      <c r="D324" s="521" t="e">
        <f ca="1">gr(charge_entree[[#This Row],[ch_E_COT]])</f>
        <v>#NAME?</v>
      </c>
      <c r="E324" s="521" t="e">
        <f ca="1">gr(charge_entree[[#This Row],[ch_E_NH4]])</f>
        <v>#NAME?</v>
      </c>
      <c r="F324" s="521" t="e">
        <f ca="1">gr(charge_entree[[#This Row],[ch_E_NTOT]])</f>
        <v>#NAME?</v>
      </c>
      <c r="G324" s="521" t="e">
        <f ca="1">gr(charge_entree[[#This Row],[ch_E_PTOT]])</f>
        <v>#NAME?</v>
      </c>
      <c r="H324" s="521" t="e">
        <f ca="1">gr(charge_entree[[#This Row],[ch_S_DBO]])</f>
        <v>#NAME?</v>
      </c>
      <c r="I324" s="521" t="e">
        <f ca="1">gr(charge_entree[[#This Row],[ch_S-DCO]])</f>
        <v>#NAME?</v>
      </c>
      <c r="J324" s="521" t="e">
        <f ca="1">gr(charge_entree[[#This Row],[ch_S_DOC]])</f>
        <v>#NAME?</v>
      </c>
      <c r="K324" s="521" t="e">
        <f ca="1">gr(charge_entree[[#This Row],[ch_S_NH4]])</f>
        <v>#NAME?</v>
      </c>
      <c r="L324" s="521" t="e">
        <f ca="1">gr(charge_entree[[#This Row],[ch_S_NO2]])</f>
        <v>#NAME?</v>
      </c>
      <c r="M324" s="521" t="e">
        <f ca="1">gr(charge_entree[[#This Row],[ch_S_NO3]])</f>
        <v>#NAME?</v>
      </c>
      <c r="N324" s="521" t="e">
        <f ca="1">gr(charge_entree[[#This Row],[ch_S_PTOT]])</f>
        <v>#NAME?</v>
      </c>
      <c r="O324" s="521" t="e">
        <f ca="1">gr(charge_entree[[#This Row],[ch_S_SNDT]])</f>
        <v>#NAME?</v>
      </c>
    </row>
    <row r="325" spans="1:15" x14ac:dyDescent="0.2">
      <c r="A325" s="222">
        <f>calculs!A325</f>
        <v>44876</v>
      </c>
      <c r="B325" s="521" t="e">
        <f ca="1">gr(charge_entree[[#This Row],[ch_E_DBO5]])</f>
        <v>#NAME?</v>
      </c>
      <c r="C325" s="521" t="e">
        <f ca="1">gr(charge_entree[[#This Row],[ch_E_DCO]])</f>
        <v>#NAME?</v>
      </c>
      <c r="D325" s="521" t="e">
        <f ca="1">gr(charge_entree[[#This Row],[ch_E_COT]])</f>
        <v>#NAME?</v>
      </c>
      <c r="E325" s="521" t="e">
        <f ca="1">gr(charge_entree[[#This Row],[ch_E_NH4]])</f>
        <v>#NAME?</v>
      </c>
      <c r="F325" s="521" t="e">
        <f ca="1">gr(charge_entree[[#This Row],[ch_E_NTOT]])</f>
        <v>#NAME?</v>
      </c>
      <c r="G325" s="521" t="e">
        <f ca="1">gr(charge_entree[[#This Row],[ch_E_PTOT]])</f>
        <v>#NAME?</v>
      </c>
      <c r="H325" s="521" t="e">
        <f ca="1">gr(charge_entree[[#This Row],[ch_S_DBO]])</f>
        <v>#NAME?</v>
      </c>
      <c r="I325" s="521" t="e">
        <f ca="1">gr(charge_entree[[#This Row],[ch_S-DCO]])</f>
        <v>#NAME?</v>
      </c>
      <c r="J325" s="521" t="e">
        <f ca="1">gr(charge_entree[[#This Row],[ch_S_DOC]])</f>
        <v>#NAME?</v>
      </c>
      <c r="K325" s="521" t="e">
        <f ca="1">gr(charge_entree[[#This Row],[ch_S_NH4]])</f>
        <v>#NAME?</v>
      </c>
      <c r="L325" s="521" t="e">
        <f ca="1">gr(charge_entree[[#This Row],[ch_S_NO2]])</f>
        <v>#NAME?</v>
      </c>
      <c r="M325" s="521" t="e">
        <f ca="1">gr(charge_entree[[#This Row],[ch_S_NO3]])</f>
        <v>#NAME?</v>
      </c>
      <c r="N325" s="521" t="e">
        <f ca="1">gr(charge_entree[[#This Row],[ch_S_PTOT]])</f>
        <v>#NAME?</v>
      </c>
      <c r="O325" s="521" t="e">
        <f ca="1">gr(charge_entree[[#This Row],[ch_S_SNDT]])</f>
        <v>#NAME?</v>
      </c>
    </row>
    <row r="326" spans="1:15" x14ac:dyDescent="0.2">
      <c r="A326" s="222">
        <f>calculs!A326</f>
        <v>44877</v>
      </c>
      <c r="B326" s="521" t="e">
        <f ca="1">gr(charge_entree[[#This Row],[ch_E_DBO5]])</f>
        <v>#NAME?</v>
      </c>
      <c r="C326" s="521" t="e">
        <f ca="1">gr(charge_entree[[#This Row],[ch_E_DCO]])</f>
        <v>#NAME?</v>
      </c>
      <c r="D326" s="521" t="e">
        <f ca="1">gr(charge_entree[[#This Row],[ch_E_COT]])</f>
        <v>#NAME?</v>
      </c>
      <c r="E326" s="521" t="e">
        <f ca="1">gr(charge_entree[[#This Row],[ch_E_NH4]])</f>
        <v>#NAME?</v>
      </c>
      <c r="F326" s="521" t="e">
        <f ca="1">gr(charge_entree[[#This Row],[ch_E_NTOT]])</f>
        <v>#NAME?</v>
      </c>
      <c r="G326" s="521" t="e">
        <f ca="1">gr(charge_entree[[#This Row],[ch_E_PTOT]])</f>
        <v>#NAME?</v>
      </c>
      <c r="H326" s="521" t="e">
        <f ca="1">gr(charge_entree[[#This Row],[ch_S_DBO]])</f>
        <v>#NAME?</v>
      </c>
      <c r="I326" s="521" t="e">
        <f ca="1">gr(charge_entree[[#This Row],[ch_S-DCO]])</f>
        <v>#NAME?</v>
      </c>
      <c r="J326" s="521" t="e">
        <f ca="1">gr(charge_entree[[#This Row],[ch_S_DOC]])</f>
        <v>#NAME?</v>
      </c>
      <c r="K326" s="521" t="e">
        <f ca="1">gr(charge_entree[[#This Row],[ch_S_NH4]])</f>
        <v>#NAME?</v>
      </c>
      <c r="L326" s="521" t="e">
        <f ca="1">gr(charge_entree[[#This Row],[ch_S_NO2]])</f>
        <v>#NAME?</v>
      </c>
      <c r="M326" s="521" t="e">
        <f ca="1">gr(charge_entree[[#This Row],[ch_S_NO3]])</f>
        <v>#NAME?</v>
      </c>
      <c r="N326" s="521" t="e">
        <f ca="1">gr(charge_entree[[#This Row],[ch_S_PTOT]])</f>
        <v>#NAME?</v>
      </c>
      <c r="O326" s="521" t="e">
        <f ca="1">gr(charge_entree[[#This Row],[ch_S_SNDT]])</f>
        <v>#NAME?</v>
      </c>
    </row>
    <row r="327" spans="1:15" x14ac:dyDescent="0.2">
      <c r="A327" s="222">
        <f>calculs!A327</f>
        <v>44878</v>
      </c>
      <c r="B327" s="521" t="e">
        <f ca="1">gr(charge_entree[[#This Row],[ch_E_DBO5]])</f>
        <v>#NAME?</v>
      </c>
      <c r="C327" s="521" t="e">
        <f ca="1">gr(charge_entree[[#This Row],[ch_E_DCO]])</f>
        <v>#NAME?</v>
      </c>
      <c r="D327" s="521" t="e">
        <f ca="1">gr(charge_entree[[#This Row],[ch_E_COT]])</f>
        <v>#NAME?</v>
      </c>
      <c r="E327" s="521" t="e">
        <f ca="1">gr(charge_entree[[#This Row],[ch_E_NH4]])</f>
        <v>#NAME?</v>
      </c>
      <c r="F327" s="521" t="e">
        <f ca="1">gr(charge_entree[[#This Row],[ch_E_NTOT]])</f>
        <v>#NAME?</v>
      </c>
      <c r="G327" s="521" t="e">
        <f ca="1">gr(charge_entree[[#This Row],[ch_E_PTOT]])</f>
        <v>#NAME?</v>
      </c>
      <c r="H327" s="521" t="e">
        <f ca="1">gr(charge_entree[[#This Row],[ch_S_DBO]])</f>
        <v>#NAME?</v>
      </c>
      <c r="I327" s="521" t="e">
        <f ca="1">gr(charge_entree[[#This Row],[ch_S-DCO]])</f>
        <v>#NAME?</v>
      </c>
      <c r="J327" s="521" t="e">
        <f ca="1">gr(charge_entree[[#This Row],[ch_S_DOC]])</f>
        <v>#NAME?</v>
      </c>
      <c r="K327" s="521" t="e">
        <f ca="1">gr(charge_entree[[#This Row],[ch_S_NH4]])</f>
        <v>#NAME?</v>
      </c>
      <c r="L327" s="521" t="e">
        <f ca="1">gr(charge_entree[[#This Row],[ch_S_NO2]])</f>
        <v>#NAME?</v>
      </c>
      <c r="M327" s="521" t="e">
        <f ca="1">gr(charge_entree[[#This Row],[ch_S_NO3]])</f>
        <v>#NAME?</v>
      </c>
      <c r="N327" s="521" t="e">
        <f ca="1">gr(charge_entree[[#This Row],[ch_S_PTOT]])</f>
        <v>#NAME?</v>
      </c>
      <c r="O327" s="521" t="e">
        <f ca="1">gr(charge_entree[[#This Row],[ch_S_SNDT]])</f>
        <v>#NAME?</v>
      </c>
    </row>
    <row r="328" spans="1:15" x14ac:dyDescent="0.2">
      <c r="A328" s="222">
        <f>calculs!A328</f>
        <v>44879</v>
      </c>
      <c r="B328" s="521" t="e">
        <f ca="1">gr(charge_entree[[#This Row],[ch_E_DBO5]])</f>
        <v>#NAME?</v>
      </c>
      <c r="C328" s="521" t="e">
        <f ca="1">gr(charge_entree[[#This Row],[ch_E_DCO]])</f>
        <v>#NAME?</v>
      </c>
      <c r="D328" s="521" t="e">
        <f ca="1">gr(charge_entree[[#This Row],[ch_E_COT]])</f>
        <v>#NAME?</v>
      </c>
      <c r="E328" s="521" t="e">
        <f ca="1">gr(charge_entree[[#This Row],[ch_E_NH4]])</f>
        <v>#NAME?</v>
      </c>
      <c r="F328" s="521" t="e">
        <f ca="1">gr(charge_entree[[#This Row],[ch_E_NTOT]])</f>
        <v>#NAME?</v>
      </c>
      <c r="G328" s="521" t="e">
        <f ca="1">gr(charge_entree[[#This Row],[ch_E_PTOT]])</f>
        <v>#NAME?</v>
      </c>
      <c r="H328" s="521" t="e">
        <f ca="1">gr(charge_entree[[#This Row],[ch_S_DBO]])</f>
        <v>#NAME?</v>
      </c>
      <c r="I328" s="521" t="e">
        <f ca="1">gr(charge_entree[[#This Row],[ch_S-DCO]])</f>
        <v>#NAME?</v>
      </c>
      <c r="J328" s="521" t="e">
        <f ca="1">gr(charge_entree[[#This Row],[ch_S_DOC]])</f>
        <v>#NAME?</v>
      </c>
      <c r="K328" s="521" t="e">
        <f ca="1">gr(charge_entree[[#This Row],[ch_S_NH4]])</f>
        <v>#NAME?</v>
      </c>
      <c r="L328" s="521" t="e">
        <f ca="1">gr(charge_entree[[#This Row],[ch_S_NO2]])</f>
        <v>#NAME?</v>
      </c>
      <c r="M328" s="521" t="e">
        <f ca="1">gr(charge_entree[[#This Row],[ch_S_NO3]])</f>
        <v>#NAME?</v>
      </c>
      <c r="N328" s="521" t="e">
        <f ca="1">gr(charge_entree[[#This Row],[ch_S_PTOT]])</f>
        <v>#NAME?</v>
      </c>
      <c r="O328" s="521" t="e">
        <f ca="1">gr(charge_entree[[#This Row],[ch_S_SNDT]])</f>
        <v>#NAME?</v>
      </c>
    </row>
    <row r="329" spans="1:15" x14ac:dyDescent="0.2">
      <c r="A329" s="222">
        <f>calculs!A329</f>
        <v>44880</v>
      </c>
      <c r="B329" s="521" t="e">
        <f ca="1">gr(charge_entree[[#This Row],[ch_E_DBO5]])</f>
        <v>#NAME?</v>
      </c>
      <c r="C329" s="521" t="e">
        <f ca="1">gr(charge_entree[[#This Row],[ch_E_DCO]])</f>
        <v>#NAME?</v>
      </c>
      <c r="D329" s="521" t="e">
        <f ca="1">gr(charge_entree[[#This Row],[ch_E_COT]])</f>
        <v>#NAME?</v>
      </c>
      <c r="E329" s="521" t="e">
        <f ca="1">gr(charge_entree[[#This Row],[ch_E_NH4]])</f>
        <v>#NAME?</v>
      </c>
      <c r="F329" s="521" t="e">
        <f ca="1">gr(charge_entree[[#This Row],[ch_E_NTOT]])</f>
        <v>#NAME?</v>
      </c>
      <c r="G329" s="521" t="e">
        <f ca="1">gr(charge_entree[[#This Row],[ch_E_PTOT]])</f>
        <v>#NAME?</v>
      </c>
      <c r="H329" s="521" t="e">
        <f ca="1">gr(charge_entree[[#This Row],[ch_S_DBO]])</f>
        <v>#NAME?</v>
      </c>
      <c r="I329" s="521" t="e">
        <f ca="1">gr(charge_entree[[#This Row],[ch_S-DCO]])</f>
        <v>#NAME?</v>
      </c>
      <c r="J329" s="521" t="e">
        <f ca="1">gr(charge_entree[[#This Row],[ch_S_DOC]])</f>
        <v>#NAME?</v>
      </c>
      <c r="K329" s="521" t="e">
        <f ca="1">gr(charge_entree[[#This Row],[ch_S_NH4]])</f>
        <v>#NAME?</v>
      </c>
      <c r="L329" s="521" t="e">
        <f ca="1">gr(charge_entree[[#This Row],[ch_S_NO2]])</f>
        <v>#NAME?</v>
      </c>
      <c r="M329" s="521" t="e">
        <f ca="1">gr(charge_entree[[#This Row],[ch_S_NO3]])</f>
        <v>#NAME?</v>
      </c>
      <c r="N329" s="521" t="e">
        <f ca="1">gr(charge_entree[[#This Row],[ch_S_PTOT]])</f>
        <v>#NAME?</v>
      </c>
      <c r="O329" s="521" t="e">
        <f ca="1">gr(charge_entree[[#This Row],[ch_S_SNDT]])</f>
        <v>#NAME?</v>
      </c>
    </row>
    <row r="330" spans="1:15" x14ac:dyDescent="0.2">
      <c r="A330" s="222">
        <f>calculs!A330</f>
        <v>44881</v>
      </c>
      <c r="B330" s="521" t="e">
        <f ca="1">gr(charge_entree[[#This Row],[ch_E_DBO5]])</f>
        <v>#NAME?</v>
      </c>
      <c r="C330" s="521" t="e">
        <f ca="1">gr(charge_entree[[#This Row],[ch_E_DCO]])</f>
        <v>#NAME?</v>
      </c>
      <c r="D330" s="521" t="e">
        <f ca="1">gr(charge_entree[[#This Row],[ch_E_COT]])</f>
        <v>#NAME?</v>
      </c>
      <c r="E330" s="521" t="e">
        <f ca="1">gr(charge_entree[[#This Row],[ch_E_NH4]])</f>
        <v>#NAME?</v>
      </c>
      <c r="F330" s="521" t="e">
        <f ca="1">gr(charge_entree[[#This Row],[ch_E_NTOT]])</f>
        <v>#NAME?</v>
      </c>
      <c r="G330" s="521" t="e">
        <f ca="1">gr(charge_entree[[#This Row],[ch_E_PTOT]])</f>
        <v>#NAME?</v>
      </c>
      <c r="H330" s="521" t="e">
        <f ca="1">gr(charge_entree[[#This Row],[ch_S_DBO]])</f>
        <v>#NAME?</v>
      </c>
      <c r="I330" s="521" t="e">
        <f ca="1">gr(charge_entree[[#This Row],[ch_S-DCO]])</f>
        <v>#NAME?</v>
      </c>
      <c r="J330" s="521" t="e">
        <f ca="1">gr(charge_entree[[#This Row],[ch_S_DOC]])</f>
        <v>#NAME?</v>
      </c>
      <c r="K330" s="521" t="e">
        <f ca="1">gr(charge_entree[[#This Row],[ch_S_NH4]])</f>
        <v>#NAME?</v>
      </c>
      <c r="L330" s="521" t="e">
        <f ca="1">gr(charge_entree[[#This Row],[ch_S_NO2]])</f>
        <v>#NAME?</v>
      </c>
      <c r="M330" s="521" t="e">
        <f ca="1">gr(charge_entree[[#This Row],[ch_S_NO3]])</f>
        <v>#NAME?</v>
      </c>
      <c r="N330" s="521" t="e">
        <f ca="1">gr(charge_entree[[#This Row],[ch_S_PTOT]])</f>
        <v>#NAME?</v>
      </c>
      <c r="O330" s="521" t="e">
        <f ca="1">gr(charge_entree[[#This Row],[ch_S_SNDT]])</f>
        <v>#NAME?</v>
      </c>
    </row>
    <row r="331" spans="1:15" x14ac:dyDescent="0.2">
      <c r="A331" s="222">
        <f>calculs!A331</f>
        <v>44882</v>
      </c>
      <c r="B331" s="521" t="e">
        <f ca="1">gr(charge_entree[[#This Row],[ch_E_DBO5]])</f>
        <v>#NAME?</v>
      </c>
      <c r="C331" s="521" t="e">
        <f ca="1">gr(charge_entree[[#This Row],[ch_E_DCO]])</f>
        <v>#NAME?</v>
      </c>
      <c r="D331" s="521" t="e">
        <f ca="1">gr(charge_entree[[#This Row],[ch_E_COT]])</f>
        <v>#NAME?</v>
      </c>
      <c r="E331" s="521" t="e">
        <f ca="1">gr(charge_entree[[#This Row],[ch_E_NH4]])</f>
        <v>#NAME?</v>
      </c>
      <c r="F331" s="521" t="e">
        <f ca="1">gr(charge_entree[[#This Row],[ch_E_NTOT]])</f>
        <v>#NAME?</v>
      </c>
      <c r="G331" s="521" t="e">
        <f ca="1">gr(charge_entree[[#This Row],[ch_E_PTOT]])</f>
        <v>#NAME?</v>
      </c>
      <c r="H331" s="521" t="e">
        <f ca="1">gr(charge_entree[[#This Row],[ch_S_DBO]])</f>
        <v>#NAME?</v>
      </c>
      <c r="I331" s="521" t="e">
        <f ca="1">gr(charge_entree[[#This Row],[ch_S-DCO]])</f>
        <v>#NAME?</v>
      </c>
      <c r="J331" s="521" t="e">
        <f ca="1">gr(charge_entree[[#This Row],[ch_S_DOC]])</f>
        <v>#NAME?</v>
      </c>
      <c r="K331" s="521" t="e">
        <f ca="1">gr(charge_entree[[#This Row],[ch_S_NH4]])</f>
        <v>#NAME?</v>
      </c>
      <c r="L331" s="521" t="e">
        <f ca="1">gr(charge_entree[[#This Row],[ch_S_NO2]])</f>
        <v>#NAME?</v>
      </c>
      <c r="M331" s="521" t="e">
        <f ca="1">gr(charge_entree[[#This Row],[ch_S_NO3]])</f>
        <v>#NAME?</v>
      </c>
      <c r="N331" s="521" t="e">
        <f ca="1">gr(charge_entree[[#This Row],[ch_S_PTOT]])</f>
        <v>#NAME?</v>
      </c>
      <c r="O331" s="521" t="e">
        <f ca="1">gr(charge_entree[[#This Row],[ch_S_SNDT]])</f>
        <v>#NAME?</v>
      </c>
    </row>
    <row r="332" spans="1:15" x14ac:dyDescent="0.2">
      <c r="A332" s="222">
        <f>calculs!A332</f>
        <v>44883</v>
      </c>
      <c r="B332" s="521" t="e">
        <f ca="1">gr(charge_entree[[#This Row],[ch_E_DBO5]])</f>
        <v>#NAME?</v>
      </c>
      <c r="C332" s="521" t="e">
        <f ca="1">gr(charge_entree[[#This Row],[ch_E_DCO]])</f>
        <v>#NAME?</v>
      </c>
      <c r="D332" s="521" t="e">
        <f ca="1">gr(charge_entree[[#This Row],[ch_E_COT]])</f>
        <v>#NAME?</v>
      </c>
      <c r="E332" s="521" t="e">
        <f ca="1">gr(charge_entree[[#This Row],[ch_E_NH4]])</f>
        <v>#NAME?</v>
      </c>
      <c r="F332" s="521" t="e">
        <f ca="1">gr(charge_entree[[#This Row],[ch_E_NTOT]])</f>
        <v>#NAME?</v>
      </c>
      <c r="G332" s="521" t="e">
        <f ca="1">gr(charge_entree[[#This Row],[ch_E_PTOT]])</f>
        <v>#NAME?</v>
      </c>
      <c r="H332" s="521" t="e">
        <f ca="1">gr(charge_entree[[#This Row],[ch_S_DBO]])</f>
        <v>#NAME?</v>
      </c>
      <c r="I332" s="521" t="e">
        <f ca="1">gr(charge_entree[[#This Row],[ch_S-DCO]])</f>
        <v>#NAME?</v>
      </c>
      <c r="J332" s="521" t="e">
        <f ca="1">gr(charge_entree[[#This Row],[ch_S_DOC]])</f>
        <v>#NAME?</v>
      </c>
      <c r="K332" s="521" t="e">
        <f ca="1">gr(charge_entree[[#This Row],[ch_S_NH4]])</f>
        <v>#NAME?</v>
      </c>
      <c r="L332" s="521" t="e">
        <f ca="1">gr(charge_entree[[#This Row],[ch_S_NO2]])</f>
        <v>#NAME?</v>
      </c>
      <c r="M332" s="521" t="e">
        <f ca="1">gr(charge_entree[[#This Row],[ch_S_NO3]])</f>
        <v>#NAME?</v>
      </c>
      <c r="N332" s="521" t="e">
        <f ca="1">gr(charge_entree[[#This Row],[ch_S_PTOT]])</f>
        <v>#NAME?</v>
      </c>
      <c r="O332" s="521" t="e">
        <f ca="1">gr(charge_entree[[#This Row],[ch_S_SNDT]])</f>
        <v>#NAME?</v>
      </c>
    </row>
    <row r="333" spans="1:15" x14ac:dyDescent="0.2">
      <c r="A333" s="222">
        <f>calculs!A333</f>
        <v>44884</v>
      </c>
      <c r="B333" s="521" t="e">
        <f ca="1">gr(charge_entree[[#This Row],[ch_E_DBO5]])</f>
        <v>#NAME?</v>
      </c>
      <c r="C333" s="521" t="e">
        <f ca="1">gr(charge_entree[[#This Row],[ch_E_DCO]])</f>
        <v>#NAME?</v>
      </c>
      <c r="D333" s="521" t="e">
        <f ca="1">gr(charge_entree[[#This Row],[ch_E_COT]])</f>
        <v>#NAME?</v>
      </c>
      <c r="E333" s="521" t="e">
        <f ca="1">gr(charge_entree[[#This Row],[ch_E_NH4]])</f>
        <v>#NAME?</v>
      </c>
      <c r="F333" s="521" t="e">
        <f ca="1">gr(charge_entree[[#This Row],[ch_E_NTOT]])</f>
        <v>#NAME?</v>
      </c>
      <c r="G333" s="521" t="e">
        <f ca="1">gr(charge_entree[[#This Row],[ch_E_PTOT]])</f>
        <v>#NAME?</v>
      </c>
      <c r="H333" s="521" t="e">
        <f ca="1">gr(charge_entree[[#This Row],[ch_S_DBO]])</f>
        <v>#NAME?</v>
      </c>
      <c r="I333" s="521" t="e">
        <f ca="1">gr(charge_entree[[#This Row],[ch_S-DCO]])</f>
        <v>#NAME?</v>
      </c>
      <c r="J333" s="521" t="e">
        <f ca="1">gr(charge_entree[[#This Row],[ch_S_DOC]])</f>
        <v>#NAME?</v>
      </c>
      <c r="K333" s="521" t="e">
        <f ca="1">gr(charge_entree[[#This Row],[ch_S_NH4]])</f>
        <v>#NAME?</v>
      </c>
      <c r="L333" s="521" t="e">
        <f ca="1">gr(charge_entree[[#This Row],[ch_S_NO2]])</f>
        <v>#NAME?</v>
      </c>
      <c r="M333" s="521" t="e">
        <f ca="1">gr(charge_entree[[#This Row],[ch_S_NO3]])</f>
        <v>#NAME?</v>
      </c>
      <c r="N333" s="521" t="e">
        <f ca="1">gr(charge_entree[[#This Row],[ch_S_PTOT]])</f>
        <v>#NAME?</v>
      </c>
      <c r="O333" s="521" t="e">
        <f ca="1">gr(charge_entree[[#This Row],[ch_S_SNDT]])</f>
        <v>#NAME?</v>
      </c>
    </row>
    <row r="334" spans="1:15" x14ac:dyDescent="0.2">
      <c r="A334" s="222">
        <f>calculs!A334</f>
        <v>44885</v>
      </c>
      <c r="B334" s="521" t="e">
        <f ca="1">gr(charge_entree[[#This Row],[ch_E_DBO5]])</f>
        <v>#NAME?</v>
      </c>
      <c r="C334" s="521" t="e">
        <f ca="1">gr(charge_entree[[#This Row],[ch_E_DCO]])</f>
        <v>#NAME?</v>
      </c>
      <c r="D334" s="521" t="e">
        <f ca="1">gr(charge_entree[[#This Row],[ch_E_COT]])</f>
        <v>#NAME?</v>
      </c>
      <c r="E334" s="521" t="e">
        <f ca="1">gr(charge_entree[[#This Row],[ch_E_NH4]])</f>
        <v>#NAME?</v>
      </c>
      <c r="F334" s="521" t="e">
        <f ca="1">gr(charge_entree[[#This Row],[ch_E_NTOT]])</f>
        <v>#NAME?</v>
      </c>
      <c r="G334" s="521" t="e">
        <f ca="1">gr(charge_entree[[#This Row],[ch_E_PTOT]])</f>
        <v>#NAME?</v>
      </c>
      <c r="H334" s="521" t="e">
        <f ca="1">gr(charge_entree[[#This Row],[ch_S_DBO]])</f>
        <v>#NAME?</v>
      </c>
      <c r="I334" s="521" t="e">
        <f ca="1">gr(charge_entree[[#This Row],[ch_S-DCO]])</f>
        <v>#NAME?</v>
      </c>
      <c r="J334" s="521" t="e">
        <f ca="1">gr(charge_entree[[#This Row],[ch_S_DOC]])</f>
        <v>#NAME?</v>
      </c>
      <c r="K334" s="521" t="e">
        <f ca="1">gr(charge_entree[[#This Row],[ch_S_NH4]])</f>
        <v>#NAME?</v>
      </c>
      <c r="L334" s="521" t="e">
        <f ca="1">gr(charge_entree[[#This Row],[ch_S_NO2]])</f>
        <v>#NAME?</v>
      </c>
      <c r="M334" s="521" t="e">
        <f ca="1">gr(charge_entree[[#This Row],[ch_S_NO3]])</f>
        <v>#NAME?</v>
      </c>
      <c r="N334" s="521" t="e">
        <f ca="1">gr(charge_entree[[#This Row],[ch_S_PTOT]])</f>
        <v>#NAME?</v>
      </c>
      <c r="O334" s="521" t="e">
        <f ca="1">gr(charge_entree[[#This Row],[ch_S_SNDT]])</f>
        <v>#NAME?</v>
      </c>
    </row>
    <row r="335" spans="1:15" x14ac:dyDescent="0.2">
      <c r="A335" s="222">
        <f>calculs!A335</f>
        <v>44886</v>
      </c>
      <c r="B335" s="521" t="e">
        <f ca="1">gr(charge_entree[[#This Row],[ch_E_DBO5]])</f>
        <v>#NAME?</v>
      </c>
      <c r="C335" s="521" t="e">
        <f ca="1">gr(charge_entree[[#This Row],[ch_E_DCO]])</f>
        <v>#NAME?</v>
      </c>
      <c r="D335" s="521" t="e">
        <f ca="1">gr(charge_entree[[#This Row],[ch_E_COT]])</f>
        <v>#NAME?</v>
      </c>
      <c r="E335" s="521" t="e">
        <f ca="1">gr(charge_entree[[#This Row],[ch_E_NH4]])</f>
        <v>#NAME?</v>
      </c>
      <c r="F335" s="521" t="e">
        <f ca="1">gr(charge_entree[[#This Row],[ch_E_NTOT]])</f>
        <v>#NAME?</v>
      </c>
      <c r="G335" s="521" t="e">
        <f ca="1">gr(charge_entree[[#This Row],[ch_E_PTOT]])</f>
        <v>#NAME?</v>
      </c>
      <c r="H335" s="521" t="e">
        <f ca="1">gr(charge_entree[[#This Row],[ch_S_DBO]])</f>
        <v>#NAME?</v>
      </c>
      <c r="I335" s="521" t="e">
        <f ca="1">gr(charge_entree[[#This Row],[ch_S-DCO]])</f>
        <v>#NAME?</v>
      </c>
      <c r="J335" s="521" t="e">
        <f ca="1">gr(charge_entree[[#This Row],[ch_S_DOC]])</f>
        <v>#NAME?</v>
      </c>
      <c r="K335" s="521" t="e">
        <f ca="1">gr(charge_entree[[#This Row],[ch_S_NH4]])</f>
        <v>#NAME?</v>
      </c>
      <c r="L335" s="521" t="e">
        <f ca="1">gr(charge_entree[[#This Row],[ch_S_NO2]])</f>
        <v>#NAME?</v>
      </c>
      <c r="M335" s="521" t="e">
        <f ca="1">gr(charge_entree[[#This Row],[ch_S_NO3]])</f>
        <v>#NAME?</v>
      </c>
      <c r="N335" s="521" t="e">
        <f ca="1">gr(charge_entree[[#This Row],[ch_S_PTOT]])</f>
        <v>#NAME?</v>
      </c>
      <c r="O335" s="521" t="e">
        <f ca="1">gr(charge_entree[[#This Row],[ch_S_SNDT]])</f>
        <v>#NAME?</v>
      </c>
    </row>
    <row r="336" spans="1:15" x14ac:dyDescent="0.2">
      <c r="A336" s="222">
        <f>calculs!A336</f>
        <v>44887</v>
      </c>
      <c r="B336" s="521" t="e">
        <f ca="1">gr(charge_entree[[#This Row],[ch_E_DBO5]])</f>
        <v>#NAME?</v>
      </c>
      <c r="C336" s="521" t="e">
        <f ca="1">gr(charge_entree[[#This Row],[ch_E_DCO]])</f>
        <v>#NAME?</v>
      </c>
      <c r="D336" s="521" t="e">
        <f ca="1">gr(charge_entree[[#This Row],[ch_E_COT]])</f>
        <v>#NAME?</v>
      </c>
      <c r="E336" s="521" t="e">
        <f ca="1">gr(charge_entree[[#This Row],[ch_E_NH4]])</f>
        <v>#NAME?</v>
      </c>
      <c r="F336" s="521" t="e">
        <f ca="1">gr(charge_entree[[#This Row],[ch_E_NTOT]])</f>
        <v>#NAME?</v>
      </c>
      <c r="G336" s="521" t="e">
        <f ca="1">gr(charge_entree[[#This Row],[ch_E_PTOT]])</f>
        <v>#NAME?</v>
      </c>
      <c r="H336" s="521" t="e">
        <f ca="1">gr(charge_entree[[#This Row],[ch_S_DBO]])</f>
        <v>#NAME?</v>
      </c>
      <c r="I336" s="521" t="e">
        <f ca="1">gr(charge_entree[[#This Row],[ch_S-DCO]])</f>
        <v>#NAME?</v>
      </c>
      <c r="J336" s="521" t="e">
        <f ca="1">gr(charge_entree[[#This Row],[ch_S_DOC]])</f>
        <v>#NAME?</v>
      </c>
      <c r="K336" s="521" t="e">
        <f ca="1">gr(charge_entree[[#This Row],[ch_S_NH4]])</f>
        <v>#NAME?</v>
      </c>
      <c r="L336" s="521" t="e">
        <f ca="1">gr(charge_entree[[#This Row],[ch_S_NO2]])</f>
        <v>#NAME?</v>
      </c>
      <c r="M336" s="521" t="e">
        <f ca="1">gr(charge_entree[[#This Row],[ch_S_NO3]])</f>
        <v>#NAME?</v>
      </c>
      <c r="N336" s="521" t="e">
        <f ca="1">gr(charge_entree[[#This Row],[ch_S_PTOT]])</f>
        <v>#NAME?</v>
      </c>
      <c r="O336" s="521" t="e">
        <f ca="1">gr(charge_entree[[#This Row],[ch_S_SNDT]])</f>
        <v>#NAME?</v>
      </c>
    </row>
    <row r="337" spans="1:15" x14ac:dyDescent="0.2">
      <c r="A337" s="222">
        <f>calculs!A337</f>
        <v>44888</v>
      </c>
      <c r="B337" s="521" t="e">
        <f ca="1">gr(charge_entree[[#This Row],[ch_E_DBO5]])</f>
        <v>#NAME?</v>
      </c>
      <c r="C337" s="521" t="e">
        <f ca="1">gr(charge_entree[[#This Row],[ch_E_DCO]])</f>
        <v>#NAME?</v>
      </c>
      <c r="D337" s="521" t="e">
        <f ca="1">gr(charge_entree[[#This Row],[ch_E_COT]])</f>
        <v>#NAME?</v>
      </c>
      <c r="E337" s="521" t="e">
        <f ca="1">gr(charge_entree[[#This Row],[ch_E_NH4]])</f>
        <v>#NAME?</v>
      </c>
      <c r="F337" s="521" t="e">
        <f ca="1">gr(charge_entree[[#This Row],[ch_E_NTOT]])</f>
        <v>#NAME?</v>
      </c>
      <c r="G337" s="521" t="e">
        <f ca="1">gr(charge_entree[[#This Row],[ch_E_PTOT]])</f>
        <v>#NAME?</v>
      </c>
      <c r="H337" s="521" t="e">
        <f ca="1">gr(charge_entree[[#This Row],[ch_S_DBO]])</f>
        <v>#NAME?</v>
      </c>
      <c r="I337" s="521" t="e">
        <f ca="1">gr(charge_entree[[#This Row],[ch_S-DCO]])</f>
        <v>#NAME?</v>
      </c>
      <c r="J337" s="521" t="e">
        <f ca="1">gr(charge_entree[[#This Row],[ch_S_DOC]])</f>
        <v>#NAME?</v>
      </c>
      <c r="K337" s="521" t="e">
        <f ca="1">gr(charge_entree[[#This Row],[ch_S_NH4]])</f>
        <v>#NAME?</v>
      </c>
      <c r="L337" s="521" t="e">
        <f ca="1">gr(charge_entree[[#This Row],[ch_S_NO2]])</f>
        <v>#NAME?</v>
      </c>
      <c r="M337" s="521" t="e">
        <f ca="1">gr(charge_entree[[#This Row],[ch_S_NO3]])</f>
        <v>#NAME?</v>
      </c>
      <c r="N337" s="521" t="e">
        <f ca="1">gr(charge_entree[[#This Row],[ch_S_PTOT]])</f>
        <v>#NAME?</v>
      </c>
      <c r="O337" s="521" t="e">
        <f ca="1">gr(charge_entree[[#This Row],[ch_S_SNDT]])</f>
        <v>#NAME?</v>
      </c>
    </row>
    <row r="338" spans="1:15" x14ac:dyDescent="0.2">
      <c r="A338" s="222">
        <f>calculs!A338</f>
        <v>44889</v>
      </c>
      <c r="B338" s="521" t="e">
        <f ca="1">gr(charge_entree[[#This Row],[ch_E_DBO5]])</f>
        <v>#NAME?</v>
      </c>
      <c r="C338" s="521" t="e">
        <f ca="1">gr(charge_entree[[#This Row],[ch_E_DCO]])</f>
        <v>#NAME?</v>
      </c>
      <c r="D338" s="521" t="e">
        <f ca="1">gr(charge_entree[[#This Row],[ch_E_COT]])</f>
        <v>#NAME?</v>
      </c>
      <c r="E338" s="521" t="e">
        <f ca="1">gr(charge_entree[[#This Row],[ch_E_NH4]])</f>
        <v>#NAME?</v>
      </c>
      <c r="F338" s="521" t="e">
        <f ca="1">gr(charge_entree[[#This Row],[ch_E_NTOT]])</f>
        <v>#NAME?</v>
      </c>
      <c r="G338" s="521" t="e">
        <f ca="1">gr(charge_entree[[#This Row],[ch_E_PTOT]])</f>
        <v>#NAME?</v>
      </c>
      <c r="H338" s="521" t="e">
        <f ca="1">gr(charge_entree[[#This Row],[ch_S_DBO]])</f>
        <v>#NAME?</v>
      </c>
      <c r="I338" s="521" t="e">
        <f ca="1">gr(charge_entree[[#This Row],[ch_S-DCO]])</f>
        <v>#NAME?</v>
      </c>
      <c r="J338" s="521" t="e">
        <f ca="1">gr(charge_entree[[#This Row],[ch_S_DOC]])</f>
        <v>#NAME?</v>
      </c>
      <c r="K338" s="521" t="e">
        <f ca="1">gr(charge_entree[[#This Row],[ch_S_NH4]])</f>
        <v>#NAME?</v>
      </c>
      <c r="L338" s="521" t="e">
        <f ca="1">gr(charge_entree[[#This Row],[ch_S_NO2]])</f>
        <v>#NAME?</v>
      </c>
      <c r="M338" s="521" t="e">
        <f ca="1">gr(charge_entree[[#This Row],[ch_S_NO3]])</f>
        <v>#NAME?</v>
      </c>
      <c r="N338" s="521" t="e">
        <f ca="1">gr(charge_entree[[#This Row],[ch_S_PTOT]])</f>
        <v>#NAME?</v>
      </c>
      <c r="O338" s="521" t="e">
        <f ca="1">gr(charge_entree[[#This Row],[ch_S_SNDT]])</f>
        <v>#NAME?</v>
      </c>
    </row>
    <row r="339" spans="1:15" x14ac:dyDescent="0.2">
      <c r="A339" s="222">
        <f>calculs!A339</f>
        <v>44890</v>
      </c>
      <c r="B339" s="521" t="e">
        <f ca="1">gr(charge_entree[[#This Row],[ch_E_DBO5]])</f>
        <v>#NAME?</v>
      </c>
      <c r="C339" s="521" t="e">
        <f ca="1">gr(charge_entree[[#This Row],[ch_E_DCO]])</f>
        <v>#NAME?</v>
      </c>
      <c r="D339" s="521" t="e">
        <f ca="1">gr(charge_entree[[#This Row],[ch_E_COT]])</f>
        <v>#NAME?</v>
      </c>
      <c r="E339" s="521" t="e">
        <f ca="1">gr(charge_entree[[#This Row],[ch_E_NH4]])</f>
        <v>#NAME?</v>
      </c>
      <c r="F339" s="521" t="e">
        <f ca="1">gr(charge_entree[[#This Row],[ch_E_NTOT]])</f>
        <v>#NAME?</v>
      </c>
      <c r="G339" s="521" t="e">
        <f ca="1">gr(charge_entree[[#This Row],[ch_E_PTOT]])</f>
        <v>#NAME?</v>
      </c>
      <c r="H339" s="521" t="e">
        <f ca="1">gr(charge_entree[[#This Row],[ch_S_DBO]])</f>
        <v>#NAME?</v>
      </c>
      <c r="I339" s="521" t="e">
        <f ca="1">gr(charge_entree[[#This Row],[ch_S-DCO]])</f>
        <v>#NAME?</v>
      </c>
      <c r="J339" s="521" t="e">
        <f ca="1">gr(charge_entree[[#This Row],[ch_S_DOC]])</f>
        <v>#NAME?</v>
      </c>
      <c r="K339" s="521" t="e">
        <f ca="1">gr(charge_entree[[#This Row],[ch_S_NH4]])</f>
        <v>#NAME?</v>
      </c>
      <c r="L339" s="521" t="e">
        <f ca="1">gr(charge_entree[[#This Row],[ch_S_NO2]])</f>
        <v>#NAME?</v>
      </c>
      <c r="M339" s="521" t="e">
        <f ca="1">gr(charge_entree[[#This Row],[ch_S_NO3]])</f>
        <v>#NAME?</v>
      </c>
      <c r="N339" s="521" t="e">
        <f ca="1">gr(charge_entree[[#This Row],[ch_S_PTOT]])</f>
        <v>#NAME?</v>
      </c>
      <c r="O339" s="521" t="e">
        <f ca="1">gr(charge_entree[[#This Row],[ch_S_SNDT]])</f>
        <v>#NAME?</v>
      </c>
    </row>
    <row r="340" spans="1:15" x14ac:dyDescent="0.2">
      <c r="A340" s="222">
        <f>calculs!A340</f>
        <v>44891</v>
      </c>
      <c r="B340" s="521" t="e">
        <f ca="1">gr(charge_entree[[#This Row],[ch_E_DBO5]])</f>
        <v>#NAME?</v>
      </c>
      <c r="C340" s="521" t="e">
        <f ca="1">gr(charge_entree[[#This Row],[ch_E_DCO]])</f>
        <v>#NAME?</v>
      </c>
      <c r="D340" s="521" t="e">
        <f ca="1">gr(charge_entree[[#This Row],[ch_E_COT]])</f>
        <v>#NAME?</v>
      </c>
      <c r="E340" s="521" t="e">
        <f ca="1">gr(charge_entree[[#This Row],[ch_E_NH4]])</f>
        <v>#NAME?</v>
      </c>
      <c r="F340" s="521" t="e">
        <f ca="1">gr(charge_entree[[#This Row],[ch_E_NTOT]])</f>
        <v>#NAME?</v>
      </c>
      <c r="G340" s="521" t="e">
        <f ca="1">gr(charge_entree[[#This Row],[ch_E_PTOT]])</f>
        <v>#NAME?</v>
      </c>
      <c r="H340" s="521" t="e">
        <f ca="1">gr(charge_entree[[#This Row],[ch_S_DBO]])</f>
        <v>#NAME?</v>
      </c>
      <c r="I340" s="521" t="e">
        <f ca="1">gr(charge_entree[[#This Row],[ch_S-DCO]])</f>
        <v>#NAME?</v>
      </c>
      <c r="J340" s="521" t="e">
        <f ca="1">gr(charge_entree[[#This Row],[ch_S_DOC]])</f>
        <v>#NAME?</v>
      </c>
      <c r="K340" s="521" t="e">
        <f ca="1">gr(charge_entree[[#This Row],[ch_S_NH4]])</f>
        <v>#NAME?</v>
      </c>
      <c r="L340" s="521" t="e">
        <f ca="1">gr(charge_entree[[#This Row],[ch_S_NO2]])</f>
        <v>#NAME?</v>
      </c>
      <c r="M340" s="521" t="e">
        <f ca="1">gr(charge_entree[[#This Row],[ch_S_NO3]])</f>
        <v>#NAME?</v>
      </c>
      <c r="N340" s="521" t="e">
        <f ca="1">gr(charge_entree[[#This Row],[ch_S_PTOT]])</f>
        <v>#NAME?</v>
      </c>
      <c r="O340" s="521" t="e">
        <f ca="1">gr(charge_entree[[#This Row],[ch_S_SNDT]])</f>
        <v>#NAME?</v>
      </c>
    </row>
    <row r="341" spans="1:15" x14ac:dyDescent="0.2">
      <c r="A341" s="222">
        <f>calculs!A341</f>
        <v>44892</v>
      </c>
      <c r="B341" s="521" t="e">
        <f ca="1">gr(charge_entree[[#This Row],[ch_E_DBO5]])</f>
        <v>#NAME?</v>
      </c>
      <c r="C341" s="521" t="e">
        <f ca="1">gr(charge_entree[[#This Row],[ch_E_DCO]])</f>
        <v>#NAME?</v>
      </c>
      <c r="D341" s="521" t="e">
        <f ca="1">gr(charge_entree[[#This Row],[ch_E_COT]])</f>
        <v>#NAME?</v>
      </c>
      <c r="E341" s="521" t="e">
        <f ca="1">gr(charge_entree[[#This Row],[ch_E_NH4]])</f>
        <v>#NAME?</v>
      </c>
      <c r="F341" s="521" t="e">
        <f ca="1">gr(charge_entree[[#This Row],[ch_E_NTOT]])</f>
        <v>#NAME?</v>
      </c>
      <c r="G341" s="521" t="e">
        <f ca="1">gr(charge_entree[[#This Row],[ch_E_PTOT]])</f>
        <v>#NAME?</v>
      </c>
      <c r="H341" s="521" t="e">
        <f ca="1">gr(charge_entree[[#This Row],[ch_S_DBO]])</f>
        <v>#NAME?</v>
      </c>
      <c r="I341" s="521" t="e">
        <f ca="1">gr(charge_entree[[#This Row],[ch_S-DCO]])</f>
        <v>#NAME?</v>
      </c>
      <c r="J341" s="521" t="e">
        <f ca="1">gr(charge_entree[[#This Row],[ch_S_DOC]])</f>
        <v>#NAME?</v>
      </c>
      <c r="K341" s="521" t="e">
        <f ca="1">gr(charge_entree[[#This Row],[ch_S_NH4]])</f>
        <v>#NAME?</v>
      </c>
      <c r="L341" s="521" t="e">
        <f ca="1">gr(charge_entree[[#This Row],[ch_S_NO2]])</f>
        <v>#NAME?</v>
      </c>
      <c r="M341" s="521" t="e">
        <f ca="1">gr(charge_entree[[#This Row],[ch_S_NO3]])</f>
        <v>#NAME?</v>
      </c>
      <c r="N341" s="521" t="e">
        <f ca="1">gr(charge_entree[[#This Row],[ch_S_PTOT]])</f>
        <v>#NAME?</v>
      </c>
      <c r="O341" s="521" t="e">
        <f ca="1">gr(charge_entree[[#This Row],[ch_S_SNDT]])</f>
        <v>#NAME?</v>
      </c>
    </row>
    <row r="342" spans="1:15" x14ac:dyDescent="0.2">
      <c r="A342" s="222">
        <f>calculs!A342</f>
        <v>44893</v>
      </c>
      <c r="B342" s="521" t="e">
        <f ca="1">gr(charge_entree[[#This Row],[ch_E_DBO5]])</f>
        <v>#NAME?</v>
      </c>
      <c r="C342" s="521" t="e">
        <f ca="1">gr(charge_entree[[#This Row],[ch_E_DCO]])</f>
        <v>#NAME?</v>
      </c>
      <c r="D342" s="521" t="e">
        <f ca="1">gr(charge_entree[[#This Row],[ch_E_COT]])</f>
        <v>#NAME?</v>
      </c>
      <c r="E342" s="521" t="e">
        <f ca="1">gr(charge_entree[[#This Row],[ch_E_NH4]])</f>
        <v>#NAME?</v>
      </c>
      <c r="F342" s="521" t="e">
        <f ca="1">gr(charge_entree[[#This Row],[ch_E_NTOT]])</f>
        <v>#NAME?</v>
      </c>
      <c r="G342" s="521" t="e">
        <f ca="1">gr(charge_entree[[#This Row],[ch_E_PTOT]])</f>
        <v>#NAME?</v>
      </c>
      <c r="H342" s="521" t="e">
        <f ca="1">gr(charge_entree[[#This Row],[ch_S_DBO]])</f>
        <v>#NAME?</v>
      </c>
      <c r="I342" s="521" t="e">
        <f ca="1">gr(charge_entree[[#This Row],[ch_S-DCO]])</f>
        <v>#NAME?</v>
      </c>
      <c r="J342" s="521" t="e">
        <f ca="1">gr(charge_entree[[#This Row],[ch_S_DOC]])</f>
        <v>#NAME?</v>
      </c>
      <c r="K342" s="521" t="e">
        <f ca="1">gr(charge_entree[[#This Row],[ch_S_NH4]])</f>
        <v>#NAME?</v>
      </c>
      <c r="L342" s="521" t="e">
        <f ca="1">gr(charge_entree[[#This Row],[ch_S_NO2]])</f>
        <v>#NAME?</v>
      </c>
      <c r="M342" s="521" t="e">
        <f ca="1">gr(charge_entree[[#This Row],[ch_S_NO3]])</f>
        <v>#NAME?</v>
      </c>
      <c r="N342" s="521" t="e">
        <f ca="1">gr(charge_entree[[#This Row],[ch_S_PTOT]])</f>
        <v>#NAME?</v>
      </c>
      <c r="O342" s="521" t="e">
        <f ca="1">gr(charge_entree[[#This Row],[ch_S_SNDT]])</f>
        <v>#NAME?</v>
      </c>
    </row>
    <row r="343" spans="1:15" x14ac:dyDescent="0.2">
      <c r="A343" s="222">
        <f>calculs!A343</f>
        <v>44894</v>
      </c>
      <c r="B343" s="521" t="e">
        <f ca="1">gr(charge_entree[[#This Row],[ch_E_DBO5]])</f>
        <v>#NAME?</v>
      </c>
      <c r="C343" s="521" t="e">
        <f ca="1">gr(charge_entree[[#This Row],[ch_E_DCO]])</f>
        <v>#NAME?</v>
      </c>
      <c r="D343" s="521" t="e">
        <f ca="1">gr(charge_entree[[#This Row],[ch_E_COT]])</f>
        <v>#NAME?</v>
      </c>
      <c r="E343" s="521" t="e">
        <f ca="1">gr(charge_entree[[#This Row],[ch_E_NH4]])</f>
        <v>#NAME?</v>
      </c>
      <c r="F343" s="521" t="e">
        <f ca="1">gr(charge_entree[[#This Row],[ch_E_NTOT]])</f>
        <v>#NAME?</v>
      </c>
      <c r="G343" s="521" t="e">
        <f ca="1">gr(charge_entree[[#This Row],[ch_E_PTOT]])</f>
        <v>#NAME?</v>
      </c>
      <c r="H343" s="521" t="e">
        <f ca="1">gr(charge_entree[[#This Row],[ch_S_DBO]])</f>
        <v>#NAME?</v>
      </c>
      <c r="I343" s="521" t="e">
        <f ca="1">gr(charge_entree[[#This Row],[ch_S-DCO]])</f>
        <v>#NAME?</v>
      </c>
      <c r="J343" s="521" t="e">
        <f ca="1">gr(charge_entree[[#This Row],[ch_S_DOC]])</f>
        <v>#NAME?</v>
      </c>
      <c r="K343" s="521" t="e">
        <f ca="1">gr(charge_entree[[#This Row],[ch_S_NH4]])</f>
        <v>#NAME?</v>
      </c>
      <c r="L343" s="521" t="e">
        <f ca="1">gr(charge_entree[[#This Row],[ch_S_NO2]])</f>
        <v>#NAME?</v>
      </c>
      <c r="M343" s="521" t="e">
        <f ca="1">gr(charge_entree[[#This Row],[ch_S_NO3]])</f>
        <v>#NAME?</v>
      </c>
      <c r="N343" s="521" t="e">
        <f ca="1">gr(charge_entree[[#This Row],[ch_S_PTOT]])</f>
        <v>#NAME?</v>
      </c>
      <c r="O343" s="521" t="e">
        <f ca="1">gr(charge_entree[[#This Row],[ch_S_SNDT]])</f>
        <v>#NAME?</v>
      </c>
    </row>
    <row r="344" spans="1:15" x14ac:dyDescent="0.2">
      <c r="A344" s="222">
        <f>calculs!A344</f>
        <v>44895</v>
      </c>
      <c r="B344" s="521" t="e">
        <f ca="1">gr(charge_entree[[#This Row],[ch_E_DBO5]])</f>
        <v>#NAME?</v>
      </c>
      <c r="C344" s="521" t="e">
        <f ca="1">gr(charge_entree[[#This Row],[ch_E_DCO]])</f>
        <v>#NAME?</v>
      </c>
      <c r="D344" s="521" t="e">
        <f ca="1">gr(charge_entree[[#This Row],[ch_E_COT]])</f>
        <v>#NAME?</v>
      </c>
      <c r="E344" s="521" t="e">
        <f ca="1">gr(charge_entree[[#This Row],[ch_E_NH4]])</f>
        <v>#NAME?</v>
      </c>
      <c r="F344" s="521" t="e">
        <f ca="1">gr(charge_entree[[#This Row],[ch_E_NTOT]])</f>
        <v>#NAME?</v>
      </c>
      <c r="G344" s="521" t="e">
        <f ca="1">gr(charge_entree[[#This Row],[ch_E_PTOT]])</f>
        <v>#NAME?</v>
      </c>
      <c r="H344" s="521" t="e">
        <f ca="1">gr(charge_entree[[#This Row],[ch_S_DBO]])</f>
        <v>#NAME?</v>
      </c>
      <c r="I344" s="521" t="e">
        <f ca="1">gr(charge_entree[[#This Row],[ch_S-DCO]])</f>
        <v>#NAME?</v>
      </c>
      <c r="J344" s="521" t="e">
        <f ca="1">gr(charge_entree[[#This Row],[ch_S_DOC]])</f>
        <v>#NAME?</v>
      </c>
      <c r="K344" s="521" t="e">
        <f ca="1">gr(charge_entree[[#This Row],[ch_S_NH4]])</f>
        <v>#NAME?</v>
      </c>
      <c r="L344" s="521" t="e">
        <f ca="1">gr(charge_entree[[#This Row],[ch_S_NO2]])</f>
        <v>#NAME?</v>
      </c>
      <c r="M344" s="521" t="e">
        <f ca="1">gr(charge_entree[[#This Row],[ch_S_NO3]])</f>
        <v>#NAME?</v>
      </c>
      <c r="N344" s="521" t="e">
        <f ca="1">gr(charge_entree[[#This Row],[ch_S_PTOT]])</f>
        <v>#NAME?</v>
      </c>
      <c r="O344" s="521" t="e">
        <f ca="1">gr(charge_entree[[#This Row],[ch_S_SNDT]])</f>
        <v>#NAME?</v>
      </c>
    </row>
    <row r="345" spans="1:15" x14ac:dyDescent="0.2">
      <c r="A345" s="222">
        <f>calculs!A345</f>
        <v>44896</v>
      </c>
      <c r="B345" s="521" t="e">
        <f ca="1">gr(charge_entree[[#This Row],[ch_E_DBO5]])</f>
        <v>#NAME?</v>
      </c>
      <c r="C345" s="521" t="e">
        <f ca="1">gr(charge_entree[[#This Row],[ch_E_DCO]])</f>
        <v>#NAME?</v>
      </c>
      <c r="D345" s="521" t="e">
        <f ca="1">gr(charge_entree[[#This Row],[ch_E_COT]])</f>
        <v>#NAME?</v>
      </c>
      <c r="E345" s="521" t="e">
        <f ca="1">gr(charge_entree[[#This Row],[ch_E_NH4]])</f>
        <v>#NAME?</v>
      </c>
      <c r="F345" s="521" t="e">
        <f ca="1">gr(charge_entree[[#This Row],[ch_E_NTOT]])</f>
        <v>#NAME?</v>
      </c>
      <c r="G345" s="521" t="e">
        <f ca="1">gr(charge_entree[[#This Row],[ch_E_PTOT]])</f>
        <v>#NAME?</v>
      </c>
      <c r="H345" s="521" t="e">
        <f ca="1">gr(charge_entree[[#This Row],[ch_S_DBO]])</f>
        <v>#NAME?</v>
      </c>
      <c r="I345" s="521" t="e">
        <f ca="1">gr(charge_entree[[#This Row],[ch_S-DCO]])</f>
        <v>#NAME?</v>
      </c>
      <c r="J345" s="521" t="e">
        <f ca="1">gr(charge_entree[[#This Row],[ch_S_DOC]])</f>
        <v>#NAME?</v>
      </c>
      <c r="K345" s="521" t="e">
        <f ca="1">gr(charge_entree[[#This Row],[ch_S_NH4]])</f>
        <v>#NAME?</v>
      </c>
      <c r="L345" s="521" t="e">
        <f ca="1">gr(charge_entree[[#This Row],[ch_S_NO2]])</f>
        <v>#NAME?</v>
      </c>
      <c r="M345" s="521" t="e">
        <f ca="1">gr(charge_entree[[#This Row],[ch_S_NO3]])</f>
        <v>#NAME?</v>
      </c>
      <c r="N345" s="521" t="e">
        <f ca="1">gr(charge_entree[[#This Row],[ch_S_PTOT]])</f>
        <v>#NAME?</v>
      </c>
      <c r="O345" s="521" t="e">
        <f ca="1">gr(charge_entree[[#This Row],[ch_S_SNDT]])</f>
        <v>#NAME?</v>
      </c>
    </row>
    <row r="346" spans="1:15" x14ac:dyDescent="0.2">
      <c r="A346" s="222">
        <f>calculs!A346</f>
        <v>44897</v>
      </c>
      <c r="B346" s="521" t="e">
        <f ca="1">gr(charge_entree[[#This Row],[ch_E_DBO5]])</f>
        <v>#NAME?</v>
      </c>
      <c r="C346" s="521" t="e">
        <f ca="1">gr(charge_entree[[#This Row],[ch_E_DCO]])</f>
        <v>#NAME?</v>
      </c>
      <c r="D346" s="521" t="e">
        <f ca="1">gr(charge_entree[[#This Row],[ch_E_COT]])</f>
        <v>#NAME?</v>
      </c>
      <c r="E346" s="521" t="e">
        <f ca="1">gr(charge_entree[[#This Row],[ch_E_NH4]])</f>
        <v>#NAME?</v>
      </c>
      <c r="F346" s="521" t="e">
        <f ca="1">gr(charge_entree[[#This Row],[ch_E_NTOT]])</f>
        <v>#NAME?</v>
      </c>
      <c r="G346" s="521" t="e">
        <f ca="1">gr(charge_entree[[#This Row],[ch_E_PTOT]])</f>
        <v>#NAME?</v>
      </c>
      <c r="H346" s="521" t="e">
        <f ca="1">gr(charge_entree[[#This Row],[ch_S_DBO]])</f>
        <v>#NAME?</v>
      </c>
      <c r="I346" s="521" t="e">
        <f ca="1">gr(charge_entree[[#This Row],[ch_S-DCO]])</f>
        <v>#NAME?</v>
      </c>
      <c r="J346" s="521" t="e">
        <f ca="1">gr(charge_entree[[#This Row],[ch_S_DOC]])</f>
        <v>#NAME?</v>
      </c>
      <c r="K346" s="521" t="e">
        <f ca="1">gr(charge_entree[[#This Row],[ch_S_NH4]])</f>
        <v>#NAME?</v>
      </c>
      <c r="L346" s="521" t="e">
        <f ca="1">gr(charge_entree[[#This Row],[ch_S_NO2]])</f>
        <v>#NAME?</v>
      </c>
      <c r="M346" s="521" t="e">
        <f ca="1">gr(charge_entree[[#This Row],[ch_S_NO3]])</f>
        <v>#NAME?</v>
      </c>
      <c r="N346" s="521" t="e">
        <f ca="1">gr(charge_entree[[#This Row],[ch_S_PTOT]])</f>
        <v>#NAME?</v>
      </c>
      <c r="O346" s="521" t="e">
        <f ca="1">gr(charge_entree[[#This Row],[ch_S_SNDT]])</f>
        <v>#NAME?</v>
      </c>
    </row>
    <row r="347" spans="1:15" x14ac:dyDescent="0.2">
      <c r="A347" s="222">
        <f>calculs!A347</f>
        <v>44898</v>
      </c>
      <c r="B347" s="521" t="e">
        <f ca="1">gr(charge_entree[[#This Row],[ch_E_DBO5]])</f>
        <v>#NAME?</v>
      </c>
      <c r="C347" s="521" t="e">
        <f ca="1">gr(charge_entree[[#This Row],[ch_E_DCO]])</f>
        <v>#NAME?</v>
      </c>
      <c r="D347" s="521" t="e">
        <f ca="1">gr(charge_entree[[#This Row],[ch_E_COT]])</f>
        <v>#NAME?</v>
      </c>
      <c r="E347" s="521" t="e">
        <f ca="1">gr(charge_entree[[#This Row],[ch_E_NH4]])</f>
        <v>#NAME?</v>
      </c>
      <c r="F347" s="521" t="e">
        <f ca="1">gr(charge_entree[[#This Row],[ch_E_NTOT]])</f>
        <v>#NAME?</v>
      </c>
      <c r="G347" s="521" t="e">
        <f ca="1">gr(charge_entree[[#This Row],[ch_E_PTOT]])</f>
        <v>#NAME?</v>
      </c>
      <c r="H347" s="521" t="e">
        <f ca="1">gr(charge_entree[[#This Row],[ch_S_DBO]])</f>
        <v>#NAME?</v>
      </c>
      <c r="I347" s="521" t="e">
        <f ca="1">gr(charge_entree[[#This Row],[ch_S-DCO]])</f>
        <v>#NAME?</v>
      </c>
      <c r="J347" s="521" t="e">
        <f ca="1">gr(charge_entree[[#This Row],[ch_S_DOC]])</f>
        <v>#NAME?</v>
      </c>
      <c r="K347" s="521" t="e">
        <f ca="1">gr(charge_entree[[#This Row],[ch_S_NH4]])</f>
        <v>#NAME?</v>
      </c>
      <c r="L347" s="521" t="e">
        <f ca="1">gr(charge_entree[[#This Row],[ch_S_NO2]])</f>
        <v>#NAME?</v>
      </c>
      <c r="M347" s="521" t="e">
        <f ca="1">gr(charge_entree[[#This Row],[ch_S_NO3]])</f>
        <v>#NAME?</v>
      </c>
      <c r="N347" s="521" t="e">
        <f ca="1">gr(charge_entree[[#This Row],[ch_S_PTOT]])</f>
        <v>#NAME?</v>
      </c>
      <c r="O347" s="521" t="e">
        <f ca="1">gr(charge_entree[[#This Row],[ch_S_SNDT]])</f>
        <v>#NAME?</v>
      </c>
    </row>
    <row r="348" spans="1:15" x14ac:dyDescent="0.2">
      <c r="A348" s="222">
        <f>calculs!A348</f>
        <v>44899</v>
      </c>
      <c r="B348" s="521" t="e">
        <f ca="1">gr(charge_entree[[#This Row],[ch_E_DBO5]])</f>
        <v>#NAME?</v>
      </c>
      <c r="C348" s="521" t="e">
        <f ca="1">gr(charge_entree[[#This Row],[ch_E_DCO]])</f>
        <v>#NAME?</v>
      </c>
      <c r="D348" s="521" t="e">
        <f ca="1">gr(charge_entree[[#This Row],[ch_E_COT]])</f>
        <v>#NAME?</v>
      </c>
      <c r="E348" s="521" t="e">
        <f ca="1">gr(charge_entree[[#This Row],[ch_E_NH4]])</f>
        <v>#NAME?</v>
      </c>
      <c r="F348" s="521" t="e">
        <f ca="1">gr(charge_entree[[#This Row],[ch_E_NTOT]])</f>
        <v>#NAME?</v>
      </c>
      <c r="G348" s="521" t="e">
        <f ca="1">gr(charge_entree[[#This Row],[ch_E_PTOT]])</f>
        <v>#NAME?</v>
      </c>
      <c r="H348" s="521" t="e">
        <f ca="1">gr(charge_entree[[#This Row],[ch_S_DBO]])</f>
        <v>#NAME?</v>
      </c>
      <c r="I348" s="521" t="e">
        <f ca="1">gr(charge_entree[[#This Row],[ch_S-DCO]])</f>
        <v>#NAME?</v>
      </c>
      <c r="J348" s="521" t="e">
        <f ca="1">gr(charge_entree[[#This Row],[ch_S_DOC]])</f>
        <v>#NAME?</v>
      </c>
      <c r="K348" s="521" t="e">
        <f ca="1">gr(charge_entree[[#This Row],[ch_S_NH4]])</f>
        <v>#NAME?</v>
      </c>
      <c r="L348" s="521" t="e">
        <f ca="1">gr(charge_entree[[#This Row],[ch_S_NO2]])</f>
        <v>#NAME?</v>
      </c>
      <c r="M348" s="521" t="e">
        <f ca="1">gr(charge_entree[[#This Row],[ch_S_NO3]])</f>
        <v>#NAME?</v>
      </c>
      <c r="N348" s="521" t="e">
        <f ca="1">gr(charge_entree[[#This Row],[ch_S_PTOT]])</f>
        <v>#NAME?</v>
      </c>
      <c r="O348" s="521" t="e">
        <f ca="1">gr(charge_entree[[#This Row],[ch_S_SNDT]])</f>
        <v>#NAME?</v>
      </c>
    </row>
    <row r="349" spans="1:15" x14ac:dyDescent="0.2">
      <c r="A349" s="222">
        <f>calculs!A349</f>
        <v>44900</v>
      </c>
      <c r="B349" s="521" t="e">
        <f ca="1">gr(charge_entree[[#This Row],[ch_E_DBO5]])</f>
        <v>#NAME?</v>
      </c>
      <c r="C349" s="521" t="e">
        <f ca="1">gr(charge_entree[[#This Row],[ch_E_DCO]])</f>
        <v>#NAME?</v>
      </c>
      <c r="D349" s="521" t="e">
        <f ca="1">gr(charge_entree[[#This Row],[ch_E_COT]])</f>
        <v>#NAME?</v>
      </c>
      <c r="E349" s="521" t="e">
        <f ca="1">gr(charge_entree[[#This Row],[ch_E_NH4]])</f>
        <v>#NAME?</v>
      </c>
      <c r="F349" s="521" t="e">
        <f ca="1">gr(charge_entree[[#This Row],[ch_E_NTOT]])</f>
        <v>#NAME?</v>
      </c>
      <c r="G349" s="521" t="e">
        <f ca="1">gr(charge_entree[[#This Row],[ch_E_PTOT]])</f>
        <v>#NAME?</v>
      </c>
      <c r="H349" s="521" t="e">
        <f ca="1">gr(charge_entree[[#This Row],[ch_S_DBO]])</f>
        <v>#NAME?</v>
      </c>
      <c r="I349" s="521" t="e">
        <f ca="1">gr(charge_entree[[#This Row],[ch_S-DCO]])</f>
        <v>#NAME?</v>
      </c>
      <c r="J349" s="521" t="e">
        <f ca="1">gr(charge_entree[[#This Row],[ch_S_DOC]])</f>
        <v>#NAME?</v>
      </c>
      <c r="K349" s="521" t="e">
        <f ca="1">gr(charge_entree[[#This Row],[ch_S_NH4]])</f>
        <v>#NAME?</v>
      </c>
      <c r="L349" s="521" t="e">
        <f ca="1">gr(charge_entree[[#This Row],[ch_S_NO2]])</f>
        <v>#NAME?</v>
      </c>
      <c r="M349" s="521" t="e">
        <f ca="1">gr(charge_entree[[#This Row],[ch_S_NO3]])</f>
        <v>#NAME?</v>
      </c>
      <c r="N349" s="521" t="e">
        <f ca="1">gr(charge_entree[[#This Row],[ch_S_PTOT]])</f>
        <v>#NAME?</v>
      </c>
      <c r="O349" s="521" t="e">
        <f ca="1">gr(charge_entree[[#This Row],[ch_S_SNDT]])</f>
        <v>#NAME?</v>
      </c>
    </row>
    <row r="350" spans="1:15" x14ac:dyDescent="0.2">
      <c r="A350" s="222">
        <f>calculs!A350</f>
        <v>44901</v>
      </c>
      <c r="B350" s="521" t="e">
        <f ca="1">gr(charge_entree[[#This Row],[ch_E_DBO5]])</f>
        <v>#NAME?</v>
      </c>
      <c r="C350" s="521" t="e">
        <f ca="1">gr(charge_entree[[#This Row],[ch_E_DCO]])</f>
        <v>#NAME?</v>
      </c>
      <c r="D350" s="521" t="e">
        <f ca="1">gr(charge_entree[[#This Row],[ch_E_COT]])</f>
        <v>#NAME?</v>
      </c>
      <c r="E350" s="521" t="e">
        <f ca="1">gr(charge_entree[[#This Row],[ch_E_NH4]])</f>
        <v>#NAME?</v>
      </c>
      <c r="F350" s="521" t="e">
        <f ca="1">gr(charge_entree[[#This Row],[ch_E_NTOT]])</f>
        <v>#NAME?</v>
      </c>
      <c r="G350" s="521" t="e">
        <f ca="1">gr(charge_entree[[#This Row],[ch_E_PTOT]])</f>
        <v>#NAME?</v>
      </c>
      <c r="H350" s="521" t="e">
        <f ca="1">gr(charge_entree[[#This Row],[ch_S_DBO]])</f>
        <v>#NAME?</v>
      </c>
      <c r="I350" s="521" t="e">
        <f ca="1">gr(charge_entree[[#This Row],[ch_S-DCO]])</f>
        <v>#NAME?</v>
      </c>
      <c r="J350" s="521" t="e">
        <f ca="1">gr(charge_entree[[#This Row],[ch_S_DOC]])</f>
        <v>#NAME?</v>
      </c>
      <c r="K350" s="521" t="e">
        <f ca="1">gr(charge_entree[[#This Row],[ch_S_NH4]])</f>
        <v>#NAME?</v>
      </c>
      <c r="L350" s="521" t="e">
        <f ca="1">gr(charge_entree[[#This Row],[ch_S_NO2]])</f>
        <v>#NAME?</v>
      </c>
      <c r="M350" s="521" t="e">
        <f ca="1">gr(charge_entree[[#This Row],[ch_S_NO3]])</f>
        <v>#NAME?</v>
      </c>
      <c r="N350" s="521" t="e">
        <f ca="1">gr(charge_entree[[#This Row],[ch_S_PTOT]])</f>
        <v>#NAME?</v>
      </c>
      <c r="O350" s="521" t="e">
        <f ca="1">gr(charge_entree[[#This Row],[ch_S_SNDT]])</f>
        <v>#NAME?</v>
      </c>
    </row>
    <row r="351" spans="1:15" x14ac:dyDescent="0.2">
      <c r="A351" s="222">
        <f>calculs!A351</f>
        <v>44902</v>
      </c>
      <c r="B351" s="521" t="e">
        <f ca="1">gr(charge_entree[[#This Row],[ch_E_DBO5]])</f>
        <v>#NAME?</v>
      </c>
      <c r="C351" s="521" t="e">
        <f ca="1">gr(charge_entree[[#This Row],[ch_E_DCO]])</f>
        <v>#NAME?</v>
      </c>
      <c r="D351" s="521" t="e">
        <f ca="1">gr(charge_entree[[#This Row],[ch_E_COT]])</f>
        <v>#NAME?</v>
      </c>
      <c r="E351" s="521" t="e">
        <f ca="1">gr(charge_entree[[#This Row],[ch_E_NH4]])</f>
        <v>#NAME?</v>
      </c>
      <c r="F351" s="521" t="e">
        <f ca="1">gr(charge_entree[[#This Row],[ch_E_NTOT]])</f>
        <v>#NAME?</v>
      </c>
      <c r="G351" s="521" t="e">
        <f ca="1">gr(charge_entree[[#This Row],[ch_E_PTOT]])</f>
        <v>#NAME?</v>
      </c>
      <c r="H351" s="521" t="e">
        <f ca="1">gr(charge_entree[[#This Row],[ch_S_DBO]])</f>
        <v>#NAME?</v>
      </c>
      <c r="I351" s="521" t="e">
        <f ca="1">gr(charge_entree[[#This Row],[ch_S-DCO]])</f>
        <v>#NAME?</v>
      </c>
      <c r="J351" s="521" t="e">
        <f ca="1">gr(charge_entree[[#This Row],[ch_S_DOC]])</f>
        <v>#NAME?</v>
      </c>
      <c r="K351" s="521" t="e">
        <f ca="1">gr(charge_entree[[#This Row],[ch_S_NH4]])</f>
        <v>#NAME?</v>
      </c>
      <c r="L351" s="521" t="e">
        <f ca="1">gr(charge_entree[[#This Row],[ch_S_NO2]])</f>
        <v>#NAME?</v>
      </c>
      <c r="M351" s="521" t="e">
        <f ca="1">gr(charge_entree[[#This Row],[ch_S_NO3]])</f>
        <v>#NAME?</v>
      </c>
      <c r="N351" s="521" t="e">
        <f ca="1">gr(charge_entree[[#This Row],[ch_S_PTOT]])</f>
        <v>#NAME?</v>
      </c>
      <c r="O351" s="521" t="e">
        <f ca="1">gr(charge_entree[[#This Row],[ch_S_SNDT]])</f>
        <v>#NAME?</v>
      </c>
    </row>
    <row r="352" spans="1:15" x14ac:dyDescent="0.2">
      <c r="A352" s="222">
        <f>calculs!A352</f>
        <v>44903</v>
      </c>
      <c r="B352" s="521" t="e">
        <f ca="1">gr(charge_entree[[#This Row],[ch_E_DBO5]])</f>
        <v>#NAME?</v>
      </c>
      <c r="C352" s="521" t="e">
        <f ca="1">gr(charge_entree[[#This Row],[ch_E_DCO]])</f>
        <v>#NAME?</v>
      </c>
      <c r="D352" s="521" t="e">
        <f ca="1">gr(charge_entree[[#This Row],[ch_E_COT]])</f>
        <v>#NAME?</v>
      </c>
      <c r="E352" s="521" t="e">
        <f ca="1">gr(charge_entree[[#This Row],[ch_E_NH4]])</f>
        <v>#NAME?</v>
      </c>
      <c r="F352" s="521" t="e">
        <f ca="1">gr(charge_entree[[#This Row],[ch_E_NTOT]])</f>
        <v>#NAME?</v>
      </c>
      <c r="G352" s="521" t="e">
        <f ca="1">gr(charge_entree[[#This Row],[ch_E_PTOT]])</f>
        <v>#NAME?</v>
      </c>
      <c r="H352" s="521" t="e">
        <f ca="1">gr(charge_entree[[#This Row],[ch_S_DBO]])</f>
        <v>#NAME?</v>
      </c>
      <c r="I352" s="521" t="e">
        <f ca="1">gr(charge_entree[[#This Row],[ch_S-DCO]])</f>
        <v>#NAME?</v>
      </c>
      <c r="J352" s="521" t="e">
        <f ca="1">gr(charge_entree[[#This Row],[ch_S_DOC]])</f>
        <v>#NAME?</v>
      </c>
      <c r="K352" s="521" t="e">
        <f ca="1">gr(charge_entree[[#This Row],[ch_S_NH4]])</f>
        <v>#NAME?</v>
      </c>
      <c r="L352" s="521" t="e">
        <f ca="1">gr(charge_entree[[#This Row],[ch_S_NO2]])</f>
        <v>#NAME?</v>
      </c>
      <c r="M352" s="521" t="e">
        <f ca="1">gr(charge_entree[[#This Row],[ch_S_NO3]])</f>
        <v>#NAME?</v>
      </c>
      <c r="N352" s="521" t="e">
        <f ca="1">gr(charge_entree[[#This Row],[ch_S_PTOT]])</f>
        <v>#NAME?</v>
      </c>
      <c r="O352" s="521" t="e">
        <f ca="1">gr(charge_entree[[#This Row],[ch_S_SNDT]])</f>
        <v>#NAME?</v>
      </c>
    </row>
    <row r="353" spans="1:15" x14ac:dyDescent="0.2">
      <c r="A353" s="222">
        <f>calculs!A353</f>
        <v>44904</v>
      </c>
      <c r="B353" s="521" t="e">
        <f ca="1">gr(charge_entree[[#This Row],[ch_E_DBO5]])</f>
        <v>#NAME?</v>
      </c>
      <c r="C353" s="521" t="e">
        <f ca="1">gr(charge_entree[[#This Row],[ch_E_DCO]])</f>
        <v>#NAME?</v>
      </c>
      <c r="D353" s="521" t="e">
        <f ca="1">gr(charge_entree[[#This Row],[ch_E_COT]])</f>
        <v>#NAME?</v>
      </c>
      <c r="E353" s="521" t="e">
        <f ca="1">gr(charge_entree[[#This Row],[ch_E_NH4]])</f>
        <v>#NAME?</v>
      </c>
      <c r="F353" s="521" t="e">
        <f ca="1">gr(charge_entree[[#This Row],[ch_E_NTOT]])</f>
        <v>#NAME?</v>
      </c>
      <c r="G353" s="521" t="e">
        <f ca="1">gr(charge_entree[[#This Row],[ch_E_PTOT]])</f>
        <v>#NAME?</v>
      </c>
      <c r="H353" s="521" t="e">
        <f ca="1">gr(charge_entree[[#This Row],[ch_S_DBO]])</f>
        <v>#NAME?</v>
      </c>
      <c r="I353" s="521" t="e">
        <f ca="1">gr(charge_entree[[#This Row],[ch_S-DCO]])</f>
        <v>#NAME?</v>
      </c>
      <c r="J353" s="521" t="e">
        <f ca="1">gr(charge_entree[[#This Row],[ch_S_DOC]])</f>
        <v>#NAME?</v>
      </c>
      <c r="K353" s="521" t="e">
        <f ca="1">gr(charge_entree[[#This Row],[ch_S_NH4]])</f>
        <v>#NAME?</v>
      </c>
      <c r="L353" s="521" t="e">
        <f ca="1">gr(charge_entree[[#This Row],[ch_S_NO2]])</f>
        <v>#NAME?</v>
      </c>
      <c r="M353" s="521" t="e">
        <f ca="1">gr(charge_entree[[#This Row],[ch_S_NO3]])</f>
        <v>#NAME?</v>
      </c>
      <c r="N353" s="521" t="e">
        <f ca="1">gr(charge_entree[[#This Row],[ch_S_PTOT]])</f>
        <v>#NAME?</v>
      </c>
      <c r="O353" s="521" t="e">
        <f ca="1">gr(charge_entree[[#This Row],[ch_S_SNDT]])</f>
        <v>#NAME?</v>
      </c>
    </row>
    <row r="354" spans="1:15" x14ac:dyDescent="0.2">
      <c r="A354" s="222">
        <f>calculs!A354</f>
        <v>44905</v>
      </c>
      <c r="B354" s="521" t="e">
        <f ca="1">gr(charge_entree[[#This Row],[ch_E_DBO5]])</f>
        <v>#NAME?</v>
      </c>
      <c r="C354" s="521" t="e">
        <f ca="1">gr(charge_entree[[#This Row],[ch_E_DCO]])</f>
        <v>#NAME?</v>
      </c>
      <c r="D354" s="521" t="e">
        <f ca="1">gr(charge_entree[[#This Row],[ch_E_COT]])</f>
        <v>#NAME?</v>
      </c>
      <c r="E354" s="521" t="e">
        <f ca="1">gr(charge_entree[[#This Row],[ch_E_NH4]])</f>
        <v>#NAME?</v>
      </c>
      <c r="F354" s="521" t="e">
        <f ca="1">gr(charge_entree[[#This Row],[ch_E_NTOT]])</f>
        <v>#NAME?</v>
      </c>
      <c r="G354" s="521" t="e">
        <f ca="1">gr(charge_entree[[#This Row],[ch_E_PTOT]])</f>
        <v>#NAME?</v>
      </c>
      <c r="H354" s="521" t="e">
        <f ca="1">gr(charge_entree[[#This Row],[ch_S_DBO]])</f>
        <v>#NAME?</v>
      </c>
      <c r="I354" s="521" t="e">
        <f ca="1">gr(charge_entree[[#This Row],[ch_S-DCO]])</f>
        <v>#NAME?</v>
      </c>
      <c r="J354" s="521" t="e">
        <f ca="1">gr(charge_entree[[#This Row],[ch_S_DOC]])</f>
        <v>#NAME?</v>
      </c>
      <c r="K354" s="521" t="e">
        <f ca="1">gr(charge_entree[[#This Row],[ch_S_NH4]])</f>
        <v>#NAME?</v>
      </c>
      <c r="L354" s="521" t="e">
        <f ca="1">gr(charge_entree[[#This Row],[ch_S_NO2]])</f>
        <v>#NAME?</v>
      </c>
      <c r="M354" s="521" t="e">
        <f ca="1">gr(charge_entree[[#This Row],[ch_S_NO3]])</f>
        <v>#NAME?</v>
      </c>
      <c r="N354" s="521" t="e">
        <f ca="1">gr(charge_entree[[#This Row],[ch_S_PTOT]])</f>
        <v>#NAME?</v>
      </c>
      <c r="O354" s="521" t="e">
        <f ca="1">gr(charge_entree[[#This Row],[ch_S_SNDT]])</f>
        <v>#NAME?</v>
      </c>
    </row>
    <row r="355" spans="1:15" x14ac:dyDescent="0.2">
      <c r="A355" s="222">
        <f>calculs!A355</f>
        <v>44906</v>
      </c>
      <c r="B355" s="521" t="e">
        <f ca="1">gr(charge_entree[[#This Row],[ch_E_DBO5]])</f>
        <v>#NAME?</v>
      </c>
      <c r="C355" s="521" t="e">
        <f ca="1">gr(charge_entree[[#This Row],[ch_E_DCO]])</f>
        <v>#NAME?</v>
      </c>
      <c r="D355" s="521" t="e">
        <f ca="1">gr(charge_entree[[#This Row],[ch_E_COT]])</f>
        <v>#NAME?</v>
      </c>
      <c r="E355" s="521" t="e">
        <f ca="1">gr(charge_entree[[#This Row],[ch_E_NH4]])</f>
        <v>#NAME?</v>
      </c>
      <c r="F355" s="521" t="e">
        <f ca="1">gr(charge_entree[[#This Row],[ch_E_NTOT]])</f>
        <v>#NAME?</v>
      </c>
      <c r="G355" s="521" t="e">
        <f ca="1">gr(charge_entree[[#This Row],[ch_E_PTOT]])</f>
        <v>#NAME?</v>
      </c>
      <c r="H355" s="521" t="e">
        <f ca="1">gr(charge_entree[[#This Row],[ch_S_DBO]])</f>
        <v>#NAME?</v>
      </c>
      <c r="I355" s="521" t="e">
        <f ca="1">gr(charge_entree[[#This Row],[ch_S-DCO]])</f>
        <v>#NAME?</v>
      </c>
      <c r="J355" s="521" t="e">
        <f ca="1">gr(charge_entree[[#This Row],[ch_S_DOC]])</f>
        <v>#NAME?</v>
      </c>
      <c r="K355" s="521" t="e">
        <f ca="1">gr(charge_entree[[#This Row],[ch_S_NH4]])</f>
        <v>#NAME?</v>
      </c>
      <c r="L355" s="521" t="e">
        <f ca="1">gr(charge_entree[[#This Row],[ch_S_NO2]])</f>
        <v>#NAME?</v>
      </c>
      <c r="M355" s="521" t="e">
        <f ca="1">gr(charge_entree[[#This Row],[ch_S_NO3]])</f>
        <v>#NAME?</v>
      </c>
      <c r="N355" s="521" t="e">
        <f ca="1">gr(charge_entree[[#This Row],[ch_S_PTOT]])</f>
        <v>#NAME?</v>
      </c>
      <c r="O355" s="521" t="e">
        <f ca="1">gr(charge_entree[[#This Row],[ch_S_SNDT]])</f>
        <v>#NAME?</v>
      </c>
    </row>
    <row r="356" spans="1:15" x14ac:dyDescent="0.2">
      <c r="A356" s="222">
        <f>calculs!A356</f>
        <v>44907</v>
      </c>
      <c r="B356" s="521" t="e">
        <f ca="1">gr(charge_entree[[#This Row],[ch_E_DBO5]])</f>
        <v>#NAME?</v>
      </c>
      <c r="C356" s="521" t="e">
        <f ca="1">gr(charge_entree[[#This Row],[ch_E_DCO]])</f>
        <v>#NAME?</v>
      </c>
      <c r="D356" s="521" t="e">
        <f ca="1">gr(charge_entree[[#This Row],[ch_E_COT]])</f>
        <v>#NAME?</v>
      </c>
      <c r="E356" s="521" t="e">
        <f ca="1">gr(charge_entree[[#This Row],[ch_E_NH4]])</f>
        <v>#NAME?</v>
      </c>
      <c r="F356" s="521" t="e">
        <f ca="1">gr(charge_entree[[#This Row],[ch_E_NTOT]])</f>
        <v>#NAME?</v>
      </c>
      <c r="G356" s="521" t="e">
        <f ca="1">gr(charge_entree[[#This Row],[ch_E_PTOT]])</f>
        <v>#NAME?</v>
      </c>
      <c r="H356" s="521" t="e">
        <f ca="1">gr(charge_entree[[#This Row],[ch_S_DBO]])</f>
        <v>#NAME?</v>
      </c>
      <c r="I356" s="521" t="e">
        <f ca="1">gr(charge_entree[[#This Row],[ch_S-DCO]])</f>
        <v>#NAME?</v>
      </c>
      <c r="J356" s="521" t="e">
        <f ca="1">gr(charge_entree[[#This Row],[ch_S_DOC]])</f>
        <v>#NAME?</v>
      </c>
      <c r="K356" s="521" t="e">
        <f ca="1">gr(charge_entree[[#This Row],[ch_S_NH4]])</f>
        <v>#NAME?</v>
      </c>
      <c r="L356" s="521" t="e">
        <f ca="1">gr(charge_entree[[#This Row],[ch_S_NO2]])</f>
        <v>#NAME?</v>
      </c>
      <c r="M356" s="521" t="e">
        <f ca="1">gr(charge_entree[[#This Row],[ch_S_NO3]])</f>
        <v>#NAME?</v>
      </c>
      <c r="N356" s="521" t="e">
        <f ca="1">gr(charge_entree[[#This Row],[ch_S_PTOT]])</f>
        <v>#NAME?</v>
      </c>
      <c r="O356" s="521" t="e">
        <f ca="1">gr(charge_entree[[#This Row],[ch_S_SNDT]])</f>
        <v>#NAME?</v>
      </c>
    </row>
    <row r="357" spans="1:15" x14ac:dyDescent="0.2">
      <c r="A357" s="222">
        <f>calculs!A357</f>
        <v>44908</v>
      </c>
      <c r="B357" s="521" t="e">
        <f ca="1">gr(charge_entree[[#This Row],[ch_E_DBO5]])</f>
        <v>#NAME?</v>
      </c>
      <c r="C357" s="521" t="e">
        <f ca="1">gr(charge_entree[[#This Row],[ch_E_DCO]])</f>
        <v>#NAME?</v>
      </c>
      <c r="D357" s="521" t="e">
        <f ca="1">gr(charge_entree[[#This Row],[ch_E_COT]])</f>
        <v>#NAME?</v>
      </c>
      <c r="E357" s="521" t="e">
        <f ca="1">gr(charge_entree[[#This Row],[ch_E_NH4]])</f>
        <v>#NAME?</v>
      </c>
      <c r="F357" s="521" t="e">
        <f ca="1">gr(charge_entree[[#This Row],[ch_E_NTOT]])</f>
        <v>#NAME?</v>
      </c>
      <c r="G357" s="521" t="e">
        <f ca="1">gr(charge_entree[[#This Row],[ch_E_PTOT]])</f>
        <v>#NAME?</v>
      </c>
      <c r="H357" s="521" t="e">
        <f ca="1">gr(charge_entree[[#This Row],[ch_S_DBO]])</f>
        <v>#NAME?</v>
      </c>
      <c r="I357" s="521" t="e">
        <f ca="1">gr(charge_entree[[#This Row],[ch_S-DCO]])</f>
        <v>#NAME?</v>
      </c>
      <c r="J357" s="521" t="e">
        <f ca="1">gr(charge_entree[[#This Row],[ch_S_DOC]])</f>
        <v>#NAME?</v>
      </c>
      <c r="K357" s="521" t="e">
        <f ca="1">gr(charge_entree[[#This Row],[ch_S_NH4]])</f>
        <v>#NAME?</v>
      </c>
      <c r="L357" s="521" t="e">
        <f ca="1">gr(charge_entree[[#This Row],[ch_S_NO2]])</f>
        <v>#NAME?</v>
      </c>
      <c r="M357" s="521" t="e">
        <f ca="1">gr(charge_entree[[#This Row],[ch_S_NO3]])</f>
        <v>#NAME?</v>
      </c>
      <c r="N357" s="521" t="e">
        <f ca="1">gr(charge_entree[[#This Row],[ch_S_PTOT]])</f>
        <v>#NAME?</v>
      </c>
      <c r="O357" s="521" t="e">
        <f ca="1">gr(charge_entree[[#This Row],[ch_S_SNDT]])</f>
        <v>#NAME?</v>
      </c>
    </row>
    <row r="358" spans="1:15" x14ac:dyDescent="0.2">
      <c r="A358" s="222">
        <f>calculs!A358</f>
        <v>44909</v>
      </c>
      <c r="B358" s="521" t="e">
        <f ca="1">gr(charge_entree[[#This Row],[ch_E_DBO5]])</f>
        <v>#NAME?</v>
      </c>
      <c r="C358" s="521" t="e">
        <f ca="1">gr(charge_entree[[#This Row],[ch_E_DCO]])</f>
        <v>#NAME?</v>
      </c>
      <c r="D358" s="521" t="e">
        <f ca="1">gr(charge_entree[[#This Row],[ch_E_COT]])</f>
        <v>#NAME?</v>
      </c>
      <c r="E358" s="521" t="e">
        <f ca="1">gr(charge_entree[[#This Row],[ch_E_NH4]])</f>
        <v>#NAME?</v>
      </c>
      <c r="F358" s="521" t="e">
        <f ca="1">gr(charge_entree[[#This Row],[ch_E_NTOT]])</f>
        <v>#NAME?</v>
      </c>
      <c r="G358" s="521" t="e">
        <f ca="1">gr(charge_entree[[#This Row],[ch_E_PTOT]])</f>
        <v>#NAME?</v>
      </c>
      <c r="H358" s="521" t="e">
        <f ca="1">gr(charge_entree[[#This Row],[ch_S_DBO]])</f>
        <v>#NAME?</v>
      </c>
      <c r="I358" s="521" t="e">
        <f ca="1">gr(charge_entree[[#This Row],[ch_S-DCO]])</f>
        <v>#NAME?</v>
      </c>
      <c r="J358" s="521" t="e">
        <f ca="1">gr(charge_entree[[#This Row],[ch_S_DOC]])</f>
        <v>#NAME?</v>
      </c>
      <c r="K358" s="521" t="e">
        <f ca="1">gr(charge_entree[[#This Row],[ch_S_NH4]])</f>
        <v>#NAME?</v>
      </c>
      <c r="L358" s="521" t="e">
        <f ca="1">gr(charge_entree[[#This Row],[ch_S_NO2]])</f>
        <v>#NAME?</v>
      </c>
      <c r="M358" s="521" t="e">
        <f ca="1">gr(charge_entree[[#This Row],[ch_S_NO3]])</f>
        <v>#NAME?</v>
      </c>
      <c r="N358" s="521" t="e">
        <f ca="1">gr(charge_entree[[#This Row],[ch_S_PTOT]])</f>
        <v>#NAME?</v>
      </c>
      <c r="O358" s="521" t="e">
        <f ca="1">gr(charge_entree[[#This Row],[ch_S_SNDT]])</f>
        <v>#NAME?</v>
      </c>
    </row>
    <row r="359" spans="1:15" x14ac:dyDescent="0.2">
      <c r="A359" s="222">
        <f>calculs!A359</f>
        <v>44910</v>
      </c>
      <c r="B359" s="521" t="e">
        <f ca="1">gr(charge_entree[[#This Row],[ch_E_DBO5]])</f>
        <v>#NAME?</v>
      </c>
      <c r="C359" s="521" t="e">
        <f ca="1">gr(charge_entree[[#This Row],[ch_E_DCO]])</f>
        <v>#NAME?</v>
      </c>
      <c r="D359" s="521" t="e">
        <f ca="1">gr(charge_entree[[#This Row],[ch_E_COT]])</f>
        <v>#NAME?</v>
      </c>
      <c r="E359" s="521" t="e">
        <f ca="1">gr(charge_entree[[#This Row],[ch_E_NH4]])</f>
        <v>#NAME?</v>
      </c>
      <c r="F359" s="521" t="e">
        <f ca="1">gr(charge_entree[[#This Row],[ch_E_NTOT]])</f>
        <v>#NAME?</v>
      </c>
      <c r="G359" s="521" t="e">
        <f ca="1">gr(charge_entree[[#This Row],[ch_E_PTOT]])</f>
        <v>#NAME?</v>
      </c>
      <c r="H359" s="521" t="e">
        <f ca="1">gr(charge_entree[[#This Row],[ch_S_DBO]])</f>
        <v>#NAME?</v>
      </c>
      <c r="I359" s="521" t="e">
        <f ca="1">gr(charge_entree[[#This Row],[ch_S-DCO]])</f>
        <v>#NAME?</v>
      </c>
      <c r="J359" s="521" t="e">
        <f ca="1">gr(charge_entree[[#This Row],[ch_S_DOC]])</f>
        <v>#NAME?</v>
      </c>
      <c r="K359" s="521" t="e">
        <f ca="1">gr(charge_entree[[#This Row],[ch_S_NH4]])</f>
        <v>#NAME?</v>
      </c>
      <c r="L359" s="521" t="e">
        <f ca="1">gr(charge_entree[[#This Row],[ch_S_NO2]])</f>
        <v>#NAME?</v>
      </c>
      <c r="M359" s="521" t="e">
        <f ca="1">gr(charge_entree[[#This Row],[ch_S_NO3]])</f>
        <v>#NAME?</v>
      </c>
      <c r="N359" s="521" t="e">
        <f ca="1">gr(charge_entree[[#This Row],[ch_S_PTOT]])</f>
        <v>#NAME?</v>
      </c>
      <c r="O359" s="521" t="e">
        <f ca="1">gr(charge_entree[[#This Row],[ch_S_SNDT]])</f>
        <v>#NAME?</v>
      </c>
    </row>
    <row r="360" spans="1:15" x14ac:dyDescent="0.2">
      <c r="A360" s="222">
        <f>calculs!A360</f>
        <v>44911</v>
      </c>
      <c r="B360" s="521" t="e">
        <f ca="1">gr(charge_entree[[#This Row],[ch_E_DBO5]])</f>
        <v>#NAME?</v>
      </c>
      <c r="C360" s="521" t="e">
        <f ca="1">gr(charge_entree[[#This Row],[ch_E_DCO]])</f>
        <v>#NAME?</v>
      </c>
      <c r="D360" s="521" t="e">
        <f ca="1">gr(charge_entree[[#This Row],[ch_E_COT]])</f>
        <v>#NAME?</v>
      </c>
      <c r="E360" s="521" t="e">
        <f ca="1">gr(charge_entree[[#This Row],[ch_E_NH4]])</f>
        <v>#NAME?</v>
      </c>
      <c r="F360" s="521" t="e">
        <f ca="1">gr(charge_entree[[#This Row],[ch_E_NTOT]])</f>
        <v>#NAME?</v>
      </c>
      <c r="G360" s="521" t="e">
        <f ca="1">gr(charge_entree[[#This Row],[ch_E_PTOT]])</f>
        <v>#NAME?</v>
      </c>
      <c r="H360" s="521" t="e">
        <f ca="1">gr(charge_entree[[#This Row],[ch_S_DBO]])</f>
        <v>#NAME?</v>
      </c>
      <c r="I360" s="521" t="e">
        <f ca="1">gr(charge_entree[[#This Row],[ch_S-DCO]])</f>
        <v>#NAME?</v>
      </c>
      <c r="J360" s="521" t="e">
        <f ca="1">gr(charge_entree[[#This Row],[ch_S_DOC]])</f>
        <v>#NAME?</v>
      </c>
      <c r="K360" s="521" t="e">
        <f ca="1">gr(charge_entree[[#This Row],[ch_S_NH4]])</f>
        <v>#NAME?</v>
      </c>
      <c r="L360" s="521" t="e">
        <f ca="1">gr(charge_entree[[#This Row],[ch_S_NO2]])</f>
        <v>#NAME?</v>
      </c>
      <c r="M360" s="521" t="e">
        <f ca="1">gr(charge_entree[[#This Row],[ch_S_NO3]])</f>
        <v>#NAME?</v>
      </c>
      <c r="N360" s="521" t="e">
        <f ca="1">gr(charge_entree[[#This Row],[ch_S_PTOT]])</f>
        <v>#NAME?</v>
      </c>
      <c r="O360" s="521" t="e">
        <f ca="1">gr(charge_entree[[#This Row],[ch_S_SNDT]])</f>
        <v>#NAME?</v>
      </c>
    </row>
    <row r="361" spans="1:15" x14ac:dyDescent="0.2">
      <c r="A361" s="222">
        <f>calculs!A361</f>
        <v>44912</v>
      </c>
      <c r="B361" s="521" t="e">
        <f ca="1">gr(charge_entree[[#This Row],[ch_E_DBO5]])</f>
        <v>#NAME?</v>
      </c>
      <c r="C361" s="521" t="e">
        <f ca="1">gr(charge_entree[[#This Row],[ch_E_DCO]])</f>
        <v>#NAME?</v>
      </c>
      <c r="D361" s="521" t="e">
        <f ca="1">gr(charge_entree[[#This Row],[ch_E_COT]])</f>
        <v>#NAME?</v>
      </c>
      <c r="E361" s="521" t="e">
        <f ca="1">gr(charge_entree[[#This Row],[ch_E_NH4]])</f>
        <v>#NAME?</v>
      </c>
      <c r="F361" s="521" t="e">
        <f ca="1">gr(charge_entree[[#This Row],[ch_E_NTOT]])</f>
        <v>#NAME?</v>
      </c>
      <c r="G361" s="521" t="e">
        <f ca="1">gr(charge_entree[[#This Row],[ch_E_PTOT]])</f>
        <v>#NAME?</v>
      </c>
      <c r="H361" s="521" t="e">
        <f ca="1">gr(charge_entree[[#This Row],[ch_S_DBO]])</f>
        <v>#NAME?</v>
      </c>
      <c r="I361" s="521" t="e">
        <f ca="1">gr(charge_entree[[#This Row],[ch_S-DCO]])</f>
        <v>#NAME?</v>
      </c>
      <c r="J361" s="521" t="e">
        <f ca="1">gr(charge_entree[[#This Row],[ch_S_DOC]])</f>
        <v>#NAME?</v>
      </c>
      <c r="K361" s="521" t="e">
        <f ca="1">gr(charge_entree[[#This Row],[ch_S_NH4]])</f>
        <v>#NAME?</v>
      </c>
      <c r="L361" s="521" t="e">
        <f ca="1">gr(charge_entree[[#This Row],[ch_S_NO2]])</f>
        <v>#NAME?</v>
      </c>
      <c r="M361" s="521" t="e">
        <f ca="1">gr(charge_entree[[#This Row],[ch_S_NO3]])</f>
        <v>#NAME?</v>
      </c>
      <c r="N361" s="521" t="e">
        <f ca="1">gr(charge_entree[[#This Row],[ch_S_PTOT]])</f>
        <v>#NAME?</v>
      </c>
      <c r="O361" s="521" t="e">
        <f ca="1">gr(charge_entree[[#This Row],[ch_S_SNDT]])</f>
        <v>#NAME?</v>
      </c>
    </row>
    <row r="362" spans="1:15" x14ac:dyDescent="0.2">
      <c r="A362" s="222">
        <f>calculs!A362</f>
        <v>44913</v>
      </c>
      <c r="B362" s="521" t="e">
        <f ca="1">gr(charge_entree[[#This Row],[ch_E_DBO5]])</f>
        <v>#NAME?</v>
      </c>
      <c r="C362" s="521" t="e">
        <f ca="1">gr(charge_entree[[#This Row],[ch_E_DCO]])</f>
        <v>#NAME?</v>
      </c>
      <c r="D362" s="521" t="e">
        <f ca="1">gr(charge_entree[[#This Row],[ch_E_COT]])</f>
        <v>#NAME?</v>
      </c>
      <c r="E362" s="521" t="e">
        <f ca="1">gr(charge_entree[[#This Row],[ch_E_NH4]])</f>
        <v>#NAME?</v>
      </c>
      <c r="F362" s="521" t="e">
        <f ca="1">gr(charge_entree[[#This Row],[ch_E_NTOT]])</f>
        <v>#NAME?</v>
      </c>
      <c r="G362" s="521" t="e">
        <f ca="1">gr(charge_entree[[#This Row],[ch_E_PTOT]])</f>
        <v>#NAME?</v>
      </c>
      <c r="H362" s="521" t="e">
        <f ca="1">gr(charge_entree[[#This Row],[ch_S_DBO]])</f>
        <v>#NAME?</v>
      </c>
      <c r="I362" s="521" t="e">
        <f ca="1">gr(charge_entree[[#This Row],[ch_S-DCO]])</f>
        <v>#NAME?</v>
      </c>
      <c r="J362" s="521" t="e">
        <f ca="1">gr(charge_entree[[#This Row],[ch_S_DOC]])</f>
        <v>#NAME?</v>
      </c>
      <c r="K362" s="521" t="e">
        <f ca="1">gr(charge_entree[[#This Row],[ch_S_NH4]])</f>
        <v>#NAME?</v>
      </c>
      <c r="L362" s="521" t="e">
        <f ca="1">gr(charge_entree[[#This Row],[ch_S_NO2]])</f>
        <v>#NAME?</v>
      </c>
      <c r="M362" s="521" t="e">
        <f ca="1">gr(charge_entree[[#This Row],[ch_S_NO3]])</f>
        <v>#NAME?</v>
      </c>
      <c r="N362" s="521" t="e">
        <f ca="1">gr(charge_entree[[#This Row],[ch_S_PTOT]])</f>
        <v>#NAME?</v>
      </c>
      <c r="O362" s="521" t="e">
        <f ca="1">gr(charge_entree[[#This Row],[ch_S_SNDT]])</f>
        <v>#NAME?</v>
      </c>
    </row>
    <row r="363" spans="1:15" x14ac:dyDescent="0.2">
      <c r="A363" s="222">
        <f>calculs!A363</f>
        <v>44914</v>
      </c>
      <c r="B363" s="521" t="e">
        <f ca="1">gr(charge_entree[[#This Row],[ch_E_DBO5]])</f>
        <v>#NAME?</v>
      </c>
      <c r="C363" s="521" t="e">
        <f ca="1">gr(charge_entree[[#This Row],[ch_E_DCO]])</f>
        <v>#NAME?</v>
      </c>
      <c r="D363" s="521" t="e">
        <f ca="1">gr(charge_entree[[#This Row],[ch_E_COT]])</f>
        <v>#NAME?</v>
      </c>
      <c r="E363" s="521" t="e">
        <f ca="1">gr(charge_entree[[#This Row],[ch_E_NH4]])</f>
        <v>#NAME?</v>
      </c>
      <c r="F363" s="521" t="e">
        <f ca="1">gr(charge_entree[[#This Row],[ch_E_NTOT]])</f>
        <v>#NAME?</v>
      </c>
      <c r="G363" s="521" t="e">
        <f ca="1">gr(charge_entree[[#This Row],[ch_E_PTOT]])</f>
        <v>#NAME?</v>
      </c>
      <c r="H363" s="521" t="e">
        <f ca="1">gr(charge_entree[[#This Row],[ch_S_DBO]])</f>
        <v>#NAME?</v>
      </c>
      <c r="I363" s="521" t="e">
        <f ca="1">gr(charge_entree[[#This Row],[ch_S-DCO]])</f>
        <v>#NAME?</v>
      </c>
      <c r="J363" s="521" t="e">
        <f ca="1">gr(charge_entree[[#This Row],[ch_S_DOC]])</f>
        <v>#NAME?</v>
      </c>
      <c r="K363" s="521" t="e">
        <f ca="1">gr(charge_entree[[#This Row],[ch_S_NH4]])</f>
        <v>#NAME?</v>
      </c>
      <c r="L363" s="521" t="e">
        <f ca="1">gr(charge_entree[[#This Row],[ch_S_NO2]])</f>
        <v>#NAME?</v>
      </c>
      <c r="M363" s="521" t="e">
        <f ca="1">gr(charge_entree[[#This Row],[ch_S_NO3]])</f>
        <v>#NAME?</v>
      </c>
      <c r="N363" s="521" t="e">
        <f ca="1">gr(charge_entree[[#This Row],[ch_S_PTOT]])</f>
        <v>#NAME?</v>
      </c>
      <c r="O363" s="521" t="e">
        <f ca="1">gr(charge_entree[[#This Row],[ch_S_SNDT]])</f>
        <v>#NAME?</v>
      </c>
    </row>
    <row r="364" spans="1:15" x14ac:dyDescent="0.2">
      <c r="A364" s="222">
        <f>calculs!A364</f>
        <v>44915</v>
      </c>
      <c r="B364" s="521" t="e">
        <f ca="1">gr(charge_entree[[#This Row],[ch_E_DBO5]])</f>
        <v>#NAME?</v>
      </c>
      <c r="C364" s="521" t="e">
        <f ca="1">gr(charge_entree[[#This Row],[ch_E_DCO]])</f>
        <v>#NAME?</v>
      </c>
      <c r="D364" s="521" t="e">
        <f ca="1">gr(charge_entree[[#This Row],[ch_E_COT]])</f>
        <v>#NAME?</v>
      </c>
      <c r="E364" s="521" t="e">
        <f ca="1">gr(charge_entree[[#This Row],[ch_E_NH4]])</f>
        <v>#NAME?</v>
      </c>
      <c r="F364" s="521" t="e">
        <f ca="1">gr(charge_entree[[#This Row],[ch_E_NTOT]])</f>
        <v>#NAME?</v>
      </c>
      <c r="G364" s="521" t="e">
        <f ca="1">gr(charge_entree[[#This Row],[ch_E_PTOT]])</f>
        <v>#NAME?</v>
      </c>
      <c r="H364" s="521" t="e">
        <f ca="1">gr(charge_entree[[#This Row],[ch_S_DBO]])</f>
        <v>#NAME?</v>
      </c>
      <c r="I364" s="521" t="e">
        <f ca="1">gr(charge_entree[[#This Row],[ch_S-DCO]])</f>
        <v>#NAME?</v>
      </c>
      <c r="J364" s="521" t="e">
        <f ca="1">gr(charge_entree[[#This Row],[ch_S_DOC]])</f>
        <v>#NAME?</v>
      </c>
      <c r="K364" s="521" t="e">
        <f ca="1">gr(charge_entree[[#This Row],[ch_S_NH4]])</f>
        <v>#NAME?</v>
      </c>
      <c r="L364" s="521" t="e">
        <f ca="1">gr(charge_entree[[#This Row],[ch_S_NO2]])</f>
        <v>#NAME?</v>
      </c>
      <c r="M364" s="521" t="e">
        <f ca="1">gr(charge_entree[[#This Row],[ch_S_NO3]])</f>
        <v>#NAME?</v>
      </c>
      <c r="N364" s="521" t="e">
        <f ca="1">gr(charge_entree[[#This Row],[ch_S_PTOT]])</f>
        <v>#NAME?</v>
      </c>
      <c r="O364" s="521" t="e">
        <f ca="1">gr(charge_entree[[#This Row],[ch_S_SNDT]])</f>
        <v>#NAME?</v>
      </c>
    </row>
    <row r="365" spans="1:15" x14ac:dyDescent="0.2">
      <c r="A365" s="222">
        <f>calculs!A365</f>
        <v>44916</v>
      </c>
      <c r="B365" s="521" t="e">
        <f ca="1">gr(charge_entree[[#This Row],[ch_E_DBO5]])</f>
        <v>#NAME?</v>
      </c>
      <c r="C365" s="521" t="e">
        <f ca="1">gr(charge_entree[[#This Row],[ch_E_DCO]])</f>
        <v>#NAME?</v>
      </c>
      <c r="D365" s="521" t="e">
        <f ca="1">gr(charge_entree[[#This Row],[ch_E_COT]])</f>
        <v>#NAME?</v>
      </c>
      <c r="E365" s="521" t="e">
        <f ca="1">gr(charge_entree[[#This Row],[ch_E_NH4]])</f>
        <v>#NAME?</v>
      </c>
      <c r="F365" s="521" t="e">
        <f ca="1">gr(charge_entree[[#This Row],[ch_E_NTOT]])</f>
        <v>#NAME?</v>
      </c>
      <c r="G365" s="521" t="e">
        <f ca="1">gr(charge_entree[[#This Row],[ch_E_PTOT]])</f>
        <v>#NAME?</v>
      </c>
      <c r="H365" s="521" t="e">
        <f ca="1">gr(charge_entree[[#This Row],[ch_S_DBO]])</f>
        <v>#NAME?</v>
      </c>
      <c r="I365" s="521" t="e">
        <f ca="1">gr(charge_entree[[#This Row],[ch_S-DCO]])</f>
        <v>#NAME?</v>
      </c>
      <c r="J365" s="521" t="e">
        <f ca="1">gr(charge_entree[[#This Row],[ch_S_DOC]])</f>
        <v>#NAME?</v>
      </c>
      <c r="K365" s="521" t="e">
        <f ca="1">gr(charge_entree[[#This Row],[ch_S_NH4]])</f>
        <v>#NAME?</v>
      </c>
      <c r="L365" s="521" t="e">
        <f ca="1">gr(charge_entree[[#This Row],[ch_S_NO2]])</f>
        <v>#NAME?</v>
      </c>
      <c r="M365" s="521" t="e">
        <f ca="1">gr(charge_entree[[#This Row],[ch_S_NO3]])</f>
        <v>#NAME?</v>
      </c>
      <c r="N365" s="521" t="e">
        <f ca="1">gr(charge_entree[[#This Row],[ch_S_PTOT]])</f>
        <v>#NAME?</v>
      </c>
      <c r="O365" s="521" t="e">
        <f ca="1">gr(charge_entree[[#This Row],[ch_S_SNDT]])</f>
        <v>#NAME?</v>
      </c>
    </row>
    <row r="366" spans="1:15" x14ac:dyDescent="0.2">
      <c r="A366" s="222">
        <f>calculs!A366</f>
        <v>44917</v>
      </c>
      <c r="B366" s="521" t="e">
        <f ca="1">gr(charge_entree[[#This Row],[ch_E_DBO5]])</f>
        <v>#NAME?</v>
      </c>
      <c r="C366" s="521" t="e">
        <f ca="1">gr(charge_entree[[#This Row],[ch_E_DCO]])</f>
        <v>#NAME?</v>
      </c>
      <c r="D366" s="521" t="e">
        <f ca="1">gr(charge_entree[[#This Row],[ch_E_COT]])</f>
        <v>#NAME?</v>
      </c>
      <c r="E366" s="521" t="e">
        <f ca="1">gr(charge_entree[[#This Row],[ch_E_NH4]])</f>
        <v>#NAME?</v>
      </c>
      <c r="F366" s="521" t="e">
        <f ca="1">gr(charge_entree[[#This Row],[ch_E_NTOT]])</f>
        <v>#NAME?</v>
      </c>
      <c r="G366" s="521" t="e">
        <f ca="1">gr(charge_entree[[#This Row],[ch_E_PTOT]])</f>
        <v>#NAME?</v>
      </c>
      <c r="H366" s="521" t="e">
        <f ca="1">gr(charge_entree[[#This Row],[ch_S_DBO]])</f>
        <v>#NAME?</v>
      </c>
      <c r="I366" s="521" t="e">
        <f ca="1">gr(charge_entree[[#This Row],[ch_S-DCO]])</f>
        <v>#NAME?</v>
      </c>
      <c r="J366" s="521" t="e">
        <f ca="1">gr(charge_entree[[#This Row],[ch_S_DOC]])</f>
        <v>#NAME?</v>
      </c>
      <c r="K366" s="521" t="e">
        <f ca="1">gr(charge_entree[[#This Row],[ch_S_NH4]])</f>
        <v>#NAME?</v>
      </c>
      <c r="L366" s="521" t="e">
        <f ca="1">gr(charge_entree[[#This Row],[ch_S_NO2]])</f>
        <v>#NAME?</v>
      </c>
      <c r="M366" s="521" t="e">
        <f ca="1">gr(charge_entree[[#This Row],[ch_S_NO3]])</f>
        <v>#NAME?</v>
      </c>
      <c r="N366" s="521" t="e">
        <f ca="1">gr(charge_entree[[#This Row],[ch_S_PTOT]])</f>
        <v>#NAME?</v>
      </c>
      <c r="O366" s="521" t="e">
        <f ca="1">gr(charge_entree[[#This Row],[ch_S_SNDT]])</f>
        <v>#NAME?</v>
      </c>
    </row>
    <row r="367" spans="1:15" x14ac:dyDescent="0.2">
      <c r="A367" s="222">
        <f>calculs!A367</f>
        <v>44918</v>
      </c>
      <c r="B367" s="521" t="e">
        <f ca="1">gr(charge_entree[[#This Row],[ch_E_DBO5]])</f>
        <v>#NAME?</v>
      </c>
      <c r="C367" s="521" t="e">
        <f ca="1">gr(charge_entree[[#This Row],[ch_E_DCO]])</f>
        <v>#NAME?</v>
      </c>
      <c r="D367" s="521" t="e">
        <f ca="1">gr(charge_entree[[#This Row],[ch_E_COT]])</f>
        <v>#NAME?</v>
      </c>
      <c r="E367" s="521" t="e">
        <f ca="1">gr(charge_entree[[#This Row],[ch_E_NH4]])</f>
        <v>#NAME?</v>
      </c>
      <c r="F367" s="521" t="e">
        <f ca="1">gr(charge_entree[[#This Row],[ch_E_NTOT]])</f>
        <v>#NAME?</v>
      </c>
      <c r="G367" s="521" t="e">
        <f ca="1">gr(charge_entree[[#This Row],[ch_E_PTOT]])</f>
        <v>#NAME?</v>
      </c>
      <c r="H367" s="521" t="e">
        <f ca="1">gr(charge_entree[[#This Row],[ch_S_DBO]])</f>
        <v>#NAME?</v>
      </c>
      <c r="I367" s="521" t="e">
        <f ca="1">gr(charge_entree[[#This Row],[ch_S-DCO]])</f>
        <v>#NAME?</v>
      </c>
      <c r="J367" s="521" t="e">
        <f ca="1">gr(charge_entree[[#This Row],[ch_S_DOC]])</f>
        <v>#NAME?</v>
      </c>
      <c r="K367" s="521" t="e">
        <f ca="1">gr(charge_entree[[#This Row],[ch_S_NH4]])</f>
        <v>#NAME?</v>
      </c>
      <c r="L367" s="521" t="e">
        <f ca="1">gr(charge_entree[[#This Row],[ch_S_NO2]])</f>
        <v>#NAME?</v>
      </c>
      <c r="M367" s="521" t="e">
        <f ca="1">gr(charge_entree[[#This Row],[ch_S_NO3]])</f>
        <v>#NAME?</v>
      </c>
      <c r="N367" s="521" t="e">
        <f ca="1">gr(charge_entree[[#This Row],[ch_S_PTOT]])</f>
        <v>#NAME?</v>
      </c>
      <c r="O367" s="521" t="e">
        <f ca="1">gr(charge_entree[[#This Row],[ch_S_SNDT]])</f>
        <v>#NAME?</v>
      </c>
    </row>
    <row r="368" spans="1:15" x14ac:dyDescent="0.2">
      <c r="A368" s="222">
        <f>calculs!A368</f>
        <v>44919</v>
      </c>
      <c r="B368" s="521" t="e">
        <f ca="1">gr(charge_entree[[#This Row],[ch_E_DBO5]])</f>
        <v>#NAME?</v>
      </c>
      <c r="C368" s="521" t="e">
        <f ca="1">gr(charge_entree[[#This Row],[ch_E_DCO]])</f>
        <v>#NAME?</v>
      </c>
      <c r="D368" s="521" t="e">
        <f ca="1">gr(charge_entree[[#This Row],[ch_E_COT]])</f>
        <v>#NAME?</v>
      </c>
      <c r="E368" s="521" t="e">
        <f ca="1">gr(charge_entree[[#This Row],[ch_E_NH4]])</f>
        <v>#NAME?</v>
      </c>
      <c r="F368" s="521" t="e">
        <f ca="1">gr(charge_entree[[#This Row],[ch_E_NTOT]])</f>
        <v>#NAME?</v>
      </c>
      <c r="G368" s="521" t="e">
        <f ca="1">gr(charge_entree[[#This Row],[ch_E_PTOT]])</f>
        <v>#NAME?</v>
      </c>
      <c r="H368" s="521" t="e">
        <f ca="1">gr(charge_entree[[#This Row],[ch_S_DBO]])</f>
        <v>#NAME?</v>
      </c>
      <c r="I368" s="521" t="e">
        <f ca="1">gr(charge_entree[[#This Row],[ch_S-DCO]])</f>
        <v>#NAME?</v>
      </c>
      <c r="J368" s="521" t="e">
        <f ca="1">gr(charge_entree[[#This Row],[ch_S_DOC]])</f>
        <v>#NAME?</v>
      </c>
      <c r="K368" s="521" t="e">
        <f ca="1">gr(charge_entree[[#This Row],[ch_S_NH4]])</f>
        <v>#NAME?</v>
      </c>
      <c r="L368" s="521" t="e">
        <f ca="1">gr(charge_entree[[#This Row],[ch_S_NO2]])</f>
        <v>#NAME?</v>
      </c>
      <c r="M368" s="521" t="e">
        <f ca="1">gr(charge_entree[[#This Row],[ch_S_NO3]])</f>
        <v>#NAME?</v>
      </c>
      <c r="N368" s="521" t="e">
        <f ca="1">gr(charge_entree[[#This Row],[ch_S_PTOT]])</f>
        <v>#NAME?</v>
      </c>
      <c r="O368" s="521" t="e">
        <f ca="1">gr(charge_entree[[#This Row],[ch_S_SNDT]])</f>
        <v>#NAME?</v>
      </c>
    </row>
    <row r="369" spans="1:15" x14ac:dyDescent="0.2">
      <c r="A369" s="222">
        <f>calculs!A369</f>
        <v>44920</v>
      </c>
      <c r="B369" s="521" t="e">
        <f ca="1">gr(charge_entree[[#This Row],[ch_E_DBO5]])</f>
        <v>#NAME?</v>
      </c>
      <c r="C369" s="521" t="e">
        <f ca="1">gr(charge_entree[[#This Row],[ch_E_DCO]])</f>
        <v>#NAME?</v>
      </c>
      <c r="D369" s="521" t="e">
        <f ca="1">gr(charge_entree[[#This Row],[ch_E_COT]])</f>
        <v>#NAME?</v>
      </c>
      <c r="E369" s="521" t="e">
        <f ca="1">gr(charge_entree[[#This Row],[ch_E_NH4]])</f>
        <v>#NAME?</v>
      </c>
      <c r="F369" s="521" t="e">
        <f ca="1">gr(charge_entree[[#This Row],[ch_E_NTOT]])</f>
        <v>#NAME?</v>
      </c>
      <c r="G369" s="521" t="e">
        <f ca="1">gr(charge_entree[[#This Row],[ch_E_PTOT]])</f>
        <v>#NAME?</v>
      </c>
      <c r="H369" s="521" t="e">
        <f ca="1">gr(charge_entree[[#This Row],[ch_S_DBO]])</f>
        <v>#NAME?</v>
      </c>
      <c r="I369" s="521" t="e">
        <f ca="1">gr(charge_entree[[#This Row],[ch_S-DCO]])</f>
        <v>#NAME?</v>
      </c>
      <c r="J369" s="521" t="e">
        <f ca="1">gr(charge_entree[[#This Row],[ch_S_DOC]])</f>
        <v>#NAME?</v>
      </c>
      <c r="K369" s="521" t="e">
        <f ca="1">gr(charge_entree[[#This Row],[ch_S_NH4]])</f>
        <v>#NAME?</v>
      </c>
      <c r="L369" s="521" t="e">
        <f ca="1">gr(charge_entree[[#This Row],[ch_S_NO2]])</f>
        <v>#NAME?</v>
      </c>
      <c r="M369" s="521" t="e">
        <f ca="1">gr(charge_entree[[#This Row],[ch_S_NO3]])</f>
        <v>#NAME?</v>
      </c>
      <c r="N369" s="521" t="e">
        <f ca="1">gr(charge_entree[[#This Row],[ch_S_PTOT]])</f>
        <v>#NAME?</v>
      </c>
      <c r="O369" s="521" t="e">
        <f ca="1">gr(charge_entree[[#This Row],[ch_S_SNDT]])</f>
        <v>#NAME?</v>
      </c>
    </row>
    <row r="370" spans="1:15" x14ac:dyDescent="0.2">
      <c r="A370" s="222">
        <f>calculs!A370</f>
        <v>44921</v>
      </c>
      <c r="B370" s="521" t="e">
        <f ca="1">gr(charge_entree[[#This Row],[ch_E_DBO5]])</f>
        <v>#NAME?</v>
      </c>
      <c r="C370" s="521" t="e">
        <f ca="1">gr(charge_entree[[#This Row],[ch_E_DCO]])</f>
        <v>#NAME?</v>
      </c>
      <c r="D370" s="521" t="e">
        <f ca="1">gr(charge_entree[[#This Row],[ch_E_COT]])</f>
        <v>#NAME?</v>
      </c>
      <c r="E370" s="521" t="e">
        <f ca="1">gr(charge_entree[[#This Row],[ch_E_NH4]])</f>
        <v>#NAME?</v>
      </c>
      <c r="F370" s="521" t="e">
        <f ca="1">gr(charge_entree[[#This Row],[ch_E_NTOT]])</f>
        <v>#NAME?</v>
      </c>
      <c r="G370" s="521" t="e">
        <f ca="1">gr(charge_entree[[#This Row],[ch_E_PTOT]])</f>
        <v>#NAME?</v>
      </c>
      <c r="H370" s="521" t="e">
        <f ca="1">gr(charge_entree[[#This Row],[ch_S_DBO]])</f>
        <v>#NAME?</v>
      </c>
      <c r="I370" s="521" t="e">
        <f ca="1">gr(charge_entree[[#This Row],[ch_S-DCO]])</f>
        <v>#NAME?</v>
      </c>
      <c r="J370" s="521" t="e">
        <f ca="1">gr(charge_entree[[#This Row],[ch_S_DOC]])</f>
        <v>#NAME?</v>
      </c>
      <c r="K370" s="521" t="e">
        <f ca="1">gr(charge_entree[[#This Row],[ch_S_NH4]])</f>
        <v>#NAME?</v>
      </c>
      <c r="L370" s="521" t="e">
        <f ca="1">gr(charge_entree[[#This Row],[ch_S_NO2]])</f>
        <v>#NAME?</v>
      </c>
      <c r="M370" s="521" t="e">
        <f ca="1">gr(charge_entree[[#This Row],[ch_S_NO3]])</f>
        <v>#NAME?</v>
      </c>
      <c r="N370" s="521" t="e">
        <f ca="1">gr(charge_entree[[#This Row],[ch_S_PTOT]])</f>
        <v>#NAME?</v>
      </c>
      <c r="O370" s="521" t="e">
        <f ca="1">gr(charge_entree[[#This Row],[ch_S_SNDT]])</f>
        <v>#NAME?</v>
      </c>
    </row>
    <row r="371" spans="1:15" x14ac:dyDescent="0.2">
      <c r="A371" s="222">
        <f>calculs!A371</f>
        <v>44922</v>
      </c>
      <c r="B371" s="521" t="e">
        <f ca="1">gr(charge_entree[[#This Row],[ch_E_DBO5]])</f>
        <v>#NAME?</v>
      </c>
      <c r="C371" s="521" t="e">
        <f ca="1">gr(charge_entree[[#This Row],[ch_E_DCO]])</f>
        <v>#NAME?</v>
      </c>
      <c r="D371" s="521" t="e">
        <f ca="1">gr(charge_entree[[#This Row],[ch_E_COT]])</f>
        <v>#NAME?</v>
      </c>
      <c r="E371" s="521" t="e">
        <f ca="1">gr(charge_entree[[#This Row],[ch_E_NH4]])</f>
        <v>#NAME?</v>
      </c>
      <c r="F371" s="521" t="e">
        <f ca="1">gr(charge_entree[[#This Row],[ch_E_NTOT]])</f>
        <v>#NAME?</v>
      </c>
      <c r="G371" s="521" t="e">
        <f ca="1">gr(charge_entree[[#This Row],[ch_E_PTOT]])</f>
        <v>#NAME?</v>
      </c>
      <c r="H371" s="521" t="e">
        <f ca="1">gr(charge_entree[[#This Row],[ch_S_DBO]])</f>
        <v>#NAME?</v>
      </c>
      <c r="I371" s="521" t="e">
        <f ca="1">gr(charge_entree[[#This Row],[ch_S-DCO]])</f>
        <v>#NAME?</v>
      </c>
      <c r="J371" s="521" t="e">
        <f ca="1">gr(charge_entree[[#This Row],[ch_S_DOC]])</f>
        <v>#NAME?</v>
      </c>
      <c r="K371" s="521" t="e">
        <f ca="1">gr(charge_entree[[#This Row],[ch_S_NH4]])</f>
        <v>#NAME?</v>
      </c>
      <c r="L371" s="521" t="e">
        <f ca="1">gr(charge_entree[[#This Row],[ch_S_NO2]])</f>
        <v>#NAME?</v>
      </c>
      <c r="M371" s="521" t="e">
        <f ca="1">gr(charge_entree[[#This Row],[ch_S_NO3]])</f>
        <v>#NAME?</v>
      </c>
      <c r="N371" s="521" t="e">
        <f ca="1">gr(charge_entree[[#This Row],[ch_S_PTOT]])</f>
        <v>#NAME?</v>
      </c>
      <c r="O371" s="521" t="e">
        <f ca="1">gr(charge_entree[[#This Row],[ch_S_SNDT]])</f>
        <v>#NAME?</v>
      </c>
    </row>
    <row r="372" spans="1:15" x14ac:dyDescent="0.2">
      <c r="A372" s="222">
        <f>calculs!A372</f>
        <v>44923</v>
      </c>
      <c r="B372" s="521" t="e">
        <f ca="1">gr(charge_entree[[#This Row],[ch_E_DBO5]])</f>
        <v>#NAME?</v>
      </c>
      <c r="C372" s="521" t="e">
        <f ca="1">gr(charge_entree[[#This Row],[ch_E_DCO]])</f>
        <v>#NAME?</v>
      </c>
      <c r="D372" s="521" t="e">
        <f ca="1">gr(charge_entree[[#This Row],[ch_E_COT]])</f>
        <v>#NAME?</v>
      </c>
      <c r="E372" s="521" t="e">
        <f ca="1">gr(charge_entree[[#This Row],[ch_E_NH4]])</f>
        <v>#NAME?</v>
      </c>
      <c r="F372" s="521" t="e">
        <f ca="1">gr(charge_entree[[#This Row],[ch_E_NTOT]])</f>
        <v>#NAME?</v>
      </c>
      <c r="G372" s="521" t="e">
        <f ca="1">gr(charge_entree[[#This Row],[ch_E_PTOT]])</f>
        <v>#NAME?</v>
      </c>
      <c r="H372" s="521" t="e">
        <f ca="1">gr(charge_entree[[#This Row],[ch_S_DBO]])</f>
        <v>#NAME?</v>
      </c>
      <c r="I372" s="521" t="e">
        <f ca="1">gr(charge_entree[[#This Row],[ch_S-DCO]])</f>
        <v>#NAME?</v>
      </c>
      <c r="J372" s="521" t="e">
        <f ca="1">gr(charge_entree[[#This Row],[ch_S_DOC]])</f>
        <v>#NAME?</v>
      </c>
      <c r="K372" s="521" t="e">
        <f ca="1">gr(charge_entree[[#This Row],[ch_S_NH4]])</f>
        <v>#NAME?</v>
      </c>
      <c r="L372" s="521" t="e">
        <f ca="1">gr(charge_entree[[#This Row],[ch_S_NO2]])</f>
        <v>#NAME?</v>
      </c>
      <c r="M372" s="521" t="e">
        <f ca="1">gr(charge_entree[[#This Row],[ch_S_NO3]])</f>
        <v>#NAME?</v>
      </c>
      <c r="N372" s="521" t="e">
        <f ca="1">gr(charge_entree[[#This Row],[ch_S_PTOT]])</f>
        <v>#NAME?</v>
      </c>
      <c r="O372" s="521" t="e">
        <f ca="1">gr(charge_entree[[#This Row],[ch_S_SNDT]])</f>
        <v>#NAME?</v>
      </c>
    </row>
    <row r="373" spans="1:15" x14ac:dyDescent="0.2">
      <c r="A373" s="222">
        <f>calculs!A373</f>
        <v>44924</v>
      </c>
      <c r="B373" s="521" t="e">
        <f ca="1">gr(charge_entree[[#This Row],[ch_E_DBO5]])</f>
        <v>#NAME?</v>
      </c>
      <c r="C373" s="521" t="e">
        <f ca="1">gr(charge_entree[[#This Row],[ch_E_DCO]])</f>
        <v>#NAME?</v>
      </c>
      <c r="D373" s="521" t="e">
        <f ca="1">gr(charge_entree[[#This Row],[ch_E_COT]])</f>
        <v>#NAME?</v>
      </c>
      <c r="E373" s="521" t="e">
        <f ca="1">gr(charge_entree[[#This Row],[ch_E_NH4]])</f>
        <v>#NAME?</v>
      </c>
      <c r="F373" s="521" t="e">
        <f ca="1">gr(charge_entree[[#This Row],[ch_E_NTOT]])</f>
        <v>#NAME?</v>
      </c>
      <c r="G373" s="521" t="e">
        <f ca="1">gr(charge_entree[[#This Row],[ch_E_PTOT]])</f>
        <v>#NAME?</v>
      </c>
      <c r="H373" s="521" t="e">
        <f ca="1">gr(charge_entree[[#This Row],[ch_S_DBO]])</f>
        <v>#NAME?</v>
      </c>
      <c r="I373" s="521" t="e">
        <f ca="1">gr(charge_entree[[#This Row],[ch_S-DCO]])</f>
        <v>#NAME?</v>
      </c>
      <c r="J373" s="521" t="e">
        <f ca="1">gr(charge_entree[[#This Row],[ch_S_DOC]])</f>
        <v>#NAME?</v>
      </c>
      <c r="K373" s="521" t="e">
        <f ca="1">gr(charge_entree[[#This Row],[ch_S_NH4]])</f>
        <v>#NAME?</v>
      </c>
      <c r="L373" s="521" t="e">
        <f ca="1">gr(charge_entree[[#This Row],[ch_S_NO2]])</f>
        <v>#NAME?</v>
      </c>
      <c r="M373" s="521" t="e">
        <f ca="1">gr(charge_entree[[#This Row],[ch_S_NO3]])</f>
        <v>#NAME?</v>
      </c>
      <c r="N373" s="521" t="e">
        <f ca="1">gr(charge_entree[[#This Row],[ch_S_PTOT]])</f>
        <v>#NAME?</v>
      </c>
      <c r="O373" s="521" t="e">
        <f ca="1">gr(charge_entree[[#This Row],[ch_S_SNDT]])</f>
        <v>#NAME?</v>
      </c>
    </row>
    <row r="374" spans="1:15" x14ac:dyDescent="0.2">
      <c r="A374" s="222">
        <f>calculs!A374</f>
        <v>44925</v>
      </c>
      <c r="B374" s="521" t="e">
        <f ca="1">gr(charge_entree[[#This Row],[ch_E_DBO5]])</f>
        <v>#NAME?</v>
      </c>
      <c r="C374" s="521" t="e">
        <f ca="1">gr(charge_entree[[#This Row],[ch_E_DCO]])</f>
        <v>#NAME?</v>
      </c>
      <c r="D374" s="521" t="e">
        <f ca="1">gr(charge_entree[[#This Row],[ch_E_COT]])</f>
        <v>#NAME?</v>
      </c>
      <c r="E374" s="521" t="e">
        <f ca="1">gr(charge_entree[[#This Row],[ch_E_NH4]])</f>
        <v>#NAME?</v>
      </c>
      <c r="F374" s="521" t="e">
        <f ca="1">gr(charge_entree[[#This Row],[ch_E_NTOT]])</f>
        <v>#NAME?</v>
      </c>
      <c r="G374" s="521" t="e">
        <f ca="1">gr(charge_entree[[#This Row],[ch_E_PTOT]])</f>
        <v>#NAME?</v>
      </c>
      <c r="H374" s="521" t="e">
        <f ca="1">gr(charge_entree[[#This Row],[ch_S_DBO]])</f>
        <v>#NAME?</v>
      </c>
      <c r="I374" s="521" t="e">
        <f ca="1">gr(charge_entree[[#This Row],[ch_S-DCO]])</f>
        <v>#NAME?</v>
      </c>
      <c r="J374" s="521" t="e">
        <f ca="1">gr(charge_entree[[#This Row],[ch_S_DOC]])</f>
        <v>#NAME?</v>
      </c>
      <c r="K374" s="521" t="e">
        <f ca="1">gr(charge_entree[[#This Row],[ch_S_NH4]])</f>
        <v>#NAME?</v>
      </c>
      <c r="L374" s="521" t="e">
        <f ca="1">gr(charge_entree[[#This Row],[ch_S_NO2]])</f>
        <v>#NAME?</v>
      </c>
      <c r="M374" s="521" t="e">
        <f ca="1">gr(charge_entree[[#This Row],[ch_S_NO3]])</f>
        <v>#NAME?</v>
      </c>
      <c r="N374" s="521" t="e">
        <f ca="1">gr(charge_entree[[#This Row],[ch_S_PTOT]])</f>
        <v>#NAME?</v>
      </c>
      <c r="O374" s="521" t="e">
        <f ca="1">gr(charge_entree[[#This Row],[ch_S_SNDT]])</f>
        <v>#NAME?</v>
      </c>
    </row>
    <row r="375" spans="1:15" x14ac:dyDescent="0.2">
      <c r="A375" s="222">
        <f>calculs!A375</f>
        <v>44926</v>
      </c>
      <c r="B375" s="521" t="e">
        <f ca="1">gr(charge_entree[[#This Row],[ch_E_DBO5]])</f>
        <v>#NAME?</v>
      </c>
      <c r="C375" s="521" t="e">
        <f ca="1">gr(charge_entree[[#This Row],[ch_E_DCO]])</f>
        <v>#NAME?</v>
      </c>
      <c r="D375" s="521" t="e">
        <f ca="1">gr(charge_entree[[#This Row],[ch_E_COT]])</f>
        <v>#NAME?</v>
      </c>
      <c r="E375" s="521" t="e">
        <f ca="1">gr(charge_entree[[#This Row],[ch_E_NH4]])</f>
        <v>#NAME?</v>
      </c>
      <c r="F375" s="521" t="e">
        <f ca="1">gr(charge_entree[[#This Row],[ch_E_NTOT]])</f>
        <v>#NAME?</v>
      </c>
      <c r="G375" s="521" t="e">
        <f ca="1">gr(charge_entree[[#This Row],[ch_E_PTOT]])</f>
        <v>#NAME?</v>
      </c>
      <c r="H375" s="521" t="e">
        <f ca="1">gr(charge_entree[[#This Row],[ch_S_DBO]])</f>
        <v>#NAME?</v>
      </c>
      <c r="I375" s="521" t="e">
        <f ca="1">gr(charge_entree[[#This Row],[ch_S-DCO]])</f>
        <v>#NAME?</v>
      </c>
      <c r="J375" s="521" t="e">
        <f ca="1">gr(charge_entree[[#This Row],[ch_S_DOC]])</f>
        <v>#NAME?</v>
      </c>
      <c r="K375" s="521" t="e">
        <f ca="1">gr(charge_entree[[#This Row],[ch_S_NH4]])</f>
        <v>#NAME?</v>
      </c>
      <c r="L375" s="521" t="e">
        <f ca="1">gr(charge_entree[[#This Row],[ch_S_NO2]])</f>
        <v>#NAME?</v>
      </c>
      <c r="M375" s="521" t="e">
        <f ca="1">gr(charge_entree[[#This Row],[ch_S_NO3]])</f>
        <v>#NAME?</v>
      </c>
      <c r="N375" s="521" t="e">
        <f ca="1">gr(charge_entree[[#This Row],[ch_S_PTOT]])</f>
        <v>#NAME?</v>
      </c>
      <c r="O375" s="521" t="e">
        <f ca="1">gr(charge_entree[[#This Row],[ch_S_SNDT]])</f>
        <v>#NAME?</v>
      </c>
    </row>
    <row r="376" spans="1:15" x14ac:dyDescent="0.2">
      <c r="A376" s="222">
        <f>calculs!A376</f>
        <v>0</v>
      </c>
      <c r="B376" s="521" t="e">
        <f ca="1">gr(charge_entree[[#This Row],[ch_E_DBO5]])</f>
        <v>#NAME?</v>
      </c>
      <c r="C376" s="521" t="e">
        <f ca="1">gr(charge_entree[[#This Row],[ch_E_DCO]])</f>
        <v>#NAME?</v>
      </c>
      <c r="D376" s="521" t="e">
        <f ca="1">gr(charge_entree[[#This Row],[ch_E_COT]])</f>
        <v>#NAME?</v>
      </c>
      <c r="E376" s="521" t="e">
        <f ca="1">gr(charge_entree[[#This Row],[ch_E_NH4]])</f>
        <v>#NAME?</v>
      </c>
      <c r="F376" s="521" t="e">
        <f ca="1">gr(charge_entree[[#This Row],[ch_E_NTOT]])</f>
        <v>#NAME?</v>
      </c>
      <c r="G376" s="521" t="e">
        <f ca="1">gr(charge_entree[[#This Row],[ch_E_PTOT]])</f>
        <v>#NAME?</v>
      </c>
      <c r="H376" s="521" t="e">
        <f ca="1">gr(charge_entree[[#This Row],[ch_S_DBO]])</f>
        <v>#NAME?</v>
      </c>
      <c r="I376" s="521" t="e">
        <f ca="1">gr(charge_entree[[#This Row],[ch_S-DCO]])</f>
        <v>#NAME?</v>
      </c>
      <c r="J376" s="521" t="e">
        <f ca="1">gr(charge_entree[[#This Row],[ch_S_DOC]])</f>
        <v>#NAME?</v>
      </c>
      <c r="K376" s="521" t="e">
        <f ca="1">gr(charge_entree[[#This Row],[ch_S_NH4]])</f>
        <v>#NAME?</v>
      </c>
      <c r="L376" s="521" t="e">
        <f ca="1">gr(charge_entree[[#This Row],[ch_S_NO2]])</f>
        <v>#NAME?</v>
      </c>
      <c r="M376" s="521" t="e">
        <f ca="1">gr(charge_entree[[#This Row],[ch_S_NO3]])</f>
        <v>#NAME?</v>
      </c>
      <c r="N376" s="521" t="e">
        <f ca="1">gr(charge_entree[[#This Row],[ch_S_PTOT]])</f>
        <v>#NAME?</v>
      </c>
      <c r="O376" s="521" t="e">
        <f ca="1">gr(charge_entree[[#This Row],[ch_S_SNDT]])</f>
        <v>#NAME?</v>
      </c>
    </row>
    <row r="377" spans="1:15" s="515" customFormat="1" x14ac:dyDescent="0.2"/>
  </sheetData>
  <mergeCells count="2">
    <mergeCell ref="B9:G9"/>
    <mergeCell ref="H9:O9"/>
  </mergeCells>
  <pageMargins left="0.7" right="0.7" top="0.75" bottom="0.75" header="0.3" footer="0.3"/>
  <pageSetup paperSize="301" scale="40" orientation="portrait" r:id="rId1"/>
  <colBreaks count="1" manualBreakCount="1">
    <brk id="13" max="376"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CCFFCC"/>
    <pageSetUpPr fitToPage="1"/>
  </sheetPr>
  <dimension ref="A1:X149"/>
  <sheetViews>
    <sheetView zoomScale="130" zoomScaleNormal="130" zoomScaleSheetLayoutView="85" workbookViewId="0">
      <selection sqref="A1:D1"/>
    </sheetView>
  </sheetViews>
  <sheetFormatPr baseColWidth="10" defaultRowHeight="12.75" x14ac:dyDescent="0.2"/>
  <cols>
    <col min="1" max="1" width="28.42578125" customWidth="1"/>
    <col min="2" max="2" width="11.140625" customWidth="1"/>
    <col min="3" max="3" width="9.5703125" customWidth="1"/>
    <col min="4" max="4" width="11.7109375" customWidth="1"/>
    <col min="5" max="5" width="12.140625" customWidth="1"/>
    <col min="6" max="6" width="10.7109375" customWidth="1"/>
    <col min="7" max="7" width="10" customWidth="1"/>
    <col min="8" max="8" width="12" customWidth="1"/>
    <col min="9" max="9" width="12.28515625" customWidth="1"/>
    <col min="10" max="10" width="9.42578125" customWidth="1"/>
    <col min="11" max="11" width="9.7109375" customWidth="1"/>
    <col min="12" max="12" width="10.7109375" customWidth="1"/>
    <col min="13" max="13" width="10.7109375" style="5" customWidth="1"/>
    <col min="14" max="14" width="10.7109375" customWidth="1"/>
    <col min="15" max="15" width="32.7109375" hidden="1" customWidth="1"/>
    <col min="16" max="16" width="21.7109375" customWidth="1"/>
    <col min="17" max="17" width="15.140625" customWidth="1"/>
    <col min="18" max="18" width="25.28515625" customWidth="1"/>
    <col min="19" max="19" width="26.28515625" customWidth="1"/>
    <col min="20" max="20" width="22.7109375" customWidth="1"/>
    <col min="21" max="21" width="31.42578125" customWidth="1"/>
    <col min="22" max="28" width="25" customWidth="1"/>
  </cols>
  <sheetData>
    <row r="1" spans="1:24" s="2" customFormat="1" ht="18.75" customHeight="1" x14ac:dyDescent="0.2">
      <c r="A1" s="904" t="str">
        <f>IF(Langue=1,"STEP ", "ARA ")&amp;'liste-STEP'!A104</f>
        <v>ARA Ausserbinn</v>
      </c>
      <c r="B1" s="904"/>
      <c r="C1" s="904"/>
      <c r="D1" s="904"/>
      <c r="E1" s="712"/>
      <c r="F1" s="713"/>
      <c r="G1" s="713"/>
      <c r="H1" s="662"/>
      <c r="I1" s="714"/>
      <c r="J1" s="714"/>
      <c r="K1" s="714"/>
      <c r="L1" s="163"/>
      <c r="S1" s="61"/>
    </row>
    <row r="2" spans="1:24" s="3" customFormat="1" ht="12.75" customHeight="1" x14ac:dyDescent="0.2">
      <c r="A2" s="43"/>
      <c r="B2" s="42"/>
      <c r="C2" s="6"/>
      <c r="E2" s="794"/>
      <c r="G2" s="63"/>
      <c r="H2" s="163"/>
      <c r="I2" s="163"/>
      <c r="J2" s="163"/>
      <c r="K2" s="163"/>
      <c r="L2" s="164"/>
      <c r="M2" s="41"/>
      <c r="O2" s="49"/>
      <c r="P2" s="49"/>
      <c r="Q2" s="49"/>
      <c r="R2" s="49"/>
      <c r="S2" s="60"/>
      <c r="T2" s="49"/>
      <c r="U2" s="49"/>
      <c r="V2" s="49"/>
      <c r="W2" s="49"/>
      <c r="X2" s="49"/>
    </row>
    <row r="3" spans="1:24" ht="12.75" customHeight="1" x14ac:dyDescent="0.2">
      <c r="A3" s="906" t="str">
        <f>IF(Langue=1,"STEP","ARA")</f>
        <v>ARA</v>
      </c>
      <c r="B3" s="212"/>
      <c r="C3" s="6"/>
      <c r="D3" s="793"/>
      <c r="E3" s="794"/>
      <c r="F3" s="315" t="str">
        <f>IF(Langue=1,"Année","Jahr")</f>
        <v>Jahr</v>
      </c>
      <c r="G3" s="800">
        <v>2022</v>
      </c>
      <c r="H3" s="801"/>
      <c r="I3" s="799" t="b">
        <v>1</v>
      </c>
      <c r="J3" s="765"/>
      <c r="K3" s="765"/>
      <c r="L3" s="902"/>
      <c r="O3" s="34"/>
      <c r="P3" s="50"/>
      <c r="Q3" s="50"/>
      <c r="R3" s="50"/>
      <c r="S3" s="60"/>
      <c r="T3" s="34"/>
      <c r="U3" s="50"/>
      <c r="V3" s="50"/>
      <c r="W3" s="50"/>
      <c r="X3" s="50"/>
    </row>
    <row r="4" spans="1:24" ht="12.75" customHeight="1" x14ac:dyDescent="0.2">
      <c r="A4" s="906"/>
      <c r="B4" s="214"/>
      <c r="C4" s="793"/>
      <c r="D4" s="793"/>
      <c r="E4" s="794"/>
      <c r="F4" s="14"/>
      <c r="G4" s="323"/>
      <c r="H4" s="801"/>
      <c r="I4" s="799" t="b">
        <v>0</v>
      </c>
      <c r="J4" s="765"/>
      <c r="K4" s="765"/>
      <c r="L4" s="903"/>
      <c r="M4" s="34"/>
      <c r="N4" s="34"/>
      <c r="O4" s="34"/>
      <c r="P4" s="50"/>
      <c r="Q4" s="50"/>
      <c r="R4" s="50"/>
      <c r="S4" s="50"/>
      <c r="T4" s="50"/>
      <c r="U4" s="50"/>
      <c r="V4" s="50"/>
      <c r="W4" s="50"/>
      <c r="X4" s="50"/>
    </row>
    <row r="5" spans="1:24" ht="12.75" customHeight="1" x14ac:dyDescent="0.2">
      <c r="A5" s="715" t="str">
        <f>IF(Langue=1,"Exploitant","Betriebsleiter")</f>
        <v>Betriebsleiter</v>
      </c>
      <c r="B5" s="905" t="str">
        <f>'liste-STEP'!C104&amp;" "&amp;'liste-STEP'!D104</f>
        <v xml:space="preserve"> </v>
      </c>
      <c r="C5" s="905"/>
      <c r="D5" s="5"/>
      <c r="E5" s="275"/>
      <c r="F5" s="275"/>
      <c r="G5" s="275"/>
      <c r="H5" s="213"/>
      <c r="I5" s="275"/>
      <c r="J5" s="275"/>
      <c r="K5" s="314"/>
      <c r="L5" s="314"/>
      <c r="P5" s="50"/>
      <c r="Q5" s="50"/>
      <c r="R5" s="50"/>
      <c r="S5" s="50"/>
      <c r="T5" s="50"/>
      <c r="U5" s="50"/>
      <c r="V5" s="50"/>
      <c r="W5" s="50"/>
      <c r="X5" s="50"/>
    </row>
    <row r="6" spans="1:24" ht="12.75" customHeight="1" x14ac:dyDescent="0.2">
      <c r="C6" s="161"/>
      <c r="D6" s="16"/>
      <c r="E6" s="5"/>
      <c r="F6" s="5"/>
      <c r="G6" s="5"/>
      <c r="H6" s="5"/>
      <c r="I6" s="275"/>
      <c r="J6" s="275"/>
      <c r="L6" s="11"/>
      <c r="P6" s="50"/>
      <c r="Q6" s="50"/>
      <c r="R6" s="50"/>
      <c r="S6" s="50"/>
      <c r="T6" s="50"/>
      <c r="U6" s="50"/>
      <c r="V6" s="50"/>
      <c r="W6" s="50"/>
      <c r="X6" s="50"/>
    </row>
    <row r="7" spans="1:24" ht="12.6" customHeight="1" x14ac:dyDescent="0.2">
      <c r="A7" s="716" t="str">
        <f>IF(Langue=1,"Coordonnées","Koordinaten")</f>
        <v>Koordinaten</v>
      </c>
      <c r="B7" s="717" t="str">
        <f>IF(Langue=1,"STEP","ARA")</f>
        <v>ARA</v>
      </c>
      <c r="C7" s="717" t="str">
        <f>IF(Langue=1,"Rejet","Einleitung")</f>
        <v>Einleitung</v>
      </c>
      <c r="D7" s="5"/>
      <c r="E7" s="876" t="s">
        <v>761</v>
      </c>
      <c r="F7" s="716"/>
      <c r="G7" s="716"/>
      <c r="H7" s="716"/>
      <c r="I7" s="716"/>
      <c r="J7" s="716"/>
      <c r="K7" s="716"/>
      <c r="L7" s="716"/>
      <c r="M7" s="716"/>
      <c r="N7" s="716"/>
      <c r="P7" s="50"/>
      <c r="Q7" s="50"/>
      <c r="R7" s="50"/>
      <c r="S7" s="50"/>
      <c r="T7" s="50"/>
      <c r="U7" s="65"/>
      <c r="V7" s="65"/>
      <c r="W7" s="65"/>
      <c r="X7" s="65"/>
    </row>
    <row r="8" spans="1:24" s="8" customFormat="1" ht="12.6" customHeight="1" x14ac:dyDescent="0.2">
      <c r="A8" s="721" t="s">
        <v>257</v>
      </c>
      <c r="B8" s="722">
        <f>'liste-STEP'!H104</f>
        <v>2654512</v>
      </c>
      <c r="C8" s="722">
        <f>'liste-STEP'!M104</f>
        <v>2654503</v>
      </c>
      <c r="D8" s="10"/>
      <c r="E8" s="901" t="str">
        <f>IF(Langue=1,"Echantionneur","Probenehmer")</f>
        <v>Probenehmer</v>
      </c>
      <c r="F8" s="901"/>
      <c r="G8" s="878" t="e">
        <f ca="1">cas('liste-STEP'!CT104, "Echantillonnage n'est pas proportionnel au débit","Probenehmer ist nicht durchflussproportional","Echantillonnage est proportionnel au débit","Probenehmer ist durchflussproportional","","","","","","")</f>
        <v>#NAME?</v>
      </c>
      <c r="H8" s="878"/>
      <c r="I8" s="878"/>
      <c r="J8" s="878"/>
      <c r="K8" s="879"/>
      <c r="L8" s="878"/>
      <c r="M8" s="880"/>
      <c r="N8" s="880"/>
      <c r="P8" s="52"/>
      <c r="Q8" s="52"/>
      <c r="R8" s="52"/>
      <c r="S8" s="52"/>
      <c r="T8" s="52"/>
      <c r="U8" s="64"/>
      <c r="V8" s="64"/>
      <c r="W8" s="64"/>
      <c r="X8" s="64"/>
    </row>
    <row r="9" spans="1:24" s="8" customFormat="1" ht="12.6" customHeight="1" x14ac:dyDescent="0.2">
      <c r="A9" s="721" t="s">
        <v>258</v>
      </c>
      <c r="B9" s="722">
        <f>'liste-STEP'!I104</f>
        <v>1136920</v>
      </c>
      <c r="C9" s="722">
        <f>'liste-STEP'!N104</f>
        <v>1136918</v>
      </c>
      <c r="D9" s="10"/>
      <c r="E9" s="901" t="str">
        <f>IF(Langue=1,"Commentaires","Bemerkungen")</f>
        <v>Bemerkungen</v>
      </c>
      <c r="F9" s="901"/>
      <c r="G9" s="907" t="str">
        <f>'liste-STEP'!BC104</f>
        <v/>
      </c>
      <c r="H9" s="907"/>
      <c r="I9" s="907"/>
      <c r="J9" s="907"/>
      <c r="K9" s="907"/>
      <c r="L9" s="907"/>
      <c r="M9" s="907"/>
      <c r="N9" s="907"/>
      <c r="P9" s="64"/>
      <c r="Q9" s="64"/>
      <c r="R9" s="64"/>
      <c r="S9" s="64"/>
      <c r="T9" s="64"/>
      <c r="U9" s="64"/>
      <c r="V9" s="64"/>
      <c r="W9" s="64"/>
      <c r="X9" s="64"/>
    </row>
    <row r="10" spans="1:24" ht="12.6" customHeight="1" x14ac:dyDescent="0.2">
      <c r="A10" s="721" t="str">
        <f>IF(Langue=1,"Altitude","Höhe")</f>
        <v>Höhe</v>
      </c>
      <c r="B10" s="722">
        <f>'liste-STEP'!J104</f>
        <v>1264</v>
      </c>
      <c r="C10" s="722">
        <f>'liste-STEP'!O104</f>
        <v>1259</v>
      </c>
      <c r="D10" s="5"/>
      <c r="E10" s="877"/>
      <c r="F10" s="877"/>
      <c r="G10" s="907"/>
      <c r="H10" s="907"/>
      <c r="I10" s="907"/>
      <c r="J10" s="907"/>
      <c r="K10" s="907"/>
      <c r="L10" s="907"/>
      <c r="M10" s="907"/>
      <c r="N10" s="907"/>
      <c r="P10" s="65"/>
      <c r="Q10" s="65"/>
      <c r="R10" s="65"/>
      <c r="S10" s="65"/>
      <c r="T10" s="65"/>
      <c r="U10" s="65"/>
      <c r="V10" s="65"/>
      <c r="W10" s="65"/>
      <c r="X10" s="65"/>
    </row>
    <row r="11" spans="1:24" ht="12.6" customHeight="1" x14ac:dyDescent="0.2">
      <c r="A11" s="721" t="str">
        <f>IF(Langue=1,"Milieu récepteur","Vorfluter")</f>
        <v>Vorfluter</v>
      </c>
      <c r="B11" s="723" t="str">
        <f>'liste-STEP'!K104</f>
        <v>Binna</v>
      </c>
      <c r="C11" s="723"/>
      <c r="D11" s="5"/>
      <c r="E11" s="877"/>
      <c r="F11" s="877"/>
      <c r="G11" s="907"/>
      <c r="H11" s="907"/>
      <c r="I11" s="907"/>
      <c r="J11" s="907"/>
      <c r="K11" s="907"/>
      <c r="L11" s="907"/>
      <c r="M11" s="907"/>
      <c r="N11" s="907"/>
      <c r="P11" s="65"/>
      <c r="Q11" s="65"/>
      <c r="R11" s="65"/>
      <c r="S11" s="65"/>
      <c r="T11" s="65"/>
      <c r="U11" s="65"/>
      <c r="V11" s="65"/>
      <c r="W11" s="65"/>
      <c r="X11" s="65"/>
    </row>
    <row r="12" spans="1:24" ht="12.6" customHeight="1" x14ac:dyDescent="0.2">
      <c r="A12" s="721" t="str">
        <f>IF(Langue=1,"Récepteur final","End-Vorfluter")</f>
        <v>End-Vorfluter</v>
      </c>
      <c r="B12" s="723" t="str">
        <f>IF('liste-STEP'!L104="","",'liste-STEP'!L104)</f>
        <v>Rhône</v>
      </c>
      <c r="C12" s="723"/>
      <c r="D12" s="5"/>
      <c r="E12" s="877"/>
      <c r="F12" s="738"/>
      <c r="G12" s="907"/>
      <c r="H12" s="907"/>
      <c r="I12" s="907"/>
      <c r="J12" s="907"/>
      <c r="K12" s="907"/>
      <c r="L12" s="907"/>
      <c r="M12" s="907"/>
      <c r="N12" s="907"/>
      <c r="P12" s="65"/>
      <c r="Q12" s="65"/>
      <c r="R12" s="65"/>
      <c r="S12" s="65"/>
      <c r="T12" s="65"/>
      <c r="U12" s="65"/>
      <c r="V12" s="65"/>
      <c r="W12" s="65"/>
      <c r="X12" s="65"/>
    </row>
    <row r="13" spans="1:24" ht="12.6" customHeight="1" x14ac:dyDescent="0.2">
      <c r="A13" s="721" t="str">
        <f>IF(Langue=1,"Année constr./réhabilit.","Baujahr/Umbau")</f>
        <v>Baujahr/Umbau</v>
      </c>
      <c r="B13" s="723" t="str">
        <f>'liste-STEP'!F104&amp;" / "&amp;'liste-STEP'!G104</f>
        <v>2001 / 0</v>
      </c>
      <c r="C13" s="723"/>
      <c r="D13" s="5"/>
      <c r="E13" s="901" t="str">
        <f>IF(Langue=1,"Debimètre","Durchflussmesser")</f>
        <v>Durchflussmesser</v>
      </c>
      <c r="F13" s="901"/>
      <c r="G13" s="878" t="e">
        <f ca="1">cas('liste-STEP'!CC104, "","","débimètre en entrée STEP est utilisé pour les calculs","Durchflussmesser im Zulauf der ARA wird für die Berechnungen benutzt", "débimètre en sortie STEP est utilisé pour les calculs","Durchflussmesser im Ablauf der ARA wird für die Berechnungen benutzt","","","","")</f>
        <v>#NAME?</v>
      </c>
      <c r="H13" s="878"/>
      <c r="I13" s="878"/>
      <c r="J13" s="878"/>
      <c r="K13" s="878"/>
      <c r="L13" s="878"/>
      <c r="M13" s="881"/>
      <c r="N13" s="882"/>
      <c r="P13" s="65"/>
      <c r="Q13" s="65"/>
      <c r="R13" s="51"/>
      <c r="S13" s="65"/>
      <c r="T13" s="65"/>
      <c r="U13" s="65"/>
      <c r="V13" s="65"/>
      <c r="W13" s="65"/>
      <c r="X13" s="65"/>
    </row>
    <row r="14" spans="1:24" ht="12.6" customHeight="1" x14ac:dyDescent="0.2">
      <c r="A14" s="70"/>
      <c r="B14" s="162"/>
      <c r="C14" s="162"/>
      <c r="D14" s="5"/>
      <c r="E14" s="901" t="str">
        <f>IF(Langue=1,"Echantilloneur en sortie","Probenehmer im Ablauf")</f>
        <v>Probenehmer im Ablauf</v>
      </c>
      <c r="F14" s="901"/>
      <c r="G14" s="878" t="e">
        <f ca="1">cas('liste-STEP'!CD104, "","","ne mesure aucun déversement","misst keine Entlastungen", "déversements en entrée STEP","Entlastungen im Zulauf der ARA","déversements en sortie décant. prim.","Entlastungen im Ablauf VK","déversements en entrée STEP et en sortie décant.prim","Entlastungen im Zulauf der ARA und im Ablauf VK")</f>
        <v>#NAME?</v>
      </c>
      <c r="H14" s="878"/>
      <c r="I14" s="878"/>
      <c r="J14" s="878"/>
      <c r="K14" s="878"/>
      <c r="L14" s="878"/>
      <c r="M14" s="881"/>
      <c r="N14" s="882"/>
      <c r="P14" s="65"/>
      <c r="Q14" s="65"/>
      <c r="R14" s="51"/>
      <c r="S14" s="65"/>
      <c r="T14" s="65"/>
      <c r="U14" s="65"/>
      <c r="V14" s="51"/>
      <c r="W14" s="65"/>
      <c r="X14" s="65"/>
    </row>
    <row r="15" spans="1:24" ht="12.6" customHeight="1" x14ac:dyDescent="0.2">
      <c r="A15" s="716" t="str">
        <f>IF(Langue=1,"Capacité STEP","Dimensionierung ARA")</f>
        <v>Dimensionierung ARA</v>
      </c>
      <c r="B15" s="718"/>
      <c r="C15" s="718"/>
      <c r="F15" s="5"/>
      <c r="G15" s="5"/>
      <c r="H15" s="5"/>
      <c r="I15" s="5"/>
      <c r="J15" s="5"/>
      <c r="K15" s="5"/>
      <c r="L15" s="21"/>
      <c r="P15" s="53"/>
      <c r="Q15" s="65"/>
      <c r="R15" s="64"/>
      <c r="S15" s="53"/>
      <c r="T15" s="53"/>
      <c r="U15" s="53"/>
      <c r="V15" s="64"/>
      <c r="W15" s="53"/>
      <c r="X15" s="65"/>
    </row>
    <row r="16" spans="1:24" ht="12.6" customHeight="1" x14ac:dyDescent="0.2">
      <c r="A16" s="724" t="str">
        <f>IF(Langue=1,"Biologique (EH)","Biologisch (EW)")</f>
        <v>Biologisch (EW)</v>
      </c>
      <c r="B16" s="797">
        <f>'liste-STEP'!$E104</f>
        <v>100</v>
      </c>
      <c r="C16" s="723"/>
      <c r="E16" s="5"/>
      <c r="F16" s="5"/>
      <c r="G16" s="5"/>
      <c r="H16" s="5"/>
      <c r="I16" s="5"/>
      <c r="J16" s="5"/>
      <c r="K16" s="5"/>
      <c r="L16" s="21"/>
      <c r="P16" s="53"/>
      <c r="Q16" s="65"/>
      <c r="R16" s="64"/>
      <c r="S16" s="53"/>
      <c r="T16" s="53"/>
      <c r="U16" s="53"/>
      <c r="V16" s="64"/>
      <c r="W16" s="53"/>
      <c r="X16" s="65"/>
    </row>
    <row r="17" spans="1:24" ht="12.6" customHeight="1" x14ac:dyDescent="0.2">
      <c r="A17" s="724" t="str">
        <f>IF(Langue=1,"kg DCO/d","kg CSB/d")</f>
        <v>kg CSB/d</v>
      </c>
      <c r="B17" s="797">
        <f>B16*120/1000</f>
        <v>12</v>
      </c>
      <c r="C17" s="723"/>
      <c r="E17" s="5"/>
      <c r="F17" s="5"/>
      <c r="G17" s="741"/>
      <c r="H17" s="5"/>
      <c r="I17" s="5"/>
      <c r="J17" s="5"/>
      <c r="K17" s="5"/>
      <c r="L17" s="21"/>
      <c r="P17" s="53"/>
      <c r="Q17" s="65"/>
      <c r="R17" s="64"/>
      <c r="S17" s="57"/>
      <c r="T17" s="53"/>
      <c r="U17" s="53"/>
      <c r="V17" s="64"/>
      <c r="W17" s="53"/>
      <c r="X17" s="65"/>
    </row>
    <row r="18" spans="1:24" ht="12.6" customHeight="1" x14ac:dyDescent="0.2">
      <c r="A18" s="724" t="str">
        <f>IF(Langue=1,"Hydraulique","Hydraulisch")&amp;" (m3/d)"</f>
        <v>Hydraulisch (m3/d)</v>
      </c>
      <c r="B18" s="797">
        <f>'liste-STEP'!P104</f>
        <v>17</v>
      </c>
      <c r="C18" s="725"/>
      <c r="E18" s="5"/>
      <c r="F18" s="5"/>
      <c r="G18" s="5"/>
      <c r="H18" s="5"/>
      <c r="I18" s="5"/>
      <c r="J18" s="5"/>
      <c r="K18" s="5"/>
      <c r="L18" s="21"/>
      <c r="M18" s="34"/>
      <c r="N18" s="65"/>
      <c r="O18" s="14"/>
      <c r="P18" s="65"/>
      <c r="Q18" s="65"/>
      <c r="R18" s="14"/>
      <c r="S18" s="66"/>
      <c r="T18" s="65"/>
      <c r="U18" s="65"/>
      <c r="V18" s="14"/>
      <c r="W18" s="65"/>
      <c r="X18" s="65"/>
    </row>
    <row r="19" spans="1:24" ht="12.6" customHeight="1" x14ac:dyDescent="0.2">
      <c r="A19" s="726" t="str">
        <f>IF(Langue=1,"Vol. bassin bio.","Vol. Belüftungsb.")&amp;" (m3)"</f>
        <v>Vol. Belüftungsb. (m3)</v>
      </c>
      <c r="B19" s="798" t="str">
        <f>'liste-STEP'!Q104</f>
        <v/>
      </c>
      <c r="C19" s="725"/>
      <c r="E19" s="5"/>
      <c r="F19" s="5"/>
      <c r="G19" s="5"/>
      <c r="H19" s="5"/>
      <c r="I19" s="5"/>
      <c r="J19" s="5"/>
      <c r="K19" s="5"/>
      <c r="L19" s="21"/>
      <c r="M19" s="34"/>
      <c r="N19" s="65"/>
      <c r="O19" s="14"/>
      <c r="P19" s="65"/>
      <c r="Q19" s="65"/>
      <c r="R19" s="14"/>
      <c r="S19" s="66"/>
      <c r="T19" s="65"/>
      <c r="U19" s="65"/>
      <c r="V19" s="14"/>
      <c r="W19" s="65"/>
      <c r="X19" s="65"/>
    </row>
    <row r="20" spans="1:24" ht="12.6" customHeight="1" x14ac:dyDescent="0.2">
      <c r="C20" s="13"/>
      <c r="E20" s="5"/>
      <c r="F20" s="5"/>
      <c r="G20" s="5"/>
      <c r="H20" s="5"/>
      <c r="I20" s="5"/>
      <c r="J20" s="5"/>
      <c r="K20" s="5"/>
      <c r="L20" s="21"/>
      <c r="N20" s="4"/>
      <c r="O20" s="14"/>
      <c r="P20" s="14"/>
      <c r="Q20" s="14"/>
      <c r="R20" s="14"/>
      <c r="S20" s="58"/>
      <c r="T20" s="14"/>
      <c r="U20" s="14"/>
      <c r="V20" s="14"/>
      <c r="W20" s="14"/>
      <c r="X20" s="14"/>
    </row>
    <row r="21" spans="1:24" s="5" customFormat="1" x14ac:dyDescent="0.2">
      <c r="L21" s="21"/>
      <c r="M21" s="99"/>
      <c r="N21" s="99"/>
      <c r="O21" s="99"/>
      <c r="P21" s="99"/>
      <c r="Q21" s="99"/>
      <c r="R21" s="99"/>
      <c r="S21" s="99"/>
    </row>
    <row r="22" spans="1:24" s="5" customFormat="1" x14ac:dyDescent="0.2">
      <c r="A22" s="705" t="str">
        <f>IF(Langue=1,"Valeurs limites et exigences","Grenzwerte und Vorgaben")</f>
        <v>Grenzwerte und Vorgaben</v>
      </c>
      <c r="B22" s="719"/>
      <c r="C22" s="719"/>
      <c r="D22" s="719"/>
      <c r="E22" s="719"/>
      <c r="F22" s="719"/>
      <c r="G22" s="719"/>
      <c r="H22" s="719"/>
      <c r="I22" s="719"/>
      <c r="J22" s="719"/>
      <c r="K22" s="719"/>
      <c r="L22" s="719"/>
      <c r="M22" s="719"/>
      <c r="N22" s="719"/>
      <c r="O22" s="99"/>
      <c r="P22" s="99"/>
      <c r="Q22" s="99"/>
      <c r="R22" s="99"/>
      <c r="S22" s="99"/>
    </row>
    <row r="23" spans="1:24" s="5" customFormat="1" x14ac:dyDescent="0.2">
      <c r="A23" s="668"/>
      <c r="B23" s="555"/>
      <c r="C23" s="720" t="str">
        <f>IF(Langue=1,"DBO5","BSB5")</f>
        <v>BSB5</v>
      </c>
      <c r="D23" s="720" t="str">
        <f>IF(Langue=1,"DCO","CSB")</f>
        <v>CSB</v>
      </c>
      <c r="E23" s="737" t="str">
        <f>IF(Langue=1,"COT","TOC")</f>
        <v>TOC</v>
      </c>
      <c r="F23" s="738" t="str">
        <f>IF(Langue=1,"COD","DOC")</f>
        <v>DOC</v>
      </c>
      <c r="G23" s="720" t="s">
        <v>0</v>
      </c>
      <c r="H23" s="720" t="s">
        <v>156</v>
      </c>
      <c r="I23" s="720" t="s">
        <v>8</v>
      </c>
      <c r="J23" s="720" t="str">
        <f>IF(Langue=1,"Ptot","Pges")</f>
        <v>Pges</v>
      </c>
      <c r="K23" s="720" t="str">
        <f>IF(Langue=1,"SNDT","GUS")</f>
        <v>GUS</v>
      </c>
      <c r="L23" s="738" t="str">
        <f>IF(Langue=1,"débit","Durchfluss")</f>
        <v>Durchfluss</v>
      </c>
      <c r="M23" s="738" t="s">
        <v>160</v>
      </c>
      <c r="N23" s="738" t="str">
        <f>IF(Langue=1,"boues","Klärschlamm")</f>
        <v>Klärschlamm</v>
      </c>
      <c r="O23" s="99"/>
      <c r="P23" s="99"/>
      <c r="Q23" s="99"/>
      <c r="R23" s="99"/>
      <c r="S23" s="99"/>
    </row>
    <row r="24" spans="1:24" s="5" customFormat="1" x14ac:dyDescent="0.2">
      <c r="A24" s="740" t="str">
        <f>IF(Langue=1,"Conc. de rejet","Ablaufkonz.")</f>
        <v>Ablaufkonz.</v>
      </c>
      <c r="B24" s="733" t="s">
        <v>4</v>
      </c>
      <c r="C24" s="730" t="e">
        <f ca="1">stat('liste-STEP'!R104)</f>
        <v>#NAME?</v>
      </c>
      <c r="D24" s="730" t="e">
        <f ca="1">stat('liste-STEP'!CP104)</f>
        <v>#NAME?</v>
      </c>
      <c r="E24" s="743"/>
      <c r="F24" s="730" t="e">
        <f ca="1">stat('liste-STEP'!T104)</f>
        <v>#NAME?</v>
      </c>
      <c r="G24" s="730" t="e">
        <f ca="1">stat('liste-STEP'!X104)</f>
        <v>#NAME?</v>
      </c>
      <c r="H24" s="743"/>
      <c r="I24" s="730" t="e">
        <f ca="1">stat('liste-STEP'!Z104)</f>
        <v>#NAME?</v>
      </c>
      <c r="J24" s="730" t="e">
        <f ca="1">stat('liste-STEP'!V104)</f>
        <v>#NAME?</v>
      </c>
      <c r="K24" s="730" t="e">
        <f ca="1">stat('liste-STEP'!AA104)</f>
        <v>#NAME?</v>
      </c>
      <c r="L24" s="743"/>
      <c r="M24" s="743"/>
      <c r="N24" s="743"/>
      <c r="O24" s="99"/>
      <c r="P24" s="99"/>
      <c r="Q24" s="99"/>
      <c r="R24" s="99"/>
      <c r="S24" s="99"/>
    </row>
    <row r="25" spans="1:24" s="5" customFormat="1" x14ac:dyDescent="0.2">
      <c r="A25" s="740" t="str">
        <f>IF(Langue=1,"Rendement","Wirkungsgrad")</f>
        <v>Wirkungsgrad</v>
      </c>
      <c r="B25" s="733" t="s">
        <v>3</v>
      </c>
      <c r="C25" s="759" t="e">
        <f ca="1">stat('liste-STEP'!S104/100)</f>
        <v>#NAME?</v>
      </c>
      <c r="D25" s="731" t="e">
        <f ca="1">stat('liste-STEP'!CQ104/100)</f>
        <v>#NAME?</v>
      </c>
      <c r="E25" s="731" t="e">
        <f ca="1">stat('liste-STEP'!U104/100)</f>
        <v>#NAME?</v>
      </c>
      <c r="F25" s="743"/>
      <c r="G25" s="731" t="e">
        <f ca="1">stat('liste-STEP'!Y104/100)</f>
        <v>#NAME?</v>
      </c>
      <c r="H25" s="743"/>
      <c r="I25" s="743"/>
      <c r="J25" s="731" t="e">
        <f ca="1">stat('liste-STEP'!W104/100)</f>
        <v>#NAME?</v>
      </c>
      <c r="K25" s="743"/>
      <c r="L25" s="743"/>
      <c r="M25" s="743"/>
      <c r="N25" s="743"/>
      <c r="O25" s="99"/>
      <c r="P25" s="99"/>
      <c r="Q25" s="99"/>
      <c r="R25" s="99"/>
      <c r="S25" s="99"/>
    </row>
    <row r="26" spans="1:24" s="5" customFormat="1" x14ac:dyDescent="0.2">
      <c r="A26" s="740" t="str">
        <f>IF(Langue=1,"Exigence nb.mesures entrée","Verlangte Anz. Analysen, Zulauf")</f>
        <v>Verlangte Anz. Analysen, Zulauf</v>
      </c>
      <c r="B26" s="733" t="str">
        <f>IF('liste-STEP'!F94=1,"nb","Anz.")</f>
        <v>Anz.</v>
      </c>
      <c r="C26" s="730">
        <f>'liste-STEP'!AG104</f>
        <v>0</v>
      </c>
      <c r="D26" s="730">
        <f>'liste-STEP'!CR104</f>
        <v>0</v>
      </c>
      <c r="E26" s="730">
        <f>'liste-STEP'!AI104</f>
        <v>0</v>
      </c>
      <c r="F26" s="556">
        <f>'liste-STEP'!AK104</f>
        <v>0</v>
      </c>
      <c r="G26" s="730">
        <f>'liste-STEP'!AM104</f>
        <v>0</v>
      </c>
      <c r="H26" s="556">
        <f>'liste-STEP'!AO104</f>
        <v>0</v>
      </c>
      <c r="I26" s="742">
        <f>'liste-STEP'!AQ104</f>
        <v>0</v>
      </c>
      <c r="J26" s="730">
        <f>'liste-STEP'!AS104</f>
        <v>0</v>
      </c>
      <c r="K26" s="730">
        <f>'liste-STEP'!AU104</f>
        <v>0</v>
      </c>
      <c r="L26" s="727" t="str">
        <f>IF('liste-STEP'!AF104="H",IF('liste-STEP'!AY106=1,"horaires","stündlich"),IF('liste-STEP'!AY106=1,"journalier","täglich"))</f>
        <v>täglich</v>
      </c>
      <c r="M26" s="727">
        <f>'liste-STEP'!AW104</f>
        <v>0</v>
      </c>
      <c r="N26" s="727">
        <f>'liste-STEP'!AX104</f>
        <v>0</v>
      </c>
      <c r="O26" s="99"/>
      <c r="P26" s="99"/>
      <c r="Q26" s="99"/>
      <c r="R26" s="99"/>
      <c r="S26" s="99"/>
    </row>
    <row r="27" spans="1:24" s="5" customFormat="1" x14ac:dyDescent="0.2">
      <c r="A27" s="740" t="str">
        <f>IF(Langue=1,"Exigence nb.mesures sortie","Verlangte Anz. Analysen, Ablauf")</f>
        <v>Verlangte Anz. Analysen, Ablauf</v>
      </c>
      <c r="B27" s="733" t="str">
        <f>IF(Langue=1,"nb","Anz.")</f>
        <v>Anz.</v>
      </c>
      <c r="C27" s="730">
        <f>'liste-STEP'!AH104</f>
        <v>0</v>
      </c>
      <c r="D27" s="730">
        <f>'liste-STEP'!CS104</f>
        <v>0</v>
      </c>
      <c r="E27" s="730">
        <f>'liste-STEP'!AJ104</f>
        <v>0</v>
      </c>
      <c r="F27" s="556">
        <f>'liste-STEP'!AL104</f>
        <v>0</v>
      </c>
      <c r="G27" s="730">
        <f>'liste-STEP'!AN104</f>
        <v>0</v>
      </c>
      <c r="H27" s="556">
        <f>'liste-STEP'!AP104</f>
        <v>0</v>
      </c>
      <c r="I27" s="730">
        <f>'liste-STEP'!AR104</f>
        <v>0</v>
      </c>
      <c r="J27" s="730">
        <f>'liste-STEP'!AT104</f>
        <v>0</v>
      </c>
      <c r="K27" s="730">
        <f>'liste-STEP'!AV104</f>
        <v>0</v>
      </c>
      <c r="L27" s="727" t="str">
        <f>L26</f>
        <v>täglich</v>
      </c>
      <c r="M27" s="743"/>
      <c r="N27" s="743"/>
      <c r="O27" s="99"/>
      <c r="P27" s="99"/>
      <c r="Q27" s="99"/>
      <c r="R27" s="99"/>
      <c r="S27" s="99"/>
    </row>
    <row r="28" spans="1:24" s="5" customFormat="1" x14ac:dyDescent="0.2">
      <c r="A28" s="705" t="str">
        <f>IF(Langue=1,"Nb. analyses effectuées","Getätigte Analysenanzahl")</f>
        <v>Getätigte Analysenanzahl</v>
      </c>
      <c r="B28" s="719"/>
      <c r="C28" s="719"/>
      <c r="D28" s="719"/>
      <c r="E28" s="719"/>
      <c r="F28" s="719"/>
      <c r="G28" s="719"/>
      <c r="H28" s="719"/>
      <c r="I28" s="719"/>
      <c r="J28" s="719"/>
      <c r="K28" s="719"/>
      <c r="L28" s="719"/>
      <c r="M28" s="719"/>
      <c r="N28" s="719"/>
      <c r="O28" s="99"/>
      <c r="P28" s="99"/>
      <c r="Q28" s="99"/>
      <c r="R28" s="99"/>
      <c r="S28" s="99"/>
    </row>
    <row r="29" spans="1:24" s="5" customFormat="1" x14ac:dyDescent="0.2">
      <c r="A29" s="732" t="str">
        <f>IF(Langue=1,"Mesures effectuées entrée;","getätigte Analysen Zulauf")</f>
        <v>getätigte Analysen Zulauf</v>
      </c>
      <c r="B29" s="733" t="str">
        <f>IF('liste-STEP'!F94=1,"nb","Anz.")</f>
        <v>Anz.</v>
      </c>
      <c r="C29" s="730">
        <f>analyses!K392</f>
        <v>0</v>
      </c>
      <c r="D29" s="730">
        <f>analyses!L392</f>
        <v>0</v>
      </c>
      <c r="E29" s="730">
        <f>analyses!M392</f>
        <v>0</v>
      </c>
      <c r="F29" s="743"/>
      <c r="G29" s="730">
        <f>analyses!N392</f>
        <v>0</v>
      </c>
      <c r="H29" s="730">
        <f>analyses!O392</f>
        <v>0</v>
      </c>
      <c r="I29" s="743"/>
      <c r="J29" s="730">
        <f>analyses!P392</f>
        <v>0</v>
      </c>
      <c r="K29" s="743"/>
      <c r="L29" s="854">
        <f>analyses!F383</f>
        <v>0</v>
      </c>
      <c r="M29" s="854">
        <f>analyses!D383</f>
        <v>0</v>
      </c>
      <c r="N29" s="743"/>
      <c r="O29" s="99"/>
      <c r="P29" s="99"/>
      <c r="Q29" s="99"/>
      <c r="R29" s="99"/>
      <c r="S29" s="99"/>
    </row>
    <row r="30" spans="1:24" s="5" customFormat="1" x14ac:dyDescent="0.2">
      <c r="A30" s="732" t="str">
        <f>IF(Langue=1,"Mesures effectuées sortie","getätigte Analysen Ablauf")</f>
        <v>getätigte Analysen Ablauf</v>
      </c>
      <c r="B30" s="733" t="str">
        <f>IF(Langue=1,"nb","Anz.")</f>
        <v>Anz.</v>
      </c>
      <c r="C30" s="733">
        <f>analyses!Q392</f>
        <v>0</v>
      </c>
      <c r="D30" s="733">
        <f>analyses!R392</f>
        <v>0</v>
      </c>
      <c r="E30" s="743"/>
      <c r="F30" s="733">
        <f>analyses!S392</f>
        <v>0</v>
      </c>
      <c r="G30" s="733">
        <f>analyses!T392</f>
        <v>0</v>
      </c>
      <c r="H30" s="743"/>
      <c r="I30" s="733">
        <f>analyses!U392</f>
        <v>0</v>
      </c>
      <c r="J30" s="733">
        <f>analyses!X392</f>
        <v>0</v>
      </c>
      <c r="K30" s="733">
        <f>analyses!Y392</f>
        <v>0</v>
      </c>
      <c r="L30" s="733">
        <f>analyses!H383</f>
        <v>0</v>
      </c>
      <c r="M30" s="744"/>
      <c r="N30" s="744"/>
      <c r="O30" s="99"/>
      <c r="P30" s="99"/>
      <c r="Q30" s="99"/>
      <c r="R30" s="99"/>
      <c r="S30" s="99"/>
    </row>
    <row r="31" spans="1:24" s="5" customFormat="1" x14ac:dyDescent="0.2">
      <c r="A31" s="732" t="str">
        <f>IF(Langue=1,"% effectuées entrée","% getätigt Zulauf")</f>
        <v>% getätigt Zulauf</v>
      </c>
      <c r="B31" s="733" t="str">
        <f>IF('liste-STEP'!F96=1,"nb","Anz.")</f>
        <v>Anz.</v>
      </c>
      <c r="C31" s="846" t="str">
        <f>IF(C26=0,"",1/C26*C29)</f>
        <v/>
      </c>
      <c r="D31" s="846" t="str">
        <f>IF(D26=0,"",1/D26*D29)</f>
        <v/>
      </c>
      <c r="E31" s="846" t="str">
        <f t="shared" ref="E31:J31" si="0">IF(E26=0,"",1/E26*E29)</f>
        <v/>
      </c>
      <c r="F31" s="743"/>
      <c r="G31" s="846" t="str">
        <f t="shared" si="0"/>
        <v/>
      </c>
      <c r="H31" s="846" t="str">
        <f t="shared" si="0"/>
        <v/>
      </c>
      <c r="I31" s="743"/>
      <c r="J31" s="846" t="str">
        <f t="shared" si="0"/>
        <v/>
      </c>
      <c r="K31" s="743"/>
      <c r="L31" s="846">
        <f>IF(L26=0,"",1/365*L29)</f>
        <v>0</v>
      </c>
      <c r="M31" s="846" t="str">
        <f>IF(M26=0,"",1/M26*M29)</f>
        <v/>
      </c>
      <c r="N31" s="744"/>
      <c r="O31" s="99"/>
      <c r="P31" s="99"/>
      <c r="Q31" s="99"/>
      <c r="R31" s="99"/>
      <c r="S31" s="99"/>
    </row>
    <row r="32" spans="1:24" s="5" customFormat="1" x14ac:dyDescent="0.2">
      <c r="A32" s="732" t="str">
        <f>IF(Langue=1,"% effectuées sortie","% getätigt Ablauf")</f>
        <v>% getätigt Ablauf</v>
      </c>
      <c r="B32" s="733" t="str">
        <f>IF('liste-STEP'!F97=1,"nb","Anz.")</f>
        <v>Anz.</v>
      </c>
      <c r="C32" s="846" t="str">
        <f>(IF(C27=0,"",1/C27*C30))</f>
        <v/>
      </c>
      <c r="D32" s="846" t="str">
        <f t="shared" ref="D32:G32" si="1">(IF(D27=0,"",1/D27*D30))</f>
        <v/>
      </c>
      <c r="E32" s="743"/>
      <c r="F32" s="846" t="str">
        <f t="shared" si="1"/>
        <v/>
      </c>
      <c r="G32" s="846" t="str">
        <f t="shared" si="1"/>
        <v/>
      </c>
      <c r="H32" s="743"/>
      <c r="I32" s="846" t="str">
        <f t="shared" ref="I32:K32" si="2">(IF(I27=0,"",1/I27*I30))</f>
        <v/>
      </c>
      <c r="J32" s="846" t="str">
        <f t="shared" si="2"/>
        <v/>
      </c>
      <c r="K32" s="846" t="str">
        <f t="shared" si="2"/>
        <v/>
      </c>
      <c r="L32" s="846">
        <f>(IF(L27=0,"",1/365*L30))</f>
        <v>0</v>
      </c>
      <c r="M32" s="744"/>
      <c r="N32" s="744"/>
      <c r="O32" s="99"/>
      <c r="P32" s="99"/>
      <c r="Q32" s="99"/>
      <c r="R32" s="99"/>
      <c r="S32" s="99"/>
    </row>
    <row r="33" spans="1:19" s="5" customFormat="1" x14ac:dyDescent="0.2">
      <c r="A33" s="705" t="str">
        <f>IF(Langue=1,"Nombre non conformités (par année), exigence de rejet","Ablaufkonzentrationen, Anzahl Überschreitungen (pro Jahr)")</f>
        <v>Ablaufkonzentrationen, Anzahl Überschreitungen (pro Jahr)</v>
      </c>
      <c r="B33" s="705"/>
      <c r="C33" s="705"/>
      <c r="D33" s="705"/>
      <c r="E33" s="705"/>
      <c r="F33" s="705"/>
      <c r="G33" s="705"/>
      <c r="H33" s="705"/>
      <c r="I33" s="705"/>
      <c r="J33" s="705"/>
      <c r="K33" s="705"/>
      <c r="L33" s="705"/>
      <c r="M33" s="705"/>
      <c r="N33" s="705"/>
      <c r="O33" s="99"/>
      <c r="P33" s="99"/>
      <c r="Q33" s="99"/>
      <c r="R33" s="99"/>
      <c r="S33" s="99"/>
    </row>
    <row r="34" spans="1:19" s="5" customFormat="1" x14ac:dyDescent="0.2">
      <c r="A34" s="732" t="str">
        <f>IF(Langue=1,"Dépassements admissibles","zulässige Überschreitungen")</f>
        <v>zulässige Überschreitungen</v>
      </c>
      <c r="B34" s="733" t="str">
        <f>IF(Langue=1,"nb","Anz.")</f>
        <v>Anz.</v>
      </c>
      <c r="C34" s="730">
        <f>IF(C27=0,0,calc_depass(C30))</f>
        <v>0</v>
      </c>
      <c r="D34" s="730">
        <f>IF(D27=0,0,calc_depass(D30))</f>
        <v>0</v>
      </c>
      <c r="E34" s="743"/>
      <c r="F34" s="730">
        <f>IF(F27=0,0,calc_depass(F30))</f>
        <v>0</v>
      </c>
      <c r="G34" s="730">
        <f>IF(G27=0,0,calc_depass(G30))</f>
        <v>0</v>
      </c>
      <c r="H34" s="743"/>
      <c r="I34" s="730">
        <f>IF(I27=0,0,calc_depass(I30))</f>
        <v>0</v>
      </c>
      <c r="J34" s="730">
        <f>IF(J27=0,0,calc_depass(J30))</f>
        <v>0</v>
      </c>
      <c r="K34" s="730">
        <f>IF(K27=0,0,calc_depass(K30))</f>
        <v>0</v>
      </c>
      <c r="L34" s="745"/>
      <c r="M34" s="745"/>
      <c r="N34" s="745"/>
      <c r="O34" s="99"/>
      <c r="P34" s="99"/>
      <c r="Q34" s="99"/>
      <c r="R34" s="99"/>
      <c r="S34" s="99"/>
    </row>
    <row r="35" spans="1:19" s="5" customFormat="1" x14ac:dyDescent="0.2">
      <c r="A35" s="698" t="str">
        <f>IF(Langue=1,"Nb total de dépassement","Anz. tot. Überschreitungen")</f>
        <v>Anz. tot. Überschreitungen</v>
      </c>
      <c r="B35" s="733" t="str">
        <f>IF(Langue=1,"nb","Anz.")</f>
        <v>Anz.</v>
      </c>
      <c r="C35" s="730">
        <f ca="1">COUNTIF(données_step[S_DBO5],"&gt;"&amp;basis!C24)</f>
        <v>0</v>
      </c>
      <c r="D35" s="730">
        <f ca="1">COUNTIF(données_step[S_DCO],"&gt;"&amp;basis!D24)</f>
        <v>0</v>
      </c>
      <c r="E35" s="743"/>
      <c r="F35" s="730">
        <f ca="1">COUNTIF(données_step[S_COD],"&gt;"&amp;basis!F24)</f>
        <v>0</v>
      </c>
      <c r="G35" s="730">
        <f ca="1">COUNTIF(calculs!BS11:BS376,"&gt;"&amp;basis!G24)</f>
        <v>366</v>
      </c>
      <c r="H35" s="743"/>
      <c r="I35" s="730">
        <f ca="1">COUNTIF(données_step[S_NO2],"&gt;"&amp;basis!I24)</f>
        <v>0</v>
      </c>
      <c r="J35" s="730">
        <f ca="1">COUNTIF(données_step[S_PTOT],"&gt;"&amp;basis!J24)</f>
        <v>0</v>
      </c>
      <c r="K35" s="730">
        <f ca="1">COUNTIF(données_step[S_MES],"&gt;"&amp;basis!K24)</f>
        <v>0</v>
      </c>
      <c r="L35" s="745"/>
      <c r="M35" s="745"/>
      <c r="N35" s="745"/>
      <c r="O35" s="99"/>
      <c r="P35" s="99"/>
      <c r="Q35" s="99"/>
      <c r="R35" s="99"/>
      <c r="S35" s="99"/>
    </row>
    <row r="36" spans="1:19" s="5" customFormat="1" x14ac:dyDescent="0.2">
      <c r="A36" s="734" t="str">
        <f>IF(Langue=1,"Nb non-conforme","Anzahl unzulässige")</f>
        <v>Anzahl unzulässige</v>
      </c>
      <c r="B36" s="735" t="str">
        <f>IF(Langue=1,"nb","Anz.")</f>
        <v>Anz.</v>
      </c>
      <c r="C36" s="736">
        <f ca="1">IF(C35-C34&lt;0,0,C35-C34)</f>
        <v>0</v>
      </c>
      <c r="D36" s="736">
        <f ca="1">IF(D35-D34&lt;0,0,D35-D34)</f>
        <v>0</v>
      </c>
      <c r="E36" s="743"/>
      <c r="F36" s="736">
        <f ca="1">IF(F35-F34&lt;0,0,F35-F34)</f>
        <v>0</v>
      </c>
      <c r="G36" s="736">
        <f ca="1">IF(G35-G34&lt;0,0,G35-G34)</f>
        <v>366</v>
      </c>
      <c r="H36" s="743"/>
      <c r="I36" s="736">
        <f ca="1">IF(I35-I34&lt;0,0,I35-I34)</f>
        <v>0</v>
      </c>
      <c r="J36" s="736">
        <f ca="1">IF(J35-J34&lt;0,0,J35-J34)</f>
        <v>0</v>
      </c>
      <c r="K36" s="736">
        <f ca="1">IF(K35-K34&lt;0,0,K35-K34)</f>
        <v>0</v>
      </c>
      <c r="L36" s="745"/>
      <c r="M36" s="745"/>
      <c r="N36" s="745"/>
      <c r="O36" s="99"/>
      <c r="P36" s="99"/>
      <c r="Q36" s="99"/>
      <c r="R36" s="99"/>
      <c r="S36" s="99"/>
    </row>
    <row r="37" spans="1:19" s="5" customFormat="1" x14ac:dyDescent="0.2">
      <c r="A37" s="698" t="str">
        <f>IF(Langue=1,"% de non-conformité","% unzulässige")</f>
        <v>% unzulässige</v>
      </c>
      <c r="B37" s="730" t="s">
        <v>3</v>
      </c>
      <c r="C37" s="731" t="e">
        <f ca="1">C36/C30</f>
        <v>#DIV/0!</v>
      </c>
      <c r="D37" s="731" t="e">
        <f ca="1">D36/D30</f>
        <v>#DIV/0!</v>
      </c>
      <c r="E37" s="743"/>
      <c r="F37" s="731" t="e">
        <f ca="1">F36/F30</f>
        <v>#DIV/0!</v>
      </c>
      <c r="G37" s="731" t="e">
        <f ca="1">G36/G30</f>
        <v>#DIV/0!</v>
      </c>
      <c r="H37" s="743"/>
      <c r="I37" s="731" t="e">
        <f ca="1">I36/I30</f>
        <v>#DIV/0!</v>
      </c>
      <c r="J37" s="731" t="e">
        <f ca="1">J36/J30</f>
        <v>#DIV/0!</v>
      </c>
      <c r="K37" s="731" t="e">
        <f ca="1">K36/K30</f>
        <v>#DIV/0!</v>
      </c>
      <c r="L37" s="745"/>
      <c r="M37" s="745"/>
      <c r="N37" s="745"/>
      <c r="O37" s="99"/>
      <c r="P37" s="99"/>
      <c r="Q37" s="99"/>
      <c r="R37" s="99"/>
      <c r="S37" s="99"/>
    </row>
    <row r="38" spans="1:19" s="5" customFormat="1" x14ac:dyDescent="0.2">
      <c r="A38" s="705" t="str">
        <f>IF(Langue=1,"Nombre non conformités (par année), rendements","Reinigungsleistungen, Anzahl Uberschreitungen (pro Jahr)")</f>
        <v>Reinigungsleistungen, Anzahl Uberschreitungen (pro Jahr)</v>
      </c>
      <c r="B38" s="705"/>
      <c r="C38" s="705"/>
      <c r="D38" s="705"/>
      <c r="E38" s="705"/>
      <c r="F38" s="705"/>
      <c r="G38" s="705"/>
      <c r="H38" s="705"/>
      <c r="I38" s="705"/>
      <c r="J38" s="705"/>
      <c r="K38" s="705"/>
      <c r="L38" s="705"/>
      <c r="M38" s="705"/>
      <c r="N38" s="705"/>
      <c r="O38" s="99"/>
      <c r="P38" s="99"/>
      <c r="Q38" s="99"/>
      <c r="R38" s="99"/>
      <c r="S38" s="99"/>
    </row>
    <row r="39" spans="1:19" s="5" customFormat="1" x14ac:dyDescent="0.2">
      <c r="A39" s="698" t="str">
        <f>IF(Langue=1,"Nb total de dépassement","Anz. tot. Überschreitungen")</f>
        <v>Anz. tot. Überschreitungen</v>
      </c>
      <c r="B39" s="733" t="str">
        <f>IF(Langue=1,"nb","Anz.")</f>
        <v>Anz.</v>
      </c>
      <c r="C39" s="730">
        <f ca="1">COUNTIF('calcul-stats'!BG11:BG376,"&lt;"&amp;basis!C25)</f>
        <v>365</v>
      </c>
      <c r="D39" s="730">
        <f ca="1">COUNTIF('calcul-stats'!BH11:BH376,"&lt;"&amp;basis!D25)</f>
        <v>365</v>
      </c>
      <c r="E39" s="730">
        <f ca="1">COUNTIF('calcul-stats'!BI11:BI376,"&lt;"&amp;basis!E25)</f>
        <v>365</v>
      </c>
      <c r="F39" s="743"/>
      <c r="G39" s="730">
        <f ca="1">COUNTIF('calcul-stats'!BJ11:BJ376,"&lt;"&amp;basis!G25)</f>
        <v>365</v>
      </c>
      <c r="H39" s="743"/>
      <c r="I39" s="743"/>
      <c r="J39" s="730">
        <f ca="1">COUNTIF('calcul-stats'!BK11:BK376,"&lt;"&amp;basis!J25)</f>
        <v>365</v>
      </c>
      <c r="K39" s="743"/>
      <c r="L39" s="743"/>
      <c r="M39" s="743"/>
      <c r="N39" s="743"/>
      <c r="O39" s="743"/>
      <c r="P39" s="99"/>
      <c r="Q39" s="99"/>
      <c r="R39" s="99"/>
      <c r="S39" s="99"/>
    </row>
    <row r="40" spans="1:19" s="5" customFormat="1" x14ac:dyDescent="0.2">
      <c r="A40" s="734" t="str">
        <f>IF(Langue=1,"Nb non-conforme","Anzahl unzulässige")</f>
        <v>Anzahl unzulässige</v>
      </c>
      <c r="B40" s="735" t="str">
        <f>IF(Langue=1,"nb","Anz.")</f>
        <v>Anz.</v>
      </c>
      <c r="C40" s="736">
        <f ca="1">IF(C39-C34&lt;0,0,C39-C34)</f>
        <v>365</v>
      </c>
      <c r="D40" s="736">
        <f ca="1">IF(D39-D34&lt;0,0,D39-D34)</f>
        <v>365</v>
      </c>
      <c r="E40" s="736">
        <f ca="1">IF(E39-F34&lt;0,0,E39-F34)</f>
        <v>365</v>
      </c>
      <c r="F40" s="743"/>
      <c r="G40" s="736">
        <f ca="1">IF(G39-G34&lt;0,0,G39-G34)</f>
        <v>365</v>
      </c>
      <c r="H40" s="743"/>
      <c r="I40" s="743"/>
      <c r="J40" s="736">
        <f ca="1">IF(J39-J34&lt;0,0,J39-J34)</f>
        <v>365</v>
      </c>
      <c r="K40" s="743"/>
      <c r="L40" s="743"/>
      <c r="M40" s="743"/>
      <c r="N40" s="743"/>
      <c r="O40" s="743"/>
      <c r="P40" s="99"/>
      <c r="Q40" s="99"/>
      <c r="R40" s="99"/>
      <c r="S40" s="99"/>
    </row>
    <row r="41" spans="1:19" s="5" customFormat="1" x14ac:dyDescent="0.2">
      <c r="A41" s="698" t="str">
        <f>IF(Langue=1,"% de non-conformité","% unzulässige")</f>
        <v>% unzulässige</v>
      </c>
      <c r="B41" s="730" t="s">
        <v>3</v>
      </c>
      <c r="C41" s="731" t="e">
        <f ca="1">C40/C30</f>
        <v>#DIV/0!</v>
      </c>
      <c r="D41" s="731" t="e">
        <f ca="1">D40/D30</f>
        <v>#DIV/0!</v>
      </c>
      <c r="E41" s="731" t="e">
        <f ca="1">E40/F30</f>
        <v>#DIV/0!</v>
      </c>
      <c r="F41" s="743"/>
      <c r="G41" s="731" t="e">
        <f ca="1">G40/G30</f>
        <v>#DIV/0!</v>
      </c>
      <c r="H41" s="743"/>
      <c r="I41" s="743"/>
      <c r="J41" s="731" t="e">
        <f ca="1">J40/J30</f>
        <v>#DIV/0!</v>
      </c>
      <c r="K41" s="743"/>
      <c r="L41" s="743"/>
      <c r="M41" s="743"/>
      <c r="N41" s="743"/>
      <c r="O41" s="743"/>
      <c r="P41" s="99"/>
      <c r="Q41" s="99"/>
      <c r="R41" s="99"/>
      <c r="S41" s="99"/>
    </row>
    <row r="42" spans="1:19" s="5" customFormat="1" x14ac:dyDescent="0.2">
      <c r="A42" s="99"/>
      <c r="B42" s="99"/>
      <c r="C42" s="99"/>
      <c r="D42" s="99"/>
      <c r="E42" s="99"/>
      <c r="F42" s="99"/>
      <c r="G42" s="99"/>
      <c r="H42" s="99"/>
      <c r="I42" s="99"/>
      <c r="J42" s="99"/>
      <c r="K42" s="99"/>
      <c r="L42" s="21"/>
      <c r="M42" s="99"/>
      <c r="N42" s="99"/>
      <c r="O42" s="99"/>
      <c r="P42" s="99"/>
      <c r="Q42" s="99"/>
      <c r="R42" s="99"/>
      <c r="S42" s="99"/>
    </row>
    <row r="43" spans="1:19" s="5" customFormat="1" x14ac:dyDescent="0.2">
      <c r="A43" s="99"/>
      <c r="B43" s="99"/>
      <c r="C43" s="99"/>
      <c r="D43" s="99"/>
      <c r="E43" s="99"/>
      <c r="F43" s="99"/>
      <c r="G43" s="99"/>
      <c r="H43" s="99"/>
      <c r="I43" s="99"/>
      <c r="J43" s="99"/>
      <c r="K43" s="99"/>
      <c r="L43" s="99"/>
      <c r="M43" s="99"/>
      <c r="N43" s="99"/>
      <c r="O43" s="99"/>
      <c r="P43" s="99"/>
      <c r="Q43" s="99"/>
      <c r="R43" s="99"/>
      <c r="S43" s="99"/>
    </row>
    <row r="44" spans="1:19" s="5" customFormat="1" x14ac:dyDescent="0.2">
      <c r="A44" s="99"/>
      <c r="B44" s="99"/>
      <c r="C44" s="99"/>
      <c r="D44" s="99"/>
      <c r="E44" s="99"/>
      <c r="F44" s="99"/>
      <c r="G44" s="99"/>
      <c r="H44" s="99"/>
      <c r="I44" s="99"/>
      <c r="J44" s="99"/>
      <c r="K44" s="99"/>
      <c r="L44" s="99"/>
      <c r="M44" s="99"/>
      <c r="N44" s="99"/>
      <c r="O44" s="99"/>
      <c r="P44" s="99"/>
      <c r="Q44" s="99"/>
      <c r="R44" s="99"/>
      <c r="S44" s="99"/>
    </row>
    <row r="45" spans="1:19" s="5" customFormat="1" x14ac:dyDescent="0.2">
      <c r="C45" s="594"/>
      <c r="D45" s="595"/>
      <c r="E45" s="596"/>
      <c r="F45" s="595"/>
      <c r="G45" s="595"/>
      <c r="H45" s="595"/>
      <c r="I45" s="596"/>
      <c r="J45" s="595"/>
      <c r="K45" s="595"/>
      <c r="M45" s="99"/>
      <c r="N45" s="99"/>
      <c r="O45" s="99"/>
      <c r="P45" s="99"/>
      <c r="Q45" s="99"/>
      <c r="R45" s="99"/>
      <c r="S45" s="99"/>
    </row>
    <row r="46" spans="1:19" s="5" customFormat="1" x14ac:dyDescent="0.2">
      <c r="A46" s="598" t="str">
        <f>IF(Langue=1,"En cas de différences, l'autorisation de déversement fait foi.","Bei Unstimmigkeiten gilt die Einleitbewilligung.")</f>
        <v>Bei Unstimmigkeiten gilt die Einleitbewilligung.</v>
      </c>
      <c r="B46" s="597"/>
      <c r="C46" s="596"/>
      <c r="D46" s="596"/>
      <c r="E46" s="596"/>
      <c r="F46" s="596"/>
      <c r="G46" s="596"/>
      <c r="H46" s="596"/>
      <c r="I46" s="596"/>
      <c r="J46" s="596"/>
      <c r="K46" s="596"/>
      <c r="M46" s="99"/>
      <c r="N46" s="99"/>
      <c r="O46" s="99"/>
      <c r="P46" s="99"/>
      <c r="Q46" s="99"/>
      <c r="R46" s="99"/>
      <c r="S46" s="99"/>
    </row>
    <row r="47" spans="1:19" s="5" customFormat="1" x14ac:dyDescent="0.2">
      <c r="A47" s="597"/>
      <c r="B47" s="593"/>
      <c r="C47" s="1"/>
      <c r="D47" s="1"/>
      <c r="E47" s="1"/>
      <c r="F47" s="1"/>
      <c r="G47" s="1"/>
      <c r="H47" s="1"/>
      <c r="I47" s="1"/>
      <c r="J47" s="1"/>
      <c r="K47" s="1"/>
      <c r="M47" s="99"/>
      <c r="N47" s="99"/>
      <c r="O47" s="99"/>
      <c r="P47" s="99"/>
      <c r="Q47" s="99"/>
      <c r="R47" s="99"/>
      <c r="S47" s="99"/>
    </row>
    <row r="48" spans="1:19" s="5" customFormat="1" x14ac:dyDescent="0.2">
      <c r="A48" s="598"/>
      <c r="M48" s="99"/>
      <c r="N48" s="99"/>
      <c r="O48" s="99"/>
      <c r="P48" s="99"/>
      <c r="Q48" s="99"/>
      <c r="R48" s="99"/>
      <c r="S48" s="99"/>
    </row>
    <row r="49" spans="1:19" x14ac:dyDescent="0.2">
      <c r="A49" s="598"/>
      <c r="B49" s="5"/>
      <c r="C49" s="5"/>
      <c r="D49" s="5"/>
      <c r="E49" s="5"/>
      <c r="F49" s="5"/>
      <c r="M49" s="99"/>
      <c r="N49" s="62"/>
      <c r="O49" s="62"/>
      <c r="P49" s="62"/>
      <c r="Q49" s="62"/>
      <c r="R49" s="62"/>
      <c r="S49" s="62"/>
    </row>
    <row r="50" spans="1:19" x14ac:dyDescent="0.2">
      <c r="A50" s="598"/>
      <c r="B50" s="5"/>
      <c r="C50" s="5"/>
      <c r="D50" s="5"/>
      <c r="E50" s="5"/>
      <c r="F50" s="5"/>
      <c r="M50" s="99"/>
      <c r="N50" s="62"/>
      <c r="O50" s="62"/>
      <c r="P50" s="62"/>
      <c r="Q50" s="62"/>
      <c r="R50" s="62"/>
      <c r="S50" s="62"/>
    </row>
    <row r="51" spans="1:19" x14ac:dyDescent="0.2">
      <c r="A51" s="598"/>
      <c r="B51" s="5"/>
      <c r="C51" s="5"/>
      <c r="D51" s="5"/>
      <c r="E51" s="5"/>
      <c r="F51" s="5"/>
      <c r="G51" s="728"/>
      <c r="H51" s="728"/>
      <c r="I51" s="728"/>
      <c r="J51" s="728"/>
      <c r="K51" s="728"/>
      <c r="M51" s="99"/>
      <c r="N51" s="62"/>
      <c r="O51" s="62"/>
      <c r="P51" s="62"/>
      <c r="Q51" s="62"/>
      <c r="R51" s="62"/>
      <c r="S51" s="62"/>
    </row>
    <row r="52" spans="1:19" x14ac:dyDescent="0.2">
      <c r="A52" s="5"/>
      <c r="B52" s="728"/>
      <c r="C52" s="728"/>
      <c r="D52" s="728"/>
      <c r="E52" s="728"/>
      <c r="F52" s="728"/>
      <c r="G52" s="728"/>
      <c r="H52" s="728"/>
      <c r="I52" s="728"/>
      <c r="J52" s="728"/>
      <c r="K52" s="728"/>
      <c r="M52" s="99"/>
      <c r="N52" s="62"/>
      <c r="O52" s="62"/>
      <c r="P52" s="62"/>
      <c r="Q52" s="62"/>
      <c r="R52" s="62"/>
      <c r="S52" s="62"/>
    </row>
    <row r="53" spans="1:19" x14ac:dyDescent="0.2">
      <c r="A53" s="5"/>
      <c r="B53" s="728"/>
      <c r="C53" s="728"/>
      <c r="D53" s="728"/>
      <c r="E53" s="728"/>
      <c r="F53" s="728"/>
      <c r="G53" s="728"/>
      <c r="H53" s="728"/>
      <c r="I53" s="728"/>
      <c r="J53" s="728"/>
      <c r="K53" s="728"/>
      <c r="M53" s="99"/>
      <c r="N53" s="62"/>
      <c r="O53" s="62"/>
      <c r="P53" s="62"/>
      <c r="Q53" s="62"/>
      <c r="R53" s="62"/>
      <c r="S53" s="62"/>
    </row>
    <row r="54" spans="1:19" x14ac:dyDescent="0.2">
      <c r="A54" s="5"/>
      <c r="B54" s="728"/>
      <c r="C54" s="728"/>
      <c r="D54" s="728"/>
      <c r="E54" s="728"/>
      <c r="F54" s="728"/>
      <c r="G54" s="728"/>
      <c r="H54" s="728"/>
      <c r="I54" s="728"/>
      <c r="J54" s="728"/>
      <c r="K54" s="728"/>
      <c r="M54" s="99"/>
      <c r="N54" s="62"/>
      <c r="O54" s="62"/>
      <c r="P54" s="62"/>
      <c r="Q54" s="62"/>
      <c r="R54" s="62"/>
      <c r="S54" s="62"/>
    </row>
    <row r="55" spans="1:19" x14ac:dyDescent="0.2">
      <c r="A55" s="5"/>
      <c r="B55" s="728"/>
      <c r="C55" s="728"/>
      <c r="D55" s="728"/>
      <c r="E55" s="728"/>
      <c r="F55" s="728"/>
      <c r="G55" s="728"/>
      <c r="H55" s="728"/>
      <c r="I55" s="728"/>
      <c r="J55" s="728"/>
      <c r="K55" s="728"/>
      <c r="M55" s="99"/>
      <c r="N55" s="62"/>
      <c r="O55" s="62"/>
      <c r="P55" s="62"/>
      <c r="Q55" s="62"/>
      <c r="R55" s="62"/>
      <c r="S55" s="62"/>
    </row>
    <row r="56" spans="1:19" x14ac:dyDescent="0.2">
      <c r="A56" s="5"/>
      <c r="B56" s="728"/>
      <c r="C56" s="728"/>
      <c r="D56" s="728"/>
      <c r="E56" s="728"/>
      <c r="F56" s="728"/>
      <c r="G56" s="728"/>
      <c r="H56" s="728"/>
      <c r="I56" s="728"/>
      <c r="J56" s="728"/>
      <c r="K56" s="728"/>
      <c r="M56" s="99"/>
      <c r="N56" s="62"/>
      <c r="O56" s="62"/>
      <c r="P56" s="62"/>
      <c r="Q56" s="62"/>
      <c r="R56" s="62"/>
      <c r="S56" s="62"/>
    </row>
    <row r="57" spans="1:19" x14ac:dyDescent="0.2">
      <c r="A57" s="5"/>
      <c r="B57" s="728"/>
      <c r="C57" s="728"/>
      <c r="D57" s="728"/>
      <c r="E57" s="728"/>
      <c r="F57" s="728"/>
      <c r="G57" s="728"/>
      <c r="H57" s="728"/>
      <c r="I57" s="728"/>
      <c r="J57" s="728"/>
      <c r="K57" s="728"/>
      <c r="M57" s="99"/>
      <c r="N57" s="62"/>
      <c r="O57" s="62"/>
      <c r="P57" s="62"/>
      <c r="Q57" s="62"/>
      <c r="R57" s="62"/>
      <c r="S57" s="62"/>
    </row>
    <row r="58" spans="1:19" x14ac:dyDescent="0.2">
      <c r="A58" s="5"/>
      <c r="B58" s="728"/>
      <c r="C58" s="728"/>
      <c r="D58" s="728"/>
      <c r="E58" s="728"/>
      <c r="F58" s="728"/>
      <c r="G58" s="728"/>
      <c r="H58" s="728"/>
      <c r="I58" s="728"/>
      <c r="J58" s="728"/>
      <c r="K58" s="728"/>
      <c r="M58" s="99"/>
      <c r="N58" s="62"/>
      <c r="O58" s="62"/>
      <c r="P58" s="62"/>
      <c r="Q58" s="62"/>
      <c r="R58" s="62"/>
      <c r="S58" s="62"/>
    </row>
    <row r="59" spans="1:19" x14ac:dyDescent="0.2">
      <c r="A59" s="5"/>
      <c r="B59" s="728"/>
      <c r="C59" s="728"/>
      <c r="D59" s="728"/>
      <c r="E59" s="728"/>
      <c r="F59" s="728"/>
      <c r="G59" s="728"/>
      <c r="H59" s="728"/>
      <c r="I59" s="728"/>
      <c r="J59" s="728"/>
      <c r="K59" s="728"/>
      <c r="M59" s="99"/>
      <c r="N59" s="62"/>
      <c r="O59" s="62"/>
      <c r="P59" s="62"/>
      <c r="Q59" s="62"/>
      <c r="R59" s="62"/>
      <c r="S59" s="62"/>
    </row>
    <row r="60" spans="1:19" x14ac:dyDescent="0.2">
      <c r="A60" s="5"/>
      <c r="B60" s="728"/>
      <c r="C60" s="728"/>
      <c r="D60" s="728"/>
      <c r="E60" s="728"/>
      <c r="F60" s="728"/>
      <c r="G60" s="728"/>
      <c r="H60" s="728"/>
      <c r="I60" s="728"/>
      <c r="J60" s="728"/>
      <c r="K60" s="728"/>
      <c r="M60" s="99"/>
      <c r="N60" s="62"/>
      <c r="O60" s="62"/>
      <c r="P60" s="62"/>
      <c r="Q60" s="62"/>
      <c r="R60" s="62"/>
      <c r="S60" s="62"/>
    </row>
    <row r="61" spans="1:19" x14ac:dyDescent="0.2">
      <c r="A61" s="5"/>
      <c r="B61" s="728"/>
      <c r="C61" s="728"/>
      <c r="D61" s="728"/>
      <c r="E61" s="728"/>
      <c r="F61" s="728"/>
      <c r="G61" s="728"/>
      <c r="H61" s="728"/>
      <c r="I61" s="728"/>
      <c r="J61" s="728"/>
      <c r="K61" s="728"/>
      <c r="M61" s="99"/>
      <c r="N61" s="62"/>
      <c r="O61" s="62"/>
      <c r="P61" s="62"/>
      <c r="Q61" s="62"/>
      <c r="R61" s="62"/>
      <c r="S61" s="62"/>
    </row>
    <row r="62" spans="1:19" x14ac:dyDescent="0.2">
      <c r="A62" s="5"/>
      <c r="M62" s="99"/>
      <c r="N62" s="62"/>
      <c r="O62" s="62"/>
      <c r="P62" s="62"/>
      <c r="Q62" s="62"/>
      <c r="R62" s="62"/>
      <c r="S62" s="62"/>
    </row>
    <row r="63" spans="1:19" x14ac:dyDescent="0.2">
      <c r="A63" s="5"/>
      <c r="M63" s="99"/>
      <c r="N63" s="62"/>
      <c r="O63" s="62"/>
      <c r="P63" s="62"/>
      <c r="Q63" s="62"/>
      <c r="R63" s="62"/>
      <c r="S63" s="62"/>
    </row>
    <row r="64" spans="1:19" x14ac:dyDescent="0.2">
      <c r="A64" s="5"/>
      <c r="M64" s="99"/>
      <c r="N64" s="62"/>
      <c r="O64" s="62"/>
      <c r="P64" s="62"/>
      <c r="Q64" s="62"/>
      <c r="R64" s="62"/>
      <c r="S64" s="62"/>
    </row>
    <row r="65" spans="1:19" x14ac:dyDescent="0.2">
      <c r="A65" s="5"/>
      <c r="M65" s="99"/>
      <c r="N65" s="62"/>
      <c r="O65" s="62"/>
      <c r="P65" s="62"/>
      <c r="Q65" s="62"/>
      <c r="R65" s="62"/>
      <c r="S65" s="62"/>
    </row>
    <row r="66" spans="1:19" x14ac:dyDescent="0.2">
      <c r="A66" s="5"/>
      <c r="M66" s="99"/>
      <c r="N66" s="62"/>
      <c r="O66" s="62"/>
      <c r="P66" s="62"/>
      <c r="Q66" s="62"/>
      <c r="R66" s="62"/>
      <c r="S66" s="62"/>
    </row>
    <row r="67" spans="1:19" x14ac:dyDescent="0.2">
      <c r="A67" s="5"/>
      <c r="M67" s="99"/>
      <c r="N67" s="62"/>
      <c r="O67" s="62"/>
      <c r="P67" s="62"/>
      <c r="Q67" s="62"/>
      <c r="R67" s="62"/>
      <c r="S67" s="62"/>
    </row>
    <row r="68" spans="1:19" x14ac:dyDescent="0.2">
      <c r="A68" s="5"/>
      <c r="M68" s="99"/>
      <c r="N68" s="62"/>
      <c r="O68" s="62"/>
      <c r="P68" s="62"/>
      <c r="Q68" s="62"/>
      <c r="R68" s="62"/>
      <c r="S68" s="62"/>
    </row>
    <row r="69" spans="1:19" x14ac:dyDescent="0.2">
      <c r="A69" s="5"/>
      <c r="M69" s="99"/>
      <c r="N69" s="62"/>
      <c r="O69" s="62"/>
      <c r="P69" s="62"/>
      <c r="Q69" s="62"/>
      <c r="R69" s="62"/>
      <c r="S69" s="62"/>
    </row>
    <row r="70" spans="1:19" x14ac:dyDescent="0.2">
      <c r="A70" s="5"/>
      <c r="M70" s="99"/>
      <c r="N70" s="62"/>
      <c r="O70" s="62"/>
      <c r="P70" s="62"/>
      <c r="Q70" s="62"/>
      <c r="R70" s="62"/>
      <c r="S70" s="62"/>
    </row>
    <row r="71" spans="1:19" x14ac:dyDescent="0.2">
      <c r="A71" s="5"/>
      <c r="M71" s="99"/>
      <c r="N71" s="62"/>
      <c r="O71" s="62"/>
      <c r="P71" s="62"/>
      <c r="Q71" s="62"/>
      <c r="R71" s="62"/>
      <c r="S71" s="62"/>
    </row>
    <row r="72" spans="1:19" x14ac:dyDescent="0.2">
      <c r="A72" s="5"/>
      <c r="M72" s="99"/>
      <c r="N72" s="62"/>
      <c r="O72" s="62"/>
      <c r="P72" s="62"/>
      <c r="Q72" s="62"/>
      <c r="R72" s="62"/>
      <c r="S72" s="62"/>
    </row>
    <row r="73" spans="1:19" x14ac:dyDescent="0.2">
      <c r="A73" s="5"/>
      <c r="M73" s="99"/>
      <c r="N73" s="62"/>
      <c r="O73" s="62"/>
      <c r="P73" s="62"/>
      <c r="Q73" s="62"/>
      <c r="R73" s="62"/>
      <c r="S73" s="62"/>
    </row>
    <row r="74" spans="1:19" x14ac:dyDescent="0.2">
      <c r="A74" s="5"/>
      <c r="M74" s="99"/>
      <c r="N74" s="62"/>
      <c r="O74" s="62"/>
      <c r="P74" s="62"/>
      <c r="Q74" s="62"/>
      <c r="R74" s="62"/>
      <c r="S74" s="62"/>
    </row>
    <row r="75" spans="1:19" x14ac:dyDescent="0.2">
      <c r="A75" s="5"/>
      <c r="M75" s="99"/>
      <c r="N75" s="62"/>
      <c r="O75" s="62"/>
      <c r="P75" s="62"/>
      <c r="Q75" s="62"/>
      <c r="R75" s="62"/>
      <c r="S75" s="62"/>
    </row>
    <row r="76" spans="1:19" x14ac:dyDescent="0.2">
      <c r="A76" s="5"/>
      <c r="M76" s="99"/>
      <c r="N76" s="62"/>
      <c r="O76" s="62"/>
      <c r="P76" s="62"/>
      <c r="Q76" s="62"/>
      <c r="R76" s="62"/>
      <c r="S76" s="62"/>
    </row>
    <row r="77" spans="1:19" x14ac:dyDescent="0.2">
      <c r="A77" s="5"/>
      <c r="M77" s="99"/>
      <c r="N77" s="62"/>
      <c r="O77" s="62"/>
      <c r="P77" s="62"/>
      <c r="Q77" s="62"/>
      <c r="R77" s="62"/>
      <c r="S77" s="62"/>
    </row>
    <row r="78" spans="1:19" x14ac:dyDescent="0.2">
      <c r="A78" s="5"/>
      <c r="M78" s="99"/>
      <c r="N78" s="62"/>
      <c r="O78" s="62"/>
      <c r="P78" s="62"/>
      <c r="Q78" s="62"/>
      <c r="R78" s="62"/>
      <c r="S78" s="62"/>
    </row>
    <row r="79" spans="1:19" x14ac:dyDescent="0.2">
      <c r="A79" s="5"/>
      <c r="M79" s="99"/>
      <c r="N79" s="62"/>
      <c r="O79" s="62"/>
      <c r="P79" s="62"/>
      <c r="Q79" s="62"/>
      <c r="R79" s="62"/>
      <c r="S79" s="62"/>
    </row>
    <row r="80" spans="1:19" x14ac:dyDescent="0.2">
      <c r="A80" s="5"/>
      <c r="M80" s="99"/>
      <c r="N80" s="62"/>
      <c r="O80" s="62"/>
      <c r="P80" s="62"/>
      <c r="Q80" s="62"/>
      <c r="R80" s="62"/>
      <c r="S80" s="62"/>
    </row>
    <row r="81" spans="1:19" x14ac:dyDescent="0.2">
      <c r="A81" s="5"/>
      <c r="M81" s="99"/>
      <c r="N81" s="62"/>
      <c r="O81" s="62"/>
      <c r="P81" s="62"/>
      <c r="Q81" s="62"/>
      <c r="R81" s="62"/>
      <c r="S81" s="62"/>
    </row>
    <row r="82" spans="1:19" x14ac:dyDescent="0.2">
      <c r="A82" s="5"/>
      <c r="M82" s="99"/>
      <c r="N82" s="62"/>
      <c r="O82" s="62"/>
      <c r="P82" s="62"/>
      <c r="Q82" s="62"/>
      <c r="R82" s="62"/>
      <c r="S82" s="62"/>
    </row>
    <row r="83" spans="1:19" x14ac:dyDescent="0.2">
      <c r="A83" s="5"/>
      <c r="M83" s="99"/>
      <c r="N83" s="62"/>
      <c r="O83" s="62"/>
      <c r="P83" s="62"/>
      <c r="Q83" s="62"/>
      <c r="R83" s="62"/>
      <c r="S83" s="62"/>
    </row>
    <row r="84" spans="1:19" x14ac:dyDescent="0.2">
      <c r="A84" s="5"/>
      <c r="M84" s="99"/>
      <c r="N84" s="62"/>
      <c r="O84" s="62"/>
      <c r="P84" s="62"/>
      <c r="Q84" s="62"/>
      <c r="R84" s="62"/>
      <c r="S84" s="62"/>
    </row>
    <row r="85" spans="1:19" x14ac:dyDescent="0.2">
      <c r="A85" s="5"/>
      <c r="M85" s="99"/>
      <c r="N85" s="62"/>
      <c r="O85" s="62"/>
      <c r="P85" s="62"/>
      <c r="Q85" s="62"/>
      <c r="R85" s="62"/>
      <c r="S85" s="62"/>
    </row>
    <row r="86" spans="1:19" x14ac:dyDescent="0.2">
      <c r="A86" s="5"/>
      <c r="M86" s="99"/>
      <c r="N86" s="62"/>
      <c r="O86" s="62"/>
      <c r="P86" s="62"/>
      <c r="Q86" s="62"/>
      <c r="R86" s="62"/>
      <c r="S86" s="62"/>
    </row>
    <row r="87" spans="1:19" x14ac:dyDescent="0.2">
      <c r="A87" s="5"/>
      <c r="M87" s="99"/>
      <c r="N87" s="62"/>
      <c r="O87" s="62"/>
      <c r="P87" s="62"/>
      <c r="Q87" s="62"/>
      <c r="R87" s="62"/>
      <c r="S87" s="62"/>
    </row>
    <row r="88" spans="1:19" x14ac:dyDescent="0.2">
      <c r="A88" s="5"/>
      <c r="M88" s="99"/>
      <c r="N88" s="62"/>
      <c r="O88" s="62"/>
      <c r="P88" s="62"/>
      <c r="Q88" s="62"/>
      <c r="R88" s="62"/>
      <c r="S88" s="62"/>
    </row>
    <row r="89" spans="1:19" x14ac:dyDescent="0.2">
      <c r="A89" s="5"/>
      <c r="M89" s="99"/>
      <c r="N89" s="62"/>
      <c r="O89" s="62"/>
      <c r="P89" s="62"/>
      <c r="Q89" s="62"/>
      <c r="R89" s="62"/>
      <c r="S89" s="62"/>
    </row>
    <row r="90" spans="1:19" x14ac:dyDescent="0.2">
      <c r="A90" s="5"/>
      <c r="M90" s="99"/>
      <c r="N90" s="62"/>
      <c r="O90" s="62"/>
      <c r="P90" s="62"/>
      <c r="Q90" s="62"/>
      <c r="R90" s="62"/>
      <c r="S90" s="62"/>
    </row>
    <row r="91" spans="1:19" x14ac:dyDescent="0.2">
      <c r="A91" s="5"/>
      <c r="N91" s="62"/>
      <c r="O91" s="99" t="e">
        <f>CONCATENATE(O1,#REF!)</f>
        <v>#REF!</v>
      </c>
      <c r="P91" s="62"/>
      <c r="Q91" s="62"/>
      <c r="R91" s="62"/>
      <c r="S91" s="62"/>
    </row>
    <row r="92" spans="1:19" x14ac:dyDescent="0.2">
      <c r="A92" s="5"/>
      <c r="M92" s="99"/>
      <c r="N92" s="62"/>
      <c r="O92" s="62"/>
      <c r="P92" s="62"/>
      <c r="Q92" s="62"/>
      <c r="R92" s="62"/>
      <c r="S92" s="62"/>
    </row>
    <row r="93" spans="1:19" x14ac:dyDescent="0.2">
      <c r="A93" s="5"/>
      <c r="M93" s="99"/>
      <c r="N93" s="62"/>
      <c r="O93" s="62"/>
      <c r="P93" s="62"/>
      <c r="Q93" s="62"/>
      <c r="R93" s="62"/>
      <c r="S93" s="62"/>
    </row>
    <row r="94" spans="1:19" x14ac:dyDescent="0.2">
      <c r="A94" s="5"/>
      <c r="M94" s="99"/>
      <c r="N94" s="62"/>
      <c r="O94" s="62"/>
      <c r="P94" s="62"/>
      <c r="Q94" s="62"/>
      <c r="R94" s="62"/>
      <c r="S94" s="62"/>
    </row>
    <row r="95" spans="1:19" x14ac:dyDescent="0.2">
      <c r="A95" s="5"/>
      <c r="M95" s="99"/>
      <c r="N95" s="62"/>
      <c r="O95" s="62"/>
      <c r="P95" s="62"/>
      <c r="Q95" s="62"/>
      <c r="R95" s="62"/>
      <c r="S95" s="62"/>
    </row>
    <row r="96" spans="1:19" x14ac:dyDescent="0.2">
      <c r="A96" s="5"/>
      <c r="M96" s="99"/>
      <c r="N96" s="62"/>
      <c r="O96" s="62"/>
      <c r="P96" s="62"/>
      <c r="Q96" s="62"/>
      <c r="R96" s="62"/>
      <c r="S96" s="62"/>
    </row>
    <row r="97" spans="1:19" x14ac:dyDescent="0.2">
      <c r="A97" s="5"/>
      <c r="M97" s="99"/>
      <c r="N97" s="62"/>
      <c r="O97" s="62"/>
      <c r="P97" s="62"/>
      <c r="Q97" s="62"/>
      <c r="R97" s="62"/>
      <c r="S97" s="62"/>
    </row>
    <row r="98" spans="1:19" x14ac:dyDescent="0.2">
      <c r="A98" s="5"/>
      <c r="M98" s="99"/>
      <c r="N98" s="62"/>
      <c r="O98" s="62"/>
      <c r="P98" s="62"/>
      <c r="Q98" s="62"/>
      <c r="R98" s="62"/>
      <c r="S98" s="62"/>
    </row>
    <row r="99" spans="1:19" x14ac:dyDescent="0.2">
      <c r="A99" s="5"/>
      <c r="M99" s="99"/>
      <c r="N99" s="62"/>
      <c r="O99" s="62"/>
      <c r="P99" s="62"/>
      <c r="Q99" s="62"/>
      <c r="R99" s="62"/>
      <c r="S99" s="62"/>
    </row>
    <row r="100" spans="1:19" x14ac:dyDescent="0.2">
      <c r="A100" s="5"/>
      <c r="M100" s="99"/>
      <c r="N100" s="62"/>
      <c r="O100" s="62"/>
      <c r="P100" s="62"/>
      <c r="Q100" s="62"/>
      <c r="R100" s="62"/>
      <c r="S100" s="62"/>
    </row>
    <row r="101" spans="1:19" x14ac:dyDescent="0.2">
      <c r="A101" s="5"/>
      <c r="M101" s="99"/>
      <c r="N101" s="62"/>
      <c r="O101" s="62"/>
      <c r="P101" s="62"/>
      <c r="Q101" s="62"/>
      <c r="R101" s="62"/>
      <c r="S101" s="62"/>
    </row>
    <row r="102" spans="1:19" x14ac:dyDescent="0.2">
      <c r="A102" s="5"/>
      <c r="M102" s="99"/>
      <c r="N102" s="62"/>
      <c r="O102" s="62"/>
      <c r="P102" s="62"/>
      <c r="Q102" s="62"/>
      <c r="R102" s="62"/>
      <c r="S102" s="62"/>
    </row>
    <row r="103" spans="1:19" x14ac:dyDescent="0.2">
      <c r="A103" s="5"/>
      <c r="M103" s="99"/>
      <c r="N103" s="62"/>
      <c r="O103" s="62"/>
      <c r="P103" s="62"/>
      <c r="Q103" s="62"/>
      <c r="R103" s="62"/>
      <c r="S103" s="62"/>
    </row>
    <row r="104" spans="1:19" x14ac:dyDescent="0.2">
      <c r="A104" s="5"/>
      <c r="M104" s="99"/>
      <c r="N104" s="62"/>
      <c r="O104" s="62"/>
      <c r="P104" s="62"/>
      <c r="Q104" s="62"/>
      <c r="R104" s="62"/>
      <c r="S104" s="62"/>
    </row>
    <row r="105" spans="1:19" x14ac:dyDescent="0.2">
      <c r="A105" s="5"/>
      <c r="M105" s="99"/>
      <c r="N105" s="62"/>
      <c r="O105" s="62"/>
      <c r="P105" s="62"/>
      <c r="Q105" s="62"/>
      <c r="R105" s="62"/>
      <c r="S105" s="62"/>
    </row>
    <row r="106" spans="1:19" x14ac:dyDescent="0.2">
      <c r="A106" s="5"/>
      <c r="M106" s="99"/>
      <c r="N106" s="62"/>
      <c r="O106" s="62"/>
      <c r="P106" s="62"/>
      <c r="Q106" s="62"/>
      <c r="R106" s="62"/>
      <c r="S106" s="62"/>
    </row>
    <row r="107" spans="1:19" x14ac:dyDescent="0.2">
      <c r="A107" s="5"/>
      <c r="M107" s="99"/>
      <c r="N107" s="62"/>
      <c r="O107" s="62"/>
      <c r="P107" s="62"/>
      <c r="Q107" s="62"/>
      <c r="R107" s="62"/>
      <c r="S107" s="62"/>
    </row>
    <row r="108" spans="1:19" x14ac:dyDescent="0.2">
      <c r="A108" s="5"/>
      <c r="M108" s="99"/>
      <c r="N108" s="62"/>
      <c r="O108" s="62"/>
      <c r="P108" s="62"/>
      <c r="Q108" s="62"/>
      <c r="R108" s="62"/>
      <c r="S108" s="62"/>
    </row>
    <row r="109" spans="1:19" x14ac:dyDescent="0.2">
      <c r="A109" s="5"/>
      <c r="M109" s="99"/>
      <c r="N109" s="62"/>
      <c r="O109" s="62"/>
      <c r="P109" s="62"/>
      <c r="Q109" s="62"/>
      <c r="R109" s="62"/>
      <c r="S109" s="62"/>
    </row>
    <row r="110" spans="1:19" x14ac:dyDescent="0.2">
      <c r="A110" s="5"/>
      <c r="M110" s="99"/>
      <c r="N110" s="62"/>
      <c r="O110" s="62"/>
      <c r="P110" s="62"/>
      <c r="Q110" s="62"/>
      <c r="R110" s="62"/>
      <c r="S110" s="62"/>
    </row>
    <row r="111" spans="1:19" x14ac:dyDescent="0.2">
      <c r="A111" s="5"/>
      <c r="M111" s="99"/>
      <c r="N111" s="62"/>
      <c r="O111" s="62"/>
      <c r="P111" s="62"/>
      <c r="Q111" s="62"/>
      <c r="R111" s="62"/>
      <c r="S111" s="62"/>
    </row>
    <row r="112" spans="1:19" x14ac:dyDescent="0.2">
      <c r="A112" s="5"/>
      <c r="M112" s="99"/>
      <c r="N112" s="62"/>
      <c r="O112" s="62"/>
      <c r="P112" s="62"/>
      <c r="Q112" s="62"/>
      <c r="R112" s="62"/>
      <c r="S112" s="62"/>
    </row>
    <row r="113" spans="1:19" x14ac:dyDescent="0.2">
      <c r="A113" s="5"/>
      <c r="M113" s="99"/>
      <c r="N113" s="62"/>
      <c r="O113" s="62"/>
      <c r="P113" s="62"/>
      <c r="Q113" s="62"/>
      <c r="R113" s="62"/>
      <c r="S113" s="62"/>
    </row>
    <row r="114" spans="1:19" x14ac:dyDescent="0.2">
      <c r="A114" s="5"/>
      <c r="M114" s="99"/>
      <c r="N114" s="62"/>
      <c r="O114" s="62"/>
      <c r="P114" s="62"/>
      <c r="Q114" s="62"/>
      <c r="R114" s="62"/>
      <c r="S114" s="62"/>
    </row>
    <row r="115" spans="1:19" x14ac:dyDescent="0.2">
      <c r="A115" s="5"/>
      <c r="M115" s="99"/>
      <c r="N115" s="62"/>
      <c r="O115" s="62"/>
      <c r="P115" s="62"/>
      <c r="Q115" s="62"/>
      <c r="R115" s="62"/>
      <c r="S115" s="62"/>
    </row>
    <row r="116" spans="1:19" x14ac:dyDescent="0.2">
      <c r="A116" s="5"/>
      <c r="M116" s="99"/>
      <c r="N116" s="62"/>
      <c r="O116" s="62"/>
      <c r="P116" s="62"/>
      <c r="Q116" s="62"/>
      <c r="R116" s="62"/>
      <c r="S116" s="62"/>
    </row>
    <row r="117" spans="1:19" x14ac:dyDescent="0.2">
      <c r="A117" s="5"/>
      <c r="M117" s="99"/>
      <c r="N117" s="62"/>
      <c r="O117" s="62"/>
      <c r="P117" s="62"/>
      <c r="Q117" s="62"/>
      <c r="R117" s="62"/>
      <c r="S117" s="62"/>
    </row>
    <row r="118" spans="1:19" x14ac:dyDescent="0.2">
      <c r="A118" s="5"/>
      <c r="M118" s="99"/>
      <c r="N118" s="62"/>
      <c r="O118" s="62"/>
      <c r="P118" s="62"/>
      <c r="Q118" s="62"/>
      <c r="R118" s="62"/>
      <c r="S118" s="62"/>
    </row>
    <row r="119" spans="1:19" x14ac:dyDescent="0.2">
      <c r="A119" s="5"/>
      <c r="M119" s="99"/>
      <c r="N119" s="62"/>
      <c r="O119" s="62"/>
      <c r="P119" s="62"/>
      <c r="Q119" s="62"/>
      <c r="R119" s="62"/>
      <c r="S119" s="62"/>
    </row>
    <row r="120" spans="1:19" x14ac:dyDescent="0.2">
      <c r="A120" s="5"/>
      <c r="M120" s="99"/>
      <c r="N120" s="62"/>
      <c r="O120" s="62"/>
      <c r="P120" s="62"/>
      <c r="Q120" s="62"/>
      <c r="R120" s="62"/>
      <c r="S120" s="62"/>
    </row>
    <row r="121" spans="1:19" x14ac:dyDescent="0.2">
      <c r="A121" s="5"/>
      <c r="M121" s="99"/>
      <c r="N121" s="62"/>
      <c r="O121" s="62"/>
      <c r="P121" s="62"/>
      <c r="Q121" s="62"/>
      <c r="R121" s="62"/>
      <c r="S121" s="62"/>
    </row>
    <row r="122" spans="1:19" x14ac:dyDescent="0.2">
      <c r="A122" s="5"/>
      <c r="M122" s="99"/>
      <c r="N122" s="62"/>
      <c r="O122" s="62"/>
      <c r="P122" s="62"/>
      <c r="Q122" s="62"/>
      <c r="R122" s="62"/>
      <c r="S122" s="62"/>
    </row>
    <row r="123" spans="1:19" x14ac:dyDescent="0.2">
      <c r="A123" s="5"/>
      <c r="M123" s="99"/>
      <c r="N123" s="62"/>
      <c r="O123" s="62"/>
      <c r="P123" s="62"/>
      <c r="Q123" s="62"/>
      <c r="R123" s="62"/>
      <c r="S123" s="62"/>
    </row>
    <row r="124" spans="1:19" x14ac:dyDescent="0.2">
      <c r="A124" s="5"/>
      <c r="M124" s="99"/>
      <c r="N124" s="62"/>
      <c r="O124" s="62"/>
      <c r="P124" s="62"/>
      <c r="Q124" s="62"/>
      <c r="R124" s="62"/>
      <c r="S124" s="62"/>
    </row>
    <row r="125" spans="1:19" x14ac:dyDescent="0.2">
      <c r="A125" s="5"/>
      <c r="M125" s="99"/>
      <c r="N125" s="62"/>
      <c r="O125" s="62"/>
      <c r="P125" s="62"/>
      <c r="Q125" s="62"/>
      <c r="R125" s="62"/>
      <c r="S125" s="62"/>
    </row>
    <row r="126" spans="1:19" x14ac:dyDescent="0.2">
      <c r="A126" s="5"/>
      <c r="M126" s="99"/>
      <c r="N126" s="62"/>
      <c r="O126" s="62"/>
      <c r="P126" s="62"/>
      <c r="Q126" s="62"/>
      <c r="R126" s="62"/>
      <c r="S126" s="62"/>
    </row>
    <row r="127" spans="1:19" x14ac:dyDescent="0.2">
      <c r="A127" s="5"/>
      <c r="M127" s="99"/>
      <c r="N127" s="62"/>
      <c r="O127" s="62"/>
      <c r="P127" s="62"/>
      <c r="Q127" s="62"/>
      <c r="R127" s="62"/>
      <c r="S127" s="62"/>
    </row>
    <row r="128" spans="1:19" x14ac:dyDescent="0.2">
      <c r="A128" s="5"/>
      <c r="M128" s="99"/>
      <c r="N128" s="62"/>
      <c r="O128" s="62"/>
      <c r="P128" s="62"/>
      <c r="Q128" s="62"/>
      <c r="R128" s="62"/>
      <c r="S128" s="62"/>
    </row>
    <row r="129" spans="1:19" x14ac:dyDescent="0.2">
      <c r="A129" s="5"/>
      <c r="M129" s="99"/>
      <c r="N129" s="62"/>
      <c r="O129" s="62"/>
      <c r="P129" s="62"/>
      <c r="Q129" s="62"/>
      <c r="R129" s="62"/>
      <c r="S129" s="62"/>
    </row>
    <row r="130" spans="1:19" x14ac:dyDescent="0.2">
      <c r="A130" s="5"/>
      <c r="M130" s="99"/>
      <c r="N130" s="62"/>
      <c r="O130" s="62"/>
      <c r="P130" s="62"/>
      <c r="Q130" s="62"/>
      <c r="R130" s="62"/>
      <c r="S130" s="62"/>
    </row>
    <row r="131" spans="1:19" x14ac:dyDescent="0.2">
      <c r="A131" s="5"/>
      <c r="M131" s="99"/>
      <c r="N131" s="62"/>
      <c r="O131" s="62"/>
      <c r="P131" s="62"/>
      <c r="Q131" s="62"/>
      <c r="R131" s="62"/>
      <c r="S131" s="62"/>
    </row>
    <row r="132" spans="1:19" x14ac:dyDescent="0.2">
      <c r="A132" s="5"/>
      <c r="M132" s="99"/>
      <c r="N132" s="62"/>
      <c r="O132" s="62"/>
      <c r="P132" s="62"/>
      <c r="Q132" s="62"/>
      <c r="R132" s="62"/>
      <c r="S132" s="62"/>
    </row>
    <row r="133" spans="1:19" x14ac:dyDescent="0.2">
      <c r="A133" s="5"/>
      <c r="M133" s="99"/>
      <c r="N133" s="62"/>
      <c r="O133" s="62"/>
      <c r="P133" s="62"/>
      <c r="Q133" s="62"/>
      <c r="R133" s="62"/>
      <c r="S133" s="62"/>
    </row>
    <row r="134" spans="1:19" x14ac:dyDescent="0.2">
      <c r="A134" s="5"/>
      <c r="M134" s="99"/>
      <c r="N134" s="62"/>
      <c r="O134" s="62"/>
      <c r="P134" s="62"/>
      <c r="Q134" s="62"/>
      <c r="R134" s="62"/>
      <c r="S134" s="62"/>
    </row>
    <row r="135" spans="1:19" x14ac:dyDescent="0.2">
      <c r="A135" s="5"/>
      <c r="M135" s="99"/>
      <c r="N135" s="62"/>
      <c r="O135" s="62"/>
      <c r="P135" s="62"/>
      <c r="Q135" s="62"/>
      <c r="R135" s="62"/>
      <c r="S135" s="62"/>
    </row>
    <row r="136" spans="1:19" x14ac:dyDescent="0.2">
      <c r="A136" s="5"/>
      <c r="M136" s="99"/>
      <c r="N136" s="62"/>
      <c r="O136" s="62"/>
      <c r="P136" s="62"/>
      <c r="Q136" s="62"/>
      <c r="R136" s="62"/>
      <c r="S136" s="62"/>
    </row>
    <row r="137" spans="1:19" x14ac:dyDescent="0.2">
      <c r="A137" s="5"/>
      <c r="M137" s="99"/>
      <c r="N137" s="62"/>
      <c r="O137" s="62"/>
      <c r="P137" s="62"/>
      <c r="Q137" s="62"/>
      <c r="R137" s="62"/>
      <c r="S137" s="62"/>
    </row>
    <row r="138" spans="1:19" x14ac:dyDescent="0.2">
      <c r="A138" s="5"/>
      <c r="M138" s="99"/>
      <c r="N138" s="62"/>
      <c r="O138" s="62"/>
      <c r="P138" s="62"/>
      <c r="Q138" s="62"/>
      <c r="R138" s="62"/>
      <c r="S138" s="62"/>
    </row>
    <row r="139" spans="1:19" x14ac:dyDescent="0.2">
      <c r="A139" s="5"/>
      <c r="M139" s="99"/>
      <c r="N139" s="62"/>
      <c r="O139" s="62"/>
      <c r="P139" s="62"/>
      <c r="Q139" s="62"/>
      <c r="R139" s="62"/>
      <c r="S139" s="62"/>
    </row>
    <row r="140" spans="1:19" x14ac:dyDescent="0.2">
      <c r="M140" s="99"/>
      <c r="N140" s="62"/>
      <c r="O140" s="62"/>
      <c r="P140" s="62"/>
      <c r="Q140" s="62"/>
      <c r="R140" s="62"/>
      <c r="S140" s="62"/>
    </row>
    <row r="141" spans="1:19" x14ac:dyDescent="0.2">
      <c r="M141" s="99"/>
      <c r="N141" s="62"/>
      <c r="O141" s="62"/>
      <c r="P141" s="62"/>
      <c r="Q141" s="62"/>
      <c r="R141" s="62"/>
      <c r="S141" s="62"/>
    </row>
    <row r="142" spans="1:19" x14ac:dyDescent="0.2">
      <c r="M142" s="99"/>
      <c r="N142" s="62"/>
      <c r="O142" s="62"/>
      <c r="P142" s="62"/>
      <c r="Q142" s="62"/>
      <c r="R142" s="62"/>
      <c r="S142" s="62"/>
    </row>
    <row r="143" spans="1:19" x14ac:dyDescent="0.2">
      <c r="M143" s="99"/>
      <c r="N143" s="62"/>
      <c r="O143" s="62"/>
      <c r="P143" s="62"/>
      <c r="Q143" s="62"/>
      <c r="R143" s="62"/>
      <c r="S143" s="62"/>
    </row>
    <row r="144" spans="1:19" x14ac:dyDescent="0.2">
      <c r="M144" s="99"/>
      <c r="N144" s="62"/>
      <c r="O144" s="62"/>
      <c r="P144" s="62"/>
      <c r="Q144" s="62"/>
      <c r="R144" s="62"/>
      <c r="S144" s="62"/>
    </row>
    <row r="145" spans="13:19" x14ac:dyDescent="0.2">
      <c r="M145" s="99"/>
      <c r="N145" s="62"/>
      <c r="O145" s="62"/>
      <c r="P145" s="62"/>
      <c r="Q145" s="62"/>
      <c r="R145" s="62"/>
      <c r="S145" s="62"/>
    </row>
    <row r="146" spans="13:19" x14ac:dyDescent="0.2">
      <c r="M146" s="99"/>
      <c r="N146" s="62"/>
      <c r="O146" s="62"/>
      <c r="P146" s="62"/>
      <c r="Q146" s="62"/>
      <c r="R146" s="62"/>
      <c r="S146" s="62"/>
    </row>
    <row r="147" spans="13:19" x14ac:dyDescent="0.2">
      <c r="M147" s="99"/>
      <c r="N147" s="62"/>
      <c r="O147" s="62"/>
      <c r="P147" s="62"/>
      <c r="Q147" s="62"/>
      <c r="R147" s="62"/>
      <c r="S147" s="62"/>
    </row>
    <row r="148" spans="13:19" x14ac:dyDescent="0.2">
      <c r="M148" s="99"/>
      <c r="N148" s="62"/>
      <c r="O148" s="62"/>
      <c r="P148" s="62"/>
      <c r="Q148" s="62"/>
      <c r="R148" s="62"/>
      <c r="S148" s="62"/>
    </row>
    <row r="149" spans="13:19" x14ac:dyDescent="0.2">
      <c r="M149" s="99"/>
      <c r="N149" s="62"/>
      <c r="O149" s="62"/>
      <c r="P149" s="62"/>
      <c r="Q149" s="62"/>
      <c r="R149" s="62"/>
      <c r="S149" s="62"/>
    </row>
  </sheetData>
  <mergeCells count="9">
    <mergeCell ref="E13:F13"/>
    <mergeCell ref="E14:F14"/>
    <mergeCell ref="L3:L4"/>
    <mergeCell ref="A1:D1"/>
    <mergeCell ref="B5:C5"/>
    <mergeCell ref="A3:A4"/>
    <mergeCell ref="E8:F8"/>
    <mergeCell ref="G9:N12"/>
    <mergeCell ref="E9:F9"/>
  </mergeCells>
  <phoneticPr fontId="5" type="noConversion"/>
  <conditionalFormatting sqref="C40:E40 G40 I36:K36 C36:D36 F36:G36">
    <cfRule type="cellIs" dxfId="126" priority="33" stopIfTrue="1" operator="greaterThan">
      <formula>0</formula>
    </cfRule>
  </conditionalFormatting>
  <conditionalFormatting sqref="C41:E41 G41 I37 C37:D37 F37:G37">
    <cfRule type="cellIs" dxfId="125" priority="31" stopIfTrue="1" operator="greaterThan">
      <formula>0</formula>
    </cfRule>
  </conditionalFormatting>
  <conditionalFormatting sqref="J37">
    <cfRule type="cellIs" dxfId="124" priority="10" stopIfTrue="1" operator="greaterThan">
      <formula>0</formula>
    </cfRule>
  </conditionalFormatting>
  <conditionalFormatting sqref="K37">
    <cfRule type="cellIs" dxfId="123" priority="9" stopIfTrue="1" operator="greaterThan">
      <formula>0</formula>
    </cfRule>
  </conditionalFormatting>
  <conditionalFormatting sqref="J40">
    <cfRule type="cellIs" dxfId="122" priority="8" stopIfTrue="1" operator="greaterThan">
      <formula>0</formula>
    </cfRule>
  </conditionalFormatting>
  <conditionalFormatting sqref="J41">
    <cfRule type="cellIs" dxfId="121" priority="7" stopIfTrue="1" operator="greaterThan">
      <formula>0</formula>
    </cfRule>
  </conditionalFormatting>
  <conditionalFormatting sqref="D31:D32 F32:G32 I32:L32 E31 G31:H31 J31 L31">
    <cfRule type="cellIs" dxfId="120" priority="3" operator="lessThan">
      <formula>1</formula>
    </cfRule>
  </conditionalFormatting>
  <conditionalFormatting sqref="M31">
    <cfRule type="cellIs" dxfId="119" priority="1" operator="lessThan">
      <formula>1</formula>
    </cfRule>
  </conditionalFormatting>
  <pageMargins left="0.62992125984251968" right="0.23622047244094491" top="0.55118110236220474" bottom="0.55118110236220474" header="0.31496062992125984" footer="0.31496062992125984"/>
  <pageSetup paperSize="9" scale="50" fitToHeight="0" orientation="portrait" r:id="rId1"/>
  <headerFooter alignWithMargins="0"/>
  <rowBreaks count="1" manualBreakCount="1">
    <brk id="50" max="11" man="1"/>
  </rowBreaks>
  <drawing r:id="rId2"/>
  <legacyDrawing r:id="rId3"/>
  <controls>
    <mc:AlternateContent xmlns:mc="http://schemas.openxmlformats.org/markup-compatibility/2006">
      <mc:Choice Requires="x14">
        <control shapeId="5336" r:id="rId4" name="OptionButton2">
          <controlPr defaultSize="0" autoLine="0" linkedCell="I4" r:id="rId5">
            <anchor moveWithCells="1">
              <from>
                <xdr:col>7</xdr:col>
                <xdr:colOff>38100</xdr:colOff>
                <xdr:row>3</xdr:row>
                <xdr:rowOff>47625</xdr:rowOff>
              </from>
              <to>
                <xdr:col>7</xdr:col>
                <xdr:colOff>752475</xdr:colOff>
                <xdr:row>4</xdr:row>
                <xdr:rowOff>104775</xdr:rowOff>
              </to>
            </anchor>
          </controlPr>
        </control>
      </mc:Choice>
      <mc:Fallback>
        <control shapeId="5336" r:id="rId4" name="OptionButton2"/>
      </mc:Fallback>
    </mc:AlternateContent>
    <mc:AlternateContent xmlns:mc="http://schemas.openxmlformats.org/markup-compatibility/2006">
      <mc:Choice Requires="x14">
        <control shapeId="5335" r:id="rId6" name="OptionButton1">
          <controlPr defaultSize="0" autoLine="0" autoPict="0" linkedCell="I3" r:id="rId7">
            <anchor moveWithCells="1">
              <from>
                <xdr:col>7</xdr:col>
                <xdr:colOff>38100</xdr:colOff>
                <xdr:row>1</xdr:row>
                <xdr:rowOff>219075</xdr:rowOff>
              </from>
              <to>
                <xdr:col>7</xdr:col>
                <xdr:colOff>752475</xdr:colOff>
                <xdr:row>3</xdr:row>
                <xdr:rowOff>57150</xdr:rowOff>
              </to>
            </anchor>
          </controlPr>
        </control>
      </mc:Choice>
      <mc:Fallback>
        <control shapeId="5335" r:id="rId6" name="OptionButton1"/>
      </mc:Fallback>
    </mc:AlternateContent>
    <mc:AlternateContent xmlns:mc="http://schemas.openxmlformats.org/markup-compatibility/2006">
      <mc:Choice Requires="x14">
        <control shapeId="5325" r:id="rId8" name="choix_STEP">
          <controlPr defaultSize="0" autoLine="0" linkedCell="choix_STEP" listFillRange="liste_noms_step" r:id="rId9">
            <anchor moveWithCells="1">
              <from>
                <xdr:col>0</xdr:col>
                <xdr:colOff>371475</xdr:colOff>
                <xdr:row>2</xdr:row>
                <xdr:rowOff>9525</xdr:rowOff>
              </from>
              <to>
                <xdr:col>1</xdr:col>
                <xdr:colOff>276225</xdr:colOff>
                <xdr:row>3</xdr:row>
                <xdr:rowOff>123825</xdr:rowOff>
              </to>
            </anchor>
          </controlPr>
        </control>
      </mc:Choice>
      <mc:Fallback>
        <control shapeId="5325" r:id="rId8" name="choix_STEP"/>
      </mc:Fallback>
    </mc:AlternateContent>
    <mc:AlternateContent xmlns:mc="http://schemas.openxmlformats.org/markup-compatibility/2006">
      <mc:Choice Requires="x14">
        <control shapeId="5339" r:id="rId10" name="Button 219">
          <controlPr defaultSize="0" print="0" autoFill="0" autoPict="0" macro="[0]!importer_donnees">
            <anchor moveWithCells="1" sizeWithCells="1">
              <from>
                <xdr:col>8</xdr:col>
                <xdr:colOff>180975</xdr:colOff>
                <xdr:row>2</xdr:row>
                <xdr:rowOff>19050</xdr:rowOff>
              </from>
              <to>
                <xdr:col>9</xdr:col>
                <xdr:colOff>457200</xdr:colOff>
                <xdr:row>4</xdr:row>
                <xdr:rowOff>9525</xdr:rowOff>
              </to>
            </anchor>
          </controlPr>
        </control>
      </mc:Choice>
    </mc:AlternateContent>
    <mc:AlternateContent xmlns:mc="http://schemas.openxmlformats.org/markup-compatibility/2006">
      <mc:Choice Requires="x14">
        <control shapeId="5340" r:id="rId11" name="Button 220">
          <controlPr defaultSize="0" print="0" autoFill="0" autoPict="0" macro="[0]!Save_file_as_new">
            <anchor moveWithCells="1" sizeWithCells="1">
              <from>
                <xdr:col>9</xdr:col>
                <xdr:colOff>590550</xdr:colOff>
                <xdr:row>2</xdr:row>
                <xdr:rowOff>19050</xdr:rowOff>
              </from>
              <to>
                <xdr:col>11</xdr:col>
                <xdr:colOff>466725</xdr:colOff>
                <xdr:row>4</xdr:row>
                <xdr:rowOff>9525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theme="8" tint="0.59999389629810485"/>
  </sheetPr>
  <dimension ref="A1:K377"/>
  <sheetViews>
    <sheetView zoomScaleNormal="100" workbookViewId="0">
      <selection activeCell="N7" sqref="N7"/>
    </sheetView>
  </sheetViews>
  <sheetFormatPr baseColWidth="10" defaultColWidth="11.42578125" defaultRowHeight="12.75" x14ac:dyDescent="0.2"/>
  <cols>
    <col min="1" max="16384" width="11.42578125" style="501"/>
  </cols>
  <sheetData>
    <row r="1" spans="1:11" x14ac:dyDescent="0.2">
      <c r="A1" s="749" t="str">
        <f>basis!A1</f>
        <v>ARA Ausserbinn</v>
      </c>
    </row>
    <row r="9" spans="1:11" x14ac:dyDescent="0.2">
      <c r="B9" s="1100" t="str">
        <f>A1&amp;" "&amp;Jahr&amp;" - "&amp;IF('liste-STEP'!F95=1,"ECP (m3/d)","Fremdwasser m3/d")</f>
        <v>ARA Ausserbinn 2022 - Fremdwasser m3/d</v>
      </c>
      <c r="C9" s="1101"/>
      <c r="D9" s="1101"/>
      <c r="E9" s="1101"/>
      <c r="F9" s="1101"/>
      <c r="G9" s="1100" t="str">
        <f>A1&amp;" "&amp;Jahr&amp;" - "&amp;IF('liste-STEP'!K95=1,"ECP (%)","Fremdwasser %")</f>
        <v>ARA Ausserbinn 2022 - Fremdwasser %</v>
      </c>
      <c r="H9" s="1101"/>
      <c r="I9" s="1101"/>
      <c r="J9" s="1101"/>
      <c r="K9" s="1101"/>
    </row>
    <row r="10" spans="1:11" x14ac:dyDescent="0.2">
      <c r="A10" s="502"/>
      <c r="B10" s="505" t="s">
        <v>321</v>
      </c>
      <c r="C10" s="505" t="s">
        <v>151</v>
      </c>
      <c r="D10" s="505" t="s">
        <v>157</v>
      </c>
      <c r="E10" s="505" t="s">
        <v>356</v>
      </c>
      <c r="F10" s="505" t="s">
        <v>357</v>
      </c>
      <c r="G10" s="505" t="s">
        <v>321</v>
      </c>
      <c r="H10" s="505" t="s">
        <v>151</v>
      </c>
      <c r="I10" s="505" t="s">
        <v>157</v>
      </c>
      <c r="J10" s="505" t="s">
        <v>356</v>
      </c>
      <c r="K10" s="505" t="s">
        <v>357</v>
      </c>
    </row>
    <row r="11" spans="1:11" x14ac:dyDescent="0.2">
      <c r="A11" s="222">
        <f>calculs!A11</f>
        <v>44562</v>
      </c>
      <c r="B11" s="523" t="e">
        <f ca="1">gr(calculs!X11)</f>
        <v>#NAME?</v>
      </c>
      <c r="C11" s="523" t="e">
        <f ca="1">gr(calculs!AD11)</f>
        <v>#NAME?</v>
      </c>
      <c r="D11" s="523" t="e">
        <f ca="1">gr(calculs!AJ11)</f>
        <v>#NAME?</v>
      </c>
      <c r="E11" s="523" t="e">
        <f ca="1">gr(calculs!AP11)</f>
        <v>#NAME?</v>
      </c>
      <c r="F11" s="523" t="e">
        <f ca="1">gr(calculs!AQ11)</f>
        <v>#NAME?</v>
      </c>
      <c r="G11" s="523" t="e">
        <f ca="1">gr(calculs!U11)</f>
        <v>#NAME?</v>
      </c>
      <c r="H11" s="523" t="e">
        <f ca="1">gr(calculs!AA11)</f>
        <v>#NAME?</v>
      </c>
      <c r="I11" s="523" t="e">
        <f ca="1">gr(calculs!AG11)</f>
        <v>#NAME?</v>
      </c>
      <c r="J11" s="523" t="e">
        <f ca="1">gr(calculs!AM11)</f>
        <v>#NAME?</v>
      </c>
      <c r="K11" s="523" t="e">
        <f ca="1">gr(calculs!AR11)</f>
        <v>#NAME?</v>
      </c>
    </row>
    <row r="12" spans="1:11" x14ac:dyDescent="0.2">
      <c r="A12" s="222">
        <f>calculs!A12</f>
        <v>44563</v>
      </c>
      <c r="B12" s="523" t="e">
        <f ca="1">gr(calculs!X12)</f>
        <v>#NAME?</v>
      </c>
      <c r="C12" s="523" t="e">
        <f ca="1">gr(calculs!AD12)</f>
        <v>#NAME?</v>
      </c>
      <c r="D12" s="523" t="e">
        <f ca="1">gr(calculs!AJ12)</f>
        <v>#NAME?</v>
      </c>
      <c r="E12" s="523" t="e">
        <f ca="1">gr(calculs!AP12)</f>
        <v>#NAME?</v>
      </c>
      <c r="F12" s="523" t="e">
        <f ca="1">gr(calculs!AQ12)</f>
        <v>#NAME?</v>
      </c>
      <c r="G12" s="523" t="e">
        <f ca="1">gr(calculs!U12)</f>
        <v>#NAME?</v>
      </c>
      <c r="H12" s="523" t="e">
        <f ca="1">gr(calculs!AA12)</f>
        <v>#NAME?</v>
      </c>
      <c r="I12" s="523" t="e">
        <f ca="1">gr(calculs!AG12)</f>
        <v>#NAME?</v>
      </c>
      <c r="J12" s="523" t="e">
        <f ca="1">gr(calculs!AM12)</f>
        <v>#NAME?</v>
      </c>
      <c r="K12" s="523" t="e">
        <f ca="1">gr(calculs!AR12)</f>
        <v>#NAME?</v>
      </c>
    </row>
    <row r="13" spans="1:11" x14ac:dyDescent="0.2">
      <c r="A13" s="222">
        <f>calculs!A13</f>
        <v>44564</v>
      </c>
      <c r="B13" s="523" t="e">
        <f ca="1">gr(calculs!X13)</f>
        <v>#NAME?</v>
      </c>
      <c r="C13" s="523" t="e">
        <f ca="1">gr(calculs!AD13)</f>
        <v>#NAME?</v>
      </c>
      <c r="D13" s="523" t="e">
        <f ca="1">gr(calculs!AJ13)</f>
        <v>#NAME?</v>
      </c>
      <c r="E13" s="523" t="e">
        <f ca="1">gr(calculs!AP13)</f>
        <v>#NAME?</v>
      </c>
      <c r="F13" s="523" t="e">
        <f ca="1">gr(calculs!AQ13)</f>
        <v>#NAME?</v>
      </c>
      <c r="G13" s="523" t="e">
        <f ca="1">gr(calculs!U13)</f>
        <v>#NAME?</v>
      </c>
      <c r="H13" s="523" t="e">
        <f ca="1">gr(calculs!AA13)</f>
        <v>#NAME?</v>
      </c>
      <c r="I13" s="523" t="e">
        <f ca="1">gr(calculs!AG13)</f>
        <v>#NAME?</v>
      </c>
      <c r="J13" s="523" t="e">
        <f ca="1">gr(calculs!AM13)</f>
        <v>#NAME?</v>
      </c>
      <c r="K13" s="523" t="e">
        <f ca="1">gr(calculs!AR13)</f>
        <v>#NAME?</v>
      </c>
    </row>
    <row r="14" spans="1:11" x14ac:dyDescent="0.2">
      <c r="A14" s="222">
        <f>calculs!A14</f>
        <v>44565</v>
      </c>
      <c r="B14" s="523" t="e">
        <f ca="1">gr(calculs!X14)</f>
        <v>#NAME?</v>
      </c>
      <c r="C14" s="523" t="e">
        <f ca="1">gr(calculs!AD14)</f>
        <v>#NAME?</v>
      </c>
      <c r="D14" s="523" t="e">
        <f ca="1">gr(calculs!AJ14)</f>
        <v>#NAME?</v>
      </c>
      <c r="E14" s="523" t="e">
        <f ca="1">gr(calculs!AP14)</f>
        <v>#NAME?</v>
      </c>
      <c r="F14" s="523" t="e">
        <f ca="1">gr(calculs!AQ14)</f>
        <v>#NAME?</v>
      </c>
      <c r="G14" s="523" t="e">
        <f ca="1">gr(calculs!U14)</f>
        <v>#NAME?</v>
      </c>
      <c r="H14" s="523" t="e">
        <f ca="1">gr(calculs!AA14)</f>
        <v>#NAME?</v>
      </c>
      <c r="I14" s="523" t="e">
        <f ca="1">gr(calculs!AG14)</f>
        <v>#NAME?</v>
      </c>
      <c r="J14" s="523" t="e">
        <f ca="1">gr(calculs!AM14)</f>
        <v>#NAME?</v>
      </c>
      <c r="K14" s="523" t="e">
        <f ca="1">gr(calculs!AR14)</f>
        <v>#NAME?</v>
      </c>
    </row>
    <row r="15" spans="1:11" x14ac:dyDescent="0.2">
      <c r="A15" s="222">
        <f>calculs!A15</f>
        <v>44566</v>
      </c>
      <c r="B15" s="523" t="e">
        <f ca="1">gr(calculs!X15)</f>
        <v>#NAME?</v>
      </c>
      <c r="C15" s="523" t="e">
        <f ca="1">gr(calculs!AD15)</f>
        <v>#NAME?</v>
      </c>
      <c r="D15" s="523" t="e">
        <f ca="1">gr(calculs!AJ15)</f>
        <v>#NAME?</v>
      </c>
      <c r="E15" s="523" t="e">
        <f ca="1">gr(calculs!AP15)</f>
        <v>#NAME?</v>
      </c>
      <c r="F15" s="523" t="e">
        <f ca="1">gr(calculs!AQ15)</f>
        <v>#NAME?</v>
      </c>
      <c r="G15" s="523" t="e">
        <f ca="1">gr(calculs!U15)</f>
        <v>#NAME?</v>
      </c>
      <c r="H15" s="523" t="e">
        <f ca="1">gr(calculs!AA15)</f>
        <v>#NAME?</v>
      </c>
      <c r="I15" s="523" t="e">
        <f ca="1">gr(calculs!AG15)</f>
        <v>#NAME?</v>
      </c>
      <c r="J15" s="523" t="e">
        <f ca="1">gr(calculs!AM15)</f>
        <v>#NAME?</v>
      </c>
      <c r="K15" s="523" t="e">
        <f ca="1">gr(calculs!AR15)</f>
        <v>#NAME?</v>
      </c>
    </row>
    <row r="16" spans="1:11" x14ac:dyDescent="0.2">
      <c r="A16" s="222">
        <f>calculs!A16</f>
        <v>44567</v>
      </c>
      <c r="B16" s="523" t="e">
        <f ca="1">gr(calculs!X16)</f>
        <v>#NAME?</v>
      </c>
      <c r="C16" s="523" t="e">
        <f ca="1">gr(calculs!AD16)</f>
        <v>#NAME?</v>
      </c>
      <c r="D16" s="523" t="e">
        <f ca="1">gr(calculs!AJ16)</f>
        <v>#NAME?</v>
      </c>
      <c r="E16" s="523" t="e">
        <f ca="1">gr(calculs!AP16)</f>
        <v>#NAME?</v>
      </c>
      <c r="F16" s="523" t="e">
        <f ca="1">gr(calculs!AQ16)</f>
        <v>#NAME?</v>
      </c>
      <c r="G16" s="523" t="e">
        <f ca="1">gr(calculs!U16)</f>
        <v>#NAME?</v>
      </c>
      <c r="H16" s="523" t="e">
        <f ca="1">gr(calculs!AA16)</f>
        <v>#NAME?</v>
      </c>
      <c r="I16" s="523" t="e">
        <f ca="1">gr(calculs!AG16)</f>
        <v>#NAME?</v>
      </c>
      <c r="J16" s="523" t="e">
        <f ca="1">gr(calculs!AM16)</f>
        <v>#NAME?</v>
      </c>
      <c r="K16" s="523" t="e">
        <f ca="1">gr(calculs!AR16)</f>
        <v>#NAME?</v>
      </c>
    </row>
    <row r="17" spans="1:11" x14ac:dyDescent="0.2">
      <c r="A17" s="222">
        <f>calculs!A17</f>
        <v>44568</v>
      </c>
      <c r="B17" s="523" t="e">
        <f ca="1">gr(calculs!X17)</f>
        <v>#NAME?</v>
      </c>
      <c r="C17" s="523" t="e">
        <f ca="1">gr(calculs!AD17)</f>
        <v>#NAME?</v>
      </c>
      <c r="D17" s="523" t="e">
        <f ca="1">gr(calculs!AJ17)</f>
        <v>#NAME?</v>
      </c>
      <c r="E17" s="523" t="e">
        <f ca="1">gr(calculs!AP17)</f>
        <v>#NAME?</v>
      </c>
      <c r="F17" s="523" t="e">
        <f ca="1">gr(calculs!AQ17)</f>
        <v>#NAME?</v>
      </c>
      <c r="G17" s="523" t="e">
        <f ca="1">gr(calculs!U17)</f>
        <v>#NAME?</v>
      </c>
      <c r="H17" s="523" t="e">
        <f ca="1">gr(calculs!AA17)</f>
        <v>#NAME?</v>
      </c>
      <c r="I17" s="523" t="e">
        <f ca="1">gr(calculs!AG17)</f>
        <v>#NAME?</v>
      </c>
      <c r="J17" s="523" t="e">
        <f ca="1">gr(calculs!AM17)</f>
        <v>#NAME?</v>
      </c>
      <c r="K17" s="523" t="e">
        <f ca="1">gr(calculs!AR17)</f>
        <v>#NAME?</v>
      </c>
    </row>
    <row r="18" spans="1:11" x14ac:dyDescent="0.2">
      <c r="A18" s="222">
        <f>calculs!A18</f>
        <v>44569</v>
      </c>
      <c r="B18" s="523" t="e">
        <f ca="1">gr(calculs!X18)</f>
        <v>#NAME?</v>
      </c>
      <c r="C18" s="523" t="e">
        <f ca="1">gr(calculs!AD18)</f>
        <v>#NAME?</v>
      </c>
      <c r="D18" s="523" t="e">
        <f ca="1">gr(calculs!AJ18)</f>
        <v>#NAME?</v>
      </c>
      <c r="E18" s="523" t="e">
        <f ca="1">gr(calculs!AP18)</f>
        <v>#NAME?</v>
      </c>
      <c r="F18" s="523" t="e">
        <f ca="1">gr(calculs!AQ18)</f>
        <v>#NAME?</v>
      </c>
      <c r="G18" s="523" t="e">
        <f ca="1">gr(calculs!U18)</f>
        <v>#NAME?</v>
      </c>
      <c r="H18" s="523" t="e">
        <f ca="1">gr(calculs!AA18)</f>
        <v>#NAME?</v>
      </c>
      <c r="I18" s="523" t="e">
        <f ca="1">gr(calculs!AG18)</f>
        <v>#NAME?</v>
      </c>
      <c r="J18" s="523" t="e">
        <f ca="1">gr(calculs!AM18)</f>
        <v>#NAME?</v>
      </c>
      <c r="K18" s="523" t="e">
        <f ca="1">gr(calculs!AR18)</f>
        <v>#NAME?</v>
      </c>
    </row>
    <row r="19" spans="1:11" x14ac:dyDescent="0.2">
      <c r="A19" s="222">
        <f>calculs!A19</f>
        <v>44570</v>
      </c>
      <c r="B19" s="523" t="e">
        <f ca="1">gr(calculs!X19)</f>
        <v>#NAME?</v>
      </c>
      <c r="C19" s="523" t="e">
        <f ca="1">gr(calculs!AD19)</f>
        <v>#NAME?</v>
      </c>
      <c r="D19" s="523" t="e">
        <f ca="1">gr(calculs!AJ19)</f>
        <v>#NAME?</v>
      </c>
      <c r="E19" s="523" t="e">
        <f ca="1">gr(calculs!AP19)</f>
        <v>#NAME?</v>
      </c>
      <c r="F19" s="523" t="e">
        <f ca="1">gr(calculs!AQ19)</f>
        <v>#NAME?</v>
      </c>
      <c r="G19" s="523" t="e">
        <f ca="1">gr(calculs!U19)</f>
        <v>#NAME?</v>
      </c>
      <c r="H19" s="523" t="e">
        <f ca="1">gr(calculs!AA19)</f>
        <v>#NAME?</v>
      </c>
      <c r="I19" s="523" t="e">
        <f ca="1">gr(calculs!AG19)</f>
        <v>#NAME?</v>
      </c>
      <c r="J19" s="523" t="e">
        <f ca="1">gr(calculs!AM19)</f>
        <v>#NAME?</v>
      </c>
      <c r="K19" s="523" t="e">
        <f ca="1">gr(calculs!AR19)</f>
        <v>#NAME?</v>
      </c>
    </row>
    <row r="20" spans="1:11" x14ac:dyDescent="0.2">
      <c r="A20" s="222">
        <f>calculs!A20</f>
        <v>44571</v>
      </c>
      <c r="B20" s="523" t="e">
        <f ca="1">gr(calculs!X20)</f>
        <v>#NAME?</v>
      </c>
      <c r="C20" s="523" t="e">
        <f ca="1">gr(calculs!AD20)</f>
        <v>#NAME?</v>
      </c>
      <c r="D20" s="523" t="e">
        <f ca="1">gr(calculs!AJ20)</f>
        <v>#NAME?</v>
      </c>
      <c r="E20" s="523" t="e">
        <f ca="1">gr(calculs!AP20)</f>
        <v>#NAME?</v>
      </c>
      <c r="F20" s="523" t="e">
        <f ca="1">gr(calculs!AQ20)</f>
        <v>#NAME?</v>
      </c>
      <c r="G20" s="523" t="e">
        <f ca="1">gr(calculs!U20)</f>
        <v>#NAME?</v>
      </c>
      <c r="H20" s="523" t="e">
        <f ca="1">gr(calculs!AA20)</f>
        <v>#NAME?</v>
      </c>
      <c r="I20" s="523" t="e">
        <f ca="1">gr(calculs!AG20)</f>
        <v>#NAME?</v>
      </c>
      <c r="J20" s="523" t="e">
        <f ca="1">gr(calculs!AM20)</f>
        <v>#NAME?</v>
      </c>
      <c r="K20" s="523" t="e">
        <f ca="1">gr(calculs!AR20)</f>
        <v>#NAME?</v>
      </c>
    </row>
    <row r="21" spans="1:11" x14ac:dyDescent="0.2">
      <c r="A21" s="222">
        <f>calculs!A21</f>
        <v>44572</v>
      </c>
      <c r="B21" s="523" t="e">
        <f ca="1">gr(calculs!X21)</f>
        <v>#NAME?</v>
      </c>
      <c r="C21" s="523" t="e">
        <f ca="1">gr(calculs!AD21)</f>
        <v>#NAME?</v>
      </c>
      <c r="D21" s="523" t="e">
        <f ca="1">gr(calculs!AJ21)</f>
        <v>#NAME?</v>
      </c>
      <c r="E21" s="523" t="e">
        <f ca="1">gr(calculs!AP21)</f>
        <v>#NAME?</v>
      </c>
      <c r="F21" s="523" t="e">
        <f ca="1">gr(calculs!AQ21)</f>
        <v>#NAME?</v>
      </c>
      <c r="G21" s="523" t="e">
        <f ca="1">gr(calculs!U21)</f>
        <v>#NAME?</v>
      </c>
      <c r="H21" s="523" t="e">
        <f ca="1">gr(calculs!AA21)</f>
        <v>#NAME?</v>
      </c>
      <c r="I21" s="523" t="e">
        <f ca="1">gr(calculs!AG21)</f>
        <v>#NAME?</v>
      </c>
      <c r="J21" s="523" t="e">
        <f ca="1">gr(calculs!AM21)</f>
        <v>#NAME?</v>
      </c>
      <c r="K21" s="523" t="e">
        <f ca="1">gr(calculs!AR21)</f>
        <v>#NAME?</v>
      </c>
    </row>
    <row r="22" spans="1:11" x14ac:dyDescent="0.2">
      <c r="A22" s="222">
        <f>calculs!A22</f>
        <v>44573</v>
      </c>
      <c r="B22" s="523" t="e">
        <f ca="1">gr(calculs!X22)</f>
        <v>#NAME?</v>
      </c>
      <c r="C22" s="523" t="e">
        <f ca="1">gr(calculs!AD22)</f>
        <v>#NAME?</v>
      </c>
      <c r="D22" s="523" t="e">
        <f ca="1">gr(calculs!AJ22)</f>
        <v>#NAME?</v>
      </c>
      <c r="E22" s="523" t="e">
        <f ca="1">gr(calculs!AP22)</f>
        <v>#NAME?</v>
      </c>
      <c r="F22" s="523" t="e">
        <f ca="1">gr(calculs!AQ22)</f>
        <v>#NAME?</v>
      </c>
      <c r="G22" s="523" t="e">
        <f ca="1">gr(calculs!U22)</f>
        <v>#NAME?</v>
      </c>
      <c r="H22" s="523" t="e">
        <f ca="1">gr(calculs!AA22)</f>
        <v>#NAME?</v>
      </c>
      <c r="I22" s="523" t="e">
        <f ca="1">gr(calculs!AG22)</f>
        <v>#NAME?</v>
      </c>
      <c r="J22" s="523" t="e">
        <f ca="1">gr(calculs!AM22)</f>
        <v>#NAME?</v>
      </c>
      <c r="K22" s="523" t="e">
        <f ca="1">gr(calculs!AR22)</f>
        <v>#NAME?</v>
      </c>
    </row>
    <row r="23" spans="1:11" x14ac:dyDescent="0.2">
      <c r="A23" s="222">
        <f>calculs!A23</f>
        <v>44574</v>
      </c>
      <c r="B23" s="523" t="e">
        <f ca="1">gr(calculs!X23)</f>
        <v>#NAME?</v>
      </c>
      <c r="C23" s="523" t="e">
        <f ca="1">gr(calculs!AD23)</f>
        <v>#NAME?</v>
      </c>
      <c r="D23" s="523" t="e">
        <f ca="1">gr(calculs!AJ23)</f>
        <v>#NAME?</v>
      </c>
      <c r="E23" s="523" t="e">
        <f ca="1">gr(calculs!AP23)</f>
        <v>#NAME?</v>
      </c>
      <c r="F23" s="523" t="e">
        <f ca="1">gr(calculs!AQ23)</f>
        <v>#NAME?</v>
      </c>
      <c r="G23" s="523" t="e">
        <f ca="1">gr(calculs!U23)</f>
        <v>#NAME?</v>
      </c>
      <c r="H23" s="523" t="e">
        <f ca="1">gr(calculs!AA23)</f>
        <v>#NAME?</v>
      </c>
      <c r="I23" s="523" t="e">
        <f ca="1">gr(calculs!AG23)</f>
        <v>#NAME?</v>
      </c>
      <c r="J23" s="523" t="e">
        <f ca="1">gr(calculs!AM23)</f>
        <v>#NAME?</v>
      </c>
      <c r="K23" s="523" t="e">
        <f ca="1">gr(calculs!AR23)</f>
        <v>#NAME?</v>
      </c>
    </row>
    <row r="24" spans="1:11" x14ac:dyDescent="0.2">
      <c r="A24" s="222">
        <f>calculs!A24</f>
        <v>44575</v>
      </c>
      <c r="B24" s="523" t="e">
        <f ca="1">gr(calculs!X24)</f>
        <v>#NAME?</v>
      </c>
      <c r="C24" s="523" t="e">
        <f ca="1">gr(calculs!AD24)</f>
        <v>#NAME?</v>
      </c>
      <c r="D24" s="523" t="e">
        <f ca="1">gr(calculs!AJ24)</f>
        <v>#NAME?</v>
      </c>
      <c r="E24" s="523" t="e">
        <f ca="1">gr(calculs!AP24)</f>
        <v>#NAME?</v>
      </c>
      <c r="F24" s="523" t="e">
        <f ca="1">gr(calculs!AQ24)</f>
        <v>#NAME?</v>
      </c>
      <c r="G24" s="523" t="e">
        <f ca="1">gr(calculs!U24)</f>
        <v>#NAME?</v>
      </c>
      <c r="H24" s="523" t="e">
        <f ca="1">gr(calculs!AA24)</f>
        <v>#NAME?</v>
      </c>
      <c r="I24" s="523" t="e">
        <f ca="1">gr(calculs!AG24)</f>
        <v>#NAME?</v>
      </c>
      <c r="J24" s="523" t="e">
        <f ca="1">gr(calculs!AM24)</f>
        <v>#NAME?</v>
      </c>
      <c r="K24" s="523" t="e">
        <f ca="1">gr(calculs!AR24)</f>
        <v>#NAME?</v>
      </c>
    </row>
    <row r="25" spans="1:11" x14ac:dyDescent="0.2">
      <c r="A25" s="222">
        <f>calculs!A25</f>
        <v>44576</v>
      </c>
      <c r="B25" s="523" t="e">
        <f ca="1">gr(calculs!X25)</f>
        <v>#NAME?</v>
      </c>
      <c r="C25" s="523" t="e">
        <f ca="1">gr(calculs!AD25)</f>
        <v>#NAME?</v>
      </c>
      <c r="D25" s="523" t="e">
        <f ca="1">gr(calculs!AJ25)</f>
        <v>#NAME?</v>
      </c>
      <c r="E25" s="523" t="e">
        <f ca="1">gr(calculs!AP25)</f>
        <v>#NAME?</v>
      </c>
      <c r="F25" s="523" t="e">
        <f ca="1">gr(calculs!AQ25)</f>
        <v>#NAME?</v>
      </c>
      <c r="G25" s="523" t="e">
        <f ca="1">gr(calculs!U25)</f>
        <v>#NAME?</v>
      </c>
      <c r="H25" s="523" t="e">
        <f ca="1">gr(calculs!AA25)</f>
        <v>#NAME?</v>
      </c>
      <c r="I25" s="523" t="e">
        <f ca="1">gr(calculs!AG25)</f>
        <v>#NAME?</v>
      </c>
      <c r="J25" s="523" t="e">
        <f ca="1">gr(calculs!AM25)</f>
        <v>#NAME?</v>
      </c>
      <c r="K25" s="523" t="e">
        <f ca="1">gr(calculs!AR25)</f>
        <v>#NAME?</v>
      </c>
    </row>
    <row r="26" spans="1:11" x14ac:dyDescent="0.2">
      <c r="A26" s="222">
        <f>calculs!A26</f>
        <v>44577</v>
      </c>
      <c r="B26" s="523" t="e">
        <f ca="1">gr(calculs!X26)</f>
        <v>#NAME?</v>
      </c>
      <c r="C26" s="523" t="e">
        <f ca="1">gr(calculs!AD26)</f>
        <v>#NAME?</v>
      </c>
      <c r="D26" s="523" t="e">
        <f ca="1">gr(calculs!AJ26)</f>
        <v>#NAME?</v>
      </c>
      <c r="E26" s="523" t="e">
        <f ca="1">gr(calculs!AP26)</f>
        <v>#NAME?</v>
      </c>
      <c r="F26" s="523" t="e">
        <f ca="1">gr(calculs!AQ26)</f>
        <v>#NAME?</v>
      </c>
      <c r="G26" s="523" t="e">
        <f ca="1">gr(calculs!U26)</f>
        <v>#NAME?</v>
      </c>
      <c r="H26" s="523" t="e">
        <f ca="1">gr(calculs!AA26)</f>
        <v>#NAME?</v>
      </c>
      <c r="I26" s="523" t="e">
        <f ca="1">gr(calculs!AG26)</f>
        <v>#NAME?</v>
      </c>
      <c r="J26" s="523" t="e">
        <f ca="1">gr(calculs!AM26)</f>
        <v>#NAME?</v>
      </c>
      <c r="K26" s="523" t="e">
        <f ca="1">gr(calculs!AR26)</f>
        <v>#NAME?</v>
      </c>
    </row>
    <row r="27" spans="1:11" x14ac:dyDescent="0.2">
      <c r="A27" s="222">
        <f>calculs!A27</f>
        <v>44578</v>
      </c>
      <c r="B27" s="523" t="e">
        <f ca="1">gr(calculs!X27)</f>
        <v>#NAME?</v>
      </c>
      <c r="C27" s="523" t="e">
        <f ca="1">gr(calculs!AD27)</f>
        <v>#NAME?</v>
      </c>
      <c r="D27" s="523" t="e">
        <f ca="1">gr(calculs!AJ27)</f>
        <v>#NAME?</v>
      </c>
      <c r="E27" s="523" t="e">
        <f ca="1">gr(calculs!AP27)</f>
        <v>#NAME?</v>
      </c>
      <c r="F27" s="523" t="e">
        <f ca="1">gr(calculs!AQ27)</f>
        <v>#NAME?</v>
      </c>
      <c r="G27" s="523" t="e">
        <f ca="1">gr(calculs!U27)</f>
        <v>#NAME?</v>
      </c>
      <c r="H27" s="523" t="e">
        <f ca="1">gr(calculs!AA27)</f>
        <v>#NAME?</v>
      </c>
      <c r="I27" s="523" t="e">
        <f ca="1">gr(calculs!AG27)</f>
        <v>#NAME?</v>
      </c>
      <c r="J27" s="523" t="e">
        <f ca="1">gr(calculs!AM27)</f>
        <v>#NAME?</v>
      </c>
      <c r="K27" s="523" t="e">
        <f ca="1">gr(calculs!AR27)</f>
        <v>#NAME?</v>
      </c>
    </row>
    <row r="28" spans="1:11" x14ac:dyDescent="0.2">
      <c r="A28" s="222">
        <f>calculs!A28</f>
        <v>44579</v>
      </c>
      <c r="B28" s="523" t="e">
        <f ca="1">gr(calculs!X28)</f>
        <v>#NAME?</v>
      </c>
      <c r="C28" s="523" t="e">
        <f ca="1">gr(calculs!AD28)</f>
        <v>#NAME?</v>
      </c>
      <c r="D28" s="523" t="e">
        <f ca="1">gr(calculs!AJ28)</f>
        <v>#NAME?</v>
      </c>
      <c r="E28" s="523" t="e">
        <f ca="1">gr(calculs!AP28)</f>
        <v>#NAME?</v>
      </c>
      <c r="F28" s="523" t="e">
        <f ca="1">gr(calculs!AQ28)</f>
        <v>#NAME?</v>
      </c>
      <c r="G28" s="523" t="e">
        <f ca="1">gr(calculs!U28)</f>
        <v>#NAME?</v>
      </c>
      <c r="H28" s="523" t="e">
        <f ca="1">gr(calculs!AA28)</f>
        <v>#NAME?</v>
      </c>
      <c r="I28" s="523" t="e">
        <f ca="1">gr(calculs!AG28)</f>
        <v>#NAME?</v>
      </c>
      <c r="J28" s="523" t="e">
        <f ca="1">gr(calculs!AM28)</f>
        <v>#NAME?</v>
      </c>
      <c r="K28" s="523" t="e">
        <f ca="1">gr(calculs!AR28)</f>
        <v>#NAME?</v>
      </c>
    </row>
    <row r="29" spans="1:11" x14ac:dyDescent="0.2">
      <c r="A29" s="222">
        <f>calculs!A29</f>
        <v>44580</v>
      </c>
      <c r="B29" s="523" t="e">
        <f ca="1">gr(calculs!X29)</f>
        <v>#NAME?</v>
      </c>
      <c r="C29" s="523" t="e">
        <f ca="1">gr(calculs!AD29)</f>
        <v>#NAME?</v>
      </c>
      <c r="D29" s="523" t="e">
        <f ca="1">gr(calculs!AJ29)</f>
        <v>#NAME?</v>
      </c>
      <c r="E29" s="523" t="e">
        <f ca="1">gr(calculs!AP29)</f>
        <v>#NAME?</v>
      </c>
      <c r="F29" s="523" t="e">
        <f ca="1">gr(calculs!AQ29)</f>
        <v>#NAME?</v>
      </c>
      <c r="G29" s="523" t="e">
        <f ca="1">gr(calculs!U29)</f>
        <v>#NAME?</v>
      </c>
      <c r="H29" s="523" t="e">
        <f ca="1">gr(calculs!AA29)</f>
        <v>#NAME?</v>
      </c>
      <c r="I29" s="523" t="e">
        <f ca="1">gr(calculs!AG29)</f>
        <v>#NAME?</v>
      </c>
      <c r="J29" s="523" t="e">
        <f ca="1">gr(calculs!AM29)</f>
        <v>#NAME?</v>
      </c>
      <c r="K29" s="523" t="e">
        <f ca="1">gr(calculs!AR29)</f>
        <v>#NAME?</v>
      </c>
    </row>
    <row r="30" spans="1:11" x14ac:dyDescent="0.2">
      <c r="A30" s="222">
        <f>calculs!A30</f>
        <v>44581</v>
      </c>
      <c r="B30" s="523" t="e">
        <f ca="1">gr(calculs!X30)</f>
        <v>#NAME?</v>
      </c>
      <c r="C30" s="523" t="e">
        <f ca="1">gr(calculs!AD30)</f>
        <v>#NAME?</v>
      </c>
      <c r="D30" s="523" t="e">
        <f ca="1">gr(calculs!AJ30)</f>
        <v>#NAME?</v>
      </c>
      <c r="E30" s="523" t="e">
        <f ca="1">gr(calculs!AP30)</f>
        <v>#NAME?</v>
      </c>
      <c r="F30" s="523" t="e">
        <f ca="1">gr(calculs!AQ30)</f>
        <v>#NAME?</v>
      </c>
      <c r="G30" s="523" t="e">
        <f ca="1">gr(calculs!U30)</f>
        <v>#NAME?</v>
      </c>
      <c r="H30" s="523" t="e">
        <f ca="1">gr(calculs!AA30)</f>
        <v>#NAME?</v>
      </c>
      <c r="I30" s="523" t="e">
        <f ca="1">gr(calculs!AG30)</f>
        <v>#NAME?</v>
      </c>
      <c r="J30" s="523" t="e">
        <f ca="1">gr(calculs!AM30)</f>
        <v>#NAME?</v>
      </c>
      <c r="K30" s="523" t="e">
        <f ca="1">gr(calculs!AR30)</f>
        <v>#NAME?</v>
      </c>
    </row>
    <row r="31" spans="1:11" x14ac:dyDescent="0.2">
      <c r="A31" s="222">
        <f>calculs!A31</f>
        <v>44582</v>
      </c>
      <c r="B31" s="523" t="e">
        <f ca="1">gr(calculs!X31)</f>
        <v>#NAME?</v>
      </c>
      <c r="C31" s="523" t="e">
        <f ca="1">gr(calculs!AD31)</f>
        <v>#NAME?</v>
      </c>
      <c r="D31" s="523" t="e">
        <f ca="1">gr(calculs!AJ31)</f>
        <v>#NAME?</v>
      </c>
      <c r="E31" s="523" t="e">
        <f ca="1">gr(calculs!AP31)</f>
        <v>#NAME?</v>
      </c>
      <c r="F31" s="523" t="e">
        <f ca="1">gr(calculs!AQ31)</f>
        <v>#NAME?</v>
      </c>
      <c r="G31" s="523" t="e">
        <f ca="1">gr(calculs!U31)</f>
        <v>#NAME?</v>
      </c>
      <c r="H31" s="523" t="e">
        <f ca="1">gr(calculs!AA31)</f>
        <v>#NAME?</v>
      </c>
      <c r="I31" s="523" t="e">
        <f ca="1">gr(calculs!AG31)</f>
        <v>#NAME?</v>
      </c>
      <c r="J31" s="523" t="e">
        <f ca="1">gr(calculs!AM31)</f>
        <v>#NAME?</v>
      </c>
      <c r="K31" s="523" t="e">
        <f ca="1">gr(calculs!AR31)</f>
        <v>#NAME?</v>
      </c>
    </row>
    <row r="32" spans="1:11" x14ac:dyDescent="0.2">
      <c r="A32" s="222">
        <f>calculs!A32</f>
        <v>44583</v>
      </c>
      <c r="B32" s="523" t="e">
        <f ca="1">gr(calculs!X32)</f>
        <v>#NAME?</v>
      </c>
      <c r="C32" s="523" t="e">
        <f ca="1">gr(calculs!AD32)</f>
        <v>#NAME?</v>
      </c>
      <c r="D32" s="523" t="e">
        <f ca="1">gr(calculs!AJ32)</f>
        <v>#NAME?</v>
      </c>
      <c r="E32" s="523" t="e">
        <f ca="1">gr(calculs!AP32)</f>
        <v>#NAME?</v>
      </c>
      <c r="F32" s="523" t="e">
        <f ca="1">gr(calculs!AQ32)</f>
        <v>#NAME?</v>
      </c>
      <c r="G32" s="523" t="e">
        <f ca="1">gr(calculs!U32)</f>
        <v>#NAME?</v>
      </c>
      <c r="H32" s="523" t="e">
        <f ca="1">gr(calculs!AA32)</f>
        <v>#NAME?</v>
      </c>
      <c r="I32" s="523" t="e">
        <f ca="1">gr(calculs!AG32)</f>
        <v>#NAME?</v>
      </c>
      <c r="J32" s="523" t="e">
        <f ca="1">gr(calculs!AM32)</f>
        <v>#NAME?</v>
      </c>
      <c r="K32" s="523" t="e">
        <f ca="1">gr(calculs!AR32)</f>
        <v>#NAME?</v>
      </c>
    </row>
    <row r="33" spans="1:11" x14ac:dyDescent="0.2">
      <c r="A33" s="222">
        <f>calculs!A33</f>
        <v>44584</v>
      </c>
      <c r="B33" s="523" t="e">
        <f ca="1">gr(calculs!X33)</f>
        <v>#NAME?</v>
      </c>
      <c r="C33" s="523" t="e">
        <f ca="1">gr(calculs!AD33)</f>
        <v>#NAME?</v>
      </c>
      <c r="D33" s="523" t="e">
        <f ca="1">gr(calculs!AJ33)</f>
        <v>#NAME?</v>
      </c>
      <c r="E33" s="523" t="e">
        <f ca="1">gr(calculs!AP33)</f>
        <v>#NAME?</v>
      </c>
      <c r="F33" s="523" t="e">
        <f ca="1">gr(calculs!AQ33)</f>
        <v>#NAME?</v>
      </c>
      <c r="G33" s="523" t="e">
        <f ca="1">gr(calculs!U33)</f>
        <v>#NAME?</v>
      </c>
      <c r="H33" s="523" t="e">
        <f ca="1">gr(calculs!AA33)</f>
        <v>#NAME?</v>
      </c>
      <c r="I33" s="523" t="e">
        <f ca="1">gr(calculs!AG33)</f>
        <v>#NAME?</v>
      </c>
      <c r="J33" s="523" t="e">
        <f ca="1">gr(calculs!AM33)</f>
        <v>#NAME?</v>
      </c>
      <c r="K33" s="523" t="e">
        <f ca="1">gr(calculs!AR33)</f>
        <v>#NAME?</v>
      </c>
    </row>
    <row r="34" spans="1:11" x14ac:dyDescent="0.2">
      <c r="A34" s="222">
        <f>calculs!A34</f>
        <v>44585</v>
      </c>
      <c r="B34" s="523" t="e">
        <f ca="1">gr(calculs!X34)</f>
        <v>#NAME?</v>
      </c>
      <c r="C34" s="523" t="e">
        <f ca="1">gr(calculs!AD34)</f>
        <v>#NAME?</v>
      </c>
      <c r="D34" s="523" t="e">
        <f ca="1">gr(calculs!AJ34)</f>
        <v>#NAME?</v>
      </c>
      <c r="E34" s="523" t="e">
        <f ca="1">gr(calculs!AP34)</f>
        <v>#NAME?</v>
      </c>
      <c r="F34" s="523" t="e">
        <f ca="1">gr(calculs!AQ34)</f>
        <v>#NAME?</v>
      </c>
      <c r="G34" s="523" t="e">
        <f ca="1">gr(calculs!U34)</f>
        <v>#NAME?</v>
      </c>
      <c r="H34" s="523" t="e">
        <f ca="1">gr(calculs!AA34)</f>
        <v>#NAME?</v>
      </c>
      <c r="I34" s="523" t="e">
        <f ca="1">gr(calculs!AG34)</f>
        <v>#NAME?</v>
      </c>
      <c r="J34" s="523" t="e">
        <f ca="1">gr(calculs!AM34)</f>
        <v>#NAME?</v>
      </c>
      <c r="K34" s="523" t="e">
        <f ca="1">gr(calculs!AR34)</f>
        <v>#NAME?</v>
      </c>
    </row>
    <row r="35" spans="1:11" x14ac:dyDescent="0.2">
      <c r="A35" s="222">
        <f>calculs!A35</f>
        <v>44586</v>
      </c>
      <c r="B35" s="523" t="e">
        <f ca="1">gr(calculs!X35)</f>
        <v>#NAME?</v>
      </c>
      <c r="C35" s="523" t="e">
        <f ca="1">gr(calculs!AD35)</f>
        <v>#NAME?</v>
      </c>
      <c r="D35" s="523" t="e">
        <f ca="1">gr(calculs!AJ35)</f>
        <v>#NAME?</v>
      </c>
      <c r="E35" s="523" t="e">
        <f ca="1">gr(calculs!AP35)</f>
        <v>#NAME?</v>
      </c>
      <c r="F35" s="523" t="e">
        <f ca="1">gr(calculs!AQ35)</f>
        <v>#NAME?</v>
      </c>
      <c r="G35" s="523" t="e">
        <f ca="1">gr(calculs!U35)</f>
        <v>#NAME?</v>
      </c>
      <c r="H35" s="523" t="e">
        <f ca="1">gr(calculs!AA35)</f>
        <v>#NAME?</v>
      </c>
      <c r="I35" s="523" t="e">
        <f ca="1">gr(calculs!AG35)</f>
        <v>#NAME?</v>
      </c>
      <c r="J35" s="523" t="e">
        <f ca="1">gr(calculs!AM35)</f>
        <v>#NAME?</v>
      </c>
      <c r="K35" s="523" t="e">
        <f ca="1">gr(calculs!AR35)</f>
        <v>#NAME?</v>
      </c>
    </row>
    <row r="36" spans="1:11" x14ac:dyDescent="0.2">
      <c r="A36" s="222">
        <f>calculs!A36</f>
        <v>44587</v>
      </c>
      <c r="B36" s="523" t="e">
        <f ca="1">gr(calculs!X36)</f>
        <v>#NAME?</v>
      </c>
      <c r="C36" s="523" t="e">
        <f ca="1">gr(calculs!AD36)</f>
        <v>#NAME?</v>
      </c>
      <c r="D36" s="523" t="e">
        <f ca="1">gr(calculs!AJ36)</f>
        <v>#NAME?</v>
      </c>
      <c r="E36" s="523" t="e">
        <f ca="1">gr(calculs!AP36)</f>
        <v>#NAME?</v>
      </c>
      <c r="F36" s="523" t="e">
        <f ca="1">gr(calculs!AQ36)</f>
        <v>#NAME?</v>
      </c>
      <c r="G36" s="523" t="e">
        <f ca="1">gr(calculs!U36)</f>
        <v>#NAME?</v>
      </c>
      <c r="H36" s="523" t="e">
        <f ca="1">gr(calculs!AA36)</f>
        <v>#NAME?</v>
      </c>
      <c r="I36" s="523" t="e">
        <f ca="1">gr(calculs!AG36)</f>
        <v>#NAME?</v>
      </c>
      <c r="J36" s="523" t="e">
        <f ca="1">gr(calculs!AM36)</f>
        <v>#NAME?</v>
      </c>
      <c r="K36" s="523" t="e">
        <f ca="1">gr(calculs!AR36)</f>
        <v>#NAME?</v>
      </c>
    </row>
    <row r="37" spans="1:11" x14ac:dyDescent="0.2">
      <c r="A37" s="222">
        <f>calculs!A37</f>
        <v>44588</v>
      </c>
      <c r="B37" s="523" t="e">
        <f ca="1">gr(calculs!X37)</f>
        <v>#NAME?</v>
      </c>
      <c r="C37" s="523" t="e">
        <f ca="1">gr(calculs!AD37)</f>
        <v>#NAME?</v>
      </c>
      <c r="D37" s="523" t="e">
        <f ca="1">gr(calculs!AJ37)</f>
        <v>#NAME?</v>
      </c>
      <c r="E37" s="523" t="e">
        <f ca="1">gr(calculs!AP37)</f>
        <v>#NAME?</v>
      </c>
      <c r="F37" s="523" t="e">
        <f ca="1">gr(calculs!AQ37)</f>
        <v>#NAME?</v>
      </c>
      <c r="G37" s="523" t="e">
        <f ca="1">gr(calculs!U37)</f>
        <v>#NAME?</v>
      </c>
      <c r="H37" s="523" t="e">
        <f ca="1">gr(calculs!AA37)</f>
        <v>#NAME?</v>
      </c>
      <c r="I37" s="523" t="e">
        <f ca="1">gr(calculs!AG37)</f>
        <v>#NAME?</v>
      </c>
      <c r="J37" s="523" t="e">
        <f ca="1">gr(calculs!AM37)</f>
        <v>#NAME?</v>
      </c>
      <c r="K37" s="523" t="e">
        <f ca="1">gr(calculs!AR37)</f>
        <v>#NAME?</v>
      </c>
    </row>
    <row r="38" spans="1:11" x14ac:dyDescent="0.2">
      <c r="A38" s="222">
        <f>calculs!A38</f>
        <v>44589</v>
      </c>
      <c r="B38" s="523" t="e">
        <f ca="1">gr(calculs!X38)</f>
        <v>#NAME?</v>
      </c>
      <c r="C38" s="523" t="e">
        <f ca="1">gr(calculs!AD38)</f>
        <v>#NAME?</v>
      </c>
      <c r="D38" s="523" t="e">
        <f ca="1">gr(calculs!AJ38)</f>
        <v>#NAME?</v>
      </c>
      <c r="E38" s="523" t="e">
        <f ca="1">gr(calculs!AP38)</f>
        <v>#NAME?</v>
      </c>
      <c r="F38" s="523" t="e">
        <f ca="1">gr(calculs!AQ38)</f>
        <v>#NAME?</v>
      </c>
      <c r="G38" s="523" t="e">
        <f ca="1">gr(calculs!U38)</f>
        <v>#NAME?</v>
      </c>
      <c r="H38" s="523" t="e">
        <f ca="1">gr(calculs!AA38)</f>
        <v>#NAME?</v>
      </c>
      <c r="I38" s="523" t="e">
        <f ca="1">gr(calculs!AG38)</f>
        <v>#NAME?</v>
      </c>
      <c r="J38" s="523" t="e">
        <f ca="1">gr(calculs!AM38)</f>
        <v>#NAME?</v>
      </c>
      <c r="K38" s="523" t="e">
        <f ca="1">gr(calculs!AR38)</f>
        <v>#NAME?</v>
      </c>
    </row>
    <row r="39" spans="1:11" x14ac:dyDescent="0.2">
      <c r="A39" s="222">
        <f>calculs!A39</f>
        <v>44590</v>
      </c>
      <c r="B39" s="523" t="e">
        <f ca="1">gr(calculs!X39)</f>
        <v>#NAME?</v>
      </c>
      <c r="C39" s="523" t="e">
        <f ca="1">gr(calculs!AD39)</f>
        <v>#NAME?</v>
      </c>
      <c r="D39" s="523" t="e">
        <f ca="1">gr(calculs!AJ39)</f>
        <v>#NAME?</v>
      </c>
      <c r="E39" s="523" t="e">
        <f ca="1">gr(calculs!AP39)</f>
        <v>#NAME?</v>
      </c>
      <c r="F39" s="523" t="e">
        <f ca="1">gr(calculs!AQ39)</f>
        <v>#NAME?</v>
      </c>
      <c r="G39" s="523" t="e">
        <f ca="1">gr(calculs!U39)</f>
        <v>#NAME?</v>
      </c>
      <c r="H39" s="523" t="e">
        <f ca="1">gr(calculs!AA39)</f>
        <v>#NAME?</v>
      </c>
      <c r="I39" s="523" t="e">
        <f ca="1">gr(calculs!AG39)</f>
        <v>#NAME?</v>
      </c>
      <c r="J39" s="523" t="e">
        <f ca="1">gr(calculs!AM39)</f>
        <v>#NAME?</v>
      </c>
      <c r="K39" s="523" t="e">
        <f ca="1">gr(calculs!AR39)</f>
        <v>#NAME?</v>
      </c>
    </row>
    <row r="40" spans="1:11" x14ac:dyDescent="0.2">
      <c r="A40" s="222">
        <f>calculs!A40</f>
        <v>44591</v>
      </c>
      <c r="B40" s="523" t="e">
        <f ca="1">gr(calculs!X40)</f>
        <v>#NAME?</v>
      </c>
      <c r="C40" s="523" t="e">
        <f ca="1">gr(calculs!AD40)</f>
        <v>#NAME?</v>
      </c>
      <c r="D40" s="523" t="e">
        <f ca="1">gr(calculs!AJ40)</f>
        <v>#NAME?</v>
      </c>
      <c r="E40" s="523" t="e">
        <f ca="1">gr(calculs!AP40)</f>
        <v>#NAME?</v>
      </c>
      <c r="F40" s="523" t="e">
        <f ca="1">gr(calculs!AQ40)</f>
        <v>#NAME?</v>
      </c>
      <c r="G40" s="523" t="e">
        <f ca="1">gr(calculs!U40)</f>
        <v>#NAME?</v>
      </c>
      <c r="H40" s="523" t="e">
        <f ca="1">gr(calculs!AA40)</f>
        <v>#NAME?</v>
      </c>
      <c r="I40" s="523" t="e">
        <f ca="1">gr(calculs!AG40)</f>
        <v>#NAME?</v>
      </c>
      <c r="J40" s="523" t="e">
        <f ca="1">gr(calculs!AM40)</f>
        <v>#NAME?</v>
      </c>
      <c r="K40" s="523" t="e">
        <f ca="1">gr(calculs!AR40)</f>
        <v>#NAME?</v>
      </c>
    </row>
    <row r="41" spans="1:11" x14ac:dyDescent="0.2">
      <c r="A41" s="222">
        <f>calculs!A41</f>
        <v>44592</v>
      </c>
      <c r="B41" s="523" t="e">
        <f ca="1">gr(calculs!X41)</f>
        <v>#NAME?</v>
      </c>
      <c r="C41" s="523" t="e">
        <f ca="1">gr(calculs!AD41)</f>
        <v>#NAME?</v>
      </c>
      <c r="D41" s="523" t="e">
        <f ca="1">gr(calculs!AJ41)</f>
        <v>#NAME?</v>
      </c>
      <c r="E41" s="523" t="e">
        <f ca="1">gr(calculs!AP41)</f>
        <v>#NAME?</v>
      </c>
      <c r="F41" s="523" t="e">
        <f ca="1">gr(calculs!AQ41)</f>
        <v>#NAME?</v>
      </c>
      <c r="G41" s="523" t="e">
        <f ca="1">gr(calculs!U41)</f>
        <v>#NAME?</v>
      </c>
      <c r="H41" s="523" t="e">
        <f ca="1">gr(calculs!AA41)</f>
        <v>#NAME?</v>
      </c>
      <c r="I41" s="523" t="e">
        <f ca="1">gr(calculs!AG41)</f>
        <v>#NAME?</v>
      </c>
      <c r="J41" s="523" t="e">
        <f ca="1">gr(calculs!AM41)</f>
        <v>#NAME?</v>
      </c>
      <c r="K41" s="523" t="e">
        <f ca="1">gr(calculs!AR41)</f>
        <v>#NAME?</v>
      </c>
    </row>
    <row r="42" spans="1:11" x14ac:dyDescent="0.2">
      <c r="A42" s="222">
        <f>calculs!A42</f>
        <v>44593</v>
      </c>
      <c r="B42" s="523" t="e">
        <f ca="1">gr(calculs!X42)</f>
        <v>#NAME?</v>
      </c>
      <c r="C42" s="523" t="e">
        <f ca="1">gr(calculs!AD42)</f>
        <v>#NAME?</v>
      </c>
      <c r="D42" s="523" t="e">
        <f ca="1">gr(calculs!AJ42)</f>
        <v>#NAME?</v>
      </c>
      <c r="E42" s="523" t="e">
        <f ca="1">gr(calculs!AP42)</f>
        <v>#NAME?</v>
      </c>
      <c r="F42" s="523" t="e">
        <f ca="1">gr(calculs!AQ42)</f>
        <v>#NAME?</v>
      </c>
      <c r="G42" s="523" t="e">
        <f ca="1">gr(calculs!U42)</f>
        <v>#NAME?</v>
      </c>
      <c r="H42" s="523" t="e">
        <f ca="1">gr(calculs!AA42)</f>
        <v>#NAME?</v>
      </c>
      <c r="I42" s="523" t="e">
        <f ca="1">gr(calculs!AG42)</f>
        <v>#NAME?</v>
      </c>
      <c r="J42" s="523" t="e">
        <f ca="1">gr(calculs!AM42)</f>
        <v>#NAME?</v>
      </c>
      <c r="K42" s="523" t="e">
        <f ca="1">gr(calculs!AR42)</f>
        <v>#NAME?</v>
      </c>
    </row>
    <row r="43" spans="1:11" x14ac:dyDescent="0.2">
      <c r="A43" s="222">
        <f>calculs!A43</f>
        <v>44594</v>
      </c>
      <c r="B43" s="523" t="e">
        <f ca="1">gr(calculs!X43)</f>
        <v>#NAME?</v>
      </c>
      <c r="C43" s="523" t="e">
        <f ca="1">gr(calculs!AD43)</f>
        <v>#NAME?</v>
      </c>
      <c r="D43" s="523" t="e">
        <f ca="1">gr(calculs!AJ43)</f>
        <v>#NAME?</v>
      </c>
      <c r="E43" s="523" t="e">
        <f ca="1">gr(calculs!AP43)</f>
        <v>#NAME?</v>
      </c>
      <c r="F43" s="523" t="e">
        <f ca="1">gr(calculs!AQ43)</f>
        <v>#NAME?</v>
      </c>
      <c r="G43" s="523" t="e">
        <f ca="1">gr(calculs!U43)</f>
        <v>#NAME?</v>
      </c>
      <c r="H43" s="523" t="e">
        <f ca="1">gr(calculs!AA43)</f>
        <v>#NAME?</v>
      </c>
      <c r="I43" s="523" t="e">
        <f ca="1">gr(calculs!AG43)</f>
        <v>#NAME?</v>
      </c>
      <c r="J43" s="523" t="e">
        <f ca="1">gr(calculs!AM43)</f>
        <v>#NAME?</v>
      </c>
      <c r="K43" s="523" t="e">
        <f ca="1">gr(calculs!AR43)</f>
        <v>#NAME?</v>
      </c>
    </row>
    <row r="44" spans="1:11" x14ac:dyDescent="0.2">
      <c r="A44" s="222">
        <f>calculs!A44</f>
        <v>44595</v>
      </c>
      <c r="B44" s="523" t="e">
        <f ca="1">gr(calculs!X44)</f>
        <v>#NAME?</v>
      </c>
      <c r="C44" s="523" t="e">
        <f ca="1">gr(calculs!AD44)</f>
        <v>#NAME?</v>
      </c>
      <c r="D44" s="523" t="e">
        <f ca="1">gr(calculs!AJ44)</f>
        <v>#NAME?</v>
      </c>
      <c r="E44" s="523" t="e">
        <f ca="1">gr(calculs!AP44)</f>
        <v>#NAME?</v>
      </c>
      <c r="F44" s="523" t="e">
        <f ca="1">gr(calculs!AQ44)</f>
        <v>#NAME?</v>
      </c>
      <c r="G44" s="523" t="e">
        <f ca="1">gr(calculs!U44)</f>
        <v>#NAME?</v>
      </c>
      <c r="H44" s="523" t="e">
        <f ca="1">gr(calculs!AA44)</f>
        <v>#NAME?</v>
      </c>
      <c r="I44" s="523" t="e">
        <f ca="1">gr(calculs!AG44)</f>
        <v>#NAME?</v>
      </c>
      <c r="J44" s="523" t="e">
        <f ca="1">gr(calculs!AM44)</f>
        <v>#NAME?</v>
      </c>
      <c r="K44" s="523" t="e">
        <f ca="1">gr(calculs!AR44)</f>
        <v>#NAME?</v>
      </c>
    </row>
    <row r="45" spans="1:11" x14ac:dyDescent="0.2">
      <c r="A45" s="222">
        <f>calculs!A45</f>
        <v>44596</v>
      </c>
      <c r="B45" s="523" t="e">
        <f ca="1">gr(calculs!X45)</f>
        <v>#NAME?</v>
      </c>
      <c r="C45" s="523" t="e">
        <f ca="1">gr(calculs!AD45)</f>
        <v>#NAME?</v>
      </c>
      <c r="D45" s="523" t="e">
        <f ca="1">gr(calculs!AJ45)</f>
        <v>#NAME?</v>
      </c>
      <c r="E45" s="523" t="e">
        <f ca="1">gr(calculs!AP45)</f>
        <v>#NAME?</v>
      </c>
      <c r="F45" s="523" t="e">
        <f ca="1">gr(calculs!AQ45)</f>
        <v>#NAME?</v>
      </c>
      <c r="G45" s="523" t="e">
        <f ca="1">gr(calculs!U45)</f>
        <v>#NAME?</v>
      </c>
      <c r="H45" s="523" t="e">
        <f ca="1">gr(calculs!AA45)</f>
        <v>#NAME?</v>
      </c>
      <c r="I45" s="523" t="e">
        <f ca="1">gr(calculs!AG45)</f>
        <v>#NAME?</v>
      </c>
      <c r="J45" s="523" t="e">
        <f ca="1">gr(calculs!AM45)</f>
        <v>#NAME?</v>
      </c>
      <c r="K45" s="523" t="e">
        <f ca="1">gr(calculs!AR45)</f>
        <v>#NAME?</v>
      </c>
    </row>
    <row r="46" spans="1:11" x14ac:dyDescent="0.2">
      <c r="A46" s="222">
        <f>calculs!A46</f>
        <v>44597</v>
      </c>
      <c r="B46" s="523" t="e">
        <f ca="1">gr(calculs!X46)</f>
        <v>#NAME?</v>
      </c>
      <c r="C46" s="523" t="e">
        <f ca="1">gr(calculs!AD46)</f>
        <v>#NAME?</v>
      </c>
      <c r="D46" s="523" t="e">
        <f ca="1">gr(calculs!AJ46)</f>
        <v>#NAME?</v>
      </c>
      <c r="E46" s="523" t="e">
        <f ca="1">gr(calculs!AP46)</f>
        <v>#NAME?</v>
      </c>
      <c r="F46" s="523" t="e">
        <f ca="1">gr(calculs!AQ46)</f>
        <v>#NAME?</v>
      </c>
      <c r="G46" s="523" t="e">
        <f ca="1">gr(calculs!U46)</f>
        <v>#NAME?</v>
      </c>
      <c r="H46" s="523" t="e">
        <f ca="1">gr(calculs!AA46)</f>
        <v>#NAME?</v>
      </c>
      <c r="I46" s="523" t="e">
        <f ca="1">gr(calculs!AG46)</f>
        <v>#NAME?</v>
      </c>
      <c r="J46" s="523" t="e">
        <f ca="1">gr(calculs!AM46)</f>
        <v>#NAME?</v>
      </c>
      <c r="K46" s="523" t="e">
        <f ca="1">gr(calculs!AR46)</f>
        <v>#NAME?</v>
      </c>
    </row>
    <row r="47" spans="1:11" x14ac:dyDescent="0.2">
      <c r="A47" s="222">
        <f>calculs!A47</f>
        <v>44598</v>
      </c>
      <c r="B47" s="523" t="e">
        <f ca="1">gr(calculs!X47)</f>
        <v>#NAME?</v>
      </c>
      <c r="C47" s="523" t="e">
        <f ca="1">gr(calculs!AD47)</f>
        <v>#NAME?</v>
      </c>
      <c r="D47" s="523" t="e">
        <f ca="1">gr(calculs!AJ47)</f>
        <v>#NAME?</v>
      </c>
      <c r="E47" s="523" t="e">
        <f ca="1">gr(calculs!AP47)</f>
        <v>#NAME?</v>
      </c>
      <c r="F47" s="523" t="e">
        <f ca="1">gr(calculs!AQ47)</f>
        <v>#NAME?</v>
      </c>
      <c r="G47" s="523" t="e">
        <f ca="1">gr(calculs!U47)</f>
        <v>#NAME?</v>
      </c>
      <c r="H47" s="523" t="e">
        <f ca="1">gr(calculs!AA47)</f>
        <v>#NAME?</v>
      </c>
      <c r="I47" s="523" t="e">
        <f ca="1">gr(calculs!AG47)</f>
        <v>#NAME?</v>
      </c>
      <c r="J47" s="523" t="e">
        <f ca="1">gr(calculs!AM47)</f>
        <v>#NAME?</v>
      </c>
      <c r="K47" s="523" t="e">
        <f ca="1">gr(calculs!AR47)</f>
        <v>#NAME?</v>
      </c>
    </row>
    <row r="48" spans="1:11" x14ac:dyDescent="0.2">
      <c r="A48" s="222">
        <f>calculs!A48</f>
        <v>44599</v>
      </c>
      <c r="B48" s="523" t="e">
        <f ca="1">gr(calculs!X48)</f>
        <v>#NAME?</v>
      </c>
      <c r="C48" s="523" t="e">
        <f ca="1">gr(calculs!AD48)</f>
        <v>#NAME?</v>
      </c>
      <c r="D48" s="523" t="e">
        <f ca="1">gr(calculs!AJ48)</f>
        <v>#NAME?</v>
      </c>
      <c r="E48" s="523" t="e">
        <f ca="1">gr(calculs!AP48)</f>
        <v>#NAME?</v>
      </c>
      <c r="F48" s="523" t="e">
        <f ca="1">gr(calculs!AQ48)</f>
        <v>#NAME?</v>
      </c>
      <c r="G48" s="523" t="e">
        <f ca="1">gr(calculs!U48)</f>
        <v>#NAME?</v>
      </c>
      <c r="H48" s="523" t="e">
        <f ca="1">gr(calculs!AA48)</f>
        <v>#NAME?</v>
      </c>
      <c r="I48" s="523" t="e">
        <f ca="1">gr(calculs!AG48)</f>
        <v>#NAME?</v>
      </c>
      <c r="J48" s="523" t="e">
        <f ca="1">gr(calculs!AM48)</f>
        <v>#NAME?</v>
      </c>
      <c r="K48" s="523" t="e">
        <f ca="1">gr(calculs!AR48)</f>
        <v>#NAME?</v>
      </c>
    </row>
    <row r="49" spans="1:11" x14ac:dyDescent="0.2">
      <c r="A49" s="222">
        <f>calculs!A49</f>
        <v>44600</v>
      </c>
      <c r="B49" s="523" t="e">
        <f ca="1">gr(calculs!X49)</f>
        <v>#NAME?</v>
      </c>
      <c r="C49" s="523" t="e">
        <f ca="1">gr(calculs!AD49)</f>
        <v>#NAME?</v>
      </c>
      <c r="D49" s="523" t="e">
        <f ca="1">gr(calculs!AJ49)</f>
        <v>#NAME?</v>
      </c>
      <c r="E49" s="523" t="e">
        <f ca="1">gr(calculs!AP49)</f>
        <v>#NAME?</v>
      </c>
      <c r="F49" s="523" t="e">
        <f ca="1">gr(calculs!AQ49)</f>
        <v>#NAME?</v>
      </c>
      <c r="G49" s="523" t="e">
        <f ca="1">gr(calculs!U49)</f>
        <v>#NAME?</v>
      </c>
      <c r="H49" s="523" t="e">
        <f ca="1">gr(calculs!AA49)</f>
        <v>#NAME?</v>
      </c>
      <c r="I49" s="523" t="e">
        <f ca="1">gr(calculs!AG49)</f>
        <v>#NAME?</v>
      </c>
      <c r="J49" s="523" t="e">
        <f ca="1">gr(calculs!AM49)</f>
        <v>#NAME?</v>
      </c>
      <c r="K49" s="523" t="e">
        <f ca="1">gr(calculs!AR49)</f>
        <v>#NAME?</v>
      </c>
    </row>
    <row r="50" spans="1:11" x14ac:dyDescent="0.2">
      <c r="A50" s="222">
        <f>calculs!A50</f>
        <v>44601</v>
      </c>
      <c r="B50" s="523" t="e">
        <f ca="1">gr(calculs!X50)</f>
        <v>#NAME?</v>
      </c>
      <c r="C50" s="523" t="e">
        <f ca="1">gr(calculs!AD50)</f>
        <v>#NAME?</v>
      </c>
      <c r="D50" s="523" t="e">
        <f ca="1">gr(calculs!AJ50)</f>
        <v>#NAME?</v>
      </c>
      <c r="E50" s="523" t="e">
        <f ca="1">gr(calculs!AP50)</f>
        <v>#NAME?</v>
      </c>
      <c r="F50" s="523" t="e">
        <f ca="1">gr(calculs!AQ50)</f>
        <v>#NAME?</v>
      </c>
      <c r="G50" s="523" t="e">
        <f ca="1">gr(calculs!U50)</f>
        <v>#NAME?</v>
      </c>
      <c r="H50" s="523" t="e">
        <f ca="1">gr(calculs!AA50)</f>
        <v>#NAME?</v>
      </c>
      <c r="I50" s="523" t="e">
        <f ca="1">gr(calculs!AG50)</f>
        <v>#NAME?</v>
      </c>
      <c r="J50" s="523" t="e">
        <f ca="1">gr(calculs!AM50)</f>
        <v>#NAME?</v>
      </c>
      <c r="K50" s="523" t="e">
        <f ca="1">gr(calculs!AR50)</f>
        <v>#NAME?</v>
      </c>
    </row>
    <row r="51" spans="1:11" x14ac:dyDescent="0.2">
      <c r="A51" s="222">
        <f>calculs!A51</f>
        <v>44602</v>
      </c>
      <c r="B51" s="523" t="e">
        <f ca="1">gr(calculs!X51)</f>
        <v>#NAME?</v>
      </c>
      <c r="C51" s="523" t="e">
        <f ca="1">gr(calculs!AD51)</f>
        <v>#NAME?</v>
      </c>
      <c r="D51" s="523" t="e">
        <f ca="1">gr(calculs!AJ51)</f>
        <v>#NAME?</v>
      </c>
      <c r="E51" s="523" t="e">
        <f ca="1">gr(calculs!AP51)</f>
        <v>#NAME?</v>
      </c>
      <c r="F51" s="523" t="e">
        <f ca="1">gr(calculs!AQ51)</f>
        <v>#NAME?</v>
      </c>
      <c r="G51" s="523" t="e">
        <f ca="1">gr(calculs!U51)</f>
        <v>#NAME?</v>
      </c>
      <c r="H51" s="523" t="e">
        <f ca="1">gr(calculs!AA51)</f>
        <v>#NAME?</v>
      </c>
      <c r="I51" s="523" t="e">
        <f ca="1">gr(calculs!AG51)</f>
        <v>#NAME?</v>
      </c>
      <c r="J51" s="523" t="e">
        <f ca="1">gr(calculs!AM51)</f>
        <v>#NAME?</v>
      </c>
      <c r="K51" s="523" t="e">
        <f ca="1">gr(calculs!AR51)</f>
        <v>#NAME?</v>
      </c>
    </row>
    <row r="52" spans="1:11" x14ac:dyDescent="0.2">
      <c r="A52" s="222">
        <f>calculs!A52</f>
        <v>44603</v>
      </c>
      <c r="B52" s="523" t="e">
        <f ca="1">gr(calculs!X52)</f>
        <v>#NAME?</v>
      </c>
      <c r="C52" s="523" t="e">
        <f ca="1">gr(calculs!AD52)</f>
        <v>#NAME?</v>
      </c>
      <c r="D52" s="523" t="e">
        <f ca="1">gr(calculs!AJ52)</f>
        <v>#NAME?</v>
      </c>
      <c r="E52" s="523" t="e">
        <f ca="1">gr(calculs!AP52)</f>
        <v>#NAME?</v>
      </c>
      <c r="F52" s="523" t="e">
        <f ca="1">gr(calculs!AQ52)</f>
        <v>#NAME?</v>
      </c>
      <c r="G52" s="523" t="e">
        <f ca="1">gr(calculs!U52)</f>
        <v>#NAME?</v>
      </c>
      <c r="H52" s="523" t="e">
        <f ca="1">gr(calculs!AA52)</f>
        <v>#NAME?</v>
      </c>
      <c r="I52" s="523" t="e">
        <f ca="1">gr(calculs!AG52)</f>
        <v>#NAME?</v>
      </c>
      <c r="J52" s="523" t="e">
        <f ca="1">gr(calculs!AM52)</f>
        <v>#NAME?</v>
      </c>
      <c r="K52" s="523" t="e">
        <f ca="1">gr(calculs!AR52)</f>
        <v>#NAME?</v>
      </c>
    </row>
    <row r="53" spans="1:11" x14ac:dyDescent="0.2">
      <c r="A53" s="222">
        <f>calculs!A53</f>
        <v>44604</v>
      </c>
      <c r="B53" s="523" t="e">
        <f ca="1">gr(calculs!X53)</f>
        <v>#NAME?</v>
      </c>
      <c r="C53" s="523" t="e">
        <f ca="1">gr(calculs!AD53)</f>
        <v>#NAME?</v>
      </c>
      <c r="D53" s="523" t="e">
        <f ca="1">gr(calculs!AJ53)</f>
        <v>#NAME?</v>
      </c>
      <c r="E53" s="523" t="e">
        <f ca="1">gr(calculs!AP53)</f>
        <v>#NAME?</v>
      </c>
      <c r="F53" s="523" t="e">
        <f ca="1">gr(calculs!AQ53)</f>
        <v>#NAME?</v>
      </c>
      <c r="G53" s="523" t="e">
        <f ca="1">gr(calculs!U53)</f>
        <v>#NAME?</v>
      </c>
      <c r="H53" s="523" t="e">
        <f ca="1">gr(calculs!AA53)</f>
        <v>#NAME?</v>
      </c>
      <c r="I53" s="523" t="e">
        <f ca="1">gr(calculs!AG53)</f>
        <v>#NAME?</v>
      </c>
      <c r="J53" s="523" t="e">
        <f ca="1">gr(calculs!AM53)</f>
        <v>#NAME?</v>
      </c>
      <c r="K53" s="523" t="e">
        <f ca="1">gr(calculs!AR53)</f>
        <v>#NAME?</v>
      </c>
    </row>
    <row r="54" spans="1:11" x14ac:dyDescent="0.2">
      <c r="A54" s="222">
        <f>calculs!A54</f>
        <v>44605</v>
      </c>
      <c r="B54" s="523" t="e">
        <f ca="1">gr(calculs!X54)</f>
        <v>#NAME?</v>
      </c>
      <c r="C54" s="523" t="e">
        <f ca="1">gr(calculs!AD54)</f>
        <v>#NAME?</v>
      </c>
      <c r="D54" s="523" t="e">
        <f ca="1">gr(calculs!AJ54)</f>
        <v>#NAME?</v>
      </c>
      <c r="E54" s="523" t="e">
        <f ca="1">gr(calculs!AP54)</f>
        <v>#NAME?</v>
      </c>
      <c r="F54" s="523" t="e">
        <f ca="1">gr(calculs!AQ54)</f>
        <v>#NAME?</v>
      </c>
      <c r="G54" s="523" t="e">
        <f ca="1">gr(calculs!U54)</f>
        <v>#NAME?</v>
      </c>
      <c r="H54" s="523" t="e">
        <f ca="1">gr(calculs!AA54)</f>
        <v>#NAME?</v>
      </c>
      <c r="I54" s="523" t="e">
        <f ca="1">gr(calculs!AG54)</f>
        <v>#NAME?</v>
      </c>
      <c r="J54" s="523" t="e">
        <f ca="1">gr(calculs!AM54)</f>
        <v>#NAME?</v>
      </c>
      <c r="K54" s="523" t="e">
        <f ca="1">gr(calculs!AR54)</f>
        <v>#NAME?</v>
      </c>
    </row>
    <row r="55" spans="1:11" x14ac:dyDescent="0.2">
      <c r="A55" s="222">
        <f>calculs!A55</f>
        <v>44606</v>
      </c>
      <c r="B55" s="523" t="e">
        <f ca="1">gr(calculs!X55)</f>
        <v>#NAME?</v>
      </c>
      <c r="C55" s="523" t="e">
        <f ca="1">gr(calculs!AD55)</f>
        <v>#NAME?</v>
      </c>
      <c r="D55" s="523" t="e">
        <f ca="1">gr(calculs!AJ55)</f>
        <v>#NAME?</v>
      </c>
      <c r="E55" s="523" t="e">
        <f ca="1">gr(calculs!AP55)</f>
        <v>#NAME?</v>
      </c>
      <c r="F55" s="523" t="e">
        <f ca="1">gr(calculs!AQ55)</f>
        <v>#NAME?</v>
      </c>
      <c r="G55" s="523" t="e">
        <f ca="1">gr(calculs!U55)</f>
        <v>#NAME?</v>
      </c>
      <c r="H55" s="523" t="e">
        <f ca="1">gr(calculs!AA55)</f>
        <v>#NAME?</v>
      </c>
      <c r="I55" s="523" t="e">
        <f ca="1">gr(calculs!AG55)</f>
        <v>#NAME?</v>
      </c>
      <c r="J55" s="523" t="e">
        <f ca="1">gr(calculs!AM55)</f>
        <v>#NAME?</v>
      </c>
      <c r="K55" s="523" t="e">
        <f ca="1">gr(calculs!AR55)</f>
        <v>#NAME?</v>
      </c>
    </row>
    <row r="56" spans="1:11" x14ac:dyDescent="0.2">
      <c r="A56" s="222">
        <f>calculs!A56</f>
        <v>44607</v>
      </c>
      <c r="B56" s="523" t="e">
        <f ca="1">gr(calculs!X56)</f>
        <v>#NAME?</v>
      </c>
      <c r="C56" s="523" t="e">
        <f ca="1">gr(calculs!AD56)</f>
        <v>#NAME?</v>
      </c>
      <c r="D56" s="523" t="e">
        <f ca="1">gr(calculs!AJ56)</f>
        <v>#NAME?</v>
      </c>
      <c r="E56" s="523" t="e">
        <f ca="1">gr(calculs!AP56)</f>
        <v>#NAME?</v>
      </c>
      <c r="F56" s="523" t="e">
        <f ca="1">gr(calculs!AQ56)</f>
        <v>#NAME?</v>
      </c>
      <c r="G56" s="523" t="e">
        <f ca="1">gr(calculs!U56)</f>
        <v>#NAME?</v>
      </c>
      <c r="H56" s="523" t="e">
        <f ca="1">gr(calculs!AA56)</f>
        <v>#NAME?</v>
      </c>
      <c r="I56" s="523" t="e">
        <f ca="1">gr(calculs!AG56)</f>
        <v>#NAME?</v>
      </c>
      <c r="J56" s="523" t="e">
        <f ca="1">gr(calculs!AM56)</f>
        <v>#NAME?</v>
      </c>
      <c r="K56" s="523" t="e">
        <f ca="1">gr(calculs!AR56)</f>
        <v>#NAME?</v>
      </c>
    </row>
    <row r="57" spans="1:11" x14ac:dyDescent="0.2">
      <c r="A57" s="222">
        <f>calculs!A57</f>
        <v>44608</v>
      </c>
      <c r="B57" s="523" t="e">
        <f ca="1">gr(calculs!X57)</f>
        <v>#NAME?</v>
      </c>
      <c r="C57" s="523" t="e">
        <f ca="1">gr(calculs!AD57)</f>
        <v>#NAME?</v>
      </c>
      <c r="D57" s="523" t="e">
        <f ca="1">gr(calculs!AJ57)</f>
        <v>#NAME?</v>
      </c>
      <c r="E57" s="523" t="e">
        <f ca="1">gr(calculs!AP57)</f>
        <v>#NAME?</v>
      </c>
      <c r="F57" s="523" t="e">
        <f ca="1">gr(calculs!AQ57)</f>
        <v>#NAME?</v>
      </c>
      <c r="G57" s="523" t="e">
        <f ca="1">gr(calculs!U57)</f>
        <v>#NAME?</v>
      </c>
      <c r="H57" s="523" t="e">
        <f ca="1">gr(calculs!AA57)</f>
        <v>#NAME?</v>
      </c>
      <c r="I57" s="523" t="e">
        <f ca="1">gr(calculs!AG57)</f>
        <v>#NAME?</v>
      </c>
      <c r="J57" s="523" t="e">
        <f ca="1">gr(calculs!AM57)</f>
        <v>#NAME?</v>
      </c>
      <c r="K57" s="523" t="e">
        <f ca="1">gr(calculs!AR57)</f>
        <v>#NAME?</v>
      </c>
    </row>
    <row r="58" spans="1:11" x14ac:dyDescent="0.2">
      <c r="A58" s="222">
        <f>calculs!A58</f>
        <v>44609</v>
      </c>
      <c r="B58" s="523" t="e">
        <f ca="1">gr(calculs!X58)</f>
        <v>#NAME?</v>
      </c>
      <c r="C58" s="523" t="e">
        <f ca="1">gr(calculs!AD58)</f>
        <v>#NAME?</v>
      </c>
      <c r="D58" s="523" t="e">
        <f ca="1">gr(calculs!AJ58)</f>
        <v>#NAME?</v>
      </c>
      <c r="E58" s="523" t="e">
        <f ca="1">gr(calculs!AP58)</f>
        <v>#NAME?</v>
      </c>
      <c r="F58" s="523" t="e">
        <f ca="1">gr(calculs!AQ58)</f>
        <v>#NAME?</v>
      </c>
      <c r="G58" s="523" t="e">
        <f ca="1">gr(calculs!U58)</f>
        <v>#NAME?</v>
      </c>
      <c r="H58" s="523" t="e">
        <f ca="1">gr(calculs!AA58)</f>
        <v>#NAME?</v>
      </c>
      <c r="I58" s="523" t="e">
        <f ca="1">gr(calculs!AG58)</f>
        <v>#NAME?</v>
      </c>
      <c r="J58" s="523" t="e">
        <f ca="1">gr(calculs!AM58)</f>
        <v>#NAME?</v>
      </c>
      <c r="K58" s="523" t="e">
        <f ca="1">gr(calculs!AR58)</f>
        <v>#NAME?</v>
      </c>
    </row>
    <row r="59" spans="1:11" x14ac:dyDescent="0.2">
      <c r="A59" s="222">
        <f>calculs!A59</f>
        <v>44610</v>
      </c>
      <c r="B59" s="523" t="e">
        <f ca="1">gr(calculs!X59)</f>
        <v>#NAME?</v>
      </c>
      <c r="C59" s="523" t="e">
        <f ca="1">gr(calculs!AD59)</f>
        <v>#NAME?</v>
      </c>
      <c r="D59" s="523" t="e">
        <f ca="1">gr(calculs!AJ59)</f>
        <v>#NAME?</v>
      </c>
      <c r="E59" s="523" t="e">
        <f ca="1">gr(calculs!AP59)</f>
        <v>#NAME?</v>
      </c>
      <c r="F59" s="523" t="e">
        <f ca="1">gr(calculs!AQ59)</f>
        <v>#NAME?</v>
      </c>
      <c r="G59" s="523" t="e">
        <f ca="1">gr(calculs!U59)</f>
        <v>#NAME?</v>
      </c>
      <c r="H59" s="523" t="e">
        <f ca="1">gr(calculs!AA59)</f>
        <v>#NAME?</v>
      </c>
      <c r="I59" s="523" t="e">
        <f ca="1">gr(calculs!AG59)</f>
        <v>#NAME?</v>
      </c>
      <c r="J59" s="523" t="e">
        <f ca="1">gr(calculs!AM59)</f>
        <v>#NAME?</v>
      </c>
      <c r="K59" s="523" t="e">
        <f ca="1">gr(calculs!AR59)</f>
        <v>#NAME?</v>
      </c>
    </row>
    <row r="60" spans="1:11" x14ac:dyDescent="0.2">
      <c r="A60" s="222">
        <f>calculs!A60</f>
        <v>44611</v>
      </c>
      <c r="B60" s="523" t="e">
        <f ca="1">gr(calculs!X60)</f>
        <v>#NAME?</v>
      </c>
      <c r="C60" s="523" t="e">
        <f ca="1">gr(calculs!AD60)</f>
        <v>#NAME?</v>
      </c>
      <c r="D60" s="523" t="e">
        <f ca="1">gr(calculs!AJ60)</f>
        <v>#NAME?</v>
      </c>
      <c r="E60" s="523" t="e">
        <f ca="1">gr(calculs!AP60)</f>
        <v>#NAME?</v>
      </c>
      <c r="F60" s="523" t="e">
        <f ca="1">gr(calculs!AQ60)</f>
        <v>#NAME?</v>
      </c>
      <c r="G60" s="523" t="e">
        <f ca="1">gr(calculs!U60)</f>
        <v>#NAME?</v>
      </c>
      <c r="H60" s="523" t="e">
        <f ca="1">gr(calculs!AA60)</f>
        <v>#NAME?</v>
      </c>
      <c r="I60" s="523" t="e">
        <f ca="1">gr(calculs!AG60)</f>
        <v>#NAME?</v>
      </c>
      <c r="J60" s="523" t="e">
        <f ca="1">gr(calculs!AM60)</f>
        <v>#NAME?</v>
      </c>
      <c r="K60" s="523" t="e">
        <f ca="1">gr(calculs!AR60)</f>
        <v>#NAME?</v>
      </c>
    </row>
    <row r="61" spans="1:11" x14ac:dyDescent="0.2">
      <c r="A61" s="222">
        <f>calculs!A61</f>
        <v>44612</v>
      </c>
      <c r="B61" s="523" t="e">
        <f ca="1">gr(calculs!X61)</f>
        <v>#NAME?</v>
      </c>
      <c r="C61" s="523" t="e">
        <f ca="1">gr(calculs!AD61)</f>
        <v>#NAME?</v>
      </c>
      <c r="D61" s="523" t="e">
        <f ca="1">gr(calculs!AJ61)</f>
        <v>#NAME?</v>
      </c>
      <c r="E61" s="523" t="e">
        <f ca="1">gr(calculs!AP61)</f>
        <v>#NAME?</v>
      </c>
      <c r="F61" s="523" t="e">
        <f ca="1">gr(calculs!AQ61)</f>
        <v>#NAME?</v>
      </c>
      <c r="G61" s="523" t="e">
        <f ca="1">gr(calculs!U61)</f>
        <v>#NAME?</v>
      </c>
      <c r="H61" s="523" t="e">
        <f ca="1">gr(calculs!AA61)</f>
        <v>#NAME?</v>
      </c>
      <c r="I61" s="523" t="e">
        <f ca="1">gr(calculs!AG61)</f>
        <v>#NAME?</v>
      </c>
      <c r="J61" s="523" t="e">
        <f ca="1">gr(calculs!AM61)</f>
        <v>#NAME?</v>
      </c>
      <c r="K61" s="523" t="e">
        <f ca="1">gr(calculs!AR61)</f>
        <v>#NAME?</v>
      </c>
    </row>
    <row r="62" spans="1:11" x14ac:dyDescent="0.2">
      <c r="A62" s="222">
        <f>calculs!A62</f>
        <v>44613</v>
      </c>
      <c r="B62" s="523" t="e">
        <f ca="1">gr(calculs!X62)</f>
        <v>#NAME?</v>
      </c>
      <c r="C62" s="523" t="e">
        <f ca="1">gr(calculs!AD62)</f>
        <v>#NAME?</v>
      </c>
      <c r="D62" s="523" t="e">
        <f ca="1">gr(calculs!AJ62)</f>
        <v>#NAME?</v>
      </c>
      <c r="E62" s="523" t="e">
        <f ca="1">gr(calculs!AP62)</f>
        <v>#NAME?</v>
      </c>
      <c r="F62" s="523" t="e">
        <f ca="1">gr(calculs!AQ62)</f>
        <v>#NAME?</v>
      </c>
      <c r="G62" s="523" t="e">
        <f ca="1">gr(calculs!U62)</f>
        <v>#NAME?</v>
      </c>
      <c r="H62" s="523" t="e">
        <f ca="1">gr(calculs!AA62)</f>
        <v>#NAME?</v>
      </c>
      <c r="I62" s="523" t="e">
        <f ca="1">gr(calculs!AG62)</f>
        <v>#NAME?</v>
      </c>
      <c r="J62" s="523" t="e">
        <f ca="1">gr(calculs!AM62)</f>
        <v>#NAME?</v>
      </c>
      <c r="K62" s="523" t="e">
        <f ca="1">gr(calculs!AR62)</f>
        <v>#NAME?</v>
      </c>
    </row>
    <row r="63" spans="1:11" x14ac:dyDescent="0.2">
      <c r="A63" s="222">
        <f>calculs!A63</f>
        <v>44614</v>
      </c>
      <c r="B63" s="523" t="e">
        <f ca="1">gr(calculs!X63)</f>
        <v>#NAME?</v>
      </c>
      <c r="C63" s="523" t="e">
        <f ca="1">gr(calculs!AD63)</f>
        <v>#NAME?</v>
      </c>
      <c r="D63" s="523" t="e">
        <f ca="1">gr(calculs!AJ63)</f>
        <v>#NAME?</v>
      </c>
      <c r="E63" s="523" t="e">
        <f ca="1">gr(calculs!AP63)</f>
        <v>#NAME?</v>
      </c>
      <c r="F63" s="523" t="e">
        <f ca="1">gr(calculs!AQ63)</f>
        <v>#NAME?</v>
      </c>
      <c r="G63" s="523" t="e">
        <f ca="1">gr(calculs!U63)</f>
        <v>#NAME?</v>
      </c>
      <c r="H63" s="523" t="e">
        <f ca="1">gr(calculs!AA63)</f>
        <v>#NAME?</v>
      </c>
      <c r="I63" s="523" t="e">
        <f ca="1">gr(calculs!AG63)</f>
        <v>#NAME?</v>
      </c>
      <c r="J63" s="523" t="e">
        <f ca="1">gr(calculs!AM63)</f>
        <v>#NAME?</v>
      </c>
      <c r="K63" s="523" t="e">
        <f ca="1">gr(calculs!AR63)</f>
        <v>#NAME?</v>
      </c>
    </row>
    <row r="64" spans="1:11" x14ac:dyDescent="0.2">
      <c r="A64" s="222">
        <f>calculs!A64</f>
        <v>44615</v>
      </c>
      <c r="B64" s="523" t="e">
        <f ca="1">gr(calculs!X64)</f>
        <v>#NAME?</v>
      </c>
      <c r="C64" s="523" t="e">
        <f ca="1">gr(calculs!AD64)</f>
        <v>#NAME?</v>
      </c>
      <c r="D64" s="523" t="e">
        <f ca="1">gr(calculs!AJ64)</f>
        <v>#NAME?</v>
      </c>
      <c r="E64" s="523" t="e">
        <f ca="1">gr(calculs!AP64)</f>
        <v>#NAME?</v>
      </c>
      <c r="F64" s="523" t="e">
        <f ca="1">gr(calculs!AQ64)</f>
        <v>#NAME?</v>
      </c>
      <c r="G64" s="523" t="e">
        <f ca="1">gr(calculs!U64)</f>
        <v>#NAME?</v>
      </c>
      <c r="H64" s="523" t="e">
        <f ca="1">gr(calculs!AA64)</f>
        <v>#NAME?</v>
      </c>
      <c r="I64" s="523" t="e">
        <f ca="1">gr(calculs!AG64)</f>
        <v>#NAME?</v>
      </c>
      <c r="J64" s="523" t="e">
        <f ca="1">gr(calculs!AM64)</f>
        <v>#NAME?</v>
      </c>
      <c r="K64" s="523" t="e">
        <f ca="1">gr(calculs!AR64)</f>
        <v>#NAME?</v>
      </c>
    </row>
    <row r="65" spans="1:11" x14ac:dyDescent="0.2">
      <c r="A65" s="222">
        <f>calculs!A65</f>
        <v>44616</v>
      </c>
      <c r="B65" s="523" t="e">
        <f ca="1">gr(calculs!X65)</f>
        <v>#NAME?</v>
      </c>
      <c r="C65" s="523" t="e">
        <f ca="1">gr(calculs!AD65)</f>
        <v>#NAME?</v>
      </c>
      <c r="D65" s="523" t="e">
        <f ca="1">gr(calculs!AJ65)</f>
        <v>#NAME?</v>
      </c>
      <c r="E65" s="523" t="e">
        <f ca="1">gr(calculs!AP65)</f>
        <v>#NAME?</v>
      </c>
      <c r="F65" s="523" t="e">
        <f ca="1">gr(calculs!AQ65)</f>
        <v>#NAME?</v>
      </c>
      <c r="G65" s="523" t="e">
        <f ca="1">gr(calculs!U65)</f>
        <v>#NAME?</v>
      </c>
      <c r="H65" s="523" t="e">
        <f ca="1">gr(calculs!AA65)</f>
        <v>#NAME?</v>
      </c>
      <c r="I65" s="523" t="e">
        <f ca="1">gr(calculs!AG65)</f>
        <v>#NAME?</v>
      </c>
      <c r="J65" s="523" t="e">
        <f ca="1">gr(calculs!AM65)</f>
        <v>#NAME?</v>
      </c>
      <c r="K65" s="523" t="e">
        <f ca="1">gr(calculs!AR65)</f>
        <v>#NAME?</v>
      </c>
    </row>
    <row r="66" spans="1:11" x14ac:dyDescent="0.2">
      <c r="A66" s="222">
        <f>calculs!A66</f>
        <v>44617</v>
      </c>
      <c r="B66" s="523" t="e">
        <f ca="1">gr(calculs!X66)</f>
        <v>#NAME?</v>
      </c>
      <c r="C66" s="523" t="e">
        <f ca="1">gr(calculs!AD66)</f>
        <v>#NAME?</v>
      </c>
      <c r="D66" s="523" t="e">
        <f ca="1">gr(calculs!AJ66)</f>
        <v>#NAME?</v>
      </c>
      <c r="E66" s="523" t="e">
        <f ca="1">gr(calculs!AP66)</f>
        <v>#NAME?</v>
      </c>
      <c r="F66" s="523" t="e">
        <f ca="1">gr(calculs!AQ66)</f>
        <v>#NAME?</v>
      </c>
      <c r="G66" s="523" t="e">
        <f ca="1">gr(calculs!U66)</f>
        <v>#NAME?</v>
      </c>
      <c r="H66" s="523" t="e">
        <f ca="1">gr(calculs!AA66)</f>
        <v>#NAME?</v>
      </c>
      <c r="I66" s="523" t="e">
        <f ca="1">gr(calculs!AG66)</f>
        <v>#NAME?</v>
      </c>
      <c r="J66" s="523" t="e">
        <f ca="1">gr(calculs!AM66)</f>
        <v>#NAME?</v>
      </c>
      <c r="K66" s="523" t="e">
        <f ca="1">gr(calculs!AR66)</f>
        <v>#NAME?</v>
      </c>
    </row>
    <row r="67" spans="1:11" x14ac:dyDescent="0.2">
      <c r="A67" s="222">
        <f>calculs!A67</f>
        <v>44618</v>
      </c>
      <c r="B67" s="523" t="e">
        <f ca="1">gr(calculs!X67)</f>
        <v>#NAME?</v>
      </c>
      <c r="C67" s="523" t="e">
        <f ca="1">gr(calculs!AD67)</f>
        <v>#NAME?</v>
      </c>
      <c r="D67" s="523" t="e">
        <f ca="1">gr(calculs!AJ67)</f>
        <v>#NAME?</v>
      </c>
      <c r="E67" s="523" t="e">
        <f ca="1">gr(calculs!AP67)</f>
        <v>#NAME?</v>
      </c>
      <c r="F67" s="523" t="e">
        <f ca="1">gr(calculs!AQ67)</f>
        <v>#NAME?</v>
      </c>
      <c r="G67" s="523" t="e">
        <f ca="1">gr(calculs!U67)</f>
        <v>#NAME?</v>
      </c>
      <c r="H67" s="523" t="e">
        <f ca="1">gr(calculs!AA67)</f>
        <v>#NAME?</v>
      </c>
      <c r="I67" s="523" t="e">
        <f ca="1">gr(calculs!AG67)</f>
        <v>#NAME?</v>
      </c>
      <c r="J67" s="523" t="e">
        <f ca="1">gr(calculs!AM67)</f>
        <v>#NAME?</v>
      </c>
      <c r="K67" s="523" t="e">
        <f ca="1">gr(calculs!AR67)</f>
        <v>#NAME?</v>
      </c>
    </row>
    <row r="68" spans="1:11" x14ac:dyDescent="0.2">
      <c r="A68" s="222">
        <f>calculs!A68</f>
        <v>44619</v>
      </c>
      <c r="B68" s="523" t="e">
        <f ca="1">gr(calculs!X68)</f>
        <v>#NAME?</v>
      </c>
      <c r="C68" s="523" t="e">
        <f ca="1">gr(calculs!AD68)</f>
        <v>#NAME?</v>
      </c>
      <c r="D68" s="523" t="e">
        <f ca="1">gr(calculs!AJ68)</f>
        <v>#NAME?</v>
      </c>
      <c r="E68" s="523" t="e">
        <f ca="1">gr(calculs!AP68)</f>
        <v>#NAME?</v>
      </c>
      <c r="F68" s="523" t="e">
        <f ca="1">gr(calculs!AQ68)</f>
        <v>#NAME?</v>
      </c>
      <c r="G68" s="523" t="e">
        <f ca="1">gr(calculs!U68)</f>
        <v>#NAME?</v>
      </c>
      <c r="H68" s="523" t="e">
        <f ca="1">gr(calculs!AA68)</f>
        <v>#NAME?</v>
      </c>
      <c r="I68" s="523" t="e">
        <f ca="1">gr(calculs!AG68)</f>
        <v>#NAME?</v>
      </c>
      <c r="J68" s="523" t="e">
        <f ca="1">gr(calculs!AM68)</f>
        <v>#NAME?</v>
      </c>
      <c r="K68" s="523" t="e">
        <f ca="1">gr(calculs!AR68)</f>
        <v>#NAME?</v>
      </c>
    </row>
    <row r="69" spans="1:11" x14ac:dyDescent="0.2">
      <c r="A69" s="222">
        <f>calculs!A69</f>
        <v>44620</v>
      </c>
      <c r="B69" s="523" t="e">
        <f ca="1">gr(calculs!X69)</f>
        <v>#NAME?</v>
      </c>
      <c r="C69" s="523" t="e">
        <f ca="1">gr(calculs!AD69)</f>
        <v>#NAME?</v>
      </c>
      <c r="D69" s="523" t="e">
        <f ca="1">gr(calculs!AJ69)</f>
        <v>#NAME?</v>
      </c>
      <c r="E69" s="523" t="e">
        <f ca="1">gr(calculs!AP69)</f>
        <v>#NAME?</v>
      </c>
      <c r="F69" s="523" t="e">
        <f ca="1">gr(calculs!AQ69)</f>
        <v>#NAME?</v>
      </c>
      <c r="G69" s="523" t="e">
        <f ca="1">gr(calculs!U69)</f>
        <v>#NAME?</v>
      </c>
      <c r="H69" s="523" t="e">
        <f ca="1">gr(calculs!AA69)</f>
        <v>#NAME?</v>
      </c>
      <c r="I69" s="523" t="e">
        <f ca="1">gr(calculs!AG69)</f>
        <v>#NAME?</v>
      </c>
      <c r="J69" s="523" t="e">
        <f ca="1">gr(calculs!AM69)</f>
        <v>#NAME?</v>
      </c>
      <c r="K69" s="523" t="e">
        <f ca="1">gr(calculs!AR69)</f>
        <v>#NAME?</v>
      </c>
    </row>
    <row r="70" spans="1:11" x14ac:dyDescent="0.2">
      <c r="A70" s="222">
        <f>calculs!A70</f>
        <v>44621</v>
      </c>
      <c r="B70" s="523" t="e">
        <f ca="1">gr(calculs!X70)</f>
        <v>#NAME?</v>
      </c>
      <c r="C70" s="523" t="e">
        <f ca="1">gr(calculs!AD70)</f>
        <v>#NAME?</v>
      </c>
      <c r="D70" s="523" t="e">
        <f ca="1">gr(calculs!AJ70)</f>
        <v>#NAME?</v>
      </c>
      <c r="E70" s="523" t="e">
        <f ca="1">gr(calculs!AP70)</f>
        <v>#NAME?</v>
      </c>
      <c r="F70" s="523" t="e">
        <f ca="1">gr(calculs!AQ70)</f>
        <v>#NAME?</v>
      </c>
      <c r="G70" s="523" t="e">
        <f ca="1">gr(calculs!U70)</f>
        <v>#NAME?</v>
      </c>
      <c r="H70" s="523" t="e">
        <f ca="1">gr(calculs!AA70)</f>
        <v>#NAME?</v>
      </c>
      <c r="I70" s="523" t="e">
        <f ca="1">gr(calculs!AG70)</f>
        <v>#NAME?</v>
      </c>
      <c r="J70" s="523" t="e">
        <f ca="1">gr(calculs!AM70)</f>
        <v>#NAME?</v>
      </c>
      <c r="K70" s="523" t="e">
        <f ca="1">gr(calculs!AR70)</f>
        <v>#NAME?</v>
      </c>
    </row>
    <row r="71" spans="1:11" x14ac:dyDescent="0.2">
      <c r="A71" s="222">
        <f>calculs!A71</f>
        <v>44622</v>
      </c>
      <c r="B71" s="523" t="e">
        <f ca="1">gr(calculs!X71)</f>
        <v>#NAME?</v>
      </c>
      <c r="C71" s="523" t="e">
        <f ca="1">gr(calculs!AD71)</f>
        <v>#NAME?</v>
      </c>
      <c r="D71" s="523" t="e">
        <f ca="1">gr(calculs!AJ71)</f>
        <v>#NAME?</v>
      </c>
      <c r="E71" s="523" t="e">
        <f ca="1">gr(calculs!AP71)</f>
        <v>#NAME?</v>
      </c>
      <c r="F71" s="523" t="e">
        <f ca="1">gr(calculs!AQ71)</f>
        <v>#NAME?</v>
      </c>
      <c r="G71" s="523" t="e">
        <f ca="1">gr(calculs!U71)</f>
        <v>#NAME?</v>
      </c>
      <c r="H71" s="523" t="e">
        <f ca="1">gr(calculs!AA71)</f>
        <v>#NAME?</v>
      </c>
      <c r="I71" s="523" t="e">
        <f ca="1">gr(calculs!AG71)</f>
        <v>#NAME?</v>
      </c>
      <c r="J71" s="523" t="e">
        <f ca="1">gr(calculs!AM71)</f>
        <v>#NAME?</v>
      </c>
      <c r="K71" s="523" t="e">
        <f ca="1">gr(calculs!AR71)</f>
        <v>#NAME?</v>
      </c>
    </row>
    <row r="72" spans="1:11" x14ac:dyDescent="0.2">
      <c r="A72" s="222">
        <f>calculs!A72</f>
        <v>44623</v>
      </c>
      <c r="B72" s="523" t="e">
        <f ca="1">gr(calculs!X72)</f>
        <v>#NAME?</v>
      </c>
      <c r="C72" s="523" t="e">
        <f ca="1">gr(calculs!AD72)</f>
        <v>#NAME?</v>
      </c>
      <c r="D72" s="523" t="e">
        <f ca="1">gr(calculs!AJ72)</f>
        <v>#NAME?</v>
      </c>
      <c r="E72" s="523" t="e">
        <f ca="1">gr(calculs!AP72)</f>
        <v>#NAME?</v>
      </c>
      <c r="F72" s="523" t="e">
        <f ca="1">gr(calculs!AQ72)</f>
        <v>#NAME?</v>
      </c>
      <c r="G72" s="523" t="e">
        <f ca="1">gr(calculs!U72)</f>
        <v>#NAME?</v>
      </c>
      <c r="H72" s="523" t="e">
        <f ca="1">gr(calculs!AA72)</f>
        <v>#NAME?</v>
      </c>
      <c r="I72" s="523" t="e">
        <f ca="1">gr(calculs!AG72)</f>
        <v>#NAME?</v>
      </c>
      <c r="J72" s="523" t="e">
        <f ca="1">gr(calculs!AM72)</f>
        <v>#NAME?</v>
      </c>
      <c r="K72" s="523" t="e">
        <f ca="1">gr(calculs!AR72)</f>
        <v>#NAME?</v>
      </c>
    </row>
    <row r="73" spans="1:11" x14ac:dyDescent="0.2">
      <c r="A73" s="222">
        <f>calculs!A73</f>
        <v>44624</v>
      </c>
      <c r="B73" s="523" t="e">
        <f ca="1">gr(calculs!X73)</f>
        <v>#NAME?</v>
      </c>
      <c r="C73" s="523" t="e">
        <f ca="1">gr(calculs!AD73)</f>
        <v>#NAME?</v>
      </c>
      <c r="D73" s="523" t="e">
        <f ca="1">gr(calculs!AJ73)</f>
        <v>#NAME?</v>
      </c>
      <c r="E73" s="523" t="e">
        <f ca="1">gr(calculs!AP73)</f>
        <v>#NAME?</v>
      </c>
      <c r="F73" s="523" t="e">
        <f ca="1">gr(calculs!AQ73)</f>
        <v>#NAME?</v>
      </c>
      <c r="G73" s="523" t="e">
        <f ca="1">gr(calculs!U73)</f>
        <v>#NAME?</v>
      </c>
      <c r="H73" s="523" t="e">
        <f ca="1">gr(calculs!AA73)</f>
        <v>#NAME?</v>
      </c>
      <c r="I73" s="523" t="e">
        <f ca="1">gr(calculs!AG73)</f>
        <v>#NAME?</v>
      </c>
      <c r="J73" s="523" t="e">
        <f ca="1">gr(calculs!AM73)</f>
        <v>#NAME?</v>
      </c>
      <c r="K73" s="523" t="e">
        <f ca="1">gr(calculs!AR73)</f>
        <v>#NAME?</v>
      </c>
    </row>
    <row r="74" spans="1:11" x14ac:dyDescent="0.2">
      <c r="A74" s="222">
        <f>calculs!A74</f>
        <v>44625</v>
      </c>
      <c r="B74" s="523" t="e">
        <f ca="1">gr(calculs!X74)</f>
        <v>#NAME?</v>
      </c>
      <c r="C74" s="523" t="e">
        <f ca="1">gr(calculs!AD74)</f>
        <v>#NAME?</v>
      </c>
      <c r="D74" s="523" t="e">
        <f ca="1">gr(calculs!AJ74)</f>
        <v>#NAME?</v>
      </c>
      <c r="E74" s="523" t="e">
        <f ca="1">gr(calculs!AP74)</f>
        <v>#NAME?</v>
      </c>
      <c r="F74" s="523" t="e">
        <f ca="1">gr(calculs!AQ74)</f>
        <v>#NAME?</v>
      </c>
      <c r="G74" s="523" t="e">
        <f ca="1">gr(calculs!U74)</f>
        <v>#NAME?</v>
      </c>
      <c r="H74" s="523" t="e">
        <f ca="1">gr(calculs!AA74)</f>
        <v>#NAME?</v>
      </c>
      <c r="I74" s="523" t="e">
        <f ca="1">gr(calculs!AG74)</f>
        <v>#NAME?</v>
      </c>
      <c r="J74" s="523" t="e">
        <f ca="1">gr(calculs!AM74)</f>
        <v>#NAME?</v>
      </c>
      <c r="K74" s="523" t="e">
        <f ca="1">gr(calculs!AR74)</f>
        <v>#NAME?</v>
      </c>
    </row>
    <row r="75" spans="1:11" x14ac:dyDescent="0.2">
      <c r="A75" s="222">
        <f>calculs!A75</f>
        <v>44626</v>
      </c>
      <c r="B75" s="523" t="e">
        <f ca="1">gr(calculs!X75)</f>
        <v>#NAME?</v>
      </c>
      <c r="C75" s="523" t="e">
        <f ca="1">gr(calculs!AD75)</f>
        <v>#NAME?</v>
      </c>
      <c r="D75" s="523" t="e">
        <f ca="1">gr(calculs!AJ75)</f>
        <v>#NAME?</v>
      </c>
      <c r="E75" s="523" t="e">
        <f ca="1">gr(calculs!AP75)</f>
        <v>#NAME?</v>
      </c>
      <c r="F75" s="523" t="e">
        <f ca="1">gr(calculs!AQ75)</f>
        <v>#NAME?</v>
      </c>
      <c r="G75" s="523" t="e">
        <f ca="1">gr(calculs!U75)</f>
        <v>#NAME?</v>
      </c>
      <c r="H75" s="523" t="e">
        <f ca="1">gr(calculs!AA75)</f>
        <v>#NAME?</v>
      </c>
      <c r="I75" s="523" t="e">
        <f ca="1">gr(calculs!AG75)</f>
        <v>#NAME?</v>
      </c>
      <c r="J75" s="523" t="e">
        <f ca="1">gr(calculs!AM75)</f>
        <v>#NAME?</v>
      </c>
      <c r="K75" s="523" t="e">
        <f ca="1">gr(calculs!AR75)</f>
        <v>#NAME?</v>
      </c>
    </row>
    <row r="76" spans="1:11" x14ac:dyDescent="0.2">
      <c r="A76" s="222">
        <f>calculs!A76</f>
        <v>44627</v>
      </c>
      <c r="B76" s="523" t="e">
        <f ca="1">gr(calculs!X76)</f>
        <v>#NAME?</v>
      </c>
      <c r="C76" s="523" t="e">
        <f ca="1">gr(calculs!AD76)</f>
        <v>#NAME?</v>
      </c>
      <c r="D76" s="523" t="e">
        <f ca="1">gr(calculs!AJ76)</f>
        <v>#NAME?</v>
      </c>
      <c r="E76" s="523" t="e">
        <f ca="1">gr(calculs!AP76)</f>
        <v>#NAME?</v>
      </c>
      <c r="F76" s="523" t="e">
        <f ca="1">gr(calculs!AQ76)</f>
        <v>#NAME?</v>
      </c>
      <c r="G76" s="523" t="e">
        <f ca="1">gr(calculs!U76)</f>
        <v>#NAME?</v>
      </c>
      <c r="H76" s="523" t="e">
        <f ca="1">gr(calculs!AA76)</f>
        <v>#NAME?</v>
      </c>
      <c r="I76" s="523" t="e">
        <f ca="1">gr(calculs!AG76)</f>
        <v>#NAME?</v>
      </c>
      <c r="J76" s="523" t="e">
        <f ca="1">gr(calculs!AM76)</f>
        <v>#NAME?</v>
      </c>
      <c r="K76" s="523" t="e">
        <f ca="1">gr(calculs!AR76)</f>
        <v>#NAME?</v>
      </c>
    </row>
    <row r="77" spans="1:11" x14ac:dyDescent="0.2">
      <c r="A77" s="222">
        <f>calculs!A77</f>
        <v>44628</v>
      </c>
      <c r="B77" s="523" t="e">
        <f ca="1">gr(calculs!X77)</f>
        <v>#NAME?</v>
      </c>
      <c r="C77" s="523" t="e">
        <f ca="1">gr(calculs!AD77)</f>
        <v>#NAME?</v>
      </c>
      <c r="D77" s="523" t="e">
        <f ca="1">gr(calculs!AJ77)</f>
        <v>#NAME?</v>
      </c>
      <c r="E77" s="523" t="e">
        <f ca="1">gr(calculs!AP77)</f>
        <v>#NAME?</v>
      </c>
      <c r="F77" s="523" t="e">
        <f ca="1">gr(calculs!AQ77)</f>
        <v>#NAME?</v>
      </c>
      <c r="G77" s="523" t="e">
        <f ca="1">gr(calculs!U77)</f>
        <v>#NAME?</v>
      </c>
      <c r="H77" s="523" t="e">
        <f ca="1">gr(calculs!AA77)</f>
        <v>#NAME?</v>
      </c>
      <c r="I77" s="523" t="e">
        <f ca="1">gr(calculs!AG77)</f>
        <v>#NAME?</v>
      </c>
      <c r="J77" s="523" t="e">
        <f ca="1">gr(calculs!AM77)</f>
        <v>#NAME?</v>
      </c>
      <c r="K77" s="523" t="e">
        <f ca="1">gr(calculs!AR77)</f>
        <v>#NAME?</v>
      </c>
    </row>
    <row r="78" spans="1:11" x14ac:dyDescent="0.2">
      <c r="A78" s="222">
        <f>calculs!A78</f>
        <v>44629</v>
      </c>
      <c r="B78" s="523" t="e">
        <f ca="1">gr(calculs!X78)</f>
        <v>#NAME?</v>
      </c>
      <c r="C78" s="523" t="e">
        <f ca="1">gr(calculs!AD78)</f>
        <v>#NAME?</v>
      </c>
      <c r="D78" s="523" t="e">
        <f ca="1">gr(calculs!AJ78)</f>
        <v>#NAME?</v>
      </c>
      <c r="E78" s="523" t="e">
        <f ca="1">gr(calculs!AP78)</f>
        <v>#NAME?</v>
      </c>
      <c r="F78" s="523" t="e">
        <f ca="1">gr(calculs!AQ78)</f>
        <v>#NAME?</v>
      </c>
      <c r="G78" s="523" t="e">
        <f ca="1">gr(calculs!U78)</f>
        <v>#NAME?</v>
      </c>
      <c r="H78" s="523" t="e">
        <f ca="1">gr(calculs!AA78)</f>
        <v>#NAME?</v>
      </c>
      <c r="I78" s="523" t="e">
        <f ca="1">gr(calculs!AG78)</f>
        <v>#NAME?</v>
      </c>
      <c r="J78" s="523" t="e">
        <f ca="1">gr(calculs!AM78)</f>
        <v>#NAME?</v>
      </c>
      <c r="K78" s="523" t="e">
        <f ca="1">gr(calculs!AR78)</f>
        <v>#NAME?</v>
      </c>
    </row>
    <row r="79" spans="1:11" x14ac:dyDescent="0.2">
      <c r="A79" s="222">
        <f>calculs!A79</f>
        <v>44630</v>
      </c>
      <c r="B79" s="523" t="e">
        <f ca="1">gr(calculs!X79)</f>
        <v>#NAME?</v>
      </c>
      <c r="C79" s="523" t="e">
        <f ca="1">gr(calculs!AD79)</f>
        <v>#NAME?</v>
      </c>
      <c r="D79" s="523" t="e">
        <f ca="1">gr(calculs!AJ79)</f>
        <v>#NAME?</v>
      </c>
      <c r="E79" s="523" t="e">
        <f ca="1">gr(calculs!AP79)</f>
        <v>#NAME?</v>
      </c>
      <c r="F79" s="523" t="e">
        <f ca="1">gr(calculs!AQ79)</f>
        <v>#NAME?</v>
      </c>
      <c r="G79" s="523" t="e">
        <f ca="1">gr(calculs!U79)</f>
        <v>#NAME?</v>
      </c>
      <c r="H79" s="523" t="e">
        <f ca="1">gr(calculs!AA79)</f>
        <v>#NAME?</v>
      </c>
      <c r="I79" s="523" t="e">
        <f ca="1">gr(calculs!AG79)</f>
        <v>#NAME?</v>
      </c>
      <c r="J79" s="523" t="e">
        <f ca="1">gr(calculs!AM79)</f>
        <v>#NAME?</v>
      </c>
      <c r="K79" s="523" t="e">
        <f ca="1">gr(calculs!AR79)</f>
        <v>#NAME?</v>
      </c>
    </row>
    <row r="80" spans="1:11" x14ac:dyDescent="0.2">
      <c r="A80" s="222">
        <f>calculs!A80</f>
        <v>44631</v>
      </c>
      <c r="B80" s="523" t="e">
        <f ca="1">gr(calculs!X80)</f>
        <v>#NAME?</v>
      </c>
      <c r="C80" s="523" t="e">
        <f ca="1">gr(calculs!AD80)</f>
        <v>#NAME?</v>
      </c>
      <c r="D80" s="523" t="e">
        <f ca="1">gr(calculs!AJ80)</f>
        <v>#NAME?</v>
      </c>
      <c r="E80" s="523" t="e">
        <f ca="1">gr(calculs!AP80)</f>
        <v>#NAME?</v>
      </c>
      <c r="F80" s="523" t="e">
        <f ca="1">gr(calculs!AQ80)</f>
        <v>#NAME?</v>
      </c>
      <c r="G80" s="523" t="e">
        <f ca="1">gr(calculs!U80)</f>
        <v>#NAME?</v>
      </c>
      <c r="H80" s="523" t="e">
        <f ca="1">gr(calculs!AA80)</f>
        <v>#NAME?</v>
      </c>
      <c r="I80" s="523" t="e">
        <f ca="1">gr(calculs!AG80)</f>
        <v>#NAME?</v>
      </c>
      <c r="J80" s="523" t="e">
        <f ca="1">gr(calculs!AM80)</f>
        <v>#NAME?</v>
      </c>
      <c r="K80" s="523" t="e">
        <f ca="1">gr(calculs!AR80)</f>
        <v>#NAME?</v>
      </c>
    </row>
    <row r="81" spans="1:11" x14ac:dyDescent="0.2">
      <c r="A81" s="222">
        <f>calculs!A81</f>
        <v>44632</v>
      </c>
      <c r="B81" s="523" t="e">
        <f ca="1">gr(calculs!X81)</f>
        <v>#NAME?</v>
      </c>
      <c r="C81" s="523" t="e">
        <f ca="1">gr(calculs!AD81)</f>
        <v>#NAME?</v>
      </c>
      <c r="D81" s="523" t="e">
        <f ca="1">gr(calculs!AJ81)</f>
        <v>#NAME?</v>
      </c>
      <c r="E81" s="523" t="e">
        <f ca="1">gr(calculs!AP81)</f>
        <v>#NAME?</v>
      </c>
      <c r="F81" s="523" t="e">
        <f ca="1">gr(calculs!AQ81)</f>
        <v>#NAME?</v>
      </c>
      <c r="G81" s="523" t="e">
        <f ca="1">gr(calculs!U81)</f>
        <v>#NAME?</v>
      </c>
      <c r="H81" s="523" t="e">
        <f ca="1">gr(calculs!AA81)</f>
        <v>#NAME?</v>
      </c>
      <c r="I81" s="523" t="e">
        <f ca="1">gr(calculs!AG81)</f>
        <v>#NAME?</v>
      </c>
      <c r="J81" s="523" t="e">
        <f ca="1">gr(calculs!AM81)</f>
        <v>#NAME?</v>
      </c>
      <c r="K81" s="523" t="e">
        <f ca="1">gr(calculs!AR81)</f>
        <v>#NAME?</v>
      </c>
    </row>
    <row r="82" spans="1:11" x14ac:dyDescent="0.2">
      <c r="A82" s="222">
        <f>calculs!A82</f>
        <v>44633</v>
      </c>
      <c r="B82" s="523" t="e">
        <f ca="1">gr(calculs!X82)</f>
        <v>#NAME?</v>
      </c>
      <c r="C82" s="523" t="e">
        <f ca="1">gr(calculs!AD82)</f>
        <v>#NAME?</v>
      </c>
      <c r="D82" s="523" t="e">
        <f ca="1">gr(calculs!AJ82)</f>
        <v>#NAME?</v>
      </c>
      <c r="E82" s="523" t="e">
        <f ca="1">gr(calculs!AP82)</f>
        <v>#NAME?</v>
      </c>
      <c r="F82" s="523" t="e">
        <f ca="1">gr(calculs!AQ82)</f>
        <v>#NAME?</v>
      </c>
      <c r="G82" s="523" t="e">
        <f ca="1">gr(calculs!U82)</f>
        <v>#NAME?</v>
      </c>
      <c r="H82" s="523" t="e">
        <f ca="1">gr(calculs!AA82)</f>
        <v>#NAME?</v>
      </c>
      <c r="I82" s="523" t="e">
        <f ca="1">gr(calculs!AG82)</f>
        <v>#NAME?</v>
      </c>
      <c r="J82" s="523" t="e">
        <f ca="1">gr(calculs!AM82)</f>
        <v>#NAME?</v>
      </c>
      <c r="K82" s="523" t="e">
        <f ca="1">gr(calculs!AR82)</f>
        <v>#NAME?</v>
      </c>
    </row>
    <row r="83" spans="1:11" x14ac:dyDescent="0.2">
      <c r="A83" s="222">
        <f>calculs!A83</f>
        <v>44634</v>
      </c>
      <c r="B83" s="523" t="e">
        <f ca="1">gr(calculs!X83)</f>
        <v>#NAME?</v>
      </c>
      <c r="C83" s="523" t="e">
        <f ca="1">gr(calculs!AD83)</f>
        <v>#NAME?</v>
      </c>
      <c r="D83" s="523" t="e">
        <f ca="1">gr(calculs!AJ83)</f>
        <v>#NAME?</v>
      </c>
      <c r="E83" s="523" t="e">
        <f ca="1">gr(calculs!AP83)</f>
        <v>#NAME?</v>
      </c>
      <c r="F83" s="523" t="e">
        <f ca="1">gr(calculs!AQ83)</f>
        <v>#NAME?</v>
      </c>
      <c r="G83" s="523" t="e">
        <f ca="1">gr(calculs!U83)</f>
        <v>#NAME?</v>
      </c>
      <c r="H83" s="523" t="e">
        <f ca="1">gr(calculs!AA83)</f>
        <v>#NAME?</v>
      </c>
      <c r="I83" s="523" t="e">
        <f ca="1">gr(calculs!AG83)</f>
        <v>#NAME?</v>
      </c>
      <c r="J83" s="523" t="e">
        <f ca="1">gr(calculs!AM83)</f>
        <v>#NAME?</v>
      </c>
      <c r="K83" s="523" t="e">
        <f ca="1">gr(calculs!AR83)</f>
        <v>#NAME?</v>
      </c>
    </row>
    <row r="84" spans="1:11" x14ac:dyDescent="0.2">
      <c r="A84" s="222">
        <f>calculs!A84</f>
        <v>44635</v>
      </c>
      <c r="B84" s="523" t="e">
        <f ca="1">gr(calculs!X84)</f>
        <v>#NAME?</v>
      </c>
      <c r="C84" s="523" t="e">
        <f ca="1">gr(calculs!AD84)</f>
        <v>#NAME?</v>
      </c>
      <c r="D84" s="523" t="e">
        <f ca="1">gr(calculs!AJ84)</f>
        <v>#NAME?</v>
      </c>
      <c r="E84" s="523" t="e">
        <f ca="1">gr(calculs!AP84)</f>
        <v>#NAME?</v>
      </c>
      <c r="F84" s="523" t="e">
        <f ca="1">gr(calculs!AQ84)</f>
        <v>#NAME?</v>
      </c>
      <c r="G84" s="523" t="e">
        <f ca="1">gr(calculs!U84)</f>
        <v>#NAME?</v>
      </c>
      <c r="H84" s="523" t="e">
        <f ca="1">gr(calculs!AA84)</f>
        <v>#NAME?</v>
      </c>
      <c r="I84" s="523" t="e">
        <f ca="1">gr(calculs!AG84)</f>
        <v>#NAME?</v>
      </c>
      <c r="J84" s="523" t="e">
        <f ca="1">gr(calculs!AM84)</f>
        <v>#NAME?</v>
      </c>
      <c r="K84" s="523" t="e">
        <f ca="1">gr(calculs!AR84)</f>
        <v>#NAME?</v>
      </c>
    </row>
    <row r="85" spans="1:11" x14ac:dyDescent="0.2">
      <c r="A85" s="222">
        <f>calculs!A85</f>
        <v>44636</v>
      </c>
      <c r="B85" s="523" t="e">
        <f ca="1">gr(calculs!X85)</f>
        <v>#NAME?</v>
      </c>
      <c r="C85" s="523" t="e">
        <f ca="1">gr(calculs!AD85)</f>
        <v>#NAME?</v>
      </c>
      <c r="D85" s="523" t="e">
        <f ca="1">gr(calculs!AJ85)</f>
        <v>#NAME?</v>
      </c>
      <c r="E85" s="523" t="e">
        <f ca="1">gr(calculs!AP85)</f>
        <v>#NAME?</v>
      </c>
      <c r="F85" s="523" t="e">
        <f ca="1">gr(calculs!AQ85)</f>
        <v>#NAME?</v>
      </c>
      <c r="G85" s="523" t="e">
        <f ca="1">gr(calculs!U85)</f>
        <v>#NAME?</v>
      </c>
      <c r="H85" s="523" t="e">
        <f ca="1">gr(calculs!AA85)</f>
        <v>#NAME?</v>
      </c>
      <c r="I85" s="523" t="e">
        <f ca="1">gr(calculs!AG85)</f>
        <v>#NAME?</v>
      </c>
      <c r="J85" s="523" t="e">
        <f ca="1">gr(calculs!AM85)</f>
        <v>#NAME?</v>
      </c>
      <c r="K85" s="523" t="e">
        <f ca="1">gr(calculs!AR85)</f>
        <v>#NAME?</v>
      </c>
    </row>
    <row r="86" spans="1:11" x14ac:dyDescent="0.2">
      <c r="A86" s="222">
        <f>calculs!A86</f>
        <v>44637</v>
      </c>
      <c r="B86" s="523" t="e">
        <f ca="1">gr(calculs!X86)</f>
        <v>#NAME?</v>
      </c>
      <c r="C86" s="523" t="e">
        <f ca="1">gr(calculs!AD86)</f>
        <v>#NAME?</v>
      </c>
      <c r="D86" s="523" t="e">
        <f ca="1">gr(calculs!AJ86)</f>
        <v>#NAME?</v>
      </c>
      <c r="E86" s="523" t="e">
        <f ca="1">gr(calculs!AP86)</f>
        <v>#NAME?</v>
      </c>
      <c r="F86" s="523" t="e">
        <f ca="1">gr(calculs!AQ86)</f>
        <v>#NAME?</v>
      </c>
      <c r="G86" s="523" t="e">
        <f ca="1">gr(calculs!U86)</f>
        <v>#NAME?</v>
      </c>
      <c r="H86" s="523" t="e">
        <f ca="1">gr(calculs!AA86)</f>
        <v>#NAME?</v>
      </c>
      <c r="I86" s="523" t="e">
        <f ca="1">gr(calculs!AG86)</f>
        <v>#NAME?</v>
      </c>
      <c r="J86" s="523" t="e">
        <f ca="1">gr(calculs!AM86)</f>
        <v>#NAME?</v>
      </c>
      <c r="K86" s="523" t="e">
        <f ca="1">gr(calculs!AR86)</f>
        <v>#NAME?</v>
      </c>
    </row>
    <row r="87" spans="1:11" x14ac:dyDescent="0.2">
      <c r="A87" s="222">
        <f>calculs!A87</f>
        <v>44638</v>
      </c>
      <c r="B87" s="523" t="e">
        <f ca="1">gr(calculs!X87)</f>
        <v>#NAME?</v>
      </c>
      <c r="C87" s="523" t="e">
        <f ca="1">gr(calculs!AD87)</f>
        <v>#NAME?</v>
      </c>
      <c r="D87" s="523" t="e">
        <f ca="1">gr(calculs!AJ87)</f>
        <v>#NAME?</v>
      </c>
      <c r="E87" s="523" t="e">
        <f ca="1">gr(calculs!AP87)</f>
        <v>#NAME?</v>
      </c>
      <c r="F87" s="523" t="e">
        <f ca="1">gr(calculs!AQ87)</f>
        <v>#NAME?</v>
      </c>
      <c r="G87" s="523" t="e">
        <f ca="1">gr(calculs!U87)</f>
        <v>#NAME?</v>
      </c>
      <c r="H87" s="523" t="e">
        <f ca="1">gr(calculs!AA87)</f>
        <v>#NAME?</v>
      </c>
      <c r="I87" s="523" t="e">
        <f ca="1">gr(calculs!AG87)</f>
        <v>#NAME?</v>
      </c>
      <c r="J87" s="523" t="e">
        <f ca="1">gr(calculs!AM87)</f>
        <v>#NAME?</v>
      </c>
      <c r="K87" s="523" t="e">
        <f ca="1">gr(calculs!AR87)</f>
        <v>#NAME?</v>
      </c>
    </row>
    <row r="88" spans="1:11" x14ac:dyDescent="0.2">
      <c r="A88" s="222">
        <f>calculs!A88</f>
        <v>44639</v>
      </c>
      <c r="B88" s="523" t="e">
        <f ca="1">gr(calculs!X88)</f>
        <v>#NAME?</v>
      </c>
      <c r="C88" s="523" t="e">
        <f ca="1">gr(calculs!AD88)</f>
        <v>#NAME?</v>
      </c>
      <c r="D88" s="523" t="e">
        <f ca="1">gr(calculs!AJ88)</f>
        <v>#NAME?</v>
      </c>
      <c r="E88" s="523" t="e">
        <f ca="1">gr(calculs!AP88)</f>
        <v>#NAME?</v>
      </c>
      <c r="F88" s="523" t="e">
        <f ca="1">gr(calculs!AQ88)</f>
        <v>#NAME?</v>
      </c>
      <c r="G88" s="523" t="e">
        <f ca="1">gr(calculs!U88)</f>
        <v>#NAME?</v>
      </c>
      <c r="H88" s="523" t="e">
        <f ca="1">gr(calculs!AA88)</f>
        <v>#NAME?</v>
      </c>
      <c r="I88" s="523" t="e">
        <f ca="1">gr(calculs!AG88)</f>
        <v>#NAME?</v>
      </c>
      <c r="J88" s="523" t="e">
        <f ca="1">gr(calculs!AM88)</f>
        <v>#NAME?</v>
      </c>
      <c r="K88" s="523" t="e">
        <f ca="1">gr(calculs!AR88)</f>
        <v>#NAME?</v>
      </c>
    </row>
    <row r="89" spans="1:11" x14ac:dyDescent="0.2">
      <c r="A89" s="222">
        <f>calculs!A89</f>
        <v>44640</v>
      </c>
      <c r="B89" s="523" t="e">
        <f ca="1">gr(calculs!X89)</f>
        <v>#NAME?</v>
      </c>
      <c r="C89" s="523" t="e">
        <f ca="1">gr(calculs!AD89)</f>
        <v>#NAME?</v>
      </c>
      <c r="D89" s="523" t="e">
        <f ca="1">gr(calculs!AJ89)</f>
        <v>#NAME?</v>
      </c>
      <c r="E89" s="523" t="e">
        <f ca="1">gr(calculs!AP89)</f>
        <v>#NAME?</v>
      </c>
      <c r="F89" s="523" t="e">
        <f ca="1">gr(calculs!AQ89)</f>
        <v>#NAME?</v>
      </c>
      <c r="G89" s="523" t="e">
        <f ca="1">gr(calculs!U89)</f>
        <v>#NAME?</v>
      </c>
      <c r="H89" s="523" t="e">
        <f ca="1">gr(calculs!AA89)</f>
        <v>#NAME?</v>
      </c>
      <c r="I89" s="523" t="e">
        <f ca="1">gr(calculs!AG89)</f>
        <v>#NAME?</v>
      </c>
      <c r="J89" s="523" t="e">
        <f ca="1">gr(calculs!AM89)</f>
        <v>#NAME?</v>
      </c>
      <c r="K89" s="523" t="e">
        <f ca="1">gr(calculs!AR89)</f>
        <v>#NAME?</v>
      </c>
    </row>
    <row r="90" spans="1:11" x14ac:dyDescent="0.2">
      <c r="A90" s="222">
        <f>calculs!A90</f>
        <v>44641</v>
      </c>
      <c r="B90" s="523" t="e">
        <f ca="1">gr(calculs!X90)</f>
        <v>#NAME?</v>
      </c>
      <c r="C90" s="523" t="e">
        <f ca="1">gr(calculs!AD90)</f>
        <v>#NAME?</v>
      </c>
      <c r="D90" s="523" t="e">
        <f ca="1">gr(calculs!AJ90)</f>
        <v>#NAME?</v>
      </c>
      <c r="E90" s="523" t="e">
        <f ca="1">gr(calculs!AP90)</f>
        <v>#NAME?</v>
      </c>
      <c r="F90" s="523" t="e">
        <f ca="1">gr(calculs!AQ90)</f>
        <v>#NAME?</v>
      </c>
      <c r="G90" s="523" t="e">
        <f ca="1">gr(calculs!U90)</f>
        <v>#NAME?</v>
      </c>
      <c r="H90" s="523" t="e">
        <f ca="1">gr(calculs!AA90)</f>
        <v>#NAME?</v>
      </c>
      <c r="I90" s="523" t="e">
        <f ca="1">gr(calculs!AG90)</f>
        <v>#NAME?</v>
      </c>
      <c r="J90" s="523" t="e">
        <f ca="1">gr(calculs!AM90)</f>
        <v>#NAME?</v>
      </c>
      <c r="K90" s="523" t="e">
        <f ca="1">gr(calculs!AR90)</f>
        <v>#NAME?</v>
      </c>
    </row>
    <row r="91" spans="1:11" x14ac:dyDescent="0.2">
      <c r="A91" s="222">
        <f>calculs!A91</f>
        <v>44642</v>
      </c>
      <c r="B91" s="523" t="e">
        <f ca="1">gr(calculs!X91)</f>
        <v>#NAME?</v>
      </c>
      <c r="C91" s="523" t="e">
        <f ca="1">gr(calculs!AD91)</f>
        <v>#NAME?</v>
      </c>
      <c r="D91" s="523" t="e">
        <f ca="1">gr(calculs!AJ91)</f>
        <v>#NAME?</v>
      </c>
      <c r="E91" s="523" t="e">
        <f ca="1">gr(calculs!AP91)</f>
        <v>#NAME?</v>
      </c>
      <c r="F91" s="523" t="e">
        <f ca="1">gr(calculs!AQ91)</f>
        <v>#NAME?</v>
      </c>
      <c r="G91" s="523" t="e">
        <f ca="1">gr(calculs!U91)</f>
        <v>#NAME?</v>
      </c>
      <c r="H91" s="523" t="e">
        <f ca="1">gr(calculs!AA91)</f>
        <v>#NAME?</v>
      </c>
      <c r="I91" s="523" t="e">
        <f ca="1">gr(calculs!AG91)</f>
        <v>#NAME?</v>
      </c>
      <c r="J91" s="523" t="e">
        <f ca="1">gr(calculs!AM91)</f>
        <v>#NAME?</v>
      </c>
      <c r="K91" s="523" t="e">
        <f ca="1">gr(calculs!AR91)</f>
        <v>#NAME?</v>
      </c>
    </row>
    <row r="92" spans="1:11" x14ac:dyDescent="0.2">
      <c r="A92" s="222">
        <f>calculs!A92</f>
        <v>44643</v>
      </c>
      <c r="B92" s="523" t="e">
        <f ca="1">gr(calculs!X92)</f>
        <v>#NAME?</v>
      </c>
      <c r="C92" s="523" t="e">
        <f ca="1">gr(calculs!AD92)</f>
        <v>#NAME?</v>
      </c>
      <c r="D92" s="523" t="e">
        <f ca="1">gr(calculs!AJ92)</f>
        <v>#NAME?</v>
      </c>
      <c r="E92" s="523" t="e">
        <f ca="1">gr(calculs!AP92)</f>
        <v>#NAME?</v>
      </c>
      <c r="F92" s="523" t="e">
        <f ca="1">gr(calculs!AQ92)</f>
        <v>#NAME?</v>
      </c>
      <c r="G92" s="523" t="e">
        <f ca="1">gr(calculs!U92)</f>
        <v>#NAME?</v>
      </c>
      <c r="H92" s="523" t="e">
        <f ca="1">gr(calculs!AA92)</f>
        <v>#NAME?</v>
      </c>
      <c r="I92" s="523" t="e">
        <f ca="1">gr(calculs!AG92)</f>
        <v>#NAME?</v>
      </c>
      <c r="J92" s="523" t="e">
        <f ca="1">gr(calculs!AM92)</f>
        <v>#NAME?</v>
      </c>
      <c r="K92" s="523" t="e">
        <f ca="1">gr(calculs!AR92)</f>
        <v>#NAME?</v>
      </c>
    </row>
    <row r="93" spans="1:11" x14ac:dyDescent="0.2">
      <c r="A93" s="222">
        <f>calculs!A93</f>
        <v>44644</v>
      </c>
      <c r="B93" s="523" t="e">
        <f ca="1">gr(calculs!X93)</f>
        <v>#NAME?</v>
      </c>
      <c r="C93" s="523" t="e">
        <f ca="1">gr(calculs!AD93)</f>
        <v>#NAME?</v>
      </c>
      <c r="D93" s="523" t="e">
        <f ca="1">gr(calculs!AJ93)</f>
        <v>#NAME?</v>
      </c>
      <c r="E93" s="523" t="e">
        <f ca="1">gr(calculs!AP93)</f>
        <v>#NAME?</v>
      </c>
      <c r="F93" s="523" t="e">
        <f ca="1">gr(calculs!AQ93)</f>
        <v>#NAME?</v>
      </c>
      <c r="G93" s="523" t="e">
        <f ca="1">gr(calculs!U93)</f>
        <v>#NAME?</v>
      </c>
      <c r="H93" s="523" t="e">
        <f ca="1">gr(calculs!AA93)</f>
        <v>#NAME?</v>
      </c>
      <c r="I93" s="523" t="e">
        <f ca="1">gr(calculs!AG93)</f>
        <v>#NAME?</v>
      </c>
      <c r="J93" s="523" t="e">
        <f ca="1">gr(calculs!AM93)</f>
        <v>#NAME?</v>
      </c>
      <c r="K93" s="523" t="e">
        <f ca="1">gr(calculs!AR93)</f>
        <v>#NAME?</v>
      </c>
    </row>
    <row r="94" spans="1:11" x14ac:dyDescent="0.2">
      <c r="A94" s="222">
        <f>calculs!A94</f>
        <v>44645</v>
      </c>
      <c r="B94" s="523" t="e">
        <f ca="1">gr(calculs!X94)</f>
        <v>#NAME?</v>
      </c>
      <c r="C94" s="523" t="e">
        <f ca="1">gr(calculs!AD94)</f>
        <v>#NAME?</v>
      </c>
      <c r="D94" s="523" t="e">
        <f ca="1">gr(calculs!AJ94)</f>
        <v>#NAME?</v>
      </c>
      <c r="E94" s="523" t="e">
        <f ca="1">gr(calculs!AP94)</f>
        <v>#NAME?</v>
      </c>
      <c r="F94" s="523" t="e">
        <f ca="1">gr(calculs!AQ94)</f>
        <v>#NAME?</v>
      </c>
      <c r="G94" s="523" t="e">
        <f ca="1">gr(calculs!U94)</f>
        <v>#NAME?</v>
      </c>
      <c r="H94" s="523" t="e">
        <f ca="1">gr(calculs!AA94)</f>
        <v>#NAME?</v>
      </c>
      <c r="I94" s="523" t="e">
        <f ca="1">gr(calculs!AG94)</f>
        <v>#NAME?</v>
      </c>
      <c r="J94" s="523" t="e">
        <f ca="1">gr(calculs!AM94)</f>
        <v>#NAME?</v>
      </c>
      <c r="K94" s="523" t="e">
        <f ca="1">gr(calculs!AR94)</f>
        <v>#NAME?</v>
      </c>
    </row>
    <row r="95" spans="1:11" x14ac:dyDescent="0.2">
      <c r="A95" s="222">
        <f>calculs!A95</f>
        <v>44646</v>
      </c>
      <c r="B95" s="523" t="e">
        <f ca="1">gr(calculs!X95)</f>
        <v>#NAME?</v>
      </c>
      <c r="C95" s="523" t="e">
        <f ca="1">gr(calculs!AD95)</f>
        <v>#NAME?</v>
      </c>
      <c r="D95" s="523" t="e">
        <f ca="1">gr(calculs!AJ95)</f>
        <v>#NAME?</v>
      </c>
      <c r="E95" s="523" t="e">
        <f ca="1">gr(calculs!AP95)</f>
        <v>#NAME?</v>
      </c>
      <c r="F95" s="523" t="e">
        <f ca="1">gr(calculs!AQ95)</f>
        <v>#NAME?</v>
      </c>
      <c r="G95" s="523" t="e">
        <f ca="1">gr(calculs!U95)</f>
        <v>#NAME?</v>
      </c>
      <c r="H95" s="523" t="e">
        <f ca="1">gr(calculs!AA95)</f>
        <v>#NAME?</v>
      </c>
      <c r="I95" s="523" t="e">
        <f ca="1">gr(calculs!AG95)</f>
        <v>#NAME?</v>
      </c>
      <c r="J95" s="523" t="e">
        <f ca="1">gr(calculs!AM95)</f>
        <v>#NAME?</v>
      </c>
      <c r="K95" s="523" t="e">
        <f ca="1">gr(calculs!AR95)</f>
        <v>#NAME?</v>
      </c>
    </row>
    <row r="96" spans="1:11" x14ac:dyDescent="0.2">
      <c r="A96" s="222">
        <f>calculs!A96</f>
        <v>44647</v>
      </c>
      <c r="B96" s="523" t="e">
        <f ca="1">gr(calculs!X96)</f>
        <v>#NAME?</v>
      </c>
      <c r="C96" s="523" t="e">
        <f ca="1">gr(calculs!AD96)</f>
        <v>#NAME?</v>
      </c>
      <c r="D96" s="523" t="e">
        <f ca="1">gr(calculs!AJ96)</f>
        <v>#NAME?</v>
      </c>
      <c r="E96" s="523" t="e">
        <f ca="1">gr(calculs!AP96)</f>
        <v>#NAME?</v>
      </c>
      <c r="F96" s="523" t="e">
        <f ca="1">gr(calculs!AQ96)</f>
        <v>#NAME?</v>
      </c>
      <c r="G96" s="523" t="e">
        <f ca="1">gr(calculs!U96)</f>
        <v>#NAME?</v>
      </c>
      <c r="H96" s="523" t="e">
        <f ca="1">gr(calculs!AA96)</f>
        <v>#NAME?</v>
      </c>
      <c r="I96" s="523" t="e">
        <f ca="1">gr(calculs!AG96)</f>
        <v>#NAME?</v>
      </c>
      <c r="J96" s="523" t="e">
        <f ca="1">gr(calculs!AM96)</f>
        <v>#NAME?</v>
      </c>
      <c r="K96" s="523" t="e">
        <f ca="1">gr(calculs!AR96)</f>
        <v>#NAME?</v>
      </c>
    </row>
    <row r="97" spans="1:11" x14ac:dyDescent="0.2">
      <c r="A97" s="222">
        <f>calculs!A97</f>
        <v>44648</v>
      </c>
      <c r="B97" s="523" t="e">
        <f ca="1">gr(calculs!X97)</f>
        <v>#NAME?</v>
      </c>
      <c r="C97" s="523" t="e">
        <f ca="1">gr(calculs!AD97)</f>
        <v>#NAME?</v>
      </c>
      <c r="D97" s="523" t="e">
        <f ca="1">gr(calculs!AJ97)</f>
        <v>#NAME?</v>
      </c>
      <c r="E97" s="523" t="e">
        <f ca="1">gr(calculs!AP97)</f>
        <v>#NAME?</v>
      </c>
      <c r="F97" s="523" t="e">
        <f ca="1">gr(calculs!AQ97)</f>
        <v>#NAME?</v>
      </c>
      <c r="G97" s="523" t="e">
        <f ca="1">gr(calculs!U97)</f>
        <v>#NAME?</v>
      </c>
      <c r="H97" s="523" t="e">
        <f ca="1">gr(calculs!AA97)</f>
        <v>#NAME?</v>
      </c>
      <c r="I97" s="523" t="e">
        <f ca="1">gr(calculs!AG97)</f>
        <v>#NAME?</v>
      </c>
      <c r="J97" s="523" t="e">
        <f ca="1">gr(calculs!AM97)</f>
        <v>#NAME?</v>
      </c>
      <c r="K97" s="523" t="e">
        <f ca="1">gr(calculs!AR97)</f>
        <v>#NAME?</v>
      </c>
    </row>
    <row r="98" spans="1:11" x14ac:dyDescent="0.2">
      <c r="A98" s="222">
        <f>calculs!A98</f>
        <v>44649</v>
      </c>
      <c r="B98" s="523" t="e">
        <f ca="1">gr(calculs!X98)</f>
        <v>#NAME?</v>
      </c>
      <c r="C98" s="523" t="e">
        <f ca="1">gr(calculs!AD98)</f>
        <v>#NAME?</v>
      </c>
      <c r="D98" s="523" t="e">
        <f ca="1">gr(calculs!AJ98)</f>
        <v>#NAME?</v>
      </c>
      <c r="E98" s="523" t="e">
        <f ca="1">gr(calculs!AP98)</f>
        <v>#NAME?</v>
      </c>
      <c r="F98" s="523" t="e">
        <f ca="1">gr(calculs!AQ98)</f>
        <v>#NAME?</v>
      </c>
      <c r="G98" s="523" t="e">
        <f ca="1">gr(calculs!U98)</f>
        <v>#NAME?</v>
      </c>
      <c r="H98" s="523" t="e">
        <f ca="1">gr(calculs!AA98)</f>
        <v>#NAME?</v>
      </c>
      <c r="I98" s="523" t="e">
        <f ca="1">gr(calculs!AG98)</f>
        <v>#NAME?</v>
      </c>
      <c r="J98" s="523" t="e">
        <f ca="1">gr(calculs!AM98)</f>
        <v>#NAME?</v>
      </c>
      <c r="K98" s="523" t="e">
        <f ca="1">gr(calculs!AR98)</f>
        <v>#NAME?</v>
      </c>
    </row>
    <row r="99" spans="1:11" x14ac:dyDescent="0.2">
      <c r="A99" s="222">
        <f>calculs!A99</f>
        <v>44650</v>
      </c>
      <c r="B99" s="523" t="e">
        <f ca="1">gr(calculs!X99)</f>
        <v>#NAME?</v>
      </c>
      <c r="C99" s="523" t="e">
        <f ca="1">gr(calculs!AD99)</f>
        <v>#NAME?</v>
      </c>
      <c r="D99" s="523" t="e">
        <f ca="1">gr(calculs!AJ99)</f>
        <v>#NAME?</v>
      </c>
      <c r="E99" s="523" t="e">
        <f ca="1">gr(calculs!AP99)</f>
        <v>#NAME?</v>
      </c>
      <c r="F99" s="523" t="e">
        <f ca="1">gr(calculs!AQ99)</f>
        <v>#NAME?</v>
      </c>
      <c r="G99" s="523" t="e">
        <f ca="1">gr(calculs!U99)</f>
        <v>#NAME?</v>
      </c>
      <c r="H99" s="523" t="e">
        <f ca="1">gr(calculs!AA99)</f>
        <v>#NAME?</v>
      </c>
      <c r="I99" s="523" t="e">
        <f ca="1">gr(calculs!AG99)</f>
        <v>#NAME?</v>
      </c>
      <c r="J99" s="523" t="e">
        <f ca="1">gr(calculs!AM99)</f>
        <v>#NAME?</v>
      </c>
      <c r="K99" s="523" t="e">
        <f ca="1">gr(calculs!AR99)</f>
        <v>#NAME?</v>
      </c>
    </row>
    <row r="100" spans="1:11" x14ac:dyDescent="0.2">
      <c r="A100" s="222">
        <f>calculs!A100</f>
        <v>44651</v>
      </c>
      <c r="B100" s="523" t="e">
        <f ca="1">gr(calculs!X100)</f>
        <v>#NAME?</v>
      </c>
      <c r="C100" s="523" t="e">
        <f ca="1">gr(calculs!AD100)</f>
        <v>#NAME?</v>
      </c>
      <c r="D100" s="523" t="e">
        <f ca="1">gr(calculs!AJ100)</f>
        <v>#NAME?</v>
      </c>
      <c r="E100" s="523" t="e">
        <f ca="1">gr(calculs!AP100)</f>
        <v>#NAME?</v>
      </c>
      <c r="F100" s="523" t="e">
        <f ca="1">gr(calculs!AQ100)</f>
        <v>#NAME?</v>
      </c>
      <c r="G100" s="523" t="e">
        <f ca="1">gr(calculs!U100)</f>
        <v>#NAME?</v>
      </c>
      <c r="H100" s="523" t="e">
        <f ca="1">gr(calculs!AA100)</f>
        <v>#NAME?</v>
      </c>
      <c r="I100" s="523" t="e">
        <f ca="1">gr(calculs!AG100)</f>
        <v>#NAME?</v>
      </c>
      <c r="J100" s="523" t="e">
        <f ca="1">gr(calculs!AM100)</f>
        <v>#NAME?</v>
      </c>
      <c r="K100" s="523" t="e">
        <f ca="1">gr(calculs!AR100)</f>
        <v>#NAME?</v>
      </c>
    </row>
    <row r="101" spans="1:11" x14ac:dyDescent="0.2">
      <c r="A101" s="222">
        <f>calculs!A101</f>
        <v>44652</v>
      </c>
      <c r="B101" s="523" t="e">
        <f ca="1">gr(calculs!X101)</f>
        <v>#NAME?</v>
      </c>
      <c r="C101" s="523" t="e">
        <f ca="1">gr(calculs!AD101)</f>
        <v>#NAME?</v>
      </c>
      <c r="D101" s="523" t="e">
        <f ca="1">gr(calculs!AJ101)</f>
        <v>#NAME?</v>
      </c>
      <c r="E101" s="523" t="e">
        <f ca="1">gr(calculs!AP101)</f>
        <v>#NAME?</v>
      </c>
      <c r="F101" s="523" t="e">
        <f ca="1">gr(calculs!AQ101)</f>
        <v>#NAME?</v>
      </c>
      <c r="G101" s="523" t="e">
        <f ca="1">gr(calculs!U101)</f>
        <v>#NAME?</v>
      </c>
      <c r="H101" s="523" t="e">
        <f ca="1">gr(calculs!AA101)</f>
        <v>#NAME?</v>
      </c>
      <c r="I101" s="523" t="e">
        <f ca="1">gr(calculs!AG101)</f>
        <v>#NAME?</v>
      </c>
      <c r="J101" s="523" t="e">
        <f ca="1">gr(calculs!AM101)</f>
        <v>#NAME?</v>
      </c>
      <c r="K101" s="523" t="e">
        <f ca="1">gr(calculs!AR101)</f>
        <v>#NAME?</v>
      </c>
    </row>
    <row r="102" spans="1:11" x14ac:dyDescent="0.2">
      <c r="A102" s="222">
        <f>calculs!A102</f>
        <v>44653</v>
      </c>
      <c r="B102" s="523" t="e">
        <f ca="1">gr(calculs!X102)</f>
        <v>#NAME?</v>
      </c>
      <c r="C102" s="523" t="e">
        <f ca="1">gr(calculs!AD102)</f>
        <v>#NAME?</v>
      </c>
      <c r="D102" s="523" t="e">
        <f ca="1">gr(calculs!AJ102)</f>
        <v>#NAME?</v>
      </c>
      <c r="E102" s="523" t="e">
        <f ca="1">gr(calculs!AP102)</f>
        <v>#NAME?</v>
      </c>
      <c r="F102" s="523" t="e">
        <f ca="1">gr(calculs!AQ102)</f>
        <v>#NAME?</v>
      </c>
      <c r="G102" s="523" t="e">
        <f ca="1">gr(calculs!U102)</f>
        <v>#NAME?</v>
      </c>
      <c r="H102" s="523" t="e">
        <f ca="1">gr(calculs!AA102)</f>
        <v>#NAME?</v>
      </c>
      <c r="I102" s="523" t="e">
        <f ca="1">gr(calculs!AG102)</f>
        <v>#NAME?</v>
      </c>
      <c r="J102" s="523" t="e">
        <f ca="1">gr(calculs!AM102)</f>
        <v>#NAME?</v>
      </c>
      <c r="K102" s="523" t="e">
        <f ca="1">gr(calculs!AR102)</f>
        <v>#NAME?</v>
      </c>
    </row>
    <row r="103" spans="1:11" x14ac:dyDescent="0.2">
      <c r="A103" s="222">
        <f>calculs!A103</f>
        <v>44654</v>
      </c>
      <c r="B103" s="523" t="e">
        <f ca="1">gr(calculs!X103)</f>
        <v>#NAME?</v>
      </c>
      <c r="C103" s="523" t="e">
        <f ca="1">gr(calculs!AD103)</f>
        <v>#NAME?</v>
      </c>
      <c r="D103" s="523" t="e">
        <f ca="1">gr(calculs!AJ103)</f>
        <v>#NAME?</v>
      </c>
      <c r="E103" s="523" t="e">
        <f ca="1">gr(calculs!AP103)</f>
        <v>#NAME?</v>
      </c>
      <c r="F103" s="523" t="e">
        <f ca="1">gr(calculs!AQ103)</f>
        <v>#NAME?</v>
      </c>
      <c r="G103" s="523" t="e">
        <f ca="1">gr(calculs!U103)</f>
        <v>#NAME?</v>
      </c>
      <c r="H103" s="523" t="e">
        <f ca="1">gr(calculs!AA103)</f>
        <v>#NAME?</v>
      </c>
      <c r="I103" s="523" t="e">
        <f ca="1">gr(calculs!AG103)</f>
        <v>#NAME?</v>
      </c>
      <c r="J103" s="523" t="e">
        <f ca="1">gr(calculs!AM103)</f>
        <v>#NAME?</v>
      </c>
      <c r="K103" s="523" t="e">
        <f ca="1">gr(calculs!AR103)</f>
        <v>#NAME?</v>
      </c>
    </row>
    <row r="104" spans="1:11" x14ac:dyDescent="0.2">
      <c r="A104" s="222">
        <f>calculs!A104</f>
        <v>44655</v>
      </c>
      <c r="B104" s="523" t="e">
        <f ca="1">gr(calculs!X104)</f>
        <v>#NAME?</v>
      </c>
      <c r="C104" s="523" t="e">
        <f ca="1">gr(calculs!AD104)</f>
        <v>#NAME?</v>
      </c>
      <c r="D104" s="523" t="e">
        <f ca="1">gr(calculs!AJ104)</f>
        <v>#NAME?</v>
      </c>
      <c r="E104" s="523" t="e">
        <f ca="1">gr(calculs!AP104)</f>
        <v>#NAME?</v>
      </c>
      <c r="F104" s="523" t="e">
        <f ca="1">gr(calculs!AQ104)</f>
        <v>#NAME?</v>
      </c>
      <c r="G104" s="523" t="e">
        <f ca="1">gr(calculs!U104)</f>
        <v>#NAME?</v>
      </c>
      <c r="H104" s="523" t="e">
        <f ca="1">gr(calculs!AA104)</f>
        <v>#NAME?</v>
      </c>
      <c r="I104" s="523" t="e">
        <f ca="1">gr(calculs!AG104)</f>
        <v>#NAME?</v>
      </c>
      <c r="J104" s="523" t="e">
        <f ca="1">gr(calculs!AM104)</f>
        <v>#NAME?</v>
      </c>
      <c r="K104" s="523" t="e">
        <f ca="1">gr(calculs!AR104)</f>
        <v>#NAME?</v>
      </c>
    </row>
    <row r="105" spans="1:11" x14ac:dyDescent="0.2">
      <c r="A105" s="222">
        <f>calculs!A105</f>
        <v>44656</v>
      </c>
      <c r="B105" s="523" t="e">
        <f ca="1">gr(calculs!X105)</f>
        <v>#NAME?</v>
      </c>
      <c r="C105" s="523" t="e">
        <f ca="1">gr(calculs!AD105)</f>
        <v>#NAME?</v>
      </c>
      <c r="D105" s="523" t="e">
        <f ca="1">gr(calculs!AJ105)</f>
        <v>#NAME?</v>
      </c>
      <c r="E105" s="523" t="e">
        <f ca="1">gr(calculs!AP105)</f>
        <v>#NAME?</v>
      </c>
      <c r="F105" s="523" t="e">
        <f ca="1">gr(calculs!AQ105)</f>
        <v>#NAME?</v>
      </c>
      <c r="G105" s="523" t="e">
        <f ca="1">gr(calculs!U105)</f>
        <v>#NAME?</v>
      </c>
      <c r="H105" s="523" t="e">
        <f ca="1">gr(calculs!AA105)</f>
        <v>#NAME?</v>
      </c>
      <c r="I105" s="523" t="e">
        <f ca="1">gr(calculs!AG105)</f>
        <v>#NAME?</v>
      </c>
      <c r="J105" s="523" t="e">
        <f ca="1">gr(calculs!AM105)</f>
        <v>#NAME?</v>
      </c>
      <c r="K105" s="523" t="e">
        <f ca="1">gr(calculs!AR105)</f>
        <v>#NAME?</v>
      </c>
    </row>
    <row r="106" spans="1:11" x14ac:dyDescent="0.2">
      <c r="A106" s="222">
        <f>calculs!A106</f>
        <v>44657</v>
      </c>
      <c r="B106" s="523" t="e">
        <f ca="1">gr(calculs!X106)</f>
        <v>#NAME?</v>
      </c>
      <c r="C106" s="523" t="e">
        <f ca="1">gr(calculs!AD106)</f>
        <v>#NAME?</v>
      </c>
      <c r="D106" s="523" t="e">
        <f ca="1">gr(calculs!AJ106)</f>
        <v>#NAME?</v>
      </c>
      <c r="E106" s="523" t="e">
        <f ca="1">gr(calculs!AP106)</f>
        <v>#NAME?</v>
      </c>
      <c r="F106" s="523" t="e">
        <f ca="1">gr(calculs!AQ106)</f>
        <v>#NAME?</v>
      </c>
      <c r="G106" s="523" t="e">
        <f ca="1">gr(calculs!U106)</f>
        <v>#NAME?</v>
      </c>
      <c r="H106" s="523" t="e">
        <f ca="1">gr(calculs!AA106)</f>
        <v>#NAME?</v>
      </c>
      <c r="I106" s="523" t="e">
        <f ca="1">gr(calculs!AG106)</f>
        <v>#NAME?</v>
      </c>
      <c r="J106" s="523" t="e">
        <f ca="1">gr(calculs!AM106)</f>
        <v>#NAME?</v>
      </c>
      <c r="K106" s="523" t="e">
        <f ca="1">gr(calculs!AR106)</f>
        <v>#NAME?</v>
      </c>
    </row>
    <row r="107" spans="1:11" x14ac:dyDescent="0.2">
      <c r="A107" s="222">
        <f>calculs!A107</f>
        <v>44658</v>
      </c>
      <c r="B107" s="523" t="e">
        <f ca="1">gr(calculs!X107)</f>
        <v>#NAME?</v>
      </c>
      <c r="C107" s="523" t="e">
        <f ca="1">gr(calculs!AD107)</f>
        <v>#NAME?</v>
      </c>
      <c r="D107" s="523" t="e">
        <f ca="1">gr(calculs!AJ107)</f>
        <v>#NAME?</v>
      </c>
      <c r="E107" s="523" t="e">
        <f ca="1">gr(calculs!AP107)</f>
        <v>#NAME?</v>
      </c>
      <c r="F107" s="523" t="e">
        <f ca="1">gr(calculs!AQ107)</f>
        <v>#NAME?</v>
      </c>
      <c r="G107" s="523" t="e">
        <f ca="1">gr(calculs!U107)</f>
        <v>#NAME?</v>
      </c>
      <c r="H107" s="523" t="e">
        <f ca="1">gr(calculs!AA107)</f>
        <v>#NAME?</v>
      </c>
      <c r="I107" s="523" t="e">
        <f ca="1">gr(calculs!AG107)</f>
        <v>#NAME?</v>
      </c>
      <c r="J107" s="523" t="e">
        <f ca="1">gr(calculs!AM107)</f>
        <v>#NAME?</v>
      </c>
      <c r="K107" s="523" t="e">
        <f ca="1">gr(calculs!AR107)</f>
        <v>#NAME?</v>
      </c>
    </row>
    <row r="108" spans="1:11" x14ac:dyDescent="0.2">
      <c r="A108" s="222">
        <f>calculs!A108</f>
        <v>44659</v>
      </c>
      <c r="B108" s="523" t="e">
        <f ca="1">gr(calculs!X108)</f>
        <v>#NAME?</v>
      </c>
      <c r="C108" s="523" t="e">
        <f ca="1">gr(calculs!AD108)</f>
        <v>#NAME?</v>
      </c>
      <c r="D108" s="523" t="e">
        <f ca="1">gr(calculs!AJ108)</f>
        <v>#NAME?</v>
      </c>
      <c r="E108" s="523" t="e">
        <f ca="1">gr(calculs!AP108)</f>
        <v>#NAME?</v>
      </c>
      <c r="F108" s="523" t="e">
        <f ca="1">gr(calculs!AQ108)</f>
        <v>#NAME?</v>
      </c>
      <c r="G108" s="523" t="e">
        <f ca="1">gr(calculs!U108)</f>
        <v>#NAME?</v>
      </c>
      <c r="H108" s="523" t="e">
        <f ca="1">gr(calculs!AA108)</f>
        <v>#NAME?</v>
      </c>
      <c r="I108" s="523" t="e">
        <f ca="1">gr(calculs!AG108)</f>
        <v>#NAME?</v>
      </c>
      <c r="J108" s="523" t="e">
        <f ca="1">gr(calculs!AM108)</f>
        <v>#NAME?</v>
      </c>
      <c r="K108" s="523" t="e">
        <f ca="1">gr(calculs!AR108)</f>
        <v>#NAME?</v>
      </c>
    </row>
    <row r="109" spans="1:11" x14ac:dyDescent="0.2">
      <c r="A109" s="222">
        <f>calculs!A109</f>
        <v>44660</v>
      </c>
      <c r="B109" s="523" t="e">
        <f ca="1">gr(calculs!X109)</f>
        <v>#NAME?</v>
      </c>
      <c r="C109" s="523" t="e">
        <f ca="1">gr(calculs!AD109)</f>
        <v>#NAME?</v>
      </c>
      <c r="D109" s="523" t="e">
        <f ca="1">gr(calculs!AJ109)</f>
        <v>#NAME?</v>
      </c>
      <c r="E109" s="523" t="e">
        <f ca="1">gr(calculs!AP109)</f>
        <v>#NAME?</v>
      </c>
      <c r="F109" s="523" t="e">
        <f ca="1">gr(calculs!AQ109)</f>
        <v>#NAME?</v>
      </c>
      <c r="G109" s="523" t="e">
        <f ca="1">gr(calculs!U109)</f>
        <v>#NAME?</v>
      </c>
      <c r="H109" s="523" t="e">
        <f ca="1">gr(calculs!AA109)</f>
        <v>#NAME?</v>
      </c>
      <c r="I109" s="523" t="e">
        <f ca="1">gr(calculs!AG109)</f>
        <v>#NAME?</v>
      </c>
      <c r="J109" s="523" t="e">
        <f ca="1">gr(calculs!AM109)</f>
        <v>#NAME?</v>
      </c>
      <c r="K109" s="523" t="e">
        <f ca="1">gr(calculs!AR109)</f>
        <v>#NAME?</v>
      </c>
    </row>
    <row r="110" spans="1:11" x14ac:dyDescent="0.2">
      <c r="A110" s="222">
        <f>calculs!A110</f>
        <v>44661</v>
      </c>
      <c r="B110" s="523" t="e">
        <f ca="1">gr(calculs!X110)</f>
        <v>#NAME?</v>
      </c>
      <c r="C110" s="523" t="e">
        <f ca="1">gr(calculs!AD110)</f>
        <v>#NAME?</v>
      </c>
      <c r="D110" s="523" t="e">
        <f ca="1">gr(calculs!AJ110)</f>
        <v>#NAME?</v>
      </c>
      <c r="E110" s="523" t="e">
        <f ca="1">gr(calculs!AP110)</f>
        <v>#NAME?</v>
      </c>
      <c r="F110" s="523" t="e">
        <f ca="1">gr(calculs!AQ110)</f>
        <v>#NAME?</v>
      </c>
      <c r="G110" s="523" t="e">
        <f ca="1">gr(calculs!U110)</f>
        <v>#NAME?</v>
      </c>
      <c r="H110" s="523" t="e">
        <f ca="1">gr(calculs!AA110)</f>
        <v>#NAME?</v>
      </c>
      <c r="I110" s="523" t="e">
        <f ca="1">gr(calculs!AG110)</f>
        <v>#NAME?</v>
      </c>
      <c r="J110" s="523" t="e">
        <f ca="1">gr(calculs!AM110)</f>
        <v>#NAME?</v>
      </c>
      <c r="K110" s="523" t="e">
        <f ca="1">gr(calculs!AR110)</f>
        <v>#NAME?</v>
      </c>
    </row>
    <row r="111" spans="1:11" x14ac:dyDescent="0.2">
      <c r="A111" s="222">
        <f>calculs!A111</f>
        <v>44662</v>
      </c>
      <c r="B111" s="523" t="e">
        <f ca="1">gr(calculs!X111)</f>
        <v>#NAME?</v>
      </c>
      <c r="C111" s="523" t="e">
        <f ca="1">gr(calculs!AD111)</f>
        <v>#NAME?</v>
      </c>
      <c r="D111" s="523" t="e">
        <f ca="1">gr(calculs!AJ111)</f>
        <v>#NAME?</v>
      </c>
      <c r="E111" s="523" t="e">
        <f ca="1">gr(calculs!AP111)</f>
        <v>#NAME?</v>
      </c>
      <c r="F111" s="523" t="e">
        <f ca="1">gr(calculs!AQ111)</f>
        <v>#NAME?</v>
      </c>
      <c r="G111" s="523" t="e">
        <f ca="1">gr(calculs!U111)</f>
        <v>#NAME?</v>
      </c>
      <c r="H111" s="523" t="e">
        <f ca="1">gr(calculs!AA111)</f>
        <v>#NAME?</v>
      </c>
      <c r="I111" s="523" t="e">
        <f ca="1">gr(calculs!AG111)</f>
        <v>#NAME?</v>
      </c>
      <c r="J111" s="523" t="e">
        <f ca="1">gr(calculs!AM111)</f>
        <v>#NAME?</v>
      </c>
      <c r="K111" s="523" t="e">
        <f ca="1">gr(calculs!AR111)</f>
        <v>#NAME?</v>
      </c>
    </row>
    <row r="112" spans="1:11" x14ac:dyDescent="0.2">
      <c r="A112" s="222">
        <f>calculs!A112</f>
        <v>44663</v>
      </c>
      <c r="B112" s="523" t="e">
        <f ca="1">gr(calculs!X112)</f>
        <v>#NAME?</v>
      </c>
      <c r="C112" s="523" t="e">
        <f ca="1">gr(calculs!AD112)</f>
        <v>#NAME?</v>
      </c>
      <c r="D112" s="523" t="e">
        <f ca="1">gr(calculs!AJ112)</f>
        <v>#NAME?</v>
      </c>
      <c r="E112" s="523" t="e">
        <f ca="1">gr(calculs!AP112)</f>
        <v>#NAME?</v>
      </c>
      <c r="F112" s="523" t="e">
        <f ca="1">gr(calculs!AQ112)</f>
        <v>#NAME?</v>
      </c>
      <c r="G112" s="523" t="e">
        <f ca="1">gr(calculs!U112)</f>
        <v>#NAME?</v>
      </c>
      <c r="H112" s="523" t="e">
        <f ca="1">gr(calculs!AA112)</f>
        <v>#NAME?</v>
      </c>
      <c r="I112" s="523" t="e">
        <f ca="1">gr(calculs!AG112)</f>
        <v>#NAME?</v>
      </c>
      <c r="J112" s="523" t="e">
        <f ca="1">gr(calculs!AM112)</f>
        <v>#NAME?</v>
      </c>
      <c r="K112" s="523" t="e">
        <f ca="1">gr(calculs!AR112)</f>
        <v>#NAME?</v>
      </c>
    </row>
    <row r="113" spans="1:11" x14ac:dyDescent="0.2">
      <c r="A113" s="222">
        <f>calculs!A113</f>
        <v>44664</v>
      </c>
      <c r="B113" s="523" t="e">
        <f ca="1">gr(calculs!X113)</f>
        <v>#NAME?</v>
      </c>
      <c r="C113" s="523" t="e">
        <f ca="1">gr(calculs!AD113)</f>
        <v>#NAME?</v>
      </c>
      <c r="D113" s="523" t="e">
        <f ca="1">gr(calculs!AJ113)</f>
        <v>#NAME?</v>
      </c>
      <c r="E113" s="523" t="e">
        <f ca="1">gr(calculs!AP113)</f>
        <v>#NAME?</v>
      </c>
      <c r="F113" s="523" t="e">
        <f ca="1">gr(calculs!AQ113)</f>
        <v>#NAME?</v>
      </c>
      <c r="G113" s="523" t="e">
        <f ca="1">gr(calculs!U113)</f>
        <v>#NAME?</v>
      </c>
      <c r="H113" s="523" t="e">
        <f ca="1">gr(calculs!AA113)</f>
        <v>#NAME?</v>
      </c>
      <c r="I113" s="523" t="e">
        <f ca="1">gr(calculs!AG113)</f>
        <v>#NAME?</v>
      </c>
      <c r="J113" s="523" t="e">
        <f ca="1">gr(calculs!AM113)</f>
        <v>#NAME?</v>
      </c>
      <c r="K113" s="523" t="e">
        <f ca="1">gr(calculs!AR113)</f>
        <v>#NAME?</v>
      </c>
    </row>
    <row r="114" spans="1:11" x14ac:dyDescent="0.2">
      <c r="A114" s="222">
        <f>calculs!A114</f>
        <v>44665</v>
      </c>
      <c r="B114" s="523" t="e">
        <f ca="1">gr(calculs!X114)</f>
        <v>#NAME?</v>
      </c>
      <c r="C114" s="523" t="e">
        <f ca="1">gr(calculs!AD114)</f>
        <v>#NAME?</v>
      </c>
      <c r="D114" s="523" t="e">
        <f ca="1">gr(calculs!AJ114)</f>
        <v>#NAME?</v>
      </c>
      <c r="E114" s="523" t="e">
        <f ca="1">gr(calculs!AP114)</f>
        <v>#NAME?</v>
      </c>
      <c r="F114" s="523" t="e">
        <f ca="1">gr(calculs!AQ114)</f>
        <v>#NAME?</v>
      </c>
      <c r="G114" s="523" t="e">
        <f ca="1">gr(calculs!U114)</f>
        <v>#NAME?</v>
      </c>
      <c r="H114" s="523" t="e">
        <f ca="1">gr(calculs!AA114)</f>
        <v>#NAME?</v>
      </c>
      <c r="I114" s="523" t="e">
        <f ca="1">gr(calculs!AG114)</f>
        <v>#NAME?</v>
      </c>
      <c r="J114" s="523" t="e">
        <f ca="1">gr(calculs!AM114)</f>
        <v>#NAME?</v>
      </c>
      <c r="K114" s="523" t="e">
        <f ca="1">gr(calculs!AR114)</f>
        <v>#NAME?</v>
      </c>
    </row>
    <row r="115" spans="1:11" x14ac:dyDescent="0.2">
      <c r="A115" s="222">
        <f>calculs!A115</f>
        <v>44666</v>
      </c>
      <c r="B115" s="523" t="e">
        <f ca="1">gr(calculs!X115)</f>
        <v>#NAME?</v>
      </c>
      <c r="C115" s="523" t="e">
        <f ca="1">gr(calculs!AD115)</f>
        <v>#NAME?</v>
      </c>
      <c r="D115" s="523" t="e">
        <f ca="1">gr(calculs!AJ115)</f>
        <v>#NAME?</v>
      </c>
      <c r="E115" s="523" t="e">
        <f ca="1">gr(calculs!AP115)</f>
        <v>#NAME?</v>
      </c>
      <c r="F115" s="523" t="e">
        <f ca="1">gr(calculs!AQ115)</f>
        <v>#NAME?</v>
      </c>
      <c r="G115" s="523" t="e">
        <f ca="1">gr(calculs!U115)</f>
        <v>#NAME?</v>
      </c>
      <c r="H115" s="523" t="e">
        <f ca="1">gr(calculs!AA115)</f>
        <v>#NAME?</v>
      </c>
      <c r="I115" s="523" t="e">
        <f ca="1">gr(calculs!AG115)</f>
        <v>#NAME?</v>
      </c>
      <c r="J115" s="523" t="e">
        <f ca="1">gr(calculs!AM115)</f>
        <v>#NAME?</v>
      </c>
      <c r="K115" s="523" t="e">
        <f ca="1">gr(calculs!AR115)</f>
        <v>#NAME?</v>
      </c>
    </row>
    <row r="116" spans="1:11" x14ac:dyDescent="0.2">
      <c r="A116" s="222">
        <f>calculs!A116</f>
        <v>44667</v>
      </c>
      <c r="B116" s="523" t="e">
        <f ca="1">gr(calculs!X116)</f>
        <v>#NAME?</v>
      </c>
      <c r="C116" s="523" t="e">
        <f ca="1">gr(calculs!AD116)</f>
        <v>#NAME?</v>
      </c>
      <c r="D116" s="523" t="e">
        <f ca="1">gr(calculs!AJ116)</f>
        <v>#NAME?</v>
      </c>
      <c r="E116" s="523" t="e">
        <f ca="1">gr(calculs!AP116)</f>
        <v>#NAME?</v>
      </c>
      <c r="F116" s="523" t="e">
        <f ca="1">gr(calculs!AQ116)</f>
        <v>#NAME?</v>
      </c>
      <c r="G116" s="523" t="e">
        <f ca="1">gr(calculs!U116)</f>
        <v>#NAME?</v>
      </c>
      <c r="H116" s="523" t="e">
        <f ca="1">gr(calculs!AA116)</f>
        <v>#NAME?</v>
      </c>
      <c r="I116" s="523" t="e">
        <f ca="1">gr(calculs!AG116)</f>
        <v>#NAME?</v>
      </c>
      <c r="J116" s="523" t="e">
        <f ca="1">gr(calculs!AM116)</f>
        <v>#NAME?</v>
      </c>
      <c r="K116" s="523" t="e">
        <f ca="1">gr(calculs!AR116)</f>
        <v>#NAME?</v>
      </c>
    </row>
    <row r="117" spans="1:11" x14ac:dyDescent="0.2">
      <c r="A117" s="222">
        <f>calculs!A117</f>
        <v>44668</v>
      </c>
      <c r="B117" s="523" t="e">
        <f ca="1">gr(calculs!X117)</f>
        <v>#NAME?</v>
      </c>
      <c r="C117" s="523" t="e">
        <f ca="1">gr(calculs!AD117)</f>
        <v>#NAME?</v>
      </c>
      <c r="D117" s="523" t="e">
        <f ca="1">gr(calculs!AJ117)</f>
        <v>#NAME?</v>
      </c>
      <c r="E117" s="523" t="e">
        <f ca="1">gr(calculs!AP117)</f>
        <v>#NAME?</v>
      </c>
      <c r="F117" s="523" t="e">
        <f ca="1">gr(calculs!AQ117)</f>
        <v>#NAME?</v>
      </c>
      <c r="G117" s="523" t="e">
        <f ca="1">gr(calculs!U117)</f>
        <v>#NAME?</v>
      </c>
      <c r="H117" s="523" t="e">
        <f ca="1">gr(calculs!AA117)</f>
        <v>#NAME?</v>
      </c>
      <c r="I117" s="523" t="e">
        <f ca="1">gr(calculs!AG117)</f>
        <v>#NAME?</v>
      </c>
      <c r="J117" s="523" t="e">
        <f ca="1">gr(calculs!AM117)</f>
        <v>#NAME?</v>
      </c>
      <c r="K117" s="523" t="e">
        <f ca="1">gr(calculs!AR117)</f>
        <v>#NAME?</v>
      </c>
    </row>
    <row r="118" spans="1:11" x14ac:dyDescent="0.2">
      <c r="A118" s="222">
        <f>calculs!A118</f>
        <v>44669</v>
      </c>
      <c r="B118" s="523" t="e">
        <f ca="1">gr(calculs!X118)</f>
        <v>#NAME?</v>
      </c>
      <c r="C118" s="523" t="e">
        <f ca="1">gr(calculs!AD118)</f>
        <v>#NAME?</v>
      </c>
      <c r="D118" s="523" t="e">
        <f ca="1">gr(calculs!AJ118)</f>
        <v>#NAME?</v>
      </c>
      <c r="E118" s="523" t="e">
        <f ca="1">gr(calculs!AP118)</f>
        <v>#NAME?</v>
      </c>
      <c r="F118" s="523" t="e">
        <f ca="1">gr(calculs!AQ118)</f>
        <v>#NAME?</v>
      </c>
      <c r="G118" s="523" t="e">
        <f ca="1">gr(calculs!U118)</f>
        <v>#NAME?</v>
      </c>
      <c r="H118" s="523" t="e">
        <f ca="1">gr(calculs!AA118)</f>
        <v>#NAME?</v>
      </c>
      <c r="I118" s="523" t="e">
        <f ca="1">gr(calculs!AG118)</f>
        <v>#NAME?</v>
      </c>
      <c r="J118" s="523" t="e">
        <f ca="1">gr(calculs!AM118)</f>
        <v>#NAME?</v>
      </c>
      <c r="K118" s="523" t="e">
        <f ca="1">gr(calculs!AR118)</f>
        <v>#NAME?</v>
      </c>
    </row>
    <row r="119" spans="1:11" x14ac:dyDescent="0.2">
      <c r="A119" s="222">
        <f>calculs!A119</f>
        <v>44670</v>
      </c>
      <c r="B119" s="523" t="e">
        <f ca="1">gr(calculs!X119)</f>
        <v>#NAME?</v>
      </c>
      <c r="C119" s="523" t="e">
        <f ca="1">gr(calculs!AD119)</f>
        <v>#NAME?</v>
      </c>
      <c r="D119" s="523" t="e">
        <f ca="1">gr(calculs!AJ119)</f>
        <v>#NAME?</v>
      </c>
      <c r="E119" s="523" t="e">
        <f ca="1">gr(calculs!AP119)</f>
        <v>#NAME?</v>
      </c>
      <c r="F119" s="523" t="e">
        <f ca="1">gr(calculs!AQ119)</f>
        <v>#NAME?</v>
      </c>
      <c r="G119" s="523" t="e">
        <f ca="1">gr(calculs!U119)</f>
        <v>#NAME?</v>
      </c>
      <c r="H119" s="523" t="e">
        <f ca="1">gr(calculs!AA119)</f>
        <v>#NAME?</v>
      </c>
      <c r="I119" s="523" t="e">
        <f ca="1">gr(calculs!AG119)</f>
        <v>#NAME?</v>
      </c>
      <c r="J119" s="523" t="e">
        <f ca="1">gr(calculs!AM119)</f>
        <v>#NAME?</v>
      </c>
      <c r="K119" s="523" t="e">
        <f ca="1">gr(calculs!AR119)</f>
        <v>#NAME?</v>
      </c>
    </row>
    <row r="120" spans="1:11" x14ac:dyDescent="0.2">
      <c r="A120" s="222">
        <f>calculs!A120</f>
        <v>44671</v>
      </c>
      <c r="B120" s="523" t="e">
        <f ca="1">gr(calculs!X120)</f>
        <v>#NAME?</v>
      </c>
      <c r="C120" s="523" t="e">
        <f ca="1">gr(calculs!AD120)</f>
        <v>#NAME?</v>
      </c>
      <c r="D120" s="523" t="e">
        <f ca="1">gr(calculs!AJ120)</f>
        <v>#NAME?</v>
      </c>
      <c r="E120" s="523" t="e">
        <f ca="1">gr(calculs!AP120)</f>
        <v>#NAME?</v>
      </c>
      <c r="F120" s="523" t="e">
        <f ca="1">gr(calculs!AQ120)</f>
        <v>#NAME?</v>
      </c>
      <c r="G120" s="523" t="e">
        <f ca="1">gr(calculs!U120)</f>
        <v>#NAME?</v>
      </c>
      <c r="H120" s="523" t="e">
        <f ca="1">gr(calculs!AA120)</f>
        <v>#NAME?</v>
      </c>
      <c r="I120" s="523" t="e">
        <f ca="1">gr(calculs!AG120)</f>
        <v>#NAME?</v>
      </c>
      <c r="J120" s="523" t="e">
        <f ca="1">gr(calculs!AM120)</f>
        <v>#NAME?</v>
      </c>
      <c r="K120" s="523" t="e">
        <f ca="1">gr(calculs!AR120)</f>
        <v>#NAME?</v>
      </c>
    </row>
    <row r="121" spans="1:11" x14ac:dyDescent="0.2">
      <c r="A121" s="222">
        <f>calculs!A121</f>
        <v>44672</v>
      </c>
      <c r="B121" s="523" t="e">
        <f ca="1">gr(calculs!X121)</f>
        <v>#NAME?</v>
      </c>
      <c r="C121" s="523" t="e">
        <f ca="1">gr(calculs!AD121)</f>
        <v>#NAME?</v>
      </c>
      <c r="D121" s="523" t="e">
        <f ca="1">gr(calculs!AJ121)</f>
        <v>#NAME?</v>
      </c>
      <c r="E121" s="523" t="e">
        <f ca="1">gr(calculs!AP121)</f>
        <v>#NAME?</v>
      </c>
      <c r="F121" s="523" t="e">
        <f ca="1">gr(calculs!AQ121)</f>
        <v>#NAME?</v>
      </c>
      <c r="G121" s="523" t="e">
        <f ca="1">gr(calculs!U121)</f>
        <v>#NAME?</v>
      </c>
      <c r="H121" s="523" t="e">
        <f ca="1">gr(calculs!AA121)</f>
        <v>#NAME?</v>
      </c>
      <c r="I121" s="523" t="e">
        <f ca="1">gr(calculs!AG121)</f>
        <v>#NAME?</v>
      </c>
      <c r="J121" s="523" t="e">
        <f ca="1">gr(calculs!AM121)</f>
        <v>#NAME?</v>
      </c>
      <c r="K121" s="523" t="e">
        <f ca="1">gr(calculs!AR121)</f>
        <v>#NAME?</v>
      </c>
    </row>
    <row r="122" spans="1:11" x14ac:dyDescent="0.2">
      <c r="A122" s="222">
        <f>calculs!A122</f>
        <v>44673</v>
      </c>
      <c r="B122" s="523" t="e">
        <f ca="1">gr(calculs!X122)</f>
        <v>#NAME?</v>
      </c>
      <c r="C122" s="523" t="e">
        <f ca="1">gr(calculs!AD122)</f>
        <v>#NAME?</v>
      </c>
      <c r="D122" s="523" t="e">
        <f ca="1">gr(calculs!AJ122)</f>
        <v>#NAME?</v>
      </c>
      <c r="E122" s="523" t="e">
        <f ca="1">gr(calculs!AP122)</f>
        <v>#NAME?</v>
      </c>
      <c r="F122" s="523" t="e">
        <f ca="1">gr(calculs!AQ122)</f>
        <v>#NAME?</v>
      </c>
      <c r="G122" s="523" t="e">
        <f ca="1">gr(calculs!U122)</f>
        <v>#NAME?</v>
      </c>
      <c r="H122" s="523" t="e">
        <f ca="1">gr(calculs!AA122)</f>
        <v>#NAME?</v>
      </c>
      <c r="I122" s="523" t="e">
        <f ca="1">gr(calculs!AG122)</f>
        <v>#NAME?</v>
      </c>
      <c r="J122" s="523" t="e">
        <f ca="1">gr(calculs!AM122)</f>
        <v>#NAME?</v>
      </c>
      <c r="K122" s="523" t="e">
        <f ca="1">gr(calculs!AR122)</f>
        <v>#NAME?</v>
      </c>
    </row>
    <row r="123" spans="1:11" x14ac:dyDescent="0.2">
      <c r="A123" s="222">
        <f>calculs!A123</f>
        <v>44674</v>
      </c>
      <c r="B123" s="523" t="e">
        <f ca="1">gr(calculs!X123)</f>
        <v>#NAME?</v>
      </c>
      <c r="C123" s="523" t="e">
        <f ca="1">gr(calculs!AD123)</f>
        <v>#NAME?</v>
      </c>
      <c r="D123" s="523" t="e">
        <f ca="1">gr(calculs!AJ123)</f>
        <v>#NAME?</v>
      </c>
      <c r="E123" s="523" t="e">
        <f ca="1">gr(calculs!AP123)</f>
        <v>#NAME?</v>
      </c>
      <c r="F123" s="523" t="e">
        <f ca="1">gr(calculs!AQ123)</f>
        <v>#NAME?</v>
      </c>
      <c r="G123" s="523" t="e">
        <f ca="1">gr(calculs!U123)</f>
        <v>#NAME?</v>
      </c>
      <c r="H123" s="523" t="e">
        <f ca="1">gr(calculs!AA123)</f>
        <v>#NAME?</v>
      </c>
      <c r="I123" s="523" t="e">
        <f ca="1">gr(calculs!AG123)</f>
        <v>#NAME?</v>
      </c>
      <c r="J123" s="523" t="e">
        <f ca="1">gr(calculs!AM123)</f>
        <v>#NAME?</v>
      </c>
      <c r="K123" s="523" t="e">
        <f ca="1">gr(calculs!AR123)</f>
        <v>#NAME?</v>
      </c>
    </row>
    <row r="124" spans="1:11" x14ac:dyDescent="0.2">
      <c r="A124" s="222">
        <f>calculs!A124</f>
        <v>44675</v>
      </c>
      <c r="B124" s="523" t="e">
        <f ca="1">gr(calculs!X124)</f>
        <v>#NAME?</v>
      </c>
      <c r="C124" s="523" t="e">
        <f ca="1">gr(calculs!AD124)</f>
        <v>#NAME?</v>
      </c>
      <c r="D124" s="523" t="e">
        <f ca="1">gr(calculs!AJ124)</f>
        <v>#NAME?</v>
      </c>
      <c r="E124" s="523" t="e">
        <f ca="1">gr(calculs!AP124)</f>
        <v>#NAME?</v>
      </c>
      <c r="F124" s="523" t="e">
        <f ca="1">gr(calculs!AQ124)</f>
        <v>#NAME?</v>
      </c>
      <c r="G124" s="523" t="e">
        <f ca="1">gr(calculs!U124)</f>
        <v>#NAME?</v>
      </c>
      <c r="H124" s="523" t="e">
        <f ca="1">gr(calculs!AA124)</f>
        <v>#NAME?</v>
      </c>
      <c r="I124" s="523" t="e">
        <f ca="1">gr(calculs!AG124)</f>
        <v>#NAME?</v>
      </c>
      <c r="J124" s="523" t="e">
        <f ca="1">gr(calculs!AM124)</f>
        <v>#NAME?</v>
      </c>
      <c r="K124" s="523" t="e">
        <f ca="1">gr(calculs!AR124)</f>
        <v>#NAME?</v>
      </c>
    </row>
    <row r="125" spans="1:11" x14ac:dyDescent="0.2">
      <c r="A125" s="222">
        <f>calculs!A125</f>
        <v>44676</v>
      </c>
      <c r="B125" s="523" t="e">
        <f ca="1">gr(calculs!X125)</f>
        <v>#NAME?</v>
      </c>
      <c r="C125" s="523" t="e">
        <f ca="1">gr(calculs!AD125)</f>
        <v>#NAME?</v>
      </c>
      <c r="D125" s="523" t="e">
        <f ca="1">gr(calculs!AJ125)</f>
        <v>#NAME?</v>
      </c>
      <c r="E125" s="523" t="e">
        <f ca="1">gr(calculs!AP125)</f>
        <v>#NAME?</v>
      </c>
      <c r="F125" s="523" t="e">
        <f ca="1">gr(calculs!AQ125)</f>
        <v>#NAME?</v>
      </c>
      <c r="G125" s="523" t="e">
        <f ca="1">gr(calculs!U125)</f>
        <v>#NAME?</v>
      </c>
      <c r="H125" s="523" t="e">
        <f ca="1">gr(calculs!AA125)</f>
        <v>#NAME?</v>
      </c>
      <c r="I125" s="523" t="e">
        <f ca="1">gr(calculs!AG125)</f>
        <v>#NAME?</v>
      </c>
      <c r="J125" s="523" t="e">
        <f ca="1">gr(calculs!AM125)</f>
        <v>#NAME?</v>
      </c>
      <c r="K125" s="523" t="e">
        <f ca="1">gr(calculs!AR125)</f>
        <v>#NAME?</v>
      </c>
    </row>
    <row r="126" spans="1:11" x14ac:dyDescent="0.2">
      <c r="A126" s="222">
        <f>calculs!A126</f>
        <v>44677</v>
      </c>
      <c r="B126" s="523" t="e">
        <f ca="1">gr(calculs!X126)</f>
        <v>#NAME?</v>
      </c>
      <c r="C126" s="523" t="e">
        <f ca="1">gr(calculs!AD126)</f>
        <v>#NAME?</v>
      </c>
      <c r="D126" s="523" t="e">
        <f ca="1">gr(calculs!AJ126)</f>
        <v>#NAME?</v>
      </c>
      <c r="E126" s="523" t="e">
        <f ca="1">gr(calculs!AP126)</f>
        <v>#NAME?</v>
      </c>
      <c r="F126" s="523" t="e">
        <f ca="1">gr(calculs!AQ126)</f>
        <v>#NAME?</v>
      </c>
      <c r="G126" s="523" t="e">
        <f ca="1">gr(calculs!U126)</f>
        <v>#NAME?</v>
      </c>
      <c r="H126" s="523" t="e">
        <f ca="1">gr(calculs!AA126)</f>
        <v>#NAME?</v>
      </c>
      <c r="I126" s="523" t="e">
        <f ca="1">gr(calculs!AG126)</f>
        <v>#NAME?</v>
      </c>
      <c r="J126" s="523" t="e">
        <f ca="1">gr(calculs!AM126)</f>
        <v>#NAME?</v>
      </c>
      <c r="K126" s="523" t="e">
        <f ca="1">gr(calculs!AR126)</f>
        <v>#NAME?</v>
      </c>
    </row>
    <row r="127" spans="1:11" x14ac:dyDescent="0.2">
      <c r="A127" s="222">
        <f>calculs!A127</f>
        <v>44678</v>
      </c>
      <c r="B127" s="523" t="e">
        <f ca="1">gr(calculs!X127)</f>
        <v>#NAME?</v>
      </c>
      <c r="C127" s="523" t="e">
        <f ca="1">gr(calculs!AD127)</f>
        <v>#NAME?</v>
      </c>
      <c r="D127" s="523" t="e">
        <f ca="1">gr(calculs!AJ127)</f>
        <v>#NAME?</v>
      </c>
      <c r="E127" s="523" t="e">
        <f ca="1">gr(calculs!AP127)</f>
        <v>#NAME?</v>
      </c>
      <c r="F127" s="523" t="e">
        <f ca="1">gr(calculs!AQ127)</f>
        <v>#NAME?</v>
      </c>
      <c r="G127" s="523" t="e">
        <f ca="1">gr(calculs!U127)</f>
        <v>#NAME?</v>
      </c>
      <c r="H127" s="523" t="e">
        <f ca="1">gr(calculs!AA127)</f>
        <v>#NAME?</v>
      </c>
      <c r="I127" s="523" t="e">
        <f ca="1">gr(calculs!AG127)</f>
        <v>#NAME?</v>
      </c>
      <c r="J127" s="523" t="e">
        <f ca="1">gr(calculs!AM127)</f>
        <v>#NAME?</v>
      </c>
      <c r="K127" s="523" t="e">
        <f ca="1">gr(calculs!AR127)</f>
        <v>#NAME?</v>
      </c>
    </row>
    <row r="128" spans="1:11" x14ac:dyDescent="0.2">
      <c r="A128" s="222">
        <f>calculs!A128</f>
        <v>44679</v>
      </c>
      <c r="B128" s="523" t="e">
        <f ca="1">gr(calculs!X128)</f>
        <v>#NAME?</v>
      </c>
      <c r="C128" s="523" t="e">
        <f ca="1">gr(calculs!AD128)</f>
        <v>#NAME?</v>
      </c>
      <c r="D128" s="523" t="e">
        <f ca="1">gr(calculs!AJ128)</f>
        <v>#NAME?</v>
      </c>
      <c r="E128" s="523" t="e">
        <f ca="1">gr(calculs!AP128)</f>
        <v>#NAME?</v>
      </c>
      <c r="F128" s="523" t="e">
        <f ca="1">gr(calculs!AQ128)</f>
        <v>#NAME?</v>
      </c>
      <c r="G128" s="523" t="e">
        <f ca="1">gr(calculs!U128)</f>
        <v>#NAME?</v>
      </c>
      <c r="H128" s="523" t="e">
        <f ca="1">gr(calculs!AA128)</f>
        <v>#NAME?</v>
      </c>
      <c r="I128" s="523" t="e">
        <f ca="1">gr(calculs!AG128)</f>
        <v>#NAME?</v>
      </c>
      <c r="J128" s="523" t="e">
        <f ca="1">gr(calculs!AM128)</f>
        <v>#NAME?</v>
      </c>
      <c r="K128" s="523" t="e">
        <f ca="1">gr(calculs!AR128)</f>
        <v>#NAME?</v>
      </c>
    </row>
    <row r="129" spans="1:11" x14ac:dyDescent="0.2">
      <c r="A129" s="222">
        <f>calculs!A129</f>
        <v>44680</v>
      </c>
      <c r="B129" s="523" t="e">
        <f ca="1">gr(calculs!X129)</f>
        <v>#NAME?</v>
      </c>
      <c r="C129" s="523" t="e">
        <f ca="1">gr(calculs!AD129)</f>
        <v>#NAME?</v>
      </c>
      <c r="D129" s="523" t="e">
        <f ca="1">gr(calculs!AJ129)</f>
        <v>#NAME?</v>
      </c>
      <c r="E129" s="523" t="e">
        <f ca="1">gr(calculs!AP129)</f>
        <v>#NAME?</v>
      </c>
      <c r="F129" s="523" t="e">
        <f ca="1">gr(calculs!AQ129)</f>
        <v>#NAME?</v>
      </c>
      <c r="G129" s="523" t="e">
        <f ca="1">gr(calculs!U129)</f>
        <v>#NAME?</v>
      </c>
      <c r="H129" s="523" t="e">
        <f ca="1">gr(calculs!AA129)</f>
        <v>#NAME?</v>
      </c>
      <c r="I129" s="523" t="e">
        <f ca="1">gr(calculs!AG129)</f>
        <v>#NAME?</v>
      </c>
      <c r="J129" s="523" t="e">
        <f ca="1">gr(calculs!AM129)</f>
        <v>#NAME?</v>
      </c>
      <c r="K129" s="523" t="e">
        <f ca="1">gr(calculs!AR129)</f>
        <v>#NAME?</v>
      </c>
    </row>
    <row r="130" spans="1:11" x14ac:dyDescent="0.2">
      <c r="A130" s="222">
        <f>calculs!A130</f>
        <v>44681</v>
      </c>
      <c r="B130" s="523" t="e">
        <f ca="1">gr(calculs!X130)</f>
        <v>#NAME?</v>
      </c>
      <c r="C130" s="523" t="e">
        <f ca="1">gr(calculs!AD130)</f>
        <v>#NAME?</v>
      </c>
      <c r="D130" s="523" t="e">
        <f ca="1">gr(calculs!AJ130)</f>
        <v>#NAME?</v>
      </c>
      <c r="E130" s="523" t="e">
        <f ca="1">gr(calculs!AP130)</f>
        <v>#NAME?</v>
      </c>
      <c r="F130" s="523" t="e">
        <f ca="1">gr(calculs!AQ130)</f>
        <v>#NAME?</v>
      </c>
      <c r="G130" s="523" t="e">
        <f ca="1">gr(calculs!U130)</f>
        <v>#NAME?</v>
      </c>
      <c r="H130" s="523" t="e">
        <f ca="1">gr(calculs!AA130)</f>
        <v>#NAME?</v>
      </c>
      <c r="I130" s="523" t="e">
        <f ca="1">gr(calculs!AG130)</f>
        <v>#NAME?</v>
      </c>
      <c r="J130" s="523" t="e">
        <f ca="1">gr(calculs!AM130)</f>
        <v>#NAME?</v>
      </c>
      <c r="K130" s="523" t="e">
        <f ca="1">gr(calculs!AR130)</f>
        <v>#NAME?</v>
      </c>
    </row>
    <row r="131" spans="1:11" x14ac:dyDescent="0.2">
      <c r="A131" s="222">
        <f>calculs!A131</f>
        <v>44682</v>
      </c>
      <c r="B131" s="523" t="e">
        <f ca="1">gr(calculs!X131)</f>
        <v>#NAME?</v>
      </c>
      <c r="C131" s="523" t="e">
        <f ca="1">gr(calculs!AD131)</f>
        <v>#NAME?</v>
      </c>
      <c r="D131" s="523" t="e">
        <f ca="1">gr(calculs!AJ131)</f>
        <v>#NAME?</v>
      </c>
      <c r="E131" s="523" t="e">
        <f ca="1">gr(calculs!AP131)</f>
        <v>#NAME?</v>
      </c>
      <c r="F131" s="523" t="e">
        <f ca="1">gr(calculs!AQ131)</f>
        <v>#NAME?</v>
      </c>
      <c r="G131" s="523" t="e">
        <f ca="1">gr(calculs!U131)</f>
        <v>#NAME?</v>
      </c>
      <c r="H131" s="523" t="e">
        <f ca="1">gr(calculs!AA131)</f>
        <v>#NAME?</v>
      </c>
      <c r="I131" s="523" t="e">
        <f ca="1">gr(calculs!AG131)</f>
        <v>#NAME?</v>
      </c>
      <c r="J131" s="523" t="e">
        <f ca="1">gr(calculs!AM131)</f>
        <v>#NAME?</v>
      </c>
      <c r="K131" s="523" t="e">
        <f ca="1">gr(calculs!AR131)</f>
        <v>#NAME?</v>
      </c>
    </row>
    <row r="132" spans="1:11" x14ac:dyDescent="0.2">
      <c r="A132" s="222">
        <f>calculs!A132</f>
        <v>44683</v>
      </c>
      <c r="B132" s="523" t="e">
        <f ca="1">gr(calculs!X132)</f>
        <v>#NAME?</v>
      </c>
      <c r="C132" s="523" t="e">
        <f ca="1">gr(calculs!AD132)</f>
        <v>#NAME?</v>
      </c>
      <c r="D132" s="523" t="e">
        <f ca="1">gr(calculs!AJ132)</f>
        <v>#NAME?</v>
      </c>
      <c r="E132" s="523" t="e">
        <f ca="1">gr(calculs!AP132)</f>
        <v>#NAME?</v>
      </c>
      <c r="F132" s="523" t="e">
        <f ca="1">gr(calculs!AQ132)</f>
        <v>#NAME?</v>
      </c>
      <c r="G132" s="523" t="e">
        <f ca="1">gr(calculs!U132)</f>
        <v>#NAME?</v>
      </c>
      <c r="H132" s="523" t="e">
        <f ca="1">gr(calculs!AA132)</f>
        <v>#NAME?</v>
      </c>
      <c r="I132" s="523" t="e">
        <f ca="1">gr(calculs!AG132)</f>
        <v>#NAME?</v>
      </c>
      <c r="J132" s="523" t="e">
        <f ca="1">gr(calculs!AM132)</f>
        <v>#NAME?</v>
      </c>
      <c r="K132" s="523" t="e">
        <f ca="1">gr(calculs!AR132)</f>
        <v>#NAME?</v>
      </c>
    </row>
    <row r="133" spans="1:11" x14ac:dyDescent="0.2">
      <c r="A133" s="222">
        <f>calculs!A133</f>
        <v>44684</v>
      </c>
      <c r="B133" s="523" t="e">
        <f ca="1">gr(calculs!X133)</f>
        <v>#NAME?</v>
      </c>
      <c r="C133" s="523" t="e">
        <f ca="1">gr(calculs!AD133)</f>
        <v>#NAME?</v>
      </c>
      <c r="D133" s="523" t="e">
        <f ca="1">gr(calculs!AJ133)</f>
        <v>#NAME?</v>
      </c>
      <c r="E133" s="523" t="e">
        <f ca="1">gr(calculs!AP133)</f>
        <v>#NAME?</v>
      </c>
      <c r="F133" s="523" t="e">
        <f ca="1">gr(calculs!AQ133)</f>
        <v>#NAME?</v>
      </c>
      <c r="G133" s="523" t="e">
        <f ca="1">gr(calculs!U133)</f>
        <v>#NAME?</v>
      </c>
      <c r="H133" s="523" t="e">
        <f ca="1">gr(calculs!AA133)</f>
        <v>#NAME?</v>
      </c>
      <c r="I133" s="523" t="e">
        <f ca="1">gr(calculs!AG133)</f>
        <v>#NAME?</v>
      </c>
      <c r="J133" s="523" t="e">
        <f ca="1">gr(calculs!AM133)</f>
        <v>#NAME?</v>
      </c>
      <c r="K133" s="523" t="e">
        <f ca="1">gr(calculs!AR133)</f>
        <v>#NAME?</v>
      </c>
    </row>
    <row r="134" spans="1:11" x14ac:dyDescent="0.2">
      <c r="A134" s="222">
        <f>calculs!A134</f>
        <v>44685</v>
      </c>
      <c r="B134" s="523" t="e">
        <f ca="1">gr(calculs!X134)</f>
        <v>#NAME?</v>
      </c>
      <c r="C134" s="523" t="e">
        <f ca="1">gr(calculs!AD134)</f>
        <v>#NAME?</v>
      </c>
      <c r="D134" s="523" t="e">
        <f ca="1">gr(calculs!AJ134)</f>
        <v>#NAME?</v>
      </c>
      <c r="E134" s="523" t="e">
        <f ca="1">gr(calculs!AP134)</f>
        <v>#NAME?</v>
      </c>
      <c r="F134" s="523" t="e">
        <f ca="1">gr(calculs!AQ134)</f>
        <v>#NAME?</v>
      </c>
      <c r="G134" s="523" t="e">
        <f ca="1">gr(calculs!U134)</f>
        <v>#NAME?</v>
      </c>
      <c r="H134" s="523" t="e">
        <f ca="1">gr(calculs!AA134)</f>
        <v>#NAME?</v>
      </c>
      <c r="I134" s="523" t="e">
        <f ca="1">gr(calculs!AG134)</f>
        <v>#NAME?</v>
      </c>
      <c r="J134" s="523" t="e">
        <f ca="1">gr(calculs!AM134)</f>
        <v>#NAME?</v>
      </c>
      <c r="K134" s="523" t="e">
        <f ca="1">gr(calculs!AR134)</f>
        <v>#NAME?</v>
      </c>
    </row>
    <row r="135" spans="1:11" x14ac:dyDescent="0.2">
      <c r="A135" s="222">
        <f>calculs!A135</f>
        <v>44686</v>
      </c>
      <c r="B135" s="523" t="e">
        <f ca="1">gr(calculs!X135)</f>
        <v>#NAME?</v>
      </c>
      <c r="C135" s="523" t="e">
        <f ca="1">gr(calculs!AD135)</f>
        <v>#NAME?</v>
      </c>
      <c r="D135" s="523" t="e">
        <f ca="1">gr(calculs!AJ135)</f>
        <v>#NAME?</v>
      </c>
      <c r="E135" s="523" t="e">
        <f ca="1">gr(calculs!AP135)</f>
        <v>#NAME?</v>
      </c>
      <c r="F135" s="523" t="e">
        <f ca="1">gr(calculs!AQ135)</f>
        <v>#NAME?</v>
      </c>
      <c r="G135" s="523" t="e">
        <f ca="1">gr(calculs!U135)</f>
        <v>#NAME?</v>
      </c>
      <c r="H135" s="523" t="e">
        <f ca="1">gr(calculs!AA135)</f>
        <v>#NAME?</v>
      </c>
      <c r="I135" s="523" t="e">
        <f ca="1">gr(calculs!AG135)</f>
        <v>#NAME?</v>
      </c>
      <c r="J135" s="523" t="e">
        <f ca="1">gr(calculs!AM135)</f>
        <v>#NAME?</v>
      </c>
      <c r="K135" s="523" t="e">
        <f ca="1">gr(calculs!AR135)</f>
        <v>#NAME?</v>
      </c>
    </row>
    <row r="136" spans="1:11" x14ac:dyDescent="0.2">
      <c r="A136" s="222">
        <f>calculs!A136</f>
        <v>44687</v>
      </c>
      <c r="B136" s="523" t="e">
        <f ca="1">gr(calculs!X136)</f>
        <v>#NAME?</v>
      </c>
      <c r="C136" s="523" t="e">
        <f ca="1">gr(calculs!AD136)</f>
        <v>#NAME?</v>
      </c>
      <c r="D136" s="523" t="e">
        <f ca="1">gr(calculs!AJ136)</f>
        <v>#NAME?</v>
      </c>
      <c r="E136" s="523" t="e">
        <f ca="1">gr(calculs!AP136)</f>
        <v>#NAME?</v>
      </c>
      <c r="F136" s="523" t="e">
        <f ca="1">gr(calculs!AQ136)</f>
        <v>#NAME?</v>
      </c>
      <c r="G136" s="523" t="e">
        <f ca="1">gr(calculs!U136)</f>
        <v>#NAME?</v>
      </c>
      <c r="H136" s="523" t="e">
        <f ca="1">gr(calculs!AA136)</f>
        <v>#NAME?</v>
      </c>
      <c r="I136" s="523" t="e">
        <f ca="1">gr(calculs!AG136)</f>
        <v>#NAME?</v>
      </c>
      <c r="J136" s="523" t="e">
        <f ca="1">gr(calculs!AM136)</f>
        <v>#NAME?</v>
      </c>
      <c r="K136" s="523" t="e">
        <f ca="1">gr(calculs!AR136)</f>
        <v>#NAME?</v>
      </c>
    </row>
    <row r="137" spans="1:11" x14ac:dyDescent="0.2">
      <c r="A137" s="222">
        <f>calculs!A137</f>
        <v>44688</v>
      </c>
      <c r="B137" s="523" t="e">
        <f ca="1">gr(calculs!X137)</f>
        <v>#NAME?</v>
      </c>
      <c r="C137" s="523" t="e">
        <f ca="1">gr(calculs!AD137)</f>
        <v>#NAME?</v>
      </c>
      <c r="D137" s="523" t="e">
        <f ca="1">gr(calculs!AJ137)</f>
        <v>#NAME?</v>
      </c>
      <c r="E137" s="523" t="e">
        <f ca="1">gr(calculs!AP137)</f>
        <v>#NAME?</v>
      </c>
      <c r="F137" s="523" t="e">
        <f ca="1">gr(calculs!AQ137)</f>
        <v>#NAME?</v>
      </c>
      <c r="G137" s="523" t="e">
        <f ca="1">gr(calculs!U137)</f>
        <v>#NAME?</v>
      </c>
      <c r="H137" s="523" t="e">
        <f ca="1">gr(calculs!AA137)</f>
        <v>#NAME?</v>
      </c>
      <c r="I137" s="523" t="e">
        <f ca="1">gr(calculs!AG137)</f>
        <v>#NAME?</v>
      </c>
      <c r="J137" s="523" t="e">
        <f ca="1">gr(calculs!AM137)</f>
        <v>#NAME?</v>
      </c>
      <c r="K137" s="523" t="e">
        <f ca="1">gr(calculs!AR137)</f>
        <v>#NAME?</v>
      </c>
    </row>
    <row r="138" spans="1:11" x14ac:dyDescent="0.2">
      <c r="A138" s="222">
        <f>calculs!A138</f>
        <v>44689</v>
      </c>
      <c r="B138" s="523" t="e">
        <f ca="1">gr(calculs!X138)</f>
        <v>#NAME?</v>
      </c>
      <c r="C138" s="523" t="e">
        <f ca="1">gr(calculs!AD138)</f>
        <v>#NAME?</v>
      </c>
      <c r="D138" s="523" t="e">
        <f ca="1">gr(calculs!AJ138)</f>
        <v>#NAME?</v>
      </c>
      <c r="E138" s="523" t="e">
        <f ca="1">gr(calculs!AP138)</f>
        <v>#NAME?</v>
      </c>
      <c r="F138" s="523" t="e">
        <f ca="1">gr(calculs!AQ138)</f>
        <v>#NAME?</v>
      </c>
      <c r="G138" s="523" t="e">
        <f ca="1">gr(calculs!U138)</f>
        <v>#NAME?</v>
      </c>
      <c r="H138" s="523" t="e">
        <f ca="1">gr(calculs!AA138)</f>
        <v>#NAME?</v>
      </c>
      <c r="I138" s="523" t="e">
        <f ca="1">gr(calculs!AG138)</f>
        <v>#NAME?</v>
      </c>
      <c r="J138" s="523" t="e">
        <f ca="1">gr(calculs!AM138)</f>
        <v>#NAME?</v>
      </c>
      <c r="K138" s="523" t="e">
        <f ca="1">gr(calculs!AR138)</f>
        <v>#NAME?</v>
      </c>
    </row>
    <row r="139" spans="1:11" x14ac:dyDescent="0.2">
      <c r="A139" s="222">
        <f>calculs!A139</f>
        <v>44690</v>
      </c>
      <c r="B139" s="523" t="e">
        <f ca="1">gr(calculs!X139)</f>
        <v>#NAME?</v>
      </c>
      <c r="C139" s="523" t="e">
        <f ca="1">gr(calculs!AD139)</f>
        <v>#NAME?</v>
      </c>
      <c r="D139" s="523" t="e">
        <f ca="1">gr(calculs!AJ139)</f>
        <v>#NAME?</v>
      </c>
      <c r="E139" s="523" t="e">
        <f ca="1">gr(calculs!AP139)</f>
        <v>#NAME?</v>
      </c>
      <c r="F139" s="523" t="e">
        <f ca="1">gr(calculs!AQ139)</f>
        <v>#NAME?</v>
      </c>
      <c r="G139" s="523" t="e">
        <f ca="1">gr(calculs!U139)</f>
        <v>#NAME?</v>
      </c>
      <c r="H139" s="523" t="e">
        <f ca="1">gr(calculs!AA139)</f>
        <v>#NAME?</v>
      </c>
      <c r="I139" s="523" t="e">
        <f ca="1">gr(calculs!AG139)</f>
        <v>#NAME?</v>
      </c>
      <c r="J139" s="523" t="e">
        <f ca="1">gr(calculs!AM139)</f>
        <v>#NAME?</v>
      </c>
      <c r="K139" s="523" t="e">
        <f ca="1">gr(calculs!AR139)</f>
        <v>#NAME?</v>
      </c>
    </row>
    <row r="140" spans="1:11" x14ac:dyDescent="0.2">
      <c r="A140" s="222">
        <f>calculs!A140</f>
        <v>44691</v>
      </c>
      <c r="B140" s="523" t="e">
        <f ca="1">gr(calculs!X140)</f>
        <v>#NAME?</v>
      </c>
      <c r="C140" s="523" t="e">
        <f ca="1">gr(calculs!AD140)</f>
        <v>#NAME?</v>
      </c>
      <c r="D140" s="523" t="e">
        <f ca="1">gr(calculs!AJ140)</f>
        <v>#NAME?</v>
      </c>
      <c r="E140" s="523" t="e">
        <f ca="1">gr(calculs!AP140)</f>
        <v>#NAME?</v>
      </c>
      <c r="F140" s="523" t="e">
        <f ca="1">gr(calculs!AQ140)</f>
        <v>#NAME?</v>
      </c>
      <c r="G140" s="523" t="e">
        <f ca="1">gr(calculs!U140)</f>
        <v>#NAME?</v>
      </c>
      <c r="H140" s="523" t="e">
        <f ca="1">gr(calculs!AA140)</f>
        <v>#NAME?</v>
      </c>
      <c r="I140" s="523" t="e">
        <f ca="1">gr(calculs!AG140)</f>
        <v>#NAME?</v>
      </c>
      <c r="J140" s="523" t="e">
        <f ca="1">gr(calculs!AM140)</f>
        <v>#NAME?</v>
      </c>
      <c r="K140" s="523" t="e">
        <f ca="1">gr(calculs!AR140)</f>
        <v>#NAME?</v>
      </c>
    </row>
    <row r="141" spans="1:11" x14ac:dyDescent="0.2">
      <c r="A141" s="222">
        <f>calculs!A141</f>
        <v>44692</v>
      </c>
      <c r="B141" s="523" t="e">
        <f ca="1">gr(calculs!X141)</f>
        <v>#NAME?</v>
      </c>
      <c r="C141" s="523" t="e">
        <f ca="1">gr(calculs!AD141)</f>
        <v>#NAME?</v>
      </c>
      <c r="D141" s="523" t="e">
        <f ca="1">gr(calculs!AJ141)</f>
        <v>#NAME?</v>
      </c>
      <c r="E141" s="523" t="e">
        <f ca="1">gr(calculs!AP141)</f>
        <v>#NAME?</v>
      </c>
      <c r="F141" s="523" t="e">
        <f ca="1">gr(calculs!AQ141)</f>
        <v>#NAME?</v>
      </c>
      <c r="G141" s="523" t="e">
        <f ca="1">gr(calculs!U141)</f>
        <v>#NAME?</v>
      </c>
      <c r="H141" s="523" t="e">
        <f ca="1">gr(calculs!AA141)</f>
        <v>#NAME?</v>
      </c>
      <c r="I141" s="523" t="e">
        <f ca="1">gr(calculs!AG141)</f>
        <v>#NAME?</v>
      </c>
      <c r="J141" s="523" t="e">
        <f ca="1">gr(calculs!AM141)</f>
        <v>#NAME?</v>
      </c>
      <c r="K141" s="523" t="e">
        <f ca="1">gr(calculs!AR141)</f>
        <v>#NAME?</v>
      </c>
    </row>
    <row r="142" spans="1:11" x14ac:dyDescent="0.2">
      <c r="A142" s="222">
        <f>calculs!A142</f>
        <v>44693</v>
      </c>
      <c r="B142" s="523" t="e">
        <f ca="1">gr(calculs!X142)</f>
        <v>#NAME?</v>
      </c>
      <c r="C142" s="523" t="e">
        <f ca="1">gr(calculs!AD142)</f>
        <v>#NAME?</v>
      </c>
      <c r="D142" s="523" t="e">
        <f ca="1">gr(calculs!AJ142)</f>
        <v>#NAME?</v>
      </c>
      <c r="E142" s="523" t="e">
        <f ca="1">gr(calculs!AP142)</f>
        <v>#NAME?</v>
      </c>
      <c r="F142" s="523" t="e">
        <f ca="1">gr(calculs!AQ142)</f>
        <v>#NAME?</v>
      </c>
      <c r="G142" s="523" t="e">
        <f ca="1">gr(calculs!U142)</f>
        <v>#NAME?</v>
      </c>
      <c r="H142" s="523" t="e">
        <f ca="1">gr(calculs!AA142)</f>
        <v>#NAME?</v>
      </c>
      <c r="I142" s="523" t="e">
        <f ca="1">gr(calculs!AG142)</f>
        <v>#NAME?</v>
      </c>
      <c r="J142" s="523" t="e">
        <f ca="1">gr(calculs!AM142)</f>
        <v>#NAME?</v>
      </c>
      <c r="K142" s="523" t="e">
        <f ca="1">gr(calculs!AR142)</f>
        <v>#NAME?</v>
      </c>
    </row>
    <row r="143" spans="1:11" x14ac:dyDescent="0.2">
      <c r="A143" s="222">
        <f>calculs!A143</f>
        <v>44694</v>
      </c>
      <c r="B143" s="523" t="e">
        <f ca="1">gr(calculs!X143)</f>
        <v>#NAME?</v>
      </c>
      <c r="C143" s="523" t="e">
        <f ca="1">gr(calculs!AD143)</f>
        <v>#NAME?</v>
      </c>
      <c r="D143" s="523" t="e">
        <f ca="1">gr(calculs!AJ143)</f>
        <v>#NAME?</v>
      </c>
      <c r="E143" s="523" t="e">
        <f ca="1">gr(calculs!AP143)</f>
        <v>#NAME?</v>
      </c>
      <c r="F143" s="523" t="e">
        <f ca="1">gr(calculs!AQ143)</f>
        <v>#NAME?</v>
      </c>
      <c r="G143" s="523" t="e">
        <f ca="1">gr(calculs!U143)</f>
        <v>#NAME?</v>
      </c>
      <c r="H143" s="523" t="e">
        <f ca="1">gr(calculs!AA143)</f>
        <v>#NAME?</v>
      </c>
      <c r="I143" s="523" t="e">
        <f ca="1">gr(calculs!AG143)</f>
        <v>#NAME?</v>
      </c>
      <c r="J143" s="523" t="e">
        <f ca="1">gr(calculs!AM143)</f>
        <v>#NAME?</v>
      </c>
      <c r="K143" s="523" t="e">
        <f ca="1">gr(calculs!AR143)</f>
        <v>#NAME?</v>
      </c>
    </row>
    <row r="144" spans="1:11" x14ac:dyDescent="0.2">
      <c r="A144" s="222">
        <f>calculs!A144</f>
        <v>44695</v>
      </c>
      <c r="B144" s="523" t="e">
        <f ca="1">gr(calculs!X144)</f>
        <v>#NAME?</v>
      </c>
      <c r="C144" s="523" t="e">
        <f ca="1">gr(calculs!AD144)</f>
        <v>#NAME?</v>
      </c>
      <c r="D144" s="523" t="e">
        <f ca="1">gr(calculs!AJ144)</f>
        <v>#NAME?</v>
      </c>
      <c r="E144" s="523" t="e">
        <f ca="1">gr(calculs!AP144)</f>
        <v>#NAME?</v>
      </c>
      <c r="F144" s="523" t="e">
        <f ca="1">gr(calculs!AQ144)</f>
        <v>#NAME?</v>
      </c>
      <c r="G144" s="523" t="e">
        <f ca="1">gr(calculs!U144)</f>
        <v>#NAME?</v>
      </c>
      <c r="H144" s="523" t="e">
        <f ca="1">gr(calculs!AA144)</f>
        <v>#NAME?</v>
      </c>
      <c r="I144" s="523" t="e">
        <f ca="1">gr(calculs!AG144)</f>
        <v>#NAME?</v>
      </c>
      <c r="J144" s="523" t="e">
        <f ca="1">gr(calculs!AM144)</f>
        <v>#NAME?</v>
      </c>
      <c r="K144" s="523" t="e">
        <f ca="1">gr(calculs!AR144)</f>
        <v>#NAME?</v>
      </c>
    </row>
    <row r="145" spans="1:11" x14ac:dyDescent="0.2">
      <c r="A145" s="222">
        <f>calculs!A145</f>
        <v>44696</v>
      </c>
      <c r="B145" s="523" t="e">
        <f ca="1">gr(calculs!X145)</f>
        <v>#NAME?</v>
      </c>
      <c r="C145" s="523" t="e">
        <f ca="1">gr(calculs!AD145)</f>
        <v>#NAME?</v>
      </c>
      <c r="D145" s="523" t="e">
        <f ca="1">gr(calculs!AJ145)</f>
        <v>#NAME?</v>
      </c>
      <c r="E145" s="523" t="e">
        <f ca="1">gr(calculs!AP145)</f>
        <v>#NAME?</v>
      </c>
      <c r="F145" s="523" t="e">
        <f ca="1">gr(calculs!AQ145)</f>
        <v>#NAME?</v>
      </c>
      <c r="G145" s="523" t="e">
        <f ca="1">gr(calculs!U145)</f>
        <v>#NAME?</v>
      </c>
      <c r="H145" s="523" t="e">
        <f ca="1">gr(calculs!AA145)</f>
        <v>#NAME?</v>
      </c>
      <c r="I145" s="523" t="e">
        <f ca="1">gr(calculs!AG145)</f>
        <v>#NAME?</v>
      </c>
      <c r="J145" s="523" t="e">
        <f ca="1">gr(calculs!AM145)</f>
        <v>#NAME?</v>
      </c>
      <c r="K145" s="523" t="e">
        <f ca="1">gr(calculs!AR145)</f>
        <v>#NAME?</v>
      </c>
    </row>
    <row r="146" spans="1:11" x14ac:dyDescent="0.2">
      <c r="A146" s="222">
        <f>calculs!A146</f>
        <v>44697</v>
      </c>
      <c r="B146" s="523" t="e">
        <f ca="1">gr(calculs!X146)</f>
        <v>#NAME?</v>
      </c>
      <c r="C146" s="523" t="e">
        <f ca="1">gr(calculs!AD146)</f>
        <v>#NAME?</v>
      </c>
      <c r="D146" s="523" t="e">
        <f ca="1">gr(calculs!AJ146)</f>
        <v>#NAME?</v>
      </c>
      <c r="E146" s="523" t="e">
        <f ca="1">gr(calculs!AP146)</f>
        <v>#NAME?</v>
      </c>
      <c r="F146" s="523" t="e">
        <f ca="1">gr(calculs!AQ146)</f>
        <v>#NAME?</v>
      </c>
      <c r="G146" s="523" t="e">
        <f ca="1">gr(calculs!U146)</f>
        <v>#NAME?</v>
      </c>
      <c r="H146" s="523" t="e">
        <f ca="1">gr(calculs!AA146)</f>
        <v>#NAME?</v>
      </c>
      <c r="I146" s="523" t="e">
        <f ca="1">gr(calculs!AG146)</f>
        <v>#NAME?</v>
      </c>
      <c r="J146" s="523" t="e">
        <f ca="1">gr(calculs!AM146)</f>
        <v>#NAME?</v>
      </c>
      <c r="K146" s="523" t="e">
        <f ca="1">gr(calculs!AR146)</f>
        <v>#NAME?</v>
      </c>
    </row>
    <row r="147" spans="1:11" x14ac:dyDescent="0.2">
      <c r="A147" s="222">
        <f>calculs!A147</f>
        <v>44698</v>
      </c>
      <c r="B147" s="523" t="e">
        <f ca="1">gr(calculs!X147)</f>
        <v>#NAME?</v>
      </c>
      <c r="C147" s="523" t="e">
        <f ca="1">gr(calculs!AD147)</f>
        <v>#NAME?</v>
      </c>
      <c r="D147" s="523" t="e">
        <f ca="1">gr(calculs!AJ147)</f>
        <v>#NAME?</v>
      </c>
      <c r="E147" s="523" t="e">
        <f ca="1">gr(calculs!AP147)</f>
        <v>#NAME?</v>
      </c>
      <c r="F147" s="523" t="e">
        <f ca="1">gr(calculs!AQ147)</f>
        <v>#NAME?</v>
      </c>
      <c r="G147" s="523" t="e">
        <f ca="1">gr(calculs!U147)</f>
        <v>#NAME?</v>
      </c>
      <c r="H147" s="523" t="e">
        <f ca="1">gr(calculs!AA147)</f>
        <v>#NAME?</v>
      </c>
      <c r="I147" s="523" t="e">
        <f ca="1">gr(calculs!AG147)</f>
        <v>#NAME?</v>
      </c>
      <c r="J147" s="523" t="e">
        <f ca="1">gr(calculs!AM147)</f>
        <v>#NAME?</v>
      </c>
      <c r="K147" s="523" t="e">
        <f ca="1">gr(calculs!AR147)</f>
        <v>#NAME?</v>
      </c>
    </row>
    <row r="148" spans="1:11" x14ac:dyDescent="0.2">
      <c r="A148" s="222">
        <f>calculs!A148</f>
        <v>44699</v>
      </c>
      <c r="B148" s="523" t="e">
        <f ca="1">gr(calculs!X148)</f>
        <v>#NAME?</v>
      </c>
      <c r="C148" s="523" t="e">
        <f ca="1">gr(calculs!AD148)</f>
        <v>#NAME?</v>
      </c>
      <c r="D148" s="523" t="e">
        <f ca="1">gr(calculs!AJ148)</f>
        <v>#NAME?</v>
      </c>
      <c r="E148" s="523" t="e">
        <f ca="1">gr(calculs!AP148)</f>
        <v>#NAME?</v>
      </c>
      <c r="F148" s="523" t="e">
        <f ca="1">gr(calculs!AQ148)</f>
        <v>#NAME?</v>
      </c>
      <c r="G148" s="523" t="e">
        <f ca="1">gr(calculs!U148)</f>
        <v>#NAME?</v>
      </c>
      <c r="H148" s="523" t="e">
        <f ca="1">gr(calculs!AA148)</f>
        <v>#NAME?</v>
      </c>
      <c r="I148" s="523" t="e">
        <f ca="1">gr(calculs!AG148)</f>
        <v>#NAME?</v>
      </c>
      <c r="J148" s="523" t="e">
        <f ca="1">gr(calculs!AM148)</f>
        <v>#NAME?</v>
      </c>
      <c r="K148" s="523" t="e">
        <f ca="1">gr(calculs!AR148)</f>
        <v>#NAME?</v>
      </c>
    </row>
    <row r="149" spans="1:11" x14ac:dyDescent="0.2">
      <c r="A149" s="222">
        <f>calculs!A149</f>
        <v>44700</v>
      </c>
      <c r="B149" s="523" t="e">
        <f ca="1">gr(calculs!X149)</f>
        <v>#NAME?</v>
      </c>
      <c r="C149" s="523" t="e">
        <f ca="1">gr(calculs!AD149)</f>
        <v>#NAME?</v>
      </c>
      <c r="D149" s="523" t="e">
        <f ca="1">gr(calculs!AJ149)</f>
        <v>#NAME?</v>
      </c>
      <c r="E149" s="523" t="e">
        <f ca="1">gr(calculs!AP149)</f>
        <v>#NAME?</v>
      </c>
      <c r="F149" s="523" t="e">
        <f ca="1">gr(calculs!AQ149)</f>
        <v>#NAME?</v>
      </c>
      <c r="G149" s="523" t="e">
        <f ca="1">gr(calculs!U149)</f>
        <v>#NAME?</v>
      </c>
      <c r="H149" s="523" t="e">
        <f ca="1">gr(calculs!AA149)</f>
        <v>#NAME?</v>
      </c>
      <c r="I149" s="523" t="e">
        <f ca="1">gr(calculs!AG149)</f>
        <v>#NAME?</v>
      </c>
      <c r="J149" s="523" t="e">
        <f ca="1">gr(calculs!AM149)</f>
        <v>#NAME?</v>
      </c>
      <c r="K149" s="523" t="e">
        <f ca="1">gr(calculs!AR149)</f>
        <v>#NAME?</v>
      </c>
    </row>
    <row r="150" spans="1:11" x14ac:dyDescent="0.2">
      <c r="A150" s="222">
        <f>calculs!A150</f>
        <v>44701</v>
      </c>
      <c r="B150" s="523" t="e">
        <f ca="1">gr(calculs!X150)</f>
        <v>#NAME?</v>
      </c>
      <c r="C150" s="523" t="e">
        <f ca="1">gr(calculs!AD150)</f>
        <v>#NAME?</v>
      </c>
      <c r="D150" s="523" t="e">
        <f ca="1">gr(calculs!AJ150)</f>
        <v>#NAME?</v>
      </c>
      <c r="E150" s="523" t="e">
        <f ca="1">gr(calculs!AP150)</f>
        <v>#NAME?</v>
      </c>
      <c r="F150" s="523" t="e">
        <f ca="1">gr(calculs!AQ150)</f>
        <v>#NAME?</v>
      </c>
      <c r="G150" s="523" t="e">
        <f ca="1">gr(calculs!U150)</f>
        <v>#NAME?</v>
      </c>
      <c r="H150" s="523" t="e">
        <f ca="1">gr(calculs!AA150)</f>
        <v>#NAME?</v>
      </c>
      <c r="I150" s="523" t="e">
        <f ca="1">gr(calculs!AG150)</f>
        <v>#NAME?</v>
      </c>
      <c r="J150" s="523" t="e">
        <f ca="1">gr(calculs!AM150)</f>
        <v>#NAME?</v>
      </c>
      <c r="K150" s="523" t="e">
        <f ca="1">gr(calculs!AR150)</f>
        <v>#NAME?</v>
      </c>
    </row>
    <row r="151" spans="1:11" x14ac:dyDescent="0.2">
      <c r="A151" s="222">
        <f>calculs!A151</f>
        <v>44702</v>
      </c>
      <c r="B151" s="523" t="e">
        <f ca="1">gr(calculs!X151)</f>
        <v>#NAME?</v>
      </c>
      <c r="C151" s="523" t="e">
        <f ca="1">gr(calculs!AD151)</f>
        <v>#NAME?</v>
      </c>
      <c r="D151" s="523" t="e">
        <f ca="1">gr(calculs!AJ151)</f>
        <v>#NAME?</v>
      </c>
      <c r="E151" s="523" t="e">
        <f ca="1">gr(calculs!AP151)</f>
        <v>#NAME?</v>
      </c>
      <c r="F151" s="523" t="e">
        <f ca="1">gr(calculs!AQ151)</f>
        <v>#NAME?</v>
      </c>
      <c r="G151" s="523" t="e">
        <f ca="1">gr(calculs!U151)</f>
        <v>#NAME?</v>
      </c>
      <c r="H151" s="523" t="e">
        <f ca="1">gr(calculs!AA151)</f>
        <v>#NAME?</v>
      </c>
      <c r="I151" s="523" t="e">
        <f ca="1">gr(calculs!AG151)</f>
        <v>#NAME?</v>
      </c>
      <c r="J151" s="523" t="e">
        <f ca="1">gr(calculs!AM151)</f>
        <v>#NAME?</v>
      </c>
      <c r="K151" s="523" t="e">
        <f ca="1">gr(calculs!AR151)</f>
        <v>#NAME?</v>
      </c>
    </row>
    <row r="152" spans="1:11" x14ac:dyDescent="0.2">
      <c r="A152" s="222">
        <f>calculs!A152</f>
        <v>44703</v>
      </c>
      <c r="B152" s="523" t="e">
        <f ca="1">gr(calculs!X152)</f>
        <v>#NAME?</v>
      </c>
      <c r="C152" s="523" t="e">
        <f ca="1">gr(calculs!AD152)</f>
        <v>#NAME?</v>
      </c>
      <c r="D152" s="523" t="e">
        <f ca="1">gr(calculs!AJ152)</f>
        <v>#NAME?</v>
      </c>
      <c r="E152" s="523" t="e">
        <f ca="1">gr(calculs!AP152)</f>
        <v>#NAME?</v>
      </c>
      <c r="F152" s="523" t="e">
        <f ca="1">gr(calculs!AQ152)</f>
        <v>#NAME?</v>
      </c>
      <c r="G152" s="523" t="e">
        <f ca="1">gr(calculs!U152)</f>
        <v>#NAME?</v>
      </c>
      <c r="H152" s="523" t="e">
        <f ca="1">gr(calculs!AA152)</f>
        <v>#NAME?</v>
      </c>
      <c r="I152" s="523" t="e">
        <f ca="1">gr(calculs!AG152)</f>
        <v>#NAME?</v>
      </c>
      <c r="J152" s="523" t="e">
        <f ca="1">gr(calculs!AM152)</f>
        <v>#NAME?</v>
      </c>
      <c r="K152" s="523" t="e">
        <f ca="1">gr(calculs!AR152)</f>
        <v>#NAME?</v>
      </c>
    </row>
    <row r="153" spans="1:11" x14ac:dyDescent="0.2">
      <c r="A153" s="222">
        <f>calculs!A153</f>
        <v>44704</v>
      </c>
      <c r="B153" s="523" t="e">
        <f ca="1">gr(calculs!X153)</f>
        <v>#NAME?</v>
      </c>
      <c r="C153" s="523" t="e">
        <f ca="1">gr(calculs!AD153)</f>
        <v>#NAME?</v>
      </c>
      <c r="D153" s="523" t="e">
        <f ca="1">gr(calculs!AJ153)</f>
        <v>#NAME?</v>
      </c>
      <c r="E153" s="523" t="e">
        <f ca="1">gr(calculs!AP153)</f>
        <v>#NAME?</v>
      </c>
      <c r="F153" s="523" t="e">
        <f ca="1">gr(calculs!AQ153)</f>
        <v>#NAME?</v>
      </c>
      <c r="G153" s="523" t="e">
        <f ca="1">gr(calculs!U153)</f>
        <v>#NAME?</v>
      </c>
      <c r="H153" s="523" t="e">
        <f ca="1">gr(calculs!AA153)</f>
        <v>#NAME?</v>
      </c>
      <c r="I153" s="523" t="e">
        <f ca="1">gr(calculs!AG153)</f>
        <v>#NAME?</v>
      </c>
      <c r="J153" s="523" t="e">
        <f ca="1">gr(calculs!AM153)</f>
        <v>#NAME?</v>
      </c>
      <c r="K153" s="523" t="e">
        <f ca="1">gr(calculs!AR153)</f>
        <v>#NAME?</v>
      </c>
    </row>
    <row r="154" spans="1:11" x14ac:dyDescent="0.2">
      <c r="A154" s="222">
        <f>calculs!A154</f>
        <v>44705</v>
      </c>
      <c r="B154" s="523" t="e">
        <f ca="1">gr(calculs!X154)</f>
        <v>#NAME?</v>
      </c>
      <c r="C154" s="523" t="e">
        <f ca="1">gr(calculs!AD154)</f>
        <v>#NAME?</v>
      </c>
      <c r="D154" s="523" t="e">
        <f ca="1">gr(calculs!AJ154)</f>
        <v>#NAME?</v>
      </c>
      <c r="E154" s="523" t="e">
        <f ca="1">gr(calculs!AP154)</f>
        <v>#NAME?</v>
      </c>
      <c r="F154" s="523" t="e">
        <f ca="1">gr(calculs!AQ154)</f>
        <v>#NAME?</v>
      </c>
      <c r="G154" s="523" t="e">
        <f ca="1">gr(calculs!U154)</f>
        <v>#NAME?</v>
      </c>
      <c r="H154" s="523" t="e">
        <f ca="1">gr(calculs!AA154)</f>
        <v>#NAME?</v>
      </c>
      <c r="I154" s="523" t="e">
        <f ca="1">gr(calculs!AG154)</f>
        <v>#NAME?</v>
      </c>
      <c r="J154" s="523" t="e">
        <f ca="1">gr(calculs!AM154)</f>
        <v>#NAME?</v>
      </c>
      <c r="K154" s="523" t="e">
        <f ca="1">gr(calculs!AR154)</f>
        <v>#NAME?</v>
      </c>
    </row>
    <row r="155" spans="1:11" x14ac:dyDescent="0.2">
      <c r="A155" s="222">
        <f>calculs!A155</f>
        <v>44706</v>
      </c>
      <c r="B155" s="523" t="e">
        <f ca="1">gr(calculs!X155)</f>
        <v>#NAME?</v>
      </c>
      <c r="C155" s="523" t="e">
        <f ca="1">gr(calculs!AD155)</f>
        <v>#NAME?</v>
      </c>
      <c r="D155" s="523" t="e">
        <f ca="1">gr(calculs!AJ155)</f>
        <v>#NAME?</v>
      </c>
      <c r="E155" s="523" t="e">
        <f ca="1">gr(calculs!AP155)</f>
        <v>#NAME?</v>
      </c>
      <c r="F155" s="523" t="e">
        <f ca="1">gr(calculs!AQ155)</f>
        <v>#NAME?</v>
      </c>
      <c r="G155" s="523" t="e">
        <f ca="1">gr(calculs!U155)</f>
        <v>#NAME?</v>
      </c>
      <c r="H155" s="523" t="e">
        <f ca="1">gr(calculs!AA155)</f>
        <v>#NAME?</v>
      </c>
      <c r="I155" s="523" t="e">
        <f ca="1">gr(calculs!AG155)</f>
        <v>#NAME?</v>
      </c>
      <c r="J155" s="523" t="e">
        <f ca="1">gr(calculs!AM155)</f>
        <v>#NAME?</v>
      </c>
      <c r="K155" s="523" t="e">
        <f ca="1">gr(calculs!AR155)</f>
        <v>#NAME?</v>
      </c>
    </row>
    <row r="156" spans="1:11" x14ac:dyDescent="0.2">
      <c r="A156" s="222">
        <f>calculs!A156</f>
        <v>44707</v>
      </c>
      <c r="B156" s="523" t="e">
        <f ca="1">gr(calculs!X156)</f>
        <v>#NAME?</v>
      </c>
      <c r="C156" s="523" t="e">
        <f ca="1">gr(calculs!AD156)</f>
        <v>#NAME?</v>
      </c>
      <c r="D156" s="523" t="e">
        <f ca="1">gr(calculs!AJ156)</f>
        <v>#NAME?</v>
      </c>
      <c r="E156" s="523" t="e">
        <f ca="1">gr(calculs!AP156)</f>
        <v>#NAME?</v>
      </c>
      <c r="F156" s="523" t="e">
        <f ca="1">gr(calculs!AQ156)</f>
        <v>#NAME?</v>
      </c>
      <c r="G156" s="523" t="e">
        <f ca="1">gr(calculs!U156)</f>
        <v>#NAME?</v>
      </c>
      <c r="H156" s="523" t="e">
        <f ca="1">gr(calculs!AA156)</f>
        <v>#NAME?</v>
      </c>
      <c r="I156" s="523" t="e">
        <f ca="1">gr(calculs!AG156)</f>
        <v>#NAME?</v>
      </c>
      <c r="J156" s="523" t="e">
        <f ca="1">gr(calculs!AM156)</f>
        <v>#NAME?</v>
      </c>
      <c r="K156" s="523" t="e">
        <f ca="1">gr(calculs!AR156)</f>
        <v>#NAME?</v>
      </c>
    </row>
    <row r="157" spans="1:11" x14ac:dyDescent="0.2">
      <c r="A157" s="222">
        <f>calculs!A157</f>
        <v>44708</v>
      </c>
      <c r="B157" s="523" t="e">
        <f ca="1">gr(calculs!X157)</f>
        <v>#NAME?</v>
      </c>
      <c r="C157" s="523" t="e">
        <f ca="1">gr(calculs!AD157)</f>
        <v>#NAME?</v>
      </c>
      <c r="D157" s="523" t="e">
        <f ca="1">gr(calculs!AJ157)</f>
        <v>#NAME?</v>
      </c>
      <c r="E157" s="523" t="e">
        <f ca="1">gr(calculs!AP157)</f>
        <v>#NAME?</v>
      </c>
      <c r="F157" s="523" t="e">
        <f ca="1">gr(calculs!AQ157)</f>
        <v>#NAME?</v>
      </c>
      <c r="G157" s="523" t="e">
        <f ca="1">gr(calculs!U157)</f>
        <v>#NAME?</v>
      </c>
      <c r="H157" s="523" t="e">
        <f ca="1">gr(calculs!AA157)</f>
        <v>#NAME?</v>
      </c>
      <c r="I157" s="523" t="e">
        <f ca="1">gr(calculs!AG157)</f>
        <v>#NAME?</v>
      </c>
      <c r="J157" s="523" t="e">
        <f ca="1">gr(calculs!AM157)</f>
        <v>#NAME?</v>
      </c>
      <c r="K157" s="523" t="e">
        <f ca="1">gr(calculs!AR157)</f>
        <v>#NAME?</v>
      </c>
    </row>
    <row r="158" spans="1:11" x14ac:dyDescent="0.2">
      <c r="A158" s="222">
        <f>calculs!A158</f>
        <v>44709</v>
      </c>
      <c r="B158" s="523" t="e">
        <f ca="1">gr(calculs!X158)</f>
        <v>#NAME?</v>
      </c>
      <c r="C158" s="523" t="e">
        <f ca="1">gr(calculs!AD158)</f>
        <v>#NAME?</v>
      </c>
      <c r="D158" s="523" t="e">
        <f ca="1">gr(calculs!AJ158)</f>
        <v>#NAME?</v>
      </c>
      <c r="E158" s="523" t="e">
        <f ca="1">gr(calculs!AP158)</f>
        <v>#NAME?</v>
      </c>
      <c r="F158" s="523" t="e">
        <f ca="1">gr(calculs!AQ158)</f>
        <v>#NAME?</v>
      </c>
      <c r="G158" s="523" t="e">
        <f ca="1">gr(calculs!U158)</f>
        <v>#NAME?</v>
      </c>
      <c r="H158" s="523" t="e">
        <f ca="1">gr(calculs!AA158)</f>
        <v>#NAME?</v>
      </c>
      <c r="I158" s="523" t="e">
        <f ca="1">gr(calculs!AG158)</f>
        <v>#NAME?</v>
      </c>
      <c r="J158" s="523" t="e">
        <f ca="1">gr(calculs!AM158)</f>
        <v>#NAME?</v>
      </c>
      <c r="K158" s="523" t="e">
        <f ca="1">gr(calculs!AR158)</f>
        <v>#NAME?</v>
      </c>
    </row>
    <row r="159" spans="1:11" x14ac:dyDescent="0.2">
      <c r="A159" s="222">
        <f>calculs!A159</f>
        <v>44710</v>
      </c>
      <c r="B159" s="523" t="e">
        <f ca="1">gr(calculs!X159)</f>
        <v>#NAME?</v>
      </c>
      <c r="C159" s="523" t="e">
        <f ca="1">gr(calculs!AD159)</f>
        <v>#NAME?</v>
      </c>
      <c r="D159" s="523" t="e">
        <f ca="1">gr(calculs!AJ159)</f>
        <v>#NAME?</v>
      </c>
      <c r="E159" s="523" t="e">
        <f ca="1">gr(calculs!AP159)</f>
        <v>#NAME?</v>
      </c>
      <c r="F159" s="523" t="e">
        <f ca="1">gr(calculs!AQ159)</f>
        <v>#NAME?</v>
      </c>
      <c r="G159" s="523" t="e">
        <f ca="1">gr(calculs!U159)</f>
        <v>#NAME?</v>
      </c>
      <c r="H159" s="523" t="e">
        <f ca="1">gr(calculs!AA159)</f>
        <v>#NAME?</v>
      </c>
      <c r="I159" s="523" t="e">
        <f ca="1">gr(calculs!AG159)</f>
        <v>#NAME?</v>
      </c>
      <c r="J159" s="523" t="e">
        <f ca="1">gr(calculs!AM159)</f>
        <v>#NAME?</v>
      </c>
      <c r="K159" s="523" t="e">
        <f ca="1">gr(calculs!AR159)</f>
        <v>#NAME?</v>
      </c>
    </row>
    <row r="160" spans="1:11" x14ac:dyDescent="0.2">
      <c r="A160" s="222">
        <f>calculs!A160</f>
        <v>44711</v>
      </c>
      <c r="B160" s="523" t="e">
        <f ca="1">gr(calculs!X160)</f>
        <v>#NAME?</v>
      </c>
      <c r="C160" s="523" t="e">
        <f ca="1">gr(calculs!AD160)</f>
        <v>#NAME?</v>
      </c>
      <c r="D160" s="523" t="e">
        <f ca="1">gr(calculs!AJ160)</f>
        <v>#NAME?</v>
      </c>
      <c r="E160" s="523" t="e">
        <f ca="1">gr(calculs!AP160)</f>
        <v>#NAME?</v>
      </c>
      <c r="F160" s="523" t="e">
        <f ca="1">gr(calculs!AQ160)</f>
        <v>#NAME?</v>
      </c>
      <c r="G160" s="523" t="e">
        <f ca="1">gr(calculs!U160)</f>
        <v>#NAME?</v>
      </c>
      <c r="H160" s="523" t="e">
        <f ca="1">gr(calculs!AA160)</f>
        <v>#NAME?</v>
      </c>
      <c r="I160" s="523" t="e">
        <f ca="1">gr(calculs!AG160)</f>
        <v>#NAME?</v>
      </c>
      <c r="J160" s="523" t="e">
        <f ca="1">gr(calculs!AM160)</f>
        <v>#NAME?</v>
      </c>
      <c r="K160" s="523" t="e">
        <f ca="1">gr(calculs!AR160)</f>
        <v>#NAME?</v>
      </c>
    </row>
    <row r="161" spans="1:11" x14ac:dyDescent="0.2">
      <c r="A161" s="222">
        <f>calculs!A161</f>
        <v>44712</v>
      </c>
      <c r="B161" s="523" t="e">
        <f ca="1">gr(calculs!X161)</f>
        <v>#NAME?</v>
      </c>
      <c r="C161" s="523" t="e">
        <f ca="1">gr(calculs!AD161)</f>
        <v>#NAME?</v>
      </c>
      <c r="D161" s="523" t="e">
        <f ca="1">gr(calculs!AJ161)</f>
        <v>#NAME?</v>
      </c>
      <c r="E161" s="523" t="e">
        <f ca="1">gr(calculs!AP161)</f>
        <v>#NAME?</v>
      </c>
      <c r="F161" s="523" t="e">
        <f ca="1">gr(calculs!AQ161)</f>
        <v>#NAME?</v>
      </c>
      <c r="G161" s="523" t="e">
        <f ca="1">gr(calculs!U161)</f>
        <v>#NAME?</v>
      </c>
      <c r="H161" s="523" t="e">
        <f ca="1">gr(calculs!AA161)</f>
        <v>#NAME?</v>
      </c>
      <c r="I161" s="523" t="e">
        <f ca="1">gr(calculs!AG161)</f>
        <v>#NAME?</v>
      </c>
      <c r="J161" s="523" t="e">
        <f ca="1">gr(calculs!AM161)</f>
        <v>#NAME?</v>
      </c>
      <c r="K161" s="523" t="e">
        <f ca="1">gr(calculs!AR161)</f>
        <v>#NAME?</v>
      </c>
    </row>
    <row r="162" spans="1:11" x14ac:dyDescent="0.2">
      <c r="A162" s="222">
        <f>calculs!A162</f>
        <v>44713</v>
      </c>
      <c r="B162" s="523" t="e">
        <f ca="1">gr(calculs!X162)</f>
        <v>#NAME?</v>
      </c>
      <c r="C162" s="523" t="e">
        <f ca="1">gr(calculs!AD162)</f>
        <v>#NAME?</v>
      </c>
      <c r="D162" s="523" t="e">
        <f ca="1">gr(calculs!AJ162)</f>
        <v>#NAME?</v>
      </c>
      <c r="E162" s="523" t="e">
        <f ca="1">gr(calculs!AP162)</f>
        <v>#NAME?</v>
      </c>
      <c r="F162" s="523" t="e">
        <f ca="1">gr(calculs!AQ162)</f>
        <v>#NAME?</v>
      </c>
      <c r="G162" s="523" t="e">
        <f ca="1">gr(calculs!U162)</f>
        <v>#NAME?</v>
      </c>
      <c r="H162" s="523" t="e">
        <f ca="1">gr(calculs!AA162)</f>
        <v>#NAME?</v>
      </c>
      <c r="I162" s="523" t="e">
        <f ca="1">gr(calculs!AG162)</f>
        <v>#NAME?</v>
      </c>
      <c r="J162" s="523" t="e">
        <f ca="1">gr(calculs!AM162)</f>
        <v>#NAME?</v>
      </c>
      <c r="K162" s="523" t="e">
        <f ca="1">gr(calculs!AR162)</f>
        <v>#NAME?</v>
      </c>
    </row>
    <row r="163" spans="1:11" x14ac:dyDescent="0.2">
      <c r="A163" s="222">
        <f>calculs!A163</f>
        <v>44714</v>
      </c>
      <c r="B163" s="523" t="e">
        <f ca="1">gr(calculs!X163)</f>
        <v>#NAME?</v>
      </c>
      <c r="C163" s="523" t="e">
        <f ca="1">gr(calculs!AD163)</f>
        <v>#NAME?</v>
      </c>
      <c r="D163" s="523" t="e">
        <f ca="1">gr(calculs!AJ163)</f>
        <v>#NAME?</v>
      </c>
      <c r="E163" s="523" t="e">
        <f ca="1">gr(calculs!AP163)</f>
        <v>#NAME?</v>
      </c>
      <c r="F163" s="523" t="e">
        <f ca="1">gr(calculs!AQ163)</f>
        <v>#NAME?</v>
      </c>
      <c r="G163" s="523" t="e">
        <f ca="1">gr(calculs!U163)</f>
        <v>#NAME?</v>
      </c>
      <c r="H163" s="523" t="e">
        <f ca="1">gr(calculs!AA163)</f>
        <v>#NAME?</v>
      </c>
      <c r="I163" s="523" t="e">
        <f ca="1">gr(calculs!AG163)</f>
        <v>#NAME?</v>
      </c>
      <c r="J163" s="523" t="e">
        <f ca="1">gr(calculs!AM163)</f>
        <v>#NAME?</v>
      </c>
      <c r="K163" s="523" t="e">
        <f ca="1">gr(calculs!AR163)</f>
        <v>#NAME?</v>
      </c>
    </row>
    <row r="164" spans="1:11" x14ac:dyDescent="0.2">
      <c r="A164" s="222">
        <f>calculs!A164</f>
        <v>44715</v>
      </c>
      <c r="B164" s="523" t="e">
        <f ca="1">gr(calculs!X164)</f>
        <v>#NAME?</v>
      </c>
      <c r="C164" s="523" t="e">
        <f ca="1">gr(calculs!AD164)</f>
        <v>#NAME?</v>
      </c>
      <c r="D164" s="523" t="e">
        <f ca="1">gr(calculs!AJ164)</f>
        <v>#NAME?</v>
      </c>
      <c r="E164" s="523" t="e">
        <f ca="1">gr(calculs!AP164)</f>
        <v>#NAME?</v>
      </c>
      <c r="F164" s="523" t="e">
        <f ca="1">gr(calculs!AQ164)</f>
        <v>#NAME?</v>
      </c>
      <c r="G164" s="523" t="e">
        <f ca="1">gr(calculs!U164)</f>
        <v>#NAME?</v>
      </c>
      <c r="H164" s="523" t="e">
        <f ca="1">gr(calculs!AA164)</f>
        <v>#NAME?</v>
      </c>
      <c r="I164" s="523" t="e">
        <f ca="1">gr(calculs!AG164)</f>
        <v>#NAME?</v>
      </c>
      <c r="J164" s="523" t="e">
        <f ca="1">gr(calculs!AM164)</f>
        <v>#NAME?</v>
      </c>
      <c r="K164" s="523" t="e">
        <f ca="1">gr(calculs!AR164)</f>
        <v>#NAME?</v>
      </c>
    </row>
    <row r="165" spans="1:11" x14ac:dyDescent="0.2">
      <c r="A165" s="222">
        <f>calculs!A165</f>
        <v>44716</v>
      </c>
      <c r="B165" s="523" t="e">
        <f ca="1">gr(calculs!X165)</f>
        <v>#NAME?</v>
      </c>
      <c r="C165" s="523" t="e">
        <f ca="1">gr(calculs!AD165)</f>
        <v>#NAME?</v>
      </c>
      <c r="D165" s="523" t="e">
        <f ca="1">gr(calculs!AJ165)</f>
        <v>#NAME?</v>
      </c>
      <c r="E165" s="523" t="e">
        <f ca="1">gr(calculs!AP165)</f>
        <v>#NAME?</v>
      </c>
      <c r="F165" s="523" t="e">
        <f ca="1">gr(calculs!AQ165)</f>
        <v>#NAME?</v>
      </c>
      <c r="G165" s="523" t="e">
        <f ca="1">gr(calculs!U165)</f>
        <v>#NAME?</v>
      </c>
      <c r="H165" s="523" t="e">
        <f ca="1">gr(calculs!AA165)</f>
        <v>#NAME?</v>
      </c>
      <c r="I165" s="523" t="e">
        <f ca="1">gr(calculs!AG165)</f>
        <v>#NAME?</v>
      </c>
      <c r="J165" s="523" t="e">
        <f ca="1">gr(calculs!AM165)</f>
        <v>#NAME?</v>
      </c>
      <c r="K165" s="523" t="e">
        <f ca="1">gr(calculs!AR165)</f>
        <v>#NAME?</v>
      </c>
    </row>
    <row r="166" spans="1:11" x14ac:dyDescent="0.2">
      <c r="A166" s="222">
        <f>calculs!A166</f>
        <v>44717</v>
      </c>
      <c r="B166" s="523" t="e">
        <f ca="1">gr(calculs!X166)</f>
        <v>#NAME?</v>
      </c>
      <c r="C166" s="523" t="e">
        <f ca="1">gr(calculs!AD166)</f>
        <v>#NAME?</v>
      </c>
      <c r="D166" s="523" t="e">
        <f ca="1">gr(calculs!AJ166)</f>
        <v>#NAME?</v>
      </c>
      <c r="E166" s="523" t="e">
        <f ca="1">gr(calculs!AP166)</f>
        <v>#NAME?</v>
      </c>
      <c r="F166" s="523" t="e">
        <f ca="1">gr(calculs!AQ166)</f>
        <v>#NAME?</v>
      </c>
      <c r="G166" s="523" t="e">
        <f ca="1">gr(calculs!U166)</f>
        <v>#NAME?</v>
      </c>
      <c r="H166" s="523" t="e">
        <f ca="1">gr(calculs!AA166)</f>
        <v>#NAME?</v>
      </c>
      <c r="I166" s="523" t="e">
        <f ca="1">gr(calculs!AG166)</f>
        <v>#NAME?</v>
      </c>
      <c r="J166" s="523" t="e">
        <f ca="1">gr(calculs!AM166)</f>
        <v>#NAME?</v>
      </c>
      <c r="K166" s="523" t="e">
        <f ca="1">gr(calculs!AR166)</f>
        <v>#NAME?</v>
      </c>
    </row>
    <row r="167" spans="1:11" x14ac:dyDescent="0.2">
      <c r="A167" s="222">
        <f>calculs!A167</f>
        <v>44718</v>
      </c>
      <c r="B167" s="523" t="e">
        <f ca="1">gr(calculs!X167)</f>
        <v>#NAME?</v>
      </c>
      <c r="C167" s="523" t="e">
        <f ca="1">gr(calculs!AD167)</f>
        <v>#NAME?</v>
      </c>
      <c r="D167" s="523" t="e">
        <f ca="1">gr(calculs!AJ167)</f>
        <v>#NAME?</v>
      </c>
      <c r="E167" s="523" t="e">
        <f ca="1">gr(calculs!AP167)</f>
        <v>#NAME?</v>
      </c>
      <c r="F167" s="523" t="e">
        <f ca="1">gr(calculs!AQ167)</f>
        <v>#NAME?</v>
      </c>
      <c r="G167" s="523" t="e">
        <f ca="1">gr(calculs!U167)</f>
        <v>#NAME?</v>
      </c>
      <c r="H167" s="523" t="e">
        <f ca="1">gr(calculs!AA167)</f>
        <v>#NAME?</v>
      </c>
      <c r="I167" s="523" t="e">
        <f ca="1">gr(calculs!AG167)</f>
        <v>#NAME?</v>
      </c>
      <c r="J167" s="523" t="e">
        <f ca="1">gr(calculs!AM167)</f>
        <v>#NAME?</v>
      </c>
      <c r="K167" s="523" t="e">
        <f ca="1">gr(calculs!AR167)</f>
        <v>#NAME?</v>
      </c>
    </row>
    <row r="168" spans="1:11" x14ac:dyDescent="0.2">
      <c r="A168" s="222">
        <f>calculs!A168</f>
        <v>44719</v>
      </c>
      <c r="B168" s="523" t="e">
        <f ca="1">gr(calculs!X168)</f>
        <v>#NAME?</v>
      </c>
      <c r="C168" s="523" t="e">
        <f ca="1">gr(calculs!AD168)</f>
        <v>#NAME?</v>
      </c>
      <c r="D168" s="523" t="e">
        <f ca="1">gr(calculs!AJ168)</f>
        <v>#NAME?</v>
      </c>
      <c r="E168" s="523" t="e">
        <f ca="1">gr(calculs!AP168)</f>
        <v>#NAME?</v>
      </c>
      <c r="F168" s="523" t="e">
        <f ca="1">gr(calculs!AQ168)</f>
        <v>#NAME?</v>
      </c>
      <c r="G168" s="523" t="e">
        <f ca="1">gr(calculs!U168)</f>
        <v>#NAME?</v>
      </c>
      <c r="H168" s="523" t="e">
        <f ca="1">gr(calculs!AA168)</f>
        <v>#NAME?</v>
      </c>
      <c r="I168" s="523" t="e">
        <f ca="1">gr(calculs!AG168)</f>
        <v>#NAME?</v>
      </c>
      <c r="J168" s="523" t="e">
        <f ca="1">gr(calculs!AM168)</f>
        <v>#NAME?</v>
      </c>
      <c r="K168" s="523" t="e">
        <f ca="1">gr(calculs!AR168)</f>
        <v>#NAME?</v>
      </c>
    </row>
    <row r="169" spans="1:11" x14ac:dyDescent="0.2">
      <c r="A169" s="222">
        <f>calculs!A169</f>
        <v>44720</v>
      </c>
      <c r="B169" s="523" t="e">
        <f ca="1">gr(calculs!X169)</f>
        <v>#NAME?</v>
      </c>
      <c r="C169" s="523" t="e">
        <f ca="1">gr(calculs!AD169)</f>
        <v>#NAME?</v>
      </c>
      <c r="D169" s="523" t="e">
        <f ca="1">gr(calculs!AJ169)</f>
        <v>#NAME?</v>
      </c>
      <c r="E169" s="523" t="e">
        <f ca="1">gr(calculs!AP169)</f>
        <v>#NAME?</v>
      </c>
      <c r="F169" s="523" t="e">
        <f ca="1">gr(calculs!AQ169)</f>
        <v>#NAME?</v>
      </c>
      <c r="G169" s="523" t="e">
        <f ca="1">gr(calculs!U169)</f>
        <v>#NAME?</v>
      </c>
      <c r="H169" s="523" t="e">
        <f ca="1">gr(calculs!AA169)</f>
        <v>#NAME?</v>
      </c>
      <c r="I169" s="523" t="e">
        <f ca="1">gr(calculs!AG169)</f>
        <v>#NAME?</v>
      </c>
      <c r="J169" s="523" t="e">
        <f ca="1">gr(calculs!AM169)</f>
        <v>#NAME?</v>
      </c>
      <c r="K169" s="523" t="e">
        <f ca="1">gr(calculs!AR169)</f>
        <v>#NAME?</v>
      </c>
    </row>
    <row r="170" spans="1:11" x14ac:dyDescent="0.2">
      <c r="A170" s="222">
        <f>calculs!A170</f>
        <v>44721</v>
      </c>
      <c r="B170" s="523" t="e">
        <f ca="1">gr(calculs!X170)</f>
        <v>#NAME?</v>
      </c>
      <c r="C170" s="523" t="e">
        <f ca="1">gr(calculs!AD170)</f>
        <v>#NAME?</v>
      </c>
      <c r="D170" s="523" t="e">
        <f ca="1">gr(calculs!AJ170)</f>
        <v>#NAME?</v>
      </c>
      <c r="E170" s="523" t="e">
        <f ca="1">gr(calculs!AP170)</f>
        <v>#NAME?</v>
      </c>
      <c r="F170" s="523" t="e">
        <f ca="1">gr(calculs!AQ170)</f>
        <v>#NAME?</v>
      </c>
      <c r="G170" s="523" t="e">
        <f ca="1">gr(calculs!U170)</f>
        <v>#NAME?</v>
      </c>
      <c r="H170" s="523" t="e">
        <f ca="1">gr(calculs!AA170)</f>
        <v>#NAME?</v>
      </c>
      <c r="I170" s="523" t="e">
        <f ca="1">gr(calculs!AG170)</f>
        <v>#NAME?</v>
      </c>
      <c r="J170" s="523" t="e">
        <f ca="1">gr(calculs!AM170)</f>
        <v>#NAME?</v>
      </c>
      <c r="K170" s="523" t="e">
        <f ca="1">gr(calculs!AR170)</f>
        <v>#NAME?</v>
      </c>
    </row>
    <row r="171" spans="1:11" x14ac:dyDescent="0.2">
      <c r="A171" s="222">
        <f>calculs!A171</f>
        <v>44722</v>
      </c>
      <c r="B171" s="523" t="e">
        <f ca="1">gr(calculs!X171)</f>
        <v>#NAME?</v>
      </c>
      <c r="C171" s="523" t="e">
        <f ca="1">gr(calculs!AD171)</f>
        <v>#NAME?</v>
      </c>
      <c r="D171" s="523" t="e">
        <f ca="1">gr(calculs!AJ171)</f>
        <v>#NAME?</v>
      </c>
      <c r="E171" s="523" t="e">
        <f ca="1">gr(calculs!AP171)</f>
        <v>#NAME?</v>
      </c>
      <c r="F171" s="523" t="e">
        <f ca="1">gr(calculs!AQ171)</f>
        <v>#NAME?</v>
      </c>
      <c r="G171" s="523" t="e">
        <f ca="1">gr(calculs!U171)</f>
        <v>#NAME?</v>
      </c>
      <c r="H171" s="523" t="e">
        <f ca="1">gr(calculs!AA171)</f>
        <v>#NAME?</v>
      </c>
      <c r="I171" s="523" t="e">
        <f ca="1">gr(calculs!AG171)</f>
        <v>#NAME?</v>
      </c>
      <c r="J171" s="523" t="e">
        <f ca="1">gr(calculs!AM171)</f>
        <v>#NAME?</v>
      </c>
      <c r="K171" s="523" t="e">
        <f ca="1">gr(calculs!AR171)</f>
        <v>#NAME?</v>
      </c>
    </row>
    <row r="172" spans="1:11" x14ac:dyDescent="0.2">
      <c r="A172" s="222">
        <f>calculs!A172</f>
        <v>44723</v>
      </c>
      <c r="B172" s="523" t="e">
        <f ca="1">gr(calculs!X172)</f>
        <v>#NAME?</v>
      </c>
      <c r="C172" s="523" t="e">
        <f ca="1">gr(calculs!AD172)</f>
        <v>#NAME?</v>
      </c>
      <c r="D172" s="523" t="e">
        <f ca="1">gr(calculs!AJ172)</f>
        <v>#NAME?</v>
      </c>
      <c r="E172" s="523" t="e">
        <f ca="1">gr(calculs!AP172)</f>
        <v>#NAME?</v>
      </c>
      <c r="F172" s="523" t="e">
        <f ca="1">gr(calculs!AQ172)</f>
        <v>#NAME?</v>
      </c>
      <c r="G172" s="523" t="e">
        <f ca="1">gr(calculs!U172)</f>
        <v>#NAME?</v>
      </c>
      <c r="H172" s="523" t="e">
        <f ca="1">gr(calculs!AA172)</f>
        <v>#NAME?</v>
      </c>
      <c r="I172" s="523" t="e">
        <f ca="1">gr(calculs!AG172)</f>
        <v>#NAME?</v>
      </c>
      <c r="J172" s="523" t="e">
        <f ca="1">gr(calculs!AM172)</f>
        <v>#NAME?</v>
      </c>
      <c r="K172" s="523" t="e">
        <f ca="1">gr(calculs!AR172)</f>
        <v>#NAME?</v>
      </c>
    </row>
    <row r="173" spans="1:11" x14ac:dyDescent="0.2">
      <c r="A173" s="222">
        <f>calculs!A173</f>
        <v>44724</v>
      </c>
      <c r="B173" s="523" t="e">
        <f ca="1">gr(calculs!X173)</f>
        <v>#NAME?</v>
      </c>
      <c r="C173" s="523" t="e">
        <f ca="1">gr(calculs!AD173)</f>
        <v>#NAME?</v>
      </c>
      <c r="D173" s="523" t="e">
        <f ca="1">gr(calculs!AJ173)</f>
        <v>#NAME?</v>
      </c>
      <c r="E173" s="523" t="e">
        <f ca="1">gr(calculs!AP173)</f>
        <v>#NAME?</v>
      </c>
      <c r="F173" s="523" t="e">
        <f ca="1">gr(calculs!AQ173)</f>
        <v>#NAME?</v>
      </c>
      <c r="G173" s="523" t="e">
        <f ca="1">gr(calculs!U173)</f>
        <v>#NAME?</v>
      </c>
      <c r="H173" s="523" t="e">
        <f ca="1">gr(calculs!AA173)</f>
        <v>#NAME?</v>
      </c>
      <c r="I173" s="523" t="e">
        <f ca="1">gr(calculs!AG173)</f>
        <v>#NAME?</v>
      </c>
      <c r="J173" s="523" t="e">
        <f ca="1">gr(calculs!AM173)</f>
        <v>#NAME?</v>
      </c>
      <c r="K173" s="523" t="e">
        <f ca="1">gr(calculs!AR173)</f>
        <v>#NAME?</v>
      </c>
    </row>
    <row r="174" spans="1:11" x14ac:dyDescent="0.2">
      <c r="A174" s="222">
        <f>calculs!A174</f>
        <v>44725</v>
      </c>
      <c r="B174" s="523" t="e">
        <f ca="1">gr(calculs!X174)</f>
        <v>#NAME?</v>
      </c>
      <c r="C174" s="523" t="e">
        <f ca="1">gr(calculs!AD174)</f>
        <v>#NAME?</v>
      </c>
      <c r="D174" s="523" t="e">
        <f ca="1">gr(calculs!AJ174)</f>
        <v>#NAME?</v>
      </c>
      <c r="E174" s="523" t="e">
        <f ca="1">gr(calculs!AP174)</f>
        <v>#NAME?</v>
      </c>
      <c r="F174" s="523" t="e">
        <f ca="1">gr(calculs!AQ174)</f>
        <v>#NAME?</v>
      </c>
      <c r="G174" s="523" t="e">
        <f ca="1">gr(calculs!U174)</f>
        <v>#NAME?</v>
      </c>
      <c r="H174" s="523" t="e">
        <f ca="1">gr(calculs!AA174)</f>
        <v>#NAME?</v>
      </c>
      <c r="I174" s="523" t="e">
        <f ca="1">gr(calculs!AG174)</f>
        <v>#NAME?</v>
      </c>
      <c r="J174" s="523" t="e">
        <f ca="1">gr(calculs!AM174)</f>
        <v>#NAME?</v>
      </c>
      <c r="K174" s="523" t="e">
        <f ca="1">gr(calculs!AR174)</f>
        <v>#NAME?</v>
      </c>
    </row>
    <row r="175" spans="1:11" x14ac:dyDescent="0.2">
      <c r="A175" s="222">
        <f>calculs!A175</f>
        <v>44726</v>
      </c>
      <c r="B175" s="523" t="e">
        <f ca="1">gr(calculs!X175)</f>
        <v>#NAME?</v>
      </c>
      <c r="C175" s="523" t="e">
        <f ca="1">gr(calculs!AD175)</f>
        <v>#NAME?</v>
      </c>
      <c r="D175" s="523" t="e">
        <f ca="1">gr(calculs!AJ175)</f>
        <v>#NAME?</v>
      </c>
      <c r="E175" s="523" t="e">
        <f ca="1">gr(calculs!AP175)</f>
        <v>#NAME?</v>
      </c>
      <c r="F175" s="523" t="e">
        <f ca="1">gr(calculs!AQ175)</f>
        <v>#NAME?</v>
      </c>
      <c r="G175" s="523" t="e">
        <f ca="1">gr(calculs!U175)</f>
        <v>#NAME?</v>
      </c>
      <c r="H175" s="523" t="e">
        <f ca="1">gr(calculs!AA175)</f>
        <v>#NAME?</v>
      </c>
      <c r="I175" s="523" t="e">
        <f ca="1">gr(calculs!AG175)</f>
        <v>#NAME?</v>
      </c>
      <c r="J175" s="523" t="e">
        <f ca="1">gr(calculs!AM175)</f>
        <v>#NAME?</v>
      </c>
      <c r="K175" s="523" t="e">
        <f ca="1">gr(calculs!AR175)</f>
        <v>#NAME?</v>
      </c>
    </row>
    <row r="176" spans="1:11" x14ac:dyDescent="0.2">
      <c r="A176" s="222">
        <f>calculs!A176</f>
        <v>44727</v>
      </c>
      <c r="B176" s="523" t="e">
        <f ca="1">gr(calculs!X176)</f>
        <v>#NAME?</v>
      </c>
      <c r="C176" s="523" t="e">
        <f ca="1">gr(calculs!AD176)</f>
        <v>#NAME?</v>
      </c>
      <c r="D176" s="523" t="e">
        <f ca="1">gr(calculs!AJ176)</f>
        <v>#NAME?</v>
      </c>
      <c r="E176" s="523" t="e">
        <f ca="1">gr(calculs!AP176)</f>
        <v>#NAME?</v>
      </c>
      <c r="F176" s="523" t="e">
        <f ca="1">gr(calculs!AQ176)</f>
        <v>#NAME?</v>
      </c>
      <c r="G176" s="523" t="e">
        <f ca="1">gr(calculs!U176)</f>
        <v>#NAME?</v>
      </c>
      <c r="H176" s="523" t="e">
        <f ca="1">gr(calculs!AA176)</f>
        <v>#NAME?</v>
      </c>
      <c r="I176" s="523" t="e">
        <f ca="1">gr(calculs!AG176)</f>
        <v>#NAME?</v>
      </c>
      <c r="J176" s="523" t="e">
        <f ca="1">gr(calculs!AM176)</f>
        <v>#NAME?</v>
      </c>
      <c r="K176" s="523" t="e">
        <f ca="1">gr(calculs!AR176)</f>
        <v>#NAME?</v>
      </c>
    </row>
    <row r="177" spans="1:11" x14ac:dyDescent="0.2">
      <c r="A177" s="222">
        <f>calculs!A177</f>
        <v>44728</v>
      </c>
      <c r="B177" s="523" t="e">
        <f ca="1">gr(calculs!X177)</f>
        <v>#NAME?</v>
      </c>
      <c r="C177" s="523" t="e">
        <f ca="1">gr(calculs!AD177)</f>
        <v>#NAME?</v>
      </c>
      <c r="D177" s="523" t="e">
        <f ca="1">gr(calculs!AJ177)</f>
        <v>#NAME?</v>
      </c>
      <c r="E177" s="523" t="e">
        <f ca="1">gr(calculs!AP177)</f>
        <v>#NAME?</v>
      </c>
      <c r="F177" s="523" t="e">
        <f ca="1">gr(calculs!AQ177)</f>
        <v>#NAME?</v>
      </c>
      <c r="G177" s="523" t="e">
        <f ca="1">gr(calculs!U177)</f>
        <v>#NAME?</v>
      </c>
      <c r="H177" s="523" t="e">
        <f ca="1">gr(calculs!AA177)</f>
        <v>#NAME?</v>
      </c>
      <c r="I177" s="523" t="e">
        <f ca="1">gr(calculs!AG177)</f>
        <v>#NAME?</v>
      </c>
      <c r="J177" s="523" t="e">
        <f ca="1">gr(calculs!AM177)</f>
        <v>#NAME?</v>
      </c>
      <c r="K177" s="523" t="e">
        <f ca="1">gr(calculs!AR177)</f>
        <v>#NAME?</v>
      </c>
    </row>
    <row r="178" spans="1:11" x14ac:dyDescent="0.2">
      <c r="A178" s="222">
        <f>calculs!A178</f>
        <v>44729</v>
      </c>
      <c r="B178" s="523" t="e">
        <f ca="1">gr(calculs!X178)</f>
        <v>#NAME?</v>
      </c>
      <c r="C178" s="523" t="e">
        <f ca="1">gr(calculs!AD178)</f>
        <v>#NAME?</v>
      </c>
      <c r="D178" s="523" t="e">
        <f ca="1">gr(calculs!AJ178)</f>
        <v>#NAME?</v>
      </c>
      <c r="E178" s="523" t="e">
        <f ca="1">gr(calculs!AP178)</f>
        <v>#NAME?</v>
      </c>
      <c r="F178" s="523" t="e">
        <f ca="1">gr(calculs!AQ178)</f>
        <v>#NAME?</v>
      </c>
      <c r="G178" s="523" t="e">
        <f ca="1">gr(calculs!U178)</f>
        <v>#NAME?</v>
      </c>
      <c r="H178" s="523" t="e">
        <f ca="1">gr(calculs!AA178)</f>
        <v>#NAME?</v>
      </c>
      <c r="I178" s="523" t="e">
        <f ca="1">gr(calculs!AG178)</f>
        <v>#NAME?</v>
      </c>
      <c r="J178" s="523" t="e">
        <f ca="1">gr(calculs!AM178)</f>
        <v>#NAME?</v>
      </c>
      <c r="K178" s="523" t="e">
        <f ca="1">gr(calculs!AR178)</f>
        <v>#NAME?</v>
      </c>
    </row>
    <row r="179" spans="1:11" x14ac:dyDescent="0.2">
      <c r="A179" s="222">
        <f>calculs!A179</f>
        <v>44730</v>
      </c>
      <c r="B179" s="523" t="e">
        <f ca="1">gr(calculs!X179)</f>
        <v>#NAME?</v>
      </c>
      <c r="C179" s="523" t="e">
        <f ca="1">gr(calculs!AD179)</f>
        <v>#NAME?</v>
      </c>
      <c r="D179" s="523" t="e">
        <f ca="1">gr(calculs!AJ179)</f>
        <v>#NAME?</v>
      </c>
      <c r="E179" s="523" t="e">
        <f ca="1">gr(calculs!AP179)</f>
        <v>#NAME?</v>
      </c>
      <c r="F179" s="523" t="e">
        <f ca="1">gr(calculs!AQ179)</f>
        <v>#NAME?</v>
      </c>
      <c r="G179" s="523" t="e">
        <f ca="1">gr(calculs!U179)</f>
        <v>#NAME?</v>
      </c>
      <c r="H179" s="523" t="e">
        <f ca="1">gr(calculs!AA179)</f>
        <v>#NAME?</v>
      </c>
      <c r="I179" s="523" t="e">
        <f ca="1">gr(calculs!AG179)</f>
        <v>#NAME?</v>
      </c>
      <c r="J179" s="523" t="e">
        <f ca="1">gr(calculs!AM179)</f>
        <v>#NAME?</v>
      </c>
      <c r="K179" s="523" t="e">
        <f ca="1">gr(calculs!AR179)</f>
        <v>#NAME?</v>
      </c>
    </row>
    <row r="180" spans="1:11" x14ac:dyDescent="0.2">
      <c r="A180" s="222">
        <f>calculs!A180</f>
        <v>44731</v>
      </c>
      <c r="B180" s="523" t="e">
        <f ca="1">gr(calculs!X180)</f>
        <v>#NAME?</v>
      </c>
      <c r="C180" s="523" t="e">
        <f ca="1">gr(calculs!AD180)</f>
        <v>#NAME?</v>
      </c>
      <c r="D180" s="523" t="e">
        <f ca="1">gr(calculs!AJ180)</f>
        <v>#NAME?</v>
      </c>
      <c r="E180" s="523" t="e">
        <f ca="1">gr(calculs!AP180)</f>
        <v>#NAME?</v>
      </c>
      <c r="F180" s="523" t="e">
        <f ca="1">gr(calculs!AQ180)</f>
        <v>#NAME?</v>
      </c>
      <c r="G180" s="523" t="e">
        <f ca="1">gr(calculs!U180)</f>
        <v>#NAME?</v>
      </c>
      <c r="H180" s="523" t="e">
        <f ca="1">gr(calculs!AA180)</f>
        <v>#NAME?</v>
      </c>
      <c r="I180" s="523" t="e">
        <f ca="1">gr(calculs!AG180)</f>
        <v>#NAME?</v>
      </c>
      <c r="J180" s="523" t="e">
        <f ca="1">gr(calculs!AM180)</f>
        <v>#NAME?</v>
      </c>
      <c r="K180" s="523" t="e">
        <f ca="1">gr(calculs!AR180)</f>
        <v>#NAME?</v>
      </c>
    </row>
    <row r="181" spans="1:11" x14ac:dyDescent="0.2">
      <c r="A181" s="222">
        <f>calculs!A181</f>
        <v>44732</v>
      </c>
      <c r="B181" s="523" t="e">
        <f ca="1">gr(calculs!X181)</f>
        <v>#NAME?</v>
      </c>
      <c r="C181" s="523" t="e">
        <f ca="1">gr(calculs!AD181)</f>
        <v>#NAME?</v>
      </c>
      <c r="D181" s="523" t="e">
        <f ca="1">gr(calculs!AJ181)</f>
        <v>#NAME?</v>
      </c>
      <c r="E181" s="523" t="e">
        <f ca="1">gr(calculs!AP181)</f>
        <v>#NAME?</v>
      </c>
      <c r="F181" s="523" t="e">
        <f ca="1">gr(calculs!AQ181)</f>
        <v>#NAME?</v>
      </c>
      <c r="G181" s="523" t="e">
        <f ca="1">gr(calculs!U181)</f>
        <v>#NAME?</v>
      </c>
      <c r="H181" s="523" t="e">
        <f ca="1">gr(calculs!AA181)</f>
        <v>#NAME?</v>
      </c>
      <c r="I181" s="523" t="e">
        <f ca="1">gr(calculs!AG181)</f>
        <v>#NAME?</v>
      </c>
      <c r="J181" s="523" t="e">
        <f ca="1">gr(calculs!AM181)</f>
        <v>#NAME?</v>
      </c>
      <c r="K181" s="523" t="e">
        <f ca="1">gr(calculs!AR181)</f>
        <v>#NAME?</v>
      </c>
    </row>
    <row r="182" spans="1:11" x14ac:dyDescent="0.2">
      <c r="A182" s="222">
        <f>calculs!A182</f>
        <v>44733</v>
      </c>
      <c r="B182" s="523" t="e">
        <f ca="1">gr(calculs!X182)</f>
        <v>#NAME?</v>
      </c>
      <c r="C182" s="523" t="e">
        <f ca="1">gr(calculs!AD182)</f>
        <v>#NAME?</v>
      </c>
      <c r="D182" s="523" t="e">
        <f ca="1">gr(calculs!AJ182)</f>
        <v>#NAME?</v>
      </c>
      <c r="E182" s="523" t="e">
        <f ca="1">gr(calculs!AP182)</f>
        <v>#NAME?</v>
      </c>
      <c r="F182" s="523" t="e">
        <f ca="1">gr(calculs!AQ182)</f>
        <v>#NAME?</v>
      </c>
      <c r="G182" s="523" t="e">
        <f ca="1">gr(calculs!U182)</f>
        <v>#NAME?</v>
      </c>
      <c r="H182" s="523" t="e">
        <f ca="1">gr(calculs!AA182)</f>
        <v>#NAME?</v>
      </c>
      <c r="I182" s="523" t="e">
        <f ca="1">gr(calculs!AG182)</f>
        <v>#NAME?</v>
      </c>
      <c r="J182" s="523" t="e">
        <f ca="1">gr(calculs!AM182)</f>
        <v>#NAME?</v>
      </c>
      <c r="K182" s="523" t="e">
        <f ca="1">gr(calculs!AR182)</f>
        <v>#NAME?</v>
      </c>
    </row>
    <row r="183" spans="1:11" x14ac:dyDescent="0.2">
      <c r="A183" s="222">
        <f>calculs!A183</f>
        <v>44734</v>
      </c>
      <c r="B183" s="523" t="e">
        <f ca="1">gr(calculs!X183)</f>
        <v>#NAME?</v>
      </c>
      <c r="C183" s="523" t="e">
        <f ca="1">gr(calculs!AD183)</f>
        <v>#NAME?</v>
      </c>
      <c r="D183" s="523" t="e">
        <f ca="1">gr(calculs!AJ183)</f>
        <v>#NAME?</v>
      </c>
      <c r="E183" s="523" t="e">
        <f ca="1">gr(calculs!AP183)</f>
        <v>#NAME?</v>
      </c>
      <c r="F183" s="523" t="e">
        <f ca="1">gr(calculs!AQ183)</f>
        <v>#NAME?</v>
      </c>
      <c r="G183" s="523" t="e">
        <f ca="1">gr(calculs!U183)</f>
        <v>#NAME?</v>
      </c>
      <c r="H183" s="523" t="e">
        <f ca="1">gr(calculs!AA183)</f>
        <v>#NAME?</v>
      </c>
      <c r="I183" s="523" t="e">
        <f ca="1">gr(calculs!AG183)</f>
        <v>#NAME?</v>
      </c>
      <c r="J183" s="523" t="e">
        <f ca="1">gr(calculs!AM183)</f>
        <v>#NAME?</v>
      </c>
      <c r="K183" s="523" t="e">
        <f ca="1">gr(calculs!AR183)</f>
        <v>#NAME?</v>
      </c>
    </row>
    <row r="184" spans="1:11" x14ac:dyDescent="0.2">
      <c r="A184" s="222">
        <f>calculs!A184</f>
        <v>44735</v>
      </c>
      <c r="B184" s="523" t="e">
        <f ca="1">gr(calculs!X184)</f>
        <v>#NAME?</v>
      </c>
      <c r="C184" s="523" t="e">
        <f ca="1">gr(calculs!AD184)</f>
        <v>#NAME?</v>
      </c>
      <c r="D184" s="523" t="e">
        <f ca="1">gr(calculs!AJ184)</f>
        <v>#NAME?</v>
      </c>
      <c r="E184" s="523" t="e">
        <f ca="1">gr(calculs!AP184)</f>
        <v>#NAME?</v>
      </c>
      <c r="F184" s="523" t="e">
        <f ca="1">gr(calculs!AQ184)</f>
        <v>#NAME?</v>
      </c>
      <c r="G184" s="523" t="e">
        <f ca="1">gr(calculs!U184)</f>
        <v>#NAME?</v>
      </c>
      <c r="H184" s="523" t="e">
        <f ca="1">gr(calculs!AA184)</f>
        <v>#NAME?</v>
      </c>
      <c r="I184" s="523" t="e">
        <f ca="1">gr(calculs!AG184)</f>
        <v>#NAME?</v>
      </c>
      <c r="J184" s="523" t="e">
        <f ca="1">gr(calculs!AM184)</f>
        <v>#NAME?</v>
      </c>
      <c r="K184" s="523" t="e">
        <f ca="1">gr(calculs!AR184)</f>
        <v>#NAME?</v>
      </c>
    </row>
    <row r="185" spans="1:11" x14ac:dyDescent="0.2">
      <c r="A185" s="222">
        <f>calculs!A185</f>
        <v>44736</v>
      </c>
      <c r="B185" s="523" t="e">
        <f ca="1">gr(calculs!X185)</f>
        <v>#NAME?</v>
      </c>
      <c r="C185" s="523" t="e">
        <f ca="1">gr(calculs!AD185)</f>
        <v>#NAME?</v>
      </c>
      <c r="D185" s="523" t="e">
        <f ca="1">gr(calculs!AJ185)</f>
        <v>#NAME?</v>
      </c>
      <c r="E185" s="523" t="e">
        <f ca="1">gr(calculs!AP185)</f>
        <v>#NAME?</v>
      </c>
      <c r="F185" s="523" t="e">
        <f ca="1">gr(calculs!AQ185)</f>
        <v>#NAME?</v>
      </c>
      <c r="G185" s="523" t="e">
        <f ca="1">gr(calculs!U185)</f>
        <v>#NAME?</v>
      </c>
      <c r="H185" s="523" t="e">
        <f ca="1">gr(calculs!AA185)</f>
        <v>#NAME?</v>
      </c>
      <c r="I185" s="523" t="e">
        <f ca="1">gr(calculs!AG185)</f>
        <v>#NAME?</v>
      </c>
      <c r="J185" s="523" t="e">
        <f ca="1">gr(calculs!AM185)</f>
        <v>#NAME?</v>
      </c>
      <c r="K185" s="523" t="e">
        <f ca="1">gr(calculs!AR185)</f>
        <v>#NAME?</v>
      </c>
    </row>
    <row r="186" spans="1:11" x14ac:dyDescent="0.2">
      <c r="A186" s="222">
        <f>calculs!A186</f>
        <v>44737</v>
      </c>
      <c r="B186" s="523" t="e">
        <f ca="1">gr(calculs!X186)</f>
        <v>#NAME?</v>
      </c>
      <c r="C186" s="523" t="e">
        <f ca="1">gr(calculs!AD186)</f>
        <v>#NAME?</v>
      </c>
      <c r="D186" s="523" t="e">
        <f ca="1">gr(calculs!AJ186)</f>
        <v>#NAME?</v>
      </c>
      <c r="E186" s="523" t="e">
        <f ca="1">gr(calculs!AP186)</f>
        <v>#NAME?</v>
      </c>
      <c r="F186" s="523" t="e">
        <f ca="1">gr(calculs!AQ186)</f>
        <v>#NAME?</v>
      </c>
      <c r="G186" s="523" t="e">
        <f ca="1">gr(calculs!U186)</f>
        <v>#NAME?</v>
      </c>
      <c r="H186" s="523" t="e">
        <f ca="1">gr(calculs!AA186)</f>
        <v>#NAME?</v>
      </c>
      <c r="I186" s="523" t="e">
        <f ca="1">gr(calculs!AG186)</f>
        <v>#NAME?</v>
      </c>
      <c r="J186" s="523" t="e">
        <f ca="1">gr(calculs!AM186)</f>
        <v>#NAME?</v>
      </c>
      <c r="K186" s="523" t="e">
        <f ca="1">gr(calculs!AR186)</f>
        <v>#NAME?</v>
      </c>
    </row>
    <row r="187" spans="1:11" x14ac:dyDescent="0.2">
      <c r="A187" s="222">
        <f>calculs!A187</f>
        <v>44738</v>
      </c>
      <c r="B187" s="523" t="e">
        <f ca="1">gr(calculs!X187)</f>
        <v>#NAME?</v>
      </c>
      <c r="C187" s="523" t="e">
        <f ca="1">gr(calculs!AD187)</f>
        <v>#NAME?</v>
      </c>
      <c r="D187" s="523" t="e">
        <f ca="1">gr(calculs!AJ187)</f>
        <v>#NAME?</v>
      </c>
      <c r="E187" s="523" t="e">
        <f ca="1">gr(calculs!AP187)</f>
        <v>#NAME?</v>
      </c>
      <c r="F187" s="523" t="e">
        <f ca="1">gr(calculs!AQ187)</f>
        <v>#NAME?</v>
      </c>
      <c r="G187" s="523" t="e">
        <f ca="1">gr(calculs!U187)</f>
        <v>#NAME?</v>
      </c>
      <c r="H187" s="523" t="e">
        <f ca="1">gr(calculs!AA187)</f>
        <v>#NAME?</v>
      </c>
      <c r="I187" s="523" t="e">
        <f ca="1">gr(calculs!AG187)</f>
        <v>#NAME?</v>
      </c>
      <c r="J187" s="523" t="e">
        <f ca="1">gr(calculs!AM187)</f>
        <v>#NAME?</v>
      </c>
      <c r="K187" s="523" t="e">
        <f ca="1">gr(calculs!AR187)</f>
        <v>#NAME?</v>
      </c>
    </row>
    <row r="188" spans="1:11" x14ac:dyDescent="0.2">
      <c r="A188" s="222">
        <f>calculs!A188</f>
        <v>44739</v>
      </c>
      <c r="B188" s="523" t="e">
        <f ca="1">gr(calculs!X188)</f>
        <v>#NAME?</v>
      </c>
      <c r="C188" s="523" t="e">
        <f ca="1">gr(calculs!AD188)</f>
        <v>#NAME?</v>
      </c>
      <c r="D188" s="523" t="e">
        <f ca="1">gr(calculs!AJ188)</f>
        <v>#NAME?</v>
      </c>
      <c r="E188" s="523" t="e">
        <f ca="1">gr(calculs!AP188)</f>
        <v>#NAME?</v>
      </c>
      <c r="F188" s="523" t="e">
        <f ca="1">gr(calculs!AQ188)</f>
        <v>#NAME?</v>
      </c>
      <c r="G188" s="523" t="e">
        <f ca="1">gr(calculs!U188)</f>
        <v>#NAME?</v>
      </c>
      <c r="H188" s="523" t="e">
        <f ca="1">gr(calculs!AA188)</f>
        <v>#NAME?</v>
      </c>
      <c r="I188" s="523" t="e">
        <f ca="1">gr(calculs!AG188)</f>
        <v>#NAME?</v>
      </c>
      <c r="J188" s="523" t="e">
        <f ca="1">gr(calculs!AM188)</f>
        <v>#NAME?</v>
      </c>
      <c r="K188" s="523" t="e">
        <f ca="1">gr(calculs!AR188)</f>
        <v>#NAME?</v>
      </c>
    </row>
    <row r="189" spans="1:11" x14ac:dyDescent="0.2">
      <c r="A189" s="222">
        <f>calculs!A189</f>
        <v>44740</v>
      </c>
      <c r="B189" s="523" t="e">
        <f ca="1">gr(calculs!X189)</f>
        <v>#NAME?</v>
      </c>
      <c r="C189" s="523" t="e">
        <f ca="1">gr(calculs!AD189)</f>
        <v>#NAME?</v>
      </c>
      <c r="D189" s="523" t="e">
        <f ca="1">gr(calculs!AJ189)</f>
        <v>#NAME?</v>
      </c>
      <c r="E189" s="523" t="e">
        <f ca="1">gr(calculs!AP189)</f>
        <v>#NAME?</v>
      </c>
      <c r="F189" s="523" t="e">
        <f ca="1">gr(calculs!AQ189)</f>
        <v>#NAME?</v>
      </c>
      <c r="G189" s="523" t="e">
        <f ca="1">gr(calculs!U189)</f>
        <v>#NAME?</v>
      </c>
      <c r="H189" s="523" t="e">
        <f ca="1">gr(calculs!AA189)</f>
        <v>#NAME?</v>
      </c>
      <c r="I189" s="523" t="e">
        <f ca="1">gr(calculs!AG189)</f>
        <v>#NAME?</v>
      </c>
      <c r="J189" s="523" t="e">
        <f ca="1">gr(calculs!AM189)</f>
        <v>#NAME?</v>
      </c>
      <c r="K189" s="523" t="e">
        <f ca="1">gr(calculs!AR189)</f>
        <v>#NAME?</v>
      </c>
    </row>
    <row r="190" spans="1:11" x14ac:dyDescent="0.2">
      <c r="A190" s="222">
        <f>calculs!A190</f>
        <v>44741</v>
      </c>
      <c r="B190" s="523" t="e">
        <f ca="1">gr(calculs!X190)</f>
        <v>#NAME?</v>
      </c>
      <c r="C190" s="523" t="e">
        <f ca="1">gr(calculs!AD190)</f>
        <v>#NAME?</v>
      </c>
      <c r="D190" s="523" t="e">
        <f ca="1">gr(calculs!AJ190)</f>
        <v>#NAME?</v>
      </c>
      <c r="E190" s="523" t="e">
        <f ca="1">gr(calculs!AP190)</f>
        <v>#NAME?</v>
      </c>
      <c r="F190" s="523" t="e">
        <f ca="1">gr(calculs!AQ190)</f>
        <v>#NAME?</v>
      </c>
      <c r="G190" s="523" t="e">
        <f ca="1">gr(calculs!U190)</f>
        <v>#NAME?</v>
      </c>
      <c r="H190" s="523" t="e">
        <f ca="1">gr(calculs!AA190)</f>
        <v>#NAME?</v>
      </c>
      <c r="I190" s="523" t="e">
        <f ca="1">gr(calculs!AG190)</f>
        <v>#NAME?</v>
      </c>
      <c r="J190" s="523" t="e">
        <f ca="1">gr(calculs!AM190)</f>
        <v>#NAME?</v>
      </c>
      <c r="K190" s="523" t="e">
        <f ca="1">gr(calculs!AR190)</f>
        <v>#NAME?</v>
      </c>
    </row>
    <row r="191" spans="1:11" x14ac:dyDescent="0.2">
      <c r="A191" s="222">
        <f>calculs!A191</f>
        <v>44742</v>
      </c>
      <c r="B191" s="523" t="e">
        <f ca="1">gr(calculs!X191)</f>
        <v>#NAME?</v>
      </c>
      <c r="C191" s="523" t="e">
        <f ca="1">gr(calculs!AD191)</f>
        <v>#NAME?</v>
      </c>
      <c r="D191" s="523" t="e">
        <f ca="1">gr(calculs!AJ191)</f>
        <v>#NAME?</v>
      </c>
      <c r="E191" s="523" t="e">
        <f ca="1">gr(calculs!AP191)</f>
        <v>#NAME?</v>
      </c>
      <c r="F191" s="523" t="e">
        <f ca="1">gr(calculs!AQ191)</f>
        <v>#NAME?</v>
      </c>
      <c r="G191" s="523" t="e">
        <f ca="1">gr(calculs!U191)</f>
        <v>#NAME?</v>
      </c>
      <c r="H191" s="523" t="e">
        <f ca="1">gr(calculs!AA191)</f>
        <v>#NAME?</v>
      </c>
      <c r="I191" s="523" t="e">
        <f ca="1">gr(calculs!AG191)</f>
        <v>#NAME?</v>
      </c>
      <c r="J191" s="523" t="e">
        <f ca="1">gr(calculs!AM191)</f>
        <v>#NAME?</v>
      </c>
      <c r="K191" s="523" t="e">
        <f ca="1">gr(calculs!AR191)</f>
        <v>#NAME?</v>
      </c>
    </row>
    <row r="192" spans="1:11" x14ac:dyDescent="0.2">
      <c r="A192" s="222">
        <f>calculs!A192</f>
        <v>44743</v>
      </c>
      <c r="B192" s="523" t="e">
        <f ca="1">gr(calculs!X192)</f>
        <v>#NAME?</v>
      </c>
      <c r="C192" s="523" t="e">
        <f ca="1">gr(calculs!AD192)</f>
        <v>#NAME?</v>
      </c>
      <c r="D192" s="523" t="e">
        <f ca="1">gr(calculs!AJ192)</f>
        <v>#NAME?</v>
      </c>
      <c r="E192" s="523" t="e">
        <f ca="1">gr(calculs!AP192)</f>
        <v>#NAME?</v>
      </c>
      <c r="F192" s="523" t="e">
        <f ca="1">gr(calculs!AQ192)</f>
        <v>#NAME?</v>
      </c>
      <c r="G192" s="523" t="e">
        <f ca="1">gr(calculs!U192)</f>
        <v>#NAME?</v>
      </c>
      <c r="H192" s="523" t="e">
        <f ca="1">gr(calculs!AA192)</f>
        <v>#NAME?</v>
      </c>
      <c r="I192" s="523" t="e">
        <f ca="1">gr(calculs!AG192)</f>
        <v>#NAME?</v>
      </c>
      <c r="J192" s="523" t="e">
        <f ca="1">gr(calculs!AM192)</f>
        <v>#NAME?</v>
      </c>
      <c r="K192" s="523" t="e">
        <f ca="1">gr(calculs!AR192)</f>
        <v>#NAME?</v>
      </c>
    </row>
    <row r="193" spans="1:11" x14ac:dyDescent="0.2">
      <c r="A193" s="222">
        <f>calculs!A193</f>
        <v>44744</v>
      </c>
      <c r="B193" s="523" t="e">
        <f ca="1">gr(calculs!X193)</f>
        <v>#NAME?</v>
      </c>
      <c r="C193" s="523" t="e">
        <f ca="1">gr(calculs!AD193)</f>
        <v>#NAME?</v>
      </c>
      <c r="D193" s="523" t="e">
        <f ca="1">gr(calculs!AJ193)</f>
        <v>#NAME?</v>
      </c>
      <c r="E193" s="523" t="e">
        <f ca="1">gr(calculs!AP193)</f>
        <v>#NAME?</v>
      </c>
      <c r="F193" s="523" t="e">
        <f ca="1">gr(calculs!AQ193)</f>
        <v>#NAME?</v>
      </c>
      <c r="G193" s="523" t="e">
        <f ca="1">gr(calculs!U193)</f>
        <v>#NAME?</v>
      </c>
      <c r="H193" s="523" t="e">
        <f ca="1">gr(calculs!AA193)</f>
        <v>#NAME?</v>
      </c>
      <c r="I193" s="523" t="e">
        <f ca="1">gr(calculs!AG193)</f>
        <v>#NAME?</v>
      </c>
      <c r="J193" s="523" t="e">
        <f ca="1">gr(calculs!AM193)</f>
        <v>#NAME?</v>
      </c>
      <c r="K193" s="523" t="e">
        <f ca="1">gr(calculs!AR193)</f>
        <v>#NAME?</v>
      </c>
    </row>
    <row r="194" spans="1:11" x14ac:dyDescent="0.2">
      <c r="A194" s="222">
        <f>calculs!A194</f>
        <v>44745</v>
      </c>
      <c r="B194" s="523" t="e">
        <f ca="1">gr(calculs!X194)</f>
        <v>#NAME?</v>
      </c>
      <c r="C194" s="523" t="e">
        <f ca="1">gr(calculs!AD194)</f>
        <v>#NAME?</v>
      </c>
      <c r="D194" s="523" t="e">
        <f ca="1">gr(calculs!AJ194)</f>
        <v>#NAME?</v>
      </c>
      <c r="E194" s="523" t="e">
        <f ca="1">gr(calculs!AP194)</f>
        <v>#NAME?</v>
      </c>
      <c r="F194" s="523" t="e">
        <f ca="1">gr(calculs!AQ194)</f>
        <v>#NAME?</v>
      </c>
      <c r="G194" s="523" t="e">
        <f ca="1">gr(calculs!U194)</f>
        <v>#NAME?</v>
      </c>
      <c r="H194" s="523" t="e">
        <f ca="1">gr(calculs!AA194)</f>
        <v>#NAME?</v>
      </c>
      <c r="I194" s="523" t="e">
        <f ca="1">gr(calculs!AG194)</f>
        <v>#NAME?</v>
      </c>
      <c r="J194" s="523" t="e">
        <f ca="1">gr(calculs!AM194)</f>
        <v>#NAME?</v>
      </c>
      <c r="K194" s="523" t="e">
        <f ca="1">gr(calculs!AR194)</f>
        <v>#NAME?</v>
      </c>
    </row>
    <row r="195" spans="1:11" x14ac:dyDescent="0.2">
      <c r="A195" s="222">
        <f>calculs!A195</f>
        <v>44746</v>
      </c>
      <c r="B195" s="523" t="e">
        <f ca="1">gr(calculs!X195)</f>
        <v>#NAME?</v>
      </c>
      <c r="C195" s="523" t="e">
        <f ca="1">gr(calculs!AD195)</f>
        <v>#NAME?</v>
      </c>
      <c r="D195" s="523" t="e">
        <f ca="1">gr(calculs!AJ195)</f>
        <v>#NAME?</v>
      </c>
      <c r="E195" s="523" t="e">
        <f ca="1">gr(calculs!AP195)</f>
        <v>#NAME?</v>
      </c>
      <c r="F195" s="523" t="e">
        <f ca="1">gr(calculs!AQ195)</f>
        <v>#NAME?</v>
      </c>
      <c r="G195" s="523" t="e">
        <f ca="1">gr(calculs!U195)</f>
        <v>#NAME?</v>
      </c>
      <c r="H195" s="523" t="e">
        <f ca="1">gr(calculs!AA195)</f>
        <v>#NAME?</v>
      </c>
      <c r="I195" s="523" t="e">
        <f ca="1">gr(calculs!AG195)</f>
        <v>#NAME?</v>
      </c>
      <c r="J195" s="523" t="e">
        <f ca="1">gr(calculs!AM195)</f>
        <v>#NAME?</v>
      </c>
      <c r="K195" s="523" t="e">
        <f ca="1">gr(calculs!AR195)</f>
        <v>#NAME?</v>
      </c>
    </row>
    <row r="196" spans="1:11" x14ac:dyDescent="0.2">
      <c r="A196" s="222">
        <f>calculs!A196</f>
        <v>44747</v>
      </c>
      <c r="B196" s="523" t="e">
        <f ca="1">gr(calculs!X196)</f>
        <v>#NAME?</v>
      </c>
      <c r="C196" s="523" t="e">
        <f ca="1">gr(calculs!AD196)</f>
        <v>#NAME?</v>
      </c>
      <c r="D196" s="523" t="e">
        <f ca="1">gr(calculs!AJ196)</f>
        <v>#NAME?</v>
      </c>
      <c r="E196" s="523" t="e">
        <f ca="1">gr(calculs!AP196)</f>
        <v>#NAME?</v>
      </c>
      <c r="F196" s="523" t="e">
        <f ca="1">gr(calculs!AQ196)</f>
        <v>#NAME?</v>
      </c>
      <c r="G196" s="523" t="e">
        <f ca="1">gr(calculs!U196)</f>
        <v>#NAME?</v>
      </c>
      <c r="H196" s="523" t="e">
        <f ca="1">gr(calculs!AA196)</f>
        <v>#NAME?</v>
      </c>
      <c r="I196" s="523" t="e">
        <f ca="1">gr(calculs!AG196)</f>
        <v>#NAME?</v>
      </c>
      <c r="J196" s="523" t="e">
        <f ca="1">gr(calculs!AM196)</f>
        <v>#NAME?</v>
      </c>
      <c r="K196" s="523" t="e">
        <f ca="1">gr(calculs!AR196)</f>
        <v>#NAME?</v>
      </c>
    </row>
    <row r="197" spans="1:11" x14ac:dyDescent="0.2">
      <c r="A197" s="222">
        <f>calculs!A197</f>
        <v>44748</v>
      </c>
      <c r="B197" s="523" t="e">
        <f ca="1">gr(calculs!X197)</f>
        <v>#NAME?</v>
      </c>
      <c r="C197" s="523" t="e">
        <f ca="1">gr(calculs!AD197)</f>
        <v>#NAME?</v>
      </c>
      <c r="D197" s="523" t="e">
        <f ca="1">gr(calculs!AJ197)</f>
        <v>#NAME?</v>
      </c>
      <c r="E197" s="523" t="e">
        <f ca="1">gr(calculs!AP197)</f>
        <v>#NAME?</v>
      </c>
      <c r="F197" s="523" t="e">
        <f ca="1">gr(calculs!AQ197)</f>
        <v>#NAME?</v>
      </c>
      <c r="G197" s="523" t="e">
        <f ca="1">gr(calculs!U197)</f>
        <v>#NAME?</v>
      </c>
      <c r="H197" s="523" t="e">
        <f ca="1">gr(calculs!AA197)</f>
        <v>#NAME?</v>
      </c>
      <c r="I197" s="523" t="e">
        <f ca="1">gr(calculs!AG197)</f>
        <v>#NAME?</v>
      </c>
      <c r="J197" s="523" t="e">
        <f ca="1">gr(calculs!AM197)</f>
        <v>#NAME?</v>
      </c>
      <c r="K197" s="523" t="e">
        <f ca="1">gr(calculs!AR197)</f>
        <v>#NAME?</v>
      </c>
    </row>
    <row r="198" spans="1:11" x14ac:dyDescent="0.2">
      <c r="A198" s="222">
        <f>calculs!A198</f>
        <v>44749</v>
      </c>
      <c r="B198" s="523" t="e">
        <f ca="1">gr(calculs!X198)</f>
        <v>#NAME?</v>
      </c>
      <c r="C198" s="523" t="e">
        <f ca="1">gr(calculs!AD198)</f>
        <v>#NAME?</v>
      </c>
      <c r="D198" s="523" t="e">
        <f ca="1">gr(calculs!AJ198)</f>
        <v>#NAME?</v>
      </c>
      <c r="E198" s="523" t="e">
        <f ca="1">gr(calculs!AP198)</f>
        <v>#NAME?</v>
      </c>
      <c r="F198" s="523" t="e">
        <f ca="1">gr(calculs!AQ198)</f>
        <v>#NAME?</v>
      </c>
      <c r="G198" s="523" t="e">
        <f ca="1">gr(calculs!U198)</f>
        <v>#NAME?</v>
      </c>
      <c r="H198" s="523" t="e">
        <f ca="1">gr(calculs!AA198)</f>
        <v>#NAME?</v>
      </c>
      <c r="I198" s="523" t="e">
        <f ca="1">gr(calculs!AG198)</f>
        <v>#NAME?</v>
      </c>
      <c r="J198" s="523" t="e">
        <f ca="1">gr(calculs!AM198)</f>
        <v>#NAME?</v>
      </c>
      <c r="K198" s="523" t="e">
        <f ca="1">gr(calculs!AR198)</f>
        <v>#NAME?</v>
      </c>
    </row>
    <row r="199" spans="1:11" x14ac:dyDescent="0.2">
      <c r="A199" s="222">
        <f>calculs!A199</f>
        <v>44750</v>
      </c>
      <c r="B199" s="523" t="e">
        <f ca="1">gr(calculs!X199)</f>
        <v>#NAME?</v>
      </c>
      <c r="C199" s="523" t="e">
        <f ca="1">gr(calculs!AD199)</f>
        <v>#NAME?</v>
      </c>
      <c r="D199" s="523" t="e">
        <f ca="1">gr(calculs!AJ199)</f>
        <v>#NAME?</v>
      </c>
      <c r="E199" s="523" t="e">
        <f ca="1">gr(calculs!AP199)</f>
        <v>#NAME?</v>
      </c>
      <c r="F199" s="523" t="e">
        <f ca="1">gr(calculs!AQ199)</f>
        <v>#NAME?</v>
      </c>
      <c r="G199" s="523" t="e">
        <f ca="1">gr(calculs!U199)</f>
        <v>#NAME?</v>
      </c>
      <c r="H199" s="523" t="e">
        <f ca="1">gr(calculs!AA199)</f>
        <v>#NAME?</v>
      </c>
      <c r="I199" s="523" t="e">
        <f ca="1">gr(calculs!AG199)</f>
        <v>#NAME?</v>
      </c>
      <c r="J199" s="523" t="e">
        <f ca="1">gr(calculs!AM199)</f>
        <v>#NAME?</v>
      </c>
      <c r="K199" s="523" t="e">
        <f ca="1">gr(calculs!AR199)</f>
        <v>#NAME?</v>
      </c>
    </row>
    <row r="200" spans="1:11" x14ac:dyDescent="0.2">
      <c r="A200" s="222">
        <f>calculs!A200</f>
        <v>44751</v>
      </c>
      <c r="B200" s="523" t="e">
        <f ca="1">gr(calculs!X200)</f>
        <v>#NAME?</v>
      </c>
      <c r="C200" s="523" t="e">
        <f ca="1">gr(calculs!AD200)</f>
        <v>#NAME?</v>
      </c>
      <c r="D200" s="523" t="e">
        <f ca="1">gr(calculs!AJ200)</f>
        <v>#NAME?</v>
      </c>
      <c r="E200" s="523" t="e">
        <f ca="1">gr(calculs!AP200)</f>
        <v>#NAME?</v>
      </c>
      <c r="F200" s="523" t="e">
        <f ca="1">gr(calculs!AQ200)</f>
        <v>#NAME?</v>
      </c>
      <c r="G200" s="523" t="e">
        <f ca="1">gr(calculs!U200)</f>
        <v>#NAME?</v>
      </c>
      <c r="H200" s="523" t="e">
        <f ca="1">gr(calculs!AA200)</f>
        <v>#NAME?</v>
      </c>
      <c r="I200" s="523" t="e">
        <f ca="1">gr(calculs!AG200)</f>
        <v>#NAME?</v>
      </c>
      <c r="J200" s="523" t="e">
        <f ca="1">gr(calculs!AM200)</f>
        <v>#NAME?</v>
      </c>
      <c r="K200" s="523" t="e">
        <f ca="1">gr(calculs!AR200)</f>
        <v>#NAME?</v>
      </c>
    </row>
    <row r="201" spans="1:11" x14ac:dyDescent="0.2">
      <c r="A201" s="222">
        <f>calculs!A201</f>
        <v>44752</v>
      </c>
      <c r="B201" s="523" t="e">
        <f ca="1">gr(calculs!X201)</f>
        <v>#NAME?</v>
      </c>
      <c r="C201" s="523" t="e">
        <f ca="1">gr(calculs!AD201)</f>
        <v>#NAME?</v>
      </c>
      <c r="D201" s="523" t="e">
        <f ca="1">gr(calculs!AJ201)</f>
        <v>#NAME?</v>
      </c>
      <c r="E201" s="523" t="e">
        <f ca="1">gr(calculs!AP201)</f>
        <v>#NAME?</v>
      </c>
      <c r="F201" s="523" t="e">
        <f ca="1">gr(calculs!AQ201)</f>
        <v>#NAME?</v>
      </c>
      <c r="G201" s="523" t="e">
        <f ca="1">gr(calculs!U201)</f>
        <v>#NAME?</v>
      </c>
      <c r="H201" s="523" t="e">
        <f ca="1">gr(calculs!AA201)</f>
        <v>#NAME?</v>
      </c>
      <c r="I201" s="523" t="e">
        <f ca="1">gr(calculs!AG201)</f>
        <v>#NAME?</v>
      </c>
      <c r="J201" s="523" t="e">
        <f ca="1">gr(calculs!AM201)</f>
        <v>#NAME?</v>
      </c>
      <c r="K201" s="523" t="e">
        <f ca="1">gr(calculs!AR201)</f>
        <v>#NAME?</v>
      </c>
    </row>
    <row r="202" spans="1:11" x14ac:dyDescent="0.2">
      <c r="A202" s="222">
        <f>calculs!A202</f>
        <v>44753</v>
      </c>
      <c r="B202" s="523" t="e">
        <f ca="1">gr(calculs!X202)</f>
        <v>#NAME?</v>
      </c>
      <c r="C202" s="523" t="e">
        <f ca="1">gr(calculs!AD202)</f>
        <v>#NAME?</v>
      </c>
      <c r="D202" s="523" t="e">
        <f ca="1">gr(calculs!AJ202)</f>
        <v>#NAME?</v>
      </c>
      <c r="E202" s="523" t="e">
        <f ca="1">gr(calculs!AP202)</f>
        <v>#NAME?</v>
      </c>
      <c r="F202" s="523" t="e">
        <f ca="1">gr(calculs!AQ202)</f>
        <v>#NAME?</v>
      </c>
      <c r="G202" s="523" t="e">
        <f ca="1">gr(calculs!U202)</f>
        <v>#NAME?</v>
      </c>
      <c r="H202" s="523" t="e">
        <f ca="1">gr(calculs!AA202)</f>
        <v>#NAME?</v>
      </c>
      <c r="I202" s="523" t="e">
        <f ca="1">gr(calculs!AG202)</f>
        <v>#NAME?</v>
      </c>
      <c r="J202" s="523" t="e">
        <f ca="1">gr(calculs!AM202)</f>
        <v>#NAME?</v>
      </c>
      <c r="K202" s="523" t="e">
        <f ca="1">gr(calculs!AR202)</f>
        <v>#NAME?</v>
      </c>
    </row>
    <row r="203" spans="1:11" x14ac:dyDescent="0.2">
      <c r="A203" s="222">
        <f>calculs!A203</f>
        <v>44754</v>
      </c>
      <c r="B203" s="523" t="e">
        <f ca="1">gr(calculs!X203)</f>
        <v>#NAME?</v>
      </c>
      <c r="C203" s="523" t="e">
        <f ca="1">gr(calculs!AD203)</f>
        <v>#NAME?</v>
      </c>
      <c r="D203" s="523" t="e">
        <f ca="1">gr(calculs!AJ203)</f>
        <v>#NAME?</v>
      </c>
      <c r="E203" s="523" t="e">
        <f ca="1">gr(calculs!AP203)</f>
        <v>#NAME?</v>
      </c>
      <c r="F203" s="523" t="e">
        <f ca="1">gr(calculs!AQ203)</f>
        <v>#NAME?</v>
      </c>
      <c r="G203" s="523" t="e">
        <f ca="1">gr(calculs!U203)</f>
        <v>#NAME?</v>
      </c>
      <c r="H203" s="523" t="e">
        <f ca="1">gr(calculs!AA203)</f>
        <v>#NAME?</v>
      </c>
      <c r="I203" s="523" t="e">
        <f ca="1">gr(calculs!AG203)</f>
        <v>#NAME?</v>
      </c>
      <c r="J203" s="523" t="e">
        <f ca="1">gr(calculs!AM203)</f>
        <v>#NAME?</v>
      </c>
      <c r="K203" s="523" t="e">
        <f ca="1">gr(calculs!AR203)</f>
        <v>#NAME?</v>
      </c>
    </row>
    <row r="204" spans="1:11" x14ac:dyDescent="0.2">
      <c r="A204" s="222">
        <f>calculs!A204</f>
        <v>44755</v>
      </c>
      <c r="B204" s="523" t="e">
        <f ca="1">gr(calculs!X204)</f>
        <v>#NAME?</v>
      </c>
      <c r="C204" s="523" t="e">
        <f ca="1">gr(calculs!AD204)</f>
        <v>#NAME?</v>
      </c>
      <c r="D204" s="523" t="e">
        <f ca="1">gr(calculs!AJ204)</f>
        <v>#NAME?</v>
      </c>
      <c r="E204" s="523" t="e">
        <f ca="1">gr(calculs!AP204)</f>
        <v>#NAME?</v>
      </c>
      <c r="F204" s="523" t="e">
        <f ca="1">gr(calculs!AQ204)</f>
        <v>#NAME?</v>
      </c>
      <c r="G204" s="523" t="e">
        <f ca="1">gr(calculs!U204)</f>
        <v>#NAME?</v>
      </c>
      <c r="H204" s="523" t="e">
        <f ca="1">gr(calculs!AA204)</f>
        <v>#NAME?</v>
      </c>
      <c r="I204" s="523" t="e">
        <f ca="1">gr(calculs!AG204)</f>
        <v>#NAME?</v>
      </c>
      <c r="J204" s="523" t="e">
        <f ca="1">gr(calculs!AM204)</f>
        <v>#NAME?</v>
      </c>
      <c r="K204" s="523" t="e">
        <f ca="1">gr(calculs!AR204)</f>
        <v>#NAME?</v>
      </c>
    </row>
    <row r="205" spans="1:11" x14ac:dyDescent="0.2">
      <c r="A205" s="222">
        <f>calculs!A205</f>
        <v>44756</v>
      </c>
      <c r="B205" s="523" t="e">
        <f ca="1">gr(calculs!X205)</f>
        <v>#NAME?</v>
      </c>
      <c r="C205" s="523" t="e">
        <f ca="1">gr(calculs!AD205)</f>
        <v>#NAME?</v>
      </c>
      <c r="D205" s="523" t="e">
        <f ca="1">gr(calculs!AJ205)</f>
        <v>#NAME?</v>
      </c>
      <c r="E205" s="523" t="e">
        <f ca="1">gr(calculs!AP205)</f>
        <v>#NAME?</v>
      </c>
      <c r="F205" s="523" t="e">
        <f ca="1">gr(calculs!AQ205)</f>
        <v>#NAME?</v>
      </c>
      <c r="G205" s="523" t="e">
        <f ca="1">gr(calculs!U205)</f>
        <v>#NAME?</v>
      </c>
      <c r="H205" s="523" t="e">
        <f ca="1">gr(calculs!AA205)</f>
        <v>#NAME?</v>
      </c>
      <c r="I205" s="523" t="e">
        <f ca="1">gr(calculs!AG205)</f>
        <v>#NAME?</v>
      </c>
      <c r="J205" s="523" t="e">
        <f ca="1">gr(calculs!AM205)</f>
        <v>#NAME?</v>
      </c>
      <c r="K205" s="523" t="e">
        <f ca="1">gr(calculs!AR205)</f>
        <v>#NAME?</v>
      </c>
    </row>
    <row r="206" spans="1:11" x14ac:dyDescent="0.2">
      <c r="A206" s="222">
        <f>calculs!A206</f>
        <v>44757</v>
      </c>
      <c r="B206" s="523" t="e">
        <f ca="1">gr(calculs!X206)</f>
        <v>#NAME?</v>
      </c>
      <c r="C206" s="523" t="e">
        <f ca="1">gr(calculs!AD206)</f>
        <v>#NAME?</v>
      </c>
      <c r="D206" s="523" t="e">
        <f ca="1">gr(calculs!AJ206)</f>
        <v>#NAME?</v>
      </c>
      <c r="E206" s="523" t="e">
        <f ca="1">gr(calculs!AP206)</f>
        <v>#NAME?</v>
      </c>
      <c r="F206" s="523" t="e">
        <f ca="1">gr(calculs!AQ206)</f>
        <v>#NAME?</v>
      </c>
      <c r="G206" s="523" t="e">
        <f ca="1">gr(calculs!U206)</f>
        <v>#NAME?</v>
      </c>
      <c r="H206" s="523" t="e">
        <f ca="1">gr(calculs!AA206)</f>
        <v>#NAME?</v>
      </c>
      <c r="I206" s="523" t="e">
        <f ca="1">gr(calculs!AG206)</f>
        <v>#NAME?</v>
      </c>
      <c r="J206" s="523" t="e">
        <f ca="1">gr(calculs!AM206)</f>
        <v>#NAME?</v>
      </c>
      <c r="K206" s="523" t="e">
        <f ca="1">gr(calculs!AR206)</f>
        <v>#NAME?</v>
      </c>
    </row>
    <row r="207" spans="1:11" x14ac:dyDescent="0.2">
      <c r="A207" s="222">
        <f>calculs!A207</f>
        <v>44758</v>
      </c>
      <c r="B207" s="523" t="e">
        <f ca="1">gr(calculs!X207)</f>
        <v>#NAME?</v>
      </c>
      <c r="C207" s="523" t="e">
        <f ca="1">gr(calculs!AD207)</f>
        <v>#NAME?</v>
      </c>
      <c r="D207" s="523" t="e">
        <f ca="1">gr(calculs!AJ207)</f>
        <v>#NAME?</v>
      </c>
      <c r="E207" s="523" t="e">
        <f ca="1">gr(calculs!AP207)</f>
        <v>#NAME?</v>
      </c>
      <c r="F207" s="523" t="e">
        <f ca="1">gr(calculs!AQ207)</f>
        <v>#NAME?</v>
      </c>
      <c r="G207" s="523" t="e">
        <f ca="1">gr(calculs!U207)</f>
        <v>#NAME?</v>
      </c>
      <c r="H207" s="523" t="e">
        <f ca="1">gr(calculs!AA207)</f>
        <v>#NAME?</v>
      </c>
      <c r="I207" s="523" t="e">
        <f ca="1">gr(calculs!AG207)</f>
        <v>#NAME?</v>
      </c>
      <c r="J207" s="523" t="e">
        <f ca="1">gr(calculs!AM207)</f>
        <v>#NAME?</v>
      </c>
      <c r="K207" s="523" t="e">
        <f ca="1">gr(calculs!AR207)</f>
        <v>#NAME?</v>
      </c>
    </row>
    <row r="208" spans="1:11" x14ac:dyDescent="0.2">
      <c r="A208" s="222">
        <f>calculs!A208</f>
        <v>44759</v>
      </c>
      <c r="B208" s="523" t="e">
        <f ca="1">gr(calculs!X208)</f>
        <v>#NAME?</v>
      </c>
      <c r="C208" s="523" t="e">
        <f ca="1">gr(calculs!AD208)</f>
        <v>#NAME?</v>
      </c>
      <c r="D208" s="523" t="e">
        <f ca="1">gr(calculs!AJ208)</f>
        <v>#NAME?</v>
      </c>
      <c r="E208" s="523" t="e">
        <f ca="1">gr(calculs!AP208)</f>
        <v>#NAME?</v>
      </c>
      <c r="F208" s="523" t="e">
        <f ca="1">gr(calculs!AQ208)</f>
        <v>#NAME?</v>
      </c>
      <c r="G208" s="523" t="e">
        <f ca="1">gr(calculs!U208)</f>
        <v>#NAME?</v>
      </c>
      <c r="H208" s="523" t="e">
        <f ca="1">gr(calculs!AA208)</f>
        <v>#NAME?</v>
      </c>
      <c r="I208" s="523" t="e">
        <f ca="1">gr(calculs!AG208)</f>
        <v>#NAME?</v>
      </c>
      <c r="J208" s="523" t="e">
        <f ca="1">gr(calculs!AM208)</f>
        <v>#NAME?</v>
      </c>
      <c r="K208" s="523" t="e">
        <f ca="1">gr(calculs!AR208)</f>
        <v>#NAME?</v>
      </c>
    </row>
    <row r="209" spans="1:11" x14ac:dyDescent="0.2">
      <c r="A209" s="222">
        <f>calculs!A209</f>
        <v>44760</v>
      </c>
      <c r="B209" s="523" t="e">
        <f ca="1">gr(calculs!X209)</f>
        <v>#NAME?</v>
      </c>
      <c r="C209" s="523" t="e">
        <f ca="1">gr(calculs!AD209)</f>
        <v>#NAME?</v>
      </c>
      <c r="D209" s="523" t="e">
        <f ca="1">gr(calculs!AJ209)</f>
        <v>#NAME?</v>
      </c>
      <c r="E209" s="523" t="e">
        <f ca="1">gr(calculs!AP209)</f>
        <v>#NAME?</v>
      </c>
      <c r="F209" s="523" t="e">
        <f ca="1">gr(calculs!AQ209)</f>
        <v>#NAME?</v>
      </c>
      <c r="G209" s="523" t="e">
        <f ca="1">gr(calculs!U209)</f>
        <v>#NAME?</v>
      </c>
      <c r="H209" s="523" t="e">
        <f ca="1">gr(calculs!AA209)</f>
        <v>#NAME?</v>
      </c>
      <c r="I209" s="523" t="e">
        <f ca="1">gr(calculs!AG209)</f>
        <v>#NAME?</v>
      </c>
      <c r="J209" s="523" t="e">
        <f ca="1">gr(calculs!AM209)</f>
        <v>#NAME?</v>
      </c>
      <c r="K209" s="523" t="e">
        <f ca="1">gr(calculs!AR209)</f>
        <v>#NAME?</v>
      </c>
    </row>
    <row r="210" spans="1:11" x14ac:dyDescent="0.2">
      <c r="A210" s="222">
        <f>calculs!A210</f>
        <v>44761</v>
      </c>
      <c r="B210" s="523" t="e">
        <f ca="1">gr(calculs!X210)</f>
        <v>#NAME?</v>
      </c>
      <c r="C210" s="523" t="e">
        <f ca="1">gr(calculs!AD210)</f>
        <v>#NAME?</v>
      </c>
      <c r="D210" s="523" t="e">
        <f ca="1">gr(calculs!AJ210)</f>
        <v>#NAME?</v>
      </c>
      <c r="E210" s="523" t="e">
        <f ca="1">gr(calculs!AP210)</f>
        <v>#NAME?</v>
      </c>
      <c r="F210" s="523" t="e">
        <f ca="1">gr(calculs!AQ210)</f>
        <v>#NAME?</v>
      </c>
      <c r="G210" s="523" t="e">
        <f ca="1">gr(calculs!U210)</f>
        <v>#NAME?</v>
      </c>
      <c r="H210" s="523" t="e">
        <f ca="1">gr(calculs!AA210)</f>
        <v>#NAME?</v>
      </c>
      <c r="I210" s="523" t="e">
        <f ca="1">gr(calculs!AG210)</f>
        <v>#NAME?</v>
      </c>
      <c r="J210" s="523" t="e">
        <f ca="1">gr(calculs!AM210)</f>
        <v>#NAME?</v>
      </c>
      <c r="K210" s="523" t="e">
        <f ca="1">gr(calculs!AR210)</f>
        <v>#NAME?</v>
      </c>
    </row>
    <row r="211" spans="1:11" x14ac:dyDescent="0.2">
      <c r="A211" s="222">
        <f>calculs!A211</f>
        <v>44762</v>
      </c>
      <c r="B211" s="523" t="e">
        <f ca="1">gr(calculs!X211)</f>
        <v>#NAME?</v>
      </c>
      <c r="C211" s="523" t="e">
        <f ca="1">gr(calculs!AD211)</f>
        <v>#NAME?</v>
      </c>
      <c r="D211" s="523" t="e">
        <f ca="1">gr(calculs!AJ211)</f>
        <v>#NAME?</v>
      </c>
      <c r="E211" s="523" t="e">
        <f ca="1">gr(calculs!AP211)</f>
        <v>#NAME?</v>
      </c>
      <c r="F211" s="523" t="e">
        <f ca="1">gr(calculs!AQ211)</f>
        <v>#NAME?</v>
      </c>
      <c r="G211" s="523" t="e">
        <f ca="1">gr(calculs!U211)</f>
        <v>#NAME?</v>
      </c>
      <c r="H211" s="523" t="e">
        <f ca="1">gr(calculs!AA211)</f>
        <v>#NAME?</v>
      </c>
      <c r="I211" s="523" t="e">
        <f ca="1">gr(calculs!AG211)</f>
        <v>#NAME?</v>
      </c>
      <c r="J211" s="523" t="e">
        <f ca="1">gr(calculs!AM211)</f>
        <v>#NAME?</v>
      </c>
      <c r="K211" s="523" t="e">
        <f ca="1">gr(calculs!AR211)</f>
        <v>#NAME?</v>
      </c>
    </row>
    <row r="212" spans="1:11" x14ac:dyDescent="0.2">
      <c r="A212" s="222">
        <f>calculs!A212</f>
        <v>44763</v>
      </c>
      <c r="B212" s="523" t="e">
        <f ca="1">gr(calculs!X212)</f>
        <v>#NAME?</v>
      </c>
      <c r="C212" s="523" t="e">
        <f ca="1">gr(calculs!AD212)</f>
        <v>#NAME?</v>
      </c>
      <c r="D212" s="523" t="e">
        <f ca="1">gr(calculs!AJ212)</f>
        <v>#NAME?</v>
      </c>
      <c r="E212" s="523" t="e">
        <f ca="1">gr(calculs!AP212)</f>
        <v>#NAME?</v>
      </c>
      <c r="F212" s="523" t="e">
        <f ca="1">gr(calculs!AQ212)</f>
        <v>#NAME?</v>
      </c>
      <c r="G212" s="523" t="e">
        <f ca="1">gr(calculs!U212)</f>
        <v>#NAME?</v>
      </c>
      <c r="H212" s="523" t="e">
        <f ca="1">gr(calculs!AA212)</f>
        <v>#NAME?</v>
      </c>
      <c r="I212" s="523" t="e">
        <f ca="1">gr(calculs!AG212)</f>
        <v>#NAME?</v>
      </c>
      <c r="J212" s="523" t="e">
        <f ca="1">gr(calculs!AM212)</f>
        <v>#NAME?</v>
      </c>
      <c r="K212" s="523" t="e">
        <f ca="1">gr(calculs!AR212)</f>
        <v>#NAME?</v>
      </c>
    </row>
    <row r="213" spans="1:11" x14ac:dyDescent="0.2">
      <c r="A213" s="222">
        <f>calculs!A213</f>
        <v>44764</v>
      </c>
      <c r="B213" s="523" t="e">
        <f ca="1">gr(calculs!X213)</f>
        <v>#NAME?</v>
      </c>
      <c r="C213" s="523" t="e">
        <f ca="1">gr(calculs!AD213)</f>
        <v>#NAME?</v>
      </c>
      <c r="D213" s="523" t="e">
        <f ca="1">gr(calculs!AJ213)</f>
        <v>#NAME?</v>
      </c>
      <c r="E213" s="523" t="e">
        <f ca="1">gr(calculs!AP213)</f>
        <v>#NAME?</v>
      </c>
      <c r="F213" s="523" t="e">
        <f ca="1">gr(calculs!AQ213)</f>
        <v>#NAME?</v>
      </c>
      <c r="G213" s="523" t="e">
        <f ca="1">gr(calculs!U213)</f>
        <v>#NAME?</v>
      </c>
      <c r="H213" s="523" t="e">
        <f ca="1">gr(calculs!AA213)</f>
        <v>#NAME?</v>
      </c>
      <c r="I213" s="523" t="e">
        <f ca="1">gr(calculs!AG213)</f>
        <v>#NAME?</v>
      </c>
      <c r="J213" s="523" t="e">
        <f ca="1">gr(calculs!AM213)</f>
        <v>#NAME?</v>
      </c>
      <c r="K213" s="523" t="e">
        <f ca="1">gr(calculs!AR213)</f>
        <v>#NAME?</v>
      </c>
    </row>
    <row r="214" spans="1:11" x14ac:dyDescent="0.2">
      <c r="A214" s="222">
        <f>calculs!A214</f>
        <v>44765</v>
      </c>
      <c r="B214" s="523" t="e">
        <f ca="1">gr(calculs!X214)</f>
        <v>#NAME?</v>
      </c>
      <c r="C214" s="523" t="e">
        <f ca="1">gr(calculs!AD214)</f>
        <v>#NAME?</v>
      </c>
      <c r="D214" s="523" t="e">
        <f ca="1">gr(calculs!AJ214)</f>
        <v>#NAME?</v>
      </c>
      <c r="E214" s="523" t="e">
        <f ca="1">gr(calculs!AP214)</f>
        <v>#NAME?</v>
      </c>
      <c r="F214" s="523" t="e">
        <f ca="1">gr(calculs!AQ214)</f>
        <v>#NAME?</v>
      </c>
      <c r="G214" s="523" t="e">
        <f ca="1">gr(calculs!U214)</f>
        <v>#NAME?</v>
      </c>
      <c r="H214" s="523" t="e">
        <f ca="1">gr(calculs!AA214)</f>
        <v>#NAME?</v>
      </c>
      <c r="I214" s="523" t="e">
        <f ca="1">gr(calculs!AG214)</f>
        <v>#NAME?</v>
      </c>
      <c r="J214" s="523" t="e">
        <f ca="1">gr(calculs!AM214)</f>
        <v>#NAME?</v>
      </c>
      <c r="K214" s="523" t="e">
        <f ca="1">gr(calculs!AR214)</f>
        <v>#NAME?</v>
      </c>
    </row>
    <row r="215" spans="1:11" x14ac:dyDescent="0.2">
      <c r="A215" s="222">
        <f>calculs!A215</f>
        <v>44766</v>
      </c>
      <c r="B215" s="523" t="e">
        <f ca="1">gr(calculs!X215)</f>
        <v>#NAME?</v>
      </c>
      <c r="C215" s="523" t="e">
        <f ca="1">gr(calculs!AD215)</f>
        <v>#NAME?</v>
      </c>
      <c r="D215" s="523" t="e">
        <f ca="1">gr(calculs!AJ215)</f>
        <v>#NAME?</v>
      </c>
      <c r="E215" s="523" t="e">
        <f ca="1">gr(calculs!AP215)</f>
        <v>#NAME?</v>
      </c>
      <c r="F215" s="523" t="e">
        <f ca="1">gr(calculs!AQ215)</f>
        <v>#NAME?</v>
      </c>
      <c r="G215" s="523" t="e">
        <f ca="1">gr(calculs!U215)</f>
        <v>#NAME?</v>
      </c>
      <c r="H215" s="523" t="e">
        <f ca="1">gr(calculs!AA215)</f>
        <v>#NAME?</v>
      </c>
      <c r="I215" s="523" t="e">
        <f ca="1">gr(calculs!AG215)</f>
        <v>#NAME?</v>
      </c>
      <c r="J215" s="523" t="e">
        <f ca="1">gr(calculs!AM215)</f>
        <v>#NAME?</v>
      </c>
      <c r="K215" s="523" t="e">
        <f ca="1">gr(calculs!AR215)</f>
        <v>#NAME?</v>
      </c>
    </row>
    <row r="216" spans="1:11" x14ac:dyDescent="0.2">
      <c r="A216" s="222">
        <f>calculs!A216</f>
        <v>44767</v>
      </c>
      <c r="B216" s="523" t="e">
        <f ca="1">gr(calculs!X216)</f>
        <v>#NAME?</v>
      </c>
      <c r="C216" s="523" t="e">
        <f ca="1">gr(calculs!AD216)</f>
        <v>#NAME?</v>
      </c>
      <c r="D216" s="523" t="e">
        <f ca="1">gr(calculs!AJ216)</f>
        <v>#NAME?</v>
      </c>
      <c r="E216" s="523" t="e">
        <f ca="1">gr(calculs!AP216)</f>
        <v>#NAME?</v>
      </c>
      <c r="F216" s="523" t="e">
        <f ca="1">gr(calculs!AQ216)</f>
        <v>#NAME?</v>
      </c>
      <c r="G216" s="523" t="e">
        <f ca="1">gr(calculs!U216)</f>
        <v>#NAME?</v>
      </c>
      <c r="H216" s="523" t="e">
        <f ca="1">gr(calculs!AA216)</f>
        <v>#NAME?</v>
      </c>
      <c r="I216" s="523" t="e">
        <f ca="1">gr(calculs!AG216)</f>
        <v>#NAME?</v>
      </c>
      <c r="J216" s="523" t="e">
        <f ca="1">gr(calculs!AM216)</f>
        <v>#NAME?</v>
      </c>
      <c r="K216" s="523" t="e">
        <f ca="1">gr(calculs!AR216)</f>
        <v>#NAME?</v>
      </c>
    </row>
    <row r="217" spans="1:11" x14ac:dyDescent="0.2">
      <c r="A217" s="222">
        <f>calculs!A217</f>
        <v>44768</v>
      </c>
      <c r="B217" s="523" t="e">
        <f ca="1">gr(calculs!X217)</f>
        <v>#NAME?</v>
      </c>
      <c r="C217" s="523" t="e">
        <f ca="1">gr(calculs!AD217)</f>
        <v>#NAME?</v>
      </c>
      <c r="D217" s="523" t="e">
        <f ca="1">gr(calculs!AJ217)</f>
        <v>#NAME?</v>
      </c>
      <c r="E217" s="523" t="e">
        <f ca="1">gr(calculs!AP217)</f>
        <v>#NAME?</v>
      </c>
      <c r="F217" s="523" t="e">
        <f ca="1">gr(calculs!AQ217)</f>
        <v>#NAME?</v>
      </c>
      <c r="G217" s="523" t="e">
        <f ca="1">gr(calculs!U217)</f>
        <v>#NAME?</v>
      </c>
      <c r="H217" s="523" t="e">
        <f ca="1">gr(calculs!AA217)</f>
        <v>#NAME?</v>
      </c>
      <c r="I217" s="523" t="e">
        <f ca="1">gr(calculs!AG217)</f>
        <v>#NAME?</v>
      </c>
      <c r="J217" s="523" t="e">
        <f ca="1">gr(calculs!AM217)</f>
        <v>#NAME?</v>
      </c>
      <c r="K217" s="523" t="e">
        <f ca="1">gr(calculs!AR217)</f>
        <v>#NAME?</v>
      </c>
    </row>
    <row r="218" spans="1:11" x14ac:dyDescent="0.2">
      <c r="A218" s="222">
        <f>calculs!A218</f>
        <v>44769</v>
      </c>
      <c r="B218" s="523" t="e">
        <f ca="1">gr(calculs!X218)</f>
        <v>#NAME?</v>
      </c>
      <c r="C218" s="523" t="e">
        <f ca="1">gr(calculs!AD218)</f>
        <v>#NAME?</v>
      </c>
      <c r="D218" s="523" t="e">
        <f ca="1">gr(calculs!AJ218)</f>
        <v>#NAME?</v>
      </c>
      <c r="E218" s="523" t="e">
        <f ca="1">gr(calculs!AP218)</f>
        <v>#NAME?</v>
      </c>
      <c r="F218" s="523" t="e">
        <f ca="1">gr(calculs!AQ218)</f>
        <v>#NAME?</v>
      </c>
      <c r="G218" s="523" t="e">
        <f ca="1">gr(calculs!U218)</f>
        <v>#NAME?</v>
      </c>
      <c r="H218" s="523" t="e">
        <f ca="1">gr(calculs!AA218)</f>
        <v>#NAME?</v>
      </c>
      <c r="I218" s="523" t="e">
        <f ca="1">gr(calculs!AG218)</f>
        <v>#NAME?</v>
      </c>
      <c r="J218" s="523" t="e">
        <f ca="1">gr(calculs!AM218)</f>
        <v>#NAME?</v>
      </c>
      <c r="K218" s="523" t="e">
        <f ca="1">gr(calculs!AR218)</f>
        <v>#NAME?</v>
      </c>
    </row>
    <row r="219" spans="1:11" x14ac:dyDescent="0.2">
      <c r="A219" s="222">
        <f>calculs!A219</f>
        <v>44770</v>
      </c>
      <c r="B219" s="523" t="e">
        <f ca="1">gr(calculs!X219)</f>
        <v>#NAME?</v>
      </c>
      <c r="C219" s="523" t="e">
        <f ca="1">gr(calculs!AD219)</f>
        <v>#NAME?</v>
      </c>
      <c r="D219" s="523" t="e">
        <f ca="1">gr(calculs!AJ219)</f>
        <v>#NAME?</v>
      </c>
      <c r="E219" s="523" t="e">
        <f ca="1">gr(calculs!AP219)</f>
        <v>#NAME?</v>
      </c>
      <c r="F219" s="523" t="e">
        <f ca="1">gr(calculs!AQ219)</f>
        <v>#NAME?</v>
      </c>
      <c r="G219" s="523" t="e">
        <f ca="1">gr(calculs!U219)</f>
        <v>#NAME?</v>
      </c>
      <c r="H219" s="523" t="e">
        <f ca="1">gr(calculs!AA219)</f>
        <v>#NAME?</v>
      </c>
      <c r="I219" s="523" t="e">
        <f ca="1">gr(calculs!AG219)</f>
        <v>#NAME?</v>
      </c>
      <c r="J219" s="523" t="e">
        <f ca="1">gr(calculs!AM219)</f>
        <v>#NAME?</v>
      </c>
      <c r="K219" s="523" t="e">
        <f ca="1">gr(calculs!AR219)</f>
        <v>#NAME?</v>
      </c>
    </row>
    <row r="220" spans="1:11" x14ac:dyDescent="0.2">
      <c r="A220" s="222">
        <f>calculs!A220</f>
        <v>44771</v>
      </c>
      <c r="B220" s="523" t="e">
        <f ca="1">gr(calculs!X220)</f>
        <v>#NAME?</v>
      </c>
      <c r="C220" s="523" t="e">
        <f ca="1">gr(calculs!AD220)</f>
        <v>#NAME?</v>
      </c>
      <c r="D220" s="523" t="e">
        <f ca="1">gr(calculs!AJ220)</f>
        <v>#NAME?</v>
      </c>
      <c r="E220" s="523" t="e">
        <f ca="1">gr(calculs!AP220)</f>
        <v>#NAME?</v>
      </c>
      <c r="F220" s="523" t="e">
        <f ca="1">gr(calculs!AQ220)</f>
        <v>#NAME?</v>
      </c>
      <c r="G220" s="523" t="e">
        <f ca="1">gr(calculs!U220)</f>
        <v>#NAME?</v>
      </c>
      <c r="H220" s="523" t="e">
        <f ca="1">gr(calculs!AA220)</f>
        <v>#NAME?</v>
      </c>
      <c r="I220" s="523" t="e">
        <f ca="1">gr(calculs!AG220)</f>
        <v>#NAME?</v>
      </c>
      <c r="J220" s="523" t="e">
        <f ca="1">gr(calculs!AM220)</f>
        <v>#NAME?</v>
      </c>
      <c r="K220" s="523" t="e">
        <f ca="1">gr(calculs!AR220)</f>
        <v>#NAME?</v>
      </c>
    </row>
    <row r="221" spans="1:11" x14ac:dyDescent="0.2">
      <c r="A221" s="222">
        <f>calculs!A221</f>
        <v>44772</v>
      </c>
      <c r="B221" s="523" t="e">
        <f ca="1">gr(calculs!X221)</f>
        <v>#NAME?</v>
      </c>
      <c r="C221" s="523" t="e">
        <f ca="1">gr(calculs!AD221)</f>
        <v>#NAME?</v>
      </c>
      <c r="D221" s="523" t="e">
        <f ca="1">gr(calculs!AJ221)</f>
        <v>#NAME?</v>
      </c>
      <c r="E221" s="523" t="e">
        <f ca="1">gr(calculs!AP221)</f>
        <v>#NAME?</v>
      </c>
      <c r="F221" s="523" t="e">
        <f ca="1">gr(calculs!AQ221)</f>
        <v>#NAME?</v>
      </c>
      <c r="G221" s="523" t="e">
        <f ca="1">gr(calculs!U221)</f>
        <v>#NAME?</v>
      </c>
      <c r="H221" s="523" t="e">
        <f ca="1">gr(calculs!AA221)</f>
        <v>#NAME?</v>
      </c>
      <c r="I221" s="523" t="e">
        <f ca="1">gr(calculs!AG221)</f>
        <v>#NAME?</v>
      </c>
      <c r="J221" s="523" t="e">
        <f ca="1">gr(calculs!AM221)</f>
        <v>#NAME?</v>
      </c>
      <c r="K221" s="523" t="e">
        <f ca="1">gr(calculs!AR221)</f>
        <v>#NAME?</v>
      </c>
    </row>
    <row r="222" spans="1:11" x14ac:dyDescent="0.2">
      <c r="A222" s="222">
        <f>calculs!A222</f>
        <v>44773</v>
      </c>
      <c r="B222" s="523" t="e">
        <f ca="1">gr(calculs!X222)</f>
        <v>#NAME?</v>
      </c>
      <c r="C222" s="523" t="e">
        <f ca="1">gr(calculs!AD222)</f>
        <v>#NAME?</v>
      </c>
      <c r="D222" s="523" t="e">
        <f ca="1">gr(calculs!AJ222)</f>
        <v>#NAME?</v>
      </c>
      <c r="E222" s="523" t="e">
        <f ca="1">gr(calculs!AP222)</f>
        <v>#NAME?</v>
      </c>
      <c r="F222" s="523" t="e">
        <f ca="1">gr(calculs!AQ222)</f>
        <v>#NAME?</v>
      </c>
      <c r="G222" s="523" t="e">
        <f ca="1">gr(calculs!U222)</f>
        <v>#NAME?</v>
      </c>
      <c r="H222" s="523" t="e">
        <f ca="1">gr(calculs!AA222)</f>
        <v>#NAME?</v>
      </c>
      <c r="I222" s="523" t="e">
        <f ca="1">gr(calculs!AG222)</f>
        <v>#NAME?</v>
      </c>
      <c r="J222" s="523" t="e">
        <f ca="1">gr(calculs!AM222)</f>
        <v>#NAME?</v>
      </c>
      <c r="K222" s="523" t="e">
        <f ca="1">gr(calculs!AR222)</f>
        <v>#NAME?</v>
      </c>
    </row>
    <row r="223" spans="1:11" x14ac:dyDescent="0.2">
      <c r="A223" s="222">
        <f>calculs!A223</f>
        <v>44774</v>
      </c>
      <c r="B223" s="523" t="e">
        <f ca="1">gr(calculs!X223)</f>
        <v>#NAME?</v>
      </c>
      <c r="C223" s="523" t="e">
        <f ca="1">gr(calculs!AD223)</f>
        <v>#NAME?</v>
      </c>
      <c r="D223" s="523" t="e">
        <f ca="1">gr(calculs!AJ223)</f>
        <v>#NAME?</v>
      </c>
      <c r="E223" s="523" t="e">
        <f ca="1">gr(calculs!AP223)</f>
        <v>#NAME?</v>
      </c>
      <c r="F223" s="523" t="e">
        <f ca="1">gr(calculs!AQ223)</f>
        <v>#NAME?</v>
      </c>
      <c r="G223" s="523" t="e">
        <f ca="1">gr(calculs!U223)</f>
        <v>#NAME?</v>
      </c>
      <c r="H223" s="523" t="e">
        <f ca="1">gr(calculs!AA223)</f>
        <v>#NAME?</v>
      </c>
      <c r="I223" s="523" t="e">
        <f ca="1">gr(calculs!AG223)</f>
        <v>#NAME?</v>
      </c>
      <c r="J223" s="523" t="e">
        <f ca="1">gr(calculs!AM223)</f>
        <v>#NAME?</v>
      </c>
      <c r="K223" s="523" t="e">
        <f ca="1">gr(calculs!AR223)</f>
        <v>#NAME?</v>
      </c>
    </row>
    <row r="224" spans="1:11" x14ac:dyDescent="0.2">
      <c r="A224" s="222">
        <f>calculs!A224</f>
        <v>44775</v>
      </c>
      <c r="B224" s="523" t="e">
        <f ca="1">gr(calculs!X224)</f>
        <v>#NAME?</v>
      </c>
      <c r="C224" s="523" t="e">
        <f ca="1">gr(calculs!AD224)</f>
        <v>#NAME?</v>
      </c>
      <c r="D224" s="523" t="e">
        <f ca="1">gr(calculs!AJ224)</f>
        <v>#NAME?</v>
      </c>
      <c r="E224" s="523" t="e">
        <f ca="1">gr(calculs!AP224)</f>
        <v>#NAME?</v>
      </c>
      <c r="F224" s="523" t="e">
        <f ca="1">gr(calculs!AQ224)</f>
        <v>#NAME?</v>
      </c>
      <c r="G224" s="523" t="e">
        <f ca="1">gr(calculs!U224)</f>
        <v>#NAME?</v>
      </c>
      <c r="H224" s="523" t="e">
        <f ca="1">gr(calculs!AA224)</f>
        <v>#NAME?</v>
      </c>
      <c r="I224" s="523" t="e">
        <f ca="1">gr(calculs!AG224)</f>
        <v>#NAME?</v>
      </c>
      <c r="J224" s="523" t="e">
        <f ca="1">gr(calculs!AM224)</f>
        <v>#NAME?</v>
      </c>
      <c r="K224" s="523" t="e">
        <f ca="1">gr(calculs!AR224)</f>
        <v>#NAME?</v>
      </c>
    </row>
    <row r="225" spans="1:11" x14ac:dyDescent="0.2">
      <c r="A225" s="222">
        <f>calculs!A225</f>
        <v>44776</v>
      </c>
      <c r="B225" s="523" t="e">
        <f ca="1">gr(calculs!X225)</f>
        <v>#NAME?</v>
      </c>
      <c r="C225" s="523" t="e">
        <f ca="1">gr(calculs!AD225)</f>
        <v>#NAME?</v>
      </c>
      <c r="D225" s="523" t="e">
        <f ca="1">gr(calculs!AJ225)</f>
        <v>#NAME?</v>
      </c>
      <c r="E225" s="523" t="e">
        <f ca="1">gr(calculs!AP225)</f>
        <v>#NAME?</v>
      </c>
      <c r="F225" s="523" t="e">
        <f ca="1">gr(calculs!AQ225)</f>
        <v>#NAME?</v>
      </c>
      <c r="G225" s="523" t="e">
        <f ca="1">gr(calculs!U225)</f>
        <v>#NAME?</v>
      </c>
      <c r="H225" s="523" t="e">
        <f ca="1">gr(calculs!AA225)</f>
        <v>#NAME?</v>
      </c>
      <c r="I225" s="523" t="e">
        <f ca="1">gr(calculs!AG225)</f>
        <v>#NAME?</v>
      </c>
      <c r="J225" s="523" t="e">
        <f ca="1">gr(calculs!AM225)</f>
        <v>#NAME?</v>
      </c>
      <c r="K225" s="523" t="e">
        <f ca="1">gr(calculs!AR225)</f>
        <v>#NAME?</v>
      </c>
    </row>
    <row r="226" spans="1:11" x14ac:dyDescent="0.2">
      <c r="A226" s="222">
        <f>calculs!A226</f>
        <v>44777</v>
      </c>
      <c r="B226" s="523" t="e">
        <f ca="1">gr(calculs!X226)</f>
        <v>#NAME?</v>
      </c>
      <c r="C226" s="523" t="e">
        <f ca="1">gr(calculs!AD226)</f>
        <v>#NAME?</v>
      </c>
      <c r="D226" s="523" t="e">
        <f ca="1">gr(calculs!AJ226)</f>
        <v>#NAME?</v>
      </c>
      <c r="E226" s="523" t="e">
        <f ca="1">gr(calculs!AP226)</f>
        <v>#NAME?</v>
      </c>
      <c r="F226" s="523" t="e">
        <f ca="1">gr(calculs!AQ226)</f>
        <v>#NAME?</v>
      </c>
      <c r="G226" s="523" t="e">
        <f ca="1">gr(calculs!U226)</f>
        <v>#NAME?</v>
      </c>
      <c r="H226" s="523" t="e">
        <f ca="1">gr(calculs!AA226)</f>
        <v>#NAME?</v>
      </c>
      <c r="I226" s="523" t="e">
        <f ca="1">gr(calculs!AG226)</f>
        <v>#NAME?</v>
      </c>
      <c r="J226" s="523" t="e">
        <f ca="1">gr(calculs!AM226)</f>
        <v>#NAME?</v>
      </c>
      <c r="K226" s="523" t="e">
        <f ca="1">gr(calculs!AR226)</f>
        <v>#NAME?</v>
      </c>
    </row>
    <row r="227" spans="1:11" x14ac:dyDescent="0.2">
      <c r="A227" s="222">
        <f>calculs!A227</f>
        <v>44778</v>
      </c>
      <c r="B227" s="523" t="e">
        <f ca="1">gr(calculs!X227)</f>
        <v>#NAME?</v>
      </c>
      <c r="C227" s="523" t="e">
        <f ca="1">gr(calculs!AD227)</f>
        <v>#NAME?</v>
      </c>
      <c r="D227" s="523" t="e">
        <f ca="1">gr(calculs!AJ227)</f>
        <v>#NAME?</v>
      </c>
      <c r="E227" s="523" t="e">
        <f ca="1">gr(calculs!AP227)</f>
        <v>#NAME?</v>
      </c>
      <c r="F227" s="523" t="e">
        <f ca="1">gr(calculs!AQ227)</f>
        <v>#NAME?</v>
      </c>
      <c r="G227" s="523" t="e">
        <f ca="1">gr(calculs!U227)</f>
        <v>#NAME?</v>
      </c>
      <c r="H227" s="523" t="e">
        <f ca="1">gr(calculs!AA227)</f>
        <v>#NAME?</v>
      </c>
      <c r="I227" s="523" t="e">
        <f ca="1">gr(calculs!AG227)</f>
        <v>#NAME?</v>
      </c>
      <c r="J227" s="523" t="e">
        <f ca="1">gr(calculs!AM227)</f>
        <v>#NAME?</v>
      </c>
      <c r="K227" s="523" t="e">
        <f ca="1">gr(calculs!AR227)</f>
        <v>#NAME?</v>
      </c>
    </row>
    <row r="228" spans="1:11" x14ac:dyDescent="0.2">
      <c r="A228" s="222">
        <f>calculs!A228</f>
        <v>44779</v>
      </c>
      <c r="B228" s="523" t="e">
        <f ca="1">gr(calculs!X228)</f>
        <v>#NAME?</v>
      </c>
      <c r="C228" s="523" t="e">
        <f ca="1">gr(calculs!AD228)</f>
        <v>#NAME?</v>
      </c>
      <c r="D228" s="523" t="e">
        <f ca="1">gr(calculs!AJ228)</f>
        <v>#NAME?</v>
      </c>
      <c r="E228" s="523" t="e">
        <f ca="1">gr(calculs!AP228)</f>
        <v>#NAME?</v>
      </c>
      <c r="F228" s="523" t="e">
        <f ca="1">gr(calculs!AQ228)</f>
        <v>#NAME?</v>
      </c>
      <c r="G228" s="523" t="e">
        <f ca="1">gr(calculs!U228)</f>
        <v>#NAME?</v>
      </c>
      <c r="H228" s="523" t="e">
        <f ca="1">gr(calculs!AA228)</f>
        <v>#NAME?</v>
      </c>
      <c r="I228" s="523" t="e">
        <f ca="1">gr(calculs!AG228)</f>
        <v>#NAME?</v>
      </c>
      <c r="J228" s="523" t="e">
        <f ca="1">gr(calculs!AM228)</f>
        <v>#NAME?</v>
      </c>
      <c r="K228" s="523" t="e">
        <f ca="1">gr(calculs!AR228)</f>
        <v>#NAME?</v>
      </c>
    </row>
    <row r="229" spans="1:11" x14ac:dyDescent="0.2">
      <c r="A229" s="222">
        <f>calculs!A229</f>
        <v>44780</v>
      </c>
      <c r="B229" s="523" t="e">
        <f ca="1">gr(calculs!X229)</f>
        <v>#NAME?</v>
      </c>
      <c r="C229" s="523" t="e">
        <f ca="1">gr(calculs!AD229)</f>
        <v>#NAME?</v>
      </c>
      <c r="D229" s="523" t="e">
        <f ca="1">gr(calculs!AJ229)</f>
        <v>#NAME?</v>
      </c>
      <c r="E229" s="523" t="e">
        <f ca="1">gr(calculs!AP229)</f>
        <v>#NAME?</v>
      </c>
      <c r="F229" s="523" t="e">
        <f ca="1">gr(calculs!AQ229)</f>
        <v>#NAME?</v>
      </c>
      <c r="G229" s="523" t="e">
        <f ca="1">gr(calculs!U229)</f>
        <v>#NAME?</v>
      </c>
      <c r="H229" s="523" t="e">
        <f ca="1">gr(calculs!AA229)</f>
        <v>#NAME?</v>
      </c>
      <c r="I229" s="523" t="e">
        <f ca="1">gr(calculs!AG229)</f>
        <v>#NAME?</v>
      </c>
      <c r="J229" s="523" t="e">
        <f ca="1">gr(calculs!AM229)</f>
        <v>#NAME?</v>
      </c>
      <c r="K229" s="523" t="e">
        <f ca="1">gr(calculs!AR229)</f>
        <v>#NAME?</v>
      </c>
    </row>
    <row r="230" spans="1:11" x14ac:dyDescent="0.2">
      <c r="A230" s="222">
        <f>calculs!A230</f>
        <v>44781</v>
      </c>
      <c r="B230" s="523" t="e">
        <f ca="1">gr(calculs!X230)</f>
        <v>#NAME?</v>
      </c>
      <c r="C230" s="523" t="e">
        <f ca="1">gr(calculs!AD230)</f>
        <v>#NAME?</v>
      </c>
      <c r="D230" s="523" t="e">
        <f ca="1">gr(calculs!AJ230)</f>
        <v>#NAME?</v>
      </c>
      <c r="E230" s="523" t="e">
        <f ca="1">gr(calculs!AP230)</f>
        <v>#NAME?</v>
      </c>
      <c r="F230" s="523" t="e">
        <f ca="1">gr(calculs!AQ230)</f>
        <v>#NAME?</v>
      </c>
      <c r="G230" s="523" t="e">
        <f ca="1">gr(calculs!U230)</f>
        <v>#NAME?</v>
      </c>
      <c r="H230" s="523" t="e">
        <f ca="1">gr(calculs!AA230)</f>
        <v>#NAME?</v>
      </c>
      <c r="I230" s="523" t="e">
        <f ca="1">gr(calculs!AG230)</f>
        <v>#NAME?</v>
      </c>
      <c r="J230" s="523" t="e">
        <f ca="1">gr(calculs!AM230)</f>
        <v>#NAME?</v>
      </c>
      <c r="K230" s="523" t="e">
        <f ca="1">gr(calculs!AR230)</f>
        <v>#NAME?</v>
      </c>
    </row>
    <row r="231" spans="1:11" x14ac:dyDescent="0.2">
      <c r="A231" s="222">
        <f>calculs!A231</f>
        <v>44782</v>
      </c>
      <c r="B231" s="523" t="e">
        <f ca="1">gr(calculs!X231)</f>
        <v>#NAME?</v>
      </c>
      <c r="C231" s="523" t="e">
        <f ca="1">gr(calculs!AD231)</f>
        <v>#NAME?</v>
      </c>
      <c r="D231" s="523" t="e">
        <f ca="1">gr(calculs!AJ231)</f>
        <v>#NAME?</v>
      </c>
      <c r="E231" s="523" t="e">
        <f ca="1">gr(calculs!AP231)</f>
        <v>#NAME?</v>
      </c>
      <c r="F231" s="523" t="e">
        <f ca="1">gr(calculs!AQ231)</f>
        <v>#NAME?</v>
      </c>
      <c r="G231" s="523" t="e">
        <f ca="1">gr(calculs!U231)</f>
        <v>#NAME?</v>
      </c>
      <c r="H231" s="523" t="e">
        <f ca="1">gr(calculs!AA231)</f>
        <v>#NAME?</v>
      </c>
      <c r="I231" s="523" t="e">
        <f ca="1">gr(calculs!AG231)</f>
        <v>#NAME?</v>
      </c>
      <c r="J231" s="523" t="e">
        <f ca="1">gr(calculs!AM231)</f>
        <v>#NAME?</v>
      </c>
      <c r="K231" s="523" t="e">
        <f ca="1">gr(calculs!AR231)</f>
        <v>#NAME?</v>
      </c>
    </row>
    <row r="232" spans="1:11" x14ac:dyDescent="0.2">
      <c r="A232" s="222">
        <f>calculs!A232</f>
        <v>44783</v>
      </c>
      <c r="B232" s="523" t="e">
        <f ca="1">gr(calculs!X232)</f>
        <v>#NAME?</v>
      </c>
      <c r="C232" s="523" t="e">
        <f ca="1">gr(calculs!AD232)</f>
        <v>#NAME?</v>
      </c>
      <c r="D232" s="523" t="e">
        <f ca="1">gr(calculs!AJ232)</f>
        <v>#NAME?</v>
      </c>
      <c r="E232" s="523" t="e">
        <f ca="1">gr(calculs!AP232)</f>
        <v>#NAME?</v>
      </c>
      <c r="F232" s="523" t="e">
        <f ca="1">gr(calculs!AQ232)</f>
        <v>#NAME?</v>
      </c>
      <c r="G232" s="523" t="e">
        <f ca="1">gr(calculs!U232)</f>
        <v>#NAME?</v>
      </c>
      <c r="H232" s="523" t="e">
        <f ca="1">gr(calculs!AA232)</f>
        <v>#NAME?</v>
      </c>
      <c r="I232" s="523" t="e">
        <f ca="1">gr(calculs!AG232)</f>
        <v>#NAME?</v>
      </c>
      <c r="J232" s="523" t="e">
        <f ca="1">gr(calculs!AM232)</f>
        <v>#NAME?</v>
      </c>
      <c r="K232" s="523" t="e">
        <f ca="1">gr(calculs!AR232)</f>
        <v>#NAME?</v>
      </c>
    </row>
    <row r="233" spans="1:11" x14ac:dyDescent="0.2">
      <c r="A233" s="222">
        <f>calculs!A233</f>
        <v>44784</v>
      </c>
      <c r="B233" s="523" t="e">
        <f ca="1">gr(calculs!X233)</f>
        <v>#NAME?</v>
      </c>
      <c r="C233" s="523" t="e">
        <f ca="1">gr(calculs!AD233)</f>
        <v>#NAME?</v>
      </c>
      <c r="D233" s="523" t="e">
        <f ca="1">gr(calculs!AJ233)</f>
        <v>#NAME?</v>
      </c>
      <c r="E233" s="523" t="e">
        <f ca="1">gr(calculs!AP233)</f>
        <v>#NAME?</v>
      </c>
      <c r="F233" s="523" t="e">
        <f ca="1">gr(calculs!AQ233)</f>
        <v>#NAME?</v>
      </c>
      <c r="G233" s="523" t="e">
        <f ca="1">gr(calculs!U233)</f>
        <v>#NAME?</v>
      </c>
      <c r="H233" s="523" t="e">
        <f ca="1">gr(calculs!AA233)</f>
        <v>#NAME?</v>
      </c>
      <c r="I233" s="523" t="e">
        <f ca="1">gr(calculs!AG233)</f>
        <v>#NAME?</v>
      </c>
      <c r="J233" s="523" t="e">
        <f ca="1">gr(calculs!AM233)</f>
        <v>#NAME?</v>
      </c>
      <c r="K233" s="523" t="e">
        <f ca="1">gr(calculs!AR233)</f>
        <v>#NAME?</v>
      </c>
    </row>
    <row r="234" spans="1:11" x14ac:dyDescent="0.2">
      <c r="A234" s="222">
        <f>calculs!A234</f>
        <v>44785</v>
      </c>
      <c r="B234" s="523" t="e">
        <f ca="1">gr(calculs!X234)</f>
        <v>#NAME?</v>
      </c>
      <c r="C234" s="523" t="e">
        <f ca="1">gr(calculs!AD234)</f>
        <v>#NAME?</v>
      </c>
      <c r="D234" s="523" t="e">
        <f ca="1">gr(calculs!AJ234)</f>
        <v>#NAME?</v>
      </c>
      <c r="E234" s="523" t="e">
        <f ca="1">gr(calculs!AP234)</f>
        <v>#NAME?</v>
      </c>
      <c r="F234" s="523" t="e">
        <f ca="1">gr(calculs!AQ234)</f>
        <v>#NAME?</v>
      </c>
      <c r="G234" s="523" t="e">
        <f ca="1">gr(calculs!U234)</f>
        <v>#NAME?</v>
      </c>
      <c r="H234" s="523" t="e">
        <f ca="1">gr(calculs!AA234)</f>
        <v>#NAME?</v>
      </c>
      <c r="I234" s="523" t="e">
        <f ca="1">gr(calculs!AG234)</f>
        <v>#NAME?</v>
      </c>
      <c r="J234" s="523" t="e">
        <f ca="1">gr(calculs!AM234)</f>
        <v>#NAME?</v>
      </c>
      <c r="K234" s="523" t="e">
        <f ca="1">gr(calculs!AR234)</f>
        <v>#NAME?</v>
      </c>
    </row>
    <row r="235" spans="1:11" x14ac:dyDescent="0.2">
      <c r="A235" s="222">
        <f>calculs!A235</f>
        <v>44786</v>
      </c>
      <c r="B235" s="523" t="e">
        <f ca="1">gr(calculs!X235)</f>
        <v>#NAME?</v>
      </c>
      <c r="C235" s="523" t="e">
        <f ca="1">gr(calculs!AD235)</f>
        <v>#NAME?</v>
      </c>
      <c r="D235" s="523" t="e">
        <f ca="1">gr(calculs!AJ235)</f>
        <v>#NAME?</v>
      </c>
      <c r="E235" s="523" t="e">
        <f ca="1">gr(calculs!AP235)</f>
        <v>#NAME?</v>
      </c>
      <c r="F235" s="523" t="e">
        <f ca="1">gr(calculs!AQ235)</f>
        <v>#NAME?</v>
      </c>
      <c r="G235" s="523" t="e">
        <f ca="1">gr(calculs!U235)</f>
        <v>#NAME?</v>
      </c>
      <c r="H235" s="523" t="e">
        <f ca="1">gr(calculs!AA235)</f>
        <v>#NAME?</v>
      </c>
      <c r="I235" s="523" t="e">
        <f ca="1">gr(calculs!AG235)</f>
        <v>#NAME?</v>
      </c>
      <c r="J235" s="523" t="e">
        <f ca="1">gr(calculs!AM235)</f>
        <v>#NAME?</v>
      </c>
      <c r="K235" s="523" t="e">
        <f ca="1">gr(calculs!AR235)</f>
        <v>#NAME?</v>
      </c>
    </row>
    <row r="236" spans="1:11" x14ac:dyDescent="0.2">
      <c r="A236" s="222">
        <f>calculs!A236</f>
        <v>44787</v>
      </c>
      <c r="B236" s="523" t="e">
        <f ca="1">gr(calculs!X236)</f>
        <v>#NAME?</v>
      </c>
      <c r="C236" s="523" t="e">
        <f ca="1">gr(calculs!AD236)</f>
        <v>#NAME?</v>
      </c>
      <c r="D236" s="523" t="e">
        <f ca="1">gr(calculs!AJ236)</f>
        <v>#NAME?</v>
      </c>
      <c r="E236" s="523" t="e">
        <f ca="1">gr(calculs!AP236)</f>
        <v>#NAME?</v>
      </c>
      <c r="F236" s="523" t="e">
        <f ca="1">gr(calculs!AQ236)</f>
        <v>#NAME?</v>
      </c>
      <c r="G236" s="523" t="e">
        <f ca="1">gr(calculs!U236)</f>
        <v>#NAME?</v>
      </c>
      <c r="H236" s="523" t="e">
        <f ca="1">gr(calculs!AA236)</f>
        <v>#NAME?</v>
      </c>
      <c r="I236" s="523" t="e">
        <f ca="1">gr(calculs!AG236)</f>
        <v>#NAME?</v>
      </c>
      <c r="J236" s="523" t="e">
        <f ca="1">gr(calculs!AM236)</f>
        <v>#NAME?</v>
      </c>
      <c r="K236" s="523" t="e">
        <f ca="1">gr(calculs!AR236)</f>
        <v>#NAME?</v>
      </c>
    </row>
    <row r="237" spans="1:11" x14ac:dyDescent="0.2">
      <c r="A237" s="222">
        <f>calculs!A237</f>
        <v>44788</v>
      </c>
      <c r="B237" s="523" t="e">
        <f ca="1">gr(calculs!X237)</f>
        <v>#NAME?</v>
      </c>
      <c r="C237" s="523" t="e">
        <f ca="1">gr(calculs!AD237)</f>
        <v>#NAME?</v>
      </c>
      <c r="D237" s="523" t="e">
        <f ca="1">gr(calculs!AJ237)</f>
        <v>#NAME?</v>
      </c>
      <c r="E237" s="523" t="e">
        <f ca="1">gr(calculs!AP237)</f>
        <v>#NAME?</v>
      </c>
      <c r="F237" s="523" t="e">
        <f ca="1">gr(calculs!AQ237)</f>
        <v>#NAME?</v>
      </c>
      <c r="G237" s="523" t="e">
        <f ca="1">gr(calculs!U237)</f>
        <v>#NAME?</v>
      </c>
      <c r="H237" s="523" t="e">
        <f ca="1">gr(calculs!AA237)</f>
        <v>#NAME?</v>
      </c>
      <c r="I237" s="523" t="e">
        <f ca="1">gr(calculs!AG237)</f>
        <v>#NAME?</v>
      </c>
      <c r="J237" s="523" t="e">
        <f ca="1">gr(calculs!AM237)</f>
        <v>#NAME?</v>
      </c>
      <c r="K237" s="523" t="e">
        <f ca="1">gr(calculs!AR237)</f>
        <v>#NAME?</v>
      </c>
    </row>
    <row r="238" spans="1:11" x14ac:dyDescent="0.2">
      <c r="A238" s="222">
        <f>calculs!A238</f>
        <v>44789</v>
      </c>
      <c r="B238" s="523" t="e">
        <f ca="1">gr(calculs!X238)</f>
        <v>#NAME?</v>
      </c>
      <c r="C238" s="523" t="e">
        <f ca="1">gr(calculs!AD238)</f>
        <v>#NAME?</v>
      </c>
      <c r="D238" s="523" t="e">
        <f ca="1">gr(calculs!AJ238)</f>
        <v>#NAME?</v>
      </c>
      <c r="E238" s="523" t="e">
        <f ca="1">gr(calculs!AP238)</f>
        <v>#NAME?</v>
      </c>
      <c r="F238" s="523" t="e">
        <f ca="1">gr(calculs!AQ238)</f>
        <v>#NAME?</v>
      </c>
      <c r="G238" s="523" t="e">
        <f ca="1">gr(calculs!U238)</f>
        <v>#NAME?</v>
      </c>
      <c r="H238" s="523" t="e">
        <f ca="1">gr(calculs!AA238)</f>
        <v>#NAME?</v>
      </c>
      <c r="I238" s="523" t="e">
        <f ca="1">gr(calculs!AG238)</f>
        <v>#NAME?</v>
      </c>
      <c r="J238" s="523" t="e">
        <f ca="1">gr(calculs!AM238)</f>
        <v>#NAME?</v>
      </c>
      <c r="K238" s="523" t="e">
        <f ca="1">gr(calculs!AR238)</f>
        <v>#NAME?</v>
      </c>
    </row>
    <row r="239" spans="1:11" x14ac:dyDescent="0.2">
      <c r="A239" s="222">
        <f>calculs!A239</f>
        <v>44790</v>
      </c>
      <c r="B239" s="523" t="e">
        <f ca="1">gr(calculs!X239)</f>
        <v>#NAME?</v>
      </c>
      <c r="C239" s="523" t="e">
        <f ca="1">gr(calculs!AD239)</f>
        <v>#NAME?</v>
      </c>
      <c r="D239" s="523" t="e">
        <f ca="1">gr(calculs!AJ239)</f>
        <v>#NAME?</v>
      </c>
      <c r="E239" s="523" t="e">
        <f ca="1">gr(calculs!AP239)</f>
        <v>#NAME?</v>
      </c>
      <c r="F239" s="523" t="e">
        <f ca="1">gr(calculs!AQ239)</f>
        <v>#NAME?</v>
      </c>
      <c r="G239" s="523" t="e">
        <f ca="1">gr(calculs!U239)</f>
        <v>#NAME?</v>
      </c>
      <c r="H239" s="523" t="e">
        <f ca="1">gr(calculs!AA239)</f>
        <v>#NAME?</v>
      </c>
      <c r="I239" s="523" t="e">
        <f ca="1">gr(calculs!AG239)</f>
        <v>#NAME?</v>
      </c>
      <c r="J239" s="523" t="e">
        <f ca="1">gr(calculs!AM239)</f>
        <v>#NAME?</v>
      </c>
      <c r="K239" s="523" t="e">
        <f ca="1">gr(calculs!AR239)</f>
        <v>#NAME?</v>
      </c>
    </row>
    <row r="240" spans="1:11" x14ac:dyDescent="0.2">
      <c r="A240" s="222">
        <f>calculs!A240</f>
        <v>44791</v>
      </c>
      <c r="B240" s="523" t="e">
        <f ca="1">gr(calculs!X240)</f>
        <v>#NAME?</v>
      </c>
      <c r="C240" s="523" t="e">
        <f ca="1">gr(calculs!AD240)</f>
        <v>#NAME?</v>
      </c>
      <c r="D240" s="523" t="e">
        <f ca="1">gr(calculs!AJ240)</f>
        <v>#NAME?</v>
      </c>
      <c r="E240" s="523" t="e">
        <f ca="1">gr(calculs!AP240)</f>
        <v>#NAME?</v>
      </c>
      <c r="F240" s="523" t="e">
        <f ca="1">gr(calculs!AQ240)</f>
        <v>#NAME?</v>
      </c>
      <c r="G240" s="523" t="e">
        <f ca="1">gr(calculs!U240)</f>
        <v>#NAME?</v>
      </c>
      <c r="H240" s="523" t="e">
        <f ca="1">gr(calculs!AA240)</f>
        <v>#NAME?</v>
      </c>
      <c r="I240" s="523" t="e">
        <f ca="1">gr(calculs!AG240)</f>
        <v>#NAME?</v>
      </c>
      <c r="J240" s="523" t="e">
        <f ca="1">gr(calculs!AM240)</f>
        <v>#NAME?</v>
      </c>
      <c r="K240" s="523" t="e">
        <f ca="1">gr(calculs!AR240)</f>
        <v>#NAME?</v>
      </c>
    </row>
    <row r="241" spans="1:11" x14ac:dyDescent="0.2">
      <c r="A241" s="222">
        <f>calculs!A241</f>
        <v>44792</v>
      </c>
      <c r="B241" s="523" t="e">
        <f ca="1">gr(calculs!X241)</f>
        <v>#NAME?</v>
      </c>
      <c r="C241" s="523" t="e">
        <f ca="1">gr(calculs!AD241)</f>
        <v>#NAME?</v>
      </c>
      <c r="D241" s="523" t="e">
        <f ca="1">gr(calculs!AJ241)</f>
        <v>#NAME?</v>
      </c>
      <c r="E241" s="523" t="e">
        <f ca="1">gr(calculs!AP241)</f>
        <v>#NAME?</v>
      </c>
      <c r="F241" s="523" t="e">
        <f ca="1">gr(calculs!AQ241)</f>
        <v>#NAME?</v>
      </c>
      <c r="G241" s="523" t="e">
        <f ca="1">gr(calculs!U241)</f>
        <v>#NAME?</v>
      </c>
      <c r="H241" s="523" t="e">
        <f ca="1">gr(calculs!AA241)</f>
        <v>#NAME?</v>
      </c>
      <c r="I241" s="523" t="e">
        <f ca="1">gr(calculs!AG241)</f>
        <v>#NAME?</v>
      </c>
      <c r="J241" s="523" t="e">
        <f ca="1">gr(calculs!AM241)</f>
        <v>#NAME?</v>
      </c>
      <c r="K241" s="523" t="e">
        <f ca="1">gr(calculs!AR241)</f>
        <v>#NAME?</v>
      </c>
    </row>
    <row r="242" spans="1:11" x14ac:dyDescent="0.2">
      <c r="A242" s="222">
        <f>calculs!A242</f>
        <v>44793</v>
      </c>
      <c r="B242" s="523" t="e">
        <f ca="1">gr(calculs!X242)</f>
        <v>#NAME?</v>
      </c>
      <c r="C242" s="523" t="e">
        <f ca="1">gr(calculs!AD242)</f>
        <v>#NAME?</v>
      </c>
      <c r="D242" s="523" t="e">
        <f ca="1">gr(calculs!AJ242)</f>
        <v>#NAME?</v>
      </c>
      <c r="E242" s="523" t="e">
        <f ca="1">gr(calculs!AP242)</f>
        <v>#NAME?</v>
      </c>
      <c r="F242" s="523" t="e">
        <f ca="1">gr(calculs!AQ242)</f>
        <v>#NAME?</v>
      </c>
      <c r="G242" s="523" t="e">
        <f ca="1">gr(calculs!U242)</f>
        <v>#NAME?</v>
      </c>
      <c r="H242" s="523" t="e">
        <f ca="1">gr(calculs!AA242)</f>
        <v>#NAME?</v>
      </c>
      <c r="I242" s="523" t="e">
        <f ca="1">gr(calculs!AG242)</f>
        <v>#NAME?</v>
      </c>
      <c r="J242" s="523" t="e">
        <f ca="1">gr(calculs!AM242)</f>
        <v>#NAME?</v>
      </c>
      <c r="K242" s="523" t="e">
        <f ca="1">gr(calculs!AR242)</f>
        <v>#NAME?</v>
      </c>
    </row>
    <row r="243" spans="1:11" x14ac:dyDescent="0.2">
      <c r="A243" s="222">
        <f>calculs!A243</f>
        <v>44794</v>
      </c>
      <c r="B243" s="523" t="e">
        <f ca="1">gr(calculs!X243)</f>
        <v>#NAME?</v>
      </c>
      <c r="C243" s="523" t="e">
        <f ca="1">gr(calculs!AD243)</f>
        <v>#NAME?</v>
      </c>
      <c r="D243" s="523" t="e">
        <f ca="1">gr(calculs!AJ243)</f>
        <v>#NAME?</v>
      </c>
      <c r="E243" s="523" t="e">
        <f ca="1">gr(calculs!AP243)</f>
        <v>#NAME?</v>
      </c>
      <c r="F243" s="523" t="e">
        <f ca="1">gr(calculs!AQ243)</f>
        <v>#NAME?</v>
      </c>
      <c r="G243" s="523" t="e">
        <f ca="1">gr(calculs!U243)</f>
        <v>#NAME?</v>
      </c>
      <c r="H243" s="523" t="e">
        <f ca="1">gr(calculs!AA243)</f>
        <v>#NAME?</v>
      </c>
      <c r="I243" s="523" t="e">
        <f ca="1">gr(calculs!AG243)</f>
        <v>#NAME?</v>
      </c>
      <c r="J243" s="523" t="e">
        <f ca="1">gr(calculs!AM243)</f>
        <v>#NAME?</v>
      </c>
      <c r="K243" s="523" t="e">
        <f ca="1">gr(calculs!AR243)</f>
        <v>#NAME?</v>
      </c>
    </row>
    <row r="244" spans="1:11" x14ac:dyDescent="0.2">
      <c r="A244" s="222">
        <f>calculs!A244</f>
        <v>44795</v>
      </c>
      <c r="B244" s="523" t="e">
        <f ca="1">gr(calculs!X244)</f>
        <v>#NAME?</v>
      </c>
      <c r="C244" s="523" t="e">
        <f ca="1">gr(calculs!AD244)</f>
        <v>#NAME?</v>
      </c>
      <c r="D244" s="523" t="e">
        <f ca="1">gr(calculs!AJ244)</f>
        <v>#NAME?</v>
      </c>
      <c r="E244" s="523" t="e">
        <f ca="1">gr(calculs!AP244)</f>
        <v>#NAME?</v>
      </c>
      <c r="F244" s="523" t="e">
        <f ca="1">gr(calculs!AQ244)</f>
        <v>#NAME?</v>
      </c>
      <c r="G244" s="523" t="e">
        <f ca="1">gr(calculs!U244)</f>
        <v>#NAME?</v>
      </c>
      <c r="H244" s="523" t="e">
        <f ca="1">gr(calculs!AA244)</f>
        <v>#NAME?</v>
      </c>
      <c r="I244" s="523" t="e">
        <f ca="1">gr(calculs!AG244)</f>
        <v>#NAME?</v>
      </c>
      <c r="J244" s="523" t="e">
        <f ca="1">gr(calculs!AM244)</f>
        <v>#NAME?</v>
      </c>
      <c r="K244" s="523" t="e">
        <f ca="1">gr(calculs!AR244)</f>
        <v>#NAME?</v>
      </c>
    </row>
    <row r="245" spans="1:11" x14ac:dyDescent="0.2">
      <c r="A245" s="222">
        <f>calculs!A245</f>
        <v>44796</v>
      </c>
      <c r="B245" s="523" t="e">
        <f ca="1">gr(calculs!X245)</f>
        <v>#NAME?</v>
      </c>
      <c r="C245" s="523" t="e">
        <f ca="1">gr(calculs!AD245)</f>
        <v>#NAME?</v>
      </c>
      <c r="D245" s="523" t="e">
        <f ca="1">gr(calculs!AJ245)</f>
        <v>#NAME?</v>
      </c>
      <c r="E245" s="523" t="e">
        <f ca="1">gr(calculs!AP245)</f>
        <v>#NAME?</v>
      </c>
      <c r="F245" s="523" t="e">
        <f ca="1">gr(calculs!AQ245)</f>
        <v>#NAME?</v>
      </c>
      <c r="G245" s="523" t="e">
        <f ca="1">gr(calculs!U245)</f>
        <v>#NAME?</v>
      </c>
      <c r="H245" s="523" t="e">
        <f ca="1">gr(calculs!AA245)</f>
        <v>#NAME?</v>
      </c>
      <c r="I245" s="523" t="e">
        <f ca="1">gr(calculs!AG245)</f>
        <v>#NAME?</v>
      </c>
      <c r="J245" s="523" t="e">
        <f ca="1">gr(calculs!AM245)</f>
        <v>#NAME?</v>
      </c>
      <c r="K245" s="523" t="e">
        <f ca="1">gr(calculs!AR245)</f>
        <v>#NAME?</v>
      </c>
    </row>
    <row r="246" spans="1:11" x14ac:dyDescent="0.2">
      <c r="A246" s="222">
        <f>calculs!A246</f>
        <v>44797</v>
      </c>
      <c r="B246" s="523" t="e">
        <f ca="1">gr(calculs!X246)</f>
        <v>#NAME?</v>
      </c>
      <c r="C246" s="523" t="e">
        <f ca="1">gr(calculs!AD246)</f>
        <v>#NAME?</v>
      </c>
      <c r="D246" s="523" t="e">
        <f ca="1">gr(calculs!AJ246)</f>
        <v>#NAME?</v>
      </c>
      <c r="E246" s="523" t="e">
        <f ca="1">gr(calculs!AP246)</f>
        <v>#NAME?</v>
      </c>
      <c r="F246" s="523" t="e">
        <f ca="1">gr(calculs!AQ246)</f>
        <v>#NAME?</v>
      </c>
      <c r="G246" s="523" t="e">
        <f ca="1">gr(calculs!U246)</f>
        <v>#NAME?</v>
      </c>
      <c r="H246" s="523" t="e">
        <f ca="1">gr(calculs!AA246)</f>
        <v>#NAME?</v>
      </c>
      <c r="I246" s="523" t="e">
        <f ca="1">gr(calculs!AG246)</f>
        <v>#NAME?</v>
      </c>
      <c r="J246" s="523" t="e">
        <f ca="1">gr(calculs!AM246)</f>
        <v>#NAME?</v>
      </c>
      <c r="K246" s="523" t="e">
        <f ca="1">gr(calculs!AR246)</f>
        <v>#NAME?</v>
      </c>
    </row>
    <row r="247" spans="1:11" x14ac:dyDescent="0.2">
      <c r="A247" s="222">
        <f>calculs!A247</f>
        <v>44798</v>
      </c>
      <c r="B247" s="523" t="e">
        <f ca="1">gr(calculs!X247)</f>
        <v>#NAME?</v>
      </c>
      <c r="C247" s="523" t="e">
        <f ca="1">gr(calculs!AD247)</f>
        <v>#NAME?</v>
      </c>
      <c r="D247" s="523" t="e">
        <f ca="1">gr(calculs!AJ247)</f>
        <v>#NAME?</v>
      </c>
      <c r="E247" s="523" t="e">
        <f ca="1">gr(calculs!AP247)</f>
        <v>#NAME?</v>
      </c>
      <c r="F247" s="523" t="e">
        <f ca="1">gr(calculs!AQ247)</f>
        <v>#NAME?</v>
      </c>
      <c r="G247" s="523" t="e">
        <f ca="1">gr(calculs!U247)</f>
        <v>#NAME?</v>
      </c>
      <c r="H247" s="523" t="e">
        <f ca="1">gr(calculs!AA247)</f>
        <v>#NAME?</v>
      </c>
      <c r="I247" s="523" t="e">
        <f ca="1">gr(calculs!AG247)</f>
        <v>#NAME?</v>
      </c>
      <c r="J247" s="523" t="e">
        <f ca="1">gr(calculs!AM247)</f>
        <v>#NAME?</v>
      </c>
      <c r="K247" s="523" t="e">
        <f ca="1">gr(calculs!AR247)</f>
        <v>#NAME?</v>
      </c>
    </row>
    <row r="248" spans="1:11" x14ac:dyDescent="0.2">
      <c r="A248" s="222">
        <f>calculs!A248</f>
        <v>44799</v>
      </c>
      <c r="B248" s="523" t="e">
        <f ca="1">gr(calculs!X248)</f>
        <v>#NAME?</v>
      </c>
      <c r="C248" s="523" t="e">
        <f ca="1">gr(calculs!AD248)</f>
        <v>#NAME?</v>
      </c>
      <c r="D248" s="523" t="e">
        <f ca="1">gr(calculs!AJ248)</f>
        <v>#NAME?</v>
      </c>
      <c r="E248" s="523" t="e">
        <f ca="1">gr(calculs!AP248)</f>
        <v>#NAME?</v>
      </c>
      <c r="F248" s="523" t="e">
        <f ca="1">gr(calculs!AQ248)</f>
        <v>#NAME?</v>
      </c>
      <c r="G248" s="523" t="e">
        <f ca="1">gr(calculs!U248)</f>
        <v>#NAME?</v>
      </c>
      <c r="H248" s="523" t="e">
        <f ca="1">gr(calculs!AA248)</f>
        <v>#NAME?</v>
      </c>
      <c r="I248" s="523" t="e">
        <f ca="1">gr(calculs!AG248)</f>
        <v>#NAME?</v>
      </c>
      <c r="J248" s="523" t="e">
        <f ca="1">gr(calculs!AM248)</f>
        <v>#NAME?</v>
      </c>
      <c r="K248" s="523" t="e">
        <f ca="1">gr(calculs!AR248)</f>
        <v>#NAME?</v>
      </c>
    </row>
    <row r="249" spans="1:11" x14ac:dyDescent="0.2">
      <c r="A249" s="222">
        <f>calculs!A249</f>
        <v>44800</v>
      </c>
      <c r="B249" s="523" t="e">
        <f ca="1">gr(calculs!X249)</f>
        <v>#NAME?</v>
      </c>
      <c r="C249" s="523" t="e">
        <f ca="1">gr(calculs!AD249)</f>
        <v>#NAME?</v>
      </c>
      <c r="D249" s="523" t="e">
        <f ca="1">gr(calculs!AJ249)</f>
        <v>#NAME?</v>
      </c>
      <c r="E249" s="523" t="e">
        <f ca="1">gr(calculs!AP249)</f>
        <v>#NAME?</v>
      </c>
      <c r="F249" s="523" t="e">
        <f ca="1">gr(calculs!AQ249)</f>
        <v>#NAME?</v>
      </c>
      <c r="G249" s="523" t="e">
        <f ca="1">gr(calculs!U249)</f>
        <v>#NAME?</v>
      </c>
      <c r="H249" s="523" t="e">
        <f ca="1">gr(calculs!AA249)</f>
        <v>#NAME?</v>
      </c>
      <c r="I249" s="523" t="e">
        <f ca="1">gr(calculs!AG249)</f>
        <v>#NAME?</v>
      </c>
      <c r="J249" s="523" t="e">
        <f ca="1">gr(calculs!AM249)</f>
        <v>#NAME?</v>
      </c>
      <c r="K249" s="523" t="e">
        <f ca="1">gr(calculs!AR249)</f>
        <v>#NAME?</v>
      </c>
    </row>
    <row r="250" spans="1:11" x14ac:dyDescent="0.2">
      <c r="A250" s="222">
        <f>calculs!A250</f>
        <v>44801</v>
      </c>
      <c r="B250" s="523" t="e">
        <f ca="1">gr(calculs!X250)</f>
        <v>#NAME?</v>
      </c>
      <c r="C250" s="523" t="e">
        <f ca="1">gr(calculs!AD250)</f>
        <v>#NAME?</v>
      </c>
      <c r="D250" s="523" t="e">
        <f ca="1">gr(calculs!AJ250)</f>
        <v>#NAME?</v>
      </c>
      <c r="E250" s="523" t="e">
        <f ca="1">gr(calculs!AP250)</f>
        <v>#NAME?</v>
      </c>
      <c r="F250" s="523" t="e">
        <f ca="1">gr(calculs!AQ250)</f>
        <v>#NAME?</v>
      </c>
      <c r="G250" s="523" t="e">
        <f ca="1">gr(calculs!U250)</f>
        <v>#NAME?</v>
      </c>
      <c r="H250" s="523" t="e">
        <f ca="1">gr(calculs!AA250)</f>
        <v>#NAME?</v>
      </c>
      <c r="I250" s="523" t="e">
        <f ca="1">gr(calculs!AG250)</f>
        <v>#NAME?</v>
      </c>
      <c r="J250" s="523" t="e">
        <f ca="1">gr(calculs!AM250)</f>
        <v>#NAME?</v>
      </c>
      <c r="K250" s="523" t="e">
        <f ca="1">gr(calculs!AR250)</f>
        <v>#NAME?</v>
      </c>
    </row>
    <row r="251" spans="1:11" x14ac:dyDescent="0.2">
      <c r="A251" s="222">
        <f>calculs!A251</f>
        <v>44802</v>
      </c>
      <c r="B251" s="523" t="e">
        <f ca="1">gr(calculs!X251)</f>
        <v>#NAME?</v>
      </c>
      <c r="C251" s="523" t="e">
        <f ca="1">gr(calculs!AD251)</f>
        <v>#NAME?</v>
      </c>
      <c r="D251" s="523" t="e">
        <f ca="1">gr(calculs!AJ251)</f>
        <v>#NAME?</v>
      </c>
      <c r="E251" s="523" t="e">
        <f ca="1">gr(calculs!AP251)</f>
        <v>#NAME?</v>
      </c>
      <c r="F251" s="523" t="e">
        <f ca="1">gr(calculs!AQ251)</f>
        <v>#NAME?</v>
      </c>
      <c r="G251" s="523" t="e">
        <f ca="1">gr(calculs!U251)</f>
        <v>#NAME?</v>
      </c>
      <c r="H251" s="523" t="e">
        <f ca="1">gr(calculs!AA251)</f>
        <v>#NAME?</v>
      </c>
      <c r="I251" s="523" t="e">
        <f ca="1">gr(calculs!AG251)</f>
        <v>#NAME?</v>
      </c>
      <c r="J251" s="523" t="e">
        <f ca="1">gr(calculs!AM251)</f>
        <v>#NAME?</v>
      </c>
      <c r="K251" s="523" t="e">
        <f ca="1">gr(calculs!AR251)</f>
        <v>#NAME?</v>
      </c>
    </row>
    <row r="252" spans="1:11" x14ac:dyDescent="0.2">
      <c r="A252" s="222">
        <f>calculs!A252</f>
        <v>44803</v>
      </c>
      <c r="B252" s="523" t="e">
        <f ca="1">gr(calculs!X252)</f>
        <v>#NAME?</v>
      </c>
      <c r="C252" s="523" t="e">
        <f ca="1">gr(calculs!AD252)</f>
        <v>#NAME?</v>
      </c>
      <c r="D252" s="523" t="e">
        <f ca="1">gr(calculs!AJ252)</f>
        <v>#NAME?</v>
      </c>
      <c r="E252" s="523" t="e">
        <f ca="1">gr(calculs!AP252)</f>
        <v>#NAME?</v>
      </c>
      <c r="F252" s="523" t="e">
        <f ca="1">gr(calculs!AQ252)</f>
        <v>#NAME?</v>
      </c>
      <c r="G252" s="523" t="e">
        <f ca="1">gr(calculs!U252)</f>
        <v>#NAME?</v>
      </c>
      <c r="H252" s="523" t="e">
        <f ca="1">gr(calculs!AA252)</f>
        <v>#NAME?</v>
      </c>
      <c r="I252" s="523" t="e">
        <f ca="1">gr(calculs!AG252)</f>
        <v>#NAME?</v>
      </c>
      <c r="J252" s="523" t="e">
        <f ca="1">gr(calculs!AM252)</f>
        <v>#NAME?</v>
      </c>
      <c r="K252" s="523" t="e">
        <f ca="1">gr(calculs!AR252)</f>
        <v>#NAME?</v>
      </c>
    </row>
    <row r="253" spans="1:11" x14ac:dyDescent="0.2">
      <c r="A253" s="222">
        <f>calculs!A253</f>
        <v>44804</v>
      </c>
      <c r="B253" s="523" t="e">
        <f ca="1">gr(calculs!X253)</f>
        <v>#NAME?</v>
      </c>
      <c r="C253" s="523" t="e">
        <f ca="1">gr(calculs!AD253)</f>
        <v>#NAME?</v>
      </c>
      <c r="D253" s="523" t="e">
        <f ca="1">gr(calculs!AJ253)</f>
        <v>#NAME?</v>
      </c>
      <c r="E253" s="523" t="e">
        <f ca="1">gr(calculs!AP253)</f>
        <v>#NAME?</v>
      </c>
      <c r="F253" s="523" t="e">
        <f ca="1">gr(calculs!AQ253)</f>
        <v>#NAME?</v>
      </c>
      <c r="G253" s="523" t="e">
        <f ca="1">gr(calculs!U253)</f>
        <v>#NAME?</v>
      </c>
      <c r="H253" s="523" t="e">
        <f ca="1">gr(calculs!AA253)</f>
        <v>#NAME?</v>
      </c>
      <c r="I253" s="523" t="e">
        <f ca="1">gr(calculs!AG253)</f>
        <v>#NAME?</v>
      </c>
      <c r="J253" s="523" t="e">
        <f ca="1">gr(calculs!AM253)</f>
        <v>#NAME?</v>
      </c>
      <c r="K253" s="523" t="e">
        <f ca="1">gr(calculs!AR253)</f>
        <v>#NAME?</v>
      </c>
    </row>
    <row r="254" spans="1:11" x14ac:dyDescent="0.2">
      <c r="A254" s="222">
        <f>calculs!A254</f>
        <v>44805</v>
      </c>
      <c r="B254" s="523" t="e">
        <f ca="1">gr(calculs!X254)</f>
        <v>#NAME?</v>
      </c>
      <c r="C254" s="523" t="e">
        <f ca="1">gr(calculs!AD254)</f>
        <v>#NAME?</v>
      </c>
      <c r="D254" s="523" t="e">
        <f ca="1">gr(calculs!AJ254)</f>
        <v>#NAME?</v>
      </c>
      <c r="E254" s="523" t="e">
        <f ca="1">gr(calculs!AP254)</f>
        <v>#NAME?</v>
      </c>
      <c r="F254" s="523" t="e">
        <f ca="1">gr(calculs!AQ254)</f>
        <v>#NAME?</v>
      </c>
      <c r="G254" s="523" t="e">
        <f ca="1">gr(calculs!U254)</f>
        <v>#NAME?</v>
      </c>
      <c r="H254" s="523" t="e">
        <f ca="1">gr(calculs!AA254)</f>
        <v>#NAME?</v>
      </c>
      <c r="I254" s="523" t="e">
        <f ca="1">gr(calculs!AG254)</f>
        <v>#NAME?</v>
      </c>
      <c r="J254" s="523" t="e">
        <f ca="1">gr(calculs!AM254)</f>
        <v>#NAME?</v>
      </c>
      <c r="K254" s="523" t="e">
        <f ca="1">gr(calculs!AR254)</f>
        <v>#NAME?</v>
      </c>
    </row>
    <row r="255" spans="1:11" x14ac:dyDescent="0.2">
      <c r="A255" s="222">
        <f>calculs!A255</f>
        <v>44806</v>
      </c>
      <c r="B255" s="523" t="e">
        <f ca="1">gr(calculs!X255)</f>
        <v>#NAME?</v>
      </c>
      <c r="C255" s="523" t="e">
        <f ca="1">gr(calculs!AD255)</f>
        <v>#NAME?</v>
      </c>
      <c r="D255" s="523" t="e">
        <f ca="1">gr(calculs!AJ255)</f>
        <v>#NAME?</v>
      </c>
      <c r="E255" s="523" t="e">
        <f ca="1">gr(calculs!AP255)</f>
        <v>#NAME?</v>
      </c>
      <c r="F255" s="523" t="e">
        <f ca="1">gr(calculs!AQ255)</f>
        <v>#NAME?</v>
      </c>
      <c r="G255" s="523" t="e">
        <f ca="1">gr(calculs!U255)</f>
        <v>#NAME?</v>
      </c>
      <c r="H255" s="523" t="e">
        <f ca="1">gr(calculs!AA255)</f>
        <v>#NAME?</v>
      </c>
      <c r="I255" s="523" t="e">
        <f ca="1">gr(calculs!AG255)</f>
        <v>#NAME?</v>
      </c>
      <c r="J255" s="523" t="e">
        <f ca="1">gr(calculs!AM255)</f>
        <v>#NAME?</v>
      </c>
      <c r="K255" s="523" t="e">
        <f ca="1">gr(calculs!AR255)</f>
        <v>#NAME?</v>
      </c>
    </row>
    <row r="256" spans="1:11" x14ac:dyDescent="0.2">
      <c r="A256" s="222">
        <f>calculs!A256</f>
        <v>44807</v>
      </c>
      <c r="B256" s="523" t="e">
        <f ca="1">gr(calculs!X256)</f>
        <v>#NAME?</v>
      </c>
      <c r="C256" s="523" t="e">
        <f ca="1">gr(calculs!AD256)</f>
        <v>#NAME?</v>
      </c>
      <c r="D256" s="523" t="e">
        <f ca="1">gr(calculs!AJ256)</f>
        <v>#NAME?</v>
      </c>
      <c r="E256" s="523" t="e">
        <f ca="1">gr(calculs!AP256)</f>
        <v>#NAME?</v>
      </c>
      <c r="F256" s="523" t="e">
        <f ca="1">gr(calculs!AQ256)</f>
        <v>#NAME?</v>
      </c>
      <c r="G256" s="523" t="e">
        <f ca="1">gr(calculs!U256)</f>
        <v>#NAME?</v>
      </c>
      <c r="H256" s="523" t="e">
        <f ca="1">gr(calculs!AA256)</f>
        <v>#NAME?</v>
      </c>
      <c r="I256" s="523" t="e">
        <f ca="1">gr(calculs!AG256)</f>
        <v>#NAME?</v>
      </c>
      <c r="J256" s="523" t="e">
        <f ca="1">gr(calculs!AM256)</f>
        <v>#NAME?</v>
      </c>
      <c r="K256" s="523" t="e">
        <f ca="1">gr(calculs!AR256)</f>
        <v>#NAME?</v>
      </c>
    </row>
    <row r="257" spans="1:11" x14ac:dyDescent="0.2">
      <c r="A257" s="222">
        <f>calculs!A257</f>
        <v>44808</v>
      </c>
      <c r="B257" s="523" t="e">
        <f ca="1">gr(calculs!X257)</f>
        <v>#NAME?</v>
      </c>
      <c r="C257" s="523" t="e">
        <f ca="1">gr(calculs!AD257)</f>
        <v>#NAME?</v>
      </c>
      <c r="D257" s="523" t="e">
        <f ca="1">gr(calculs!AJ257)</f>
        <v>#NAME?</v>
      </c>
      <c r="E257" s="523" t="e">
        <f ca="1">gr(calculs!AP257)</f>
        <v>#NAME?</v>
      </c>
      <c r="F257" s="523" t="e">
        <f ca="1">gr(calculs!AQ257)</f>
        <v>#NAME?</v>
      </c>
      <c r="G257" s="523" t="e">
        <f ca="1">gr(calculs!U257)</f>
        <v>#NAME?</v>
      </c>
      <c r="H257" s="523" t="e">
        <f ca="1">gr(calculs!AA257)</f>
        <v>#NAME?</v>
      </c>
      <c r="I257" s="523" t="e">
        <f ca="1">gr(calculs!AG257)</f>
        <v>#NAME?</v>
      </c>
      <c r="J257" s="523" t="e">
        <f ca="1">gr(calculs!AM257)</f>
        <v>#NAME?</v>
      </c>
      <c r="K257" s="523" t="e">
        <f ca="1">gr(calculs!AR257)</f>
        <v>#NAME?</v>
      </c>
    </row>
    <row r="258" spans="1:11" x14ac:dyDescent="0.2">
      <c r="A258" s="222">
        <f>calculs!A258</f>
        <v>44809</v>
      </c>
      <c r="B258" s="523" t="e">
        <f ca="1">gr(calculs!X258)</f>
        <v>#NAME?</v>
      </c>
      <c r="C258" s="523" t="e">
        <f ca="1">gr(calculs!AD258)</f>
        <v>#NAME?</v>
      </c>
      <c r="D258" s="523" t="e">
        <f ca="1">gr(calculs!AJ258)</f>
        <v>#NAME?</v>
      </c>
      <c r="E258" s="523" t="e">
        <f ca="1">gr(calculs!AP258)</f>
        <v>#NAME?</v>
      </c>
      <c r="F258" s="523" t="e">
        <f ca="1">gr(calculs!AQ258)</f>
        <v>#NAME?</v>
      </c>
      <c r="G258" s="523" t="e">
        <f ca="1">gr(calculs!U258)</f>
        <v>#NAME?</v>
      </c>
      <c r="H258" s="523" t="e">
        <f ca="1">gr(calculs!AA258)</f>
        <v>#NAME?</v>
      </c>
      <c r="I258" s="523" t="e">
        <f ca="1">gr(calculs!AG258)</f>
        <v>#NAME?</v>
      </c>
      <c r="J258" s="523" t="e">
        <f ca="1">gr(calculs!AM258)</f>
        <v>#NAME?</v>
      </c>
      <c r="K258" s="523" t="e">
        <f ca="1">gr(calculs!AR258)</f>
        <v>#NAME?</v>
      </c>
    </row>
    <row r="259" spans="1:11" x14ac:dyDescent="0.2">
      <c r="A259" s="222">
        <f>calculs!A259</f>
        <v>44810</v>
      </c>
      <c r="B259" s="523" t="e">
        <f ca="1">gr(calculs!X259)</f>
        <v>#NAME?</v>
      </c>
      <c r="C259" s="523" t="e">
        <f ca="1">gr(calculs!AD259)</f>
        <v>#NAME?</v>
      </c>
      <c r="D259" s="523" t="e">
        <f ca="1">gr(calculs!AJ259)</f>
        <v>#NAME?</v>
      </c>
      <c r="E259" s="523" t="e">
        <f ca="1">gr(calculs!AP259)</f>
        <v>#NAME?</v>
      </c>
      <c r="F259" s="523" t="e">
        <f ca="1">gr(calculs!AQ259)</f>
        <v>#NAME?</v>
      </c>
      <c r="G259" s="523" t="e">
        <f ca="1">gr(calculs!U259)</f>
        <v>#NAME?</v>
      </c>
      <c r="H259" s="523" t="e">
        <f ca="1">gr(calculs!AA259)</f>
        <v>#NAME?</v>
      </c>
      <c r="I259" s="523" t="e">
        <f ca="1">gr(calculs!AG259)</f>
        <v>#NAME?</v>
      </c>
      <c r="J259" s="523" t="e">
        <f ca="1">gr(calculs!AM259)</f>
        <v>#NAME?</v>
      </c>
      <c r="K259" s="523" t="e">
        <f ca="1">gr(calculs!AR259)</f>
        <v>#NAME?</v>
      </c>
    </row>
    <row r="260" spans="1:11" x14ac:dyDescent="0.2">
      <c r="A260" s="222">
        <f>calculs!A260</f>
        <v>44811</v>
      </c>
      <c r="B260" s="523" t="e">
        <f ca="1">gr(calculs!X260)</f>
        <v>#NAME?</v>
      </c>
      <c r="C260" s="523" t="e">
        <f ca="1">gr(calculs!AD260)</f>
        <v>#NAME?</v>
      </c>
      <c r="D260" s="523" t="e">
        <f ca="1">gr(calculs!AJ260)</f>
        <v>#NAME?</v>
      </c>
      <c r="E260" s="523" t="e">
        <f ca="1">gr(calculs!AP260)</f>
        <v>#NAME?</v>
      </c>
      <c r="F260" s="523" t="e">
        <f ca="1">gr(calculs!AQ260)</f>
        <v>#NAME?</v>
      </c>
      <c r="G260" s="523" t="e">
        <f ca="1">gr(calculs!U260)</f>
        <v>#NAME?</v>
      </c>
      <c r="H260" s="523" t="e">
        <f ca="1">gr(calculs!AA260)</f>
        <v>#NAME?</v>
      </c>
      <c r="I260" s="523" t="e">
        <f ca="1">gr(calculs!AG260)</f>
        <v>#NAME?</v>
      </c>
      <c r="J260" s="523" t="e">
        <f ca="1">gr(calculs!AM260)</f>
        <v>#NAME?</v>
      </c>
      <c r="K260" s="523" t="e">
        <f ca="1">gr(calculs!AR260)</f>
        <v>#NAME?</v>
      </c>
    </row>
    <row r="261" spans="1:11" x14ac:dyDescent="0.2">
      <c r="A261" s="222">
        <f>calculs!A261</f>
        <v>44812</v>
      </c>
      <c r="B261" s="523" t="e">
        <f ca="1">gr(calculs!X261)</f>
        <v>#NAME?</v>
      </c>
      <c r="C261" s="523" t="e">
        <f ca="1">gr(calculs!AD261)</f>
        <v>#NAME?</v>
      </c>
      <c r="D261" s="523" t="e">
        <f ca="1">gr(calculs!AJ261)</f>
        <v>#NAME?</v>
      </c>
      <c r="E261" s="523" t="e">
        <f ca="1">gr(calculs!AP261)</f>
        <v>#NAME?</v>
      </c>
      <c r="F261" s="523" t="e">
        <f ca="1">gr(calculs!AQ261)</f>
        <v>#NAME?</v>
      </c>
      <c r="G261" s="523" t="e">
        <f ca="1">gr(calculs!U261)</f>
        <v>#NAME?</v>
      </c>
      <c r="H261" s="523" t="e">
        <f ca="1">gr(calculs!AA261)</f>
        <v>#NAME?</v>
      </c>
      <c r="I261" s="523" t="e">
        <f ca="1">gr(calculs!AG261)</f>
        <v>#NAME?</v>
      </c>
      <c r="J261" s="523" t="e">
        <f ca="1">gr(calculs!AM261)</f>
        <v>#NAME?</v>
      </c>
      <c r="K261" s="523" t="e">
        <f ca="1">gr(calculs!AR261)</f>
        <v>#NAME?</v>
      </c>
    </row>
    <row r="262" spans="1:11" x14ac:dyDescent="0.2">
      <c r="A262" s="222">
        <f>calculs!A262</f>
        <v>44813</v>
      </c>
      <c r="B262" s="523" t="e">
        <f ca="1">gr(calculs!X262)</f>
        <v>#NAME?</v>
      </c>
      <c r="C262" s="523" t="e">
        <f ca="1">gr(calculs!AD262)</f>
        <v>#NAME?</v>
      </c>
      <c r="D262" s="523" t="e">
        <f ca="1">gr(calculs!AJ262)</f>
        <v>#NAME?</v>
      </c>
      <c r="E262" s="523" t="e">
        <f ca="1">gr(calculs!AP262)</f>
        <v>#NAME?</v>
      </c>
      <c r="F262" s="523" t="e">
        <f ca="1">gr(calculs!AQ262)</f>
        <v>#NAME?</v>
      </c>
      <c r="G262" s="523" t="e">
        <f ca="1">gr(calculs!U262)</f>
        <v>#NAME?</v>
      </c>
      <c r="H262" s="523" t="e">
        <f ca="1">gr(calculs!AA262)</f>
        <v>#NAME?</v>
      </c>
      <c r="I262" s="523" t="e">
        <f ca="1">gr(calculs!AG262)</f>
        <v>#NAME?</v>
      </c>
      <c r="J262" s="523" t="e">
        <f ca="1">gr(calculs!AM262)</f>
        <v>#NAME?</v>
      </c>
      <c r="K262" s="523" t="e">
        <f ca="1">gr(calculs!AR262)</f>
        <v>#NAME?</v>
      </c>
    </row>
    <row r="263" spans="1:11" x14ac:dyDescent="0.2">
      <c r="A263" s="222">
        <f>calculs!A263</f>
        <v>44814</v>
      </c>
      <c r="B263" s="523" t="e">
        <f ca="1">gr(calculs!X263)</f>
        <v>#NAME?</v>
      </c>
      <c r="C263" s="523" t="e">
        <f ca="1">gr(calculs!AD263)</f>
        <v>#NAME?</v>
      </c>
      <c r="D263" s="523" t="e">
        <f ca="1">gr(calculs!AJ263)</f>
        <v>#NAME?</v>
      </c>
      <c r="E263" s="523" t="e">
        <f ca="1">gr(calculs!AP263)</f>
        <v>#NAME?</v>
      </c>
      <c r="F263" s="523" t="e">
        <f ca="1">gr(calculs!AQ263)</f>
        <v>#NAME?</v>
      </c>
      <c r="G263" s="523" t="e">
        <f ca="1">gr(calculs!U263)</f>
        <v>#NAME?</v>
      </c>
      <c r="H263" s="523" t="e">
        <f ca="1">gr(calculs!AA263)</f>
        <v>#NAME?</v>
      </c>
      <c r="I263" s="523" t="e">
        <f ca="1">gr(calculs!AG263)</f>
        <v>#NAME?</v>
      </c>
      <c r="J263" s="523" t="e">
        <f ca="1">gr(calculs!AM263)</f>
        <v>#NAME?</v>
      </c>
      <c r="K263" s="523" t="e">
        <f ca="1">gr(calculs!AR263)</f>
        <v>#NAME?</v>
      </c>
    </row>
    <row r="264" spans="1:11" x14ac:dyDescent="0.2">
      <c r="A264" s="222">
        <f>calculs!A264</f>
        <v>44815</v>
      </c>
      <c r="B264" s="523" t="e">
        <f ca="1">gr(calculs!X264)</f>
        <v>#NAME?</v>
      </c>
      <c r="C264" s="523" t="e">
        <f ca="1">gr(calculs!AD264)</f>
        <v>#NAME?</v>
      </c>
      <c r="D264" s="523" t="e">
        <f ca="1">gr(calculs!AJ264)</f>
        <v>#NAME?</v>
      </c>
      <c r="E264" s="523" t="e">
        <f ca="1">gr(calculs!AP264)</f>
        <v>#NAME?</v>
      </c>
      <c r="F264" s="523" t="e">
        <f ca="1">gr(calculs!AQ264)</f>
        <v>#NAME?</v>
      </c>
      <c r="G264" s="523" t="e">
        <f ca="1">gr(calculs!U264)</f>
        <v>#NAME?</v>
      </c>
      <c r="H264" s="523" t="e">
        <f ca="1">gr(calculs!AA264)</f>
        <v>#NAME?</v>
      </c>
      <c r="I264" s="523" t="e">
        <f ca="1">gr(calculs!AG264)</f>
        <v>#NAME?</v>
      </c>
      <c r="J264" s="523" t="e">
        <f ca="1">gr(calculs!AM264)</f>
        <v>#NAME?</v>
      </c>
      <c r="K264" s="523" t="e">
        <f ca="1">gr(calculs!AR264)</f>
        <v>#NAME?</v>
      </c>
    </row>
    <row r="265" spans="1:11" x14ac:dyDescent="0.2">
      <c r="A265" s="222">
        <f>calculs!A265</f>
        <v>44816</v>
      </c>
      <c r="B265" s="523" t="e">
        <f ca="1">gr(calculs!X265)</f>
        <v>#NAME?</v>
      </c>
      <c r="C265" s="523" t="e">
        <f ca="1">gr(calculs!AD265)</f>
        <v>#NAME?</v>
      </c>
      <c r="D265" s="523" t="e">
        <f ca="1">gr(calculs!AJ265)</f>
        <v>#NAME?</v>
      </c>
      <c r="E265" s="523" t="e">
        <f ca="1">gr(calculs!AP265)</f>
        <v>#NAME?</v>
      </c>
      <c r="F265" s="523" t="e">
        <f ca="1">gr(calculs!AQ265)</f>
        <v>#NAME?</v>
      </c>
      <c r="G265" s="523" t="e">
        <f ca="1">gr(calculs!U265)</f>
        <v>#NAME?</v>
      </c>
      <c r="H265" s="523" t="e">
        <f ca="1">gr(calculs!AA265)</f>
        <v>#NAME?</v>
      </c>
      <c r="I265" s="523" t="e">
        <f ca="1">gr(calculs!AG265)</f>
        <v>#NAME?</v>
      </c>
      <c r="J265" s="523" t="e">
        <f ca="1">gr(calculs!AM265)</f>
        <v>#NAME?</v>
      </c>
      <c r="K265" s="523" t="e">
        <f ca="1">gr(calculs!AR265)</f>
        <v>#NAME?</v>
      </c>
    </row>
    <row r="266" spans="1:11" x14ac:dyDescent="0.2">
      <c r="A266" s="222">
        <f>calculs!A266</f>
        <v>44817</v>
      </c>
      <c r="B266" s="523" t="e">
        <f ca="1">gr(calculs!X266)</f>
        <v>#NAME?</v>
      </c>
      <c r="C266" s="523" t="e">
        <f ca="1">gr(calculs!AD266)</f>
        <v>#NAME?</v>
      </c>
      <c r="D266" s="523" t="e">
        <f ca="1">gr(calculs!AJ266)</f>
        <v>#NAME?</v>
      </c>
      <c r="E266" s="523" t="e">
        <f ca="1">gr(calculs!AP266)</f>
        <v>#NAME?</v>
      </c>
      <c r="F266" s="523" t="e">
        <f ca="1">gr(calculs!AQ266)</f>
        <v>#NAME?</v>
      </c>
      <c r="G266" s="523" t="e">
        <f ca="1">gr(calculs!U266)</f>
        <v>#NAME?</v>
      </c>
      <c r="H266" s="523" t="e">
        <f ca="1">gr(calculs!AA266)</f>
        <v>#NAME?</v>
      </c>
      <c r="I266" s="523" t="e">
        <f ca="1">gr(calculs!AG266)</f>
        <v>#NAME?</v>
      </c>
      <c r="J266" s="523" t="e">
        <f ca="1">gr(calculs!AM266)</f>
        <v>#NAME?</v>
      </c>
      <c r="K266" s="523" t="e">
        <f ca="1">gr(calculs!AR266)</f>
        <v>#NAME?</v>
      </c>
    </row>
    <row r="267" spans="1:11" x14ac:dyDescent="0.2">
      <c r="A267" s="222">
        <f>calculs!A267</f>
        <v>44818</v>
      </c>
      <c r="B267" s="523" t="e">
        <f ca="1">gr(calculs!X267)</f>
        <v>#NAME?</v>
      </c>
      <c r="C267" s="523" t="e">
        <f ca="1">gr(calculs!AD267)</f>
        <v>#NAME?</v>
      </c>
      <c r="D267" s="523" t="e">
        <f ca="1">gr(calculs!AJ267)</f>
        <v>#NAME?</v>
      </c>
      <c r="E267" s="523" t="e">
        <f ca="1">gr(calculs!AP267)</f>
        <v>#NAME?</v>
      </c>
      <c r="F267" s="523" t="e">
        <f ca="1">gr(calculs!AQ267)</f>
        <v>#NAME?</v>
      </c>
      <c r="G267" s="523" t="e">
        <f ca="1">gr(calculs!U267)</f>
        <v>#NAME?</v>
      </c>
      <c r="H267" s="523" t="e">
        <f ca="1">gr(calculs!AA267)</f>
        <v>#NAME?</v>
      </c>
      <c r="I267" s="523" t="e">
        <f ca="1">gr(calculs!AG267)</f>
        <v>#NAME?</v>
      </c>
      <c r="J267" s="523" t="e">
        <f ca="1">gr(calculs!AM267)</f>
        <v>#NAME?</v>
      </c>
      <c r="K267" s="523" t="e">
        <f ca="1">gr(calculs!AR267)</f>
        <v>#NAME?</v>
      </c>
    </row>
    <row r="268" spans="1:11" x14ac:dyDescent="0.2">
      <c r="A268" s="222">
        <f>calculs!A268</f>
        <v>44819</v>
      </c>
      <c r="B268" s="523" t="e">
        <f ca="1">gr(calculs!X268)</f>
        <v>#NAME?</v>
      </c>
      <c r="C268" s="523" t="e">
        <f ca="1">gr(calculs!AD268)</f>
        <v>#NAME?</v>
      </c>
      <c r="D268" s="523" t="e">
        <f ca="1">gr(calculs!AJ268)</f>
        <v>#NAME?</v>
      </c>
      <c r="E268" s="523" t="e">
        <f ca="1">gr(calculs!AP268)</f>
        <v>#NAME?</v>
      </c>
      <c r="F268" s="523" t="e">
        <f ca="1">gr(calculs!AQ268)</f>
        <v>#NAME?</v>
      </c>
      <c r="G268" s="523" t="e">
        <f ca="1">gr(calculs!U268)</f>
        <v>#NAME?</v>
      </c>
      <c r="H268" s="523" t="e">
        <f ca="1">gr(calculs!AA268)</f>
        <v>#NAME?</v>
      </c>
      <c r="I268" s="523" t="e">
        <f ca="1">gr(calculs!AG268)</f>
        <v>#NAME?</v>
      </c>
      <c r="J268" s="523" t="e">
        <f ca="1">gr(calculs!AM268)</f>
        <v>#NAME?</v>
      </c>
      <c r="K268" s="523" t="e">
        <f ca="1">gr(calculs!AR268)</f>
        <v>#NAME?</v>
      </c>
    </row>
    <row r="269" spans="1:11" x14ac:dyDescent="0.2">
      <c r="A269" s="222">
        <f>calculs!A269</f>
        <v>44820</v>
      </c>
      <c r="B269" s="523" t="e">
        <f ca="1">gr(calculs!X269)</f>
        <v>#NAME?</v>
      </c>
      <c r="C269" s="523" t="e">
        <f ca="1">gr(calculs!AD269)</f>
        <v>#NAME?</v>
      </c>
      <c r="D269" s="523" t="e">
        <f ca="1">gr(calculs!AJ269)</f>
        <v>#NAME?</v>
      </c>
      <c r="E269" s="523" t="e">
        <f ca="1">gr(calculs!AP269)</f>
        <v>#NAME?</v>
      </c>
      <c r="F269" s="523" t="e">
        <f ca="1">gr(calculs!AQ269)</f>
        <v>#NAME?</v>
      </c>
      <c r="G269" s="523" t="e">
        <f ca="1">gr(calculs!U269)</f>
        <v>#NAME?</v>
      </c>
      <c r="H269" s="523" t="e">
        <f ca="1">gr(calculs!AA269)</f>
        <v>#NAME?</v>
      </c>
      <c r="I269" s="523" t="e">
        <f ca="1">gr(calculs!AG269)</f>
        <v>#NAME?</v>
      </c>
      <c r="J269" s="523" t="e">
        <f ca="1">gr(calculs!AM269)</f>
        <v>#NAME?</v>
      </c>
      <c r="K269" s="523" t="e">
        <f ca="1">gr(calculs!AR269)</f>
        <v>#NAME?</v>
      </c>
    </row>
    <row r="270" spans="1:11" x14ac:dyDescent="0.2">
      <c r="A270" s="222">
        <f>calculs!A270</f>
        <v>44821</v>
      </c>
      <c r="B270" s="523" t="e">
        <f ca="1">gr(calculs!X270)</f>
        <v>#NAME?</v>
      </c>
      <c r="C270" s="523" t="e">
        <f ca="1">gr(calculs!AD270)</f>
        <v>#NAME?</v>
      </c>
      <c r="D270" s="523" t="e">
        <f ca="1">gr(calculs!AJ270)</f>
        <v>#NAME?</v>
      </c>
      <c r="E270" s="523" t="e">
        <f ca="1">gr(calculs!AP270)</f>
        <v>#NAME?</v>
      </c>
      <c r="F270" s="523" t="e">
        <f ca="1">gr(calculs!AQ270)</f>
        <v>#NAME?</v>
      </c>
      <c r="G270" s="523" t="e">
        <f ca="1">gr(calculs!U270)</f>
        <v>#NAME?</v>
      </c>
      <c r="H270" s="523" t="e">
        <f ca="1">gr(calculs!AA270)</f>
        <v>#NAME?</v>
      </c>
      <c r="I270" s="523" t="e">
        <f ca="1">gr(calculs!AG270)</f>
        <v>#NAME?</v>
      </c>
      <c r="J270" s="523" t="e">
        <f ca="1">gr(calculs!AM270)</f>
        <v>#NAME?</v>
      </c>
      <c r="K270" s="523" t="e">
        <f ca="1">gr(calculs!AR270)</f>
        <v>#NAME?</v>
      </c>
    </row>
    <row r="271" spans="1:11" x14ac:dyDescent="0.2">
      <c r="A271" s="222">
        <f>calculs!A271</f>
        <v>44822</v>
      </c>
      <c r="B271" s="523" t="e">
        <f ca="1">gr(calculs!X271)</f>
        <v>#NAME?</v>
      </c>
      <c r="C271" s="523" t="e">
        <f ca="1">gr(calculs!AD271)</f>
        <v>#NAME?</v>
      </c>
      <c r="D271" s="523" t="e">
        <f ca="1">gr(calculs!AJ271)</f>
        <v>#NAME?</v>
      </c>
      <c r="E271" s="523" t="e">
        <f ca="1">gr(calculs!AP271)</f>
        <v>#NAME?</v>
      </c>
      <c r="F271" s="523" t="e">
        <f ca="1">gr(calculs!AQ271)</f>
        <v>#NAME?</v>
      </c>
      <c r="G271" s="523" t="e">
        <f ca="1">gr(calculs!U271)</f>
        <v>#NAME?</v>
      </c>
      <c r="H271" s="523" t="e">
        <f ca="1">gr(calculs!AA271)</f>
        <v>#NAME?</v>
      </c>
      <c r="I271" s="523" t="e">
        <f ca="1">gr(calculs!AG271)</f>
        <v>#NAME?</v>
      </c>
      <c r="J271" s="523" t="e">
        <f ca="1">gr(calculs!AM271)</f>
        <v>#NAME?</v>
      </c>
      <c r="K271" s="523" t="e">
        <f ca="1">gr(calculs!AR271)</f>
        <v>#NAME?</v>
      </c>
    </row>
    <row r="272" spans="1:11" x14ac:dyDescent="0.2">
      <c r="A272" s="222">
        <f>calculs!A272</f>
        <v>44823</v>
      </c>
      <c r="B272" s="523" t="e">
        <f ca="1">gr(calculs!X272)</f>
        <v>#NAME?</v>
      </c>
      <c r="C272" s="523" t="e">
        <f ca="1">gr(calculs!AD272)</f>
        <v>#NAME?</v>
      </c>
      <c r="D272" s="523" t="e">
        <f ca="1">gr(calculs!AJ272)</f>
        <v>#NAME?</v>
      </c>
      <c r="E272" s="523" t="e">
        <f ca="1">gr(calculs!AP272)</f>
        <v>#NAME?</v>
      </c>
      <c r="F272" s="523" t="e">
        <f ca="1">gr(calculs!AQ272)</f>
        <v>#NAME?</v>
      </c>
      <c r="G272" s="523" t="e">
        <f ca="1">gr(calculs!U272)</f>
        <v>#NAME?</v>
      </c>
      <c r="H272" s="523" t="e">
        <f ca="1">gr(calculs!AA272)</f>
        <v>#NAME?</v>
      </c>
      <c r="I272" s="523" t="e">
        <f ca="1">gr(calculs!AG272)</f>
        <v>#NAME?</v>
      </c>
      <c r="J272" s="523" t="e">
        <f ca="1">gr(calculs!AM272)</f>
        <v>#NAME?</v>
      </c>
      <c r="K272" s="523" t="e">
        <f ca="1">gr(calculs!AR272)</f>
        <v>#NAME?</v>
      </c>
    </row>
    <row r="273" spans="1:11" x14ac:dyDescent="0.2">
      <c r="A273" s="222">
        <f>calculs!A273</f>
        <v>44824</v>
      </c>
      <c r="B273" s="523" t="e">
        <f ca="1">gr(calculs!X273)</f>
        <v>#NAME?</v>
      </c>
      <c r="C273" s="523" t="e">
        <f ca="1">gr(calculs!AD273)</f>
        <v>#NAME?</v>
      </c>
      <c r="D273" s="523" t="e">
        <f ca="1">gr(calculs!AJ273)</f>
        <v>#NAME?</v>
      </c>
      <c r="E273" s="523" t="e">
        <f ca="1">gr(calculs!AP273)</f>
        <v>#NAME?</v>
      </c>
      <c r="F273" s="523" t="e">
        <f ca="1">gr(calculs!AQ273)</f>
        <v>#NAME?</v>
      </c>
      <c r="G273" s="523" t="e">
        <f ca="1">gr(calculs!U273)</f>
        <v>#NAME?</v>
      </c>
      <c r="H273" s="523" t="e">
        <f ca="1">gr(calculs!AA273)</f>
        <v>#NAME?</v>
      </c>
      <c r="I273" s="523" t="e">
        <f ca="1">gr(calculs!AG273)</f>
        <v>#NAME?</v>
      </c>
      <c r="J273" s="523" t="e">
        <f ca="1">gr(calculs!AM273)</f>
        <v>#NAME?</v>
      </c>
      <c r="K273" s="523" t="e">
        <f ca="1">gr(calculs!AR273)</f>
        <v>#NAME?</v>
      </c>
    </row>
    <row r="274" spans="1:11" x14ac:dyDescent="0.2">
      <c r="A274" s="222">
        <f>calculs!A274</f>
        <v>44825</v>
      </c>
      <c r="B274" s="523" t="e">
        <f ca="1">gr(calculs!X274)</f>
        <v>#NAME?</v>
      </c>
      <c r="C274" s="523" t="e">
        <f ca="1">gr(calculs!AD274)</f>
        <v>#NAME?</v>
      </c>
      <c r="D274" s="523" t="e">
        <f ca="1">gr(calculs!AJ274)</f>
        <v>#NAME?</v>
      </c>
      <c r="E274" s="523" t="e">
        <f ca="1">gr(calculs!AP274)</f>
        <v>#NAME?</v>
      </c>
      <c r="F274" s="523" t="e">
        <f ca="1">gr(calculs!AQ274)</f>
        <v>#NAME?</v>
      </c>
      <c r="G274" s="523" t="e">
        <f ca="1">gr(calculs!U274)</f>
        <v>#NAME?</v>
      </c>
      <c r="H274" s="523" t="e">
        <f ca="1">gr(calculs!AA274)</f>
        <v>#NAME?</v>
      </c>
      <c r="I274" s="523" t="e">
        <f ca="1">gr(calculs!AG274)</f>
        <v>#NAME?</v>
      </c>
      <c r="J274" s="523" t="e">
        <f ca="1">gr(calculs!AM274)</f>
        <v>#NAME?</v>
      </c>
      <c r="K274" s="523" t="e">
        <f ca="1">gr(calculs!AR274)</f>
        <v>#NAME?</v>
      </c>
    </row>
    <row r="275" spans="1:11" x14ac:dyDescent="0.2">
      <c r="A275" s="222">
        <f>calculs!A275</f>
        <v>44826</v>
      </c>
      <c r="B275" s="523" t="e">
        <f ca="1">gr(calculs!X275)</f>
        <v>#NAME?</v>
      </c>
      <c r="C275" s="523" t="e">
        <f ca="1">gr(calculs!AD275)</f>
        <v>#NAME?</v>
      </c>
      <c r="D275" s="523" t="e">
        <f ca="1">gr(calculs!AJ275)</f>
        <v>#NAME?</v>
      </c>
      <c r="E275" s="523" t="e">
        <f ca="1">gr(calculs!AP275)</f>
        <v>#NAME?</v>
      </c>
      <c r="F275" s="523" t="e">
        <f ca="1">gr(calculs!AQ275)</f>
        <v>#NAME?</v>
      </c>
      <c r="G275" s="523" t="e">
        <f ca="1">gr(calculs!U275)</f>
        <v>#NAME?</v>
      </c>
      <c r="H275" s="523" t="e">
        <f ca="1">gr(calculs!AA275)</f>
        <v>#NAME?</v>
      </c>
      <c r="I275" s="523" t="e">
        <f ca="1">gr(calculs!AG275)</f>
        <v>#NAME?</v>
      </c>
      <c r="J275" s="523" t="e">
        <f ca="1">gr(calculs!AM275)</f>
        <v>#NAME?</v>
      </c>
      <c r="K275" s="523" t="e">
        <f ca="1">gr(calculs!AR275)</f>
        <v>#NAME?</v>
      </c>
    </row>
    <row r="276" spans="1:11" x14ac:dyDescent="0.2">
      <c r="A276" s="222">
        <f>calculs!A276</f>
        <v>44827</v>
      </c>
      <c r="B276" s="523" t="e">
        <f ca="1">gr(calculs!X276)</f>
        <v>#NAME?</v>
      </c>
      <c r="C276" s="523" t="e">
        <f ca="1">gr(calculs!AD276)</f>
        <v>#NAME?</v>
      </c>
      <c r="D276" s="523" t="e">
        <f ca="1">gr(calculs!AJ276)</f>
        <v>#NAME?</v>
      </c>
      <c r="E276" s="523" t="e">
        <f ca="1">gr(calculs!AP276)</f>
        <v>#NAME?</v>
      </c>
      <c r="F276" s="523" t="e">
        <f ca="1">gr(calculs!AQ276)</f>
        <v>#NAME?</v>
      </c>
      <c r="G276" s="523" t="e">
        <f ca="1">gr(calculs!U276)</f>
        <v>#NAME?</v>
      </c>
      <c r="H276" s="523" t="e">
        <f ca="1">gr(calculs!AA276)</f>
        <v>#NAME?</v>
      </c>
      <c r="I276" s="523" t="e">
        <f ca="1">gr(calculs!AG276)</f>
        <v>#NAME?</v>
      </c>
      <c r="J276" s="523" t="e">
        <f ca="1">gr(calculs!AM276)</f>
        <v>#NAME?</v>
      </c>
      <c r="K276" s="523" t="e">
        <f ca="1">gr(calculs!AR276)</f>
        <v>#NAME?</v>
      </c>
    </row>
    <row r="277" spans="1:11" x14ac:dyDescent="0.2">
      <c r="A277" s="222">
        <f>calculs!A277</f>
        <v>44828</v>
      </c>
      <c r="B277" s="523" t="e">
        <f ca="1">gr(calculs!X277)</f>
        <v>#NAME?</v>
      </c>
      <c r="C277" s="523" t="e">
        <f ca="1">gr(calculs!AD277)</f>
        <v>#NAME?</v>
      </c>
      <c r="D277" s="523" t="e">
        <f ca="1">gr(calculs!AJ277)</f>
        <v>#NAME?</v>
      </c>
      <c r="E277" s="523" t="e">
        <f ca="1">gr(calculs!AP277)</f>
        <v>#NAME?</v>
      </c>
      <c r="F277" s="523" t="e">
        <f ca="1">gr(calculs!AQ277)</f>
        <v>#NAME?</v>
      </c>
      <c r="G277" s="523" t="e">
        <f ca="1">gr(calculs!U277)</f>
        <v>#NAME?</v>
      </c>
      <c r="H277" s="523" t="e">
        <f ca="1">gr(calculs!AA277)</f>
        <v>#NAME?</v>
      </c>
      <c r="I277" s="523" t="e">
        <f ca="1">gr(calculs!AG277)</f>
        <v>#NAME?</v>
      </c>
      <c r="J277" s="523" t="e">
        <f ca="1">gr(calculs!AM277)</f>
        <v>#NAME?</v>
      </c>
      <c r="K277" s="523" t="e">
        <f ca="1">gr(calculs!AR277)</f>
        <v>#NAME?</v>
      </c>
    </row>
    <row r="278" spans="1:11" x14ac:dyDescent="0.2">
      <c r="A278" s="222">
        <f>calculs!A278</f>
        <v>44829</v>
      </c>
      <c r="B278" s="523" t="e">
        <f ca="1">gr(calculs!X278)</f>
        <v>#NAME?</v>
      </c>
      <c r="C278" s="523" t="e">
        <f ca="1">gr(calculs!AD278)</f>
        <v>#NAME?</v>
      </c>
      <c r="D278" s="523" t="e">
        <f ca="1">gr(calculs!AJ278)</f>
        <v>#NAME?</v>
      </c>
      <c r="E278" s="523" t="e">
        <f ca="1">gr(calculs!AP278)</f>
        <v>#NAME?</v>
      </c>
      <c r="F278" s="523" t="e">
        <f ca="1">gr(calculs!AQ278)</f>
        <v>#NAME?</v>
      </c>
      <c r="G278" s="523" t="e">
        <f ca="1">gr(calculs!U278)</f>
        <v>#NAME?</v>
      </c>
      <c r="H278" s="523" t="e">
        <f ca="1">gr(calculs!AA278)</f>
        <v>#NAME?</v>
      </c>
      <c r="I278" s="523" t="e">
        <f ca="1">gr(calculs!AG278)</f>
        <v>#NAME?</v>
      </c>
      <c r="J278" s="523" t="e">
        <f ca="1">gr(calculs!AM278)</f>
        <v>#NAME?</v>
      </c>
      <c r="K278" s="523" t="e">
        <f ca="1">gr(calculs!AR278)</f>
        <v>#NAME?</v>
      </c>
    </row>
    <row r="279" spans="1:11" x14ac:dyDescent="0.2">
      <c r="A279" s="222">
        <f>calculs!A279</f>
        <v>44830</v>
      </c>
      <c r="B279" s="523" t="e">
        <f ca="1">gr(calculs!X279)</f>
        <v>#NAME?</v>
      </c>
      <c r="C279" s="523" t="e">
        <f ca="1">gr(calculs!AD279)</f>
        <v>#NAME?</v>
      </c>
      <c r="D279" s="523" t="e">
        <f ca="1">gr(calculs!AJ279)</f>
        <v>#NAME?</v>
      </c>
      <c r="E279" s="523" t="e">
        <f ca="1">gr(calculs!AP279)</f>
        <v>#NAME?</v>
      </c>
      <c r="F279" s="523" t="e">
        <f ca="1">gr(calculs!AQ279)</f>
        <v>#NAME?</v>
      </c>
      <c r="G279" s="523" t="e">
        <f ca="1">gr(calculs!U279)</f>
        <v>#NAME?</v>
      </c>
      <c r="H279" s="523" t="e">
        <f ca="1">gr(calculs!AA279)</f>
        <v>#NAME?</v>
      </c>
      <c r="I279" s="523" t="e">
        <f ca="1">gr(calculs!AG279)</f>
        <v>#NAME?</v>
      </c>
      <c r="J279" s="523" t="e">
        <f ca="1">gr(calculs!AM279)</f>
        <v>#NAME?</v>
      </c>
      <c r="K279" s="523" t="e">
        <f ca="1">gr(calculs!AR279)</f>
        <v>#NAME?</v>
      </c>
    </row>
    <row r="280" spans="1:11" x14ac:dyDescent="0.2">
      <c r="A280" s="222">
        <f>calculs!A280</f>
        <v>44831</v>
      </c>
      <c r="B280" s="523" t="e">
        <f ca="1">gr(calculs!X280)</f>
        <v>#NAME?</v>
      </c>
      <c r="C280" s="523" t="e">
        <f ca="1">gr(calculs!AD280)</f>
        <v>#NAME?</v>
      </c>
      <c r="D280" s="523" t="e">
        <f ca="1">gr(calculs!AJ280)</f>
        <v>#NAME?</v>
      </c>
      <c r="E280" s="523" t="e">
        <f ca="1">gr(calculs!AP280)</f>
        <v>#NAME?</v>
      </c>
      <c r="F280" s="523" t="e">
        <f ca="1">gr(calculs!AQ280)</f>
        <v>#NAME?</v>
      </c>
      <c r="G280" s="523" t="e">
        <f ca="1">gr(calculs!U280)</f>
        <v>#NAME?</v>
      </c>
      <c r="H280" s="523" t="e">
        <f ca="1">gr(calculs!AA280)</f>
        <v>#NAME?</v>
      </c>
      <c r="I280" s="523" t="e">
        <f ca="1">gr(calculs!AG280)</f>
        <v>#NAME?</v>
      </c>
      <c r="J280" s="523" t="e">
        <f ca="1">gr(calculs!AM280)</f>
        <v>#NAME?</v>
      </c>
      <c r="K280" s="523" t="e">
        <f ca="1">gr(calculs!AR280)</f>
        <v>#NAME?</v>
      </c>
    </row>
    <row r="281" spans="1:11" x14ac:dyDescent="0.2">
      <c r="A281" s="222">
        <f>calculs!A281</f>
        <v>44832</v>
      </c>
      <c r="B281" s="523" t="e">
        <f ca="1">gr(calculs!X281)</f>
        <v>#NAME?</v>
      </c>
      <c r="C281" s="523" t="e">
        <f ca="1">gr(calculs!AD281)</f>
        <v>#NAME?</v>
      </c>
      <c r="D281" s="523" t="e">
        <f ca="1">gr(calculs!AJ281)</f>
        <v>#NAME?</v>
      </c>
      <c r="E281" s="523" t="e">
        <f ca="1">gr(calculs!AP281)</f>
        <v>#NAME?</v>
      </c>
      <c r="F281" s="523" t="e">
        <f ca="1">gr(calculs!AQ281)</f>
        <v>#NAME?</v>
      </c>
      <c r="G281" s="523" t="e">
        <f ca="1">gr(calculs!U281)</f>
        <v>#NAME?</v>
      </c>
      <c r="H281" s="523" t="e">
        <f ca="1">gr(calculs!AA281)</f>
        <v>#NAME?</v>
      </c>
      <c r="I281" s="523" t="e">
        <f ca="1">gr(calculs!AG281)</f>
        <v>#NAME?</v>
      </c>
      <c r="J281" s="523" t="e">
        <f ca="1">gr(calculs!AM281)</f>
        <v>#NAME?</v>
      </c>
      <c r="K281" s="523" t="e">
        <f ca="1">gr(calculs!AR281)</f>
        <v>#NAME?</v>
      </c>
    </row>
    <row r="282" spans="1:11" x14ac:dyDescent="0.2">
      <c r="A282" s="222">
        <f>calculs!A282</f>
        <v>44833</v>
      </c>
      <c r="B282" s="523" t="e">
        <f ca="1">gr(calculs!X282)</f>
        <v>#NAME?</v>
      </c>
      <c r="C282" s="523" t="e">
        <f ca="1">gr(calculs!AD282)</f>
        <v>#NAME?</v>
      </c>
      <c r="D282" s="523" t="e">
        <f ca="1">gr(calculs!AJ282)</f>
        <v>#NAME?</v>
      </c>
      <c r="E282" s="523" t="e">
        <f ca="1">gr(calculs!AP282)</f>
        <v>#NAME?</v>
      </c>
      <c r="F282" s="523" t="e">
        <f ca="1">gr(calculs!AQ282)</f>
        <v>#NAME?</v>
      </c>
      <c r="G282" s="523" t="e">
        <f ca="1">gr(calculs!U282)</f>
        <v>#NAME?</v>
      </c>
      <c r="H282" s="523" t="e">
        <f ca="1">gr(calculs!AA282)</f>
        <v>#NAME?</v>
      </c>
      <c r="I282" s="523" t="e">
        <f ca="1">gr(calculs!AG282)</f>
        <v>#NAME?</v>
      </c>
      <c r="J282" s="523" t="e">
        <f ca="1">gr(calculs!AM282)</f>
        <v>#NAME?</v>
      </c>
      <c r="K282" s="523" t="e">
        <f ca="1">gr(calculs!AR282)</f>
        <v>#NAME?</v>
      </c>
    </row>
    <row r="283" spans="1:11" x14ac:dyDescent="0.2">
      <c r="A283" s="222">
        <f>calculs!A283</f>
        <v>44834</v>
      </c>
      <c r="B283" s="523" t="e">
        <f ca="1">gr(calculs!X283)</f>
        <v>#NAME?</v>
      </c>
      <c r="C283" s="523" t="e">
        <f ca="1">gr(calculs!AD283)</f>
        <v>#NAME?</v>
      </c>
      <c r="D283" s="523" t="e">
        <f ca="1">gr(calculs!AJ283)</f>
        <v>#NAME?</v>
      </c>
      <c r="E283" s="523" t="e">
        <f ca="1">gr(calculs!AP283)</f>
        <v>#NAME?</v>
      </c>
      <c r="F283" s="523" t="e">
        <f ca="1">gr(calculs!AQ283)</f>
        <v>#NAME?</v>
      </c>
      <c r="G283" s="523" t="e">
        <f ca="1">gr(calculs!U283)</f>
        <v>#NAME?</v>
      </c>
      <c r="H283" s="523" t="e">
        <f ca="1">gr(calculs!AA283)</f>
        <v>#NAME?</v>
      </c>
      <c r="I283" s="523" t="e">
        <f ca="1">gr(calculs!AG283)</f>
        <v>#NAME?</v>
      </c>
      <c r="J283" s="523" t="e">
        <f ca="1">gr(calculs!AM283)</f>
        <v>#NAME?</v>
      </c>
      <c r="K283" s="523" t="e">
        <f ca="1">gr(calculs!AR283)</f>
        <v>#NAME?</v>
      </c>
    </row>
    <row r="284" spans="1:11" x14ac:dyDescent="0.2">
      <c r="A284" s="222">
        <f>calculs!A284</f>
        <v>44835</v>
      </c>
      <c r="B284" s="523" t="e">
        <f ca="1">gr(calculs!X284)</f>
        <v>#NAME?</v>
      </c>
      <c r="C284" s="523" t="e">
        <f ca="1">gr(calculs!AD284)</f>
        <v>#NAME?</v>
      </c>
      <c r="D284" s="523" t="e">
        <f ca="1">gr(calculs!AJ284)</f>
        <v>#NAME?</v>
      </c>
      <c r="E284" s="523" t="e">
        <f ca="1">gr(calculs!AP284)</f>
        <v>#NAME?</v>
      </c>
      <c r="F284" s="523" t="e">
        <f ca="1">gr(calculs!AQ284)</f>
        <v>#NAME?</v>
      </c>
      <c r="G284" s="523" t="e">
        <f ca="1">gr(calculs!U284)</f>
        <v>#NAME?</v>
      </c>
      <c r="H284" s="523" t="e">
        <f ca="1">gr(calculs!AA284)</f>
        <v>#NAME?</v>
      </c>
      <c r="I284" s="523" t="e">
        <f ca="1">gr(calculs!AG284)</f>
        <v>#NAME?</v>
      </c>
      <c r="J284" s="523" t="e">
        <f ca="1">gr(calculs!AM284)</f>
        <v>#NAME?</v>
      </c>
      <c r="K284" s="523" t="e">
        <f ca="1">gr(calculs!AR284)</f>
        <v>#NAME?</v>
      </c>
    </row>
    <row r="285" spans="1:11" x14ac:dyDescent="0.2">
      <c r="A285" s="222">
        <f>calculs!A285</f>
        <v>44836</v>
      </c>
      <c r="B285" s="523" t="e">
        <f ca="1">gr(calculs!X285)</f>
        <v>#NAME?</v>
      </c>
      <c r="C285" s="523" t="e">
        <f ca="1">gr(calculs!AD285)</f>
        <v>#NAME?</v>
      </c>
      <c r="D285" s="523" t="e">
        <f ca="1">gr(calculs!AJ285)</f>
        <v>#NAME?</v>
      </c>
      <c r="E285" s="523" t="e">
        <f ca="1">gr(calculs!AP285)</f>
        <v>#NAME?</v>
      </c>
      <c r="F285" s="523" t="e">
        <f ca="1">gr(calculs!AQ285)</f>
        <v>#NAME?</v>
      </c>
      <c r="G285" s="523" t="e">
        <f ca="1">gr(calculs!U285)</f>
        <v>#NAME?</v>
      </c>
      <c r="H285" s="523" t="e">
        <f ca="1">gr(calculs!AA285)</f>
        <v>#NAME?</v>
      </c>
      <c r="I285" s="523" t="e">
        <f ca="1">gr(calculs!AG285)</f>
        <v>#NAME?</v>
      </c>
      <c r="J285" s="523" t="e">
        <f ca="1">gr(calculs!AM285)</f>
        <v>#NAME?</v>
      </c>
      <c r="K285" s="523" t="e">
        <f ca="1">gr(calculs!AR285)</f>
        <v>#NAME?</v>
      </c>
    </row>
    <row r="286" spans="1:11" x14ac:dyDescent="0.2">
      <c r="A286" s="222">
        <f>calculs!A286</f>
        <v>44837</v>
      </c>
      <c r="B286" s="523" t="e">
        <f ca="1">gr(calculs!X286)</f>
        <v>#NAME?</v>
      </c>
      <c r="C286" s="523" t="e">
        <f ca="1">gr(calculs!AD286)</f>
        <v>#NAME?</v>
      </c>
      <c r="D286" s="523" t="e">
        <f ca="1">gr(calculs!AJ286)</f>
        <v>#NAME?</v>
      </c>
      <c r="E286" s="523" t="e">
        <f ca="1">gr(calculs!AP286)</f>
        <v>#NAME?</v>
      </c>
      <c r="F286" s="523" t="e">
        <f ca="1">gr(calculs!AQ286)</f>
        <v>#NAME?</v>
      </c>
      <c r="G286" s="523" t="e">
        <f ca="1">gr(calculs!U286)</f>
        <v>#NAME?</v>
      </c>
      <c r="H286" s="523" t="e">
        <f ca="1">gr(calculs!AA286)</f>
        <v>#NAME?</v>
      </c>
      <c r="I286" s="523" t="e">
        <f ca="1">gr(calculs!AG286)</f>
        <v>#NAME?</v>
      </c>
      <c r="J286" s="523" t="e">
        <f ca="1">gr(calculs!AM286)</f>
        <v>#NAME?</v>
      </c>
      <c r="K286" s="523" t="e">
        <f ca="1">gr(calculs!AR286)</f>
        <v>#NAME?</v>
      </c>
    </row>
    <row r="287" spans="1:11" x14ac:dyDescent="0.2">
      <c r="A287" s="222">
        <f>calculs!A287</f>
        <v>44838</v>
      </c>
      <c r="B287" s="523" t="e">
        <f ca="1">gr(calculs!X287)</f>
        <v>#NAME?</v>
      </c>
      <c r="C287" s="523" t="e">
        <f ca="1">gr(calculs!AD287)</f>
        <v>#NAME?</v>
      </c>
      <c r="D287" s="523" t="e">
        <f ca="1">gr(calculs!AJ287)</f>
        <v>#NAME?</v>
      </c>
      <c r="E287" s="523" t="e">
        <f ca="1">gr(calculs!AP287)</f>
        <v>#NAME?</v>
      </c>
      <c r="F287" s="523" t="e">
        <f ca="1">gr(calculs!AQ287)</f>
        <v>#NAME?</v>
      </c>
      <c r="G287" s="523" t="e">
        <f ca="1">gr(calculs!U287)</f>
        <v>#NAME?</v>
      </c>
      <c r="H287" s="523" t="e">
        <f ca="1">gr(calculs!AA287)</f>
        <v>#NAME?</v>
      </c>
      <c r="I287" s="523" t="e">
        <f ca="1">gr(calculs!AG287)</f>
        <v>#NAME?</v>
      </c>
      <c r="J287" s="523" t="e">
        <f ca="1">gr(calculs!AM287)</f>
        <v>#NAME?</v>
      </c>
      <c r="K287" s="523" t="e">
        <f ca="1">gr(calculs!AR287)</f>
        <v>#NAME?</v>
      </c>
    </row>
    <row r="288" spans="1:11" x14ac:dyDescent="0.2">
      <c r="A288" s="222">
        <f>calculs!A288</f>
        <v>44839</v>
      </c>
      <c r="B288" s="523" t="e">
        <f ca="1">gr(calculs!X288)</f>
        <v>#NAME?</v>
      </c>
      <c r="C288" s="523" t="e">
        <f ca="1">gr(calculs!AD288)</f>
        <v>#NAME?</v>
      </c>
      <c r="D288" s="523" t="e">
        <f ca="1">gr(calculs!AJ288)</f>
        <v>#NAME?</v>
      </c>
      <c r="E288" s="523" t="e">
        <f ca="1">gr(calculs!AP288)</f>
        <v>#NAME?</v>
      </c>
      <c r="F288" s="523" t="e">
        <f ca="1">gr(calculs!AQ288)</f>
        <v>#NAME?</v>
      </c>
      <c r="G288" s="523" t="e">
        <f ca="1">gr(calculs!U288)</f>
        <v>#NAME?</v>
      </c>
      <c r="H288" s="523" t="e">
        <f ca="1">gr(calculs!AA288)</f>
        <v>#NAME?</v>
      </c>
      <c r="I288" s="523" t="e">
        <f ca="1">gr(calculs!AG288)</f>
        <v>#NAME?</v>
      </c>
      <c r="J288" s="523" t="e">
        <f ca="1">gr(calculs!AM288)</f>
        <v>#NAME?</v>
      </c>
      <c r="K288" s="523" t="e">
        <f ca="1">gr(calculs!AR288)</f>
        <v>#NAME?</v>
      </c>
    </row>
    <row r="289" spans="1:11" x14ac:dyDescent="0.2">
      <c r="A289" s="222">
        <f>calculs!A289</f>
        <v>44840</v>
      </c>
      <c r="B289" s="523" t="e">
        <f ca="1">gr(calculs!X289)</f>
        <v>#NAME?</v>
      </c>
      <c r="C289" s="523" t="e">
        <f ca="1">gr(calculs!AD289)</f>
        <v>#NAME?</v>
      </c>
      <c r="D289" s="523" t="e">
        <f ca="1">gr(calculs!AJ289)</f>
        <v>#NAME?</v>
      </c>
      <c r="E289" s="523" t="e">
        <f ca="1">gr(calculs!AP289)</f>
        <v>#NAME?</v>
      </c>
      <c r="F289" s="523" t="e">
        <f ca="1">gr(calculs!AQ289)</f>
        <v>#NAME?</v>
      </c>
      <c r="G289" s="523" t="e">
        <f ca="1">gr(calculs!U289)</f>
        <v>#NAME?</v>
      </c>
      <c r="H289" s="523" t="e">
        <f ca="1">gr(calculs!AA289)</f>
        <v>#NAME?</v>
      </c>
      <c r="I289" s="523" t="e">
        <f ca="1">gr(calculs!AG289)</f>
        <v>#NAME?</v>
      </c>
      <c r="J289" s="523" t="e">
        <f ca="1">gr(calculs!AM289)</f>
        <v>#NAME?</v>
      </c>
      <c r="K289" s="523" t="e">
        <f ca="1">gr(calculs!AR289)</f>
        <v>#NAME?</v>
      </c>
    </row>
    <row r="290" spans="1:11" x14ac:dyDescent="0.2">
      <c r="A290" s="222">
        <f>calculs!A290</f>
        <v>44841</v>
      </c>
      <c r="B290" s="523" t="e">
        <f ca="1">gr(calculs!X290)</f>
        <v>#NAME?</v>
      </c>
      <c r="C290" s="523" t="e">
        <f ca="1">gr(calculs!AD290)</f>
        <v>#NAME?</v>
      </c>
      <c r="D290" s="523" t="e">
        <f ca="1">gr(calculs!AJ290)</f>
        <v>#NAME?</v>
      </c>
      <c r="E290" s="523" t="e">
        <f ca="1">gr(calculs!AP290)</f>
        <v>#NAME?</v>
      </c>
      <c r="F290" s="523" t="e">
        <f ca="1">gr(calculs!AQ290)</f>
        <v>#NAME?</v>
      </c>
      <c r="G290" s="523" t="e">
        <f ca="1">gr(calculs!U290)</f>
        <v>#NAME?</v>
      </c>
      <c r="H290" s="523" t="e">
        <f ca="1">gr(calculs!AA290)</f>
        <v>#NAME?</v>
      </c>
      <c r="I290" s="523" t="e">
        <f ca="1">gr(calculs!AG290)</f>
        <v>#NAME?</v>
      </c>
      <c r="J290" s="523" t="e">
        <f ca="1">gr(calculs!AM290)</f>
        <v>#NAME?</v>
      </c>
      <c r="K290" s="523" t="e">
        <f ca="1">gr(calculs!AR290)</f>
        <v>#NAME?</v>
      </c>
    </row>
    <row r="291" spans="1:11" x14ac:dyDescent="0.2">
      <c r="A291" s="222">
        <f>calculs!A291</f>
        <v>44842</v>
      </c>
      <c r="B291" s="523" t="e">
        <f ca="1">gr(calculs!X291)</f>
        <v>#NAME?</v>
      </c>
      <c r="C291" s="523" t="e">
        <f ca="1">gr(calculs!AD291)</f>
        <v>#NAME?</v>
      </c>
      <c r="D291" s="523" t="e">
        <f ca="1">gr(calculs!AJ291)</f>
        <v>#NAME?</v>
      </c>
      <c r="E291" s="523" t="e">
        <f ca="1">gr(calculs!AP291)</f>
        <v>#NAME?</v>
      </c>
      <c r="F291" s="523" t="e">
        <f ca="1">gr(calculs!AQ291)</f>
        <v>#NAME?</v>
      </c>
      <c r="G291" s="523" t="e">
        <f ca="1">gr(calculs!U291)</f>
        <v>#NAME?</v>
      </c>
      <c r="H291" s="523" t="e">
        <f ca="1">gr(calculs!AA291)</f>
        <v>#NAME?</v>
      </c>
      <c r="I291" s="523" t="e">
        <f ca="1">gr(calculs!AG291)</f>
        <v>#NAME?</v>
      </c>
      <c r="J291" s="523" t="e">
        <f ca="1">gr(calculs!AM291)</f>
        <v>#NAME?</v>
      </c>
      <c r="K291" s="523" t="e">
        <f ca="1">gr(calculs!AR291)</f>
        <v>#NAME?</v>
      </c>
    </row>
    <row r="292" spans="1:11" x14ac:dyDescent="0.2">
      <c r="A292" s="222">
        <f>calculs!A292</f>
        <v>44843</v>
      </c>
      <c r="B292" s="523" t="e">
        <f ca="1">gr(calculs!X292)</f>
        <v>#NAME?</v>
      </c>
      <c r="C292" s="523" t="e">
        <f ca="1">gr(calculs!AD292)</f>
        <v>#NAME?</v>
      </c>
      <c r="D292" s="523" t="e">
        <f ca="1">gr(calculs!AJ292)</f>
        <v>#NAME?</v>
      </c>
      <c r="E292" s="523" t="e">
        <f ca="1">gr(calculs!AP292)</f>
        <v>#NAME?</v>
      </c>
      <c r="F292" s="523" t="e">
        <f ca="1">gr(calculs!AQ292)</f>
        <v>#NAME?</v>
      </c>
      <c r="G292" s="523" t="e">
        <f ca="1">gr(calculs!U292)</f>
        <v>#NAME?</v>
      </c>
      <c r="H292" s="523" t="e">
        <f ca="1">gr(calculs!AA292)</f>
        <v>#NAME?</v>
      </c>
      <c r="I292" s="523" t="e">
        <f ca="1">gr(calculs!AG292)</f>
        <v>#NAME?</v>
      </c>
      <c r="J292" s="523" t="e">
        <f ca="1">gr(calculs!AM292)</f>
        <v>#NAME?</v>
      </c>
      <c r="K292" s="523" t="e">
        <f ca="1">gr(calculs!AR292)</f>
        <v>#NAME?</v>
      </c>
    </row>
    <row r="293" spans="1:11" x14ac:dyDescent="0.2">
      <c r="A293" s="222">
        <f>calculs!A293</f>
        <v>44844</v>
      </c>
      <c r="B293" s="523" t="e">
        <f ca="1">gr(calculs!X293)</f>
        <v>#NAME?</v>
      </c>
      <c r="C293" s="523" t="e">
        <f ca="1">gr(calculs!AD293)</f>
        <v>#NAME?</v>
      </c>
      <c r="D293" s="523" t="e">
        <f ca="1">gr(calculs!AJ293)</f>
        <v>#NAME?</v>
      </c>
      <c r="E293" s="523" t="e">
        <f ca="1">gr(calculs!AP293)</f>
        <v>#NAME?</v>
      </c>
      <c r="F293" s="523" t="e">
        <f ca="1">gr(calculs!AQ293)</f>
        <v>#NAME?</v>
      </c>
      <c r="G293" s="523" t="e">
        <f ca="1">gr(calculs!U293)</f>
        <v>#NAME?</v>
      </c>
      <c r="H293" s="523" t="e">
        <f ca="1">gr(calculs!AA293)</f>
        <v>#NAME?</v>
      </c>
      <c r="I293" s="523" t="e">
        <f ca="1">gr(calculs!AG293)</f>
        <v>#NAME?</v>
      </c>
      <c r="J293" s="523" t="e">
        <f ca="1">gr(calculs!AM293)</f>
        <v>#NAME?</v>
      </c>
      <c r="K293" s="523" t="e">
        <f ca="1">gr(calculs!AR293)</f>
        <v>#NAME?</v>
      </c>
    </row>
    <row r="294" spans="1:11" x14ac:dyDescent="0.2">
      <c r="A294" s="222">
        <f>calculs!A294</f>
        <v>44845</v>
      </c>
      <c r="B294" s="523" t="e">
        <f ca="1">gr(calculs!X294)</f>
        <v>#NAME?</v>
      </c>
      <c r="C294" s="523" t="e">
        <f ca="1">gr(calculs!AD294)</f>
        <v>#NAME?</v>
      </c>
      <c r="D294" s="523" t="e">
        <f ca="1">gr(calculs!AJ294)</f>
        <v>#NAME?</v>
      </c>
      <c r="E294" s="523" t="e">
        <f ca="1">gr(calculs!AP294)</f>
        <v>#NAME?</v>
      </c>
      <c r="F294" s="523" t="e">
        <f ca="1">gr(calculs!AQ294)</f>
        <v>#NAME?</v>
      </c>
      <c r="G294" s="523" t="e">
        <f ca="1">gr(calculs!U294)</f>
        <v>#NAME?</v>
      </c>
      <c r="H294" s="523" t="e">
        <f ca="1">gr(calculs!AA294)</f>
        <v>#NAME?</v>
      </c>
      <c r="I294" s="523" t="e">
        <f ca="1">gr(calculs!AG294)</f>
        <v>#NAME?</v>
      </c>
      <c r="J294" s="523" t="e">
        <f ca="1">gr(calculs!AM294)</f>
        <v>#NAME?</v>
      </c>
      <c r="K294" s="523" t="e">
        <f ca="1">gr(calculs!AR294)</f>
        <v>#NAME?</v>
      </c>
    </row>
    <row r="295" spans="1:11" x14ac:dyDescent="0.2">
      <c r="A295" s="222">
        <f>calculs!A295</f>
        <v>44846</v>
      </c>
      <c r="B295" s="523" t="e">
        <f ca="1">gr(calculs!X295)</f>
        <v>#NAME?</v>
      </c>
      <c r="C295" s="523" t="e">
        <f ca="1">gr(calculs!AD295)</f>
        <v>#NAME?</v>
      </c>
      <c r="D295" s="523" t="e">
        <f ca="1">gr(calculs!AJ295)</f>
        <v>#NAME?</v>
      </c>
      <c r="E295" s="523" t="e">
        <f ca="1">gr(calculs!AP295)</f>
        <v>#NAME?</v>
      </c>
      <c r="F295" s="523" t="e">
        <f ca="1">gr(calculs!AQ295)</f>
        <v>#NAME?</v>
      </c>
      <c r="G295" s="523" t="e">
        <f ca="1">gr(calculs!U295)</f>
        <v>#NAME?</v>
      </c>
      <c r="H295" s="523" t="e">
        <f ca="1">gr(calculs!AA295)</f>
        <v>#NAME?</v>
      </c>
      <c r="I295" s="523" t="e">
        <f ca="1">gr(calculs!AG295)</f>
        <v>#NAME?</v>
      </c>
      <c r="J295" s="523" t="e">
        <f ca="1">gr(calculs!AM295)</f>
        <v>#NAME?</v>
      </c>
      <c r="K295" s="523" t="e">
        <f ca="1">gr(calculs!AR295)</f>
        <v>#NAME?</v>
      </c>
    </row>
    <row r="296" spans="1:11" x14ac:dyDescent="0.2">
      <c r="A296" s="222">
        <f>calculs!A296</f>
        <v>44847</v>
      </c>
      <c r="B296" s="523" t="e">
        <f ca="1">gr(calculs!X296)</f>
        <v>#NAME?</v>
      </c>
      <c r="C296" s="523" t="e">
        <f ca="1">gr(calculs!AD296)</f>
        <v>#NAME?</v>
      </c>
      <c r="D296" s="523" t="e">
        <f ca="1">gr(calculs!AJ296)</f>
        <v>#NAME?</v>
      </c>
      <c r="E296" s="523" t="e">
        <f ca="1">gr(calculs!AP296)</f>
        <v>#NAME?</v>
      </c>
      <c r="F296" s="523" t="e">
        <f ca="1">gr(calculs!AQ296)</f>
        <v>#NAME?</v>
      </c>
      <c r="G296" s="523" t="e">
        <f ca="1">gr(calculs!U296)</f>
        <v>#NAME?</v>
      </c>
      <c r="H296" s="523" t="e">
        <f ca="1">gr(calculs!AA296)</f>
        <v>#NAME?</v>
      </c>
      <c r="I296" s="523" t="e">
        <f ca="1">gr(calculs!AG296)</f>
        <v>#NAME?</v>
      </c>
      <c r="J296" s="523" t="e">
        <f ca="1">gr(calculs!AM296)</f>
        <v>#NAME?</v>
      </c>
      <c r="K296" s="523" t="e">
        <f ca="1">gr(calculs!AR296)</f>
        <v>#NAME?</v>
      </c>
    </row>
    <row r="297" spans="1:11" x14ac:dyDescent="0.2">
      <c r="A297" s="222">
        <f>calculs!A297</f>
        <v>44848</v>
      </c>
      <c r="B297" s="523" t="e">
        <f ca="1">gr(calculs!X297)</f>
        <v>#NAME?</v>
      </c>
      <c r="C297" s="523" t="e">
        <f ca="1">gr(calculs!AD297)</f>
        <v>#NAME?</v>
      </c>
      <c r="D297" s="523" t="e">
        <f ca="1">gr(calculs!AJ297)</f>
        <v>#NAME?</v>
      </c>
      <c r="E297" s="523" t="e">
        <f ca="1">gr(calculs!AP297)</f>
        <v>#NAME?</v>
      </c>
      <c r="F297" s="523" t="e">
        <f ca="1">gr(calculs!AQ297)</f>
        <v>#NAME?</v>
      </c>
      <c r="G297" s="523" t="e">
        <f ca="1">gr(calculs!U297)</f>
        <v>#NAME?</v>
      </c>
      <c r="H297" s="523" t="e">
        <f ca="1">gr(calculs!AA297)</f>
        <v>#NAME?</v>
      </c>
      <c r="I297" s="523" t="e">
        <f ca="1">gr(calculs!AG297)</f>
        <v>#NAME?</v>
      </c>
      <c r="J297" s="523" t="e">
        <f ca="1">gr(calculs!AM297)</f>
        <v>#NAME?</v>
      </c>
      <c r="K297" s="523" t="e">
        <f ca="1">gr(calculs!AR297)</f>
        <v>#NAME?</v>
      </c>
    </row>
    <row r="298" spans="1:11" x14ac:dyDescent="0.2">
      <c r="A298" s="222">
        <f>calculs!A298</f>
        <v>44849</v>
      </c>
      <c r="B298" s="523" t="e">
        <f ca="1">gr(calculs!X298)</f>
        <v>#NAME?</v>
      </c>
      <c r="C298" s="523" t="e">
        <f ca="1">gr(calculs!AD298)</f>
        <v>#NAME?</v>
      </c>
      <c r="D298" s="523" t="e">
        <f ca="1">gr(calculs!AJ298)</f>
        <v>#NAME?</v>
      </c>
      <c r="E298" s="523" t="e">
        <f ca="1">gr(calculs!AP298)</f>
        <v>#NAME?</v>
      </c>
      <c r="F298" s="523" t="e">
        <f ca="1">gr(calculs!AQ298)</f>
        <v>#NAME?</v>
      </c>
      <c r="G298" s="523" t="e">
        <f ca="1">gr(calculs!U298)</f>
        <v>#NAME?</v>
      </c>
      <c r="H298" s="523" t="e">
        <f ca="1">gr(calculs!AA298)</f>
        <v>#NAME?</v>
      </c>
      <c r="I298" s="523" t="e">
        <f ca="1">gr(calculs!AG298)</f>
        <v>#NAME?</v>
      </c>
      <c r="J298" s="523" t="e">
        <f ca="1">gr(calculs!AM298)</f>
        <v>#NAME?</v>
      </c>
      <c r="K298" s="523" t="e">
        <f ca="1">gr(calculs!AR298)</f>
        <v>#NAME?</v>
      </c>
    </row>
    <row r="299" spans="1:11" x14ac:dyDescent="0.2">
      <c r="A299" s="222">
        <f>calculs!A299</f>
        <v>44850</v>
      </c>
      <c r="B299" s="523" t="e">
        <f ca="1">gr(calculs!X299)</f>
        <v>#NAME?</v>
      </c>
      <c r="C299" s="523" t="e">
        <f ca="1">gr(calculs!AD299)</f>
        <v>#NAME?</v>
      </c>
      <c r="D299" s="523" t="e">
        <f ca="1">gr(calculs!AJ299)</f>
        <v>#NAME?</v>
      </c>
      <c r="E299" s="523" t="e">
        <f ca="1">gr(calculs!AP299)</f>
        <v>#NAME?</v>
      </c>
      <c r="F299" s="523" t="e">
        <f ca="1">gr(calculs!AQ299)</f>
        <v>#NAME?</v>
      </c>
      <c r="G299" s="523" t="e">
        <f ca="1">gr(calculs!U299)</f>
        <v>#NAME?</v>
      </c>
      <c r="H299" s="523" t="e">
        <f ca="1">gr(calculs!AA299)</f>
        <v>#NAME?</v>
      </c>
      <c r="I299" s="523" t="e">
        <f ca="1">gr(calculs!AG299)</f>
        <v>#NAME?</v>
      </c>
      <c r="J299" s="523" t="e">
        <f ca="1">gr(calculs!AM299)</f>
        <v>#NAME?</v>
      </c>
      <c r="K299" s="523" t="e">
        <f ca="1">gr(calculs!AR299)</f>
        <v>#NAME?</v>
      </c>
    </row>
    <row r="300" spans="1:11" x14ac:dyDescent="0.2">
      <c r="A300" s="222">
        <f>calculs!A300</f>
        <v>44851</v>
      </c>
      <c r="B300" s="523" t="e">
        <f ca="1">gr(calculs!X300)</f>
        <v>#NAME?</v>
      </c>
      <c r="C300" s="523" t="e">
        <f ca="1">gr(calculs!AD300)</f>
        <v>#NAME?</v>
      </c>
      <c r="D300" s="523" t="e">
        <f ca="1">gr(calculs!AJ300)</f>
        <v>#NAME?</v>
      </c>
      <c r="E300" s="523" t="e">
        <f ca="1">gr(calculs!AP300)</f>
        <v>#NAME?</v>
      </c>
      <c r="F300" s="523" t="e">
        <f ca="1">gr(calculs!AQ300)</f>
        <v>#NAME?</v>
      </c>
      <c r="G300" s="523" t="e">
        <f ca="1">gr(calculs!U300)</f>
        <v>#NAME?</v>
      </c>
      <c r="H300" s="523" t="e">
        <f ca="1">gr(calculs!AA300)</f>
        <v>#NAME?</v>
      </c>
      <c r="I300" s="523" t="e">
        <f ca="1">gr(calculs!AG300)</f>
        <v>#NAME?</v>
      </c>
      <c r="J300" s="523" t="e">
        <f ca="1">gr(calculs!AM300)</f>
        <v>#NAME?</v>
      </c>
      <c r="K300" s="523" t="e">
        <f ca="1">gr(calculs!AR300)</f>
        <v>#NAME?</v>
      </c>
    </row>
    <row r="301" spans="1:11" x14ac:dyDescent="0.2">
      <c r="A301" s="222">
        <f>calculs!A301</f>
        <v>44852</v>
      </c>
      <c r="B301" s="523" t="e">
        <f ca="1">gr(calculs!X301)</f>
        <v>#NAME?</v>
      </c>
      <c r="C301" s="523" t="e">
        <f ca="1">gr(calculs!AD301)</f>
        <v>#NAME?</v>
      </c>
      <c r="D301" s="523" t="e">
        <f ca="1">gr(calculs!AJ301)</f>
        <v>#NAME?</v>
      </c>
      <c r="E301" s="523" t="e">
        <f ca="1">gr(calculs!AP301)</f>
        <v>#NAME?</v>
      </c>
      <c r="F301" s="523" t="e">
        <f ca="1">gr(calculs!AQ301)</f>
        <v>#NAME?</v>
      </c>
      <c r="G301" s="523" t="e">
        <f ca="1">gr(calculs!U301)</f>
        <v>#NAME?</v>
      </c>
      <c r="H301" s="523" t="e">
        <f ca="1">gr(calculs!AA301)</f>
        <v>#NAME?</v>
      </c>
      <c r="I301" s="523" t="e">
        <f ca="1">gr(calculs!AG301)</f>
        <v>#NAME?</v>
      </c>
      <c r="J301" s="523" t="e">
        <f ca="1">gr(calculs!AM301)</f>
        <v>#NAME?</v>
      </c>
      <c r="K301" s="523" t="e">
        <f ca="1">gr(calculs!AR301)</f>
        <v>#NAME?</v>
      </c>
    </row>
    <row r="302" spans="1:11" x14ac:dyDescent="0.2">
      <c r="A302" s="222">
        <f>calculs!A302</f>
        <v>44853</v>
      </c>
      <c r="B302" s="523" t="e">
        <f ca="1">gr(calculs!X302)</f>
        <v>#NAME?</v>
      </c>
      <c r="C302" s="523" t="e">
        <f ca="1">gr(calculs!AD302)</f>
        <v>#NAME?</v>
      </c>
      <c r="D302" s="523" t="e">
        <f ca="1">gr(calculs!AJ302)</f>
        <v>#NAME?</v>
      </c>
      <c r="E302" s="523" t="e">
        <f ca="1">gr(calculs!AP302)</f>
        <v>#NAME?</v>
      </c>
      <c r="F302" s="523" t="e">
        <f ca="1">gr(calculs!AQ302)</f>
        <v>#NAME?</v>
      </c>
      <c r="G302" s="523" t="e">
        <f ca="1">gr(calculs!U302)</f>
        <v>#NAME?</v>
      </c>
      <c r="H302" s="523" t="e">
        <f ca="1">gr(calculs!AA302)</f>
        <v>#NAME?</v>
      </c>
      <c r="I302" s="523" t="e">
        <f ca="1">gr(calculs!AG302)</f>
        <v>#NAME?</v>
      </c>
      <c r="J302" s="523" t="e">
        <f ca="1">gr(calculs!AM302)</f>
        <v>#NAME?</v>
      </c>
      <c r="K302" s="523" t="e">
        <f ca="1">gr(calculs!AR302)</f>
        <v>#NAME?</v>
      </c>
    </row>
    <row r="303" spans="1:11" x14ac:dyDescent="0.2">
      <c r="A303" s="222">
        <f>calculs!A303</f>
        <v>44854</v>
      </c>
      <c r="B303" s="523" t="e">
        <f ca="1">gr(calculs!X303)</f>
        <v>#NAME?</v>
      </c>
      <c r="C303" s="523" t="e">
        <f ca="1">gr(calculs!AD303)</f>
        <v>#NAME?</v>
      </c>
      <c r="D303" s="523" t="e">
        <f ca="1">gr(calculs!AJ303)</f>
        <v>#NAME?</v>
      </c>
      <c r="E303" s="523" t="e">
        <f ca="1">gr(calculs!AP303)</f>
        <v>#NAME?</v>
      </c>
      <c r="F303" s="523" t="e">
        <f ca="1">gr(calculs!AQ303)</f>
        <v>#NAME?</v>
      </c>
      <c r="G303" s="523" t="e">
        <f ca="1">gr(calculs!U303)</f>
        <v>#NAME?</v>
      </c>
      <c r="H303" s="523" t="e">
        <f ca="1">gr(calculs!AA303)</f>
        <v>#NAME?</v>
      </c>
      <c r="I303" s="523" t="e">
        <f ca="1">gr(calculs!AG303)</f>
        <v>#NAME?</v>
      </c>
      <c r="J303" s="523" t="e">
        <f ca="1">gr(calculs!AM303)</f>
        <v>#NAME?</v>
      </c>
      <c r="K303" s="523" t="e">
        <f ca="1">gr(calculs!AR303)</f>
        <v>#NAME?</v>
      </c>
    </row>
    <row r="304" spans="1:11" x14ac:dyDescent="0.2">
      <c r="A304" s="222">
        <f>calculs!A304</f>
        <v>44855</v>
      </c>
      <c r="B304" s="523" t="e">
        <f ca="1">gr(calculs!X304)</f>
        <v>#NAME?</v>
      </c>
      <c r="C304" s="523" t="e">
        <f ca="1">gr(calculs!AD304)</f>
        <v>#NAME?</v>
      </c>
      <c r="D304" s="523" t="e">
        <f ca="1">gr(calculs!AJ304)</f>
        <v>#NAME?</v>
      </c>
      <c r="E304" s="523" t="e">
        <f ca="1">gr(calculs!AP304)</f>
        <v>#NAME?</v>
      </c>
      <c r="F304" s="523" t="e">
        <f ca="1">gr(calculs!AQ304)</f>
        <v>#NAME?</v>
      </c>
      <c r="G304" s="523" t="e">
        <f ca="1">gr(calculs!U304)</f>
        <v>#NAME?</v>
      </c>
      <c r="H304" s="523" t="e">
        <f ca="1">gr(calculs!AA304)</f>
        <v>#NAME?</v>
      </c>
      <c r="I304" s="523" t="e">
        <f ca="1">gr(calculs!AG304)</f>
        <v>#NAME?</v>
      </c>
      <c r="J304" s="523" t="e">
        <f ca="1">gr(calculs!AM304)</f>
        <v>#NAME?</v>
      </c>
      <c r="K304" s="523" t="e">
        <f ca="1">gr(calculs!AR304)</f>
        <v>#NAME?</v>
      </c>
    </row>
    <row r="305" spans="1:11" x14ac:dyDescent="0.2">
      <c r="A305" s="222">
        <f>calculs!A305</f>
        <v>44856</v>
      </c>
      <c r="B305" s="523" t="e">
        <f ca="1">gr(calculs!X305)</f>
        <v>#NAME?</v>
      </c>
      <c r="C305" s="523" t="e">
        <f ca="1">gr(calculs!AD305)</f>
        <v>#NAME?</v>
      </c>
      <c r="D305" s="523" t="e">
        <f ca="1">gr(calculs!AJ305)</f>
        <v>#NAME?</v>
      </c>
      <c r="E305" s="523" t="e">
        <f ca="1">gr(calculs!AP305)</f>
        <v>#NAME?</v>
      </c>
      <c r="F305" s="523" t="e">
        <f ca="1">gr(calculs!AQ305)</f>
        <v>#NAME?</v>
      </c>
      <c r="G305" s="523" t="e">
        <f ca="1">gr(calculs!U305)</f>
        <v>#NAME?</v>
      </c>
      <c r="H305" s="523" t="e">
        <f ca="1">gr(calculs!AA305)</f>
        <v>#NAME?</v>
      </c>
      <c r="I305" s="523" t="e">
        <f ca="1">gr(calculs!AG305)</f>
        <v>#NAME?</v>
      </c>
      <c r="J305" s="523" t="e">
        <f ca="1">gr(calculs!AM305)</f>
        <v>#NAME?</v>
      </c>
      <c r="K305" s="523" t="e">
        <f ca="1">gr(calculs!AR305)</f>
        <v>#NAME?</v>
      </c>
    </row>
    <row r="306" spans="1:11" x14ac:dyDescent="0.2">
      <c r="A306" s="222">
        <f>calculs!A306</f>
        <v>44857</v>
      </c>
      <c r="B306" s="523" t="e">
        <f ca="1">gr(calculs!X306)</f>
        <v>#NAME?</v>
      </c>
      <c r="C306" s="523" t="e">
        <f ca="1">gr(calculs!AD306)</f>
        <v>#NAME?</v>
      </c>
      <c r="D306" s="523" t="e">
        <f ca="1">gr(calculs!AJ306)</f>
        <v>#NAME?</v>
      </c>
      <c r="E306" s="523" t="e">
        <f ca="1">gr(calculs!AP306)</f>
        <v>#NAME?</v>
      </c>
      <c r="F306" s="523" t="e">
        <f ca="1">gr(calculs!AQ306)</f>
        <v>#NAME?</v>
      </c>
      <c r="G306" s="523" t="e">
        <f ca="1">gr(calculs!U306)</f>
        <v>#NAME?</v>
      </c>
      <c r="H306" s="523" t="e">
        <f ca="1">gr(calculs!AA306)</f>
        <v>#NAME?</v>
      </c>
      <c r="I306" s="523" t="e">
        <f ca="1">gr(calculs!AG306)</f>
        <v>#NAME?</v>
      </c>
      <c r="J306" s="523" t="e">
        <f ca="1">gr(calculs!AM306)</f>
        <v>#NAME?</v>
      </c>
      <c r="K306" s="523" t="e">
        <f ca="1">gr(calculs!AR306)</f>
        <v>#NAME?</v>
      </c>
    </row>
    <row r="307" spans="1:11" x14ac:dyDescent="0.2">
      <c r="A307" s="222">
        <f>calculs!A307</f>
        <v>44858</v>
      </c>
      <c r="B307" s="523" t="e">
        <f ca="1">gr(calculs!X307)</f>
        <v>#NAME?</v>
      </c>
      <c r="C307" s="523" t="e">
        <f ca="1">gr(calculs!AD307)</f>
        <v>#NAME?</v>
      </c>
      <c r="D307" s="523" t="e">
        <f ca="1">gr(calculs!AJ307)</f>
        <v>#NAME?</v>
      </c>
      <c r="E307" s="523" t="e">
        <f ca="1">gr(calculs!AP307)</f>
        <v>#NAME?</v>
      </c>
      <c r="F307" s="523" t="e">
        <f ca="1">gr(calculs!AQ307)</f>
        <v>#NAME?</v>
      </c>
      <c r="G307" s="523" t="e">
        <f ca="1">gr(calculs!U307)</f>
        <v>#NAME?</v>
      </c>
      <c r="H307" s="523" t="e">
        <f ca="1">gr(calculs!AA307)</f>
        <v>#NAME?</v>
      </c>
      <c r="I307" s="523" t="e">
        <f ca="1">gr(calculs!AG307)</f>
        <v>#NAME?</v>
      </c>
      <c r="J307" s="523" t="e">
        <f ca="1">gr(calculs!AM307)</f>
        <v>#NAME?</v>
      </c>
      <c r="K307" s="523" t="e">
        <f ca="1">gr(calculs!AR307)</f>
        <v>#NAME?</v>
      </c>
    </row>
    <row r="308" spans="1:11" x14ac:dyDescent="0.2">
      <c r="A308" s="222">
        <f>calculs!A308</f>
        <v>44859</v>
      </c>
      <c r="B308" s="523" t="e">
        <f ca="1">gr(calculs!X308)</f>
        <v>#NAME?</v>
      </c>
      <c r="C308" s="523" t="e">
        <f ca="1">gr(calculs!AD308)</f>
        <v>#NAME?</v>
      </c>
      <c r="D308" s="523" t="e">
        <f ca="1">gr(calculs!AJ308)</f>
        <v>#NAME?</v>
      </c>
      <c r="E308" s="523" t="e">
        <f ca="1">gr(calculs!AP308)</f>
        <v>#NAME?</v>
      </c>
      <c r="F308" s="523" t="e">
        <f ca="1">gr(calculs!AQ308)</f>
        <v>#NAME?</v>
      </c>
      <c r="G308" s="523" t="e">
        <f ca="1">gr(calculs!U308)</f>
        <v>#NAME?</v>
      </c>
      <c r="H308" s="523" t="e">
        <f ca="1">gr(calculs!AA308)</f>
        <v>#NAME?</v>
      </c>
      <c r="I308" s="523" t="e">
        <f ca="1">gr(calculs!AG308)</f>
        <v>#NAME?</v>
      </c>
      <c r="J308" s="523" t="e">
        <f ca="1">gr(calculs!AM308)</f>
        <v>#NAME?</v>
      </c>
      <c r="K308" s="523" t="e">
        <f ca="1">gr(calculs!AR308)</f>
        <v>#NAME?</v>
      </c>
    </row>
    <row r="309" spans="1:11" x14ac:dyDescent="0.2">
      <c r="A309" s="222">
        <f>calculs!A309</f>
        <v>44860</v>
      </c>
      <c r="B309" s="523" t="e">
        <f ca="1">gr(calculs!X309)</f>
        <v>#NAME?</v>
      </c>
      <c r="C309" s="523" t="e">
        <f ca="1">gr(calculs!AD309)</f>
        <v>#NAME?</v>
      </c>
      <c r="D309" s="523" t="e">
        <f ca="1">gr(calculs!AJ309)</f>
        <v>#NAME?</v>
      </c>
      <c r="E309" s="523" t="e">
        <f ca="1">gr(calculs!AP309)</f>
        <v>#NAME?</v>
      </c>
      <c r="F309" s="523" t="e">
        <f ca="1">gr(calculs!AQ309)</f>
        <v>#NAME?</v>
      </c>
      <c r="G309" s="523" t="e">
        <f ca="1">gr(calculs!U309)</f>
        <v>#NAME?</v>
      </c>
      <c r="H309" s="523" t="e">
        <f ca="1">gr(calculs!AA309)</f>
        <v>#NAME?</v>
      </c>
      <c r="I309" s="523" t="e">
        <f ca="1">gr(calculs!AG309)</f>
        <v>#NAME?</v>
      </c>
      <c r="J309" s="523" t="e">
        <f ca="1">gr(calculs!AM309)</f>
        <v>#NAME?</v>
      </c>
      <c r="K309" s="523" t="e">
        <f ca="1">gr(calculs!AR309)</f>
        <v>#NAME?</v>
      </c>
    </row>
    <row r="310" spans="1:11" x14ac:dyDescent="0.2">
      <c r="A310" s="222">
        <f>calculs!A310</f>
        <v>44861</v>
      </c>
      <c r="B310" s="523" t="e">
        <f ca="1">gr(calculs!X310)</f>
        <v>#NAME?</v>
      </c>
      <c r="C310" s="523" t="e">
        <f ca="1">gr(calculs!AD310)</f>
        <v>#NAME?</v>
      </c>
      <c r="D310" s="523" t="e">
        <f ca="1">gr(calculs!AJ310)</f>
        <v>#NAME?</v>
      </c>
      <c r="E310" s="523" t="e">
        <f ca="1">gr(calculs!AP310)</f>
        <v>#NAME?</v>
      </c>
      <c r="F310" s="523" t="e">
        <f ca="1">gr(calculs!AQ310)</f>
        <v>#NAME?</v>
      </c>
      <c r="G310" s="523" t="e">
        <f ca="1">gr(calculs!U310)</f>
        <v>#NAME?</v>
      </c>
      <c r="H310" s="523" t="e">
        <f ca="1">gr(calculs!AA310)</f>
        <v>#NAME?</v>
      </c>
      <c r="I310" s="523" t="e">
        <f ca="1">gr(calculs!AG310)</f>
        <v>#NAME?</v>
      </c>
      <c r="J310" s="523" t="e">
        <f ca="1">gr(calculs!AM310)</f>
        <v>#NAME?</v>
      </c>
      <c r="K310" s="523" t="e">
        <f ca="1">gr(calculs!AR310)</f>
        <v>#NAME?</v>
      </c>
    </row>
    <row r="311" spans="1:11" x14ac:dyDescent="0.2">
      <c r="A311" s="222">
        <f>calculs!A311</f>
        <v>44862</v>
      </c>
      <c r="B311" s="523" t="e">
        <f ca="1">gr(calculs!X311)</f>
        <v>#NAME?</v>
      </c>
      <c r="C311" s="523" t="e">
        <f ca="1">gr(calculs!AD311)</f>
        <v>#NAME?</v>
      </c>
      <c r="D311" s="523" t="e">
        <f ca="1">gr(calculs!AJ311)</f>
        <v>#NAME?</v>
      </c>
      <c r="E311" s="523" t="e">
        <f ca="1">gr(calculs!AP311)</f>
        <v>#NAME?</v>
      </c>
      <c r="F311" s="523" t="e">
        <f ca="1">gr(calculs!AQ311)</f>
        <v>#NAME?</v>
      </c>
      <c r="G311" s="523" t="e">
        <f ca="1">gr(calculs!U311)</f>
        <v>#NAME?</v>
      </c>
      <c r="H311" s="523" t="e">
        <f ca="1">gr(calculs!AA311)</f>
        <v>#NAME?</v>
      </c>
      <c r="I311" s="523" t="e">
        <f ca="1">gr(calculs!AG311)</f>
        <v>#NAME?</v>
      </c>
      <c r="J311" s="523" t="e">
        <f ca="1">gr(calculs!AM311)</f>
        <v>#NAME?</v>
      </c>
      <c r="K311" s="523" t="e">
        <f ca="1">gr(calculs!AR311)</f>
        <v>#NAME?</v>
      </c>
    </row>
    <row r="312" spans="1:11" x14ac:dyDescent="0.2">
      <c r="A312" s="222">
        <f>calculs!A312</f>
        <v>44863</v>
      </c>
      <c r="B312" s="523" t="e">
        <f ca="1">gr(calculs!X312)</f>
        <v>#NAME?</v>
      </c>
      <c r="C312" s="523" t="e">
        <f ca="1">gr(calculs!AD312)</f>
        <v>#NAME?</v>
      </c>
      <c r="D312" s="523" t="e">
        <f ca="1">gr(calculs!AJ312)</f>
        <v>#NAME?</v>
      </c>
      <c r="E312" s="523" t="e">
        <f ca="1">gr(calculs!AP312)</f>
        <v>#NAME?</v>
      </c>
      <c r="F312" s="523" t="e">
        <f ca="1">gr(calculs!AQ312)</f>
        <v>#NAME?</v>
      </c>
      <c r="G312" s="523" t="e">
        <f ca="1">gr(calculs!U312)</f>
        <v>#NAME?</v>
      </c>
      <c r="H312" s="523" t="e">
        <f ca="1">gr(calculs!AA312)</f>
        <v>#NAME?</v>
      </c>
      <c r="I312" s="523" t="e">
        <f ca="1">gr(calculs!AG312)</f>
        <v>#NAME?</v>
      </c>
      <c r="J312" s="523" t="e">
        <f ca="1">gr(calculs!AM312)</f>
        <v>#NAME?</v>
      </c>
      <c r="K312" s="523" t="e">
        <f ca="1">gr(calculs!AR312)</f>
        <v>#NAME?</v>
      </c>
    </row>
    <row r="313" spans="1:11" x14ac:dyDescent="0.2">
      <c r="A313" s="222">
        <f>calculs!A313</f>
        <v>44864</v>
      </c>
      <c r="B313" s="523" t="e">
        <f ca="1">gr(calculs!X313)</f>
        <v>#NAME?</v>
      </c>
      <c r="C313" s="523" t="e">
        <f ca="1">gr(calculs!AD313)</f>
        <v>#NAME?</v>
      </c>
      <c r="D313" s="523" t="e">
        <f ca="1">gr(calculs!AJ313)</f>
        <v>#NAME?</v>
      </c>
      <c r="E313" s="523" t="e">
        <f ca="1">gr(calculs!AP313)</f>
        <v>#NAME?</v>
      </c>
      <c r="F313" s="523" t="e">
        <f ca="1">gr(calculs!AQ313)</f>
        <v>#NAME?</v>
      </c>
      <c r="G313" s="523" t="e">
        <f ca="1">gr(calculs!U313)</f>
        <v>#NAME?</v>
      </c>
      <c r="H313" s="523" t="e">
        <f ca="1">gr(calculs!AA313)</f>
        <v>#NAME?</v>
      </c>
      <c r="I313" s="523" t="e">
        <f ca="1">gr(calculs!AG313)</f>
        <v>#NAME?</v>
      </c>
      <c r="J313" s="523" t="e">
        <f ca="1">gr(calculs!AM313)</f>
        <v>#NAME?</v>
      </c>
      <c r="K313" s="523" t="e">
        <f ca="1">gr(calculs!AR313)</f>
        <v>#NAME?</v>
      </c>
    </row>
    <row r="314" spans="1:11" x14ac:dyDescent="0.2">
      <c r="A314" s="222">
        <f>calculs!A314</f>
        <v>44865</v>
      </c>
      <c r="B314" s="523" t="e">
        <f ca="1">gr(calculs!X314)</f>
        <v>#NAME?</v>
      </c>
      <c r="C314" s="523" t="e">
        <f ca="1">gr(calculs!AD314)</f>
        <v>#NAME?</v>
      </c>
      <c r="D314" s="523" t="e">
        <f ca="1">gr(calculs!AJ314)</f>
        <v>#NAME?</v>
      </c>
      <c r="E314" s="523" t="e">
        <f ca="1">gr(calculs!AP314)</f>
        <v>#NAME?</v>
      </c>
      <c r="F314" s="523" t="e">
        <f ca="1">gr(calculs!AQ314)</f>
        <v>#NAME?</v>
      </c>
      <c r="G314" s="523" t="e">
        <f ca="1">gr(calculs!U314)</f>
        <v>#NAME?</v>
      </c>
      <c r="H314" s="523" t="e">
        <f ca="1">gr(calculs!AA314)</f>
        <v>#NAME?</v>
      </c>
      <c r="I314" s="523" t="e">
        <f ca="1">gr(calculs!AG314)</f>
        <v>#NAME?</v>
      </c>
      <c r="J314" s="523" t="e">
        <f ca="1">gr(calculs!AM314)</f>
        <v>#NAME?</v>
      </c>
      <c r="K314" s="523" t="e">
        <f ca="1">gr(calculs!AR314)</f>
        <v>#NAME?</v>
      </c>
    </row>
    <row r="315" spans="1:11" x14ac:dyDescent="0.2">
      <c r="A315" s="222">
        <f>calculs!A315</f>
        <v>44866</v>
      </c>
      <c r="B315" s="523" t="e">
        <f ca="1">gr(calculs!X315)</f>
        <v>#NAME?</v>
      </c>
      <c r="C315" s="523" t="e">
        <f ca="1">gr(calculs!AD315)</f>
        <v>#NAME?</v>
      </c>
      <c r="D315" s="523" t="e">
        <f ca="1">gr(calculs!AJ315)</f>
        <v>#NAME?</v>
      </c>
      <c r="E315" s="523" t="e">
        <f ca="1">gr(calculs!AP315)</f>
        <v>#NAME?</v>
      </c>
      <c r="F315" s="523" t="e">
        <f ca="1">gr(calculs!AQ315)</f>
        <v>#NAME?</v>
      </c>
      <c r="G315" s="523" t="e">
        <f ca="1">gr(calculs!U315)</f>
        <v>#NAME?</v>
      </c>
      <c r="H315" s="523" t="e">
        <f ca="1">gr(calculs!AA315)</f>
        <v>#NAME?</v>
      </c>
      <c r="I315" s="523" t="e">
        <f ca="1">gr(calculs!AG315)</f>
        <v>#NAME?</v>
      </c>
      <c r="J315" s="523" t="e">
        <f ca="1">gr(calculs!AM315)</f>
        <v>#NAME?</v>
      </c>
      <c r="K315" s="523" t="e">
        <f ca="1">gr(calculs!AR315)</f>
        <v>#NAME?</v>
      </c>
    </row>
    <row r="316" spans="1:11" x14ac:dyDescent="0.2">
      <c r="A316" s="222">
        <f>calculs!A316</f>
        <v>44867</v>
      </c>
      <c r="B316" s="523" t="e">
        <f ca="1">gr(calculs!X316)</f>
        <v>#NAME?</v>
      </c>
      <c r="C316" s="523" t="e">
        <f ca="1">gr(calculs!AD316)</f>
        <v>#NAME?</v>
      </c>
      <c r="D316" s="523" t="e">
        <f ca="1">gr(calculs!AJ316)</f>
        <v>#NAME?</v>
      </c>
      <c r="E316" s="523" t="e">
        <f ca="1">gr(calculs!AP316)</f>
        <v>#NAME?</v>
      </c>
      <c r="F316" s="523" t="e">
        <f ca="1">gr(calculs!AQ316)</f>
        <v>#NAME?</v>
      </c>
      <c r="G316" s="523" t="e">
        <f ca="1">gr(calculs!U316)</f>
        <v>#NAME?</v>
      </c>
      <c r="H316" s="523" t="e">
        <f ca="1">gr(calculs!AA316)</f>
        <v>#NAME?</v>
      </c>
      <c r="I316" s="523" t="e">
        <f ca="1">gr(calculs!AG316)</f>
        <v>#NAME?</v>
      </c>
      <c r="J316" s="523" t="e">
        <f ca="1">gr(calculs!AM316)</f>
        <v>#NAME?</v>
      </c>
      <c r="K316" s="523" t="e">
        <f ca="1">gr(calculs!AR316)</f>
        <v>#NAME?</v>
      </c>
    </row>
    <row r="317" spans="1:11" x14ac:dyDescent="0.2">
      <c r="A317" s="222">
        <f>calculs!A317</f>
        <v>44868</v>
      </c>
      <c r="B317" s="523" t="e">
        <f ca="1">gr(calculs!X317)</f>
        <v>#NAME?</v>
      </c>
      <c r="C317" s="523" t="e">
        <f ca="1">gr(calculs!AD317)</f>
        <v>#NAME?</v>
      </c>
      <c r="D317" s="523" t="e">
        <f ca="1">gr(calculs!AJ317)</f>
        <v>#NAME?</v>
      </c>
      <c r="E317" s="523" t="e">
        <f ca="1">gr(calculs!AP317)</f>
        <v>#NAME?</v>
      </c>
      <c r="F317" s="523" t="e">
        <f ca="1">gr(calculs!AQ317)</f>
        <v>#NAME?</v>
      </c>
      <c r="G317" s="523" t="e">
        <f ca="1">gr(calculs!U317)</f>
        <v>#NAME?</v>
      </c>
      <c r="H317" s="523" t="e">
        <f ca="1">gr(calculs!AA317)</f>
        <v>#NAME?</v>
      </c>
      <c r="I317" s="523" t="e">
        <f ca="1">gr(calculs!AG317)</f>
        <v>#NAME?</v>
      </c>
      <c r="J317" s="523" t="e">
        <f ca="1">gr(calculs!AM317)</f>
        <v>#NAME?</v>
      </c>
      <c r="K317" s="523" t="e">
        <f ca="1">gr(calculs!AR317)</f>
        <v>#NAME?</v>
      </c>
    </row>
    <row r="318" spans="1:11" x14ac:dyDescent="0.2">
      <c r="A318" s="222">
        <f>calculs!A318</f>
        <v>44869</v>
      </c>
      <c r="B318" s="523" t="e">
        <f ca="1">gr(calculs!X318)</f>
        <v>#NAME?</v>
      </c>
      <c r="C318" s="523" t="e">
        <f ca="1">gr(calculs!AD318)</f>
        <v>#NAME?</v>
      </c>
      <c r="D318" s="523" t="e">
        <f ca="1">gr(calculs!AJ318)</f>
        <v>#NAME?</v>
      </c>
      <c r="E318" s="523" t="e">
        <f ca="1">gr(calculs!AP318)</f>
        <v>#NAME?</v>
      </c>
      <c r="F318" s="523" t="e">
        <f ca="1">gr(calculs!AQ318)</f>
        <v>#NAME?</v>
      </c>
      <c r="G318" s="523" t="e">
        <f ca="1">gr(calculs!U318)</f>
        <v>#NAME?</v>
      </c>
      <c r="H318" s="523" t="e">
        <f ca="1">gr(calculs!AA318)</f>
        <v>#NAME?</v>
      </c>
      <c r="I318" s="523" t="e">
        <f ca="1">gr(calculs!AG318)</f>
        <v>#NAME?</v>
      </c>
      <c r="J318" s="523" t="e">
        <f ca="1">gr(calculs!AM318)</f>
        <v>#NAME?</v>
      </c>
      <c r="K318" s="523" t="e">
        <f ca="1">gr(calculs!AR318)</f>
        <v>#NAME?</v>
      </c>
    </row>
    <row r="319" spans="1:11" x14ac:dyDescent="0.2">
      <c r="A319" s="222">
        <f>calculs!A319</f>
        <v>44870</v>
      </c>
      <c r="B319" s="523" t="e">
        <f ca="1">gr(calculs!X319)</f>
        <v>#NAME?</v>
      </c>
      <c r="C319" s="523" t="e">
        <f ca="1">gr(calculs!AD319)</f>
        <v>#NAME?</v>
      </c>
      <c r="D319" s="523" t="e">
        <f ca="1">gr(calculs!AJ319)</f>
        <v>#NAME?</v>
      </c>
      <c r="E319" s="523" t="e">
        <f ca="1">gr(calculs!AP319)</f>
        <v>#NAME?</v>
      </c>
      <c r="F319" s="523" t="e">
        <f ca="1">gr(calculs!AQ319)</f>
        <v>#NAME?</v>
      </c>
      <c r="G319" s="523" t="e">
        <f ca="1">gr(calculs!U319)</f>
        <v>#NAME?</v>
      </c>
      <c r="H319" s="523" t="e">
        <f ca="1">gr(calculs!AA319)</f>
        <v>#NAME?</v>
      </c>
      <c r="I319" s="523" t="e">
        <f ca="1">gr(calculs!AG319)</f>
        <v>#NAME?</v>
      </c>
      <c r="J319" s="523" t="e">
        <f ca="1">gr(calculs!AM319)</f>
        <v>#NAME?</v>
      </c>
      <c r="K319" s="523" t="e">
        <f ca="1">gr(calculs!AR319)</f>
        <v>#NAME?</v>
      </c>
    </row>
    <row r="320" spans="1:11" x14ac:dyDescent="0.2">
      <c r="A320" s="222">
        <f>calculs!A320</f>
        <v>44871</v>
      </c>
      <c r="B320" s="523" t="e">
        <f ca="1">gr(calculs!X320)</f>
        <v>#NAME?</v>
      </c>
      <c r="C320" s="523" t="e">
        <f ca="1">gr(calculs!AD320)</f>
        <v>#NAME?</v>
      </c>
      <c r="D320" s="523" t="e">
        <f ca="1">gr(calculs!AJ320)</f>
        <v>#NAME?</v>
      </c>
      <c r="E320" s="523" t="e">
        <f ca="1">gr(calculs!AP320)</f>
        <v>#NAME?</v>
      </c>
      <c r="F320" s="523" t="e">
        <f ca="1">gr(calculs!AQ320)</f>
        <v>#NAME?</v>
      </c>
      <c r="G320" s="523" t="e">
        <f ca="1">gr(calculs!U320)</f>
        <v>#NAME?</v>
      </c>
      <c r="H320" s="523" t="e">
        <f ca="1">gr(calculs!AA320)</f>
        <v>#NAME?</v>
      </c>
      <c r="I320" s="523" t="e">
        <f ca="1">gr(calculs!AG320)</f>
        <v>#NAME?</v>
      </c>
      <c r="J320" s="523" t="e">
        <f ca="1">gr(calculs!AM320)</f>
        <v>#NAME?</v>
      </c>
      <c r="K320" s="523" t="e">
        <f ca="1">gr(calculs!AR320)</f>
        <v>#NAME?</v>
      </c>
    </row>
    <row r="321" spans="1:11" x14ac:dyDescent="0.2">
      <c r="A321" s="222">
        <f>calculs!A321</f>
        <v>44872</v>
      </c>
      <c r="B321" s="523" t="e">
        <f ca="1">gr(calculs!X321)</f>
        <v>#NAME?</v>
      </c>
      <c r="C321" s="523" t="e">
        <f ca="1">gr(calculs!AD321)</f>
        <v>#NAME?</v>
      </c>
      <c r="D321" s="523" t="e">
        <f ca="1">gr(calculs!AJ321)</f>
        <v>#NAME?</v>
      </c>
      <c r="E321" s="523" t="e">
        <f ca="1">gr(calculs!AP321)</f>
        <v>#NAME?</v>
      </c>
      <c r="F321" s="523" t="e">
        <f ca="1">gr(calculs!AQ321)</f>
        <v>#NAME?</v>
      </c>
      <c r="G321" s="523" t="e">
        <f ca="1">gr(calculs!U321)</f>
        <v>#NAME?</v>
      </c>
      <c r="H321" s="523" t="e">
        <f ca="1">gr(calculs!AA321)</f>
        <v>#NAME?</v>
      </c>
      <c r="I321" s="523" t="e">
        <f ca="1">gr(calculs!AG321)</f>
        <v>#NAME?</v>
      </c>
      <c r="J321" s="523" t="e">
        <f ca="1">gr(calculs!AM321)</f>
        <v>#NAME?</v>
      </c>
      <c r="K321" s="523" t="e">
        <f ca="1">gr(calculs!AR321)</f>
        <v>#NAME?</v>
      </c>
    </row>
    <row r="322" spans="1:11" x14ac:dyDescent="0.2">
      <c r="A322" s="222">
        <f>calculs!A322</f>
        <v>44873</v>
      </c>
      <c r="B322" s="523" t="e">
        <f ca="1">gr(calculs!X322)</f>
        <v>#NAME?</v>
      </c>
      <c r="C322" s="523" t="e">
        <f ca="1">gr(calculs!AD322)</f>
        <v>#NAME?</v>
      </c>
      <c r="D322" s="523" t="e">
        <f ca="1">gr(calculs!AJ322)</f>
        <v>#NAME?</v>
      </c>
      <c r="E322" s="523" t="e">
        <f ca="1">gr(calculs!AP322)</f>
        <v>#NAME?</v>
      </c>
      <c r="F322" s="523" t="e">
        <f ca="1">gr(calculs!AQ322)</f>
        <v>#NAME?</v>
      </c>
      <c r="G322" s="523" t="e">
        <f ca="1">gr(calculs!U322)</f>
        <v>#NAME?</v>
      </c>
      <c r="H322" s="523" t="e">
        <f ca="1">gr(calculs!AA322)</f>
        <v>#NAME?</v>
      </c>
      <c r="I322" s="523" t="e">
        <f ca="1">gr(calculs!AG322)</f>
        <v>#NAME?</v>
      </c>
      <c r="J322" s="523" t="e">
        <f ca="1">gr(calculs!AM322)</f>
        <v>#NAME?</v>
      </c>
      <c r="K322" s="523" t="e">
        <f ca="1">gr(calculs!AR322)</f>
        <v>#NAME?</v>
      </c>
    </row>
    <row r="323" spans="1:11" x14ac:dyDescent="0.2">
      <c r="A323" s="222">
        <f>calculs!A323</f>
        <v>44874</v>
      </c>
      <c r="B323" s="523" t="e">
        <f ca="1">gr(calculs!X323)</f>
        <v>#NAME?</v>
      </c>
      <c r="C323" s="523" t="e">
        <f ca="1">gr(calculs!AD323)</f>
        <v>#NAME?</v>
      </c>
      <c r="D323" s="523" t="e">
        <f ca="1">gr(calculs!AJ323)</f>
        <v>#NAME?</v>
      </c>
      <c r="E323" s="523" t="e">
        <f ca="1">gr(calculs!AP323)</f>
        <v>#NAME?</v>
      </c>
      <c r="F323" s="523" t="e">
        <f ca="1">gr(calculs!AQ323)</f>
        <v>#NAME?</v>
      </c>
      <c r="G323" s="523" t="e">
        <f ca="1">gr(calculs!U323)</f>
        <v>#NAME?</v>
      </c>
      <c r="H323" s="523" t="e">
        <f ca="1">gr(calculs!AA323)</f>
        <v>#NAME?</v>
      </c>
      <c r="I323" s="523" t="e">
        <f ca="1">gr(calculs!AG323)</f>
        <v>#NAME?</v>
      </c>
      <c r="J323" s="523" t="e">
        <f ca="1">gr(calculs!AM323)</f>
        <v>#NAME?</v>
      </c>
      <c r="K323" s="523" t="e">
        <f ca="1">gr(calculs!AR323)</f>
        <v>#NAME?</v>
      </c>
    </row>
    <row r="324" spans="1:11" x14ac:dyDescent="0.2">
      <c r="A324" s="222">
        <f>calculs!A324</f>
        <v>44875</v>
      </c>
      <c r="B324" s="523" t="e">
        <f ca="1">gr(calculs!X324)</f>
        <v>#NAME?</v>
      </c>
      <c r="C324" s="523" t="e">
        <f ca="1">gr(calculs!AD324)</f>
        <v>#NAME?</v>
      </c>
      <c r="D324" s="523" t="e">
        <f ca="1">gr(calculs!AJ324)</f>
        <v>#NAME?</v>
      </c>
      <c r="E324" s="523" t="e">
        <f ca="1">gr(calculs!AP324)</f>
        <v>#NAME?</v>
      </c>
      <c r="F324" s="523" t="e">
        <f ca="1">gr(calculs!AQ324)</f>
        <v>#NAME?</v>
      </c>
      <c r="G324" s="523" t="e">
        <f ca="1">gr(calculs!U324)</f>
        <v>#NAME?</v>
      </c>
      <c r="H324" s="523" t="e">
        <f ca="1">gr(calculs!AA324)</f>
        <v>#NAME?</v>
      </c>
      <c r="I324" s="523" t="e">
        <f ca="1">gr(calculs!AG324)</f>
        <v>#NAME?</v>
      </c>
      <c r="J324" s="523" t="e">
        <f ca="1">gr(calculs!AM324)</f>
        <v>#NAME?</v>
      </c>
      <c r="K324" s="523" t="e">
        <f ca="1">gr(calculs!AR324)</f>
        <v>#NAME?</v>
      </c>
    </row>
    <row r="325" spans="1:11" x14ac:dyDescent="0.2">
      <c r="A325" s="222">
        <f>calculs!A325</f>
        <v>44876</v>
      </c>
      <c r="B325" s="523" t="e">
        <f ca="1">gr(calculs!X325)</f>
        <v>#NAME?</v>
      </c>
      <c r="C325" s="523" t="e">
        <f ca="1">gr(calculs!AD325)</f>
        <v>#NAME?</v>
      </c>
      <c r="D325" s="523" t="e">
        <f ca="1">gr(calculs!AJ325)</f>
        <v>#NAME?</v>
      </c>
      <c r="E325" s="523" t="e">
        <f ca="1">gr(calculs!AP325)</f>
        <v>#NAME?</v>
      </c>
      <c r="F325" s="523" t="e">
        <f ca="1">gr(calculs!AQ325)</f>
        <v>#NAME?</v>
      </c>
      <c r="G325" s="523" t="e">
        <f ca="1">gr(calculs!U325)</f>
        <v>#NAME?</v>
      </c>
      <c r="H325" s="523" t="e">
        <f ca="1">gr(calculs!AA325)</f>
        <v>#NAME?</v>
      </c>
      <c r="I325" s="523" t="e">
        <f ca="1">gr(calculs!AG325)</f>
        <v>#NAME?</v>
      </c>
      <c r="J325" s="523" t="e">
        <f ca="1">gr(calculs!AM325)</f>
        <v>#NAME?</v>
      </c>
      <c r="K325" s="523" t="e">
        <f ca="1">gr(calculs!AR325)</f>
        <v>#NAME?</v>
      </c>
    </row>
    <row r="326" spans="1:11" x14ac:dyDescent="0.2">
      <c r="A326" s="222">
        <f>calculs!A326</f>
        <v>44877</v>
      </c>
      <c r="B326" s="523" t="e">
        <f ca="1">gr(calculs!X326)</f>
        <v>#NAME?</v>
      </c>
      <c r="C326" s="523" t="e">
        <f ca="1">gr(calculs!AD326)</f>
        <v>#NAME?</v>
      </c>
      <c r="D326" s="523" t="e">
        <f ca="1">gr(calculs!AJ326)</f>
        <v>#NAME?</v>
      </c>
      <c r="E326" s="523" t="e">
        <f ca="1">gr(calculs!AP326)</f>
        <v>#NAME?</v>
      </c>
      <c r="F326" s="523" t="e">
        <f ca="1">gr(calculs!AQ326)</f>
        <v>#NAME?</v>
      </c>
      <c r="G326" s="523" t="e">
        <f ca="1">gr(calculs!U326)</f>
        <v>#NAME?</v>
      </c>
      <c r="H326" s="523" t="e">
        <f ca="1">gr(calculs!AA326)</f>
        <v>#NAME?</v>
      </c>
      <c r="I326" s="523" t="e">
        <f ca="1">gr(calculs!AG326)</f>
        <v>#NAME?</v>
      </c>
      <c r="J326" s="523" t="e">
        <f ca="1">gr(calculs!AM326)</f>
        <v>#NAME?</v>
      </c>
      <c r="K326" s="523" t="e">
        <f ca="1">gr(calculs!AR326)</f>
        <v>#NAME?</v>
      </c>
    </row>
    <row r="327" spans="1:11" x14ac:dyDescent="0.2">
      <c r="A327" s="222">
        <f>calculs!A327</f>
        <v>44878</v>
      </c>
      <c r="B327" s="523" t="e">
        <f ca="1">gr(calculs!X327)</f>
        <v>#NAME?</v>
      </c>
      <c r="C327" s="523" t="e">
        <f ca="1">gr(calculs!AD327)</f>
        <v>#NAME?</v>
      </c>
      <c r="D327" s="523" t="e">
        <f ca="1">gr(calculs!AJ327)</f>
        <v>#NAME?</v>
      </c>
      <c r="E327" s="523" t="e">
        <f ca="1">gr(calculs!AP327)</f>
        <v>#NAME?</v>
      </c>
      <c r="F327" s="523" t="e">
        <f ca="1">gr(calculs!AQ327)</f>
        <v>#NAME?</v>
      </c>
      <c r="G327" s="523" t="e">
        <f ca="1">gr(calculs!U327)</f>
        <v>#NAME?</v>
      </c>
      <c r="H327" s="523" t="e">
        <f ca="1">gr(calculs!AA327)</f>
        <v>#NAME?</v>
      </c>
      <c r="I327" s="523" t="e">
        <f ca="1">gr(calculs!AG327)</f>
        <v>#NAME?</v>
      </c>
      <c r="J327" s="523" t="e">
        <f ca="1">gr(calculs!AM327)</f>
        <v>#NAME?</v>
      </c>
      <c r="K327" s="523" t="e">
        <f ca="1">gr(calculs!AR327)</f>
        <v>#NAME?</v>
      </c>
    </row>
    <row r="328" spans="1:11" x14ac:dyDescent="0.2">
      <c r="A328" s="222">
        <f>calculs!A328</f>
        <v>44879</v>
      </c>
      <c r="B328" s="523" t="e">
        <f ca="1">gr(calculs!X328)</f>
        <v>#NAME?</v>
      </c>
      <c r="C328" s="523" t="e">
        <f ca="1">gr(calculs!AD328)</f>
        <v>#NAME?</v>
      </c>
      <c r="D328" s="523" t="e">
        <f ca="1">gr(calculs!AJ328)</f>
        <v>#NAME?</v>
      </c>
      <c r="E328" s="523" t="e">
        <f ca="1">gr(calculs!AP328)</f>
        <v>#NAME?</v>
      </c>
      <c r="F328" s="523" t="e">
        <f ca="1">gr(calculs!AQ328)</f>
        <v>#NAME?</v>
      </c>
      <c r="G328" s="523" t="e">
        <f ca="1">gr(calculs!U328)</f>
        <v>#NAME?</v>
      </c>
      <c r="H328" s="523" t="e">
        <f ca="1">gr(calculs!AA328)</f>
        <v>#NAME?</v>
      </c>
      <c r="I328" s="523" t="e">
        <f ca="1">gr(calculs!AG328)</f>
        <v>#NAME?</v>
      </c>
      <c r="J328" s="523" t="e">
        <f ca="1">gr(calculs!AM328)</f>
        <v>#NAME?</v>
      </c>
      <c r="K328" s="523" t="e">
        <f ca="1">gr(calculs!AR328)</f>
        <v>#NAME?</v>
      </c>
    </row>
    <row r="329" spans="1:11" x14ac:dyDescent="0.2">
      <c r="A329" s="222">
        <f>calculs!A329</f>
        <v>44880</v>
      </c>
      <c r="B329" s="523" t="e">
        <f ca="1">gr(calculs!X329)</f>
        <v>#NAME?</v>
      </c>
      <c r="C329" s="523" t="e">
        <f ca="1">gr(calculs!AD329)</f>
        <v>#NAME?</v>
      </c>
      <c r="D329" s="523" t="e">
        <f ca="1">gr(calculs!AJ329)</f>
        <v>#NAME?</v>
      </c>
      <c r="E329" s="523" t="e">
        <f ca="1">gr(calculs!AP329)</f>
        <v>#NAME?</v>
      </c>
      <c r="F329" s="523" t="e">
        <f ca="1">gr(calculs!AQ329)</f>
        <v>#NAME?</v>
      </c>
      <c r="G329" s="523" t="e">
        <f ca="1">gr(calculs!U329)</f>
        <v>#NAME?</v>
      </c>
      <c r="H329" s="523" t="e">
        <f ca="1">gr(calculs!AA329)</f>
        <v>#NAME?</v>
      </c>
      <c r="I329" s="523" t="e">
        <f ca="1">gr(calculs!AG329)</f>
        <v>#NAME?</v>
      </c>
      <c r="J329" s="523" t="e">
        <f ca="1">gr(calculs!AM329)</f>
        <v>#NAME?</v>
      </c>
      <c r="K329" s="523" t="e">
        <f ca="1">gr(calculs!AR329)</f>
        <v>#NAME?</v>
      </c>
    </row>
    <row r="330" spans="1:11" x14ac:dyDescent="0.2">
      <c r="A330" s="222">
        <f>calculs!A330</f>
        <v>44881</v>
      </c>
      <c r="B330" s="523" t="e">
        <f ca="1">gr(calculs!X330)</f>
        <v>#NAME?</v>
      </c>
      <c r="C330" s="523" t="e">
        <f ca="1">gr(calculs!AD330)</f>
        <v>#NAME?</v>
      </c>
      <c r="D330" s="523" t="e">
        <f ca="1">gr(calculs!AJ330)</f>
        <v>#NAME?</v>
      </c>
      <c r="E330" s="523" t="e">
        <f ca="1">gr(calculs!AP330)</f>
        <v>#NAME?</v>
      </c>
      <c r="F330" s="523" t="e">
        <f ca="1">gr(calculs!AQ330)</f>
        <v>#NAME?</v>
      </c>
      <c r="G330" s="523" t="e">
        <f ca="1">gr(calculs!U330)</f>
        <v>#NAME?</v>
      </c>
      <c r="H330" s="523" t="e">
        <f ca="1">gr(calculs!AA330)</f>
        <v>#NAME?</v>
      </c>
      <c r="I330" s="523" t="e">
        <f ca="1">gr(calculs!AG330)</f>
        <v>#NAME?</v>
      </c>
      <c r="J330" s="523" t="e">
        <f ca="1">gr(calculs!AM330)</f>
        <v>#NAME?</v>
      </c>
      <c r="K330" s="523" t="e">
        <f ca="1">gr(calculs!AR330)</f>
        <v>#NAME?</v>
      </c>
    </row>
    <row r="331" spans="1:11" x14ac:dyDescent="0.2">
      <c r="A331" s="222">
        <f>calculs!A331</f>
        <v>44882</v>
      </c>
      <c r="B331" s="523" t="e">
        <f ca="1">gr(calculs!X331)</f>
        <v>#NAME?</v>
      </c>
      <c r="C331" s="523" t="e">
        <f ca="1">gr(calculs!AD331)</f>
        <v>#NAME?</v>
      </c>
      <c r="D331" s="523" t="e">
        <f ca="1">gr(calculs!AJ331)</f>
        <v>#NAME?</v>
      </c>
      <c r="E331" s="523" t="e">
        <f ca="1">gr(calculs!AP331)</f>
        <v>#NAME?</v>
      </c>
      <c r="F331" s="523" t="e">
        <f ca="1">gr(calculs!AQ331)</f>
        <v>#NAME?</v>
      </c>
      <c r="G331" s="523" t="e">
        <f ca="1">gr(calculs!U331)</f>
        <v>#NAME?</v>
      </c>
      <c r="H331" s="523" t="e">
        <f ca="1">gr(calculs!AA331)</f>
        <v>#NAME?</v>
      </c>
      <c r="I331" s="523" t="e">
        <f ca="1">gr(calculs!AG331)</f>
        <v>#NAME?</v>
      </c>
      <c r="J331" s="523" t="e">
        <f ca="1">gr(calculs!AM331)</f>
        <v>#NAME?</v>
      </c>
      <c r="K331" s="523" t="e">
        <f ca="1">gr(calculs!AR331)</f>
        <v>#NAME?</v>
      </c>
    </row>
    <row r="332" spans="1:11" x14ac:dyDescent="0.2">
      <c r="A332" s="222">
        <f>calculs!A332</f>
        <v>44883</v>
      </c>
      <c r="B332" s="523" t="e">
        <f ca="1">gr(calculs!X332)</f>
        <v>#NAME?</v>
      </c>
      <c r="C332" s="523" t="e">
        <f ca="1">gr(calculs!AD332)</f>
        <v>#NAME?</v>
      </c>
      <c r="D332" s="523" t="e">
        <f ca="1">gr(calculs!AJ332)</f>
        <v>#NAME?</v>
      </c>
      <c r="E332" s="523" t="e">
        <f ca="1">gr(calculs!AP332)</f>
        <v>#NAME?</v>
      </c>
      <c r="F332" s="523" t="e">
        <f ca="1">gr(calculs!AQ332)</f>
        <v>#NAME?</v>
      </c>
      <c r="G332" s="523" t="e">
        <f ca="1">gr(calculs!U332)</f>
        <v>#NAME?</v>
      </c>
      <c r="H332" s="523" t="e">
        <f ca="1">gr(calculs!AA332)</f>
        <v>#NAME?</v>
      </c>
      <c r="I332" s="523" t="e">
        <f ca="1">gr(calculs!AG332)</f>
        <v>#NAME?</v>
      </c>
      <c r="J332" s="523" t="e">
        <f ca="1">gr(calculs!AM332)</f>
        <v>#NAME?</v>
      </c>
      <c r="K332" s="523" t="e">
        <f ca="1">gr(calculs!AR332)</f>
        <v>#NAME?</v>
      </c>
    </row>
    <row r="333" spans="1:11" x14ac:dyDescent="0.2">
      <c r="A333" s="222">
        <f>calculs!A333</f>
        <v>44884</v>
      </c>
      <c r="B333" s="523" t="e">
        <f ca="1">gr(calculs!X333)</f>
        <v>#NAME?</v>
      </c>
      <c r="C333" s="523" t="e">
        <f ca="1">gr(calculs!AD333)</f>
        <v>#NAME?</v>
      </c>
      <c r="D333" s="523" t="e">
        <f ca="1">gr(calculs!AJ333)</f>
        <v>#NAME?</v>
      </c>
      <c r="E333" s="523" t="e">
        <f ca="1">gr(calculs!AP333)</f>
        <v>#NAME?</v>
      </c>
      <c r="F333" s="523" t="e">
        <f ca="1">gr(calculs!AQ333)</f>
        <v>#NAME?</v>
      </c>
      <c r="G333" s="523" t="e">
        <f ca="1">gr(calculs!U333)</f>
        <v>#NAME?</v>
      </c>
      <c r="H333" s="523" t="e">
        <f ca="1">gr(calculs!AA333)</f>
        <v>#NAME?</v>
      </c>
      <c r="I333" s="523" t="e">
        <f ca="1">gr(calculs!AG333)</f>
        <v>#NAME?</v>
      </c>
      <c r="J333" s="523" t="e">
        <f ca="1">gr(calculs!AM333)</f>
        <v>#NAME?</v>
      </c>
      <c r="K333" s="523" t="e">
        <f ca="1">gr(calculs!AR333)</f>
        <v>#NAME?</v>
      </c>
    </row>
    <row r="334" spans="1:11" x14ac:dyDescent="0.2">
      <c r="A334" s="222">
        <f>calculs!A334</f>
        <v>44885</v>
      </c>
      <c r="B334" s="523" t="e">
        <f ca="1">gr(calculs!X334)</f>
        <v>#NAME?</v>
      </c>
      <c r="C334" s="523" t="e">
        <f ca="1">gr(calculs!AD334)</f>
        <v>#NAME?</v>
      </c>
      <c r="D334" s="523" t="e">
        <f ca="1">gr(calculs!AJ334)</f>
        <v>#NAME?</v>
      </c>
      <c r="E334" s="523" t="e">
        <f ca="1">gr(calculs!AP334)</f>
        <v>#NAME?</v>
      </c>
      <c r="F334" s="523" t="e">
        <f ca="1">gr(calculs!AQ334)</f>
        <v>#NAME?</v>
      </c>
      <c r="G334" s="523" t="e">
        <f ca="1">gr(calculs!U334)</f>
        <v>#NAME?</v>
      </c>
      <c r="H334" s="523" t="e">
        <f ca="1">gr(calculs!AA334)</f>
        <v>#NAME?</v>
      </c>
      <c r="I334" s="523" t="e">
        <f ca="1">gr(calculs!AG334)</f>
        <v>#NAME?</v>
      </c>
      <c r="J334" s="523" t="e">
        <f ca="1">gr(calculs!AM334)</f>
        <v>#NAME?</v>
      </c>
      <c r="K334" s="523" t="e">
        <f ca="1">gr(calculs!AR334)</f>
        <v>#NAME?</v>
      </c>
    </row>
    <row r="335" spans="1:11" x14ac:dyDescent="0.2">
      <c r="A335" s="222">
        <f>calculs!A335</f>
        <v>44886</v>
      </c>
      <c r="B335" s="523" t="e">
        <f ca="1">gr(calculs!X335)</f>
        <v>#NAME?</v>
      </c>
      <c r="C335" s="523" t="e">
        <f ca="1">gr(calculs!AD335)</f>
        <v>#NAME?</v>
      </c>
      <c r="D335" s="523" t="e">
        <f ca="1">gr(calculs!AJ335)</f>
        <v>#NAME?</v>
      </c>
      <c r="E335" s="523" t="e">
        <f ca="1">gr(calculs!AP335)</f>
        <v>#NAME?</v>
      </c>
      <c r="F335" s="523" t="e">
        <f ca="1">gr(calculs!AQ335)</f>
        <v>#NAME?</v>
      </c>
      <c r="G335" s="523" t="e">
        <f ca="1">gr(calculs!U335)</f>
        <v>#NAME?</v>
      </c>
      <c r="H335" s="523" t="e">
        <f ca="1">gr(calculs!AA335)</f>
        <v>#NAME?</v>
      </c>
      <c r="I335" s="523" t="e">
        <f ca="1">gr(calculs!AG335)</f>
        <v>#NAME?</v>
      </c>
      <c r="J335" s="523" t="e">
        <f ca="1">gr(calculs!AM335)</f>
        <v>#NAME?</v>
      </c>
      <c r="K335" s="523" t="e">
        <f ca="1">gr(calculs!AR335)</f>
        <v>#NAME?</v>
      </c>
    </row>
    <row r="336" spans="1:11" x14ac:dyDescent="0.2">
      <c r="A336" s="222">
        <f>calculs!A336</f>
        <v>44887</v>
      </c>
      <c r="B336" s="523" t="e">
        <f ca="1">gr(calculs!X336)</f>
        <v>#NAME?</v>
      </c>
      <c r="C336" s="523" t="e">
        <f ca="1">gr(calculs!AD336)</f>
        <v>#NAME?</v>
      </c>
      <c r="D336" s="523" t="e">
        <f ca="1">gr(calculs!AJ336)</f>
        <v>#NAME?</v>
      </c>
      <c r="E336" s="523" t="e">
        <f ca="1">gr(calculs!AP336)</f>
        <v>#NAME?</v>
      </c>
      <c r="F336" s="523" t="e">
        <f ca="1">gr(calculs!AQ336)</f>
        <v>#NAME?</v>
      </c>
      <c r="G336" s="523" t="e">
        <f ca="1">gr(calculs!U336)</f>
        <v>#NAME?</v>
      </c>
      <c r="H336" s="523" t="e">
        <f ca="1">gr(calculs!AA336)</f>
        <v>#NAME?</v>
      </c>
      <c r="I336" s="523" t="e">
        <f ca="1">gr(calculs!AG336)</f>
        <v>#NAME?</v>
      </c>
      <c r="J336" s="523" t="e">
        <f ca="1">gr(calculs!AM336)</f>
        <v>#NAME?</v>
      </c>
      <c r="K336" s="523" t="e">
        <f ca="1">gr(calculs!AR336)</f>
        <v>#NAME?</v>
      </c>
    </row>
    <row r="337" spans="1:11" x14ac:dyDescent="0.2">
      <c r="A337" s="222">
        <f>calculs!A337</f>
        <v>44888</v>
      </c>
      <c r="B337" s="523" t="e">
        <f ca="1">gr(calculs!X337)</f>
        <v>#NAME?</v>
      </c>
      <c r="C337" s="523" t="e">
        <f ca="1">gr(calculs!AD337)</f>
        <v>#NAME?</v>
      </c>
      <c r="D337" s="523" t="e">
        <f ca="1">gr(calculs!AJ337)</f>
        <v>#NAME?</v>
      </c>
      <c r="E337" s="523" t="e">
        <f ca="1">gr(calculs!AP337)</f>
        <v>#NAME?</v>
      </c>
      <c r="F337" s="523" t="e">
        <f ca="1">gr(calculs!AQ337)</f>
        <v>#NAME?</v>
      </c>
      <c r="G337" s="523" t="e">
        <f ca="1">gr(calculs!U337)</f>
        <v>#NAME?</v>
      </c>
      <c r="H337" s="523" t="e">
        <f ca="1">gr(calculs!AA337)</f>
        <v>#NAME?</v>
      </c>
      <c r="I337" s="523" t="e">
        <f ca="1">gr(calculs!AG337)</f>
        <v>#NAME?</v>
      </c>
      <c r="J337" s="523" t="e">
        <f ca="1">gr(calculs!AM337)</f>
        <v>#NAME?</v>
      </c>
      <c r="K337" s="523" t="e">
        <f ca="1">gr(calculs!AR337)</f>
        <v>#NAME?</v>
      </c>
    </row>
    <row r="338" spans="1:11" x14ac:dyDescent="0.2">
      <c r="A338" s="222">
        <f>calculs!A338</f>
        <v>44889</v>
      </c>
      <c r="B338" s="523" t="e">
        <f ca="1">gr(calculs!X338)</f>
        <v>#NAME?</v>
      </c>
      <c r="C338" s="523" t="e">
        <f ca="1">gr(calculs!AD338)</f>
        <v>#NAME?</v>
      </c>
      <c r="D338" s="523" t="e">
        <f ca="1">gr(calculs!AJ338)</f>
        <v>#NAME?</v>
      </c>
      <c r="E338" s="523" t="e">
        <f ca="1">gr(calculs!AP338)</f>
        <v>#NAME?</v>
      </c>
      <c r="F338" s="523" t="e">
        <f ca="1">gr(calculs!AQ338)</f>
        <v>#NAME?</v>
      </c>
      <c r="G338" s="523" t="e">
        <f ca="1">gr(calculs!U338)</f>
        <v>#NAME?</v>
      </c>
      <c r="H338" s="523" t="e">
        <f ca="1">gr(calculs!AA338)</f>
        <v>#NAME?</v>
      </c>
      <c r="I338" s="523" t="e">
        <f ca="1">gr(calculs!AG338)</f>
        <v>#NAME?</v>
      </c>
      <c r="J338" s="523" t="e">
        <f ca="1">gr(calculs!AM338)</f>
        <v>#NAME?</v>
      </c>
      <c r="K338" s="523" t="e">
        <f ca="1">gr(calculs!AR338)</f>
        <v>#NAME?</v>
      </c>
    </row>
    <row r="339" spans="1:11" x14ac:dyDescent="0.2">
      <c r="A339" s="222">
        <f>calculs!A339</f>
        <v>44890</v>
      </c>
      <c r="B339" s="523" t="e">
        <f ca="1">gr(calculs!X339)</f>
        <v>#NAME?</v>
      </c>
      <c r="C339" s="523" t="e">
        <f ca="1">gr(calculs!AD339)</f>
        <v>#NAME?</v>
      </c>
      <c r="D339" s="523" t="e">
        <f ca="1">gr(calculs!AJ339)</f>
        <v>#NAME?</v>
      </c>
      <c r="E339" s="523" t="e">
        <f ca="1">gr(calculs!AP339)</f>
        <v>#NAME?</v>
      </c>
      <c r="F339" s="523" t="e">
        <f ca="1">gr(calculs!AQ339)</f>
        <v>#NAME?</v>
      </c>
      <c r="G339" s="523" t="e">
        <f ca="1">gr(calculs!U339)</f>
        <v>#NAME?</v>
      </c>
      <c r="H339" s="523" t="e">
        <f ca="1">gr(calculs!AA339)</f>
        <v>#NAME?</v>
      </c>
      <c r="I339" s="523" t="e">
        <f ca="1">gr(calculs!AG339)</f>
        <v>#NAME?</v>
      </c>
      <c r="J339" s="523" t="e">
        <f ca="1">gr(calculs!AM339)</f>
        <v>#NAME?</v>
      </c>
      <c r="K339" s="523" t="e">
        <f ca="1">gr(calculs!AR339)</f>
        <v>#NAME?</v>
      </c>
    </row>
    <row r="340" spans="1:11" x14ac:dyDescent="0.2">
      <c r="A340" s="222">
        <f>calculs!A340</f>
        <v>44891</v>
      </c>
      <c r="B340" s="523" t="e">
        <f ca="1">gr(calculs!X340)</f>
        <v>#NAME?</v>
      </c>
      <c r="C340" s="523" t="e">
        <f ca="1">gr(calculs!AD340)</f>
        <v>#NAME?</v>
      </c>
      <c r="D340" s="523" t="e">
        <f ca="1">gr(calculs!AJ340)</f>
        <v>#NAME?</v>
      </c>
      <c r="E340" s="523" t="e">
        <f ca="1">gr(calculs!AP340)</f>
        <v>#NAME?</v>
      </c>
      <c r="F340" s="523" t="e">
        <f ca="1">gr(calculs!AQ340)</f>
        <v>#NAME?</v>
      </c>
      <c r="G340" s="523" t="e">
        <f ca="1">gr(calculs!U340)</f>
        <v>#NAME?</v>
      </c>
      <c r="H340" s="523" t="e">
        <f ca="1">gr(calculs!AA340)</f>
        <v>#NAME?</v>
      </c>
      <c r="I340" s="523" t="e">
        <f ca="1">gr(calculs!AG340)</f>
        <v>#NAME?</v>
      </c>
      <c r="J340" s="523" t="e">
        <f ca="1">gr(calculs!AM340)</f>
        <v>#NAME?</v>
      </c>
      <c r="K340" s="523" t="e">
        <f ca="1">gr(calculs!AR340)</f>
        <v>#NAME?</v>
      </c>
    </row>
    <row r="341" spans="1:11" x14ac:dyDescent="0.2">
      <c r="A341" s="222">
        <f>calculs!A341</f>
        <v>44892</v>
      </c>
      <c r="B341" s="523" t="e">
        <f ca="1">gr(calculs!X341)</f>
        <v>#NAME?</v>
      </c>
      <c r="C341" s="523" t="e">
        <f ca="1">gr(calculs!AD341)</f>
        <v>#NAME?</v>
      </c>
      <c r="D341" s="523" t="e">
        <f ca="1">gr(calculs!AJ341)</f>
        <v>#NAME?</v>
      </c>
      <c r="E341" s="523" t="e">
        <f ca="1">gr(calculs!AP341)</f>
        <v>#NAME?</v>
      </c>
      <c r="F341" s="523" t="e">
        <f ca="1">gr(calculs!AQ341)</f>
        <v>#NAME?</v>
      </c>
      <c r="G341" s="523" t="e">
        <f ca="1">gr(calculs!U341)</f>
        <v>#NAME?</v>
      </c>
      <c r="H341" s="523" t="e">
        <f ca="1">gr(calculs!AA341)</f>
        <v>#NAME?</v>
      </c>
      <c r="I341" s="523" t="e">
        <f ca="1">gr(calculs!AG341)</f>
        <v>#NAME?</v>
      </c>
      <c r="J341" s="523" t="e">
        <f ca="1">gr(calculs!AM341)</f>
        <v>#NAME?</v>
      </c>
      <c r="K341" s="523" t="e">
        <f ca="1">gr(calculs!AR341)</f>
        <v>#NAME?</v>
      </c>
    </row>
    <row r="342" spans="1:11" x14ac:dyDescent="0.2">
      <c r="A342" s="222">
        <f>calculs!A342</f>
        <v>44893</v>
      </c>
      <c r="B342" s="523" t="e">
        <f ca="1">gr(calculs!X342)</f>
        <v>#NAME?</v>
      </c>
      <c r="C342" s="523" t="e">
        <f ca="1">gr(calculs!AD342)</f>
        <v>#NAME?</v>
      </c>
      <c r="D342" s="523" t="e">
        <f ca="1">gr(calculs!AJ342)</f>
        <v>#NAME?</v>
      </c>
      <c r="E342" s="523" t="e">
        <f ca="1">gr(calculs!AP342)</f>
        <v>#NAME?</v>
      </c>
      <c r="F342" s="523" t="e">
        <f ca="1">gr(calculs!AQ342)</f>
        <v>#NAME?</v>
      </c>
      <c r="G342" s="523" t="e">
        <f ca="1">gr(calculs!U342)</f>
        <v>#NAME?</v>
      </c>
      <c r="H342" s="523" t="e">
        <f ca="1">gr(calculs!AA342)</f>
        <v>#NAME?</v>
      </c>
      <c r="I342" s="523" t="e">
        <f ca="1">gr(calculs!AG342)</f>
        <v>#NAME?</v>
      </c>
      <c r="J342" s="523" t="e">
        <f ca="1">gr(calculs!AM342)</f>
        <v>#NAME?</v>
      </c>
      <c r="K342" s="523" t="e">
        <f ca="1">gr(calculs!AR342)</f>
        <v>#NAME?</v>
      </c>
    </row>
    <row r="343" spans="1:11" x14ac:dyDescent="0.2">
      <c r="A343" s="222">
        <f>calculs!A343</f>
        <v>44894</v>
      </c>
      <c r="B343" s="523" t="e">
        <f ca="1">gr(calculs!X343)</f>
        <v>#NAME?</v>
      </c>
      <c r="C343" s="523" t="e">
        <f ca="1">gr(calculs!AD343)</f>
        <v>#NAME?</v>
      </c>
      <c r="D343" s="523" t="e">
        <f ca="1">gr(calculs!AJ343)</f>
        <v>#NAME?</v>
      </c>
      <c r="E343" s="523" t="e">
        <f ca="1">gr(calculs!AP343)</f>
        <v>#NAME?</v>
      </c>
      <c r="F343" s="523" t="e">
        <f ca="1">gr(calculs!AQ343)</f>
        <v>#NAME?</v>
      </c>
      <c r="G343" s="523" t="e">
        <f ca="1">gr(calculs!U343)</f>
        <v>#NAME?</v>
      </c>
      <c r="H343" s="523" t="e">
        <f ca="1">gr(calculs!AA343)</f>
        <v>#NAME?</v>
      </c>
      <c r="I343" s="523" t="e">
        <f ca="1">gr(calculs!AG343)</f>
        <v>#NAME?</v>
      </c>
      <c r="J343" s="523" t="e">
        <f ca="1">gr(calculs!AM343)</f>
        <v>#NAME?</v>
      </c>
      <c r="K343" s="523" t="e">
        <f ca="1">gr(calculs!AR343)</f>
        <v>#NAME?</v>
      </c>
    </row>
    <row r="344" spans="1:11" x14ac:dyDescent="0.2">
      <c r="A344" s="222">
        <f>calculs!A344</f>
        <v>44895</v>
      </c>
      <c r="B344" s="523" t="e">
        <f ca="1">gr(calculs!X344)</f>
        <v>#NAME?</v>
      </c>
      <c r="C344" s="523" t="e">
        <f ca="1">gr(calculs!AD344)</f>
        <v>#NAME?</v>
      </c>
      <c r="D344" s="523" t="e">
        <f ca="1">gr(calculs!AJ344)</f>
        <v>#NAME?</v>
      </c>
      <c r="E344" s="523" t="e">
        <f ca="1">gr(calculs!AP344)</f>
        <v>#NAME?</v>
      </c>
      <c r="F344" s="523" t="e">
        <f ca="1">gr(calculs!AQ344)</f>
        <v>#NAME?</v>
      </c>
      <c r="G344" s="523" t="e">
        <f ca="1">gr(calculs!U344)</f>
        <v>#NAME?</v>
      </c>
      <c r="H344" s="523" t="e">
        <f ca="1">gr(calculs!AA344)</f>
        <v>#NAME?</v>
      </c>
      <c r="I344" s="523" t="e">
        <f ca="1">gr(calculs!AG344)</f>
        <v>#NAME?</v>
      </c>
      <c r="J344" s="523" t="e">
        <f ca="1">gr(calculs!AM344)</f>
        <v>#NAME?</v>
      </c>
      <c r="K344" s="523" t="e">
        <f ca="1">gr(calculs!AR344)</f>
        <v>#NAME?</v>
      </c>
    </row>
    <row r="345" spans="1:11" x14ac:dyDescent="0.2">
      <c r="A345" s="222">
        <f>calculs!A345</f>
        <v>44896</v>
      </c>
      <c r="B345" s="523" t="e">
        <f ca="1">gr(calculs!X345)</f>
        <v>#NAME?</v>
      </c>
      <c r="C345" s="523" t="e">
        <f ca="1">gr(calculs!AD345)</f>
        <v>#NAME?</v>
      </c>
      <c r="D345" s="523" t="e">
        <f ca="1">gr(calculs!AJ345)</f>
        <v>#NAME?</v>
      </c>
      <c r="E345" s="523" t="e">
        <f ca="1">gr(calculs!AP345)</f>
        <v>#NAME?</v>
      </c>
      <c r="F345" s="523" t="e">
        <f ca="1">gr(calculs!AQ345)</f>
        <v>#NAME?</v>
      </c>
      <c r="G345" s="523" t="e">
        <f ca="1">gr(calculs!U345)</f>
        <v>#NAME?</v>
      </c>
      <c r="H345" s="523" t="e">
        <f ca="1">gr(calculs!AA345)</f>
        <v>#NAME?</v>
      </c>
      <c r="I345" s="523" t="e">
        <f ca="1">gr(calculs!AG345)</f>
        <v>#NAME?</v>
      </c>
      <c r="J345" s="523" t="e">
        <f ca="1">gr(calculs!AM345)</f>
        <v>#NAME?</v>
      </c>
      <c r="K345" s="523" t="e">
        <f ca="1">gr(calculs!AR345)</f>
        <v>#NAME?</v>
      </c>
    </row>
    <row r="346" spans="1:11" x14ac:dyDescent="0.2">
      <c r="A346" s="222">
        <f>calculs!A346</f>
        <v>44897</v>
      </c>
      <c r="B346" s="523" t="e">
        <f ca="1">gr(calculs!X346)</f>
        <v>#NAME?</v>
      </c>
      <c r="C346" s="523" t="e">
        <f ca="1">gr(calculs!AD346)</f>
        <v>#NAME?</v>
      </c>
      <c r="D346" s="523" t="e">
        <f ca="1">gr(calculs!AJ346)</f>
        <v>#NAME?</v>
      </c>
      <c r="E346" s="523" t="e">
        <f ca="1">gr(calculs!AP346)</f>
        <v>#NAME?</v>
      </c>
      <c r="F346" s="523" t="e">
        <f ca="1">gr(calculs!AQ346)</f>
        <v>#NAME?</v>
      </c>
      <c r="G346" s="523" t="e">
        <f ca="1">gr(calculs!U346)</f>
        <v>#NAME?</v>
      </c>
      <c r="H346" s="523" t="e">
        <f ca="1">gr(calculs!AA346)</f>
        <v>#NAME?</v>
      </c>
      <c r="I346" s="523" t="e">
        <f ca="1">gr(calculs!AG346)</f>
        <v>#NAME?</v>
      </c>
      <c r="J346" s="523" t="e">
        <f ca="1">gr(calculs!AM346)</f>
        <v>#NAME?</v>
      </c>
      <c r="K346" s="523" t="e">
        <f ca="1">gr(calculs!AR346)</f>
        <v>#NAME?</v>
      </c>
    </row>
    <row r="347" spans="1:11" x14ac:dyDescent="0.2">
      <c r="A347" s="222">
        <f>calculs!A347</f>
        <v>44898</v>
      </c>
      <c r="B347" s="523" t="e">
        <f ca="1">gr(calculs!X347)</f>
        <v>#NAME?</v>
      </c>
      <c r="C347" s="523" t="e">
        <f ca="1">gr(calculs!AD347)</f>
        <v>#NAME?</v>
      </c>
      <c r="D347" s="523" t="e">
        <f ca="1">gr(calculs!AJ347)</f>
        <v>#NAME?</v>
      </c>
      <c r="E347" s="523" t="e">
        <f ca="1">gr(calculs!AP347)</f>
        <v>#NAME?</v>
      </c>
      <c r="F347" s="523" t="e">
        <f ca="1">gr(calculs!AQ347)</f>
        <v>#NAME?</v>
      </c>
      <c r="G347" s="523" t="e">
        <f ca="1">gr(calculs!U347)</f>
        <v>#NAME?</v>
      </c>
      <c r="H347" s="523" t="e">
        <f ca="1">gr(calculs!AA347)</f>
        <v>#NAME?</v>
      </c>
      <c r="I347" s="523" t="e">
        <f ca="1">gr(calculs!AG347)</f>
        <v>#NAME?</v>
      </c>
      <c r="J347" s="523" t="e">
        <f ca="1">gr(calculs!AM347)</f>
        <v>#NAME?</v>
      </c>
      <c r="K347" s="523" t="e">
        <f ca="1">gr(calculs!AR347)</f>
        <v>#NAME?</v>
      </c>
    </row>
    <row r="348" spans="1:11" x14ac:dyDescent="0.2">
      <c r="A348" s="222">
        <f>calculs!A348</f>
        <v>44899</v>
      </c>
      <c r="B348" s="523" t="e">
        <f ca="1">gr(calculs!X348)</f>
        <v>#NAME?</v>
      </c>
      <c r="C348" s="523" t="e">
        <f ca="1">gr(calculs!AD348)</f>
        <v>#NAME?</v>
      </c>
      <c r="D348" s="523" t="e">
        <f ca="1">gr(calculs!AJ348)</f>
        <v>#NAME?</v>
      </c>
      <c r="E348" s="523" t="e">
        <f ca="1">gr(calculs!AP348)</f>
        <v>#NAME?</v>
      </c>
      <c r="F348" s="523" t="e">
        <f ca="1">gr(calculs!AQ348)</f>
        <v>#NAME?</v>
      </c>
      <c r="G348" s="523" t="e">
        <f ca="1">gr(calculs!U348)</f>
        <v>#NAME?</v>
      </c>
      <c r="H348" s="523" t="e">
        <f ca="1">gr(calculs!AA348)</f>
        <v>#NAME?</v>
      </c>
      <c r="I348" s="523" t="e">
        <f ca="1">gr(calculs!AG348)</f>
        <v>#NAME?</v>
      </c>
      <c r="J348" s="523" t="e">
        <f ca="1">gr(calculs!AM348)</f>
        <v>#NAME?</v>
      </c>
      <c r="K348" s="523" t="e">
        <f ca="1">gr(calculs!AR348)</f>
        <v>#NAME?</v>
      </c>
    </row>
    <row r="349" spans="1:11" x14ac:dyDescent="0.2">
      <c r="A349" s="222">
        <f>calculs!A349</f>
        <v>44900</v>
      </c>
      <c r="B349" s="523" t="e">
        <f ca="1">gr(calculs!X349)</f>
        <v>#NAME?</v>
      </c>
      <c r="C349" s="523" t="e">
        <f ca="1">gr(calculs!AD349)</f>
        <v>#NAME?</v>
      </c>
      <c r="D349" s="523" t="e">
        <f ca="1">gr(calculs!AJ349)</f>
        <v>#NAME?</v>
      </c>
      <c r="E349" s="523" t="e">
        <f ca="1">gr(calculs!AP349)</f>
        <v>#NAME?</v>
      </c>
      <c r="F349" s="523" t="e">
        <f ca="1">gr(calculs!AQ349)</f>
        <v>#NAME?</v>
      </c>
      <c r="G349" s="523" t="e">
        <f ca="1">gr(calculs!U349)</f>
        <v>#NAME?</v>
      </c>
      <c r="H349" s="523" t="e">
        <f ca="1">gr(calculs!AA349)</f>
        <v>#NAME?</v>
      </c>
      <c r="I349" s="523" t="e">
        <f ca="1">gr(calculs!AG349)</f>
        <v>#NAME?</v>
      </c>
      <c r="J349" s="523" t="e">
        <f ca="1">gr(calculs!AM349)</f>
        <v>#NAME?</v>
      </c>
      <c r="K349" s="523" t="e">
        <f ca="1">gr(calculs!AR349)</f>
        <v>#NAME?</v>
      </c>
    </row>
    <row r="350" spans="1:11" x14ac:dyDescent="0.2">
      <c r="A350" s="222">
        <f>calculs!A350</f>
        <v>44901</v>
      </c>
      <c r="B350" s="523" t="e">
        <f ca="1">gr(calculs!X350)</f>
        <v>#NAME?</v>
      </c>
      <c r="C350" s="523" t="e">
        <f ca="1">gr(calculs!AD350)</f>
        <v>#NAME?</v>
      </c>
      <c r="D350" s="523" t="e">
        <f ca="1">gr(calculs!AJ350)</f>
        <v>#NAME?</v>
      </c>
      <c r="E350" s="523" t="e">
        <f ca="1">gr(calculs!AP350)</f>
        <v>#NAME?</v>
      </c>
      <c r="F350" s="523" t="e">
        <f ca="1">gr(calculs!AQ350)</f>
        <v>#NAME?</v>
      </c>
      <c r="G350" s="523" t="e">
        <f ca="1">gr(calculs!U350)</f>
        <v>#NAME?</v>
      </c>
      <c r="H350" s="523" t="e">
        <f ca="1">gr(calculs!AA350)</f>
        <v>#NAME?</v>
      </c>
      <c r="I350" s="523" t="e">
        <f ca="1">gr(calculs!AG350)</f>
        <v>#NAME?</v>
      </c>
      <c r="J350" s="523" t="e">
        <f ca="1">gr(calculs!AM350)</f>
        <v>#NAME?</v>
      </c>
      <c r="K350" s="523" t="e">
        <f ca="1">gr(calculs!AR350)</f>
        <v>#NAME?</v>
      </c>
    </row>
    <row r="351" spans="1:11" x14ac:dyDescent="0.2">
      <c r="A351" s="222">
        <f>calculs!A351</f>
        <v>44902</v>
      </c>
      <c r="B351" s="523" t="e">
        <f ca="1">gr(calculs!X351)</f>
        <v>#NAME?</v>
      </c>
      <c r="C351" s="523" t="e">
        <f ca="1">gr(calculs!AD351)</f>
        <v>#NAME?</v>
      </c>
      <c r="D351" s="523" t="e">
        <f ca="1">gr(calculs!AJ351)</f>
        <v>#NAME?</v>
      </c>
      <c r="E351" s="523" t="e">
        <f ca="1">gr(calculs!AP351)</f>
        <v>#NAME?</v>
      </c>
      <c r="F351" s="523" t="e">
        <f ca="1">gr(calculs!AQ351)</f>
        <v>#NAME?</v>
      </c>
      <c r="G351" s="523" t="e">
        <f ca="1">gr(calculs!U351)</f>
        <v>#NAME?</v>
      </c>
      <c r="H351" s="523" t="e">
        <f ca="1">gr(calculs!AA351)</f>
        <v>#NAME?</v>
      </c>
      <c r="I351" s="523" t="e">
        <f ca="1">gr(calculs!AG351)</f>
        <v>#NAME?</v>
      </c>
      <c r="J351" s="523" t="e">
        <f ca="1">gr(calculs!AM351)</f>
        <v>#NAME?</v>
      </c>
      <c r="K351" s="523" t="e">
        <f ca="1">gr(calculs!AR351)</f>
        <v>#NAME?</v>
      </c>
    </row>
    <row r="352" spans="1:11" x14ac:dyDescent="0.2">
      <c r="A352" s="222">
        <f>calculs!A352</f>
        <v>44903</v>
      </c>
      <c r="B352" s="523" t="e">
        <f ca="1">gr(calculs!X352)</f>
        <v>#NAME?</v>
      </c>
      <c r="C352" s="523" t="e">
        <f ca="1">gr(calculs!AD352)</f>
        <v>#NAME?</v>
      </c>
      <c r="D352" s="523" t="e">
        <f ca="1">gr(calculs!AJ352)</f>
        <v>#NAME?</v>
      </c>
      <c r="E352" s="523" t="e">
        <f ca="1">gr(calculs!AP352)</f>
        <v>#NAME?</v>
      </c>
      <c r="F352" s="523" t="e">
        <f ca="1">gr(calculs!AQ352)</f>
        <v>#NAME?</v>
      </c>
      <c r="G352" s="523" t="e">
        <f ca="1">gr(calculs!U352)</f>
        <v>#NAME?</v>
      </c>
      <c r="H352" s="523" t="e">
        <f ca="1">gr(calculs!AA352)</f>
        <v>#NAME?</v>
      </c>
      <c r="I352" s="523" t="e">
        <f ca="1">gr(calculs!AG352)</f>
        <v>#NAME?</v>
      </c>
      <c r="J352" s="523" t="e">
        <f ca="1">gr(calculs!AM352)</f>
        <v>#NAME?</v>
      </c>
      <c r="K352" s="523" t="e">
        <f ca="1">gr(calculs!AR352)</f>
        <v>#NAME?</v>
      </c>
    </row>
    <row r="353" spans="1:11" x14ac:dyDescent="0.2">
      <c r="A353" s="222">
        <f>calculs!A353</f>
        <v>44904</v>
      </c>
      <c r="B353" s="523" t="e">
        <f ca="1">gr(calculs!X353)</f>
        <v>#NAME?</v>
      </c>
      <c r="C353" s="523" t="e">
        <f ca="1">gr(calculs!AD353)</f>
        <v>#NAME?</v>
      </c>
      <c r="D353" s="523" t="e">
        <f ca="1">gr(calculs!AJ353)</f>
        <v>#NAME?</v>
      </c>
      <c r="E353" s="523" t="e">
        <f ca="1">gr(calculs!AP353)</f>
        <v>#NAME?</v>
      </c>
      <c r="F353" s="523" t="e">
        <f ca="1">gr(calculs!AQ353)</f>
        <v>#NAME?</v>
      </c>
      <c r="G353" s="523" t="e">
        <f ca="1">gr(calculs!U353)</f>
        <v>#NAME?</v>
      </c>
      <c r="H353" s="523" t="e">
        <f ca="1">gr(calculs!AA353)</f>
        <v>#NAME?</v>
      </c>
      <c r="I353" s="523" t="e">
        <f ca="1">gr(calculs!AG353)</f>
        <v>#NAME?</v>
      </c>
      <c r="J353" s="523" t="e">
        <f ca="1">gr(calculs!AM353)</f>
        <v>#NAME?</v>
      </c>
      <c r="K353" s="523" t="e">
        <f ca="1">gr(calculs!AR353)</f>
        <v>#NAME?</v>
      </c>
    </row>
    <row r="354" spans="1:11" x14ac:dyDescent="0.2">
      <c r="A354" s="222">
        <f>calculs!A354</f>
        <v>44905</v>
      </c>
      <c r="B354" s="523" t="e">
        <f ca="1">gr(calculs!X354)</f>
        <v>#NAME?</v>
      </c>
      <c r="C354" s="523" t="e">
        <f ca="1">gr(calculs!AD354)</f>
        <v>#NAME?</v>
      </c>
      <c r="D354" s="523" t="e">
        <f ca="1">gr(calculs!AJ354)</f>
        <v>#NAME?</v>
      </c>
      <c r="E354" s="523" t="e">
        <f ca="1">gr(calculs!AP354)</f>
        <v>#NAME?</v>
      </c>
      <c r="F354" s="523" t="e">
        <f ca="1">gr(calculs!AQ354)</f>
        <v>#NAME?</v>
      </c>
      <c r="G354" s="523" t="e">
        <f ca="1">gr(calculs!U354)</f>
        <v>#NAME?</v>
      </c>
      <c r="H354" s="523" t="e">
        <f ca="1">gr(calculs!AA354)</f>
        <v>#NAME?</v>
      </c>
      <c r="I354" s="523" t="e">
        <f ca="1">gr(calculs!AG354)</f>
        <v>#NAME?</v>
      </c>
      <c r="J354" s="523" t="e">
        <f ca="1">gr(calculs!AM354)</f>
        <v>#NAME?</v>
      </c>
      <c r="K354" s="523" t="e">
        <f ca="1">gr(calculs!AR354)</f>
        <v>#NAME?</v>
      </c>
    </row>
    <row r="355" spans="1:11" x14ac:dyDescent="0.2">
      <c r="A355" s="222">
        <f>calculs!A355</f>
        <v>44906</v>
      </c>
      <c r="B355" s="523" t="e">
        <f ca="1">gr(calculs!X355)</f>
        <v>#NAME?</v>
      </c>
      <c r="C355" s="523" t="e">
        <f ca="1">gr(calculs!AD355)</f>
        <v>#NAME?</v>
      </c>
      <c r="D355" s="523" t="e">
        <f ca="1">gr(calculs!AJ355)</f>
        <v>#NAME?</v>
      </c>
      <c r="E355" s="523" t="e">
        <f ca="1">gr(calculs!AP355)</f>
        <v>#NAME?</v>
      </c>
      <c r="F355" s="523" t="e">
        <f ca="1">gr(calculs!AQ355)</f>
        <v>#NAME?</v>
      </c>
      <c r="G355" s="523" t="e">
        <f ca="1">gr(calculs!U355)</f>
        <v>#NAME?</v>
      </c>
      <c r="H355" s="523" t="e">
        <f ca="1">gr(calculs!AA355)</f>
        <v>#NAME?</v>
      </c>
      <c r="I355" s="523" t="e">
        <f ca="1">gr(calculs!AG355)</f>
        <v>#NAME?</v>
      </c>
      <c r="J355" s="523" t="e">
        <f ca="1">gr(calculs!AM355)</f>
        <v>#NAME?</v>
      </c>
      <c r="K355" s="523" t="e">
        <f ca="1">gr(calculs!AR355)</f>
        <v>#NAME?</v>
      </c>
    </row>
    <row r="356" spans="1:11" x14ac:dyDescent="0.2">
      <c r="A356" s="222">
        <f>calculs!A356</f>
        <v>44907</v>
      </c>
      <c r="B356" s="523" t="e">
        <f ca="1">gr(calculs!X356)</f>
        <v>#NAME?</v>
      </c>
      <c r="C356" s="523" t="e">
        <f ca="1">gr(calculs!AD356)</f>
        <v>#NAME?</v>
      </c>
      <c r="D356" s="523" t="e">
        <f ca="1">gr(calculs!AJ356)</f>
        <v>#NAME?</v>
      </c>
      <c r="E356" s="523" t="e">
        <f ca="1">gr(calculs!AP356)</f>
        <v>#NAME?</v>
      </c>
      <c r="F356" s="523" t="e">
        <f ca="1">gr(calculs!AQ356)</f>
        <v>#NAME?</v>
      </c>
      <c r="G356" s="523" t="e">
        <f ca="1">gr(calculs!U356)</f>
        <v>#NAME?</v>
      </c>
      <c r="H356" s="523" t="e">
        <f ca="1">gr(calculs!AA356)</f>
        <v>#NAME?</v>
      </c>
      <c r="I356" s="523" t="e">
        <f ca="1">gr(calculs!AG356)</f>
        <v>#NAME?</v>
      </c>
      <c r="J356" s="523" t="e">
        <f ca="1">gr(calculs!AM356)</f>
        <v>#NAME?</v>
      </c>
      <c r="K356" s="523" t="e">
        <f ca="1">gr(calculs!AR356)</f>
        <v>#NAME?</v>
      </c>
    </row>
    <row r="357" spans="1:11" x14ac:dyDescent="0.2">
      <c r="A357" s="222">
        <f>calculs!A357</f>
        <v>44908</v>
      </c>
      <c r="B357" s="523" t="e">
        <f ca="1">gr(calculs!X357)</f>
        <v>#NAME?</v>
      </c>
      <c r="C357" s="523" t="e">
        <f ca="1">gr(calculs!AD357)</f>
        <v>#NAME?</v>
      </c>
      <c r="D357" s="523" t="e">
        <f ca="1">gr(calculs!AJ357)</f>
        <v>#NAME?</v>
      </c>
      <c r="E357" s="523" t="e">
        <f ca="1">gr(calculs!AP357)</f>
        <v>#NAME?</v>
      </c>
      <c r="F357" s="523" t="e">
        <f ca="1">gr(calculs!AQ357)</f>
        <v>#NAME?</v>
      </c>
      <c r="G357" s="523" t="e">
        <f ca="1">gr(calculs!U357)</f>
        <v>#NAME?</v>
      </c>
      <c r="H357" s="523" t="e">
        <f ca="1">gr(calculs!AA357)</f>
        <v>#NAME?</v>
      </c>
      <c r="I357" s="523" t="e">
        <f ca="1">gr(calculs!AG357)</f>
        <v>#NAME?</v>
      </c>
      <c r="J357" s="523" t="e">
        <f ca="1">gr(calculs!AM357)</f>
        <v>#NAME?</v>
      </c>
      <c r="K357" s="523" t="e">
        <f ca="1">gr(calculs!AR357)</f>
        <v>#NAME?</v>
      </c>
    </row>
    <row r="358" spans="1:11" x14ac:dyDescent="0.2">
      <c r="A358" s="222">
        <f>calculs!A358</f>
        <v>44909</v>
      </c>
      <c r="B358" s="523" t="e">
        <f ca="1">gr(calculs!X358)</f>
        <v>#NAME?</v>
      </c>
      <c r="C358" s="523" t="e">
        <f ca="1">gr(calculs!AD358)</f>
        <v>#NAME?</v>
      </c>
      <c r="D358" s="523" t="e">
        <f ca="1">gr(calculs!AJ358)</f>
        <v>#NAME?</v>
      </c>
      <c r="E358" s="523" t="e">
        <f ca="1">gr(calculs!AP358)</f>
        <v>#NAME?</v>
      </c>
      <c r="F358" s="523" t="e">
        <f ca="1">gr(calculs!AQ358)</f>
        <v>#NAME?</v>
      </c>
      <c r="G358" s="523" t="e">
        <f ca="1">gr(calculs!U358)</f>
        <v>#NAME?</v>
      </c>
      <c r="H358" s="523" t="e">
        <f ca="1">gr(calculs!AA358)</f>
        <v>#NAME?</v>
      </c>
      <c r="I358" s="523" t="e">
        <f ca="1">gr(calculs!AG358)</f>
        <v>#NAME?</v>
      </c>
      <c r="J358" s="523" t="e">
        <f ca="1">gr(calculs!AM358)</f>
        <v>#NAME?</v>
      </c>
      <c r="K358" s="523" t="e">
        <f ca="1">gr(calculs!AR358)</f>
        <v>#NAME?</v>
      </c>
    </row>
    <row r="359" spans="1:11" x14ac:dyDescent="0.2">
      <c r="A359" s="222">
        <f>calculs!A359</f>
        <v>44910</v>
      </c>
      <c r="B359" s="523" t="e">
        <f ca="1">gr(calculs!X359)</f>
        <v>#NAME?</v>
      </c>
      <c r="C359" s="523" t="e">
        <f ca="1">gr(calculs!AD359)</f>
        <v>#NAME?</v>
      </c>
      <c r="D359" s="523" t="e">
        <f ca="1">gr(calculs!AJ359)</f>
        <v>#NAME?</v>
      </c>
      <c r="E359" s="523" t="e">
        <f ca="1">gr(calculs!AP359)</f>
        <v>#NAME?</v>
      </c>
      <c r="F359" s="523" t="e">
        <f ca="1">gr(calculs!AQ359)</f>
        <v>#NAME?</v>
      </c>
      <c r="G359" s="523" t="e">
        <f ca="1">gr(calculs!U359)</f>
        <v>#NAME?</v>
      </c>
      <c r="H359" s="523" t="e">
        <f ca="1">gr(calculs!AA359)</f>
        <v>#NAME?</v>
      </c>
      <c r="I359" s="523" t="e">
        <f ca="1">gr(calculs!AG359)</f>
        <v>#NAME?</v>
      </c>
      <c r="J359" s="523" t="e">
        <f ca="1">gr(calculs!AM359)</f>
        <v>#NAME?</v>
      </c>
      <c r="K359" s="523" t="e">
        <f ca="1">gr(calculs!AR359)</f>
        <v>#NAME?</v>
      </c>
    </row>
    <row r="360" spans="1:11" x14ac:dyDescent="0.2">
      <c r="A360" s="222">
        <f>calculs!A360</f>
        <v>44911</v>
      </c>
      <c r="B360" s="523" t="e">
        <f ca="1">gr(calculs!X360)</f>
        <v>#NAME?</v>
      </c>
      <c r="C360" s="523" t="e">
        <f ca="1">gr(calculs!AD360)</f>
        <v>#NAME?</v>
      </c>
      <c r="D360" s="523" t="e">
        <f ca="1">gr(calculs!AJ360)</f>
        <v>#NAME?</v>
      </c>
      <c r="E360" s="523" t="e">
        <f ca="1">gr(calculs!AP360)</f>
        <v>#NAME?</v>
      </c>
      <c r="F360" s="523" t="e">
        <f ca="1">gr(calculs!AQ360)</f>
        <v>#NAME?</v>
      </c>
      <c r="G360" s="523" t="e">
        <f ca="1">gr(calculs!U360)</f>
        <v>#NAME?</v>
      </c>
      <c r="H360" s="523" t="e">
        <f ca="1">gr(calculs!AA360)</f>
        <v>#NAME?</v>
      </c>
      <c r="I360" s="523" t="e">
        <f ca="1">gr(calculs!AG360)</f>
        <v>#NAME?</v>
      </c>
      <c r="J360" s="523" t="e">
        <f ca="1">gr(calculs!AM360)</f>
        <v>#NAME?</v>
      </c>
      <c r="K360" s="523" t="e">
        <f ca="1">gr(calculs!AR360)</f>
        <v>#NAME?</v>
      </c>
    </row>
    <row r="361" spans="1:11" x14ac:dyDescent="0.2">
      <c r="A361" s="222">
        <f>calculs!A361</f>
        <v>44912</v>
      </c>
      <c r="B361" s="523" t="e">
        <f ca="1">gr(calculs!X361)</f>
        <v>#NAME?</v>
      </c>
      <c r="C361" s="523" t="e">
        <f ca="1">gr(calculs!AD361)</f>
        <v>#NAME?</v>
      </c>
      <c r="D361" s="523" t="e">
        <f ca="1">gr(calculs!AJ361)</f>
        <v>#NAME?</v>
      </c>
      <c r="E361" s="523" t="e">
        <f ca="1">gr(calculs!AP361)</f>
        <v>#NAME?</v>
      </c>
      <c r="F361" s="523" t="e">
        <f ca="1">gr(calculs!AQ361)</f>
        <v>#NAME?</v>
      </c>
      <c r="G361" s="523" t="e">
        <f ca="1">gr(calculs!U361)</f>
        <v>#NAME?</v>
      </c>
      <c r="H361" s="523" t="e">
        <f ca="1">gr(calculs!AA361)</f>
        <v>#NAME?</v>
      </c>
      <c r="I361" s="523" t="e">
        <f ca="1">gr(calculs!AG361)</f>
        <v>#NAME?</v>
      </c>
      <c r="J361" s="523" t="e">
        <f ca="1">gr(calculs!AM361)</f>
        <v>#NAME?</v>
      </c>
      <c r="K361" s="523" t="e">
        <f ca="1">gr(calculs!AR361)</f>
        <v>#NAME?</v>
      </c>
    </row>
    <row r="362" spans="1:11" x14ac:dyDescent="0.2">
      <c r="A362" s="222">
        <f>calculs!A362</f>
        <v>44913</v>
      </c>
      <c r="B362" s="523" t="e">
        <f ca="1">gr(calculs!X362)</f>
        <v>#NAME?</v>
      </c>
      <c r="C362" s="523" t="e">
        <f ca="1">gr(calculs!AD362)</f>
        <v>#NAME?</v>
      </c>
      <c r="D362" s="523" t="e">
        <f ca="1">gr(calculs!AJ362)</f>
        <v>#NAME?</v>
      </c>
      <c r="E362" s="523" t="e">
        <f ca="1">gr(calculs!AP362)</f>
        <v>#NAME?</v>
      </c>
      <c r="F362" s="523" t="e">
        <f ca="1">gr(calculs!AQ362)</f>
        <v>#NAME?</v>
      </c>
      <c r="G362" s="523" t="e">
        <f ca="1">gr(calculs!U362)</f>
        <v>#NAME?</v>
      </c>
      <c r="H362" s="523" t="e">
        <f ca="1">gr(calculs!AA362)</f>
        <v>#NAME?</v>
      </c>
      <c r="I362" s="523" t="e">
        <f ca="1">gr(calculs!AG362)</f>
        <v>#NAME?</v>
      </c>
      <c r="J362" s="523" t="e">
        <f ca="1">gr(calculs!AM362)</f>
        <v>#NAME?</v>
      </c>
      <c r="K362" s="523" t="e">
        <f ca="1">gr(calculs!AR362)</f>
        <v>#NAME?</v>
      </c>
    </row>
    <row r="363" spans="1:11" x14ac:dyDescent="0.2">
      <c r="A363" s="222">
        <f>calculs!A363</f>
        <v>44914</v>
      </c>
      <c r="B363" s="523" t="e">
        <f ca="1">gr(calculs!X363)</f>
        <v>#NAME?</v>
      </c>
      <c r="C363" s="523" t="e">
        <f ca="1">gr(calculs!AD363)</f>
        <v>#NAME?</v>
      </c>
      <c r="D363" s="523" t="e">
        <f ca="1">gr(calculs!AJ363)</f>
        <v>#NAME?</v>
      </c>
      <c r="E363" s="523" t="e">
        <f ca="1">gr(calculs!AP363)</f>
        <v>#NAME?</v>
      </c>
      <c r="F363" s="523" t="e">
        <f ca="1">gr(calculs!AQ363)</f>
        <v>#NAME?</v>
      </c>
      <c r="G363" s="523" t="e">
        <f ca="1">gr(calculs!U363)</f>
        <v>#NAME?</v>
      </c>
      <c r="H363" s="523" t="e">
        <f ca="1">gr(calculs!AA363)</f>
        <v>#NAME?</v>
      </c>
      <c r="I363" s="523" t="e">
        <f ca="1">gr(calculs!AG363)</f>
        <v>#NAME?</v>
      </c>
      <c r="J363" s="523" t="e">
        <f ca="1">gr(calculs!AM363)</f>
        <v>#NAME?</v>
      </c>
      <c r="K363" s="523" t="e">
        <f ca="1">gr(calculs!AR363)</f>
        <v>#NAME?</v>
      </c>
    </row>
    <row r="364" spans="1:11" x14ac:dyDescent="0.2">
      <c r="A364" s="222">
        <f>calculs!A364</f>
        <v>44915</v>
      </c>
      <c r="B364" s="523" t="e">
        <f ca="1">gr(calculs!X364)</f>
        <v>#NAME?</v>
      </c>
      <c r="C364" s="523" t="e">
        <f ca="1">gr(calculs!AD364)</f>
        <v>#NAME?</v>
      </c>
      <c r="D364" s="523" t="e">
        <f ca="1">gr(calculs!AJ364)</f>
        <v>#NAME?</v>
      </c>
      <c r="E364" s="523" t="e">
        <f ca="1">gr(calculs!AP364)</f>
        <v>#NAME?</v>
      </c>
      <c r="F364" s="523" t="e">
        <f ca="1">gr(calculs!AQ364)</f>
        <v>#NAME?</v>
      </c>
      <c r="G364" s="523" t="e">
        <f ca="1">gr(calculs!U364)</f>
        <v>#NAME?</v>
      </c>
      <c r="H364" s="523" t="e">
        <f ca="1">gr(calculs!AA364)</f>
        <v>#NAME?</v>
      </c>
      <c r="I364" s="523" t="e">
        <f ca="1">gr(calculs!AG364)</f>
        <v>#NAME?</v>
      </c>
      <c r="J364" s="523" t="e">
        <f ca="1">gr(calculs!AM364)</f>
        <v>#NAME?</v>
      </c>
      <c r="K364" s="523" t="e">
        <f ca="1">gr(calculs!AR364)</f>
        <v>#NAME?</v>
      </c>
    </row>
    <row r="365" spans="1:11" x14ac:dyDescent="0.2">
      <c r="A365" s="222">
        <f>calculs!A365</f>
        <v>44916</v>
      </c>
      <c r="B365" s="523" t="e">
        <f ca="1">gr(calculs!X365)</f>
        <v>#NAME?</v>
      </c>
      <c r="C365" s="523" t="e">
        <f ca="1">gr(calculs!AD365)</f>
        <v>#NAME?</v>
      </c>
      <c r="D365" s="523" t="e">
        <f ca="1">gr(calculs!AJ365)</f>
        <v>#NAME?</v>
      </c>
      <c r="E365" s="523" t="e">
        <f ca="1">gr(calculs!AP365)</f>
        <v>#NAME?</v>
      </c>
      <c r="F365" s="523" t="e">
        <f ca="1">gr(calculs!AQ365)</f>
        <v>#NAME?</v>
      </c>
      <c r="G365" s="523" t="e">
        <f ca="1">gr(calculs!U365)</f>
        <v>#NAME?</v>
      </c>
      <c r="H365" s="523" t="e">
        <f ca="1">gr(calculs!AA365)</f>
        <v>#NAME?</v>
      </c>
      <c r="I365" s="523" t="e">
        <f ca="1">gr(calculs!AG365)</f>
        <v>#NAME?</v>
      </c>
      <c r="J365" s="523" t="e">
        <f ca="1">gr(calculs!AM365)</f>
        <v>#NAME?</v>
      </c>
      <c r="K365" s="523" t="e">
        <f ca="1">gr(calculs!AR365)</f>
        <v>#NAME?</v>
      </c>
    </row>
    <row r="366" spans="1:11" x14ac:dyDescent="0.2">
      <c r="A366" s="222">
        <f>calculs!A366</f>
        <v>44917</v>
      </c>
      <c r="B366" s="523" t="e">
        <f ca="1">gr(calculs!X366)</f>
        <v>#NAME?</v>
      </c>
      <c r="C366" s="523" t="e">
        <f ca="1">gr(calculs!AD366)</f>
        <v>#NAME?</v>
      </c>
      <c r="D366" s="523" t="e">
        <f ca="1">gr(calculs!AJ366)</f>
        <v>#NAME?</v>
      </c>
      <c r="E366" s="523" t="e">
        <f ca="1">gr(calculs!AP366)</f>
        <v>#NAME?</v>
      </c>
      <c r="F366" s="523" t="e">
        <f ca="1">gr(calculs!AQ366)</f>
        <v>#NAME?</v>
      </c>
      <c r="G366" s="523" t="e">
        <f ca="1">gr(calculs!U366)</f>
        <v>#NAME?</v>
      </c>
      <c r="H366" s="523" t="e">
        <f ca="1">gr(calculs!AA366)</f>
        <v>#NAME?</v>
      </c>
      <c r="I366" s="523" t="e">
        <f ca="1">gr(calculs!AG366)</f>
        <v>#NAME?</v>
      </c>
      <c r="J366" s="523" t="e">
        <f ca="1">gr(calculs!AM366)</f>
        <v>#NAME?</v>
      </c>
      <c r="K366" s="523" t="e">
        <f ca="1">gr(calculs!AR366)</f>
        <v>#NAME?</v>
      </c>
    </row>
    <row r="367" spans="1:11" x14ac:dyDescent="0.2">
      <c r="A367" s="222">
        <f>calculs!A367</f>
        <v>44918</v>
      </c>
      <c r="B367" s="523" t="e">
        <f ca="1">gr(calculs!X367)</f>
        <v>#NAME?</v>
      </c>
      <c r="C367" s="523" t="e">
        <f ca="1">gr(calculs!AD367)</f>
        <v>#NAME?</v>
      </c>
      <c r="D367" s="523" t="e">
        <f ca="1">gr(calculs!AJ367)</f>
        <v>#NAME?</v>
      </c>
      <c r="E367" s="523" t="e">
        <f ca="1">gr(calculs!AP367)</f>
        <v>#NAME?</v>
      </c>
      <c r="F367" s="523" t="e">
        <f ca="1">gr(calculs!AQ367)</f>
        <v>#NAME?</v>
      </c>
      <c r="G367" s="523" t="e">
        <f ca="1">gr(calculs!U367)</f>
        <v>#NAME?</v>
      </c>
      <c r="H367" s="523" t="e">
        <f ca="1">gr(calculs!AA367)</f>
        <v>#NAME?</v>
      </c>
      <c r="I367" s="523" t="e">
        <f ca="1">gr(calculs!AG367)</f>
        <v>#NAME?</v>
      </c>
      <c r="J367" s="523" t="e">
        <f ca="1">gr(calculs!AM367)</f>
        <v>#NAME?</v>
      </c>
      <c r="K367" s="523" t="e">
        <f ca="1">gr(calculs!AR367)</f>
        <v>#NAME?</v>
      </c>
    </row>
    <row r="368" spans="1:11" x14ac:dyDescent="0.2">
      <c r="A368" s="222">
        <f>calculs!A368</f>
        <v>44919</v>
      </c>
      <c r="B368" s="523" t="e">
        <f ca="1">gr(calculs!X368)</f>
        <v>#NAME?</v>
      </c>
      <c r="C368" s="523" t="e">
        <f ca="1">gr(calculs!AD368)</f>
        <v>#NAME?</v>
      </c>
      <c r="D368" s="523" t="e">
        <f ca="1">gr(calculs!AJ368)</f>
        <v>#NAME?</v>
      </c>
      <c r="E368" s="523" t="e">
        <f ca="1">gr(calculs!AP368)</f>
        <v>#NAME?</v>
      </c>
      <c r="F368" s="523" t="e">
        <f ca="1">gr(calculs!AQ368)</f>
        <v>#NAME?</v>
      </c>
      <c r="G368" s="523" t="e">
        <f ca="1">gr(calculs!U368)</f>
        <v>#NAME?</v>
      </c>
      <c r="H368" s="523" t="e">
        <f ca="1">gr(calculs!AA368)</f>
        <v>#NAME?</v>
      </c>
      <c r="I368" s="523" t="e">
        <f ca="1">gr(calculs!AG368)</f>
        <v>#NAME?</v>
      </c>
      <c r="J368" s="523" t="e">
        <f ca="1">gr(calculs!AM368)</f>
        <v>#NAME?</v>
      </c>
      <c r="K368" s="523" t="e">
        <f ca="1">gr(calculs!AR368)</f>
        <v>#NAME?</v>
      </c>
    </row>
    <row r="369" spans="1:11" x14ac:dyDescent="0.2">
      <c r="A369" s="222">
        <f>calculs!A369</f>
        <v>44920</v>
      </c>
      <c r="B369" s="523" t="e">
        <f ca="1">gr(calculs!X369)</f>
        <v>#NAME?</v>
      </c>
      <c r="C369" s="523" t="e">
        <f ca="1">gr(calculs!AD369)</f>
        <v>#NAME?</v>
      </c>
      <c r="D369" s="523" t="e">
        <f ca="1">gr(calculs!AJ369)</f>
        <v>#NAME?</v>
      </c>
      <c r="E369" s="523" t="e">
        <f ca="1">gr(calculs!AP369)</f>
        <v>#NAME?</v>
      </c>
      <c r="F369" s="523" t="e">
        <f ca="1">gr(calculs!AQ369)</f>
        <v>#NAME?</v>
      </c>
      <c r="G369" s="523" t="e">
        <f ca="1">gr(calculs!U369)</f>
        <v>#NAME?</v>
      </c>
      <c r="H369" s="523" t="e">
        <f ca="1">gr(calculs!AA369)</f>
        <v>#NAME?</v>
      </c>
      <c r="I369" s="523" t="e">
        <f ca="1">gr(calculs!AG369)</f>
        <v>#NAME?</v>
      </c>
      <c r="J369" s="523" t="e">
        <f ca="1">gr(calculs!AM369)</f>
        <v>#NAME?</v>
      </c>
      <c r="K369" s="523" t="e">
        <f ca="1">gr(calculs!AR369)</f>
        <v>#NAME?</v>
      </c>
    </row>
    <row r="370" spans="1:11" x14ac:dyDescent="0.2">
      <c r="A370" s="222">
        <f>calculs!A370</f>
        <v>44921</v>
      </c>
      <c r="B370" s="523" t="e">
        <f ca="1">gr(calculs!X370)</f>
        <v>#NAME?</v>
      </c>
      <c r="C370" s="523" t="e">
        <f ca="1">gr(calculs!AD370)</f>
        <v>#NAME?</v>
      </c>
      <c r="D370" s="523" t="e">
        <f ca="1">gr(calculs!AJ370)</f>
        <v>#NAME?</v>
      </c>
      <c r="E370" s="523" t="e">
        <f ca="1">gr(calculs!AP370)</f>
        <v>#NAME?</v>
      </c>
      <c r="F370" s="523" t="e">
        <f ca="1">gr(calculs!AQ370)</f>
        <v>#NAME?</v>
      </c>
      <c r="G370" s="523" t="e">
        <f ca="1">gr(calculs!U370)</f>
        <v>#NAME?</v>
      </c>
      <c r="H370" s="523" t="e">
        <f ca="1">gr(calculs!AA370)</f>
        <v>#NAME?</v>
      </c>
      <c r="I370" s="523" t="e">
        <f ca="1">gr(calculs!AG370)</f>
        <v>#NAME?</v>
      </c>
      <c r="J370" s="523" t="e">
        <f ca="1">gr(calculs!AM370)</f>
        <v>#NAME?</v>
      </c>
      <c r="K370" s="523" t="e">
        <f ca="1">gr(calculs!AR370)</f>
        <v>#NAME?</v>
      </c>
    </row>
    <row r="371" spans="1:11" x14ac:dyDescent="0.2">
      <c r="A371" s="222">
        <f>calculs!A371</f>
        <v>44922</v>
      </c>
      <c r="B371" s="523" t="e">
        <f ca="1">gr(calculs!X371)</f>
        <v>#NAME?</v>
      </c>
      <c r="C371" s="523" t="e">
        <f ca="1">gr(calculs!AD371)</f>
        <v>#NAME?</v>
      </c>
      <c r="D371" s="523" t="e">
        <f ca="1">gr(calculs!AJ371)</f>
        <v>#NAME?</v>
      </c>
      <c r="E371" s="523" t="e">
        <f ca="1">gr(calculs!AP371)</f>
        <v>#NAME?</v>
      </c>
      <c r="F371" s="523" t="e">
        <f ca="1">gr(calculs!AQ371)</f>
        <v>#NAME?</v>
      </c>
      <c r="G371" s="523" t="e">
        <f ca="1">gr(calculs!U371)</f>
        <v>#NAME?</v>
      </c>
      <c r="H371" s="523" t="e">
        <f ca="1">gr(calculs!AA371)</f>
        <v>#NAME?</v>
      </c>
      <c r="I371" s="523" t="e">
        <f ca="1">gr(calculs!AG371)</f>
        <v>#NAME?</v>
      </c>
      <c r="J371" s="523" t="e">
        <f ca="1">gr(calculs!AM371)</f>
        <v>#NAME?</v>
      </c>
      <c r="K371" s="523" t="e">
        <f ca="1">gr(calculs!AR371)</f>
        <v>#NAME?</v>
      </c>
    </row>
    <row r="372" spans="1:11" x14ac:dyDescent="0.2">
      <c r="A372" s="222">
        <f>calculs!A372</f>
        <v>44923</v>
      </c>
      <c r="B372" s="523" t="e">
        <f ca="1">gr(calculs!X372)</f>
        <v>#NAME?</v>
      </c>
      <c r="C372" s="523" t="e">
        <f ca="1">gr(calculs!AD372)</f>
        <v>#NAME?</v>
      </c>
      <c r="D372" s="523" t="e">
        <f ca="1">gr(calculs!AJ372)</f>
        <v>#NAME?</v>
      </c>
      <c r="E372" s="523" t="e">
        <f ca="1">gr(calculs!AP372)</f>
        <v>#NAME?</v>
      </c>
      <c r="F372" s="523" t="e">
        <f ca="1">gr(calculs!AQ372)</f>
        <v>#NAME?</v>
      </c>
      <c r="G372" s="523" t="e">
        <f ca="1">gr(calculs!U372)</f>
        <v>#NAME?</v>
      </c>
      <c r="H372" s="523" t="e">
        <f ca="1">gr(calculs!AA372)</f>
        <v>#NAME?</v>
      </c>
      <c r="I372" s="523" t="e">
        <f ca="1">gr(calculs!AG372)</f>
        <v>#NAME?</v>
      </c>
      <c r="J372" s="523" t="e">
        <f ca="1">gr(calculs!AM372)</f>
        <v>#NAME?</v>
      </c>
      <c r="K372" s="523" t="e">
        <f ca="1">gr(calculs!AR372)</f>
        <v>#NAME?</v>
      </c>
    </row>
    <row r="373" spans="1:11" x14ac:dyDescent="0.2">
      <c r="A373" s="222">
        <f>calculs!A373</f>
        <v>44924</v>
      </c>
      <c r="B373" s="523" t="e">
        <f ca="1">gr(calculs!X373)</f>
        <v>#NAME?</v>
      </c>
      <c r="C373" s="523" t="e">
        <f ca="1">gr(calculs!AD373)</f>
        <v>#NAME?</v>
      </c>
      <c r="D373" s="523" t="e">
        <f ca="1">gr(calculs!AJ373)</f>
        <v>#NAME?</v>
      </c>
      <c r="E373" s="523" t="e">
        <f ca="1">gr(calculs!AP373)</f>
        <v>#NAME?</v>
      </c>
      <c r="F373" s="523" t="e">
        <f ca="1">gr(calculs!AQ373)</f>
        <v>#NAME?</v>
      </c>
      <c r="G373" s="523" t="e">
        <f ca="1">gr(calculs!U373)</f>
        <v>#NAME?</v>
      </c>
      <c r="H373" s="523" t="e">
        <f ca="1">gr(calculs!AA373)</f>
        <v>#NAME?</v>
      </c>
      <c r="I373" s="523" t="e">
        <f ca="1">gr(calculs!AG373)</f>
        <v>#NAME?</v>
      </c>
      <c r="J373" s="523" t="e">
        <f ca="1">gr(calculs!AM373)</f>
        <v>#NAME?</v>
      </c>
      <c r="K373" s="523" t="e">
        <f ca="1">gr(calculs!AR373)</f>
        <v>#NAME?</v>
      </c>
    </row>
    <row r="374" spans="1:11" x14ac:dyDescent="0.2">
      <c r="A374" s="222">
        <f>calculs!A374</f>
        <v>44925</v>
      </c>
      <c r="B374" s="523" t="e">
        <f ca="1">gr(calculs!X374)</f>
        <v>#NAME?</v>
      </c>
      <c r="C374" s="523" t="e">
        <f ca="1">gr(calculs!AD374)</f>
        <v>#NAME?</v>
      </c>
      <c r="D374" s="523" t="e">
        <f ca="1">gr(calculs!AJ374)</f>
        <v>#NAME?</v>
      </c>
      <c r="E374" s="523" t="e">
        <f ca="1">gr(calculs!AP374)</f>
        <v>#NAME?</v>
      </c>
      <c r="F374" s="523" t="e">
        <f ca="1">gr(calculs!AQ374)</f>
        <v>#NAME?</v>
      </c>
      <c r="G374" s="523" t="e">
        <f ca="1">gr(calculs!U374)</f>
        <v>#NAME?</v>
      </c>
      <c r="H374" s="523" t="e">
        <f ca="1">gr(calculs!AA374)</f>
        <v>#NAME?</v>
      </c>
      <c r="I374" s="523" t="e">
        <f ca="1">gr(calculs!AG374)</f>
        <v>#NAME?</v>
      </c>
      <c r="J374" s="523" t="e">
        <f ca="1">gr(calculs!AM374)</f>
        <v>#NAME?</v>
      </c>
      <c r="K374" s="523" t="e">
        <f ca="1">gr(calculs!AR374)</f>
        <v>#NAME?</v>
      </c>
    </row>
    <row r="375" spans="1:11" x14ac:dyDescent="0.2">
      <c r="A375" s="222">
        <f>calculs!A375</f>
        <v>44926</v>
      </c>
      <c r="B375" s="523" t="e">
        <f ca="1">gr(calculs!X375)</f>
        <v>#NAME?</v>
      </c>
      <c r="C375" s="523" t="e">
        <f ca="1">gr(calculs!AD375)</f>
        <v>#NAME?</v>
      </c>
      <c r="D375" s="523" t="e">
        <f ca="1">gr(calculs!AJ375)</f>
        <v>#NAME?</v>
      </c>
      <c r="E375" s="523" t="e">
        <f ca="1">gr(calculs!AP375)</f>
        <v>#NAME?</v>
      </c>
      <c r="F375" s="523" t="e">
        <f ca="1">gr(calculs!AQ375)</f>
        <v>#NAME?</v>
      </c>
      <c r="G375" s="523" t="e">
        <f ca="1">gr(calculs!U375)</f>
        <v>#NAME?</v>
      </c>
      <c r="H375" s="523" t="e">
        <f ca="1">gr(calculs!AA375)</f>
        <v>#NAME?</v>
      </c>
      <c r="I375" s="523" t="e">
        <f ca="1">gr(calculs!AG375)</f>
        <v>#NAME?</v>
      </c>
      <c r="J375" s="523" t="e">
        <f ca="1">gr(calculs!AM375)</f>
        <v>#NAME?</v>
      </c>
      <c r="K375" s="523" t="e">
        <f ca="1">gr(calculs!AR375)</f>
        <v>#NAME?</v>
      </c>
    </row>
    <row r="376" spans="1:11" x14ac:dyDescent="0.2">
      <c r="A376" s="222">
        <f>calculs!A376</f>
        <v>0</v>
      </c>
      <c r="B376" s="523" t="e">
        <f ca="1">gr(calculs!X376)</f>
        <v>#NAME?</v>
      </c>
      <c r="C376" s="523" t="e">
        <f ca="1">gr(calculs!AD376)</f>
        <v>#NAME?</v>
      </c>
      <c r="D376" s="523" t="e">
        <f ca="1">gr(calculs!AJ376)</f>
        <v>#NAME?</v>
      </c>
      <c r="E376" s="523" t="e">
        <f ca="1">gr(calculs!AP376)</f>
        <v>#NAME?</v>
      </c>
      <c r="F376" s="523" t="e">
        <f ca="1">gr(calculs!AQ376)</f>
        <v>#NAME?</v>
      </c>
      <c r="G376" s="523" t="e">
        <f ca="1">gr(calculs!U376)</f>
        <v>#NAME?</v>
      </c>
      <c r="H376" s="523" t="e">
        <f ca="1">gr(calculs!AA376)</f>
        <v>#NAME?</v>
      </c>
      <c r="I376" s="523" t="e">
        <f ca="1">gr(calculs!AG376)</f>
        <v>#NAME?</v>
      </c>
      <c r="J376" s="523" t="e">
        <f ca="1">gr(calculs!AM376)</f>
        <v>#NAME?</v>
      </c>
      <c r="K376" s="523" t="e">
        <f ca="1">gr(calculs!AR376)</f>
        <v>#NAME?</v>
      </c>
    </row>
    <row r="377" spans="1:11" s="515" customFormat="1" x14ac:dyDescent="0.2"/>
  </sheetData>
  <mergeCells count="2">
    <mergeCell ref="B9:F9"/>
    <mergeCell ref="G9:K9"/>
  </mergeCells>
  <pageMargins left="0.7" right="0.7" top="0.75" bottom="0.75" header="0.3" footer="0.3"/>
  <pageSetup paperSize="301" scale="2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8" tint="0.59999389629810485"/>
  </sheetPr>
  <dimension ref="A1:H377"/>
  <sheetViews>
    <sheetView zoomScale="85" zoomScaleNormal="85" workbookViewId="0">
      <selection activeCell="C14" sqref="C14"/>
    </sheetView>
  </sheetViews>
  <sheetFormatPr baseColWidth="10" defaultColWidth="11.42578125" defaultRowHeight="12.75" x14ac:dyDescent="0.2"/>
  <cols>
    <col min="1" max="16384" width="11.42578125" style="514"/>
  </cols>
  <sheetData>
    <row r="1" spans="1:8" x14ac:dyDescent="0.2">
      <c r="A1" s="514" t="str">
        <f>basis!A1</f>
        <v>ARA Ausserbinn</v>
      </c>
    </row>
    <row r="4" spans="1:8" ht="20.25" x14ac:dyDescent="0.3">
      <c r="H4" s="586"/>
    </row>
    <row r="9" spans="1:8" ht="12.75" customHeight="1" x14ac:dyDescent="0.2">
      <c r="B9" s="739"/>
      <c r="C9" s="739"/>
      <c r="D9" s="739"/>
      <c r="E9" s="739"/>
    </row>
    <row r="10" spans="1:8" ht="89.25" x14ac:dyDescent="0.2">
      <c r="A10" s="502"/>
      <c r="B10" s="746" t="str">
        <f>A1&amp;" "&amp;Jahr&amp;" - "&amp;IF('liste-STEP'!F95=1,"charges massique","Schlammbelastung (kg CSB / kg TS.d)")</f>
        <v>ARA Ausserbinn 2022 - Schlammbelastung (kg CSB / kg TS.d)</v>
      </c>
      <c r="C10" s="650" t="str">
        <f>A1&amp;" "&amp;Jahr&amp;" - "&amp;IF('liste-STEP'!F95=1,"age boue","Schlammalter (d)")</f>
        <v>ARA Ausserbinn 2022 - Schlammalter (d)</v>
      </c>
      <c r="D10" s="763" t="str">
        <f>A1&amp;" "&amp;Jahr&amp;" - "&amp;IF('liste-STEP'!F95=1,"temp")</f>
        <v>ARA Ausserbinn 2022 - FAUX</v>
      </c>
      <c r="E10" s="764" t="str">
        <f>A1&amp;" "&amp;Jahr&amp;" - "&amp;IF('liste-STEP'!F95=1,"conc. MS BA","Ts-Konz.BB")</f>
        <v>ARA Ausserbinn 2022 - Ts-Konz.BB</v>
      </c>
    </row>
    <row r="11" spans="1:8" x14ac:dyDescent="0.2">
      <c r="A11" s="222">
        <f>calculs!A11</f>
        <v>44562</v>
      </c>
      <c r="B11" s="522" t="e">
        <f ca="1">gr(calculs!BD11)</f>
        <v>#NAME?</v>
      </c>
      <c r="C11" s="523" t="e">
        <f ca="1">gr(calculs!BE11)</f>
        <v>#NAME?</v>
      </c>
      <c r="D11" s="514" t="e">
        <f ca="1">gr(données_step[[#This Row],[Temp_eaux]])</f>
        <v>#NAME?</v>
      </c>
      <c r="E11" s="514" t="e">
        <f ca="1">gr(analyses!AC11)</f>
        <v>#NAME?</v>
      </c>
    </row>
    <row r="12" spans="1:8" x14ac:dyDescent="0.2">
      <c r="A12" s="222">
        <f>calculs!A12</f>
        <v>44563</v>
      </c>
      <c r="B12" s="522" t="e">
        <f ca="1">gr(calculs!BD12)</f>
        <v>#NAME?</v>
      </c>
      <c r="C12" s="523" t="e">
        <f ca="1">gr(calculs!BE12)</f>
        <v>#NAME?</v>
      </c>
      <c r="D12" s="739" t="e">
        <f ca="1">gr(données_step[[#This Row],[Temp_eaux]])</f>
        <v>#NAME?</v>
      </c>
      <c r="E12" s="739" t="e">
        <f ca="1">gr(analyses!AC12)</f>
        <v>#NAME?</v>
      </c>
    </row>
    <row r="13" spans="1:8" x14ac:dyDescent="0.2">
      <c r="A13" s="222">
        <f>calculs!A13</f>
        <v>44564</v>
      </c>
      <c r="B13" s="522" t="e">
        <f ca="1">gr(calculs!BD13)</f>
        <v>#NAME?</v>
      </c>
      <c r="C13" s="523" t="e">
        <f ca="1">gr(calculs!BE13)</f>
        <v>#NAME?</v>
      </c>
      <c r="D13" s="739" t="e">
        <f ca="1">gr(données_step[[#This Row],[Temp_eaux]])</f>
        <v>#NAME?</v>
      </c>
      <c r="E13" s="739" t="e">
        <f ca="1">gr(analyses!AC13)</f>
        <v>#NAME?</v>
      </c>
    </row>
    <row r="14" spans="1:8" x14ac:dyDescent="0.2">
      <c r="A14" s="222">
        <f>calculs!A14</f>
        <v>44565</v>
      </c>
      <c r="B14" s="522" t="e">
        <f ca="1">gr(calculs!BD14)</f>
        <v>#NAME?</v>
      </c>
      <c r="C14" s="523" t="e">
        <f ca="1">gr(calculs!BE14)</f>
        <v>#NAME?</v>
      </c>
      <c r="D14" s="739" t="e">
        <f ca="1">gr(données_step[[#This Row],[Temp_eaux]])</f>
        <v>#NAME?</v>
      </c>
      <c r="E14" s="739" t="e">
        <f ca="1">gr(analyses!AC14)</f>
        <v>#NAME?</v>
      </c>
    </row>
    <row r="15" spans="1:8" x14ac:dyDescent="0.2">
      <c r="A15" s="222">
        <f>calculs!A15</f>
        <v>44566</v>
      </c>
      <c r="B15" s="522" t="e">
        <f ca="1">gr(calculs!BD15)</f>
        <v>#NAME?</v>
      </c>
      <c r="C15" s="523" t="e">
        <f ca="1">gr(calculs!BE15)</f>
        <v>#NAME?</v>
      </c>
      <c r="D15" s="739" t="e">
        <f ca="1">gr(données_step[[#This Row],[Temp_eaux]])</f>
        <v>#NAME?</v>
      </c>
      <c r="E15" s="739" t="e">
        <f ca="1">gr(analyses!AC15)</f>
        <v>#NAME?</v>
      </c>
    </row>
    <row r="16" spans="1:8" x14ac:dyDescent="0.2">
      <c r="A16" s="222">
        <f>calculs!A16</f>
        <v>44567</v>
      </c>
      <c r="B16" s="522" t="e">
        <f ca="1">gr(calculs!BD16)</f>
        <v>#NAME?</v>
      </c>
      <c r="C16" s="523" t="e">
        <f ca="1">gr(calculs!BE16)</f>
        <v>#NAME?</v>
      </c>
      <c r="D16" s="739" t="e">
        <f ca="1">gr(données_step[[#This Row],[Temp_eaux]])</f>
        <v>#NAME?</v>
      </c>
      <c r="E16" s="739" t="e">
        <f ca="1">gr(analyses!AC16)</f>
        <v>#NAME?</v>
      </c>
    </row>
    <row r="17" spans="1:5" x14ac:dyDescent="0.2">
      <c r="A17" s="222">
        <f>calculs!A17</f>
        <v>44568</v>
      </c>
      <c r="B17" s="522" t="e">
        <f ca="1">gr(calculs!BD17)</f>
        <v>#NAME?</v>
      </c>
      <c r="C17" s="523" t="e">
        <f ca="1">gr(calculs!BE17)</f>
        <v>#NAME?</v>
      </c>
      <c r="D17" s="739" t="e">
        <f ca="1">gr(données_step[[#This Row],[Temp_eaux]])</f>
        <v>#NAME?</v>
      </c>
      <c r="E17" s="739" t="e">
        <f ca="1">gr(analyses!AC17)</f>
        <v>#NAME?</v>
      </c>
    </row>
    <row r="18" spans="1:5" x14ac:dyDescent="0.2">
      <c r="A18" s="222">
        <f>calculs!A18</f>
        <v>44569</v>
      </c>
      <c r="B18" s="522" t="e">
        <f ca="1">gr(calculs!BD18)</f>
        <v>#NAME?</v>
      </c>
      <c r="C18" s="523" t="e">
        <f ca="1">gr(calculs!BE18)</f>
        <v>#NAME?</v>
      </c>
      <c r="D18" s="739" t="e">
        <f ca="1">gr(données_step[[#This Row],[Temp_eaux]])</f>
        <v>#NAME?</v>
      </c>
      <c r="E18" s="739" t="e">
        <f ca="1">gr(analyses!AC18)</f>
        <v>#NAME?</v>
      </c>
    </row>
    <row r="19" spans="1:5" x14ac:dyDescent="0.2">
      <c r="A19" s="222">
        <f>calculs!A19</f>
        <v>44570</v>
      </c>
      <c r="B19" s="522" t="e">
        <f ca="1">gr(calculs!BD19)</f>
        <v>#NAME?</v>
      </c>
      <c r="C19" s="523" t="e">
        <f ca="1">gr(calculs!BE19)</f>
        <v>#NAME?</v>
      </c>
      <c r="D19" s="739" t="e">
        <f ca="1">gr(données_step[[#This Row],[Temp_eaux]])</f>
        <v>#NAME?</v>
      </c>
      <c r="E19" s="739" t="e">
        <f ca="1">gr(analyses!AC19)</f>
        <v>#NAME?</v>
      </c>
    </row>
    <row r="20" spans="1:5" x14ac:dyDescent="0.2">
      <c r="A20" s="222">
        <f>calculs!A20</f>
        <v>44571</v>
      </c>
      <c r="B20" s="522" t="e">
        <f ca="1">gr(calculs!BD20)</f>
        <v>#NAME?</v>
      </c>
      <c r="C20" s="523" t="e">
        <f ca="1">gr(calculs!BE20)</f>
        <v>#NAME?</v>
      </c>
      <c r="D20" s="739" t="e">
        <f ca="1">gr(données_step[[#This Row],[Temp_eaux]])</f>
        <v>#NAME?</v>
      </c>
      <c r="E20" s="739" t="e">
        <f ca="1">gr(analyses!AC20)</f>
        <v>#NAME?</v>
      </c>
    </row>
    <row r="21" spans="1:5" x14ac:dyDescent="0.2">
      <c r="A21" s="222">
        <f>calculs!A21</f>
        <v>44572</v>
      </c>
      <c r="B21" s="522" t="e">
        <f ca="1">gr(calculs!BD21)</f>
        <v>#NAME?</v>
      </c>
      <c r="C21" s="523" t="e">
        <f ca="1">gr(calculs!BE21)</f>
        <v>#NAME?</v>
      </c>
      <c r="D21" s="739" t="e">
        <f ca="1">gr(données_step[[#This Row],[Temp_eaux]])</f>
        <v>#NAME?</v>
      </c>
      <c r="E21" s="739" t="e">
        <f ca="1">gr(analyses!AC21)</f>
        <v>#NAME?</v>
      </c>
    </row>
    <row r="22" spans="1:5" x14ac:dyDescent="0.2">
      <c r="A22" s="222">
        <f>calculs!A22</f>
        <v>44573</v>
      </c>
      <c r="B22" s="522" t="e">
        <f ca="1">gr(calculs!BD22)</f>
        <v>#NAME?</v>
      </c>
      <c r="C22" s="523" t="e">
        <f ca="1">gr(calculs!BE22)</f>
        <v>#NAME?</v>
      </c>
      <c r="D22" s="739" t="e">
        <f ca="1">gr(données_step[[#This Row],[Temp_eaux]])</f>
        <v>#NAME?</v>
      </c>
      <c r="E22" s="739" t="e">
        <f ca="1">gr(analyses!AC22)</f>
        <v>#NAME?</v>
      </c>
    </row>
    <row r="23" spans="1:5" x14ac:dyDescent="0.2">
      <c r="A23" s="222">
        <f>calculs!A23</f>
        <v>44574</v>
      </c>
      <c r="B23" s="522" t="e">
        <f ca="1">gr(calculs!BD23)</f>
        <v>#NAME?</v>
      </c>
      <c r="C23" s="523" t="e">
        <f ca="1">gr(calculs!BE23)</f>
        <v>#NAME?</v>
      </c>
      <c r="D23" s="739" t="e">
        <f ca="1">gr(données_step[[#This Row],[Temp_eaux]])</f>
        <v>#NAME?</v>
      </c>
      <c r="E23" s="739" t="e">
        <f ca="1">gr(analyses!AC23)</f>
        <v>#NAME?</v>
      </c>
    </row>
    <row r="24" spans="1:5" x14ac:dyDescent="0.2">
      <c r="A24" s="222">
        <f>calculs!A24</f>
        <v>44575</v>
      </c>
      <c r="B24" s="522" t="e">
        <f ca="1">gr(calculs!BD24)</f>
        <v>#NAME?</v>
      </c>
      <c r="C24" s="523" t="e">
        <f ca="1">gr(calculs!BE24)</f>
        <v>#NAME?</v>
      </c>
      <c r="D24" s="739" t="e">
        <f ca="1">gr(données_step[[#This Row],[Temp_eaux]])</f>
        <v>#NAME?</v>
      </c>
      <c r="E24" s="739" t="e">
        <f ca="1">gr(analyses!AC24)</f>
        <v>#NAME?</v>
      </c>
    </row>
    <row r="25" spans="1:5" x14ac:dyDescent="0.2">
      <c r="A25" s="222">
        <f>calculs!A25</f>
        <v>44576</v>
      </c>
      <c r="B25" s="522" t="e">
        <f ca="1">gr(calculs!BD25)</f>
        <v>#NAME?</v>
      </c>
      <c r="C25" s="523" t="e">
        <f ca="1">gr(calculs!BE25)</f>
        <v>#NAME?</v>
      </c>
      <c r="D25" s="739" t="e">
        <f ca="1">gr(données_step[[#This Row],[Temp_eaux]])</f>
        <v>#NAME?</v>
      </c>
      <c r="E25" s="739" t="e">
        <f ca="1">gr(analyses!AC25)</f>
        <v>#NAME?</v>
      </c>
    </row>
    <row r="26" spans="1:5" x14ac:dyDescent="0.2">
      <c r="A26" s="222">
        <f>calculs!A26</f>
        <v>44577</v>
      </c>
      <c r="B26" s="522" t="e">
        <f ca="1">gr(calculs!BD26)</f>
        <v>#NAME?</v>
      </c>
      <c r="C26" s="523" t="e">
        <f ca="1">gr(calculs!BE26)</f>
        <v>#NAME?</v>
      </c>
      <c r="D26" s="739" t="e">
        <f ca="1">gr(données_step[[#This Row],[Temp_eaux]])</f>
        <v>#NAME?</v>
      </c>
      <c r="E26" s="739" t="e">
        <f ca="1">gr(analyses!AC26)</f>
        <v>#NAME?</v>
      </c>
    </row>
    <row r="27" spans="1:5" x14ac:dyDescent="0.2">
      <c r="A27" s="222">
        <f>calculs!A27</f>
        <v>44578</v>
      </c>
      <c r="B27" s="522" t="e">
        <f ca="1">gr(calculs!BD27)</f>
        <v>#NAME?</v>
      </c>
      <c r="C27" s="523" t="e">
        <f ca="1">gr(calculs!BE27)</f>
        <v>#NAME?</v>
      </c>
      <c r="D27" s="739" t="e">
        <f ca="1">gr(données_step[[#This Row],[Temp_eaux]])</f>
        <v>#NAME?</v>
      </c>
      <c r="E27" s="739" t="e">
        <f ca="1">gr(analyses!AC27)</f>
        <v>#NAME?</v>
      </c>
    </row>
    <row r="28" spans="1:5" x14ac:dyDescent="0.2">
      <c r="A28" s="222">
        <f>calculs!A28</f>
        <v>44579</v>
      </c>
      <c r="B28" s="522" t="e">
        <f ca="1">gr(calculs!BD28)</f>
        <v>#NAME?</v>
      </c>
      <c r="C28" s="523" t="e">
        <f ca="1">gr(calculs!BE28)</f>
        <v>#NAME?</v>
      </c>
      <c r="D28" s="739" t="e">
        <f ca="1">gr(données_step[[#This Row],[Temp_eaux]])</f>
        <v>#NAME?</v>
      </c>
      <c r="E28" s="739" t="e">
        <f ca="1">gr(analyses!AC28)</f>
        <v>#NAME?</v>
      </c>
    </row>
    <row r="29" spans="1:5" x14ac:dyDescent="0.2">
      <c r="A29" s="222">
        <f>calculs!A29</f>
        <v>44580</v>
      </c>
      <c r="B29" s="522" t="e">
        <f ca="1">gr(calculs!BD29)</f>
        <v>#NAME?</v>
      </c>
      <c r="C29" s="523" t="e">
        <f ca="1">gr(calculs!BE29)</f>
        <v>#NAME?</v>
      </c>
      <c r="D29" s="739" t="e">
        <f ca="1">gr(données_step[[#This Row],[Temp_eaux]])</f>
        <v>#NAME?</v>
      </c>
      <c r="E29" s="739" t="e">
        <f ca="1">gr(analyses!AC29)</f>
        <v>#NAME?</v>
      </c>
    </row>
    <row r="30" spans="1:5" x14ac:dyDescent="0.2">
      <c r="A30" s="222">
        <f>calculs!A30</f>
        <v>44581</v>
      </c>
      <c r="B30" s="522" t="e">
        <f ca="1">gr(calculs!BD30)</f>
        <v>#NAME?</v>
      </c>
      <c r="C30" s="523" t="e">
        <f ca="1">gr(calculs!BE30)</f>
        <v>#NAME?</v>
      </c>
      <c r="D30" s="739" t="e">
        <f ca="1">gr(données_step[[#This Row],[Temp_eaux]])</f>
        <v>#NAME?</v>
      </c>
      <c r="E30" s="739" t="e">
        <f ca="1">gr(analyses!AC30)</f>
        <v>#NAME?</v>
      </c>
    </row>
    <row r="31" spans="1:5" x14ac:dyDescent="0.2">
      <c r="A31" s="222">
        <f>calculs!A31</f>
        <v>44582</v>
      </c>
      <c r="B31" s="522" t="e">
        <f ca="1">gr(calculs!BD31)</f>
        <v>#NAME?</v>
      </c>
      <c r="C31" s="523" t="e">
        <f ca="1">gr(calculs!BE31)</f>
        <v>#NAME?</v>
      </c>
      <c r="D31" s="739" t="e">
        <f ca="1">gr(données_step[[#This Row],[Temp_eaux]])</f>
        <v>#NAME?</v>
      </c>
      <c r="E31" s="739" t="e">
        <f ca="1">gr(analyses!AC31)</f>
        <v>#NAME?</v>
      </c>
    </row>
    <row r="32" spans="1:5" x14ac:dyDescent="0.2">
      <c r="A32" s="222">
        <f>calculs!A32</f>
        <v>44583</v>
      </c>
      <c r="B32" s="522" t="e">
        <f ca="1">gr(calculs!BD32)</f>
        <v>#NAME?</v>
      </c>
      <c r="C32" s="523" t="e">
        <f ca="1">gr(calculs!BE32)</f>
        <v>#NAME?</v>
      </c>
      <c r="D32" s="739" t="e">
        <f ca="1">gr(données_step[[#This Row],[Temp_eaux]])</f>
        <v>#NAME?</v>
      </c>
      <c r="E32" s="739" t="e">
        <f ca="1">gr(analyses!AC32)</f>
        <v>#NAME?</v>
      </c>
    </row>
    <row r="33" spans="1:5" x14ac:dyDescent="0.2">
      <c r="A33" s="222">
        <f>calculs!A33</f>
        <v>44584</v>
      </c>
      <c r="B33" s="522" t="e">
        <f ca="1">gr(calculs!BD33)</f>
        <v>#NAME?</v>
      </c>
      <c r="C33" s="523" t="e">
        <f ca="1">gr(calculs!BE33)</f>
        <v>#NAME?</v>
      </c>
      <c r="D33" s="739" t="e">
        <f ca="1">gr(données_step[[#This Row],[Temp_eaux]])</f>
        <v>#NAME?</v>
      </c>
      <c r="E33" s="739" t="e">
        <f ca="1">gr(analyses!AC33)</f>
        <v>#NAME?</v>
      </c>
    </row>
    <row r="34" spans="1:5" x14ac:dyDescent="0.2">
      <c r="A34" s="222">
        <f>calculs!A34</f>
        <v>44585</v>
      </c>
      <c r="B34" s="522" t="e">
        <f ca="1">gr(calculs!BD34)</f>
        <v>#NAME?</v>
      </c>
      <c r="C34" s="523" t="e">
        <f ca="1">gr(calculs!BE34)</f>
        <v>#NAME?</v>
      </c>
      <c r="D34" s="739" t="e">
        <f ca="1">gr(données_step[[#This Row],[Temp_eaux]])</f>
        <v>#NAME?</v>
      </c>
      <c r="E34" s="739" t="e">
        <f ca="1">gr(analyses!AC34)</f>
        <v>#NAME?</v>
      </c>
    </row>
    <row r="35" spans="1:5" x14ac:dyDescent="0.2">
      <c r="A35" s="222">
        <f>calculs!A35</f>
        <v>44586</v>
      </c>
      <c r="B35" s="522" t="e">
        <f ca="1">gr(calculs!BD35)</f>
        <v>#NAME?</v>
      </c>
      <c r="C35" s="523" t="e">
        <f ca="1">gr(calculs!BE35)</f>
        <v>#NAME?</v>
      </c>
      <c r="D35" s="739" t="e">
        <f ca="1">gr(données_step[[#This Row],[Temp_eaux]])</f>
        <v>#NAME?</v>
      </c>
      <c r="E35" s="739" t="e">
        <f ca="1">gr(analyses!AC35)</f>
        <v>#NAME?</v>
      </c>
    </row>
    <row r="36" spans="1:5" x14ac:dyDescent="0.2">
      <c r="A36" s="222">
        <f>calculs!A36</f>
        <v>44587</v>
      </c>
      <c r="B36" s="522" t="e">
        <f ca="1">gr(calculs!BD36)</f>
        <v>#NAME?</v>
      </c>
      <c r="C36" s="523" t="e">
        <f ca="1">gr(calculs!BE36)</f>
        <v>#NAME?</v>
      </c>
      <c r="D36" s="739" t="e">
        <f ca="1">gr(données_step[[#This Row],[Temp_eaux]])</f>
        <v>#NAME?</v>
      </c>
      <c r="E36" s="739" t="e">
        <f ca="1">gr(analyses!AC36)</f>
        <v>#NAME?</v>
      </c>
    </row>
    <row r="37" spans="1:5" x14ac:dyDescent="0.2">
      <c r="A37" s="222">
        <f>calculs!A37</f>
        <v>44588</v>
      </c>
      <c r="B37" s="522" t="e">
        <f ca="1">gr(calculs!BD37)</f>
        <v>#NAME?</v>
      </c>
      <c r="C37" s="523" t="e">
        <f ca="1">gr(calculs!BE37)</f>
        <v>#NAME?</v>
      </c>
      <c r="D37" s="739" t="e">
        <f ca="1">gr(données_step[[#This Row],[Temp_eaux]])</f>
        <v>#NAME?</v>
      </c>
      <c r="E37" s="739" t="e">
        <f ca="1">gr(analyses!AC37)</f>
        <v>#NAME?</v>
      </c>
    </row>
    <row r="38" spans="1:5" x14ac:dyDescent="0.2">
      <c r="A38" s="222">
        <f>calculs!A38</f>
        <v>44589</v>
      </c>
      <c r="B38" s="522" t="e">
        <f ca="1">gr(calculs!BD38)</f>
        <v>#NAME?</v>
      </c>
      <c r="C38" s="523" t="e">
        <f ca="1">gr(calculs!BE38)</f>
        <v>#NAME?</v>
      </c>
      <c r="D38" s="739" t="e">
        <f ca="1">gr(données_step[[#This Row],[Temp_eaux]])</f>
        <v>#NAME?</v>
      </c>
      <c r="E38" s="739" t="e">
        <f ca="1">gr(analyses!AC38)</f>
        <v>#NAME?</v>
      </c>
    </row>
    <row r="39" spans="1:5" x14ac:dyDescent="0.2">
      <c r="A39" s="222">
        <f>calculs!A39</f>
        <v>44590</v>
      </c>
      <c r="B39" s="522" t="e">
        <f ca="1">gr(calculs!BD39)</f>
        <v>#NAME?</v>
      </c>
      <c r="C39" s="523" t="e">
        <f ca="1">gr(calculs!BE39)</f>
        <v>#NAME?</v>
      </c>
      <c r="D39" s="739" t="e">
        <f ca="1">gr(données_step[[#This Row],[Temp_eaux]])</f>
        <v>#NAME?</v>
      </c>
      <c r="E39" s="739" t="e">
        <f ca="1">gr(analyses!AC39)</f>
        <v>#NAME?</v>
      </c>
    </row>
    <row r="40" spans="1:5" x14ac:dyDescent="0.2">
      <c r="A40" s="222">
        <f>calculs!A40</f>
        <v>44591</v>
      </c>
      <c r="B40" s="522" t="e">
        <f ca="1">gr(calculs!BD40)</f>
        <v>#NAME?</v>
      </c>
      <c r="C40" s="523" t="e">
        <f ca="1">gr(calculs!BE40)</f>
        <v>#NAME?</v>
      </c>
      <c r="D40" s="739" t="e">
        <f ca="1">gr(données_step[[#This Row],[Temp_eaux]])</f>
        <v>#NAME?</v>
      </c>
      <c r="E40" s="739" t="e">
        <f ca="1">gr(analyses!AC40)</f>
        <v>#NAME?</v>
      </c>
    </row>
    <row r="41" spans="1:5" x14ac:dyDescent="0.2">
      <c r="A41" s="222">
        <f>calculs!A41</f>
        <v>44592</v>
      </c>
      <c r="B41" s="522" t="e">
        <f ca="1">gr(calculs!BD41)</f>
        <v>#NAME?</v>
      </c>
      <c r="C41" s="523" t="e">
        <f ca="1">gr(calculs!BE41)</f>
        <v>#NAME?</v>
      </c>
      <c r="D41" s="739" t="e">
        <f ca="1">gr(données_step[[#This Row],[Temp_eaux]])</f>
        <v>#NAME?</v>
      </c>
      <c r="E41" s="739" t="e">
        <f ca="1">gr(analyses!AC41)</f>
        <v>#NAME?</v>
      </c>
    </row>
    <row r="42" spans="1:5" x14ac:dyDescent="0.2">
      <c r="A42" s="222">
        <f>calculs!A42</f>
        <v>44593</v>
      </c>
      <c r="B42" s="522" t="e">
        <f ca="1">gr(calculs!BD42)</f>
        <v>#NAME?</v>
      </c>
      <c r="C42" s="523" t="e">
        <f ca="1">gr(calculs!BE42)</f>
        <v>#NAME?</v>
      </c>
      <c r="D42" s="739" t="e">
        <f ca="1">gr(données_step[[#This Row],[Temp_eaux]])</f>
        <v>#NAME?</v>
      </c>
      <c r="E42" s="739" t="e">
        <f ca="1">gr(analyses!AC42)</f>
        <v>#NAME?</v>
      </c>
    </row>
    <row r="43" spans="1:5" x14ac:dyDescent="0.2">
      <c r="A43" s="222">
        <f>calculs!A43</f>
        <v>44594</v>
      </c>
      <c r="B43" s="522" t="e">
        <f ca="1">gr(calculs!BD43)</f>
        <v>#NAME?</v>
      </c>
      <c r="C43" s="523" t="e">
        <f ca="1">gr(calculs!BE43)</f>
        <v>#NAME?</v>
      </c>
      <c r="D43" s="739" t="e">
        <f ca="1">gr(données_step[[#This Row],[Temp_eaux]])</f>
        <v>#NAME?</v>
      </c>
      <c r="E43" s="739" t="e">
        <f ca="1">gr(analyses!AC43)</f>
        <v>#NAME?</v>
      </c>
    </row>
    <row r="44" spans="1:5" x14ac:dyDescent="0.2">
      <c r="A44" s="222">
        <f>calculs!A44</f>
        <v>44595</v>
      </c>
      <c r="B44" s="522" t="e">
        <f ca="1">gr(calculs!BD44)</f>
        <v>#NAME?</v>
      </c>
      <c r="C44" s="523" t="e">
        <f ca="1">gr(calculs!BE44)</f>
        <v>#NAME?</v>
      </c>
      <c r="D44" s="739" t="e">
        <f ca="1">gr(données_step[[#This Row],[Temp_eaux]])</f>
        <v>#NAME?</v>
      </c>
      <c r="E44" s="739" t="e">
        <f ca="1">gr(analyses!AC44)</f>
        <v>#NAME?</v>
      </c>
    </row>
    <row r="45" spans="1:5" x14ac:dyDescent="0.2">
      <c r="A45" s="222">
        <f>calculs!A45</f>
        <v>44596</v>
      </c>
      <c r="B45" s="522" t="e">
        <f ca="1">gr(calculs!BD45)</f>
        <v>#NAME?</v>
      </c>
      <c r="C45" s="523" t="e">
        <f ca="1">gr(calculs!BE45)</f>
        <v>#NAME?</v>
      </c>
      <c r="D45" s="739" t="e">
        <f ca="1">gr(données_step[[#This Row],[Temp_eaux]])</f>
        <v>#NAME?</v>
      </c>
      <c r="E45" s="739" t="e">
        <f ca="1">gr(analyses!AC45)</f>
        <v>#NAME?</v>
      </c>
    </row>
    <row r="46" spans="1:5" x14ac:dyDescent="0.2">
      <c r="A46" s="222">
        <f>calculs!A46</f>
        <v>44597</v>
      </c>
      <c r="B46" s="522" t="e">
        <f ca="1">gr(calculs!BD46)</f>
        <v>#NAME?</v>
      </c>
      <c r="C46" s="523" t="e">
        <f ca="1">gr(calculs!BE46)</f>
        <v>#NAME?</v>
      </c>
      <c r="D46" s="739" t="e">
        <f ca="1">gr(données_step[[#This Row],[Temp_eaux]])</f>
        <v>#NAME?</v>
      </c>
      <c r="E46" s="739" t="e">
        <f ca="1">gr(analyses!AC46)</f>
        <v>#NAME?</v>
      </c>
    </row>
    <row r="47" spans="1:5" x14ac:dyDescent="0.2">
      <c r="A47" s="222">
        <f>calculs!A47</f>
        <v>44598</v>
      </c>
      <c r="B47" s="522" t="e">
        <f ca="1">gr(calculs!BD47)</f>
        <v>#NAME?</v>
      </c>
      <c r="C47" s="523" t="e">
        <f ca="1">gr(calculs!BE47)</f>
        <v>#NAME?</v>
      </c>
      <c r="D47" s="739" t="e">
        <f ca="1">gr(données_step[[#This Row],[Temp_eaux]])</f>
        <v>#NAME?</v>
      </c>
      <c r="E47" s="739" t="e">
        <f ca="1">gr(analyses!AC47)</f>
        <v>#NAME?</v>
      </c>
    </row>
    <row r="48" spans="1:5" x14ac:dyDescent="0.2">
      <c r="A48" s="222">
        <f>calculs!A48</f>
        <v>44599</v>
      </c>
      <c r="B48" s="522" t="e">
        <f ca="1">gr(calculs!BD48)</f>
        <v>#NAME?</v>
      </c>
      <c r="C48" s="523" t="e">
        <f ca="1">gr(calculs!BE48)</f>
        <v>#NAME?</v>
      </c>
      <c r="D48" s="739" t="e">
        <f ca="1">gr(données_step[[#This Row],[Temp_eaux]])</f>
        <v>#NAME?</v>
      </c>
      <c r="E48" s="739" t="e">
        <f ca="1">gr(analyses!AC48)</f>
        <v>#NAME?</v>
      </c>
    </row>
    <row r="49" spans="1:5" x14ac:dyDescent="0.2">
      <c r="A49" s="222">
        <f>calculs!A49</f>
        <v>44600</v>
      </c>
      <c r="B49" s="522" t="e">
        <f ca="1">gr(calculs!BD49)</f>
        <v>#NAME?</v>
      </c>
      <c r="C49" s="523" t="e">
        <f ca="1">gr(calculs!BE49)</f>
        <v>#NAME?</v>
      </c>
      <c r="D49" s="739" t="e">
        <f ca="1">gr(données_step[[#This Row],[Temp_eaux]])</f>
        <v>#NAME?</v>
      </c>
      <c r="E49" s="739" t="e">
        <f ca="1">gr(analyses!AC49)</f>
        <v>#NAME?</v>
      </c>
    </row>
    <row r="50" spans="1:5" x14ac:dyDescent="0.2">
      <c r="A50" s="222">
        <f>calculs!A50</f>
        <v>44601</v>
      </c>
      <c r="B50" s="522" t="e">
        <f ca="1">gr(calculs!BD50)</f>
        <v>#NAME?</v>
      </c>
      <c r="C50" s="523" t="e">
        <f ca="1">gr(calculs!BE50)</f>
        <v>#NAME?</v>
      </c>
      <c r="D50" s="739" t="e">
        <f ca="1">gr(données_step[[#This Row],[Temp_eaux]])</f>
        <v>#NAME?</v>
      </c>
      <c r="E50" s="739" t="e">
        <f ca="1">gr(analyses!AC50)</f>
        <v>#NAME?</v>
      </c>
    </row>
    <row r="51" spans="1:5" x14ac:dyDescent="0.2">
      <c r="A51" s="222">
        <f>calculs!A51</f>
        <v>44602</v>
      </c>
      <c r="B51" s="522" t="e">
        <f ca="1">gr(calculs!BD51)</f>
        <v>#NAME?</v>
      </c>
      <c r="C51" s="523" t="e">
        <f ca="1">gr(calculs!BE51)</f>
        <v>#NAME?</v>
      </c>
      <c r="D51" s="739" t="e">
        <f ca="1">gr(données_step[[#This Row],[Temp_eaux]])</f>
        <v>#NAME?</v>
      </c>
      <c r="E51" s="739" t="e">
        <f ca="1">gr(analyses!AC51)</f>
        <v>#NAME?</v>
      </c>
    </row>
    <row r="52" spans="1:5" x14ac:dyDescent="0.2">
      <c r="A52" s="222">
        <f>calculs!A52</f>
        <v>44603</v>
      </c>
      <c r="B52" s="522" t="e">
        <f ca="1">gr(calculs!BD52)</f>
        <v>#NAME?</v>
      </c>
      <c r="C52" s="523" t="e">
        <f ca="1">gr(calculs!BE52)</f>
        <v>#NAME?</v>
      </c>
      <c r="D52" s="739" t="e">
        <f ca="1">gr(données_step[[#This Row],[Temp_eaux]])</f>
        <v>#NAME?</v>
      </c>
      <c r="E52" s="739" t="e">
        <f ca="1">gr(analyses!AC52)</f>
        <v>#NAME?</v>
      </c>
    </row>
    <row r="53" spans="1:5" x14ac:dyDescent="0.2">
      <c r="A53" s="222">
        <f>calculs!A53</f>
        <v>44604</v>
      </c>
      <c r="B53" s="522" t="e">
        <f ca="1">gr(calculs!BD53)</f>
        <v>#NAME?</v>
      </c>
      <c r="C53" s="523" t="e">
        <f ca="1">gr(calculs!BE53)</f>
        <v>#NAME?</v>
      </c>
      <c r="D53" s="739" t="e">
        <f ca="1">gr(données_step[[#This Row],[Temp_eaux]])</f>
        <v>#NAME?</v>
      </c>
      <c r="E53" s="739" t="e">
        <f ca="1">gr(analyses!AC53)</f>
        <v>#NAME?</v>
      </c>
    </row>
    <row r="54" spans="1:5" x14ac:dyDescent="0.2">
      <c r="A54" s="222">
        <f>calculs!A54</f>
        <v>44605</v>
      </c>
      <c r="B54" s="522" t="e">
        <f ca="1">gr(calculs!BD54)</f>
        <v>#NAME?</v>
      </c>
      <c r="C54" s="523" t="e">
        <f ca="1">gr(calculs!BE54)</f>
        <v>#NAME?</v>
      </c>
      <c r="D54" s="739" t="e">
        <f ca="1">gr(données_step[[#This Row],[Temp_eaux]])</f>
        <v>#NAME?</v>
      </c>
      <c r="E54" s="739" t="e">
        <f ca="1">gr(analyses!AC54)</f>
        <v>#NAME?</v>
      </c>
    </row>
    <row r="55" spans="1:5" x14ac:dyDescent="0.2">
      <c r="A55" s="222">
        <f>calculs!A55</f>
        <v>44606</v>
      </c>
      <c r="B55" s="522" t="e">
        <f ca="1">gr(calculs!BD55)</f>
        <v>#NAME?</v>
      </c>
      <c r="C55" s="523" t="e">
        <f ca="1">gr(calculs!BE55)</f>
        <v>#NAME?</v>
      </c>
      <c r="D55" s="739" t="e">
        <f ca="1">gr(données_step[[#This Row],[Temp_eaux]])</f>
        <v>#NAME?</v>
      </c>
      <c r="E55" s="739" t="e">
        <f ca="1">gr(analyses!AC55)</f>
        <v>#NAME?</v>
      </c>
    </row>
    <row r="56" spans="1:5" x14ac:dyDescent="0.2">
      <c r="A56" s="222">
        <f>calculs!A56</f>
        <v>44607</v>
      </c>
      <c r="B56" s="522" t="e">
        <f ca="1">gr(calculs!BD56)</f>
        <v>#NAME?</v>
      </c>
      <c r="C56" s="523" t="e">
        <f ca="1">gr(calculs!BE56)</f>
        <v>#NAME?</v>
      </c>
      <c r="D56" s="739" t="e">
        <f ca="1">gr(données_step[[#This Row],[Temp_eaux]])</f>
        <v>#NAME?</v>
      </c>
      <c r="E56" s="739" t="e">
        <f ca="1">gr(analyses!AC56)</f>
        <v>#NAME?</v>
      </c>
    </row>
    <row r="57" spans="1:5" x14ac:dyDescent="0.2">
      <c r="A57" s="222">
        <f>calculs!A57</f>
        <v>44608</v>
      </c>
      <c r="B57" s="522" t="e">
        <f ca="1">gr(calculs!BD57)</f>
        <v>#NAME?</v>
      </c>
      <c r="C57" s="523" t="e">
        <f ca="1">gr(calculs!BE57)</f>
        <v>#NAME?</v>
      </c>
      <c r="D57" s="739" t="e">
        <f ca="1">gr(données_step[[#This Row],[Temp_eaux]])</f>
        <v>#NAME?</v>
      </c>
      <c r="E57" s="739" t="e">
        <f ca="1">gr(analyses!AC57)</f>
        <v>#NAME?</v>
      </c>
    </row>
    <row r="58" spans="1:5" x14ac:dyDescent="0.2">
      <c r="A58" s="222">
        <f>calculs!A58</f>
        <v>44609</v>
      </c>
      <c r="B58" s="522" t="e">
        <f ca="1">gr(calculs!BD58)</f>
        <v>#NAME?</v>
      </c>
      <c r="C58" s="523" t="e">
        <f ca="1">gr(calculs!BE58)</f>
        <v>#NAME?</v>
      </c>
      <c r="D58" s="739" t="e">
        <f ca="1">gr(données_step[[#This Row],[Temp_eaux]])</f>
        <v>#NAME?</v>
      </c>
      <c r="E58" s="739" t="e">
        <f ca="1">gr(analyses!AC58)</f>
        <v>#NAME?</v>
      </c>
    </row>
    <row r="59" spans="1:5" x14ac:dyDescent="0.2">
      <c r="A59" s="222">
        <f>calculs!A59</f>
        <v>44610</v>
      </c>
      <c r="B59" s="522" t="e">
        <f ca="1">gr(calculs!BD59)</f>
        <v>#NAME?</v>
      </c>
      <c r="C59" s="523" t="e">
        <f ca="1">gr(calculs!BE59)</f>
        <v>#NAME?</v>
      </c>
      <c r="D59" s="739" t="e">
        <f ca="1">gr(données_step[[#This Row],[Temp_eaux]])</f>
        <v>#NAME?</v>
      </c>
      <c r="E59" s="739" t="e">
        <f ca="1">gr(analyses!AC59)</f>
        <v>#NAME?</v>
      </c>
    </row>
    <row r="60" spans="1:5" x14ac:dyDescent="0.2">
      <c r="A60" s="222">
        <f>calculs!A60</f>
        <v>44611</v>
      </c>
      <c r="B60" s="522" t="e">
        <f ca="1">gr(calculs!BD60)</f>
        <v>#NAME?</v>
      </c>
      <c r="C60" s="523" t="e">
        <f ca="1">gr(calculs!BE60)</f>
        <v>#NAME?</v>
      </c>
      <c r="D60" s="739" t="e">
        <f ca="1">gr(données_step[[#This Row],[Temp_eaux]])</f>
        <v>#NAME?</v>
      </c>
      <c r="E60" s="739" t="e">
        <f ca="1">gr(analyses!AC60)</f>
        <v>#NAME?</v>
      </c>
    </row>
    <row r="61" spans="1:5" x14ac:dyDescent="0.2">
      <c r="A61" s="222">
        <f>calculs!A61</f>
        <v>44612</v>
      </c>
      <c r="B61" s="522" t="e">
        <f ca="1">gr(calculs!BD61)</f>
        <v>#NAME?</v>
      </c>
      <c r="C61" s="523" t="e">
        <f ca="1">gr(calculs!BE61)</f>
        <v>#NAME?</v>
      </c>
      <c r="D61" s="739" t="e">
        <f ca="1">gr(données_step[[#This Row],[Temp_eaux]])</f>
        <v>#NAME?</v>
      </c>
      <c r="E61" s="739" t="e">
        <f ca="1">gr(analyses!AC61)</f>
        <v>#NAME?</v>
      </c>
    </row>
    <row r="62" spans="1:5" x14ac:dyDescent="0.2">
      <c r="A62" s="222">
        <f>calculs!A62</f>
        <v>44613</v>
      </c>
      <c r="B62" s="522" t="e">
        <f ca="1">gr(calculs!BD62)</f>
        <v>#NAME?</v>
      </c>
      <c r="C62" s="523" t="e">
        <f ca="1">gr(calculs!BE62)</f>
        <v>#NAME?</v>
      </c>
      <c r="D62" s="739" t="e">
        <f ca="1">gr(données_step[[#This Row],[Temp_eaux]])</f>
        <v>#NAME?</v>
      </c>
      <c r="E62" s="739" t="e">
        <f ca="1">gr(analyses!AC62)</f>
        <v>#NAME?</v>
      </c>
    </row>
    <row r="63" spans="1:5" x14ac:dyDescent="0.2">
      <c r="A63" s="222">
        <f>calculs!A63</f>
        <v>44614</v>
      </c>
      <c r="B63" s="522" t="e">
        <f ca="1">gr(calculs!BD63)</f>
        <v>#NAME?</v>
      </c>
      <c r="C63" s="523" t="e">
        <f ca="1">gr(calculs!BE63)</f>
        <v>#NAME?</v>
      </c>
      <c r="D63" s="739" t="e">
        <f ca="1">gr(données_step[[#This Row],[Temp_eaux]])</f>
        <v>#NAME?</v>
      </c>
      <c r="E63" s="739" t="e">
        <f ca="1">gr(analyses!AC63)</f>
        <v>#NAME?</v>
      </c>
    </row>
    <row r="64" spans="1:5" x14ac:dyDescent="0.2">
      <c r="A64" s="222">
        <f>calculs!A64</f>
        <v>44615</v>
      </c>
      <c r="B64" s="522" t="e">
        <f ca="1">gr(calculs!BD64)</f>
        <v>#NAME?</v>
      </c>
      <c r="C64" s="523" t="e">
        <f ca="1">gr(calculs!BE64)</f>
        <v>#NAME?</v>
      </c>
      <c r="D64" s="739" t="e">
        <f ca="1">gr(données_step[[#This Row],[Temp_eaux]])</f>
        <v>#NAME?</v>
      </c>
      <c r="E64" s="739" t="e">
        <f ca="1">gr(analyses!AC64)</f>
        <v>#NAME?</v>
      </c>
    </row>
    <row r="65" spans="1:6" x14ac:dyDescent="0.2">
      <c r="A65" s="222">
        <f>calculs!A65</f>
        <v>44616</v>
      </c>
      <c r="B65" s="522" t="e">
        <f ca="1">gr(calculs!BD65)</f>
        <v>#NAME?</v>
      </c>
      <c r="C65" s="523" t="e">
        <f ca="1">gr(calculs!BE65)</f>
        <v>#NAME?</v>
      </c>
      <c r="D65" s="739" t="e">
        <f ca="1">gr(données_step[[#This Row],[Temp_eaux]])</f>
        <v>#NAME?</v>
      </c>
      <c r="E65" s="739" t="e">
        <f ca="1">gr(analyses!AC65)</f>
        <v>#NAME?</v>
      </c>
      <c r="F65" s="739"/>
    </row>
    <row r="66" spans="1:6" x14ac:dyDescent="0.2">
      <c r="A66" s="222">
        <f>calculs!A66</f>
        <v>44617</v>
      </c>
      <c r="B66" s="522" t="e">
        <f ca="1">gr(calculs!BD66)</f>
        <v>#NAME?</v>
      </c>
      <c r="C66" s="523" t="e">
        <f ca="1">gr(calculs!BE66)</f>
        <v>#NAME?</v>
      </c>
      <c r="D66" s="739" t="e">
        <f ca="1">gr(données_step[[#This Row],[Temp_eaux]])</f>
        <v>#NAME?</v>
      </c>
      <c r="E66" s="739" t="e">
        <f ca="1">gr(analyses!AC66)</f>
        <v>#NAME?</v>
      </c>
    </row>
    <row r="67" spans="1:6" x14ac:dyDescent="0.2">
      <c r="A67" s="222">
        <f>calculs!A67</f>
        <v>44618</v>
      </c>
      <c r="B67" s="522" t="e">
        <f ca="1">gr(calculs!BD67)</f>
        <v>#NAME?</v>
      </c>
      <c r="C67" s="523" t="e">
        <f ca="1">gr(calculs!BE67)</f>
        <v>#NAME?</v>
      </c>
      <c r="D67" s="739" t="e">
        <f ca="1">gr(données_step[[#This Row],[Temp_eaux]])</f>
        <v>#NAME?</v>
      </c>
      <c r="E67" s="739" t="e">
        <f ca="1">gr(analyses!AC67)</f>
        <v>#NAME?</v>
      </c>
    </row>
    <row r="68" spans="1:6" x14ac:dyDescent="0.2">
      <c r="A68" s="222">
        <f>calculs!A68</f>
        <v>44619</v>
      </c>
      <c r="B68" s="522" t="e">
        <f ca="1">gr(calculs!BD68)</f>
        <v>#NAME?</v>
      </c>
      <c r="C68" s="523" t="e">
        <f ca="1">gr(calculs!BE68)</f>
        <v>#NAME?</v>
      </c>
      <c r="D68" s="739" t="e">
        <f ca="1">gr(données_step[[#This Row],[Temp_eaux]])</f>
        <v>#NAME?</v>
      </c>
      <c r="E68" s="739" t="e">
        <f ca="1">gr(analyses!AC68)</f>
        <v>#NAME?</v>
      </c>
    </row>
    <row r="69" spans="1:6" x14ac:dyDescent="0.2">
      <c r="A69" s="222">
        <f>calculs!A69</f>
        <v>44620</v>
      </c>
      <c r="B69" s="522" t="e">
        <f ca="1">gr(calculs!BD69)</f>
        <v>#NAME?</v>
      </c>
      <c r="C69" s="523" t="e">
        <f ca="1">gr(calculs!BE69)</f>
        <v>#NAME?</v>
      </c>
      <c r="D69" s="739" t="e">
        <f ca="1">gr(données_step[[#This Row],[Temp_eaux]])</f>
        <v>#NAME?</v>
      </c>
      <c r="E69" s="739" t="e">
        <f ca="1">gr(analyses!AC69)</f>
        <v>#NAME?</v>
      </c>
    </row>
    <row r="70" spans="1:6" x14ac:dyDescent="0.2">
      <c r="A70" s="222">
        <f>calculs!A70</f>
        <v>44621</v>
      </c>
      <c r="B70" s="522" t="e">
        <f ca="1">gr(calculs!BD70)</f>
        <v>#NAME?</v>
      </c>
      <c r="C70" s="523" t="e">
        <f ca="1">gr(calculs!BE70)</f>
        <v>#NAME?</v>
      </c>
      <c r="D70" s="739" t="e">
        <f ca="1">gr(données_step[[#This Row],[Temp_eaux]])</f>
        <v>#NAME?</v>
      </c>
      <c r="E70" s="739" t="e">
        <f ca="1">gr(analyses!AC70)</f>
        <v>#NAME?</v>
      </c>
    </row>
    <row r="71" spans="1:6" x14ac:dyDescent="0.2">
      <c r="A71" s="222">
        <f>calculs!A71</f>
        <v>44622</v>
      </c>
      <c r="B71" s="522" t="e">
        <f ca="1">gr(calculs!BD71)</f>
        <v>#NAME?</v>
      </c>
      <c r="C71" s="523" t="e">
        <f ca="1">gr(calculs!BE71)</f>
        <v>#NAME?</v>
      </c>
      <c r="D71" s="739" t="e">
        <f ca="1">gr(données_step[[#This Row],[Temp_eaux]])</f>
        <v>#NAME?</v>
      </c>
      <c r="E71" s="739" t="e">
        <f ca="1">gr(analyses!AC71)</f>
        <v>#NAME?</v>
      </c>
    </row>
    <row r="72" spans="1:6" x14ac:dyDescent="0.2">
      <c r="A72" s="222">
        <f>calculs!A72</f>
        <v>44623</v>
      </c>
      <c r="B72" s="522" t="e">
        <f ca="1">gr(calculs!BD72)</f>
        <v>#NAME?</v>
      </c>
      <c r="C72" s="523" t="e">
        <f ca="1">gr(calculs!BE72)</f>
        <v>#NAME?</v>
      </c>
      <c r="D72" s="739" t="e">
        <f ca="1">gr(données_step[[#This Row],[Temp_eaux]])</f>
        <v>#NAME?</v>
      </c>
      <c r="E72" s="739" t="e">
        <f ca="1">gr(analyses!AC72)</f>
        <v>#NAME?</v>
      </c>
    </row>
    <row r="73" spans="1:6" x14ac:dyDescent="0.2">
      <c r="A73" s="222">
        <f>calculs!A73</f>
        <v>44624</v>
      </c>
      <c r="B73" s="522" t="e">
        <f ca="1">gr(calculs!BD73)</f>
        <v>#NAME?</v>
      </c>
      <c r="C73" s="523" t="e">
        <f ca="1">gr(calculs!BE73)</f>
        <v>#NAME?</v>
      </c>
      <c r="D73" s="739" t="e">
        <f ca="1">gr(données_step[[#This Row],[Temp_eaux]])</f>
        <v>#NAME?</v>
      </c>
      <c r="E73" s="739" t="e">
        <f ca="1">gr(analyses!AC73)</f>
        <v>#NAME?</v>
      </c>
    </row>
    <row r="74" spans="1:6" x14ac:dyDescent="0.2">
      <c r="A74" s="222">
        <f>calculs!A74</f>
        <v>44625</v>
      </c>
      <c r="B74" s="522" t="e">
        <f ca="1">gr(calculs!BD74)</f>
        <v>#NAME?</v>
      </c>
      <c r="C74" s="523" t="e">
        <f ca="1">gr(calculs!BE74)</f>
        <v>#NAME?</v>
      </c>
      <c r="D74" s="739" t="e">
        <f ca="1">gr(données_step[[#This Row],[Temp_eaux]])</f>
        <v>#NAME?</v>
      </c>
      <c r="E74" s="739" t="e">
        <f ca="1">gr(analyses!AC74)</f>
        <v>#NAME?</v>
      </c>
    </row>
    <row r="75" spans="1:6" x14ac:dyDescent="0.2">
      <c r="A75" s="222">
        <f>calculs!A75</f>
        <v>44626</v>
      </c>
      <c r="B75" s="522" t="e">
        <f ca="1">gr(calculs!BD75)</f>
        <v>#NAME?</v>
      </c>
      <c r="C75" s="523" t="e">
        <f ca="1">gr(calculs!BE75)</f>
        <v>#NAME?</v>
      </c>
      <c r="D75" s="739" t="e">
        <f ca="1">gr(données_step[[#This Row],[Temp_eaux]])</f>
        <v>#NAME?</v>
      </c>
      <c r="E75" s="739" t="e">
        <f ca="1">gr(analyses!AC75)</f>
        <v>#NAME?</v>
      </c>
    </row>
    <row r="76" spans="1:6" x14ac:dyDescent="0.2">
      <c r="A76" s="222">
        <f>calculs!A76</f>
        <v>44627</v>
      </c>
      <c r="B76" s="522" t="e">
        <f ca="1">gr(calculs!BD76)</f>
        <v>#NAME?</v>
      </c>
      <c r="C76" s="523" t="e">
        <f ca="1">gr(calculs!BE76)</f>
        <v>#NAME?</v>
      </c>
      <c r="D76" s="739" t="e">
        <f ca="1">gr(données_step[[#This Row],[Temp_eaux]])</f>
        <v>#NAME?</v>
      </c>
      <c r="E76" s="739" t="e">
        <f ca="1">gr(analyses!AC76)</f>
        <v>#NAME?</v>
      </c>
    </row>
    <row r="77" spans="1:6" x14ac:dyDescent="0.2">
      <c r="A77" s="222">
        <f>calculs!A77</f>
        <v>44628</v>
      </c>
      <c r="B77" s="522" t="e">
        <f ca="1">gr(calculs!BD77)</f>
        <v>#NAME?</v>
      </c>
      <c r="C77" s="523" t="e">
        <f ca="1">gr(calculs!BE77)</f>
        <v>#NAME?</v>
      </c>
      <c r="D77" s="739" t="e">
        <f ca="1">gr(données_step[[#This Row],[Temp_eaux]])</f>
        <v>#NAME?</v>
      </c>
      <c r="E77" s="739" t="e">
        <f ca="1">gr(analyses!AC77)</f>
        <v>#NAME?</v>
      </c>
    </row>
    <row r="78" spans="1:6" x14ac:dyDescent="0.2">
      <c r="A78" s="222">
        <f>calculs!A78</f>
        <v>44629</v>
      </c>
      <c r="B78" s="522" t="e">
        <f ca="1">gr(calculs!BD78)</f>
        <v>#NAME?</v>
      </c>
      <c r="C78" s="523" t="e">
        <f ca="1">gr(calculs!BE78)</f>
        <v>#NAME?</v>
      </c>
      <c r="D78" s="739" t="e">
        <f ca="1">gr(données_step[[#This Row],[Temp_eaux]])</f>
        <v>#NAME?</v>
      </c>
      <c r="E78" s="739" t="e">
        <f ca="1">gr(analyses!AC78)</f>
        <v>#NAME?</v>
      </c>
    </row>
    <row r="79" spans="1:6" x14ac:dyDescent="0.2">
      <c r="A79" s="222">
        <f>calculs!A79</f>
        <v>44630</v>
      </c>
      <c r="B79" s="522" t="e">
        <f ca="1">gr(calculs!BD79)</f>
        <v>#NAME?</v>
      </c>
      <c r="C79" s="523" t="e">
        <f ca="1">gr(calculs!BE79)</f>
        <v>#NAME?</v>
      </c>
      <c r="D79" s="739" t="e">
        <f ca="1">gr(données_step[[#This Row],[Temp_eaux]])</f>
        <v>#NAME?</v>
      </c>
      <c r="E79" s="739" t="e">
        <f ca="1">gr(analyses!AC79)</f>
        <v>#NAME?</v>
      </c>
    </row>
    <row r="80" spans="1:6" x14ac:dyDescent="0.2">
      <c r="A80" s="222">
        <f>calculs!A80</f>
        <v>44631</v>
      </c>
      <c r="B80" s="522" t="e">
        <f ca="1">gr(calculs!BD80)</f>
        <v>#NAME?</v>
      </c>
      <c r="C80" s="523" t="e">
        <f ca="1">gr(calculs!BE80)</f>
        <v>#NAME?</v>
      </c>
      <c r="D80" s="739" t="e">
        <f ca="1">gr(données_step[[#This Row],[Temp_eaux]])</f>
        <v>#NAME?</v>
      </c>
      <c r="E80" s="739" t="e">
        <f ca="1">gr(analyses!AC80)</f>
        <v>#NAME?</v>
      </c>
    </row>
    <row r="81" spans="1:5" x14ac:dyDescent="0.2">
      <c r="A81" s="222">
        <f>calculs!A81</f>
        <v>44632</v>
      </c>
      <c r="B81" s="522" t="e">
        <f ca="1">gr(calculs!BD81)</f>
        <v>#NAME?</v>
      </c>
      <c r="C81" s="523" t="e">
        <f ca="1">gr(calculs!BE81)</f>
        <v>#NAME?</v>
      </c>
      <c r="D81" s="739" t="e">
        <f ca="1">gr(données_step[[#This Row],[Temp_eaux]])</f>
        <v>#NAME?</v>
      </c>
      <c r="E81" s="739" t="e">
        <f ca="1">gr(analyses!AC81)</f>
        <v>#NAME?</v>
      </c>
    </row>
    <row r="82" spans="1:5" x14ac:dyDescent="0.2">
      <c r="A82" s="222">
        <f>calculs!A82</f>
        <v>44633</v>
      </c>
      <c r="B82" s="522" t="e">
        <f ca="1">gr(calculs!BD82)</f>
        <v>#NAME?</v>
      </c>
      <c r="C82" s="523" t="e">
        <f ca="1">gr(calculs!BE82)</f>
        <v>#NAME?</v>
      </c>
      <c r="D82" s="739" t="e">
        <f ca="1">gr(données_step[[#This Row],[Temp_eaux]])</f>
        <v>#NAME?</v>
      </c>
      <c r="E82" s="739" t="e">
        <f ca="1">gr(analyses!AC82)</f>
        <v>#NAME?</v>
      </c>
    </row>
    <row r="83" spans="1:5" x14ac:dyDescent="0.2">
      <c r="A83" s="222">
        <f>calculs!A83</f>
        <v>44634</v>
      </c>
      <c r="B83" s="522" t="e">
        <f ca="1">gr(calculs!BD83)</f>
        <v>#NAME?</v>
      </c>
      <c r="C83" s="523" t="e">
        <f ca="1">gr(calculs!BE83)</f>
        <v>#NAME?</v>
      </c>
      <c r="D83" s="739" t="e">
        <f ca="1">gr(données_step[[#This Row],[Temp_eaux]])</f>
        <v>#NAME?</v>
      </c>
      <c r="E83" s="739" t="e">
        <f ca="1">gr(analyses!AC83)</f>
        <v>#NAME?</v>
      </c>
    </row>
    <row r="84" spans="1:5" x14ac:dyDescent="0.2">
      <c r="A84" s="222">
        <f>calculs!A84</f>
        <v>44635</v>
      </c>
      <c r="B84" s="522" t="e">
        <f ca="1">gr(calculs!BD84)</f>
        <v>#NAME?</v>
      </c>
      <c r="C84" s="523" t="e">
        <f ca="1">gr(calculs!BE84)</f>
        <v>#NAME?</v>
      </c>
      <c r="D84" s="739" t="e">
        <f ca="1">gr(données_step[[#This Row],[Temp_eaux]])</f>
        <v>#NAME?</v>
      </c>
      <c r="E84" s="739" t="e">
        <f ca="1">gr(analyses!AC84)</f>
        <v>#NAME?</v>
      </c>
    </row>
    <row r="85" spans="1:5" x14ac:dyDescent="0.2">
      <c r="A85" s="222">
        <f>calculs!A85</f>
        <v>44636</v>
      </c>
      <c r="B85" s="522" t="e">
        <f ca="1">gr(calculs!BD85)</f>
        <v>#NAME?</v>
      </c>
      <c r="C85" s="523" t="e">
        <f ca="1">gr(calculs!BE85)</f>
        <v>#NAME?</v>
      </c>
      <c r="D85" s="739" t="e">
        <f ca="1">gr(données_step[[#This Row],[Temp_eaux]])</f>
        <v>#NAME?</v>
      </c>
      <c r="E85" s="739" t="e">
        <f ca="1">gr(analyses!AC85)</f>
        <v>#NAME?</v>
      </c>
    </row>
    <row r="86" spans="1:5" x14ac:dyDescent="0.2">
      <c r="A86" s="222">
        <f>calculs!A86</f>
        <v>44637</v>
      </c>
      <c r="B86" s="522" t="e">
        <f ca="1">gr(calculs!BD86)</f>
        <v>#NAME?</v>
      </c>
      <c r="C86" s="523" t="e">
        <f ca="1">gr(calculs!BE86)</f>
        <v>#NAME?</v>
      </c>
      <c r="D86" s="739" t="e">
        <f ca="1">gr(données_step[[#This Row],[Temp_eaux]])</f>
        <v>#NAME?</v>
      </c>
      <c r="E86" s="739" t="e">
        <f ca="1">gr(analyses!AC86)</f>
        <v>#NAME?</v>
      </c>
    </row>
    <row r="87" spans="1:5" x14ac:dyDescent="0.2">
      <c r="A87" s="222">
        <f>calculs!A87</f>
        <v>44638</v>
      </c>
      <c r="B87" s="522" t="e">
        <f ca="1">gr(calculs!BD87)</f>
        <v>#NAME?</v>
      </c>
      <c r="C87" s="523" t="e">
        <f ca="1">gr(calculs!BE87)</f>
        <v>#NAME?</v>
      </c>
      <c r="D87" s="739" t="e">
        <f ca="1">gr(données_step[[#This Row],[Temp_eaux]])</f>
        <v>#NAME?</v>
      </c>
      <c r="E87" s="739" t="e">
        <f ca="1">gr(analyses!AC87)</f>
        <v>#NAME?</v>
      </c>
    </row>
    <row r="88" spans="1:5" x14ac:dyDescent="0.2">
      <c r="A88" s="222">
        <f>calculs!A88</f>
        <v>44639</v>
      </c>
      <c r="B88" s="522" t="e">
        <f ca="1">gr(calculs!BD88)</f>
        <v>#NAME?</v>
      </c>
      <c r="C88" s="523" t="e">
        <f ca="1">gr(calculs!BE88)</f>
        <v>#NAME?</v>
      </c>
      <c r="D88" s="739" t="e">
        <f ca="1">gr(données_step[[#This Row],[Temp_eaux]])</f>
        <v>#NAME?</v>
      </c>
      <c r="E88" s="739" t="e">
        <f ca="1">gr(analyses!AC88)</f>
        <v>#NAME?</v>
      </c>
    </row>
    <row r="89" spans="1:5" x14ac:dyDescent="0.2">
      <c r="A89" s="222">
        <f>calculs!A89</f>
        <v>44640</v>
      </c>
      <c r="B89" s="522" t="e">
        <f ca="1">gr(calculs!BD89)</f>
        <v>#NAME?</v>
      </c>
      <c r="C89" s="523" t="e">
        <f ca="1">gr(calculs!BE89)</f>
        <v>#NAME?</v>
      </c>
      <c r="D89" s="739" t="e">
        <f ca="1">gr(données_step[[#This Row],[Temp_eaux]])</f>
        <v>#NAME?</v>
      </c>
      <c r="E89" s="739" t="e">
        <f ca="1">gr(analyses!AC89)</f>
        <v>#NAME?</v>
      </c>
    </row>
    <row r="90" spans="1:5" x14ac:dyDescent="0.2">
      <c r="A90" s="222">
        <f>calculs!A90</f>
        <v>44641</v>
      </c>
      <c r="B90" s="522" t="e">
        <f ca="1">gr(calculs!BD90)</f>
        <v>#NAME?</v>
      </c>
      <c r="C90" s="523" t="e">
        <f ca="1">gr(calculs!BE90)</f>
        <v>#NAME?</v>
      </c>
      <c r="D90" s="739" t="e">
        <f ca="1">gr(données_step[[#This Row],[Temp_eaux]])</f>
        <v>#NAME?</v>
      </c>
      <c r="E90" s="739" t="e">
        <f ca="1">gr(analyses!AC90)</f>
        <v>#NAME?</v>
      </c>
    </row>
    <row r="91" spans="1:5" x14ac:dyDescent="0.2">
      <c r="A91" s="222">
        <f>calculs!A91</f>
        <v>44642</v>
      </c>
      <c r="B91" s="522" t="e">
        <f ca="1">gr(calculs!BD91)</f>
        <v>#NAME?</v>
      </c>
      <c r="C91" s="523" t="e">
        <f ca="1">gr(calculs!BE91)</f>
        <v>#NAME?</v>
      </c>
      <c r="D91" s="739" t="e">
        <f ca="1">gr(données_step[[#This Row],[Temp_eaux]])</f>
        <v>#NAME?</v>
      </c>
      <c r="E91" s="739" t="e">
        <f ca="1">gr(analyses!AC91)</f>
        <v>#NAME?</v>
      </c>
    </row>
    <row r="92" spans="1:5" x14ac:dyDescent="0.2">
      <c r="A92" s="222">
        <f>calculs!A92</f>
        <v>44643</v>
      </c>
      <c r="B92" s="522" t="e">
        <f ca="1">gr(calculs!BD92)</f>
        <v>#NAME?</v>
      </c>
      <c r="C92" s="523" t="e">
        <f ca="1">gr(calculs!BE92)</f>
        <v>#NAME?</v>
      </c>
      <c r="D92" s="739" t="e">
        <f ca="1">gr(données_step[[#This Row],[Temp_eaux]])</f>
        <v>#NAME?</v>
      </c>
      <c r="E92" s="739" t="e">
        <f ca="1">gr(analyses!AC92)</f>
        <v>#NAME?</v>
      </c>
    </row>
    <row r="93" spans="1:5" x14ac:dyDescent="0.2">
      <c r="A93" s="222">
        <f>calculs!A93</f>
        <v>44644</v>
      </c>
      <c r="B93" s="522" t="e">
        <f ca="1">gr(calculs!BD93)</f>
        <v>#NAME?</v>
      </c>
      <c r="C93" s="523" t="e">
        <f ca="1">gr(calculs!BE93)</f>
        <v>#NAME?</v>
      </c>
      <c r="D93" s="739" t="e">
        <f ca="1">gr(données_step[[#This Row],[Temp_eaux]])</f>
        <v>#NAME?</v>
      </c>
      <c r="E93" s="739" t="e">
        <f ca="1">gr(analyses!AC93)</f>
        <v>#NAME?</v>
      </c>
    </row>
    <row r="94" spans="1:5" x14ac:dyDescent="0.2">
      <c r="A94" s="222">
        <f>calculs!A94</f>
        <v>44645</v>
      </c>
      <c r="B94" s="522" t="e">
        <f ca="1">gr(calculs!BD94)</f>
        <v>#NAME?</v>
      </c>
      <c r="C94" s="523" t="e">
        <f ca="1">gr(calculs!BE94)</f>
        <v>#NAME?</v>
      </c>
      <c r="D94" s="739" t="e">
        <f ca="1">gr(données_step[[#This Row],[Temp_eaux]])</f>
        <v>#NAME?</v>
      </c>
      <c r="E94" s="739" t="e">
        <f ca="1">gr(analyses!AC94)</f>
        <v>#NAME?</v>
      </c>
    </row>
    <row r="95" spans="1:5" x14ac:dyDescent="0.2">
      <c r="A95" s="222">
        <f>calculs!A95</f>
        <v>44646</v>
      </c>
      <c r="B95" s="522" t="e">
        <f ca="1">gr(calculs!BD95)</f>
        <v>#NAME?</v>
      </c>
      <c r="C95" s="523" t="e">
        <f ca="1">gr(calculs!BE95)</f>
        <v>#NAME?</v>
      </c>
      <c r="D95" s="739" t="e">
        <f ca="1">gr(données_step[[#This Row],[Temp_eaux]])</f>
        <v>#NAME?</v>
      </c>
      <c r="E95" s="739" t="e">
        <f ca="1">gr(analyses!AC95)</f>
        <v>#NAME?</v>
      </c>
    </row>
    <row r="96" spans="1:5" x14ac:dyDescent="0.2">
      <c r="A96" s="222">
        <f>calculs!A96</f>
        <v>44647</v>
      </c>
      <c r="B96" s="522" t="e">
        <f ca="1">gr(calculs!BD96)</f>
        <v>#NAME?</v>
      </c>
      <c r="C96" s="523" t="e">
        <f ca="1">gr(calculs!BE96)</f>
        <v>#NAME?</v>
      </c>
      <c r="D96" s="739" t="e">
        <f ca="1">gr(données_step[[#This Row],[Temp_eaux]])</f>
        <v>#NAME?</v>
      </c>
      <c r="E96" s="739" t="e">
        <f ca="1">gr(analyses!AC96)</f>
        <v>#NAME?</v>
      </c>
    </row>
    <row r="97" spans="1:5" x14ac:dyDescent="0.2">
      <c r="A97" s="222">
        <f>calculs!A97</f>
        <v>44648</v>
      </c>
      <c r="B97" s="522" t="e">
        <f ca="1">gr(calculs!BD97)</f>
        <v>#NAME?</v>
      </c>
      <c r="C97" s="523" t="e">
        <f ca="1">gr(calculs!BE97)</f>
        <v>#NAME?</v>
      </c>
      <c r="D97" s="739" t="e">
        <f ca="1">gr(données_step[[#This Row],[Temp_eaux]])</f>
        <v>#NAME?</v>
      </c>
      <c r="E97" s="739" t="e">
        <f ca="1">gr(analyses!AC97)</f>
        <v>#NAME?</v>
      </c>
    </row>
    <row r="98" spans="1:5" x14ac:dyDescent="0.2">
      <c r="A98" s="222">
        <f>calculs!A98</f>
        <v>44649</v>
      </c>
      <c r="B98" s="522" t="e">
        <f ca="1">gr(calculs!BD98)</f>
        <v>#NAME?</v>
      </c>
      <c r="C98" s="523" t="e">
        <f ca="1">gr(calculs!BE98)</f>
        <v>#NAME?</v>
      </c>
      <c r="D98" s="739" t="e">
        <f ca="1">gr(données_step[[#This Row],[Temp_eaux]])</f>
        <v>#NAME?</v>
      </c>
      <c r="E98" s="739" t="e">
        <f ca="1">gr(analyses!AC98)</f>
        <v>#NAME?</v>
      </c>
    </row>
    <row r="99" spans="1:5" x14ac:dyDescent="0.2">
      <c r="A99" s="222">
        <f>calculs!A99</f>
        <v>44650</v>
      </c>
      <c r="B99" s="522" t="e">
        <f ca="1">gr(calculs!BD99)</f>
        <v>#NAME?</v>
      </c>
      <c r="C99" s="523" t="e">
        <f ca="1">gr(calculs!BE99)</f>
        <v>#NAME?</v>
      </c>
      <c r="D99" s="739" t="e">
        <f ca="1">gr(données_step[[#This Row],[Temp_eaux]])</f>
        <v>#NAME?</v>
      </c>
      <c r="E99" s="739" t="e">
        <f ca="1">gr(analyses!AC99)</f>
        <v>#NAME?</v>
      </c>
    </row>
    <row r="100" spans="1:5" x14ac:dyDescent="0.2">
      <c r="A100" s="222">
        <f>calculs!A100</f>
        <v>44651</v>
      </c>
      <c r="B100" s="522" t="e">
        <f ca="1">gr(calculs!BD100)</f>
        <v>#NAME?</v>
      </c>
      <c r="C100" s="523" t="e">
        <f ca="1">gr(calculs!BE100)</f>
        <v>#NAME?</v>
      </c>
      <c r="D100" s="739" t="e">
        <f ca="1">gr(données_step[[#This Row],[Temp_eaux]])</f>
        <v>#NAME?</v>
      </c>
      <c r="E100" s="739" t="e">
        <f ca="1">gr(analyses!AC100)</f>
        <v>#NAME?</v>
      </c>
    </row>
    <row r="101" spans="1:5" x14ac:dyDescent="0.2">
      <c r="A101" s="222">
        <f>calculs!A101</f>
        <v>44652</v>
      </c>
      <c r="B101" s="522" t="e">
        <f ca="1">gr(calculs!BD101)</f>
        <v>#NAME?</v>
      </c>
      <c r="C101" s="523" t="e">
        <f ca="1">gr(calculs!BE101)</f>
        <v>#NAME?</v>
      </c>
      <c r="D101" s="739" t="e">
        <f ca="1">gr(données_step[[#This Row],[Temp_eaux]])</f>
        <v>#NAME?</v>
      </c>
      <c r="E101" s="739" t="e">
        <f ca="1">gr(analyses!AC101)</f>
        <v>#NAME?</v>
      </c>
    </row>
    <row r="102" spans="1:5" x14ac:dyDescent="0.2">
      <c r="A102" s="222">
        <f>calculs!A102</f>
        <v>44653</v>
      </c>
      <c r="B102" s="522" t="e">
        <f ca="1">gr(calculs!BD102)</f>
        <v>#NAME?</v>
      </c>
      <c r="C102" s="523" t="e">
        <f ca="1">gr(calculs!BE102)</f>
        <v>#NAME?</v>
      </c>
      <c r="D102" s="739" t="e">
        <f ca="1">gr(données_step[[#This Row],[Temp_eaux]])</f>
        <v>#NAME?</v>
      </c>
      <c r="E102" s="739" t="e">
        <f ca="1">gr(analyses!AC102)</f>
        <v>#NAME?</v>
      </c>
    </row>
    <row r="103" spans="1:5" x14ac:dyDescent="0.2">
      <c r="A103" s="222">
        <f>calculs!A103</f>
        <v>44654</v>
      </c>
      <c r="B103" s="522" t="e">
        <f ca="1">gr(calculs!BD103)</f>
        <v>#NAME?</v>
      </c>
      <c r="C103" s="523" t="e">
        <f ca="1">gr(calculs!BE103)</f>
        <v>#NAME?</v>
      </c>
      <c r="D103" s="739" t="e">
        <f ca="1">gr(données_step[[#This Row],[Temp_eaux]])</f>
        <v>#NAME?</v>
      </c>
      <c r="E103" s="739" t="e">
        <f ca="1">gr(analyses!AC103)</f>
        <v>#NAME?</v>
      </c>
    </row>
    <row r="104" spans="1:5" x14ac:dyDescent="0.2">
      <c r="A104" s="222">
        <f>calculs!A104</f>
        <v>44655</v>
      </c>
      <c r="B104" s="522" t="e">
        <f ca="1">gr(calculs!BD104)</f>
        <v>#NAME?</v>
      </c>
      <c r="C104" s="523" t="e">
        <f ca="1">gr(calculs!BE104)</f>
        <v>#NAME?</v>
      </c>
      <c r="D104" s="739" t="e">
        <f ca="1">gr(données_step[[#This Row],[Temp_eaux]])</f>
        <v>#NAME?</v>
      </c>
      <c r="E104" s="739" t="e">
        <f ca="1">gr(analyses!AC104)</f>
        <v>#NAME?</v>
      </c>
    </row>
    <row r="105" spans="1:5" x14ac:dyDescent="0.2">
      <c r="A105" s="222">
        <f>calculs!A105</f>
        <v>44656</v>
      </c>
      <c r="B105" s="522" t="e">
        <f ca="1">gr(calculs!BD105)</f>
        <v>#NAME?</v>
      </c>
      <c r="C105" s="523" t="e">
        <f ca="1">gr(calculs!BE105)</f>
        <v>#NAME?</v>
      </c>
      <c r="D105" s="739" t="e">
        <f ca="1">gr(données_step[[#This Row],[Temp_eaux]])</f>
        <v>#NAME?</v>
      </c>
      <c r="E105" s="739" t="e">
        <f ca="1">gr(analyses!AC105)</f>
        <v>#NAME?</v>
      </c>
    </row>
    <row r="106" spans="1:5" x14ac:dyDescent="0.2">
      <c r="A106" s="222">
        <f>calculs!A106</f>
        <v>44657</v>
      </c>
      <c r="B106" s="522" t="e">
        <f ca="1">gr(calculs!BD106)</f>
        <v>#NAME?</v>
      </c>
      <c r="C106" s="523" t="e">
        <f ca="1">gr(calculs!BE106)</f>
        <v>#NAME?</v>
      </c>
      <c r="D106" s="739" t="e">
        <f ca="1">gr(données_step[[#This Row],[Temp_eaux]])</f>
        <v>#NAME?</v>
      </c>
      <c r="E106" s="739" t="e">
        <f ca="1">gr(analyses!AC106)</f>
        <v>#NAME?</v>
      </c>
    </row>
    <row r="107" spans="1:5" x14ac:dyDescent="0.2">
      <c r="A107" s="222">
        <f>calculs!A107</f>
        <v>44658</v>
      </c>
      <c r="B107" s="522" t="e">
        <f ca="1">gr(calculs!BD107)</f>
        <v>#NAME?</v>
      </c>
      <c r="C107" s="523" t="e">
        <f ca="1">gr(calculs!BE107)</f>
        <v>#NAME?</v>
      </c>
      <c r="D107" s="739" t="e">
        <f ca="1">gr(données_step[[#This Row],[Temp_eaux]])</f>
        <v>#NAME?</v>
      </c>
      <c r="E107" s="739" t="e">
        <f ca="1">gr(analyses!AC107)</f>
        <v>#NAME?</v>
      </c>
    </row>
    <row r="108" spans="1:5" x14ac:dyDescent="0.2">
      <c r="A108" s="222">
        <f>calculs!A108</f>
        <v>44659</v>
      </c>
      <c r="B108" s="522" t="e">
        <f ca="1">gr(calculs!BD108)</f>
        <v>#NAME?</v>
      </c>
      <c r="C108" s="523" t="e">
        <f ca="1">gr(calculs!BE108)</f>
        <v>#NAME?</v>
      </c>
      <c r="D108" s="739" t="e">
        <f ca="1">gr(données_step[[#This Row],[Temp_eaux]])</f>
        <v>#NAME?</v>
      </c>
      <c r="E108" s="739" t="e">
        <f ca="1">gr(analyses!AC108)</f>
        <v>#NAME?</v>
      </c>
    </row>
    <row r="109" spans="1:5" x14ac:dyDescent="0.2">
      <c r="A109" s="222">
        <f>calculs!A109</f>
        <v>44660</v>
      </c>
      <c r="B109" s="522" t="e">
        <f ca="1">gr(calculs!BD109)</f>
        <v>#NAME?</v>
      </c>
      <c r="C109" s="523" t="e">
        <f ca="1">gr(calculs!BE109)</f>
        <v>#NAME?</v>
      </c>
      <c r="D109" s="739" t="e">
        <f ca="1">gr(données_step[[#This Row],[Temp_eaux]])</f>
        <v>#NAME?</v>
      </c>
      <c r="E109" s="739" t="e">
        <f ca="1">gr(analyses!AC109)</f>
        <v>#NAME?</v>
      </c>
    </row>
    <row r="110" spans="1:5" x14ac:dyDescent="0.2">
      <c r="A110" s="222">
        <f>calculs!A110</f>
        <v>44661</v>
      </c>
      <c r="B110" s="522" t="e">
        <f ca="1">gr(calculs!BD110)</f>
        <v>#NAME?</v>
      </c>
      <c r="C110" s="523" t="e">
        <f ca="1">gr(calculs!BE110)</f>
        <v>#NAME?</v>
      </c>
      <c r="D110" s="739" t="e">
        <f ca="1">gr(données_step[[#This Row],[Temp_eaux]])</f>
        <v>#NAME?</v>
      </c>
      <c r="E110" s="739" t="e">
        <f ca="1">gr(analyses!AC110)</f>
        <v>#NAME?</v>
      </c>
    </row>
    <row r="111" spans="1:5" x14ac:dyDescent="0.2">
      <c r="A111" s="222">
        <f>calculs!A111</f>
        <v>44662</v>
      </c>
      <c r="B111" s="522" t="e">
        <f ca="1">gr(calculs!BD111)</f>
        <v>#NAME?</v>
      </c>
      <c r="C111" s="523" t="e">
        <f ca="1">gr(calculs!BE111)</f>
        <v>#NAME?</v>
      </c>
      <c r="D111" s="739" t="e">
        <f ca="1">gr(données_step[[#This Row],[Temp_eaux]])</f>
        <v>#NAME?</v>
      </c>
      <c r="E111" s="739" t="e">
        <f ca="1">gr(analyses!AC111)</f>
        <v>#NAME?</v>
      </c>
    </row>
    <row r="112" spans="1:5" x14ac:dyDescent="0.2">
      <c r="A112" s="222">
        <f>calculs!A112</f>
        <v>44663</v>
      </c>
      <c r="B112" s="522" t="e">
        <f ca="1">gr(calculs!BD112)</f>
        <v>#NAME?</v>
      </c>
      <c r="C112" s="523" t="e">
        <f ca="1">gr(calculs!BE112)</f>
        <v>#NAME?</v>
      </c>
      <c r="D112" s="739" t="e">
        <f ca="1">gr(données_step[[#This Row],[Temp_eaux]])</f>
        <v>#NAME?</v>
      </c>
      <c r="E112" s="739" t="e">
        <f ca="1">gr(analyses!AC112)</f>
        <v>#NAME?</v>
      </c>
    </row>
    <row r="113" spans="1:5" x14ac:dyDescent="0.2">
      <c r="A113" s="222">
        <f>calculs!A113</f>
        <v>44664</v>
      </c>
      <c r="B113" s="522" t="e">
        <f ca="1">gr(calculs!BD113)</f>
        <v>#NAME?</v>
      </c>
      <c r="C113" s="523" t="e">
        <f ca="1">gr(calculs!BE113)</f>
        <v>#NAME?</v>
      </c>
      <c r="D113" s="739" t="e">
        <f ca="1">gr(données_step[[#This Row],[Temp_eaux]])</f>
        <v>#NAME?</v>
      </c>
      <c r="E113" s="739" t="e">
        <f ca="1">gr(analyses!AC113)</f>
        <v>#NAME?</v>
      </c>
    </row>
    <row r="114" spans="1:5" x14ac:dyDescent="0.2">
      <c r="A114" s="222">
        <f>calculs!A114</f>
        <v>44665</v>
      </c>
      <c r="B114" s="522" t="e">
        <f ca="1">gr(calculs!BD114)</f>
        <v>#NAME?</v>
      </c>
      <c r="C114" s="523" t="e">
        <f ca="1">gr(calculs!BE114)</f>
        <v>#NAME?</v>
      </c>
      <c r="D114" s="739" t="e">
        <f ca="1">gr(données_step[[#This Row],[Temp_eaux]])</f>
        <v>#NAME?</v>
      </c>
      <c r="E114" s="739" t="e">
        <f ca="1">gr(analyses!AC114)</f>
        <v>#NAME?</v>
      </c>
    </row>
    <row r="115" spans="1:5" x14ac:dyDescent="0.2">
      <c r="A115" s="222">
        <f>calculs!A115</f>
        <v>44666</v>
      </c>
      <c r="B115" s="522" t="e">
        <f ca="1">gr(calculs!BD115)</f>
        <v>#NAME?</v>
      </c>
      <c r="C115" s="523" t="e">
        <f ca="1">gr(calculs!BE115)</f>
        <v>#NAME?</v>
      </c>
      <c r="D115" s="739" t="e">
        <f ca="1">gr(données_step[[#This Row],[Temp_eaux]])</f>
        <v>#NAME?</v>
      </c>
      <c r="E115" s="739" t="e">
        <f ca="1">gr(analyses!AC115)</f>
        <v>#NAME?</v>
      </c>
    </row>
    <row r="116" spans="1:5" x14ac:dyDescent="0.2">
      <c r="A116" s="222">
        <f>calculs!A116</f>
        <v>44667</v>
      </c>
      <c r="B116" s="522" t="e">
        <f ca="1">gr(calculs!BD116)</f>
        <v>#NAME?</v>
      </c>
      <c r="C116" s="523" t="e">
        <f ca="1">gr(calculs!BE116)</f>
        <v>#NAME?</v>
      </c>
      <c r="D116" s="739" t="e">
        <f ca="1">gr(données_step[[#This Row],[Temp_eaux]])</f>
        <v>#NAME?</v>
      </c>
      <c r="E116" s="739" t="e">
        <f ca="1">gr(analyses!AC116)</f>
        <v>#NAME?</v>
      </c>
    </row>
    <row r="117" spans="1:5" x14ac:dyDescent="0.2">
      <c r="A117" s="222">
        <f>calculs!A117</f>
        <v>44668</v>
      </c>
      <c r="B117" s="522" t="e">
        <f ca="1">gr(calculs!BD117)</f>
        <v>#NAME?</v>
      </c>
      <c r="C117" s="523" t="e">
        <f ca="1">gr(calculs!BE117)</f>
        <v>#NAME?</v>
      </c>
      <c r="D117" s="739" t="e">
        <f ca="1">gr(données_step[[#This Row],[Temp_eaux]])</f>
        <v>#NAME?</v>
      </c>
      <c r="E117" s="739" t="e">
        <f ca="1">gr(analyses!AC117)</f>
        <v>#NAME?</v>
      </c>
    </row>
    <row r="118" spans="1:5" x14ac:dyDescent="0.2">
      <c r="A118" s="222">
        <f>calculs!A118</f>
        <v>44669</v>
      </c>
      <c r="B118" s="522" t="e">
        <f ca="1">gr(calculs!BD118)</f>
        <v>#NAME?</v>
      </c>
      <c r="C118" s="523" t="e">
        <f ca="1">gr(calculs!BE118)</f>
        <v>#NAME?</v>
      </c>
      <c r="D118" s="739" t="e">
        <f ca="1">gr(données_step[[#This Row],[Temp_eaux]])</f>
        <v>#NAME?</v>
      </c>
      <c r="E118" s="739" t="e">
        <f ca="1">gr(analyses!AC118)</f>
        <v>#NAME?</v>
      </c>
    </row>
    <row r="119" spans="1:5" x14ac:dyDescent="0.2">
      <c r="A119" s="222">
        <f>calculs!A119</f>
        <v>44670</v>
      </c>
      <c r="B119" s="522" t="e">
        <f ca="1">gr(calculs!BD119)</f>
        <v>#NAME?</v>
      </c>
      <c r="C119" s="523" t="e">
        <f ca="1">gr(calculs!BE119)</f>
        <v>#NAME?</v>
      </c>
      <c r="D119" s="739" t="e">
        <f ca="1">gr(données_step[[#This Row],[Temp_eaux]])</f>
        <v>#NAME?</v>
      </c>
      <c r="E119" s="739" t="e">
        <f ca="1">gr(analyses!AC119)</f>
        <v>#NAME?</v>
      </c>
    </row>
    <row r="120" spans="1:5" x14ac:dyDescent="0.2">
      <c r="A120" s="222">
        <f>calculs!A120</f>
        <v>44671</v>
      </c>
      <c r="B120" s="522" t="e">
        <f ca="1">gr(calculs!BD120)</f>
        <v>#NAME?</v>
      </c>
      <c r="C120" s="523" t="e">
        <f ca="1">gr(calculs!BE120)</f>
        <v>#NAME?</v>
      </c>
      <c r="D120" s="739" t="e">
        <f ca="1">gr(données_step[[#This Row],[Temp_eaux]])</f>
        <v>#NAME?</v>
      </c>
      <c r="E120" s="739" t="e">
        <f ca="1">gr(analyses!AC120)</f>
        <v>#NAME?</v>
      </c>
    </row>
    <row r="121" spans="1:5" x14ac:dyDescent="0.2">
      <c r="A121" s="222">
        <f>calculs!A121</f>
        <v>44672</v>
      </c>
      <c r="B121" s="522" t="e">
        <f ca="1">gr(calculs!BD121)</f>
        <v>#NAME?</v>
      </c>
      <c r="C121" s="523" t="e">
        <f ca="1">gr(calculs!BE121)</f>
        <v>#NAME?</v>
      </c>
      <c r="D121" s="739" t="e">
        <f ca="1">gr(données_step[[#This Row],[Temp_eaux]])</f>
        <v>#NAME?</v>
      </c>
      <c r="E121" s="739" t="e">
        <f ca="1">gr(analyses!AC121)</f>
        <v>#NAME?</v>
      </c>
    </row>
    <row r="122" spans="1:5" x14ac:dyDescent="0.2">
      <c r="A122" s="222">
        <f>calculs!A122</f>
        <v>44673</v>
      </c>
      <c r="B122" s="522" t="e">
        <f ca="1">gr(calculs!BD122)</f>
        <v>#NAME?</v>
      </c>
      <c r="C122" s="523" t="e">
        <f ca="1">gr(calculs!BE122)</f>
        <v>#NAME?</v>
      </c>
      <c r="D122" s="739" t="e">
        <f ca="1">gr(données_step[[#This Row],[Temp_eaux]])</f>
        <v>#NAME?</v>
      </c>
      <c r="E122" s="739" t="e">
        <f ca="1">gr(analyses!AC122)</f>
        <v>#NAME?</v>
      </c>
    </row>
    <row r="123" spans="1:5" x14ac:dyDescent="0.2">
      <c r="A123" s="222">
        <f>calculs!A123</f>
        <v>44674</v>
      </c>
      <c r="B123" s="522" t="e">
        <f ca="1">gr(calculs!BD123)</f>
        <v>#NAME?</v>
      </c>
      <c r="C123" s="523" t="e">
        <f ca="1">gr(calculs!BE123)</f>
        <v>#NAME?</v>
      </c>
      <c r="D123" s="739" t="e">
        <f ca="1">gr(données_step[[#This Row],[Temp_eaux]])</f>
        <v>#NAME?</v>
      </c>
      <c r="E123" s="739" t="e">
        <f ca="1">gr(analyses!AC123)</f>
        <v>#NAME?</v>
      </c>
    </row>
    <row r="124" spans="1:5" x14ac:dyDescent="0.2">
      <c r="A124" s="222">
        <f>calculs!A124</f>
        <v>44675</v>
      </c>
      <c r="B124" s="522" t="e">
        <f ca="1">gr(calculs!BD124)</f>
        <v>#NAME?</v>
      </c>
      <c r="C124" s="523" t="e">
        <f ca="1">gr(calculs!BE124)</f>
        <v>#NAME?</v>
      </c>
      <c r="D124" s="739" t="e">
        <f ca="1">gr(données_step[[#This Row],[Temp_eaux]])</f>
        <v>#NAME?</v>
      </c>
      <c r="E124" s="739" t="e">
        <f ca="1">gr(analyses!AC124)</f>
        <v>#NAME?</v>
      </c>
    </row>
    <row r="125" spans="1:5" x14ac:dyDescent="0.2">
      <c r="A125" s="222">
        <f>calculs!A125</f>
        <v>44676</v>
      </c>
      <c r="B125" s="522" t="e">
        <f ca="1">gr(calculs!BD125)</f>
        <v>#NAME?</v>
      </c>
      <c r="C125" s="523" t="e">
        <f ca="1">gr(calculs!BE125)</f>
        <v>#NAME?</v>
      </c>
      <c r="D125" s="739" t="e">
        <f ca="1">gr(données_step[[#This Row],[Temp_eaux]])</f>
        <v>#NAME?</v>
      </c>
      <c r="E125" s="739" t="e">
        <f ca="1">gr(analyses!AC125)</f>
        <v>#NAME?</v>
      </c>
    </row>
    <row r="126" spans="1:5" x14ac:dyDescent="0.2">
      <c r="A126" s="222">
        <f>calculs!A126</f>
        <v>44677</v>
      </c>
      <c r="B126" s="522" t="e">
        <f ca="1">gr(calculs!BD126)</f>
        <v>#NAME?</v>
      </c>
      <c r="C126" s="523" t="e">
        <f ca="1">gr(calculs!BE126)</f>
        <v>#NAME?</v>
      </c>
      <c r="D126" s="739" t="e">
        <f ca="1">gr(données_step[[#This Row],[Temp_eaux]])</f>
        <v>#NAME?</v>
      </c>
      <c r="E126" s="739" t="e">
        <f ca="1">gr(analyses!AC126)</f>
        <v>#NAME?</v>
      </c>
    </row>
    <row r="127" spans="1:5" x14ac:dyDescent="0.2">
      <c r="A127" s="222">
        <f>calculs!A127</f>
        <v>44678</v>
      </c>
      <c r="B127" s="522" t="e">
        <f ca="1">gr(calculs!BD127)</f>
        <v>#NAME?</v>
      </c>
      <c r="C127" s="523" t="e">
        <f ca="1">gr(calculs!BE127)</f>
        <v>#NAME?</v>
      </c>
      <c r="D127" s="739" t="e">
        <f ca="1">gr(données_step[[#This Row],[Temp_eaux]])</f>
        <v>#NAME?</v>
      </c>
      <c r="E127" s="739" t="e">
        <f ca="1">gr(analyses!AC127)</f>
        <v>#NAME?</v>
      </c>
    </row>
    <row r="128" spans="1:5" x14ac:dyDescent="0.2">
      <c r="A128" s="222">
        <f>calculs!A128</f>
        <v>44679</v>
      </c>
      <c r="B128" s="522" t="e">
        <f ca="1">gr(calculs!BD128)</f>
        <v>#NAME?</v>
      </c>
      <c r="C128" s="523" t="e">
        <f ca="1">gr(calculs!BE128)</f>
        <v>#NAME?</v>
      </c>
      <c r="D128" s="739" t="e">
        <f ca="1">gr(données_step[[#This Row],[Temp_eaux]])</f>
        <v>#NAME?</v>
      </c>
      <c r="E128" s="739" t="e">
        <f ca="1">gr(analyses!AC128)</f>
        <v>#NAME?</v>
      </c>
    </row>
    <row r="129" spans="1:5" x14ac:dyDescent="0.2">
      <c r="A129" s="222">
        <f>calculs!A129</f>
        <v>44680</v>
      </c>
      <c r="B129" s="522" t="e">
        <f ca="1">gr(calculs!BD129)</f>
        <v>#NAME?</v>
      </c>
      <c r="C129" s="523" t="e">
        <f ca="1">gr(calculs!BE129)</f>
        <v>#NAME?</v>
      </c>
      <c r="D129" s="739" t="e">
        <f ca="1">gr(données_step[[#This Row],[Temp_eaux]])</f>
        <v>#NAME?</v>
      </c>
      <c r="E129" s="739" t="e">
        <f ca="1">gr(analyses!AC129)</f>
        <v>#NAME?</v>
      </c>
    </row>
    <row r="130" spans="1:5" x14ac:dyDescent="0.2">
      <c r="A130" s="222">
        <f>calculs!A130</f>
        <v>44681</v>
      </c>
      <c r="B130" s="522" t="e">
        <f ca="1">gr(calculs!BD130)</f>
        <v>#NAME?</v>
      </c>
      <c r="C130" s="523" t="e">
        <f ca="1">gr(calculs!BE130)</f>
        <v>#NAME?</v>
      </c>
      <c r="D130" s="739" t="e">
        <f ca="1">gr(données_step[[#This Row],[Temp_eaux]])</f>
        <v>#NAME?</v>
      </c>
      <c r="E130" s="739" t="e">
        <f ca="1">gr(analyses!AC130)</f>
        <v>#NAME?</v>
      </c>
    </row>
    <row r="131" spans="1:5" x14ac:dyDescent="0.2">
      <c r="A131" s="222">
        <f>calculs!A131</f>
        <v>44682</v>
      </c>
      <c r="B131" s="522" t="e">
        <f ca="1">gr(calculs!BD131)</f>
        <v>#NAME?</v>
      </c>
      <c r="C131" s="523" t="e">
        <f ca="1">gr(calculs!BE131)</f>
        <v>#NAME?</v>
      </c>
      <c r="D131" s="739" t="e">
        <f ca="1">gr(données_step[[#This Row],[Temp_eaux]])</f>
        <v>#NAME?</v>
      </c>
      <c r="E131" s="739" t="e">
        <f ca="1">gr(analyses!AC131)</f>
        <v>#NAME?</v>
      </c>
    </row>
    <row r="132" spans="1:5" x14ac:dyDescent="0.2">
      <c r="A132" s="222">
        <f>calculs!A132</f>
        <v>44683</v>
      </c>
      <c r="B132" s="522" t="e">
        <f ca="1">gr(calculs!BD132)</f>
        <v>#NAME?</v>
      </c>
      <c r="C132" s="523" t="e">
        <f ca="1">gr(calculs!BE132)</f>
        <v>#NAME?</v>
      </c>
      <c r="D132" s="739" t="e">
        <f ca="1">gr(données_step[[#This Row],[Temp_eaux]])</f>
        <v>#NAME?</v>
      </c>
      <c r="E132" s="739" t="e">
        <f ca="1">gr(analyses!AC132)</f>
        <v>#NAME?</v>
      </c>
    </row>
    <row r="133" spans="1:5" x14ac:dyDescent="0.2">
      <c r="A133" s="222">
        <f>calculs!A133</f>
        <v>44684</v>
      </c>
      <c r="B133" s="522" t="e">
        <f ca="1">gr(calculs!BD133)</f>
        <v>#NAME?</v>
      </c>
      <c r="C133" s="523" t="e">
        <f ca="1">gr(calculs!BE133)</f>
        <v>#NAME?</v>
      </c>
      <c r="D133" s="739" t="e">
        <f ca="1">gr(données_step[[#This Row],[Temp_eaux]])</f>
        <v>#NAME?</v>
      </c>
      <c r="E133" s="739" t="e">
        <f ca="1">gr(analyses!AC133)</f>
        <v>#NAME?</v>
      </c>
    </row>
    <row r="134" spans="1:5" x14ac:dyDescent="0.2">
      <c r="A134" s="222">
        <f>calculs!A134</f>
        <v>44685</v>
      </c>
      <c r="B134" s="522" t="e">
        <f ca="1">gr(calculs!BD134)</f>
        <v>#NAME?</v>
      </c>
      <c r="C134" s="523" t="e">
        <f ca="1">gr(calculs!BE134)</f>
        <v>#NAME?</v>
      </c>
      <c r="D134" s="739" t="e">
        <f ca="1">gr(données_step[[#This Row],[Temp_eaux]])</f>
        <v>#NAME?</v>
      </c>
      <c r="E134" s="739" t="e">
        <f ca="1">gr(analyses!AC134)</f>
        <v>#NAME?</v>
      </c>
    </row>
    <row r="135" spans="1:5" x14ac:dyDescent="0.2">
      <c r="A135" s="222">
        <f>calculs!A135</f>
        <v>44686</v>
      </c>
      <c r="B135" s="522" t="e">
        <f ca="1">gr(calculs!BD135)</f>
        <v>#NAME?</v>
      </c>
      <c r="C135" s="523" t="e">
        <f ca="1">gr(calculs!BE135)</f>
        <v>#NAME?</v>
      </c>
      <c r="D135" s="739" t="e">
        <f ca="1">gr(données_step[[#This Row],[Temp_eaux]])</f>
        <v>#NAME?</v>
      </c>
      <c r="E135" s="739" t="e">
        <f ca="1">gr(analyses!AC135)</f>
        <v>#NAME?</v>
      </c>
    </row>
    <row r="136" spans="1:5" x14ac:dyDescent="0.2">
      <c r="A136" s="222">
        <f>calculs!A136</f>
        <v>44687</v>
      </c>
      <c r="B136" s="522" t="e">
        <f ca="1">gr(calculs!BD136)</f>
        <v>#NAME?</v>
      </c>
      <c r="C136" s="523" t="e">
        <f ca="1">gr(calculs!BE136)</f>
        <v>#NAME?</v>
      </c>
      <c r="D136" s="739" t="e">
        <f ca="1">gr(données_step[[#This Row],[Temp_eaux]])</f>
        <v>#NAME?</v>
      </c>
      <c r="E136" s="739" t="e">
        <f ca="1">gr(analyses!AC136)</f>
        <v>#NAME?</v>
      </c>
    </row>
    <row r="137" spans="1:5" x14ac:dyDescent="0.2">
      <c r="A137" s="222">
        <f>calculs!A137</f>
        <v>44688</v>
      </c>
      <c r="B137" s="522" t="e">
        <f ca="1">gr(calculs!BD137)</f>
        <v>#NAME?</v>
      </c>
      <c r="C137" s="523" t="e">
        <f ca="1">gr(calculs!BE137)</f>
        <v>#NAME?</v>
      </c>
      <c r="D137" s="739" t="e">
        <f ca="1">gr(données_step[[#This Row],[Temp_eaux]])</f>
        <v>#NAME?</v>
      </c>
      <c r="E137" s="739" t="e">
        <f ca="1">gr(analyses!AC137)</f>
        <v>#NAME?</v>
      </c>
    </row>
    <row r="138" spans="1:5" x14ac:dyDescent="0.2">
      <c r="A138" s="222">
        <f>calculs!A138</f>
        <v>44689</v>
      </c>
      <c r="B138" s="522" t="e">
        <f ca="1">gr(calculs!BD138)</f>
        <v>#NAME?</v>
      </c>
      <c r="C138" s="523" t="e">
        <f ca="1">gr(calculs!BE138)</f>
        <v>#NAME?</v>
      </c>
      <c r="D138" s="739" t="e">
        <f ca="1">gr(données_step[[#This Row],[Temp_eaux]])</f>
        <v>#NAME?</v>
      </c>
      <c r="E138" s="739" t="e">
        <f ca="1">gr(analyses!AC138)</f>
        <v>#NAME?</v>
      </c>
    </row>
    <row r="139" spans="1:5" x14ac:dyDescent="0.2">
      <c r="A139" s="222">
        <f>calculs!A139</f>
        <v>44690</v>
      </c>
      <c r="B139" s="522" t="e">
        <f ca="1">gr(calculs!BD139)</f>
        <v>#NAME?</v>
      </c>
      <c r="C139" s="523" t="e">
        <f ca="1">gr(calculs!BE139)</f>
        <v>#NAME?</v>
      </c>
      <c r="D139" s="739" t="e">
        <f ca="1">gr(données_step[[#This Row],[Temp_eaux]])</f>
        <v>#NAME?</v>
      </c>
      <c r="E139" s="739" t="e">
        <f ca="1">gr(analyses!AC139)</f>
        <v>#NAME?</v>
      </c>
    </row>
    <row r="140" spans="1:5" x14ac:dyDescent="0.2">
      <c r="A140" s="222">
        <f>calculs!A140</f>
        <v>44691</v>
      </c>
      <c r="B140" s="522" t="e">
        <f ca="1">gr(calculs!BD140)</f>
        <v>#NAME?</v>
      </c>
      <c r="C140" s="523" t="e">
        <f ca="1">gr(calculs!BE140)</f>
        <v>#NAME?</v>
      </c>
      <c r="D140" s="739" t="e">
        <f ca="1">gr(données_step[[#This Row],[Temp_eaux]])</f>
        <v>#NAME?</v>
      </c>
      <c r="E140" s="739" t="e">
        <f ca="1">gr(analyses!AC140)</f>
        <v>#NAME?</v>
      </c>
    </row>
    <row r="141" spans="1:5" x14ac:dyDescent="0.2">
      <c r="A141" s="222">
        <f>calculs!A141</f>
        <v>44692</v>
      </c>
      <c r="B141" s="522" t="e">
        <f ca="1">gr(calculs!BD141)</f>
        <v>#NAME?</v>
      </c>
      <c r="C141" s="523" t="e">
        <f ca="1">gr(calculs!BE141)</f>
        <v>#NAME?</v>
      </c>
      <c r="D141" s="739" t="e">
        <f ca="1">gr(données_step[[#This Row],[Temp_eaux]])</f>
        <v>#NAME?</v>
      </c>
      <c r="E141" s="739" t="e">
        <f ca="1">gr(analyses!AC141)</f>
        <v>#NAME?</v>
      </c>
    </row>
    <row r="142" spans="1:5" x14ac:dyDescent="0.2">
      <c r="A142" s="222">
        <f>calculs!A142</f>
        <v>44693</v>
      </c>
      <c r="B142" s="522" t="e">
        <f ca="1">gr(calculs!BD142)</f>
        <v>#NAME?</v>
      </c>
      <c r="C142" s="523" t="e">
        <f ca="1">gr(calculs!BE142)</f>
        <v>#NAME?</v>
      </c>
      <c r="D142" s="739" t="e">
        <f ca="1">gr(données_step[[#This Row],[Temp_eaux]])</f>
        <v>#NAME?</v>
      </c>
      <c r="E142" s="739" t="e">
        <f ca="1">gr(analyses!AC142)</f>
        <v>#NAME?</v>
      </c>
    </row>
    <row r="143" spans="1:5" x14ac:dyDescent="0.2">
      <c r="A143" s="222">
        <f>calculs!A143</f>
        <v>44694</v>
      </c>
      <c r="B143" s="522" t="e">
        <f ca="1">gr(calculs!BD143)</f>
        <v>#NAME?</v>
      </c>
      <c r="C143" s="523" t="e">
        <f ca="1">gr(calculs!BE143)</f>
        <v>#NAME?</v>
      </c>
      <c r="D143" s="739" t="e">
        <f ca="1">gr(données_step[[#This Row],[Temp_eaux]])</f>
        <v>#NAME?</v>
      </c>
      <c r="E143" s="739" t="e">
        <f ca="1">gr(analyses!AC143)</f>
        <v>#NAME?</v>
      </c>
    </row>
    <row r="144" spans="1:5" x14ac:dyDescent="0.2">
      <c r="A144" s="222">
        <f>calculs!A144</f>
        <v>44695</v>
      </c>
      <c r="B144" s="522" t="e">
        <f ca="1">gr(calculs!BD144)</f>
        <v>#NAME?</v>
      </c>
      <c r="C144" s="523" t="e">
        <f ca="1">gr(calculs!BE144)</f>
        <v>#NAME?</v>
      </c>
      <c r="D144" s="739" t="e">
        <f ca="1">gr(données_step[[#This Row],[Temp_eaux]])</f>
        <v>#NAME?</v>
      </c>
      <c r="E144" s="739" t="e">
        <f ca="1">gr(analyses!AC144)</f>
        <v>#NAME?</v>
      </c>
    </row>
    <row r="145" spans="1:5" x14ac:dyDescent="0.2">
      <c r="A145" s="222">
        <f>calculs!A145</f>
        <v>44696</v>
      </c>
      <c r="B145" s="522" t="e">
        <f ca="1">gr(calculs!BD145)</f>
        <v>#NAME?</v>
      </c>
      <c r="C145" s="523" t="e">
        <f ca="1">gr(calculs!BE145)</f>
        <v>#NAME?</v>
      </c>
      <c r="D145" s="739" t="e">
        <f ca="1">gr(données_step[[#This Row],[Temp_eaux]])</f>
        <v>#NAME?</v>
      </c>
      <c r="E145" s="739" t="e">
        <f ca="1">gr(analyses!AC145)</f>
        <v>#NAME?</v>
      </c>
    </row>
    <row r="146" spans="1:5" x14ac:dyDescent="0.2">
      <c r="A146" s="222">
        <f>calculs!A146</f>
        <v>44697</v>
      </c>
      <c r="B146" s="522" t="e">
        <f ca="1">gr(calculs!BD146)</f>
        <v>#NAME?</v>
      </c>
      <c r="C146" s="523" t="e">
        <f ca="1">gr(calculs!BE146)</f>
        <v>#NAME?</v>
      </c>
      <c r="D146" s="739" t="e">
        <f ca="1">gr(données_step[[#This Row],[Temp_eaux]])</f>
        <v>#NAME?</v>
      </c>
      <c r="E146" s="739" t="e">
        <f ca="1">gr(analyses!AC146)</f>
        <v>#NAME?</v>
      </c>
    </row>
    <row r="147" spans="1:5" x14ac:dyDescent="0.2">
      <c r="A147" s="222">
        <f>calculs!A147</f>
        <v>44698</v>
      </c>
      <c r="B147" s="522" t="e">
        <f ca="1">gr(calculs!BD147)</f>
        <v>#NAME?</v>
      </c>
      <c r="C147" s="523" t="e">
        <f ca="1">gr(calculs!BE147)</f>
        <v>#NAME?</v>
      </c>
      <c r="D147" s="739" t="e">
        <f ca="1">gr(données_step[[#This Row],[Temp_eaux]])</f>
        <v>#NAME?</v>
      </c>
      <c r="E147" s="739" t="e">
        <f ca="1">gr(analyses!AC147)</f>
        <v>#NAME?</v>
      </c>
    </row>
    <row r="148" spans="1:5" x14ac:dyDescent="0.2">
      <c r="A148" s="222">
        <f>calculs!A148</f>
        <v>44699</v>
      </c>
      <c r="B148" s="522" t="e">
        <f ca="1">gr(calculs!BD148)</f>
        <v>#NAME?</v>
      </c>
      <c r="C148" s="523" t="e">
        <f ca="1">gr(calculs!BE148)</f>
        <v>#NAME?</v>
      </c>
      <c r="D148" s="739" t="e">
        <f ca="1">gr(données_step[[#This Row],[Temp_eaux]])</f>
        <v>#NAME?</v>
      </c>
      <c r="E148" s="739" t="e">
        <f ca="1">gr(analyses!AC148)</f>
        <v>#NAME?</v>
      </c>
    </row>
    <row r="149" spans="1:5" x14ac:dyDescent="0.2">
      <c r="A149" s="222">
        <f>calculs!A149</f>
        <v>44700</v>
      </c>
      <c r="B149" s="522" t="e">
        <f ca="1">gr(calculs!BD149)</f>
        <v>#NAME?</v>
      </c>
      <c r="C149" s="523" t="e">
        <f ca="1">gr(calculs!BE149)</f>
        <v>#NAME?</v>
      </c>
      <c r="D149" s="739" t="e">
        <f ca="1">gr(données_step[[#This Row],[Temp_eaux]])</f>
        <v>#NAME?</v>
      </c>
      <c r="E149" s="739" t="e">
        <f ca="1">gr(analyses!AC149)</f>
        <v>#NAME?</v>
      </c>
    </row>
    <row r="150" spans="1:5" x14ac:dyDescent="0.2">
      <c r="A150" s="222">
        <f>calculs!A150</f>
        <v>44701</v>
      </c>
      <c r="B150" s="522" t="e">
        <f ca="1">gr(calculs!BD150)</f>
        <v>#NAME?</v>
      </c>
      <c r="C150" s="523" t="e">
        <f ca="1">gr(calculs!BE150)</f>
        <v>#NAME?</v>
      </c>
      <c r="D150" s="739" t="e">
        <f ca="1">gr(données_step[[#This Row],[Temp_eaux]])</f>
        <v>#NAME?</v>
      </c>
      <c r="E150" s="739" t="e">
        <f ca="1">gr(analyses!AC150)</f>
        <v>#NAME?</v>
      </c>
    </row>
    <row r="151" spans="1:5" x14ac:dyDescent="0.2">
      <c r="A151" s="222">
        <f>calculs!A151</f>
        <v>44702</v>
      </c>
      <c r="B151" s="522" t="e">
        <f ca="1">gr(calculs!BD151)</f>
        <v>#NAME?</v>
      </c>
      <c r="C151" s="523" t="e">
        <f ca="1">gr(calculs!BE151)</f>
        <v>#NAME?</v>
      </c>
      <c r="D151" s="739" t="e">
        <f ca="1">gr(données_step[[#This Row],[Temp_eaux]])</f>
        <v>#NAME?</v>
      </c>
      <c r="E151" s="739" t="e">
        <f ca="1">gr(analyses!AC151)</f>
        <v>#NAME?</v>
      </c>
    </row>
    <row r="152" spans="1:5" x14ac:dyDescent="0.2">
      <c r="A152" s="222">
        <f>calculs!A152</f>
        <v>44703</v>
      </c>
      <c r="B152" s="522" t="e">
        <f ca="1">gr(calculs!BD152)</f>
        <v>#NAME?</v>
      </c>
      <c r="C152" s="523" t="e">
        <f ca="1">gr(calculs!BE152)</f>
        <v>#NAME?</v>
      </c>
      <c r="D152" s="739" t="e">
        <f ca="1">gr(données_step[[#This Row],[Temp_eaux]])</f>
        <v>#NAME?</v>
      </c>
      <c r="E152" s="739" t="e">
        <f ca="1">gr(analyses!AC152)</f>
        <v>#NAME?</v>
      </c>
    </row>
    <row r="153" spans="1:5" x14ac:dyDescent="0.2">
      <c r="A153" s="222">
        <f>calculs!A153</f>
        <v>44704</v>
      </c>
      <c r="B153" s="522" t="e">
        <f ca="1">gr(calculs!BD153)</f>
        <v>#NAME?</v>
      </c>
      <c r="C153" s="523" t="e">
        <f ca="1">gr(calculs!BE153)</f>
        <v>#NAME?</v>
      </c>
      <c r="D153" s="739" t="e">
        <f ca="1">gr(données_step[[#This Row],[Temp_eaux]])</f>
        <v>#NAME?</v>
      </c>
      <c r="E153" s="739" t="e">
        <f ca="1">gr(analyses!AC153)</f>
        <v>#NAME?</v>
      </c>
    </row>
    <row r="154" spans="1:5" x14ac:dyDescent="0.2">
      <c r="A154" s="222">
        <f>calculs!A154</f>
        <v>44705</v>
      </c>
      <c r="B154" s="522" t="e">
        <f ca="1">gr(calculs!BD154)</f>
        <v>#NAME?</v>
      </c>
      <c r="C154" s="523" t="e">
        <f ca="1">gr(calculs!BE154)</f>
        <v>#NAME?</v>
      </c>
      <c r="D154" s="739" t="e">
        <f ca="1">gr(données_step[[#This Row],[Temp_eaux]])</f>
        <v>#NAME?</v>
      </c>
      <c r="E154" s="739" t="e">
        <f ca="1">gr(analyses!AC154)</f>
        <v>#NAME?</v>
      </c>
    </row>
    <row r="155" spans="1:5" x14ac:dyDescent="0.2">
      <c r="A155" s="222">
        <f>calculs!A155</f>
        <v>44706</v>
      </c>
      <c r="B155" s="522" t="e">
        <f ca="1">gr(calculs!BD155)</f>
        <v>#NAME?</v>
      </c>
      <c r="C155" s="523" t="e">
        <f ca="1">gr(calculs!BE155)</f>
        <v>#NAME?</v>
      </c>
      <c r="D155" s="739" t="e">
        <f ca="1">gr(données_step[[#This Row],[Temp_eaux]])</f>
        <v>#NAME?</v>
      </c>
      <c r="E155" s="739" t="e">
        <f ca="1">gr(analyses!AC155)</f>
        <v>#NAME?</v>
      </c>
    </row>
    <row r="156" spans="1:5" x14ac:dyDescent="0.2">
      <c r="A156" s="222">
        <f>calculs!A156</f>
        <v>44707</v>
      </c>
      <c r="B156" s="522" t="e">
        <f ca="1">gr(calculs!BD156)</f>
        <v>#NAME?</v>
      </c>
      <c r="C156" s="523" t="e">
        <f ca="1">gr(calculs!BE156)</f>
        <v>#NAME?</v>
      </c>
      <c r="D156" s="739" t="e">
        <f ca="1">gr(données_step[[#This Row],[Temp_eaux]])</f>
        <v>#NAME?</v>
      </c>
      <c r="E156" s="739" t="e">
        <f ca="1">gr(analyses!AC156)</f>
        <v>#NAME?</v>
      </c>
    </row>
    <row r="157" spans="1:5" x14ac:dyDescent="0.2">
      <c r="A157" s="222">
        <f>calculs!A157</f>
        <v>44708</v>
      </c>
      <c r="B157" s="522" t="e">
        <f ca="1">gr(calculs!BD157)</f>
        <v>#NAME?</v>
      </c>
      <c r="C157" s="523" t="e">
        <f ca="1">gr(calculs!BE157)</f>
        <v>#NAME?</v>
      </c>
      <c r="D157" s="739" t="e">
        <f ca="1">gr(données_step[[#This Row],[Temp_eaux]])</f>
        <v>#NAME?</v>
      </c>
      <c r="E157" s="739" t="e">
        <f ca="1">gr(analyses!AC157)</f>
        <v>#NAME?</v>
      </c>
    </row>
    <row r="158" spans="1:5" x14ac:dyDescent="0.2">
      <c r="A158" s="222">
        <f>calculs!A158</f>
        <v>44709</v>
      </c>
      <c r="B158" s="522" t="e">
        <f ca="1">gr(calculs!BD158)</f>
        <v>#NAME?</v>
      </c>
      <c r="C158" s="523" t="e">
        <f ca="1">gr(calculs!BE158)</f>
        <v>#NAME?</v>
      </c>
      <c r="D158" s="739" t="e">
        <f ca="1">gr(données_step[[#This Row],[Temp_eaux]])</f>
        <v>#NAME?</v>
      </c>
      <c r="E158" s="739" t="e">
        <f ca="1">gr(analyses!AC158)</f>
        <v>#NAME?</v>
      </c>
    </row>
    <row r="159" spans="1:5" x14ac:dyDescent="0.2">
      <c r="A159" s="222">
        <f>calculs!A159</f>
        <v>44710</v>
      </c>
      <c r="B159" s="522" t="e">
        <f ca="1">gr(calculs!BD159)</f>
        <v>#NAME?</v>
      </c>
      <c r="C159" s="523" t="e">
        <f ca="1">gr(calculs!BE159)</f>
        <v>#NAME?</v>
      </c>
      <c r="D159" s="739" t="e">
        <f ca="1">gr(données_step[[#This Row],[Temp_eaux]])</f>
        <v>#NAME?</v>
      </c>
      <c r="E159" s="739" t="e">
        <f ca="1">gr(analyses!AC159)</f>
        <v>#NAME?</v>
      </c>
    </row>
    <row r="160" spans="1:5" x14ac:dyDescent="0.2">
      <c r="A160" s="222">
        <f>calculs!A160</f>
        <v>44711</v>
      </c>
      <c r="B160" s="522" t="e">
        <f ca="1">gr(calculs!BD160)</f>
        <v>#NAME?</v>
      </c>
      <c r="C160" s="523" t="e">
        <f ca="1">gr(calculs!BE160)</f>
        <v>#NAME?</v>
      </c>
      <c r="D160" s="739" t="e">
        <f ca="1">gr(données_step[[#This Row],[Temp_eaux]])</f>
        <v>#NAME?</v>
      </c>
      <c r="E160" s="739" t="e">
        <f ca="1">gr(analyses!AC160)</f>
        <v>#NAME?</v>
      </c>
    </row>
    <row r="161" spans="1:5" x14ac:dyDescent="0.2">
      <c r="A161" s="222">
        <f>calculs!A161</f>
        <v>44712</v>
      </c>
      <c r="B161" s="522" t="e">
        <f ca="1">gr(calculs!BD161)</f>
        <v>#NAME?</v>
      </c>
      <c r="C161" s="523" t="e">
        <f ca="1">gr(calculs!BE161)</f>
        <v>#NAME?</v>
      </c>
      <c r="D161" s="739" t="e">
        <f ca="1">gr(données_step[[#This Row],[Temp_eaux]])</f>
        <v>#NAME?</v>
      </c>
      <c r="E161" s="739" t="e">
        <f ca="1">gr(analyses!AC161)</f>
        <v>#NAME?</v>
      </c>
    </row>
    <row r="162" spans="1:5" x14ac:dyDescent="0.2">
      <c r="A162" s="222">
        <f>calculs!A162</f>
        <v>44713</v>
      </c>
      <c r="B162" s="522" t="e">
        <f ca="1">gr(calculs!BD162)</f>
        <v>#NAME?</v>
      </c>
      <c r="C162" s="523" t="e">
        <f ca="1">gr(calculs!BE162)</f>
        <v>#NAME?</v>
      </c>
      <c r="D162" s="739" t="e">
        <f ca="1">gr(données_step[[#This Row],[Temp_eaux]])</f>
        <v>#NAME?</v>
      </c>
      <c r="E162" s="739" t="e">
        <f ca="1">gr(analyses!AC162)</f>
        <v>#NAME?</v>
      </c>
    </row>
    <row r="163" spans="1:5" x14ac:dyDescent="0.2">
      <c r="A163" s="222">
        <f>calculs!A163</f>
        <v>44714</v>
      </c>
      <c r="B163" s="522" t="e">
        <f ca="1">gr(calculs!BD163)</f>
        <v>#NAME?</v>
      </c>
      <c r="C163" s="523" t="e">
        <f ca="1">gr(calculs!BE163)</f>
        <v>#NAME?</v>
      </c>
      <c r="D163" s="739" t="e">
        <f ca="1">gr(données_step[[#This Row],[Temp_eaux]])</f>
        <v>#NAME?</v>
      </c>
      <c r="E163" s="739" t="e">
        <f ca="1">gr(analyses!AC163)</f>
        <v>#NAME?</v>
      </c>
    </row>
    <row r="164" spans="1:5" x14ac:dyDescent="0.2">
      <c r="A164" s="222">
        <f>calculs!A164</f>
        <v>44715</v>
      </c>
      <c r="B164" s="522" t="e">
        <f ca="1">gr(calculs!BD164)</f>
        <v>#NAME?</v>
      </c>
      <c r="C164" s="523" t="e">
        <f ca="1">gr(calculs!BE164)</f>
        <v>#NAME?</v>
      </c>
      <c r="D164" s="739" t="e">
        <f ca="1">gr(données_step[[#This Row],[Temp_eaux]])</f>
        <v>#NAME?</v>
      </c>
      <c r="E164" s="739" t="e">
        <f ca="1">gr(analyses!AC164)</f>
        <v>#NAME?</v>
      </c>
    </row>
    <row r="165" spans="1:5" x14ac:dyDescent="0.2">
      <c r="A165" s="222">
        <f>calculs!A165</f>
        <v>44716</v>
      </c>
      <c r="B165" s="522" t="e">
        <f ca="1">gr(calculs!BD165)</f>
        <v>#NAME?</v>
      </c>
      <c r="C165" s="523" t="e">
        <f ca="1">gr(calculs!BE165)</f>
        <v>#NAME?</v>
      </c>
      <c r="D165" s="739" t="e">
        <f ca="1">gr(données_step[[#This Row],[Temp_eaux]])</f>
        <v>#NAME?</v>
      </c>
      <c r="E165" s="739" t="e">
        <f ca="1">gr(analyses!AC165)</f>
        <v>#NAME?</v>
      </c>
    </row>
    <row r="166" spans="1:5" x14ac:dyDescent="0.2">
      <c r="A166" s="222">
        <f>calculs!A166</f>
        <v>44717</v>
      </c>
      <c r="B166" s="522" t="e">
        <f ca="1">gr(calculs!BD166)</f>
        <v>#NAME?</v>
      </c>
      <c r="C166" s="523" t="e">
        <f ca="1">gr(calculs!BE166)</f>
        <v>#NAME?</v>
      </c>
      <c r="D166" s="739" t="e">
        <f ca="1">gr(données_step[[#This Row],[Temp_eaux]])</f>
        <v>#NAME?</v>
      </c>
      <c r="E166" s="739" t="e">
        <f ca="1">gr(analyses!AC166)</f>
        <v>#NAME?</v>
      </c>
    </row>
    <row r="167" spans="1:5" x14ac:dyDescent="0.2">
      <c r="A167" s="222">
        <f>calculs!A167</f>
        <v>44718</v>
      </c>
      <c r="B167" s="522" t="e">
        <f ca="1">gr(calculs!BD167)</f>
        <v>#NAME?</v>
      </c>
      <c r="C167" s="523" t="e">
        <f ca="1">gr(calculs!BE167)</f>
        <v>#NAME?</v>
      </c>
      <c r="D167" s="739" t="e">
        <f ca="1">gr(données_step[[#This Row],[Temp_eaux]])</f>
        <v>#NAME?</v>
      </c>
      <c r="E167" s="739" t="e">
        <f ca="1">gr(analyses!AC167)</f>
        <v>#NAME?</v>
      </c>
    </row>
    <row r="168" spans="1:5" x14ac:dyDescent="0.2">
      <c r="A168" s="222">
        <f>calculs!A168</f>
        <v>44719</v>
      </c>
      <c r="B168" s="522" t="e">
        <f ca="1">gr(calculs!BD168)</f>
        <v>#NAME?</v>
      </c>
      <c r="C168" s="523" t="e">
        <f ca="1">gr(calculs!BE168)</f>
        <v>#NAME?</v>
      </c>
      <c r="D168" s="739" t="e">
        <f ca="1">gr(données_step[[#This Row],[Temp_eaux]])</f>
        <v>#NAME?</v>
      </c>
      <c r="E168" s="739" t="e">
        <f ca="1">gr(analyses!AC168)</f>
        <v>#NAME?</v>
      </c>
    </row>
    <row r="169" spans="1:5" x14ac:dyDescent="0.2">
      <c r="A169" s="222">
        <f>calculs!A169</f>
        <v>44720</v>
      </c>
      <c r="B169" s="522" t="e">
        <f ca="1">gr(calculs!BD169)</f>
        <v>#NAME?</v>
      </c>
      <c r="C169" s="523" t="e">
        <f ca="1">gr(calculs!BE169)</f>
        <v>#NAME?</v>
      </c>
      <c r="D169" s="739" t="e">
        <f ca="1">gr(données_step[[#This Row],[Temp_eaux]])</f>
        <v>#NAME?</v>
      </c>
      <c r="E169" s="739" t="e">
        <f ca="1">gr(analyses!AC169)</f>
        <v>#NAME?</v>
      </c>
    </row>
    <row r="170" spans="1:5" x14ac:dyDescent="0.2">
      <c r="A170" s="222">
        <f>calculs!A170</f>
        <v>44721</v>
      </c>
      <c r="B170" s="522" t="e">
        <f ca="1">gr(calculs!BD170)</f>
        <v>#NAME?</v>
      </c>
      <c r="C170" s="523" t="e">
        <f ca="1">gr(calculs!BE170)</f>
        <v>#NAME?</v>
      </c>
      <c r="D170" s="739" t="e">
        <f ca="1">gr(données_step[[#This Row],[Temp_eaux]])</f>
        <v>#NAME?</v>
      </c>
      <c r="E170" s="739" t="e">
        <f ca="1">gr(analyses!AC170)</f>
        <v>#NAME?</v>
      </c>
    </row>
    <row r="171" spans="1:5" x14ac:dyDescent="0.2">
      <c r="A171" s="222">
        <f>calculs!A171</f>
        <v>44722</v>
      </c>
      <c r="B171" s="522" t="e">
        <f ca="1">gr(calculs!BD171)</f>
        <v>#NAME?</v>
      </c>
      <c r="C171" s="523" t="e">
        <f ca="1">gr(calculs!BE171)</f>
        <v>#NAME?</v>
      </c>
      <c r="D171" s="739" t="e">
        <f ca="1">gr(données_step[[#This Row],[Temp_eaux]])</f>
        <v>#NAME?</v>
      </c>
      <c r="E171" s="739" t="e">
        <f ca="1">gr(analyses!AC171)</f>
        <v>#NAME?</v>
      </c>
    </row>
    <row r="172" spans="1:5" x14ac:dyDescent="0.2">
      <c r="A172" s="222">
        <f>calculs!A172</f>
        <v>44723</v>
      </c>
      <c r="B172" s="522" t="e">
        <f ca="1">gr(calculs!BD172)</f>
        <v>#NAME?</v>
      </c>
      <c r="C172" s="523" t="e">
        <f ca="1">gr(calculs!BE172)</f>
        <v>#NAME?</v>
      </c>
      <c r="D172" s="739" t="e">
        <f ca="1">gr(données_step[[#This Row],[Temp_eaux]])</f>
        <v>#NAME?</v>
      </c>
      <c r="E172" s="739" t="e">
        <f ca="1">gr(analyses!AC172)</f>
        <v>#NAME?</v>
      </c>
    </row>
    <row r="173" spans="1:5" x14ac:dyDescent="0.2">
      <c r="A173" s="222">
        <f>calculs!A173</f>
        <v>44724</v>
      </c>
      <c r="B173" s="522" t="e">
        <f ca="1">gr(calculs!BD173)</f>
        <v>#NAME?</v>
      </c>
      <c r="C173" s="523" t="e">
        <f ca="1">gr(calculs!BE173)</f>
        <v>#NAME?</v>
      </c>
      <c r="D173" s="739" t="e">
        <f ca="1">gr(données_step[[#This Row],[Temp_eaux]])</f>
        <v>#NAME?</v>
      </c>
      <c r="E173" s="739" t="e">
        <f ca="1">gr(analyses!AC173)</f>
        <v>#NAME?</v>
      </c>
    </row>
    <row r="174" spans="1:5" x14ac:dyDescent="0.2">
      <c r="A174" s="222">
        <f>calculs!A174</f>
        <v>44725</v>
      </c>
      <c r="B174" s="522" t="e">
        <f ca="1">gr(calculs!BD174)</f>
        <v>#NAME?</v>
      </c>
      <c r="C174" s="523" t="e">
        <f ca="1">gr(calculs!BE174)</f>
        <v>#NAME?</v>
      </c>
      <c r="D174" s="739" t="e">
        <f ca="1">gr(données_step[[#This Row],[Temp_eaux]])</f>
        <v>#NAME?</v>
      </c>
      <c r="E174" s="739" t="e">
        <f ca="1">gr(analyses!AC174)</f>
        <v>#NAME?</v>
      </c>
    </row>
    <row r="175" spans="1:5" x14ac:dyDescent="0.2">
      <c r="A175" s="222">
        <f>calculs!A175</f>
        <v>44726</v>
      </c>
      <c r="B175" s="522" t="e">
        <f ca="1">gr(calculs!BD175)</f>
        <v>#NAME?</v>
      </c>
      <c r="C175" s="523" t="e">
        <f ca="1">gr(calculs!BE175)</f>
        <v>#NAME?</v>
      </c>
      <c r="D175" s="739" t="e">
        <f ca="1">gr(données_step[[#This Row],[Temp_eaux]])</f>
        <v>#NAME?</v>
      </c>
      <c r="E175" s="739" t="e">
        <f ca="1">gr(analyses!AC175)</f>
        <v>#NAME?</v>
      </c>
    </row>
    <row r="176" spans="1:5" x14ac:dyDescent="0.2">
      <c r="A176" s="222">
        <f>calculs!A176</f>
        <v>44727</v>
      </c>
      <c r="B176" s="522" t="e">
        <f ca="1">gr(calculs!BD176)</f>
        <v>#NAME?</v>
      </c>
      <c r="C176" s="523" t="e">
        <f ca="1">gr(calculs!BE176)</f>
        <v>#NAME?</v>
      </c>
      <c r="D176" s="739" t="e">
        <f ca="1">gr(données_step[[#This Row],[Temp_eaux]])</f>
        <v>#NAME?</v>
      </c>
      <c r="E176" s="739" t="e">
        <f ca="1">gr(analyses!AC176)</f>
        <v>#NAME?</v>
      </c>
    </row>
    <row r="177" spans="1:5" x14ac:dyDescent="0.2">
      <c r="A177" s="222">
        <f>calculs!A177</f>
        <v>44728</v>
      </c>
      <c r="B177" s="522" t="e">
        <f ca="1">gr(calculs!BD177)</f>
        <v>#NAME?</v>
      </c>
      <c r="C177" s="523" t="e">
        <f ca="1">gr(calculs!BE177)</f>
        <v>#NAME?</v>
      </c>
      <c r="D177" s="739" t="e">
        <f ca="1">gr(données_step[[#This Row],[Temp_eaux]])</f>
        <v>#NAME?</v>
      </c>
      <c r="E177" s="739" t="e">
        <f ca="1">gr(analyses!AC177)</f>
        <v>#NAME?</v>
      </c>
    </row>
    <row r="178" spans="1:5" x14ac:dyDescent="0.2">
      <c r="A178" s="222">
        <f>calculs!A178</f>
        <v>44729</v>
      </c>
      <c r="B178" s="522" t="e">
        <f ca="1">gr(calculs!BD178)</f>
        <v>#NAME?</v>
      </c>
      <c r="C178" s="523" t="e">
        <f ca="1">gr(calculs!BE178)</f>
        <v>#NAME?</v>
      </c>
      <c r="D178" s="739" t="e">
        <f ca="1">gr(données_step[[#This Row],[Temp_eaux]])</f>
        <v>#NAME?</v>
      </c>
      <c r="E178" s="739" t="e">
        <f ca="1">gr(analyses!AC178)</f>
        <v>#NAME?</v>
      </c>
    </row>
    <row r="179" spans="1:5" x14ac:dyDescent="0.2">
      <c r="A179" s="222">
        <f>calculs!A179</f>
        <v>44730</v>
      </c>
      <c r="B179" s="522" t="e">
        <f ca="1">gr(calculs!BD179)</f>
        <v>#NAME?</v>
      </c>
      <c r="C179" s="523" t="e">
        <f ca="1">gr(calculs!BE179)</f>
        <v>#NAME?</v>
      </c>
      <c r="D179" s="739" t="e">
        <f ca="1">gr(données_step[[#This Row],[Temp_eaux]])</f>
        <v>#NAME?</v>
      </c>
      <c r="E179" s="739" t="e">
        <f ca="1">gr(analyses!AC179)</f>
        <v>#NAME?</v>
      </c>
    </row>
    <row r="180" spans="1:5" x14ac:dyDescent="0.2">
      <c r="A180" s="222">
        <f>calculs!A180</f>
        <v>44731</v>
      </c>
      <c r="B180" s="522" t="e">
        <f ca="1">gr(calculs!BD180)</f>
        <v>#NAME?</v>
      </c>
      <c r="C180" s="523" t="e">
        <f ca="1">gr(calculs!BE180)</f>
        <v>#NAME?</v>
      </c>
      <c r="D180" s="739" t="e">
        <f ca="1">gr(données_step[[#This Row],[Temp_eaux]])</f>
        <v>#NAME?</v>
      </c>
      <c r="E180" s="739" t="e">
        <f ca="1">gr(analyses!AC180)</f>
        <v>#NAME?</v>
      </c>
    </row>
    <row r="181" spans="1:5" x14ac:dyDescent="0.2">
      <c r="A181" s="222">
        <f>calculs!A181</f>
        <v>44732</v>
      </c>
      <c r="B181" s="522" t="e">
        <f ca="1">gr(calculs!BD181)</f>
        <v>#NAME?</v>
      </c>
      <c r="C181" s="523" t="e">
        <f ca="1">gr(calculs!BE181)</f>
        <v>#NAME?</v>
      </c>
      <c r="D181" s="739" t="e">
        <f ca="1">gr(données_step[[#This Row],[Temp_eaux]])</f>
        <v>#NAME?</v>
      </c>
      <c r="E181" s="739" t="e">
        <f ca="1">gr(analyses!AC181)</f>
        <v>#NAME?</v>
      </c>
    </row>
    <row r="182" spans="1:5" x14ac:dyDescent="0.2">
      <c r="A182" s="222">
        <f>calculs!A182</f>
        <v>44733</v>
      </c>
      <c r="B182" s="522" t="e">
        <f ca="1">gr(calculs!BD182)</f>
        <v>#NAME?</v>
      </c>
      <c r="C182" s="523" t="e">
        <f ca="1">gr(calculs!BE182)</f>
        <v>#NAME?</v>
      </c>
      <c r="D182" s="739" t="e">
        <f ca="1">gr(données_step[[#This Row],[Temp_eaux]])</f>
        <v>#NAME?</v>
      </c>
      <c r="E182" s="739" t="e">
        <f ca="1">gr(analyses!AC182)</f>
        <v>#NAME?</v>
      </c>
    </row>
    <row r="183" spans="1:5" x14ac:dyDescent="0.2">
      <c r="A183" s="222">
        <f>calculs!A183</f>
        <v>44734</v>
      </c>
      <c r="B183" s="522" t="e">
        <f ca="1">gr(calculs!BD183)</f>
        <v>#NAME?</v>
      </c>
      <c r="C183" s="523" t="e">
        <f ca="1">gr(calculs!BE183)</f>
        <v>#NAME?</v>
      </c>
      <c r="D183" s="739" t="e">
        <f ca="1">gr(données_step[[#This Row],[Temp_eaux]])</f>
        <v>#NAME?</v>
      </c>
      <c r="E183" s="739" t="e">
        <f ca="1">gr(analyses!AC183)</f>
        <v>#NAME?</v>
      </c>
    </row>
    <row r="184" spans="1:5" x14ac:dyDescent="0.2">
      <c r="A184" s="222">
        <f>calculs!A184</f>
        <v>44735</v>
      </c>
      <c r="B184" s="522" t="e">
        <f ca="1">gr(calculs!BD184)</f>
        <v>#NAME?</v>
      </c>
      <c r="C184" s="523" t="e">
        <f ca="1">gr(calculs!BE184)</f>
        <v>#NAME?</v>
      </c>
      <c r="D184" s="739" t="e">
        <f ca="1">gr(données_step[[#This Row],[Temp_eaux]])</f>
        <v>#NAME?</v>
      </c>
      <c r="E184" s="739" t="e">
        <f ca="1">gr(analyses!AC184)</f>
        <v>#NAME?</v>
      </c>
    </row>
    <row r="185" spans="1:5" x14ac:dyDescent="0.2">
      <c r="A185" s="222">
        <f>calculs!A185</f>
        <v>44736</v>
      </c>
      <c r="B185" s="522" t="e">
        <f ca="1">gr(calculs!BD185)</f>
        <v>#NAME?</v>
      </c>
      <c r="C185" s="523" t="e">
        <f ca="1">gr(calculs!BE185)</f>
        <v>#NAME?</v>
      </c>
      <c r="D185" s="739" t="e">
        <f ca="1">gr(données_step[[#This Row],[Temp_eaux]])</f>
        <v>#NAME?</v>
      </c>
      <c r="E185" s="739" t="e">
        <f ca="1">gr(analyses!AC185)</f>
        <v>#NAME?</v>
      </c>
    </row>
    <row r="186" spans="1:5" x14ac:dyDescent="0.2">
      <c r="A186" s="222">
        <f>calculs!A186</f>
        <v>44737</v>
      </c>
      <c r="B186" s="522" t="e">
        <f ca="1">gr(calculs!BD186)</f>
        <v>#NAME?</v>
      </c>
      <c r="C186" s="523" t="e">
        <f ca="1">gr(calculs!BE186)</f>
        <v>#NAME?</v>
      </c>
      <c r="D186" s="739" t="e">
        <f ca="1">gr(données_step[[#This Row],[Temp_eaux]])</f>
        <v>#NAME?</v>
      </c>
      <c r="E186" s="739" t="e">
        <f ca="1">gr(analyses!AC186)</f>
        <v>#NAME?</v>
      </c>
    </row>
    <row r="187" spans="1:5" x14ac:dyDescent="0.2">
      <c r="A187" s="222">
        <f>calculs!A187</f>
        <v>44738</v>
      </c>
      <c r="B187" s="522" t="e">
        <f ca="1">gr(calculs!BD187)</f>
        <v>#NAME?</v>
      </c>
      <c r="C187" s="523" t="e">
        <f ca="1">gr(calculs!BE187)</f>
        <v>#NAME?</v>
      </c>
      <c r="D187" s="739" t="e">
        <f ca="1">gr(données_step[[#This Row],[Temp_eaux]])</f>
        <v>#NAME?</v>
      </c>
      <c r="E187" s="739" t="e">
        <f ca="1">gr(analyses!AC187)</f>
        <v>#NAME?</v>
      </c>
    </row>
    <row r="188" spans="1:5" x14ac:dyDescent="0.2">
      <c r="A188" s="222">
        <f>calculs!A188</f>
        <v>44739</v>
      </c>
      <c r="B188" s="522" t="e">
        <f ca="1">gr(calculs!BD188)</f>
        <v>#NAME?</v>
      </c>
      <c r="C188" s="523" t="e">
        <f ca="1">gr(calculs!BE188)</f>
        <v>#NAME?</v>
      </c>
      <c r="D188" s="739" t="e">
        <f ca="1">gr(données_step[[#This Row],[Temp_eaux]])</f>
        <v>#NAME?</v>
      </c>
      <c r="E188" s="739" t="e">
        <f ca="1">gr(analyses!AC188)</f>
        <v>#NAME?</v>
      </c>
    </row>
    <row r="189" spans="1:5" x14ac:dyDescent="0.2">
      <c r="A189" s="222">
        <f>calculs!A189</f>
        <v>44740</v>
      </c>
      <c r="B189" s="522" t="e">
        <f ca="1">gr(calculs!BD189)</f>
        <v>#NAME?</v>
      </c>
      <c r="C189" s="523" t="e">
        <f ca="1">gr(calculs!BE189)</f>
        <v>#NAME?</v>
      </c>
      <c r="D189" s="739" t="e">
        <f ca="1">gr(données_step[[#This Row],[Temp_eaux]])</f>
        <v>#NAME?</v>
      </c>
      <c r="E189" s="739" t="e">
        <f ca="1">gr(analyses!AC189)</f>
        <v>#NAME?</v>
      </c>
    </row>
    <row r="190" spans="1:5" x14ac:dyDescent="0.2">
      <c r="A190" s="222">
        <f>calculs!A190</f>
        <v>44741</v>
      </c>
      <c r="B190" s="522" t="e">
        <f ca="1">gr(calculs!BD190)</f>
        <v>#NAME?</v>
      </c>
      <c r="C190" s="523" t="e">
        <f ca="1">gr(calculs!BE190)</f>
        <v>#NAME?</v>
      </c>
      <c r="D190" s="739" t="e">
        <f ca="1">gr(données_step[[#This Row],[Temp_eaux]])</f>
        <v>#NAME?</v>
      </c>
      <c r="E190" s="739" t="e">
        <f ca="1">gr(analyses!AC190)</f>
        <v>#NAME?</v>
      </c>
    </row>
    <row r="191" spans="1:5" x14ac:dyDescent="0.2">
      <c r="A191" s="222">
        <f>calculs!A191</f>
        <v>44742</v>
      </c>
      <c r="B191" s="522" t="e">
        <f ca="1">gr(calculs!BD191)</f>
        <v>#NAME?</v>
      </c>
      <c r="C191" s="523" t="e">
        <f ca="1">gr(calculs!BE191)</f>
        <v>#NAME?</v>
      </c>
      <c r="D191" s="739" t="e">
        <f ca="1">gr(données_step[[#This Row],[Temp_eaux]])</f>
        <v>#NAME?</v>
      </c>
      <c r="E191" s="739" t="e">
        <f ca="1">gr(analyses!AC191)</f>
        <v>#NAME?</v>
      </c>
    </row>
    <row r="192" spans="1:5" x14ac:dyDescent="0.2">
      <c r="A192" s="222">
        <f>calculs!A192</f>
        <v>44743</v>
      </c>
      <c r="B192" s="522" t="e">
        <f ca="1">gr(calculs!BD192)</f>
        <v>#NAME?</v>
      </c>
      <c r="C192" s="523" t="e">
        <f ca="1">gr(calculs!BE192)</f>
        <v>#NAME?</v>
      </c>
      <c r="D192" s="739" t="e">
        <f ca="1">gr(données_step[[#This Row],[Temp_eaux]])</f>
        <v>#NAME?</v>
      </c>
      <c r="E192" s="739" t="e">
        <f ca="1">gr(analyses!AC192)</f>
        <v>#NAME?</v>
      </c>
    </row>
    <row r="193" spans="1:5" x14ac:dyDescent="0.2">
      <c r="A193" s="222">
        <f>calculs!A193</f>
        <v>44744</v>
      </c>
      <c r="B193" s="522" t="e">
        <f ca="1">gr(calculs!BD193)</f>
        <v>#NAME?</v>
      </c>
      <c r="C193" s="523" t="e">
        <f ca="1">gr(calculs!BE193)</f>
        <v>#NAME?</v>
      </c>
      <c r="D193" s="739" t="e">
        <f ca="1">gr(données_step[[#This Row],[Temp_eaux]])</f>
        <v>#NAME?</v>
      </c>
      <c r="E193" s="739" t="e">
        <f ca="1">gr(analyses!AC193)</f>
        <v>#NAME?</v>
      </c>
    </row>
    <row r="194" spans="1:5" x14ac:dyDescent="0.2">
      <c r="A194" s="222">
        <f>calculs!A194</f>
        <v>44745</v>
      </c>
      <c r="B194" s="522" t="e">
        <f ca="1">gr(calculs!BD194)</f>
        <v>#NAME?</v>
      </c>
      <c r="C194" s="523" t="e">
        <f ca="1">gr(calculs!BE194)</f>
        <v>#NAME?</v>
      </c>
      <c r="D194" s="739" t="e">
        <f ca="1">gr(données_step[[#This Row],[Temp_eaux]])</f>
        <v>#NAME?</v>
      </c>
      <c r="E194" s="739" t="e">
        <f ca="1">gr(analyses!AC194)</f>
        <v>#NAME?</v>
      </c>
    </row>
    <row r="195" spans="1:5" x14ac:dyDescent="0.2">
      <c r="A195" s="222">
        <f>calculs!A195</f>
        <v>44746</v>
      </c>
      <c r="B195" s="522" t="e">
        <f ca="1">gr(calculs!BD195)</f>
        <v>#NAME?</v>
      </c>
      <c r="C195" s="523" t="e">
        <f ca="1">gr(calculs!BE195)</f>
        <v>#NAME?</v>
      </c>
      <c r="D195" s="739" t="e">
        <f ca="1">gr(données_step[[#This Row],[Temp_eaux]])</f>
        <v>#NAME?</v>
      </c>
      <c r="E195" s="739" t="e">
        <f ca="1">gr(analyses!AC195)</f>
        <v>#NAME?</v>
      </c>
    </row>
    <row r="196" spans="1:5" x14ac:dyDescent="0.2">
      <c r="A196" s="222">
        <f>calculs!A196</f>
        <v>44747</v>
      </c>
      <c r="B196" s="522" t="e">
        <f ca="1">gr(calculs!BD196)</f>
        <v>#NAME?</v>
      </c>
      <c r="C196" s="523" t="e">
        <f ca="1">gr(calculs!BE196)</f>
        <v>#NAME?</v>
      </c>
      <c r="D196" s="739" t="e">
        <f ca="1">gr(données_step[[#This Row],[Temp_eaux]])</f>
        <v>#NAME?</v>
      </c>
      <c r="E196" s="739" t="e">
        <f ca="1">gr(analyses!AC196)</f>
        <v>#NAME?</v>
      </c>
    </row>
    <row r="197" spans="1:5" x14ac:dyDescent="0.2">
      <c r="A197" s="222">
        <f>calculs!A197</f>
        <v>44748</v>
      </c>
      <c r="B197" s="522" t="e">
        <f ca="1">gr(calculs!BD197)</f>
        <v>#NAME?</v>
      </c>
      <c r="C197" s="523" t="e">
        <f ca="1">gr(calculs!BE197)</f>
        <v>#NAME?</v>
      </c>
      <c r="D197" s="739" t="e">
        <f ca="1">gr(données_step[[#This Row],[Temp_eaux]])</f>
        <v>#NAME?</v>
      </c>
      <c r="E197" s="739" t="e">
        <f ca="1">gr(analyses!AC197)</f>
        <v>#NAME?</v>
      </c>
    </row>
    <row r="198" spans="1:5" x14ac:dyDescent="0.2">
      <c r="A198" s="222">
        <f>calculs!A198</f>
        <v>44749</v>
      </c>
      <c r="B198" s="522" t="e">
        <f ca="1">gr(calculs!BD198)</f>
        <v>#NAME?</v>
      </c>
      <c r="C198" s="523" t="e">
        <f ca="1">gr(calculs!BE198)</f>
        <v>#NAME?</v>
      </c>
      <c r="D198" s="739" t="e">
        <f ca="1">gr(données_step[[#This Row],[Temp_eaux]])</f>
        <v>#NAME?</v>
      </c>
      <c r="E198" s="739" t="e">
        <f ca="1">gr(analyses!AC198)</f>
        <v>#NAME?</v>
      </c>
    </row>
    <row r="199" spans="1:5" x14ac:dyDescent="0.2">
      <c r="A199" s="222">
        <f>calculs!A199</f>
        <v>44750</v>
      </c>
      <c r="B199" s="522" t="e">
        <f ca="1">gr(calculs!BD199)</f>
        <v>#NAME?</v>
      </c>
      <c r="C199" s="523" t="e">
        <f ca="1">gr(calculs!BE199)</f>
        <v>#NAME?</v>
      </c>
      <c r="D199" s="739" t="e">
        <f ca="1">gr(données_step[[#This Row],[Temp_eaux]])</f>
        <v>#NAME?</v>
      </c>
      <c r="E199" s="739" t="e">
        <f ca="1">gr(analyses!AC199)</f>
        <v>#NAME?</v>
      </c>
    </row>
    <row r="200" spans="1:5" x14ac:dyDescent="0.2">
      <c r="A200" s="222">
        <f>calculs!A200</f>
        <v>44751</v>
      </c>
      <c r="B200" s="522" t="e">
        <f ca="1">gr(calculs!BD200)</f>
        <v>#NAME?</v>
      </c>
      <c r="C200" s="523" t="e">
        <f ca="1">gr(calculs!BE200)</f>
        <v>#NAME?</v>
      </c>
      <c r="D200" s="739" t="e">
        <f ca="1">gr(données_step[[#This Row],[Temp_eaux]])</f>
        <v>#NAME?</v>
      </c>
      <c r="E200" s="739" t="e">
        <f ca="1">gr(analyses!AC200)</f>
        <v>#NAME?</v>
      </c>
    </row>
    <row r="201" spans="1:5" x14ac:dyDescent="0.2">
      <c r="A201" s="222">
        <f>calculs!A201</f>
        <v>44752</v>
      </c>
      <c r="B201" s="522" t="e">
        <f ca="1">gr(calculs!BD201)</f>
        <v>#NAME?</v>
      </c>
      <c r="C201" s="523" t="e">
        <f ca="1">gr(calculs!BE201)</f>
        <v>#NAME?</v>
      </c>
      <c r="D201" s="739" t="e">
        <f ca="1">gr(données_step[[#This Row],[Temp_eaux]])</f>
        <v>#NAME?</v>
      </c>
      <c r="E201" s="739" t="e">
        <f ca="1">gr(analyses!AC201)</f>
        <v>#NAME?</v>
      </c>
    </row>
    <row r="202" spans="1:5" x14ac:dyDescent="0.2">
      <c r="A202" s="222">
        <f>calculs!A202</f>
        <v>44753</v>
      </c>
      <c r="B202" s="522" t="e">
        <f ca="1">gr(calculs!BD202)</f>
        <v>#NAME?</v>
      </c>
      <c r="C202" s="523" t="e">
        <f ca="1">gr(calculs!BE202)</f>
        <v>#NAME?</v>
      </c>
      <c r="D202" s="739" t="e">
        <f ca="1">gr(données_step[[#This Row],[Temp_eaux]])</f>
        <v>#NAME?</v>
      </c>
      <c r="E202" s="739" t="e">
        <f ca="1">gr(analyses!AC202)</f>
        <v>#NAME?</v>
      </c>
    </row>
    <row r="203" spans="1:5" x14ac:dyDescent="0.2">
      <c r="A203" s="222">
        <f>calculs!A203</f>
        <v>44754</v>
      </c>
      <c r="B203" s="522" t="e">
        <f ca="1">gr(calculs!BD203)</f>
        <v>#NAME?</v>
      </c>
      <c r="C203" s="523" t="e">
        <f ca="1">gr(calculs!BE203)</f>
        <v>#NAME?</v>
      </c>
      <c r="D203" s="739" t="e">
        <f ca="1">gr(données_step[[#This Row],[Temp_eaux]])</f>
        <v>#NAME?</v>
      </c>
      <c r="E203" s="739" t="e">
        <f ca="1">gr(analyses!AC203)</f>
        <v>#NAME?</v>
      </c>
    </row>
    <row r="204" spans="1:5" x14ac:dyDescent="0.2">
      <c r="A204" s="222">
        <f>calculs!A204</f>
        <v>44755</v>
      </c>
      <c r="B204" s="522" t="e">
        <f ca="1">gr(calculs!BD204)</f>
        <v>#NAME?</v>
      </c>
      <c r="C204" s="523" t="e">
        <f ca="1">gr(calculs!BE204)</f>
        <v>#NAME?</v>
      </c>
      <c r="D204" s="739" t="e">
        <f ca="1">gr(données_step[[#This Row],[Temp_eaux]])</f>
        <v>#NAME?</v>
      </c>
      <c r="E204" s="739" t="e">
        <f ca="1">gr(analyses!AC204)</f>
        <v>#NAME?</v>
      </c>
    </row>
    <row r="205" spans="1:5" x14ac:dyDescent="0.2">
      <c r="A205" s="222">
        <f>calculs!A205</f>
        <v>44756</v>
      </c>
      <c r="B205" s="522" t="e">
        <f ca="1">gr(calculs!BD205)</f>
        <v>#NAME?</v>
      </c>
      <c r="C205" s="523" t="e">
        <f ca="1">gr(calculs!BE205)</f>
        <v>#NAME?</v>
      </c>
      <c r="D205" s="739" t="e">
        <f ca="1">gr(données_step[[#This Row],[Temp_eaux]])</f>
        <v>#NAME?</v>
      </c>
      <c r="E205" s="739" t="e">
        <f ca="1">gr(analyses!AC205)</f>
        <v>#NAME?</v>
      </c>
    </row>
    <row r="206" spans="1:5" x14ac:dyDescent="0.2">
      <c r="A206" s="222">
        <f>calculs!A206</f>
        <v>44757</v>
      </c>
      <c r="B206" s="522" t="e">
        <f ca="1">gr(calculs!BD206)</f>
        <v>#NAME?</v>
      </c>
      <c r="C206" s="523" t="e">
        <f ca="1">gr(calculs!BE206)</f>
        <v>#NAME?</v>
      </c>
      <c r="D206" s="739" t="e">
        <f ca="1">gr(données_step[[#This Row],[Temp_eaux]])</f>
        <v>#NAME?</v>
      </c>
      <c r="E206" s="739" t="e">
        <f ca="1">gr(analyses!AC206)</f>
        <v>#NAME?</v>
      </c>
    </row>
    <row r="207" spans="1:5" x14ac:dyDescent="0.2">
      <c r="A207" s="222">
        <f>calculs!A207</f>
        <v>44758</v>
      </c>
      <c r="B207" s="522" t="e">
        <f ca="1">gr(calculs!BD207)</f>
        <v>#NAME?</v>
      </c>
      <c r="C207" s="523" t="e">
        <f ca="1">gr(calculs!BE207)</f>
        <v>#NAME?</v>
      </c>
      <c r="D207" s="739" t="e">
        <f ca="1">gr(données_step[[#This Row],[Temp_eaux]])</f>
        <v>#NAME?</v>
      </c>
      <c r="E207" s="739" t="e">
        <f ca="1">gr(analyses!AC207)</f>
        <v>#NAME?</v>
      </c>
    </row>
    <row r="208" spans="1:5" x14ac:dyDescent="0.2">
      <c r="A208" s="222">
        <f>calculs!A208</f>
        <v>44759</v>
      </c>
      <c r="B208" s="522" t="e">
        <f ca="1">gr(calculs!BD208)</f>
        <v>#NAME?</v>
      </c>
      <c r="C208" s="523" t="e">
        <f ca="1">gr(calculs!BE208)</f>
        <v>#NAME?</v>
      </c>
      <c r="D208" s="739" t="e">
        <f ca="1">gr(données_step[[#This Row],[Temp_eaux]])</f>
        <v>#NAME?</v>
      </c>
      <c r="E208" s="739" t="e">
        <f ca="1">gr(analyses!AC208)</f>
        <v>#NAME?</v>
      </c>
    </row>
    <row r="209" spans="1:5" x14ac:dyDescent="0.2">
      <c r="A209" s="222">
        <f>calculs!A209</f>
        <v>44760</v>
      </c>
      <c r="B209" s="522" t="e">
        <f ca="1">gr(calculs!BD209)</f>
        <v>#NAME?</v>
      </c>
      <c r="C209" s="523" t="e">
        <f ca="1">gr(calculs!BE209)</f>
        <v>#NAME?</v>
      </c>
      <c r="D209" s="739" t="e">
        <f ca="1">gr(données_step[[#This Row],[Temp_eaux]])</f>
        <v>#NAME?</v>
      </c>
      <c r="E209" s="739" t="e">
        <f ca="1">gr(analyses!AC209)</f>
        <v>#NAME?</v>
      </c>
    </row>
    <row r="210" spans="1:5" x14ac:dyDescent="0.2">
      <c r="A210" s="222">
        <f>calculs!A210</f>
        <v>44761</v>
      </c>
      <c r="B210" s="522" t="e">
        <f ca="1">gr(calculs!BD210)</f>
        <v>#NAME?</v>
      </c>
      <c r="C210" s="523" t="e">
        <f ca="1">gr(calculs!BE210)</f>
        <v>#NAME?</v>
      </c>
      <c r="D210" s="739" t="e">
        <f ca="1">gr(données_step[[#This Row],[Temp_eaux]])</f>
        <v>#NAME?</v>
      </c>
      <c r="E210" s="739" t="e">
        <f ca="1">gr(analyses!AC210)</f>
        <v>#NAME?</v>
      </c>
    </row>
    <row r="211" spans="1:5" x14ac:dyDescent="0.2">
      <c r="A211" s="222">
        <f>calculs!A211</f>
        <v>44762</v>
      </c>
      <c r="B211" s="522" t="e">
        <f ca="1">gr(calculs!BD211)</f>
        <v>#NAME?</v>
      </c>
      <c r="C211" s="523" t="e">
        <f ca="1">gr(calculs!BE211)</f>
        <v>#NAME?</v>
      </c>
      <c r="D211" s="739" t="e">
        <f ca="1">gr(données_step[[#This Row],[Temp_eaux]])</f>
        <v>#NAME?</v>
      </c>
      <c r="E211" s="739" t="e">
        <f ca="1">gr(analyses!AC211)</f>
        <v>#NAME?</v>
      </c>
    </row>
    <row r="212" spans="1:5" x14ac:dyDescent="0.2">
      <c r="A212" s="222">
        <f>calculs!A212</f>
        <v>44763</v>
      </c>
      <c r="B212" s="522" t="e">
        <f ca="1">gr(calculs!BD212)</f>
        <v>#NAME?</v>
      </c>
      <c r="C212" s="523" t="e">
        <f ca="1">gr(calculs!BE212)</f>
        <v>#NAME?</v>
      </c>
      <c r="D212" s="739" t="e">
        <f ca="1">gr(données_step[[#This Row],[Temp_eaux]])</f>
        <v>#NAME?</v>
      </c>
      <c r="E212" s="739" t="e">
        <f ca="1">gr(analyses!AC212)</f>
        <v>#NAME?</v>
      </c>
    </row>
    <row r="213" spans="1:5" x14ac:dyDescent="0.2">
      <c r="A213" s="222">
        <f>calculs!A213</f>
        <v>44764</v>
      </c>
      <c r="B213" s="522" t="e">
        <f ca="1">gr(calculs!BD213)</f>
        <v>#NAME?</v>
      </c>
      <c r="C213" s="523" t="e">
        <f ca="1">gr(calculs!BE213)</f>
        <v>#NAME?</v>
      </c>
      <c r="D213" s="739" t="e">
        <f ca="1">gr(données_step[[#This Row],[Temp_eaux]])</f>
        <v>#NAME?</v>
      </c>
      <c r="E213" s="739" t="e">
        <f ca="1">gr(analyses!AC213)</f>
        <v>#NAME?</v>
      </c>
    </row>
    <row r="214" spans="1:5" x14ac:dyDescent="0.2">
      <c r="A214" s="222">
        <f>calculs!A214</f>
        <v>44765</v>
      </c>
      <c r="B214" s="522" t="e">
        <f ca="1">gr(calculs!BD214)</f>
        <v>#NAME?</v>
      </c>
      <c r="C214" s="523" t="e">
        <f ca="1">gr(calculs!BE214)</f>
        <v>#NAME?</v>
      </c>
      <c r="D214" s="739" t="e">
        <f ca="1">gr(données_step[[#This Row],[Temp_eaux]])</f>
        <v>#NAME?</v>
      </c>
      <c r="E214" s="739" t="e">
        <f ca="1">gr(analyses!AC214)</f>
        <v>#NAME?</v>
      </c>
    </row>
    <row r="215" spans="1:5" x14ac:dyDescent="0.2">
      <c r="A215" s="222">
        <f>calculs!A215</f>
        <v>44766</v>
      </c>
      <c r="B215" s="522" t="e">
        <f ca="1">gr(calculs!BD215)</f>
        <v>#NAME?</v>
      </c>
      <c r="C215" s="523" t="e">
        <f ca="1">gr(calculs!BE215)</f>
        <v>#NAME?</v>
      </c>
      <c r="D215" s="739" t="e">
        <f ca="1">gr(données_step[[#This Row],[Temp_eaux]])</f>
        <v>#NAME?</v>
      </c>
      <c r="E215" s="739" t="e">
        <f ca="1">gr(analyses!AC215)</f>
        <v>#NAME?</v>
      </c>
    </row>
    <row r="216" spans="1:5" x14ac:dyDescent="0.2">
      <c r="A216" s="222">
        <f>calculs!A216</f>
        <v>44767</v>
      </c>
      <c r="B216" s="522" t="e">
        <f ca="1">gr(calculs!BD216)</f>
        <v>#NAME?</v>
      </c>
      <c r="C216" s="523" t="e">
        <f ca="1">gr(calculs!BE216)</f>
        <v>#NAME?</v>
      </c>
      <c r="D216" s="739" t="e">
        <f ca="1">gr(données_step[[#This Row],[Temp_eaux]])</f>
        <v>#NAME?</v>
      </c>
      <c r="E216" s="739" t="e">
        <f ca="1">gr(analyses!AC216)</f>
        <v>#NAME?</v>
      </c>
    </row>
    <row r="217" spans="1:5" x14ac:dyDescent="0.2">
      <c r="A217" s="222">
        <f>calculs!A217</f>
        <v>44768</v>
      </c>
      <c r="B217" s="522" t="e">
        <f ca="1">gr(calculs!BD217)</f>
        <v>#NAME?</v>
      </c>
      <c r="C217" s="523" t="e">
        <f ca="1">gr(calculs!BE217)</f>
        <v>#NAME?</v>
      </c>
      <c r="D217" s="739" t="e">
        <f ca="1">gr(données_step[[#This Row],[Temp_eaux]])</f>
        <v>#NAME?</v>
      </c>
      <c r="E217" s="739" t="e">
        <f ca="1">gr(analyses!AC217)</f>
        <v>#NAME?</v>
      </c>
    </row>
    <row r="218" spans="1:5" x14ac:dyDescent="0.2">
      <c r="A218" s="222">
        <f>calculs!A218</f>
        <v>44769</v>
      </c>
      <c r="B218" s="522" t="e">
        <f ca="1">gr(calculs!BD218)</f>
        <v>#NAME?</v>
      </c>
      <c r="C218" s="523" t="e">
        <f ca="1">gr(calculs!BE218)</f>
        <v>#NAME?</v>
      </c>
      <c r="D218" s="739" t="e">
        <f ca="1">gr(données_step[[#This Row],[Temp_eaux]])</f>
        <v>#NAME?</v>
      </c>
      <c r="E218" s="739" t="e">
        <f ca="1">gr(analyses!AC218)</f>
        <v>#NAME?</v>
      </c>
    </row>
    <row r="219" spans="1:5" x14ac:dyDescent="0.2">
      <c r="A219" s="222">
        <f>calculs!A219</f>
        <v>44770</v>
      </c>
      <c r="B219" s="522" t="e">
        <f ca="1">gr(calculs!BD219)</f>
        <v>#NAME?</v>
      </c>
      <c r="C219" s="523" t="e">
        <f ca="1">gr(calculs!BE219)</f>
        <v>#NAME?</v>
      </c>
      <c r="D219" s="739" t="e">
        <f ca="1">gr(données_step[[#This Row],[Temp_eaux]])</f>
        <v>#NAME?</v>
      </c>
      <c r="E219" s="739" t="e">
        <f ca="1">gr(analyses!AC219)</f>
        <v>#NAME?</v>
      </c>
    </row>
    <row r="220" spans="1:5" x14ac:dyDescent="0.2">
      <c r="A220" s="222">
        <f>calculs!A220</f>
        <v>44771</v>
      </c>
      <c r="B220" s="522" t="e">
        <f ca="1">gr(calculs!BD220)</f>
        <v>#NAME?</v>
      </c>
      <c r="C220" s="523" t="e">
        <f ca="1">gr(calculs!BE220)</f>
        <v>#NAME?</v>
      </c>
      <c r="D220" s="739" t="e">
        <f ca="1">gr(données_step[[#This Row],[Temp_eaux]])</f>
        <v>#NAME?</v>
      </c>
      <c r="E220" s="739" t="e">
        <f ca="1">gr(analyses!AC220)</f>
        <v>#NAME?</v>
      </c>
    </row>
    <row r="221" spans="1:5" x14ac:dyDescent="0.2">
      <c r="A221" s="222">
        <f>calculs!A221</f>
        <v>44772</v>
      </c>
      <c r="B221" s="522" t="e">
        <f ca="1">gr(calculs!BD221)</f>
        <v>#NAME?</v>
      </c>
      <c r="C221" s="523" t="e">
        <f ca="1">gr(calculs!BE221)</f>
        <v>#NAME?</v>
      </c>
      <c r="D221" s="739" t="e">
        <f ca="1">gr(données_step[[#This Row],[Temp_eaux]])</f>
        <v>#NAME?</v>
      </c>
      <c r="E221" s="739" t="e">
        <f ca="1">gr(analyses!AC221)</f>
        <v>#NAME?</v>
      </c>
    </row>
    <row r="222" spans="1:5" x14ac:dyDescent="0.2">
      <c r="A222" s="222">
        <f>calculs!A222</f>
        <v>44773</v>
      </c>
      <c r="B222" s="522" t="e">
        <f ca="1">gr(calculs!BD222)</f>
        <v>#NAME?</v>
      </c>
      <c r="C222" s="523" t="e">
        <f ca="1">gr(calculs!BE222)</f>
        <v>#NAME?</v>
      </c>
      <c r="D222" s="739" t="e">
        <f ca="1">gr(données_step[[#This Row],[Temp_eaux]])</f>
        <v>#NAME?</v>
      </c>
      <c r="E222" s="739" t="e">
        <f ca="1">gr(analyses!AC222)</f>
        <v>#NAME?</v>
      </c>
    </row>
    <row r="223" spans="1:5" x14ac:dyDescent="0.2">
      <c r="A223" s="222">
        <f>calculs!A223</f>
        <v>44774</v>
      </c>
      <c r="B223" s="522" t="e">
        <f ca="1">gr(calculs!BD223)</f>
        <v>#NAME?</v>
      </c>
      <c r="C223" s="523" t="e">
        <f ca="1">gr(calculs!BE223)</f>
        <v>#NAME?</v>
      </c>
      <c r="D223" s="739" t="e">
        <f ca="1">gr(données_step[[#This Row],[Temp_eaux]])</f>
        <v>#NAME?</v>
      </c>
      <c r="E223" s="739" t="e">
        <f ca="1">gr(analyses!AC223)</f>
        <v>#NAME?</v>
      </c>
    </row>
    <row r="224" spans="1:5" x14ac:dyDescent="0.2">
      <c r="A224" s="222">
        <f>calculs!A224</f>
        <v>44775</v>
      </c>
      <c r="B224" s="522" t="e">
        <f ca="1">gr(calculs!BD224)</f>
        <v>#NAME?</v>
      </c>
      <c r="C224" s="523" t="e">
        <f ca="1">gr(calculs!BE224)</f>
        <v>#NAME?</v>
      </c>
      <c r="D224" s="739" t="e">
        <f ca="1">gr(données_step[[#This Row],[Temp_eaux]])</f>
        <v>#NAME?</v>
      </c>
      <c r="E224" s="739" t="e">
        <f ca="1">gr(analyses!AC224)</f>
        <v>#NAME?</v>
      </c>
    </row>
    <row r="225" spans="1:5" x14ac:dyDescent="0.2">
      <c r="A225" s="222">
        <f>calculs!A225</f>
        <v>44776</v>
      </c>
      <c r="B225" s="522" t="e">
        <f ca="1">gr(calculs!BD225)</f>
        <v>#NAME?</v>
      </c>
      <c r="C225" s="523" t="e">
        <f ca="1">gr(calculs!BE225)</f>
        <v>#NAME?</v>
      </c>
      <c r="D225" s="739" t="e">
        <f ca="1">gr(données_step[[#This Row],[Temp_eaux]])</f>
        <v>#NAME?</v>
      </c>
      <c r="E225" s="739" t="e">
        <f ca="1">gr(analyses!AC225)</f>
        <v>#NAME?</v>
      </c>
    </row>
    <row r="226" spans="1:5" x14ac:dyDescent="0.2">
      <c r="A226" s="222">
        <f>calculs!A226</f>
        <v>44777</v>
      </c>
      <c r="B226" s="522" t="e">
        <f ca="1">gr(calculs!BD226)</f>
        <v>#NAME?</v>
      </c>
      <c r="C226" s="523" t="e">
        <f ca="1">gr(calculs!BE226)</f>
        <v>#NAME?</v>
      </c>
      <c r="D226" s="739" t="e">
        <f ca="1">gr(données_step[[#This Row],[Temp_eaux]])</f>
        <v>#NAME?</v>
      </c>
      <c r="E226" s="739" t="e">
        <f ca="1">gr(analyses!AC226)</f>
        <v>#NAME?</v>
      </c>
    </row>
    <row r="227" spans="1:5" x14ac:dyDescent="0.2">
      <c r="A227" s="222">
        <f>calculs!A227</f>
        <v>44778</v>
      </c>
      <c r="B227" s="522" t="e">
        <f ca="1">gr(calculs!BD227)</f>
        <v>#NAME?</v>
      </c>
      <c r="C227" s="523" t="e">
        <f ca="1">gr(calculs!BE227)</f>
        <v>#NAME?</v>
      </c>
      <c r="D227" s="739" t="e">
        <f ca="1">gr(données_step[[#This Row],[Temp_eaux]])</f>
        <v>#NAME?</v>
      </c>
      <c r="E227" s="739" t="e">
        <f ca="1">gr(analyses!AC227)</f>
        <v>#NAME?</v>
      </c>
    </row>
    <row r="228" spans="1:5" x14ac:dyDescent="0.2">
      <c r="A228" s="222">
        <f>calculs!A228</f>
        <v>44779</v>
      </c>
      <c r="B228" s="522" t="e">
        <f ca="1">gr(calculs!BD228)</f>
        <v>#NAME?</v>
      </c>
      <c r="C228" s="523" t="e">
        <f ca="1">gr(calculs!BE228)</f>
        <v>#NAME?</v>
      </c>
      <c r="D228" s="739" t="e">
        <f ca="1">gr(données_step[[#This Row],[Temp_eaux]])</f>
        <v>#NAME?</v>
      </c>
      <c r="E228" s="739" t="e">
        <f ca="1">gr(analyses!AC228)</f>
        <v>#NAME?</v>
      </c>
    </row>
    <row r="229" spans="1:5" x14ac:dyDescent="0.2">
      <c r="A229" s="222">
        <f>calculs!A229</f>
        <v>44780</v>
      </c>
      <c r="B229" s="522" t="e">
        <f ca="1">gr(calculs!BD229)</f>
        <v>#NAME?</v>
      </c>
      <c r="C229" s="523" t="e">
        <f ca="1">gr(calculs!BE229)</f>
        <v>#NAME?</v>
      </c>
      <c r="D229" s="739" t="e">
        <f ca="1">gr(données_step[[#This Row],[Temp_eaux]])</f>
        <v>#NAME?</v>
      </c>
      <c r="E229" s="739" t="e">
        <f ca="1">gr(analyses!AC229)</f>
        <v>#NAME?</v>
      </c>
    </row>
    <row r="230" spans="1:5" x14ac:dyDescent="0.2">
      <c r="A230" s="222">
        <f>calculs!A230</f>
        <v>44781</v>
      </c>
      <c r="B230" s="522" t="e">
        <f ca="1">gr(calculs!BD230)</f>
        <v>#NAME?</v>
      </c>
      <c r="C230" s="523" t="e">
        <f ca="1">gr(calculs!BE230)</f>
        <v>#NAME?</v>
      </c>
      <c r="D230" s="739" t="e">
        <f ca="1">gr(données_step[[#This Row],[Temp_eaux]])</f>
        <v>#NAME?</v>
      </c>
      <c r="E230" s="739" t="e">
        <f ca="1">gr(analyses!AC230)</f>
        <v>#NAME?</v>
      </c>
    </row>
    <row r="231" spans="1:5" x14ac:dyDescent="0.2">
      <c r="A231" s="222">
        <f>calculs!A231</f>
        <v>44782</v>
      </c>
      <c r="B231" s="522" t="e">
        <f ca="1">gr(calculs!BD231)</f>
        <v>#NAME?</v>
      </c>
      <c r="C231" s="523" t="e">
        <f ca="1">gr(calculs!BE231)</f>
        <v>#NAME?</v>
      </c>
      <c r="D231" s="739" t="e">
        <f ca="1">gr(données_step[[#This Row],[Temp_eaux]])</f>
        <v>#NAME?</v>
      </c>
      <c r="E231" s="739" t="e">
        <f ca="1">gr(analyses!AC231)</f>
        <v>#NAME?</v>
      </c>
    </row>
    <row r="232" spans="1:5" x14ac:dyDescent="0.2">
      <c r="A232" s="222">
        <f>calculs!A232</f>
        <v>44783</v>
      </c>
      <c r="B232" s="522" t="e">
        <f ca="1">gr(calculs!BD232)</f>
        <v>#NAME?</v>
      </c>
      <c r="C232" s="523" t="e">
        <f ca="1">gr(calculs!BE232)</f>
        <v>#NAME?</v>
      </c>
      <c r="D232" s="739" t="e">
        <f ca="1">gr(données_step[[#This Row],[Temp_eaux]])</f>
        <v>#NAME?</v>
      </c>
      <c r="E232" s="739" t="e">
        <f ca="1">gr(analyses!AC232)</f>
        <v>#NAME?</v>
      </c>
    </row>
    <row r="233" spans="1:5" x14ac:dyDescent="0.2">
      <c r="A233" s="222">
        <f>calculs!A233</f>
        <v>44784</v>
      </c>
      <c r="B233" s="522" t="e">
        <f ca="1">gr(calculs!BD233)</f>
        <v>#NAME?</v>
      </c>
      <c r="C233" s="523" t="e">
        <f ca="1">gr(calculs!BE233)</f>
        <v>#NAME?</v>
      </c>
      <c r="D233" s="739" t="e">
        <f ca="1">gr(données_step[[#This Row],[Temp_eaux]])</f>
        <v>#NAME?</v>
      </c>
      <c r="E233" s="739" t="e">
        <f ca="1">gr(analyses!AC233)</f>
        <v>#NAME?</v>
      </c>
    </row>
    <row r="234" spans="1:5" x14ac:dyDescent="0.2">
      <c r="A234" s="222">
        <f>calculs!A234</f>
        <v>44785</v>
      </c>
      <c r="B234" s="522" t="e">
        <f ca="1">gr(calculs!BD234)</f>
        <v>#NAME?</v>
      </c>
      <c r="C234" s="523" t="e">
        <f ca="1">gr(calculs!BE234)</f>
        <v>#NAME?</v>
      </c>
      <c r="D234" s="739" t="e">
        <f ca="1">gr(données_step[[#This Row],[Temp_eaux]])</f>
        <v>#NAME?</v>
      </c>
      <c r="E234" s="739" t="e">
        <f ca="1">gr(analyses!AC234)</f>
        <v>#NAME?</v>
      </c>
    </row>
    <row r="235" spans="1:5" x14ac:dyDescent="0.2">
      <c r="A235" s="222">
        <f>calculs!A235</f>
        <v>44786</v>
      </c>
      <c r="B235" s="522" t="e">
        <f ca="1">gr(calculs!BD235)</f>
        <v>#NAME?</v>
      </c>
      <c r="C235" s="523" t="e">
        <f ca="1">gr(calculs!BE235)</f>
        <v>#NAME?</v>
      </c>
      <c r="D235" s="739" t="e">
        <f ca="1">gr(données_step[[#This Row],[Temp_eaux]])</f>
        <v>#NAME?</v>
      </c>
      <c r="E235" s="739" t="e">
        <f ca="1">gr(analyses!AC235)</f>
        <v>#NAME?</v>
      </c>
    </row>
    <row r="236" spans="1:5" x14ac:dyDescent="0.2">
      <c r="A236" s="222">
        <f>calculs!A236</f>
        <v>44787</v>
      </c>
      <c r="B236" s="522" t="e">
        <f ca="1">gr(calculs!BD236)</f>
        <v>#NAME?</v>
      </c>
      <c r="C236" s="523" t="e">
        <f ca="1">gr(calculs!BE236)</f>
        <v>#NAME?</v>
      </c>
      <c r="D236" s="739" t="e">
        <f ca="1">gr(données_step[[#This Row],[Temp_eaux]])</f>
        <v>#NAME?</v>
      </c>
      <c r="E236" s="739" t="e">
        <f ca="1">gr(analyses!AC236)</f>
        <v>#NAME?</v>
      </c>
    </row>
    <row r="237" spans="1:5" x14ac:dyDescent="0.2">
      <c r="A237" s="222">
        <f>calculs!A237</f>
        <v>44788</v>
      </c>
      <c r="B237" s="522" t="e">
        <f ca="1">gr(calculs!BD237)</f>
        <v>#NAME?</v>
      </c>
      <c r="C237" s="523" t="e">
        <f ca="1">gr(calculs!BE237)</f>
        <v>#NAME?</v>
      </c>
      <c r="D237" s="739" t="e">
        <f ca="1">gr(données_step[[#This Row],[Temp_eaux]])</f>
        <v>#NAME?</v>
      </c>
      <c r="E237" s="739" t="e">
        <f ca="1">gr(analyses!AC237)</f>
        <v>#NAME?</v>
      </c>
    </row>
    <row r="238" spans="1:5" x14ac:dyDescent="0.2">
      <c r="A238" s="222">
        <f>calculs!A238</f>
        <v>44789</v>
      </c>
      <c r="B238" s="522" t="e">
        <f ca="1">gr(calculs!BD238)</f>
        <v>#NAME?</v>
      </c>
      <c r="C238" s="523" t="e">
        <f ca="1">gr(calculs!BE238)</f>
        <v>#NAME?</v>
      </c>
      <c r="D238" s="739" t="e">
        <f ca="1">gr(données_step[[#This Row],[Temp_eaux]])</f>
        <v>#NAME?</v>
      </c>
      <c r="E238" s="739" t="e">
        <f ca="1">gr(analyses!AC238)</f>
        <v>#NAME?</v>
      </c>
    </row>
    <row r="239" spans="1:5" x14ac:dyDescent="0.2">
      <c r="A239" s="222">
        <f>calculs!A239</f>
        <v>44790</v>
      </c>
      <c r="B239" s="522" t="e">
        <f ca="1">gr(calculs!BD239)</f>
        <v>#NAME?</v>
      </c>
      <c r="C239" s="523" t="e">
        <f ca="1">gr(calculs!BE239)</f>
        <v>#NAME?</v>
      </c>
      <c r="D239" s="739" t="e">
        <f ca="1">gr(données_step[[#This Row],[Temp_eaux]])</f>
        <v>#NAME?</v>
      </c>
      <c r="E239" s="739" t="e">
        <f ca="1">gr(analyses!AC239)</f>
        <v>#NAME?</v>
      </c>
    </row>
    <row r="240" spans="1:5" x14ac:dyDescent="0.2">
      <c r="A240" s="222">
        <f>calculs!A240</f>
        <v>44791</v>
      </c>
      <c r="B240" s="522" t="e">
        <f ca="1">gr(calculs!BD240)</f>
        <v>#NAME?</v>
      </c>
      <c r="C240" s="523" t="e">
        <f ca="1">gr(calculs!BE240)</f>
        <v>#NAME?</v>
      </c>
      <c r="D240" s="739" t="e">
        <f ca="1">gr(données_step[[#This Row],[Temp_eaux]])</f>
        <v>#NAME?</v>
      </c>
      <c r="E240" s="739" t="e">
        <f ca="1">gr(analyses!AC240)</f>
        <v>#NAME?</v>
      </c>
    </row>
    <row r="241" spans="1:5" x14ac:dyDescent="0.2">
      <c r="A241" s="222">
        <f>calculs!A241</f>
        <v>44792</v>
      </c>
      <c r="B241" s="522" t="e">
        <f ca="1">gr(calculs!BD241)</f>
        <v>#NAME?</v>
      </c>
      <c r="C241" s="523" t="e">
        <f ca="1">gr(calculs!BE241)</f>
        <v>#NAME?</v>
      </c>
      <c r="D241" s="739" t="e">
        <f ca="1">gr(données_step[[#This Row],[Temp_eaux]])</f>
        <v>#NAME?</v>
      </c>
      <c r="E241" s="739" t="e">
        <f ca="1">gr(analyses!AC241)</f>
        <v>#NAME?</v>
      </c>
    </row>
    <row r="242" spans="1:5" x14ac:dyDescent="0.2">
      <c r="A242" s="222">
        <f>calculs!A242</f>
        <v>44793</v>
      </c>
      <c r="B242" s="522" t="e">
        <f ca="1">gr(calculs!BD242)</f>
        <v>#NAME?</v>
      </c>
      <c r="C242" s="523" t="e">
        <f ca="1">gr(calculs!BE242)</f>
        <v>#NAME?</v>
      </c>
      <c r="D242" s="739" t="e">
        <f ca="1">gr(données_step[[#This Row],[Temp_eaux]])</f>
        <v>#NAME?</v>
      </c>
      <c r="E242" s="739" t="e">
        <f ca="1">gr(analyses!AC242)</f>
        <v>#NAME?</v>
      </c>
    </row>
    <row r="243" spans="1:5" x14ac:dyDescent="0.2">
      <c r="A243" s="222">
        <f>calculs!A243</f>
        <v>44794</v>
      </c>
      <c r="B243" s="522" t="e">
        <f ca="1">gr(calculs!BD243)</f>
        <v>#NAME?</v>
      </c>
      <c r="C243" s="523" t="e">
        <f ca="1">gr(calculs!BE243)</f>
        <v>#NAME?</v>
      </c>
      <c r="D243" s="739" t="e">
        <f ca="1">gr(données_step[[#This Row],[Temp_eaux]])</f>
        <v>#NAME?</v>
      </c>
      <c r="E243" s="739" t="e">
        <f ca="1">gr(analyses!AC243)</f>
        <v>#NAME?</v>
      </c>
    </row>
    <row r="244" spans="1:5" x14ac:dyDescent="0.2">
      <c r="A244" s="222">
        <f>calculs!A244</f>
        <v>44795</v>
      </c>
      <c r="B244" s="522" t="e">
        <f ca="1">gr(calculs!BD244)</f>
        <v>#NAME?</v>
      </c>
      <c r="C244" s="523" t="e">
        <f ca="1">gr(calculs!BE244)</f>
        <v>#NAME?</v>
      </c>
      <c r="D244" s="739" t="e">
        <f ca="1">gr(données_step[[#This Row],[Temp_eaux]])</f>
        <v>#NAME?</v>
      </c>
      <c r="E244" s="739" t="e">
        <f ca="1">gr(analyses!AC244)</f>
        <v>#NAME?</v>
      </c>
    </row>
    <row r="245" spans="1:5" x14ac:dyDescent="0.2">
      <c r="A245" s="222">
        <f>calculs!A245</f>
        <v>44796</v>
      </c>
      <c r="B245" s="522" t="e">
        <f ca="1">gr(calculs!BD245)</f>
        <v>#NAME?</v>
      </c>
      <c r="C245" s="523" t="e">
        <f ca="1">gr(calculs!BE245)</f>
        <v>#NAME?</v>
      </c>
      <c r="D245" s="739" t="e">
        <f ca="1">gr(données_step[[#This Row],[Temp_eaux]])</f>
        <v>#NAME?</v>
      </c>
      <c r="E245" s="739" t="e">
        <f ca="1">gr(analyses!AC245)</f>
        <v>#NAME?</v>
      </c>
    </row>
    <row r="246" spans="1:5" x14ac:dyDescent="0.2">
      <c r="A246" s="222">
        <f>calculs!A246</f>
        <v>44797</v>
      </c>
      <c r="B246" s="522" t="e">
        <f ca="1">gr(calculs!BD246)</f>
        <v>#NAME?</v>
      </c>
      <c r="C246" s="523" t="e">
        <f ca="1">gr(calculs!BE246)</f>
        <v>#NAME?</v>
      </c>
      <c r="D246" s="739" t="e">
        <f ca="1">gr(données_step[[#This Row],[Temp_eaux]])</f>
        <v>#NAME?</v>
      </c>
      <c r="E246" s="739" t="e">
        <f ca="1">gr(analyses!AC246)</f>
        <v>#NAME?</v>
      </c>
    </row>
    <row r="247" spans="1:5" x14ac:dyDescent="0.2">
      <c r="A247" s="222">
        <f>calculs!A247</f>
        <v>44798</v>
      </c>
      <c r="B247" s="522" t="e">
        <f ca="1">gr(calculs!BD247)</f>
        <v>#NAME?</v>
      </c>
      <c r="C247" s="523" t="e">
        <f ca="1">gr(calculs!BE247)</f>
        <v>#NAME?</v>
      </c>
      <c r="D247" s="739" t="e">
        <f ca="1">gr(données_step[[#This Row],[Temp_eaux]])</f>
        <v>#NAME?</v>
      </c>
      <c r="E247" s="739" t="e">
        <f ca="1">gr(analyses!AC247)</f>
        <v>#NAME?</v>
      </c>
    </row>
    <row r="248" spans="1:5" x14ac:dyDescent="0.2">
      <c r="A248" s="222">
        <f>calculs!A248</f>
        <v>44799</v>
      </c>
      <c r="B248" s="522" t="e">
        <f ca="1">gr(calculs!BD248)</f>
        <v>#NAME?</v>
      </c>
      <c r="C248" s="523" t="e">
        <f ca="1">gr(calculs!BE248)</f>
        <v>#NAME?</v>
      </c>
      <c r="D248" s="739" t="e">
        <f ca="1">gr(données_step[[#This Row],[Temp_eaux]])</f>
        <v>#NAME?</v>
      </c>
      <c r="E248" s="739" t="e">
        <f ca="1">gr(analyses!AC248)</f>
        <v>#NAME?</v>
      </c>
    </row>
    <row r="249" spans="1:5" x14ac:dyDescent="0.2">
      <c r="A249" s="222">
        <f>calculs!A249</f>
        <v>44800</v>
      </c>
      <c r="B249" s="522" t="e">
        <f ca="1">gr(calculs!BD249)</f>
        <v>#NAME?</v>
      </c>
      <c r="C249" s="523" t="e">
        <f ca="1">gr(calculs!BE249)</f>
        <v>#NAME?</v>
      </c>
      <c r="D249" s="739" t="e">
        <f ca="1">gr(données_step[[#This Row],[Temp_eaux]])</f>
        <v>#NAME?</v>
      </c>
      <c r="E249" s="739" t="e">
        <f ca="1">gr(analyses!AC249)</f>
        <v>#NAME?</v>
      </c>
    </row>
    <row r="250" spans="1:5" x14ac:dyDescent="0.2">
      <c r="A250" s="222">
        <f>calculs!A250</f>
        <v>44801</v>
      </c>
      <c r="B250" s="522" t="e">
        <f ca="1">gr(calculs!BD250)</f>
        <v>#NAME?</v>
      </c>
      <c r="C250" s="523" t="e">
        <f ca="1">gr(calculs!BE250)</f>
        <v>#NAME?</v>
      </c>
      <c r="D250" s="739" t="e">
        <f ca="1">gr(données_step[[#This Row],[Temp_eaux]])</f>
        <v>#NAME?</v>
      </c>
      <c r="E250" s="739" t="e">
        <f ca="1">gr(analyses!AC250)</f>
        <v>#NAME?</v>
      </c>
    </row>
    <row r="251" spans="1:5" x14ac:dyDescent="0.2">
      <c r="A251" s="222">
        <f>calculs!A251</f>
        <v>44802</v>
      </c>
      <c r="B251" s="522" t="e">
        <f ca="1">gr(calculs!BD251)</f>
        <v>#NAME?</v>
      </c>
      <c r="C251" s="523" t="e">
        <f ca="1">gr(calculs!BE251)</f>
        <v>#NAME?</v>
      </c>
      <c r="D251" s="739" t="e">
        <f ca="1">gr(données_step[[#This Row],[Temp_eaux]])</f>
        <v>#NAME?</v>
      </c>
      <c r="E251" s="739" t="e">
        <f ca="1">gr(analyses!AC251)</f>
        <v>#NAME?</v>
      </c>
    </row>
    <row r="252" spans="1:5" x14ac:dyDescent="0.2">
      <c r="A252" s="222">
        <f>calculs!A252</f>
        <v>44803</v>
      </c>
      <c r="B252" s="522" t="e">
        <f ca="1">gr(calculs!BD252)</f>
        <v>#NAME?</v>
      </c>
      <c r="C252" s="523" t="e">
        <f ca="1">gr(calculs!BE252)</f>
        <v>#NAME?</v>
      </c>
      <c r="D252" s="739" t="e">
        <f ca="1">gr(données_step[[#This Row],[Temp_eaux]])</f>
        <v>#NAME?</v>
      </c>
      <c r="E252" s="739" t="e">
        <f ca="1">gr(analyses!AC252)</f>
        <v>#NAME?</v>
      </c>
    </row>
    <row r="253" spans="1:5" x14ac:dyDescent="0.2">
      <c r="A253" s="222">
        <f>calculs!A253</f>
        <v>44804</v>
      </c>
      <c r="B253" s="522" t="e">
        <f ca="1">gr(calculs!BD253)</f>
        <v>#NAME?</v>
      </c>
      <c r="C253" s="523" t="e">
        <f ca="1">gr(calculs!BE253)</f>
        <v>#NAME?</v>
      </c>
      <c r="D253" s="739" t="e">
        <f ca="1">gr(données_step[[#This Row],[Temp_eaux]])</f>
        <v>#NAME?</v>
      </c>
      <c r="E253" s="739" t="e">
        <f ca="1">gr(analyses!AC253)</f>
        <v>#NAME?</v>
      </c>
    </row>
    <row r="254" spans="1:5" x14ac:dyDescent="0.2">
      <c r="A254" s="222">
        <f>calculs!A254</f>
        <v>44805</v>
      </c>
      <c r="B254" s="522" t="e">
        <f ca="1">gr(calculs!BD254)</f>
        <v>#NAME?</v>
      </c>
      <c r="C254" s="523" t="e">
        <f ca="1">gr(calculs!BE254)</f>
        <v>#NAME?</v>
      </c>
      <c r="D254" s="739" t="e">
        <f ca="1">gr(données_step[[#This Row],[Temp_eaux]])</f>
        <v>#NAME?</v>
      </c>
      <c r="E254" s="739" t="e">
        <f ca="1">gr(analyses!AC254)</f>
        <v>#NAME?</v>
      </c>
    </row>
    <row r="255" spans="1:5" x14ac:dyDescent="0.2">
      <c r="A255" s="222">
        <f>calculs!A255</f>
        <v>44806</v>
      </c>
      <c r="B255" s="522" t="e">
        <f ca="1">gr(calculs!BD255)</f>
        <v>#NAME?</v>
      </c>
      <c r="C255" s="523" t="e">
        <f ca="1">gr(calculs!BE255)</f>
        <v>#NAME?</v>
      </c>
      <c r="D255" s="739" t="e">
        <f ca="1">gr(données_step[[#This Row],[Temp_eaux]])</f>
        <v>#NAME?</v>
      </c>
      <c r="E255" s="739" t="e">
        <f ca="1">gr(analyses!AC255)</f>
        <v>#NAME?</v>
      </c>
    </row>
    <row r="256" spans="1:5" x14ac:dyDescent="0.2">
      <c r="A256" s="222">
        <f>calculs!A256</f>
        <v>44807</v>
      </c>
      <c r="B256" s="522" t="e">
        <f ca="1">gr(calculs!BD256)</f>
        <v>#NAME?</v>
      </c>
      <c r="C256" s="523" t="e">
        <f ca="1">gr(calculs!BE256)</f>
        <v>#NAME?</v>
      </c>
      <c r="D256" s="739" t="e">
        <f ca="1">gr(données_step[[#This Row],[Temp_eaux]])</f>
        <v>#NAME?</v>
      </c>
      <c r="E256" s="739" t="e">
        <f ca="1">gr(analyses!AC256)</f>
        <v>#NAME?</v>
      </c>
    </row>
    <row r="257" spans="1:5" x14ac:dyDescent="0.2">
      <c r="A257" s="222">
        <f>calculs!A257</f>
        <v>44808</v>
      </c>
      <c r="B257" s="522" t="e">
        <f ca="1">gr(calculs!BD257)</f>
        <v>#NAME?</v>
      </c>
      <c r="C257" s="523" t="e">
        <f ca="1">gr(calculs!BE257)</f>
        <v>#NAME?</v>
      </c>
      <c r="D257" s="739" t="e">
        <f ca="1">gr(données_step[[#This Row],[Temp_eaux]])</f>
        <v>#NAME?</v>
      </c>
      <c r="E257" s="739" t="e">
        <f ca="1">gr(analyses!AC257)</f>
        <v>#NAME?</v>
      </c>
    </row>
    <row r="258" spans="1:5" x14ac:dyDescent="0.2">
      <c r="A258" s="222">
        <f>calculs!A258</f>
        <v>44809</v>
      </c>
      <c r="B258" s="522" t="e">
        <f ca="1">gr(calculs!BD258)</f>
        <v>#NAME?</v>
      </c>
      <c r="C258" s="523" t="e">
        <f ca="1">gr(calculs!BE258)</f>
        <v>#NAME?</v>
      </c>
      <c r="D258" s="739" t="e">
        <f ca="1">gr(données_step[[#This Row],[Temp_eaux]])</f>
        <v>#NAME?</v>
      </c>
      <c r="E258" s="739" t="e">
        <f ca="1">gr(analyses!AC258)</f>
        <v>#NAME?</v>
      </c>
    </row>
    <row r="259" spans="1:5" x14ac:dyDescent="0.2">
      <c r="A259" s="222">
        <f>calculs!A259</f>
        <v>44810</v>
      </c>
      <c r="B259" s="522" t="e">
        <f ca="1">gr(calculs!BD259)</f>
        <v>#NAME?</v>
      </c>
      <c r="C259" s="523" t="e">
        <f ca="1">gr(calculs!BE259)</f>
        <v>#NAME?</v>
      </c>
      <c r="D259" s="739" t="e">
        <f ca="1">gr(données_step[[#This Row],[Temp_eaux]])</f>
        <v>#NAME?</v>
      </c>
      <c r="E259" s="739" t="e">
        <f ca="1">gr(analyses!AC259)</f>
        <v>#NAME?</v>
      </c>
    </row>
    <row r="260" spans="1:5" x14ac:dyDescent="0.2">
      <c r="A260" s="222">
        <f>calculs!A260</f>
        <v>44811</v>
      </c>
      <c r="B260" s="522" t="e">
        <f ca="1">gr(calculs!BD260)</f>
        <v>#NAME?</v>
      </c>
      <c r="C260" s="523" t="e">
        <f ca="1">gr(calculs!BE260)</f>
        <v>#NAME?</v>
      </c>
      <c r="D260" s="739" t="e">
        <f ca="1">gr(données_step[[#This Row],[Temp_eaux]])</f>
        <v>#NAME?</v>
      </c>
      <c r="E260" s="739" t="e">
        <f ca="1">gr(analyses!AC260)</f>
        <v>#NAME?</v>
      </c>
    </row>
    <row r="261" spans="1:5" x14ac:dyDescent="0.2">
      <c r="A261" s="222">
        <f>calculs!A261</f>
        <v>44812</v>
      </c>
      <c r="B261" s="522" t="e">
        <f ca="1">gr(calculs!BD261)</f>
        <v>#NAME?</v>
      </c>
      <c r="C261" s="523" t="e">
        <f ca="1">gr(calculs!BE261)</f>
        <v>#NAME?</v>
      </c>
      <c r="D261" s="739" t="e">
        <f ca="1">gr(données_step[[#This Row],[Temp_eaux]])</f>
        <v>#NAME?</v>
      </c>
      <c r="E261" s="739" t="e">
        <f ca="1">gr(analyses!AC261)</f>
        <v>#NAME?</v>
      </c>
    </row>
    <row r="262" spans="1:5" x14ac:dyDescent="0.2">
      <c r="A262" s="222">
        <f>calculs!A262</f>
        <v>44813</v>
      </c>
      <c r="B262" s="522" t="e">
        <f ca="1">gr(calculs!BD262)</f>
        <v>#NAME?</v>
      </c>
      <c r="C262" s="523" t="e">
        <f ca="1">gr(calculs!BE262)</f>
        <v>#NAME?</v>
      </c>
      <c r="D262" s="739" t="e">
        <f ca="1">gr(données_step[[#This Row],[Temp_eaux]])</f>
        <v>#NAME?</v>
      </c>
      <c r="E262" s="739" t="e">
        <f ca="1">gr(analyses!AC262)</f>
        <v>#NAME?</v>
      </c>
    </row>
    <row r="263" spans="1:5" x14ac:dyDescent="0.2">
      <c r="A263" s="222">
        <f>calculs!A263</f>
        <v>44814</v>
      </c>
      <c r="B263" s="522" t="e">
        <f ca="1">gr(calculs!BD263)</f>
        <v>#NAME?</v>
      </c>
      <c r="C263" s="523" t="e">
        <f ca="1">gr(calculs!BE263)</f>
        <v>#NAME?</v>
      </c>
      <c r="D263" s="739" t="e">
        <f ca="1">gr(données_step[[#This Row],[Temp_eaux]])</f>
        <v>#NAME?</v>
      </c>
      <c r="E263" s="739" t="e">
        <f ca="1">gr(analyses!AC263)</f>
        <v>#NAME?</v>
      </c>
    </row>
    <row r="264" spans="1:5" x14ac:dyDescent="0.2">
      <c r="A264" s="222">
        <f>calculs!A264</f>
        <v>44815</v>
      </c>
      <c r="B264" s="522" t="e">
        <f ca="1">gr(calculs!BD264)</f>
        <v>#NAME?</v>
      </c>
      <c r="C264" s="523" t="e">
        <f ca="1">gr(calculs!BE264)</f>
        <v>#NAME?</v>
      </c>
      <c r="D264" s="739" t="e">
        <f ca="1">gr(données_step[[#This Row],[Temp_eaux]])</f>
        <v>#NAME?</v>
      </c>
      <c r="E264" s="739" t="e">
        <f ca="1">gr(analyses!AC264)</f>
        <v>#NAME?</v>
      </c>
    </row>
    <row r="265" spans="1:5" x14ac:dyDescent="0.2">
      <c r="A265" s="222">
        <f>calculs!A265</f>
        <v>44816</v>
      </c>
      <c r="B265" s="522" t="e">
        <f ca="1">gr(calculs!BD265)</f>
        <v>#NAME?</v>
      </c>
      <c r="C265" s="523" t="e">
        <f ca="1">gr(calculs!BE265)</f>
        <v>#NAME?</v>
      </c>
      <c r="D265" s="739" t="e">
        <f ca="1">gr(données_step[[#This Row],[Temp_eaux]])</f>
        <v>#NAME?</v>
      </c>
      <c r="E265" s="739" t="e">
        <f ca="1">gr(analyses!AC265)</f>
        <v>#NAME?</v>
      </c>
    </row>
    <row r="266" spans="1:5" x14ac:dyDescent="0.2">
      <c r="A266" s="222">
        <f>calculs!A266</f>
        <v>44817</v>
      </c>
      <c r="B266" s="522" t="e">
        <f ca="1">gr(calculs!BD266)</f>
        <v>#NAME?</v>
      </c>
      <c r="C266" s="523" t="e">
        <f ca="1">gr(calculs!BE266)</f>
        <v>#NAME?</v>
      </c>
      <c r="D266" s="739" t="e">
        <f ca="1">gr(données_step[[#This Row],[Temp_eaux]])</f>
        <v>#NAME?</v>
      </c>
      <c r="E266" s="739" t="e">
        <f ca="1">gr(analyses!AC266)</f>
        <v>#NAME?</v>
      </c>
    </row>
    <row r="267" spans="1:5" x14ac:dyDescent="0.2">
      <c r="A267" s="222">
        <f>calculs!A267</f>
        <v>44818</v>
      </c>
      <c r="B267" s="522" t="e">
        <f ca="1">gr(calculs!BD267)</f>
        <v>#NAME?</v>
      </c>
      <c r="C267" s="523" t="e">
        <f ca="1">gr(calculs!BE267)</f>
        <v>#NAME?</v>
      </c>
      <c r="D267" s="739" t="e">
        <f ca="1">gr(données_step[[#This Row],[Temp_eaux]])</f>
        <v>#NAME?</v>
      </c>
      <c r="E267" s="739" t="e">
        <f ca="1">gr(analyses!AC267)</f>
        <v>#NAME?</v>
      </c>
    </row>
    <row r="268" spans="1:5" x14ac:dyDescent="0.2">
      <c r="A268" s="222">
        <f>calculs!A268</f>
        <v>44819</v>
      </c>
      <c r="B268" s="522" t="e">
        <f ca="1">gr(calculs!BD268)</f>
        <v>#NAME?</v>
      </c>
      <c r="C268" s="523" t="e">
        <f ca="1">gr(calculs!BE268)</f>
        <v>#NAME?</v>
      </c>
      <c r="D268" s="739" t="e">
        <f ca="1">gr(données_step[[#This Row],[Temp_eaux]])</f>
        <v>#NAME?</v>
      </c>
      <c r="E268" s="739" t="e">
        <f ca="1">gr(analyses!AC268)</f>
        <v>#NAME?</v>
      </c>
    </row>
    <row r="269" spans="1:5" x14ac:dyDescent="0.2">
      <c r="A269" s="222">
        <f>calculs!A269</f>
        <v>44820</v>
      </c>
      <c r="B269" s="522" t="e">
        <f ca="1">gr(calculs!BD269)</f>
        <v>#NAME?</v>
      </c>
      <c r="C269" s="523" t="e">
        <f ca="1">gr(calculs!BE269)</f>
        <v>#NAME?</v>
      </c>
      <c r="D269" s="739" t="e">
        <f ca="1">gr(données_step[[#This Row],[Temp_eaux]])</f>
        <v>#NAME?</v>
      </c>
      <c r="E269" s="739" t="e">
        <f ca="1">gr(analyses!AC269)</f>
        <v>#NAME?</v>
      </c>
    </row>
    <row r="270" spans="1:5" x14ac:dyDescent="0.2">
      <c r="A270" s="222">
        <f>calculs!A270</f>
        <v>44821</v>
      </c>
      <c r="B270" s="522" t="e">
        <f ca="1">gr(calculs!BD270)</f>
        <v>#NAME?</v>
      </c>
      <c r="C270" s="523" t="e">
        <f ca="1">gr(calculs!BE270)</f>
        <v>#NAME?</v>
      </c>
      <c r="D270" s="739" t="e">
        <f ca="1">gr(données_step[[#This Row],[Temp_eaux]])</f>
        <v>#NAME?</v>
      </c>
      <c r="E270" s="739" t="e">
        <f ca="1">gr(analyses!AC270)</f>
        <v>#NAME?</v>
      </c>
    </row>
    <row r="271" spans="1:5" x14ac:dyDescent="0.2">
      <c r="A271" s="222">
        <f>calculs!A271</f>
        <v>44822</v>
      </c>
      <c r="B271" s="522" t="e">
        <f ca="1">gr(calculs!BD271)</f>
        <v>#NAME?</v>
      </c>
      <c r="C271" s="523" t="e">
        <f ca="1">gr(calculs!BE271)</f>
        <v>#NAME?</v>
      </c>
      <c r="D271" s="739" t="e">
        <f ca="1">gr(données_step[[#This Row],[Temp_eaux]])</f>
        <v>#NAME?</v>
      </c>
      <c r="E271" s="739" t="e">
        <f ca="1">gr(analyses!AC271)</f>
        <v>#NAME?</v>
      </c>
    </row>
    <row r="272" spans="1:5" x14ac:dyDescent="0.2">
      <c r="A272" s="222">
        <f>calculs!A272</f>
        <v>44823</v>
      </c>
      <c r="B272" s="522" t="e">
        <f ca="1">gr(calculs!BD272)</f>
        <v>#NAME?</v>
      </c>
      <c r="C272" s="523" t="e">
        <f ca="1">gr(calculs!BE272)</f>
        <v>#NAME?</v>
      </c>
      <c r="D272" s="739" t="e">
        <f ca="1">gr(données_step[[#This Row],[Temp_eaux]])</f>
        <v>#NAME?</v>
      </c>
      <c r="E272" s="739" t="e">
        <f ca="1">gr(analyses!AC272)</f>
        <v>#NAME?</v>
      </c>
    </row>
    <row r="273" spans="1:5" x14ac:dyDescent="0.2">
      <c r="A273" s="222">
        <f>calculs!A273</f>
        <v>44824</v>
      </c>
      <c r="B273" s="522" t="e">
        <f ca="1">gr(calculs!BD273)</f>
        <v>#NAME?</v>
      </c>
      <c r="C273" s="523" t="e">
        <f ca="1">gr(calculs!BE273)</f>
        <v>#NAME?</v>
      </c>
      <c r="D273" s="739" t="e">
        <f ca="1">gr(données_step[[#This Row],[Temp_eaux]])</f>
        <v>#NAME?</v>
      </c>
      <c r="E273" s="739" t="e">
        <f ca="1">gr(analyses!AC273)</f>
        <v>#NAME?</v>
      </c>
    </row>
    <row r="274" spans="1:5" x14ac:dyDescent="0.2">
      <c r="A274" s="222">
        <f>calculs!A274</f>
        <v>44825</v>
      </c>
      <c r="B274" s="522" t="e">
        <f ca="1">gr(calculs!BD274)</f>
        <v>#NAME?</v>
      </c>
      <c r="C274" s="523" t="e">
        <f ca="1">gr(calculs!BE274)</f>
        <v>#NAME?</v>
      </c>
      <c r="D274" s="739" t="e">
        <f ca="1">gr(données_step[[#This Row],[Temp_eaux]])</f>
        <v>#NAME?</v>
      </c>
      <c r="E274" s="739" t="e">
        <f ca="1">gr(analyses!AC274)</f>
        <v>#NAME?</v>
      </c>
    </row>
    <row r="275" spans="1:5" x14ac:dyDescent="0.2">
      <c r="A275" s="222">
        <f>calculs!A275</f>
        <v>44826</v>
      </c>
      <c r="B275" s="522" t="e">
        <f ca="1">gr(calculs!BD275)</f>
        <v>#NAME?</v>
      </c>
      <c r="C275" s="523" t="e">
        <f ca="1">gr(calculs!BE275)</f>
        <v>#NAME?</v>
      </c>
      <c r="D275" s="739" t="e">
        <f ca="1">gr(données_step[[#This Row],[Temp_eaux]])</f>
        <v>#NAME?</v>
      </c>
      <c r="E275" s="739" t="e">
        <f ca="1">gr(analyses!AC275)</f>
        <v>#NAME?</v>
      </c>
    </row>
    <row r="276" spans="1:5" x14ac:dyDescent="0.2">
      <c r="A276" s="222">
        <f>calculs!A276</f>
        <v>44827</v>
      </c>
      <c r="B276" s="522" t="e">
        <f ca="1">gr(calculs!BD276)</f>
        <v>#NAME?</v>
      </c>
      <c r="C276" s="523" t="e">
        <f ca="1">gr(calculs!BE276)</f>
        <v>#NAME?</v>
      </c>
      <c r="D276" s="739" t="e">
        <f ca="1">gr(données_step[[#This Row],[Temp_eaux]])</f>
        <v>#NAME?</v>
      </c>
      <c r="E276" s="739" t="e">
        <f ca="1">gr(analyses!AC276)</f>
        <v>#NAME?</v>
      </c>
    </row>
    <row r="277" spans="1:5" x14ac:dyDescent="0.2">
      <c r="A277" s="222">
        <f>calculs!A277</f>
        <v>44828</v>
      </c>
      <c r="B277" s="522" t="e">
        <f ca="1">gr(calculs!BD277)</f>
        <v>#NAME?</v>
      </c>
      <c r="C277" s="523" t="e">
        <f ca="1">gr(calculs!BE277)</f>
        <v>#NAME?</v>
      </c>
      <c r="D277" s="739" t="e">
        <f ca="1">gr(données_step[[#This Row],[Temp_eaux]])</f>
        <v>#NAME?</v>
      </c>
      <c r="E277" s="739" t="e">
        <f ca="1">gr(analyses!AC277)</f>
        <v>#NAME?</v>
      </c>
    </row>
    <row r="278" spans="1:5" x14ac:dyDescent="0.2">
      <c r="A278" s="222">
        <f>calculs!A278</f>
        <v>44829</v>
      </c>
      <c r="B278" s="522" t="e">
        <f ca="1">gr(calculs!BD278)</f>
        <v>#NAME?</v>
      </c>
      <c r="C278" s="523" t="e">
        <f ca="1">gr(calculs!BE278)</f>
        <v>#NAME?</v>
      </c>
      <c r="D278" s="739" t="e">
        <f ca="1">gr(données_step[[#This Row],[Temp_eaux]])</f>
        <v>#NAME?</v>
      </c>
      <c r="E278" s="739" t="e">
        <f ca="1">gr(analyses!AC278)</f>
        <v>#NAME?</v>
      </c>
    </row>
    <row r="279" spans="1:5" x14ac:dyDescent="0.2">
      <c r="A279" s="222">
        <f>calculs!A279</f>
        <v>44830</v>
      </c>
      <c r="B279" s="522" t="e">
        <f ca="1">gr(calculs!BD279)</f>
        <v>#NAME?</v>
      </c>
      <c r="C279" s="523" t="e">
        <f ca="1">gr(calculs!BE279)</f>
        <v>#NAME?</v>
      </c>
      <c r="D279" s="739" t="e">
        <f ca="1">gr(données_step[[#This Row],[Temp_eaux]])</f>
        <v>#NAME?</v>
      </c>
      <c r="E279" s="739" t="e">
        <f ca="1">gr(analyses!AC279)</f>
        <v>#NAME?</v>
      </c>
    </row>
    <row r="280" spans="1:5" x14ac:dyDescent="0.2">
      <c r="A280" s="222">
        <f>calculs!A280</f>
        <v>44831</v>
      </c>
      <c r="B280" s="522" t="e">
        <f ca="1">gr(calculs!BD280)</f>
        <v>#NAME?</v>
      </c>
      <c r="C280" s="523" t="e">
        <f ca="1">gr(calculs!BE280)</f>
        <v>#NAME?</v>
      </c>
      <c r="D280" s="739" t="e">
        <f ca="1">gr(données_step[[#This Row],[Temp_eaux]])</f>
        <v>#NAME?</v>
      </c>
      <c r="E280" s="739" t="e">
        <f ca="1">gr(analyses!AC280)</f>
        <v>#NAME?</v>
      </c>
    </row>
    <row r="281" spans="1:5" x14ac:dyDescent="0.2">
      <c r="A281" s="222">
        <f>calculs!A281</f>
        <v>44832</v>
      </c>
      <c r="B281" s="522" t="e">
        <f ca="1">gr(calculs!BD281)</f>
        <v>#NAME?</v>
      </c>
      <c r="C281" s="523" t="e">
        <f ca="1">gr(calculs!BE281)</f>
        <v>#NAME?</v>
      </c>
      <c r="D281" s="739" t="e">
        <f ca="1">gr(données_step[[#This Row],[Temp_eaux]])</f>
        <v>#NAME?</v>
      </c>
      <c r="E281" s="739" t="e">
        <f ca="1">gr(analyses!AC281)</f>
        <v>#NAME?</v>
      </c>
    </row>
    <row r="282" spans="1:5" x14ac:dyDescent="0.2">
      <c r="A282" s="222">
        <f>calculs!A282</f>
        <v>44833</v>
      </c>
      <c r="B282" s="522" t="e">
        <f ca="1">gr(calculs!BD282)</f>
        <v>#NAME?</v>
      </c>
      <c r="C282" s="523" t="e">
        <f ca="1">gr(calculs!BE282)</f>
        <v>#NAME?</v>
      </c>
      <c r="D282" s="739" t="e">
        <f ca="1">gr(données_step[[#This Row],[Temp_eaux]])</f>
        <v>#NAME?</v>
      </c>
      <c r="E282" s="739" t="e">
        <f ca="1">gr(analyses!AC282)</f>
        <v>#NAME?</v>
      </c>
    </row>
    <row r="283" spans="1:5" x14ac:dyDescent="0.2">
      <c r="A283" s="222">
        <f>calculs!A283</f>
        <v>44834</v>
      </c>
      <c r="B283" s="522" t="e">
        <f ca="1">gr(calculs!BD283)</f>
        <v>#NAME?</v>
      </c>
      <c r="C283" s="523" t="e">
        <f ca="1">gr(calculs!BE283)</f>
        <v>#NAME?</v>
      </c>
      <c r="D283" s="739" t="e">
        <f ca="1">gr(données_step[[#This Row],[Temp_eaux]])</f>
        <v>#NAME?</v>
      </c>
      <c r="E283" s="739" t="e">
        <f ca="1">gr(analyses!AC283)</f>
        <v>#NAME?</v>
      </c>
    </row>
    <row r="284" spans="1:5" x14ac:dyDescent="0.2">
      <c r="A284" s="222">
        <f>calculs!A284</f>
        <v>44835</v>
      </c>
      <c r="B284" s="522" t="e">
        <f ca="1">gr(calculs!BD284)</f>
        <v>#NAME?</v>
      </c>
      <c r="C284" s="523" t="e">
        <f ca="1">gr(calculs!BE284)</f>
        <v>#NAME?</v>
      </c>
      <c r="D284" s="739" t="e">
        <f ca="1">gr(données_step[[#This Row],[Temp_eaux]])</f>
        <v>#NAME?</v>
      </c>
      <c r="E284" s="739" t="e">
        <f ca="1">gr(analyses!AC284)</f>
        <v>#NAME?</v>
      </c>
    </row>
    <row r="285" spans="1:5" x14ac:dyDescent="0.2">
      <c r="A285" s="222">
        <f>calculs!A285</f>
        <v>44836</v>
      </c>
      <c r="B285" s="522" t="e">
        <f ca="1">gr(calculs!BD285)</f>
        <v>#NAME?</v>
      </c>
      <c r="C285" s="523" t="e">
        <f ca="1">gr(calculs!BE285)</f>
        <v>#NAME?</v>
      </c>
      <c r="D285" s="739" t="e">
        <f ca="1">gr(données_step[[#This Row],[Temp_eaux]])</f>
        <v>#NAME?</v>
      </c>
      <c r="E285" s="739" t="e">
        <f ca="1">gr(analyses!AC285)</f>
        <v>#NAME?</v>
      </c>
    </row>
    <row r="286" spans="1:5" x14ac:dyDescent="0.2">
      <c r="A286" s="222">
        <f>calculs!A286</f>
        <v>44837</v>
      </c>
      <c r="B286" s="522" t="e">
        <f ca="1">gr(calculs!BD286)</f>
        <v>#NAME?</v>
      </c>
      <c r="C286" s="523" t="e">
        <f ca="1">gr(calculs!BE286)</f>
        <v>#NAME?</v>
      </c>
      <c r="D286" s="739" t="e">
        <f ca="1">gr(données_step[[#This Row],[Temp_eaux]])</f>
        <v>#NAME?</v>
      </c>
      <c r="E286" s="739" t="e">
        <f ca="1">gr(analyses!AC286)</f>
        <v>#NAME?</v>
      </c>
    </row>
    <row r="287" spans="1:5" x14ac:dyDescent="0.2">
      <c r="A287" s="222">
        <f>calculs!A287</f>
        <v>44838</v>
      </c>
      <c r="B287" s="522" t="e">
        <f ca="1">gr(calculs!BD287)</f>
        <v>#NAME?</v>
      </c>
      <c r="C287" s="523" t="e">
        <f ca="1">gr(calculs!BE287)</f>
        <v>#NAME?</v>
      </c>
      <c r="D287" s="739" t="e">
        <f ca="1">gr(données_step[[#This Row],[Temp_eaux]])</f>
        <v>#NAME?</v>
      </c>
      <c r="E287" s="739" t="e">
        <f ca="1">gr(analyses!AC287)</f>
        <v>#NAME?</v>
      </c>
    </row>
    <row r="288" spans="1:5" x14ac:dyDescent="0.2">
      <c r="A288" s="222">
        <f>calculs!A288</f>
        <v>44839</v>
      </c>
      <c r="B288" s="522" t="e">
        <f ca="1">gr(calculs!BD288)</f>
        <v>#NAME?</v>
      </c>
      <c r="C288" s="523" t="e">
        <f ca="1">gr(calculs!BE288)</f>
        <v>#NAME?</v>
      </c>
      <c r="D288" s="739" t="e">
        <f ca="1">gr(données_step[[#This Row],[Temp_eaux]])</f>
        <v>#NAME?</v>
      </c>
      <c r="E288" s="739" t="e">
        <f ca="1">gr(analyses!AC288)</f>
        <v>#NAME?</v>
      </c>
    </row>
    <row r="289" spans="1:5" x14ac:dyDescent="0.2">
      <c r="A289" s="222">
        <f>calculs!A289</f>
        <v>44840</v>
      </c>
      <c r="B289" s="522" t="e">
        <f ca="1">gr(calculs!BD289)</f>
        <v>#NAME?</v>
      </c>
      <c r="C289" s="523" t="e">
        <f ca="1">gr(calculs!BE289)</f>
        <v>#NAME?</v>
      </c>
      <c r="D289" s="739" t="e">
        <f ca="1">gr(données_step[[#This Row],[Temp_eaux]])</f>
        <v>#NAME?</v>
      </c>
      <c r="E289" s="739" t="e">
        <f ca="1">gr(analyses!AC289)</f>
        <v>#NAME?</v>
      </c>
    </row>
    <row r="290" spans="1:5" x14ac:dyDescent="0.2">
      <c r="A290" s="222">
        <f>calculs!A290</f>
        <v>44841</v>
      </c>
      <c r="B290" s="522" t="e">
        <f ca="1">gr(calculs!BD290)</f>
        <v>#NAME?</v>
      </c>
      <c r="C290" s="523" t="e">
        <f ca="1">gr(calculs!BE290)</f>
        <v>#NAME?</v>
      </c>
      <c r="D290" s="739" t="e">
        <f ca="1">gr(données_step[[#This Row],[Temp_eaux]])</f>
        <v>#NAME?</v>
      </c>
      <c r="E290" s="739" t="e">
        <f ca="1">gr(analyses!AC290)</f>
        <v>#NAME?</v>
      </c>
    </row>
    <row r="291" spans="1:5" x14ac:dyDescent="0.2">
      <c r="A291" s="222">
        <f>calculs!A291</f>
        <v>44842</v>
      </c>
      <c r="B291" s="522" t="e">
        <f ca="1">gr(calculs!BD291)</f>
        <v>#NAME?</v>
      </c>
      <c r="C291" s="523" t="e">
        <f ca="1">gr(calculs!BE291)</f>
        <v>#NAME?</v>
      </c>
      <c r="D291" s="739" t="e">
        <f ca="1">gr(données_step[[#This Row],[Temp_eaux]])</f>
        <v>#NAME?</v>
      </c>
      <c r="E291" s="739" t="e">
        <f ca="1">gr(analyses!AC291)</f>
        <v>#NAME?</v>
      </c>
    </row>
    <row r="292" spans="1:5" x14ac:dyDescent="0.2">
      <c r="A292" s="222">
        <f>calculs!A292</f>
        <v>44843</v>
      </c>
      <c r="B292" s="522" t="e">
        <f ca="1">gr(calculs!BD292)</f>
        <v>#NAME?</v>
      </c>
      <c r="C292" s="523" t="e">
        <f ca="1">gr(calculs!BE292)</f>
        <v>#NAME?</v>
      </c>
      <c r="D292" s="739" t="e">
        <f ca="1">gr(données_step[[#This Row],[Temp_eaux]])</f>
        <v>#NAME?</v>
      </c>
      <c r="E292" s="739" t="e">
        <f ca="1">gr(analyses!AC292)</f>
        <v>#NAME?</v>
      </c>
    </row>
    <row r="293" spans="1:5" x14ac:dyDescent="0.2">
      <c r="A293" s="222">
        <f>calculs!A293</f>
        <v>44844</v>
      </c>
      <c r="B293" s="522" t="e">
        <f ca="1">gr(calculs!BD293)</f>
        <v>#NAME?</v>
      </c>
      <c r="C293" s="523" t="e">
        <f ca="1">gr(calculs!BE293)</f>
        <v>#NAME?</v>
      </c>
      <c r="D293" s="739" t="e">
        <f ca="1">gr(données_step[[#This Row],[Temp_eaux]])</f>
        <v>#NAME?</v>
      </c>
      <c r="E293" s="739" t="e">
        <f ca="1">gr(analyses!AC293)</f>
        <v>#NAME?</v>
      </c>
    </row>
    <row r="294" spans="1:5" x14ac:dyDescent="0.2">
      <c r="A294" s="222">
        <f>calculs!A294</f>
        <v>44845</v>
      </c>
      <c r="B294" s="522" t="e">
        <f ca="1">gr(calculs!BD294)</f>
        <v>#NAME?</v>
      </c>
      <c r="C294" s="523" t="e">
        <f ca="1">gr(calculs!BE294)</f>
        <v>#NAME?</v>
      </c>
      <c r="D294" s="739" t="e">
        <f ca="1">gr(données_step[[#This Row],[Temp_eaux]])</f>
        <v>#NAME?</v>
      </c>
      <c r="E294" s="739" t="e">
        <f ca="1">gr(analyses!AC294)</f>
        <v>#NAME?</v>
      </c>
    </row>
    <row r="295" spans="1:5" x14ac:dyDescent="0.2">
      <c r="A295" s="222">
        <f>calculs!A295</f>
        <v>44846</v>
      </c>
      <c r="B295" s="522" t="e">
        <f ca="1">gr(calculs!BD295)</f>
        <v>#NAME?</v>
      </c>
      <c r="C295" s="523" t="e">
        <f ca="1">gr(calculs!BE295)</f>
        <v>#NAME?</v>
      </c>
      <c r="D295" s="739" t="e">
        <f ca="1">gr(données_step[[#This Row],[Temp_eaux]])</f>
        <v>#NAME?</v>
      </c>
      <c r="E295" s="739" t="e">
        <f ca="1">gr(analyses!AC295)</f>
        <v>#NAME?</v>
      </c>
    </row>
    <row r="296" spans="1:5" x14ac:dyDescent="0.2">
      <c r="A296" s="222">
        <f>calculs!A296</f>
        <v>44847</v>
      </c>
      <c r="B296" s="522" t="e">
        <f ca="1">gr(calculs!BD296)</f>
        <v>#NAME?</v>
      </c>
      <c r="C296" s="523" t="e">
        <f ca="1">gr(calculs!BE296)</f>
        <v>#NAME?</v>
      </c>
      <c r="D296" s="739" t="e">
        <f ca="1">gr(données_step[[#This Row],[Temp_eaux]])</f>
        <v>#NAME?</v>
      </c>
      <c r="E296" s="739" t="e">
        <f ca="1">gr(analyses!AC296)</f>
        <v>#NAME?</v>
      </c>
    </row>
    <row r="297" spans="1:5" x14ac:dyDescent="0.2">
      <c r="A297" s="222">
        <f>calculs!A297</f>
        <v>44848</v>
      </c>
      <c r="B297" s="522" t="e">
        <f ca="1">gr(calculs!BD297)</f>
        <v>#NAME?</v>
      </c>
      <c r="C297" s="523" t="e">
        <f ca="1">gr(calculs!BE297)</f>
        <v>#NAME?</v>
      </c>
      <c r="D297" s="739" t="e">
        <f ca="1">gr(données_step[[#This Row],[Temp_eaux]])</f>
        <v>#NAME?</v>
      </c>
      <c r="E297" s="739" t="e">
        <f ca="1">gr(analyses!AC297)</f>
        <v>#NAME?</v>
      </c>
    </row>
    <row r="298" spans="1:5" x14ac:dyDescent="0.2">
      <c r="A298" s="222">
        <f>calculs!A298</f>
        <v>44849</v>
      </c>
      <c r="B298" s="522" t="e">
        <f ca="1">gr(calculs!BD298)</f>
        <v>#NAME?</v>
      </c>
      <c r="C298" s="523" t="e">
        <f ca="1">gr(calculs!BE298)</f>
        <v>#NAME?</v>
      </c>
      <c r="D298" s="739" t="e">
        <f ca="1">gr(données_step[[#This Row],[Temp_eaux]])</f>
        <v>#NAME?</v>
      </c>
      <c r="E298" s="739" t="e">
        <f ca="1">gr(analyses!AC298)</f>
        <v>#NAME?</v>
      </c>
    </row>
    <row r="299" spans="1:5" x14ac:dyDescent="0.2">
      <c r="A299" s="222">
        <f>calculs!A299</f>
        <v>44850</v>
      </c>
      <c r="B299" s="522" t="e">
        <f ca="1">gr(calculs!BD299)</f>
        <v>#NAME?</v>
      </c>
      <c r="C299" s="523" t="e">
        <f ca="1">gr(calculs!BE299)</f>
        <v>#NAME?</v>
      </c>
      <c r="D299" s="739" t="e">
        <f ca="1">gr(données_step[[#This Row],[Temp_eaux]])</f>
        <v>#NAME?</v>
      </c>
      <c r="E299" s="739" t="e">
        <f ca="1">gr(analyses!AC299)</f>
        <v>#NAME?</v>
      </c>
    </row>
    <row r="300" spans="1:5" x14ac:dyDescent="0.2">
      <c r="A300" s="222">
        <f>calculs!A300</f>
        <v>44851</v>
      </c>
      <c r="B300" s="522" t="e">
        <f ca="1">gr(calculs!BD300)</f>
        <v>#NAME?</v>
      </c>
      <c r="C300" s="523" t="e">
        <f ca="1">gr(calculs!BE300)</f>
        <v>#NAME?</v>
      </c>
      <c r="D300" s="739" t="e">
        <f ca="1">gr(données_step[[#This Row],[Temp_eaux]])</f>
        <v>#NAME?</v>
      </c>
      <c r="E300" s="739" t="e">
        <f ca="1">gr(analyses!AC300)</f>
        <v>#NAME?</v>
      </c>
    </row>
    <row r="301" spans="1:5" x14ac:dyDescent="0.2">
      <c r="A301" s="222">
        <f>calculs!A301</f>
        <v>44852</v>
      </c>
      <c r="B301" s="522" t="e">
        <f ca="1">gr(calculs!BD301)</f>
        <v>#NAME?</v>
      </c>
      <c r="C301" s="523" t="e">
        <f ca="1">gr(calculs!BE301)</f>
        <v>#NAME?</v>
      </c>
      <c r="D301" s="739" t="e">
        <f ca="1">gr(données_step[[#This Row],[Temp_eaux]])</f>
        <v>#NAME?</v>
      </c>
      <c r="E301" s="739" t="e">
        <f ca="1">gr(analyses!AC301)</f>
        <v>#NAME?</v>
      </c>
    </row>
    <row r="302" spans="1:5" x14ac:dyDescent="0.2">
      <c r="A302" s="222">
        <f>calculs!A302</f>
        <v>44853</v>
      </c>
      <c r="B302" s="522" t="e">
        <f ca="1">gr(calculs!BD302)</f>
        <v>#NAME?</v>
      </c>
      <c r="C302" s="523" t="e">
        <f ca="1">gr(calculs!BE302)</f>
        <v>#NAME?</v>
      </c>
      <c r="D302" s="739" t="e">
        <f ca="1">gr(données_step[[#This Row],[Temp_eaux]])</f>
        <v>#NAME?</v>
      </c>
      <c r="E302" s="739" t="e">
        <f ca="1">gr(analyses!AC302)</f>
        <v>#NAME?</v>
      </c>
    </row>
    <row r="303" spans="1:5" x14ac:dyDescent="0.2">
      <c r="A303" s="222">
        <f>calculs!A303</f>
        <v>44854</v>
      </c>
      <c r="B303" s="522" t="e">
        <f ca="1">gr(calculs!BD303)</f>
        <v>#NAME?</v>
      </c>
      <c r="C303" s="523" t="e">
        <f ca="1">gr(calculs!BE303)</f>
        <v>#NAME?</v>
      </c>
      <c r="D303" s="739" t="e">
        <f ca="1">gr(données_step[[#This Row],[Temp_eaux]])</f>
        <v>#NAME?</v>
      </c>
      <c r="E303" s="739" t="e">
        <f ca="1">gr(analyses!AC303)</f>
        <v>#NAME?</v>
      </c>
    </row>
    <row r="304" spans="1:5" x14ac:dyDescent="0.2">
      <c r="A304" s="222">
        <f>calculs!A304</f>
        <v>44855</v>
      </c>
      <c r="B304" s="522" t="e">
        <f ca="1">gr(calculs!BD304)</f>
        <v>#NAME?</v>
      </c>
      <c r="C304" s="523" t="e">
        <f ca="1">gr(calculs!BE304)</f>
        <v>#NAME?</v>
      </c>
      <c r="D304" s="739" t="e">
        <f ca="1">gr(données_step[[#This Row],[Temp_eaux]])</f>
        <v>#NAME?</v>
      </c>
      <c r="E304" s="739" t="e">
        <f ca="1">gr(analyses!AC304)</f>
        <v>#NAME?</v>
      </c>
    </row>
    <row r="305" spans="1:5" x14ac:dyDescent="0.2">
      <c r="A305" s="222">
        <f>calculs!A305</f>
        <v>44856</v>
      </c>
      <c r="B305" s="522" t="e">
        <f ca="1">gr(calculs!BD305)</f>
        <v>#NAME?</v>
      </c>
      <c r="C305" s="523" t="e">
        <f ca="1">gr(calculs!BE305)</f>
        <v>#NAME?</v>
      </c>
      <c r="D305" s="739" t="e">
        <f ca="1">gr(données_step[[#This Row],[Temp_eaux]])</f>
        <v>#NAME?</v>
      </c>
      <c r="E305" s="739" t="e">
        <f ca="1">gr(analyses!AC305)</f>
        <v>#NAME?</v>
      </c>
    </row>
    <row r="306" spans="1:5" x14ac:dyDescent="0.2">
      <c r="A306" s="222">
        <f>calculs!A306</f>
        <v>44857</v>
      </c>
      <c r="B306" s="522" t="e">
        <f ca="1">gr(calculs!BD306)</f>
        <v>#NAME?</v>
      </c>
      <c r="C306" s="523" t="e">
        <f ca="1">gr(calculs!BE306)</f>
        <v>#NAME?</v>
      </c>
      <c r="D306" s="739" t="e">
        <f ca="1">gr(données_step[[#This Row],[Temp_eaux]])</f>
        <v>#NAME?</v>
      </c>
      <c r="E306" s="739" t="e">
        <f ca="1">gr(analyses!AC306)</f>
        <v>#NAME?</v>
      </c>
    </row>
    <row r="307" spans="1:5" x14ac:dyDescent="0.2">
      <c r="A307" s="222">
        <f>calculs!A307</f>
        <v>44858</v>
      </c>
      <c r="B307" s="522" t="e">
        <f ca="1">gr(calculs!BD307)</f>
        <v>#NAME?</v>
      </c>
      <c r="C307" s="523" t="e">
        <f ca="1">gr(calculs!BE307)</f>
        <v>#NAME?</v>
      </c>
      <c r="D307" s="739" t="e">
        <f ca="1">gr(données_step[[#This Row],[Temp_eaux]])</f>
        <v>#NAME?</v>
      </c>
      <c r="E307" s="739" t="e">
        <f ca="1">gr(analyses!AC307)</f>
        <v>#NAME?</v>
      </c>
    </row>
    <row r="308" spans="1:5" x14ac:dyDescent="0.2">
      <c r="A308" s="222">
        <f>calculs!A308</f>
        <v>44859</v>
      </c>
      <c r="B308" s="522" t="e">
        <f ca="1">gr(calculs!BD308)</f>
        <v>#NAME?</v>
      </c>
      <c r="C308" s="523" t="e">
        <f ca="1">gr(calculs!BE308)</f>
        <v>#NAME?</v>
      </c>
      <c r="D308" s="739" t="e">
        <f ca="1">gr(données_step[[#This Row],[Temp_eaux]])</f>
        <v>#NAME?</v>
      </c>
      <c r="E308" s="739" t="e">
        <f ca="1">gr(analyses!AC308)</f>
        <v>#NAME?</v>
      </c>
    </row>
    <row r="309" spans="1:5" x14ac:dyDescent="0.2">
      <c r="A309" s="222">
        <f>calculs!A309</f>
        <v>44860</v>
      </c>
      <c r="B309" s="522" t="e">
        <f ca="1">gr(calculs!BD309)</f>
        <v>#NAME?</v>
      </c>
      <c r="C309" s="523" t="e">
        <f ca="1">gr(calculs!BE309)</f>
        <v>#NAME?</v>
      </c>
      <c r="D309" s="739" t="e">
        <f ca="1">gr(données_step[[#This Row],[Temp_eaux]])</f>
        <v>#NAME?</v>
      </c>
      <c r="E309" s="739" t="e">
        <f ca="1">gr(analyses!AC309)</f>
        <v>#NAME?</v>
      </c>
    </row>
    <row r="310" spans="1:5" x14ac:dyDescent="0.2">
      <c r="A310" s="222">
        <f>calculs!A310</f>
        <v>44861</v>
      </c>
      <c r="B310" s="522" t="e">
        <f ca="1">gr(calculs!BD310)</f>
        <v>#NAME?</v>
      </c>
      <c r="C310" s="523" t="e">
        <f ca="1">gr(calculs!BE310)</f>
        <v>#NAME?</v>
      </c>
      <c r="D310" s="739" t="e">
        <f ca="1">gr(données_step[[#This Row],[Temp_eaux]])</f>
        <v>#NAME?</v>
      </c>
      <c r="E310" s="739" t="e">
        <f ca="1">gr(analyses!AC310)</f>
        <v>#NAME?</v>
      </c>
    </row>
    <row r="311" spans="1:5" x14ac:dyDescent="0.2">
      <c r="A311" s="222">
        <f>calculs!A311</f>
        <v>44862</v>
      </c>
      <c r="B311" s="522" t="e">
        <f ca="1">gr(calculs!BD311)</f>
        <v>#NAME?</v>
      </c>
      <c r="C311" s="523" t="e">
        <f ca="1">gr(calculs!BE311)</f>
        <v>#NAME?</v>
      </c>
      <c r="D311" s="739" t="e">
        <f ca="1">gr(données_step[[#This Row],[Temp_eaux]])</f>
        <v>#NAME?</v>
      </c>
      <c r="E311" s="739" t="e">
        <f ca="1">gr(analyses!AC311)</f>
        <v>#NAME?</v>
      </c>
    </row>
    <row r="312" spans="1:5" x14ac:dyDescent="0.2">
      <c r="A312" s="222">
        <f>calculs!A312</f>
        <v>44863</v>
      </c>
      <c r="B312" s="522" t="e">
        <f ca="1">gr(calculs!BD312)</f>
        <v>#NAME?</v>
      </c>
      <c r="C312" s="523" t="e">
        <f ca="1">gr(calculs!BE312)</f>
        <v>#NAME?</v>
      </c>
      <c r="D312" s="739" t="e">
        <f ca="1">gr(données_step[[#This Row],[Temp_eaux]])</f>
        <v>#NAME?</v>
      </c>
      <c r="E312" s="739" t="e">
        <f ca="1">gr(analyses!AC312)</f>
        <v>#NAME?</v>
      </c>
    </row>
    <row r="313" spans="1:5" x14ac:dyDescent="0.2">
      <c r="A313" s="222">
        <f>calculs!A313</f>
        <v>44864</v>
      </c>
      <c r="B313" s="522" t="e">
        <f ca="1">gr(calculs!BD313)</f>
        <v>#NAME?</v>
      </c>
      <c r="C313" s="523" t="e">
        <f ca="1">gr(calculs!BE313)</f>
        <v>#NAME?</v>
      </c>
      <c r="D313" s="739" t="e">
        <f ca="1">gr(données_step[[#This Row],[Temp_eaux]])</f>
        <v>#NAME?</v>
      </c>
      <c r="E313" s="739" t="e">
        <f ca="1">gr(analyses!AC313)</f>
        <v>#NAME?</v>
      </c>
    </row>
    <row r="314" spans="1:5" x14ac:dyDescent="0.2">
      <c r="A314" s="222">
        <f>calculs!A314</f>
        <v>44865</v>
      </c>
      <c r="B314" s="522" t="e">
        <f ca="1">gr(calculs!BD314)</f>
        <v>#NAME?</v>
      </c>
      <c r="C314" s="523" t="e">
        <f ca="1">gr(calculs!BE314)</f>
        <v>#NAME?</v>
      </c>
      <c r="D314" s="739" t="e">
        <f ca="1">gr(données_step[[#This Row],[Temp_eaux]])</f>
        <v>#NAME?</v>
      </c>
      <c r="E314" s="739" t="e">
        <f ca="1">gr(analyses!AC314)</f>
        <v>#NAME?</v>
      </c>
    </row>
    <row r="315" spans="1:5" x14ac:dyDescent="0.2">
      <c r="A315" s="222">
        <f>calculs!A315</f>
        <v>44866</v>
      </c>
      <c r="B315" s="522" t="e">
        <f ca="1">gr(calculs!BD315)</f>
        <v>#NAME?</v>
      </c>
      <c r="C315" s="523" t="e">
        <f ca="1">gr(calculs!BE315)</f>
        <v>#NAME?</v>
      </c>
      <c r="D315" s="739" t="e">
        <f ca="1">gr(données_step[[#This Row],[Temp_eaux]])</f>
        <v>#NAME?</v>
      </c>
      <c r="E315" s="739" t="e">
        <f ca="1">gr(analyses!AC315)</f>
        <v>#NAME?</v>
      </c>
    </row>
    <row r="316" spans="1:5" x14ac:dyDescent="0.2">
      <c r="A316" s="222">
        <f>calculs!A316</f>
        <v>44867</v>
      </c>
      <c r="B316" s="522" t="e">
        <f ca="1">gr(calculs!BD316)</f>
        <v>#NAME?</v>
      </c>
      <c r="C316" s="523" t="e">
        <f ca="1">gr(calculs!BE316)</f>
        <v>#NAME?</v>
      </c>
      <c r="D316" s="739" t="e">
        <f ca="1">gr(données_step[[#This Row],[Temp_eaux]])</f>
        <v>#NAME?</v>
      </c>
      <c r="E316" s="739" t="e">
        <f ca="1">gr(analyses!AC316)</f>
        <v>#NAME?</v>
      </c>
    </row>
    <row r="317" spans="1:5" x14ac:dyDescent="0.2">
      <c r="A317" s="222">
        <f>calculs!A317</f>
        <v>44868</v>
      </c>
      <c r="B317" s="522" t="e">
        <f ca="1">gr(calculs!BD317)</f>
        <v>#NAME?</v>
      </c>
      <c r="C317" s="523" t="e">
        <f ca="1">gr(calculs!BE317)</f>
        <v>#NAME?</v>
      </c>
      <c r="D317" s="739" t="e">
        <f ca="1">gr(données_step[[#This Row],[Temp_eaux]])</f>
        <v>#NAME?</v>
      </c>
      <c r="E317" s="739" t="e">
        <f ca="1">gr(analyses!AC317)</f>
        <v>#NAME?</v>
      </c>
    </row>
    <row r="318" spans="1:5" x14ac:dyDescent="0.2">
      <c r="A318" s="222">
        <f>calculs!A318</f>
        <v>44869</v>
      </c>
      <c r="B318" s="522" t="e">
        <f ca="1">gr(calculs!BD318)</f>
        <v>#NAME?</v>
      </c>
      <c r="C318" s="523" t="e">
        <f ca="1">gr(calculs!BE318)</f>
        <v>#NAME?</v>
      </c>
      <c r="D318" s="739" t="e">
        <f ca="1">gr(données_step[[#This Row],[Temp_eaux]])</f>
        <v>#NAME?</v>
      </c>
      <c r="E318" s="739" t="e">
        <f ca="1">gr(analyses!AC318)</f>
        <v>#NAME?</v>
      </c>
    </row>
    <row r="319" spans="1:5" x14ac:dyDescent="0.2">
      <c r="A319" s="222">
        <f>calculs!A319</f>
        <v>44870</v>
      </c>
      <c r="B319" s="522" t="e">
        <f ca="1">gr(calculs!BD319)</f>
        <v>#NAME?</v>
      </c>
      <c r="C319" s="523" t="e">
        <f ca="1">gr(calculs!BE319)</f>
        <v>#NAME?</v>
      </c>
      <c r="D319" s="739" t="e">
        <f ca="1">gr(données_step[[#This Row],[Temp_eaux]])</f>
        <v>#NAME?</v>
      </c>
      <c r="E319" s="739" t="e">
        <f ca="1">gr(analyses!AC319)</f>
        <v>#NAME?</v>
      </c>
    </row>
    <row r="320" spans="1:5" x14ac:dyDescent="0.2">
      <c r="A320" s="222">
        <f>calculs!A320</f>
        <v>44871</v>
      </c>
      <c r="B320" s="522" t="e">
        <f ca="1">gr(calculs!BD320)</f>
        <v>#NAME?</v>
      </c>
      <c r="C320" s="523" t="e">
        <f ca="1">gr(calculs!BE320)</f>
        <v>#NAME?</v>
      </c>
      <c r="D320" s="739" t="e">
        <f ca="1">gr(données_step[[#This Row],[Temp_eaux]])</f>
        <v>#NAME?</v>
      </c>
      <c r="E320" s="739" t="e">
        <f ca="1">gr(analyses!AC320)</f>
        <v>#NAME?</v>
      </c>
    </row>
    <row r="321" spans="1:5" x14ac:dyDescent="0.2">
      <c r="A321" s="222">
        <f>calculs!A321</f>
        <v>44872</v>
      </c>
      <c r="B321" s="522" t="e">
        <f ca="1">gr(calculs!BD321)</f>
        <v>#NAME?</v>
      </c>
      <c r="C321" s="523" t="e">
        <f ca="1">gr(calculs!BE321)</f>
        <v>#NAME?</v>
      </c>
      <c r="D321" s="739" t="e">
        <f ca="1">gr(données_step[[#This Row],[Temp_eaux]])</f>
        <v>#NAME?</v>
      </c>
      <c r="E321" s="739" t="e">
        <f ca="1">gr(analyses!AC321)</f>
        <v>#NAME?</v>
      </c>
    </row>
    <row r="322" spans="1:5" x14ac:dyDescent="0.2">
      <c r="A322" s="222">
        <f>calculs!A322</f>
        <v>44873</v>
      </c>
      <c r="B322" s="522" t="e">
        <f ca="1">gr(calculs!BD322)</f>
        <v>#NAME?</v>
      </c>
      <c r="C322" s="523" t="e">
        <f ca="1">gr(calculs!BE322)</f>
        <v>#NAME?</v>
      </c>
      <c r="D322" s="739" t="e">
        <f ca="1">gr(données_step[[#This Row],[Temp_eaux]])</f>
        <v>#NAME?</v>
      </c>
      <c r="E322" s="739" t="e">
        <f ca="1">gr(analyses!AC322)</f>
        <v>#NAME?</v>
      </c>
    </row>
    <row r="323" spans="1:5" x14ac:dyDescent="0.2">
      <c r="A323" s="222">
        <f>calculs!A323</f>
        <v>44874</v>
      </c>
      <c r="B323" s="522" t="e">
        <f ca="1">gr(calculs!BD323)</f>
        <v>#NAME?</v>
      </c>
      <c r="C323" s="523" t="e">
        <f ca="1">gr(calculs!BE323)</f>
        <v>#NAME?</v>
      </c>
      <c r="D323" s="739" t="e">
        <f ca="1">gr(données_step[[#This Row],[Temp_eaux]])</f>
        <v>#NAME?</v>
      </c>
      <c r="E323" s="739" t="e">
        <f ca="1">gr(analyses!AC323)</f>
        <v>#NAME?</v>
      </c>
    </row>
    <row r="324" spans="1:5" x14ac:dyDescent="0.2">
      <c r="A324" s="222">
        <f>calculs!A324</f>
        <v>44875</v>
      </c>
      <c r="B324" s="522" t="e">
        <f ca="1">gr(calculs!BD324)</f>
        <v>#NAME?</v>
      </c>
      <c r="C324" s="523" t="e">
        <f ca="1">gr(calculs!BE324)</f>
        <v>#NAME?</v>
      </c>
      <c r="D324" s="739" t="e">
        <f ca="1">gr(données_step[[#This Row],[Temp_eaux]])</f>
        <v>#NAME?</v>
      </c>
      <c r="E324" s="739" t="e">
        <f ca="1">gr(analyses!AC324)</f>
        <v>#NAME?</v>
      </c>
    </row>
    <row r="325" spans="1:5" x14ac:dyDescent="0.2">
      <c r="A325" s="222">
        <f>calculs!A325</f>
        <v>44876</v>
      </c>
      <c r="B325" s="522" t="e">
        <f ca="1">gr(calculs!BD325)</f>
        <v>#NAME?</v>
      </c>
      <c r="C325" s="523" t="e">
        <f ca="1">gr(calculs!BE325)</f>
        <v>#NAME?</v>
      </c>
      <c r="D325" s="739" t="e">
        <f ca="1">gr(données_step[[#This Row],[Temp_eaux]])</f>
        <v>#NAME?</v>
      </c>
      <c r="E325" s="739" t="e">
        <f ca="1">gr(analyses!AC325)</f>
        <v>#NAME?</v>
      </c>
    </row>
    <row r="326" spans="1:5" x14ac:dyDescent="0.2">
      <c r="A326" s="222">
        <f>calculs!A326</f>
        <v>44877</v>
      </c>
      <c r="B326" s="522" t="e">
        <f ca="1">gr(calculs!BD326)</f>
        <v>#NAME?</v>
      </c>
      <c r="C326" s="523" t="e">
        <f ca="1">gr(calculs!BE326)</f>
        <v>#NAME?</v>
      </c>
      <c r="D326" s="739" t="e">
        <f ca="1">gr(données_step[[#This Row],[Temp_eaux]])</f>
        <v>#NAME?</v>
      </c>
      <c r="E326" s="739" t="e">
        <f ca="1">gr(analyses!AC326)</f>
        <v>#NAME?</v>
      </c>
    </row>
    <row r="327" spans="1:5" x14ac:dyDescent="0.2">
      <c r="A327" s="222">
        <f>calculs!A327</f>
        <v>44878</v>
      </c>
      <c r="B327" s="522" t="e">
        <f ca="1">gr(calculs!BD327)</f>
        <v>#NAME?</v>
      </c>
      <c r="C327" s="523" t="e">
        <f ca="1">gr(calculs!BE327)</f>
        <v>#NAME?</v>
      </c>
      <c r="D327" s="739" t="e">
        <f ca="1">gr(données_step[[#This Row],[Temp_eaux]])</f>
        <v>#NAME?</v>
      </c>
      <c r="E327" s="739" t="e">
        <f ca="1">gr(analyses!AC327)</f>
        <v>#NAME?</v>
      </c>
    </row>
    <row r="328" spans="1:5" x14ac:dyDescent="0.2">
      <c r="A328" s="222">
        <f>calculs!A328</f>
        <v>44879</v>
      </c>
      <c r="B328" s="522" t="e">
        <f ca="1">gr(calculs!BD328)</f>
        <v>#NAME?</v>
      </c>
      <c r="C328" s="523" t="e">
        <f ca="1">gr(calculs!BE328)</f>
        <v>#NAME?</v>
      </c>
      <c r="D328" s="739" t="e">
        <f ca="1">gr(données_step[[#This Row],[Temp_eaux]])</f>
        <v>#NAME?</v>
      </c>
      <c r="E328" s="739" t="e">
        <f ca="1">gr(analyses!AC328)</f>
        <v>#NAME?</v>
      </c>
    </row>
    <row r="329" spans="1:5" x14ac:dyDescent="0.2">
      <c r="A329" s="222">
        <f>calculs!A329</f>
        <v>44880</v>
      </c>
      <c r="B329" s="522" t="e">
        <f ca="1">gr(calculs!BD329)</f>
        <v>#NAME?</v>
      </c>
      <c r="C329" s="523" t="e">
        <f ca="1">gr(calculs!BE329)</f>
        <v>#NAME?</v>
      </c>
      <c r="D329" s="739" t="e">
        <f ca="1">gr(données_step[[#This Row],[Temp_eaux]])</f>
        <v>#NAME?</v>
      </c>
      <c r="E329" s="739" t="e">
        <f ca="1">gr(analyses!AC329)</f>
        <v>#NAME?</v>
      </c>
    </row>
    <row r="330" spans="1:5" x14ac:dyDescent="0.2">
      <c r="A330" s="222">
        <f>calculs!A330</f>
        <v>44881</v>
      </c>
      <c r="B330" s="522" t="e">
        <f ca="1">gr(calculs!BD330)</f>
        <v>#NAME?</v>
      </c>
      <c r="C330" s="523" t="e">
        <f ca="1">gr(calculs!BE330)</f>
        <v>#NAME?</v>
      </c>
      <c r="D330" s="739" t="e">
        <f ca="1">gr(données_step[[#This Row],[Temp_eaux]])</f>
        <v>#NAME?</v>
      </c>
      <c r="E330" s="739" t="e">
        <f ca="1">gr(analyses!AC330)</f>
        <v>#NAME?</v>
      </c>
    </row>
    <row r="331" spans="1:5" x14ac:dyDescent="0.2">
      <c r="A331" s="222">
        <f>calculs!A331</f>
        <v>44882</v>
      </c>
      <c r="B331" s="522" t="e">
        <f ca="1">gr(calculs!BD331)</f>
        <v>#NAME?</v>
      </c>
      <c r="C331" s="523" t="e">
        <f ca="1">gr(calculs!BE331)</f>
        <v>#NAME?</v>
      </c>
      <c r="D331" s="739" t="e">
        <f ca="1">gr(données_step[[#This Row],[Temp_eaux]])</f>
        <v>#NAME?</v>
      </c>
      <c r="E331" s="739" t="e">
        <f ca="1">gr(analyses!AC331)</f>
        <v>#NAME?</v>
      </c>
    </row>
    <row r="332" spans="1:5" x14ac:dyDescent="0.2">
      <c r="A332" s="222">
        <f>calculs!A332</f>
        <v>44883</v>
      </c>
      <c r="B332" s="522" t="e">
        <f ca="1">gr(calculs!BD332)</f>
        <v>#NAME?</v>
      </c>
      <c r="C332" s="523" t="e">
        <f ca="1">gr(calculs!BE332)</f>
        <v>#NAME?</v>
      </c>
      <c r="D332" s="739" t="e">
        <f ca="1">gr(données_step[[#This Row],[Temp_eaux]])</f>
        <v>#NAME?</v>
      </c>
      <c r="E332" s="739" t="e">
        <f ca="1">gr(analyses!AC332)</f>
        <v>#NAME?</v>
      </c>
    </row>
    <row r="333" spans="1:5" x14ac:dyDescent="0.2">
      <c r="A333" s="222">
        <f>calculs!A333</f>
        <v>44884</v>
      </c>
      <c r="B333" s="522" t="e">
        <f ca="1">gr(calculs!BD333)</f>
        <v>#NAME?</v>
      </c>
      <c r="C333" s="523" t="e">
        <f ca="1">gr(calculs!BE333)</f>
        <v>#NAME?</v>
      </c>
      <c r="D333" s="739" t="e">
        <f ca="1">gr(données_step[[#This Row],[Temp_eaux]])</f>
        <v>#NAME?</v>
      </c>
      <c r="E333" s="739" t="e">
        <f ca="1">gr(analyses!AC333)</f>
        <v>#NAME?</v>
      </c>
    </row>
    <row r="334" spans="1:5" x14ac:dyDescent="0.2">
      <c r="A334" s="222">
        <f>calculs!A334</f>
        <v>44885</v>
      </c>
      <c r="B334" s="522" t="e">
        <f ca="1">gr(calculs!BD334)</f>
        <v>#NAME?</v>
      </c>
      <c r="C334" s="523" t="e">
        <f ca="1">gr(calculs!BE334)</f>
        <v>#NAME?</v>
      </c>
      <c r="D334" s="739" t="e">
        <f ca="1">gr(données_step[[#This Row],[Temp_eaux]])</f>
        <v>#NAME?</v>
      </c>
      <c r="E334" s="739" t="e">
        <f ca="1">gr(analyses!AC334)</f>
        <v>#NAME?</v>
      </c>
    </row>
    <row r="335" spans="1:5" x14ac:dyDescent="0.2">
      <c r="A335" s="222">
        <f>calculs!A335</f>
        <v>44886</v>
      </c>
      <c r="B335" s="522" t="e">
        <f ca="1">gr(calculs!BD335)</f>
        <v>#NAME?</v>
      </c>
      <c r="C335" s="523" t="e">
        <f ca="1">gr(calculs!BE335)</f>
        <v>#NAME?</v>
      </c>
      <c r="D335" s="739" t="e">
        <f ca="1">gr(données_step[[#This Row],[Temp_eaux]])</f>
        <v>#NAME?</v>
      </c>
      <c r="E335" s="739" t="e">
        <f ca="1">gr(analyses!AC335)</f>
        <v>#NAME?</v>
      </c>
    </row>
    <row r="336" spans="1:5" x14ac:dyDescent="0.2">
      <c r="A336" s="222">
        <f>calculs!A336</f>
        <v>44887</v>
      </c>
      <c r="B336" s="522" t="e">
        <f ca="1">gr(calculs!BD336)</f>
        <v>#NAME?</v>
      </c>
      <c r="C336" s="523" t="e">
        <f ca="1">gr(calculs!BE336)</f>
        <v>#NAME?</v>
      </c>
      <c r="D336" s="739" t="e">
        <f ca="1">gr(données_step[[#This Row],[Temp_eaux]])</f>
        <v>#NAME?</v>
      </c>
      <c r="E336" s="739" t="e">
        <f ca="1">gr(analyses!AC336)</f>
        <v>#NAME?</v>
      </c>
    </row>
    <row r="337" spans="1:5" x14ac:dyDescent="0.2">
      <c r="A337" s="222">
        <f>calculs!A337</f>
        <v>44888</v>
      </c>
      <c r="B337" s="522" t="e">
        <f ca="1">gr(calculs!BD337)</f>
        <v>#NAME?</v>
      </c>
      <c r="C337" s="523" t="e">
        <f ca="1">gr(calculs!BE337)</f>
        <v>#NAME?</v>
      </c>
      <c r="D337" s="739" t="e">
        <f ca="1">gr(données_step[[#This Row],[Temp_eaux]])</f>
        <v>#NAME?</v>
      </c>
      <c r="E337" s="739" t="e">
        <f ca="1">gr(analyses!AC337)</f>
        <v>#NAME?</v>
      </c>
    </row>
    <row r="338" spans="1:5" x14ac:dyDescent="0.2">
      <c r="A338" s="222">
        <f>calculs!A338</f>
        <v>44889</v>
      </c>
      <c r="B338" s="522" t="e">
        <f ca="1">gr(calculs!BD338)</f>
        <v>#NAME?</v>
      </c>
      <c r="C338" s="523" t="e">
        <f ca="1">gr(calculs!BE338)</f>
        <v>#NAME?</v>
      </c>
      <c r="D338" s="739" t="e">
        <f ca="1">gr(données_step[[#This Row],[Temp_eaux]])</f>
        <v>#NAME?</v>
      </c>
      <c r="E338" s="739" t="e">
        <f ca="1">gr(analyses!AC338)</f>
        <v>#NAME?</v>
      </c>
    </row>
    <row r="339" spans="1:5" x14ac:dyDescent="0.2">
      <c r="A339" s="222">
        <f>calculs!A339</f>
        <v>44890</v>
      </c>
      <c r="B339" s="522" t="e">
        <f ca="1">gr(calculs!BD339)</f>
        <v>#NAME?</v>
      </c>
      <c r="C339" s="523" t="e">
        <f ca="1">gr(calculs!BE339)</f>
        <v>#NAME?</v>
      </c>
      <c r="D339" s="739" t="e">
        <f ca="1">gr(données_step[[#This Row],[Temp_eaux]])</f>
        <v>#NAME?</v>
      </c>
      <c r="E339" s="739" t="e">
        <f ca="1">gr(analyses!AC339)</f>
        <v>#NAME?</v>
      </c>
    </row>
    <row r="340" spans="1:5" x14ac:dyDescent="0.2">
      <c r="A340" s="222">
        <f>calculs!A340</f>
        <v>44891</v>
      </c>
      <c r="B340" s="522" t="e">
        <f ca="1">gr(calculs!BD340)</f>
        <v>#NAME?</v>
      </c>
      <c r="C340" s="523" t="e">
        <f ca="1">gr(calculs!BE340)</f>
        <v>#NAME?</v>
      </c>
      <c r="D340" s="739" t="e">
        <f ca="1">gr(données_step[[#This Row],[Temp_eaux]])</f>
        <v>#NAME?</v>
      </c>
      <c r="E340" s="739" t="e">
        <f ca="1">gr(analyses!AC340)</f>
        <v>#NAME?</v>
      </c>
    </row>
    <row r="341" spans="1:5" x14ac:dyDescent="0.2">
      <c r="A341" s="222">
        <f>calculs!A341</f>
        <v>44892</v>
      </c>
      <c r="B341" s="522" t="e">
        <f ca="1">gr(calculs!BD341)</f>
        <v>#NAME?</v>
      </c>
      <c r="C341" s="523" t="e">
        <f ca="1">gr(calculs!BE341)</f>
        <v>#NAME?</v>
      </c>
      <c r="D341" s="739" t="e">
        <f ca="1">gr(données_step[[#This Row],[Temp_eaux]])</f>
        <v>#NAME?</v>
      </c>
      <c r="E341" s="739" t="e">
        <f ca="1">gr(analyses!AC341)</f>
        <v>#NAME?</v>
      </c>
    </row>
    <row r="342" spans="1:5" x14ac:dyDescent="0.2">
      <c r="A342" s="222">
        <f>calculs!A342</f>
        <v>44893</v>
      </c>
      <c r="B342" s="522" t="e">
        <f ca="1">gr(calculs!BD342)</f>
        <v>#NAME?</v>
      </c>
      <c r="C342" s="523" t="e">
        <f ca="1">gr(calculs!BE342)</f>
        <v>#NAME?</v>
      </c>
      <c r="D342" s="739" t="e">
        <f ca="1">gr(données_step[[#This Row],[Temp_eaux]])</f>
        <v>#NAME?</v>
      </c>
      <c r="E342" s="739" t="e">
        <f ca="1">gr(analyses!AC342)</f>
        <v>#NAME?</v>
      </c>
    </row>
    <row r="343" spans="1:5" x14ac:dyDescent="0.2">
      <c r="A343" s="222">
        <f>calculs!A343</f>
        <v>44894</v>
      </c>
      <c r="B343" s="522" t="e">
        <f ca="1">gr(calculs!BD343)</f>
        <v>#NAME?</v>
      </c>
      <c r="C343" s="523" t="e">
        <f ca="1">gr(calculs!BE343)</f>
        <v>#NAME?</v>
      </c>
      <c r="D343" s="739" t="e">
        <f ca="1">gr(données_step[[#This Row],[Temp_eaux]])</f>
        <v>#NAME?</v>
      </c>
      <c r="E343" s="739" t="e">
        <f ca="1">gr(analyses!AC343)</f>
        <v>#NAME?</v>
      </c>
    </row>
    <row r="344" spans="1:5" x14ac:dyDescent="0.2">
      <c r="A344" s="222">
        <f>calculs!A344</f>
        <v>44895</v>
      </c>
      <c r="B344" s="522" t="e">
        <f ca="1">gr(calculs!BD344)</f>
        <v>#NAME?</v>
      </c>
      <c r="C344" s="523" t="e">
        <f ca="1">gr(calculs!BE344)</f>
        <v>#NAME?</v>
      </c>
      <c r="D344" s="739" t="e">
        <f ca="1">gr(données_step[[#This Row],[Temp_eaux]])</f>
        <v>#NAME?</v>
      </c>
      <c r="E344" s="739" t="e">
        <f ca="1">gr(analyses!AC344)</f>
        <v>#NAME?</v>
      </c>
    </row>
    <row r="345" spans="1:5" x14ac:dyDescent="0.2">
      <c r="A345" s="222">
        <f>calculs!A345</f>
        <v>44896</v>
      </c>
      <c r="B345" s="522" t="e">
        <f ca="1">gr(calculs!BD345)</f>
        <v>#NAME?</v>
      </c>
      <c r="C345" s="523" t="e">
        <f ca="1">gr(calculs!BE345)</f>
        <v>#NAME?</v>
      </c>
      <c r="D345" s="739" t="e">
        <f ca="1">gr(données_step[[#This Row],[Temp_eaux]])</f>
        <v>#NAME?</v>
      </c>
      <c r="E345" s="739" t="e">
        <f ca="1">gr(analyses!AC345)</f>
        <v>#NAME?</v>
      </c>
    </row>
    <row r="346" spans="1:5" x14ac:dyDescent="0.2">
      <c r="A346" s="222">
        <f>calculs!A346</f>
        <v>44897</v>
      </c>
      <c r="B346" s="522" t="e">
        <f ca="1">gr(calculs!BD346)</f>
        <v>#NAME?</v>
      </c>
      <c r="C346" s="523" t="e">
        <f ca="1">gr(calculs!BE346)</f>
        <v>#NAME?</v>
      </c>
      <c r="D346" s="739" t="e">
        <f ca="1">gr(données_step[[#This Row],[Temp_eaux]])</f>
        <v>#NAME?</v>
      </c>
      <c r="E346" s="739" t="e">
        <f ca="1">gr(analyses!AC346)</f>
        <v>#NAME?</v>
      </c>
    </row>
    <row r="347" spans="1:5" x14ac:dyDescent="0.2">
      <c r="A347" s="222">
        <f>calculs!A347</f>
        <v>44898</v>
      </c>
      <c r="B347" s="522" t="e">
        <f ca="1">gr(calculs!BD347)</f>
        <v>#NAME?</v>
      </c>
      <c r="C347" s="523" t="e">
        <f ca="1">gr(calculs!BE347)</f>
        <v>#NAME?</v>
      </c>
      <c r="D347" s="739" t="e">
        <f ca="1">gr(données_step[[#This Row],[Temp_eaux]])</f>
        <v>#NAME?</v>
      </c>
      <c r="E347" s="739" t="e">
        <f ca="1">gr(analyses!AC347)</f>
        <v>#NAME?</v>
      </c>
    </row>
    <row r="348" spans="1:5" x14ac:dyDescent="0.2">
      <c r="A348" s="222">
        <f>calculs!A348</f>
        <v>44899</v>
      </c>
      <c r="B348" s="522" t="e">
        <f ca="1">gr(calculs!BD348)</f>
        <v>#NAME?</v>
      </c>
      <c r="C348" s="523" t="e">
        <f ca="1">gr(calculs!BE348)</f>
        <v>#NAME?</v>
      </c>
      <c r="D348" s="739" t="e">
        <f ca="1">gr(données_step[[#This Row],[Temp_eaux]])</f>
        <v>#NAME?</v>
      </c>
      <c r="E348" s="739" t="e">
        <f ca="1">gr(analyses!AC348)</f>
        <v>#NAME?</v>
      </c>
    </row>
    <row r="349" spans="1:5" x14ac:dyDescent="0.2">
      <c r="A349" s="222">
        <f>calculs!A349</f>
        <v>44900</v>
      </c>
      <c r="B349" s="522" t="e">
        <f ca="1">gr(calculs!BD349)</f>
        <v>#NAME?</v>
      </c>
      <c r="C349" s="523" t="e">
        <f ca="1">gr(calculs!BE349)</f>
        <v>#NAME?</v>
      </c>
      <c r="D349" s="739" t="e">
        <f ca="1">gr(données_step[[#This Row],[Temp_eaux]])</f>
        <v>#NAME?</v>
      </c>
      <c r="E349" s="739" t="e">
        <f ca="1">gr(analyses!AC349)</f>
        <v>#NAME?</v>
      </c>
    </row>
    <row r="350" spans="1:5" x14ac:dyDescent="0.2">
      <c r="A350" s="222">
        <f>calculs!A350</f>
        <v>44901</v>
      </c>
      <c r="B350" s="522" t="e">
        <f ca="1">gr(calculs!BD350)</f>
        <v>#NAME?</v>
      </c>
      <c r="C350" s="523" t="e">
        <f ca="1">gr(calculs!BE350)</f>
        <v>#NAME?</v>
      </c>
      <c r="D350" s="739" t="e">
        <f ca="1">gr(données_step[[#This Row],[Temp_eaux]])</f>
        <v>#NAME?</v>
      </c>
      <c r="E350" s="739" t="e">
        <f ca="1">gr(analyses!AC350)</f>
        <v>#NAME?</v>
      </c>
    </row>
    <row r="351" spans="1:5" x14ac:dyDescent="0.2">
      <c r="A351" s="222">
        <f>calculs!A351</f>
        <v>44902</v>
      </c>
      <c r="B351" s="522" t="e">
        <f ca="1">gr(calculs!BD351)</f>
        <v>#NAME?</v>
      </c>
      <c r="C351" s="523" t="e">
        <f ca="1">gr(calculs!BE351)</f>
        <v>#NAME?</v>
      </c>
      <c r="D351" s="739" t="e">
        <f ca="1">gr(données_step[[#This Row],[Temp_eaux]])</f>
        <v>#NAME?</v>
      </c>
      <c r="E351" s="739" t="e">
        <f ca="1">gr(analyses!AC351)</f>
        <v>#NAME?</v>
      </c>
    </row>
    <row r="352" spans="1:5" x14ac:dyDescent="0.2">
      <c r="A352" s="222">
        <f>calculs!A352</f>
        <v>44903</v>
      </c>
      <c r="B352" s="522" t="e">
        <f ca="1">gr(calculs!BD352)</f>
        <v>#NAME?</v>
      </c>
      <c r="C352" s="523" t="e">
        <f ca="1">gr(calculs!BE352)</f>
        <v>#NAME?</v>
      </c>
      <c r="D352" s="739" t="e">
        <f ca="1">gr(données_step[[#This Row],[Temp_eaux]])</f>
        <v>#NAME?</v>
      </c>
      <c r="E352" s="739" t="e">
        <f ca="1">gr(analyses!AC352)</f>
        <v>#NAME?</v>
      </c>
    </row>
    <row r="353" spans="1:5" x14ac:dyDescent="0.2">
      <c r="A353" s="222">
        <f>calculs!A353</f>
        <v>44904</v>
      </c>
      <c r="B353" s="522" t="e">
        <f ca="1">gr(calculs!BD353)</f>
        <v>#NAME?</v>
      </c>
      <c r="C353" s="523" t="e">
        <f ca="1">gr(calculs!BE353)</f>
        <v>#NAME?</v>
      </c>
      <c r="D353" s="739" t="e">
        <f ca="1">gr(données_step[[#This Row],[Temp_eaux]])</f>
        <v>#NAME?</v>
      </c>
      <c r="E353" s="739" t="e">
        <f ca="1">gr(analyses!AC353)</f>
        <v>#NAME?</v>
      </c>
    </row>
    <row r="354" spans="1:5" x14ac:dyDescent="0.2">
      <c r="A354" s="222">
        <f>calculs!A354</f>
        <v>44905</v>
      </c>
      <c r="B354" s="522" t="e">
        <f ca="1">gr(calculs!BD354)</f>
        <v>#NAME?</v>
      </c>
      <c r="C354" s="523" t="e">
        <f ca="1">gr(calculs!BE354)</f>
        <v>#NAME?</v>
      </c>
      <c r="D354" s="739" t="e">
        <f ca="1">gr(données_step[[#This Row],[Temp_eaux]])</f>
        <v>#NAME?</v>
      </c>
      <c r="E354" s="739" t="e">
        <f ca="1">gr(analyses!AC354)</f>
        <v>#NAME?</v>
      </c>
    </row>
    <row r="355" spans="1:5" x14ac:dyDescent="0.2">
      <c r="A355" s="222">
        <f>calculs!A355</f>
        <v>44906</v>
      </c>
      <c r="B355" s="522" t="e">
        <f ca="1">gr(calculs!BD355)</f>
        <v>#NAME?</v>
      </c>
      <c r="C355" s="523" t="e">
        <f ca="1">gr(calculs!BE355)</f>
        <v>#NAME?</v>
      </c>
      <c r="D355" s="739" t="e">
        <f ca="1">gr(données_step[[#This Row],[Temp_eaux]])</f>
        <v>#NAME?</v>
      </c>
      <c r="E355" s="739" t="e">
        <f ca="1">gr(analyses!AC355)</f>
        <v>#NAME?</v>
      </c>
    </row>
    <row r="356" spans="1:5" x14ac:dyDescent="0.2">
      <c r="A356" s="222">
        <f>calculs!A356</f>
        <v>44907</v>
      </c>
      <c r="B356" s="522" t="e">
        <f ca="1">gr(calculs!BD356)</f>
        <v>#NAME?</v>
      </c>
      <c r="C356" s="523" t="e">
        <f ca="1">gr(calculs!BE356)</f>
        <v>#NAME?</v>
      </c>
      <c r="D356" s="739" t="e">
        <f ca="1">gr(données_step[[#This Row],[Temp_eaux]])</f>
        <v>#NAME?</v>
      </c>
      <c r="E356" s="739" t="e">
        <f ca="1">gr(analyses!AC356)</f>
        <v>#NAME?</v>
      </c>
    </row>
    <row r="357" spans="1:5" x14ac:dyDescent="0.2">
      <c r="A357" s="222">
        <f>calculs!A357</f>
        <v>44908</v>
      </c>
      <c r="B357" s="522" t="e">
        <f ca="1">gr(calculs!BD357)</f>
        <v>#NAME?</v>
      </c>
      <c r="C357" s="523" t="e">
        <f ca="1">gr(calculs!BE357)</f>
        <v>#NAME?</v>
      </c>
      <c r="D357" s="739" t="e">
        <f ca="1">gr(données_step[[#This Row],[Temp_eaux]])</f>
        <v>#NAME?</v>
      </c>
      <c r="E357" s="739" t="e">
        <f ca="1">gr(analyses!AC357)</f>
        <v>#NAME?</v>
      </c>
    </row>
    <row r="358" spans="1:5" x14ac:dyDescent="0.2">
      <c r="A358" s="222">
        <f>calculs!A358</f>
        <v>44909</v>
      </c>
      <c r="B358" s="522" t="e">
        <f ca="1">gr(calculs!BD358)</f>
        <v>#NAME?</v>
      </c>
      <c r="C358" s="523" t="e">
        <f ca="1">gr(calculs!BE358)</f>
        <v>#NAME?</v>
      </c>
      <c r="D358" s="739" t="e">
        <f ca="1">gr(données_step[[#This Row],[Temp_eaux]])</f>
        <v>#NAME?</v>
      </c>
      <c r="E358" s="739" t="e">
        <f ca="1">gr(analyses!AC358)</f>
        <v>#NAME?</v>
      </c>
    </row>
    <row r="359" spans="1:5" x14ac:dyDescent="0.2">
      <c r="A359" s="222">
        <f>calculs!A359</f>
        <v>44910</v>
      </c>
      <c r="B359" s="522" t="e">
        <f ca="1">gr(calculs!BD359)</f>
        <v>#NAME?</v>
      </c>
      <c r="C359" s="523" t="e">
        <f ca="1">gr(calculs!BE359)</f>
        <v>#NAME?</v>
      </c>
      <c r="D359" s="739" t="e">
        <f ca="1">gr(données_step[[#This Row],[Temp_eaux]])</f>
        <v>#NAME?</v>
      </c>
      <c r="E359" s="739" t="e">
        <f ca="1">gr(analyses!AC359)</f>
        <v>#NAME?</v>
      </c>
    </row>
    <row r="360" spans="1:5" x14ac:dyDescent="0.2">
      <c r="A360" s="222">
        <f>calculs!A360</f>
        <v>44911</v>
      </c>
      <c r="B360" s="522" t="e">
        <f ca="1">gr(calculs!BD360)</f>
        <v>#NAME?</v>
      </c>
      <c r="C360" s="523" t="e">
        <f ca="1">gr(calculs!BE360)</f>
        <v>#NAME?</v>
      </c>
      <c r="D360" s="739" t="e">
        <f ca="1">gr(données_step[[#This Row],[Temp_eaux]])</f>
        <v>#NAME?</v>
      </c>
      <c r="E360" s="739" t="e">
        <f ca="1">gr(analyses!AC360)</f>
        <v>#NAME?</v>
      </c>
    </row>
    <row r="361" spans="1:5" x14ac:dyDescent="0.2">
      <c r="A361" s="222">
        <f>calculs!A361</f>
        <v>44912</v>
      </c>
      <c r="B361" s="522" t="e">
        <f ca="1">gr(calculs!BD361)</f>
        <v>#NAME?</v>
      </c>
      <c r="C361" s="523" t="e">
        <f ca="1">gr(calculs!BE361)</f>
        <v>#NAME?</v>
      </c>
      <c r="D361" s="739" t="e">
        <f ca="1">gr(données_step[[#This Row],[Temp_eaux]])</f>
        <v>#NAME?</v>
      </c>
      <c r="E361" s="739" t="e">
        <f ca="1">gr(analyses!AC361)</f>
        <v>#NAME?</v>
      </c>
    </row>
    <row r="362" spans="1:5" x14ac:dyDescent="0.2">
      <c r="A362" s="222">
        <f>calculs!A362</f>
        <v>44913</v>
      </c>
      <c r="B362" s="522" t="e">
        <f ca="1">gr(calculs!BD362)</f>
        <v>#NAME?</v>
      </c>
      <c r="C362" s="523" t="e">
        <f ca="1">gr(calculs!BE362)</f>
        <v>#NAME?</v>
      </c>
      <c r="D362" s="739" t="e">
        <f ca="1">gr(données_step[[#This Row],[Temp_eaux]])</f>
        <v>#NAME?</v>
      </c>
      <c r="E362" s="739" t="e">
        <f ca="1">gr(analyses!AC362)</f>
        <v>#NAME?</v>
      </c>
    </row>
    <row r="363" spans="1:5" x14ac:dyDescent="0.2">
      <c r="A363" s="222">
        <f>calculs!A363</f>
        <v>44914</v>
      </c>
      <c r="B363" s="522" t="e">
        <f ca="1">gr(calculs!BD363)</f>
        <v>#NAME?</v>
      </c>
      <c r="C363" s="523" t="e">
        <f ca="1">gr(calculs!BE363)</f>
        <v>#NAME?</v>
      </c>
      <c r="D363" s="739" t="e">
        <f ca="1">gr(données_step[[#This Row],[Temp_eaux]])</f>
        <v>#NAME?</v>
      </c>
      <c r="E363" s="739" t="e">
        <f ca="1">gr(analyses!AC363)</f>
        <v>#NAME?</v>
      </c>
    </row>
    <row r="364" spans="1:5" x14ac:dyDescent="0.2">
      <c r="A364" s="222">
        <f>calculs!A364</f>
        <v>44915</v>
      </c>
      <c r="B364" s="522" t="e">
        <f ca="1">gr(calculs!BD364)</f>
        <v>#NAME?</v>
      </c>
      <c r="C364" s="523" t="e">
        <f ca="1">gr(calculs!BE364)</f>
        <v>#NAME?</v>
      </c>
      <c r="D364" s="739" t="e">
        <f ca="1">gr(données_step[[#This Row],[Temp_eaux]])</f>
        <v>#NAME?</v>
      </c>
      <c r="E364" s="739" t="e">
        <f ca="1">gr(analyses!AC364)</f>
        <v>#NAME?</v>
      </c>
    </row>
    <row r="365" spans="1:5" x14ac:dyDescent="0.2">
      <c r="A365" s="222">
        <f>calculs!A365</f>
        <v>44916</v>
      </c>
      <c r="B365" s="522" t="e">
        <f ca="1">gr(calculs!BD365)</f>
        <v>#NAME?</v>
      </c>
      <c r="C365" s="523" t="e">
        <f ca="1">gr(calculs!BE365)</f>
        <v>#NAME?</v>
      </c>
      <c r="D365" s="739" t="e">
        <f ca="1">gr(données_step[[#This Row],[Temp_eaux]])</f>
        <v>#NAME?</v>
      </c>
      <c r="E365" s="739" t="e">
        <f ca="1">gr(analyses!AC365)</f>
        <v>#NAME?</v>
      </c>
    </row>
    <row r="366" spans="1:5" x14ac:dyDescent="0.2">
      <c r="A366" s="222">
        <f>calculs!A366</f>
        <v>44917</v>
      </c>
      <c r="B366" s="522" t="e">
        <f ca="1">gr(calculs!BD366)</f>
        <v>#NAME?</v>
      </c>
      <c r="C366" s="523" t="e">
        <f ca="1">gr(calculs!BE366)</f>
        <v>#NAME?</v>
      </c>
      <c r="D366" s="739" t="e">
        <f ca="1">gr(données_step[[#This Row],[Temp_eaux]])</f>
        <v>#NAME?</v>
      </c>
      <c r="E366" s="739" t="e">
        <f ca="1">gr(analyses!AC366)</f>
        <v>#NAME?</v>
      </c>
    </row>
    <row r="367" spans="1:5" x14ac:dyDescent="0.2">
      <c r="A367" s="222">
        <f>calculs!A367</f>
        <v>44918</v>
      </c>
      <c r="B367" s="522" t="e">
        <f ca="1">gr(calculs!BD367)</f>
        <v>#NAME?</v>
      </c>
      <c r="C367" s="523" t="e">
        <f ca="1">gr(calculs!BE367)</f>
        <v>#NAME?</v>
      </c>
      <c r="D367" s="739" t="e">
        <f ca="1">gr(données_step[[#This Row],[Temp_eaux]])</f>
        <v>#NAME?</v>
      </c>
      <c r="E367" s="739" t="e">
        <f ca="1">gr(analyses!AC367)</f>
        <v>#NAME?</v>
      </c>
    </row>
    <row r="368" spans="1:5" x14ac:dyDescent="0.2">
      <c r="A368" s="222">
        <f>calculs!A368</f>
        <v>44919</v>
      </c>
      <c r="B368" s="522" t="e">
        <f ca="1">gr(calculs!BD368)</f>
        <v>#NAME?</v>
      </c>
      <c r="C368" s="523" t="e">
        <f ca="1">gr(calculs!BE368)</f>
        <v>#NAME?</v>
      </c>
      <c r="D368" s="739" t="e">
        <f ca="1">gr(données_step[[#This Row],[Temp_eaux]])</f>
        <v>#NAME?</v>
      </c>
      <c r="E368" s="739" t="e">
        <f ca="1">gr(analyses!AC368)</f>
        <v>#NAME?</v>
      </c>
    </row>
    <row r="369" spans="1:5" x14ac:dyDescent="0.2">
      <c r="A369" s="222">
        <f>calculs!A369</f>
        <v>44920</v>
      </c>
      <c r="B369" s="522" t="e">
        <f ca="1">gr(calculs!BD369)</f>
        <v>#NAME?</v>
      </c>
      <c r="C369" s="523" t="e">
        <f ca="1">gr(calculs!BE369)</f>
        <v>#NAME?</v>
      </c>
      <c r="D369" s="739" t="e">
        <f ca="1">gr(données_step[[#This Row],[Temp_eaux]])</f>
        <v>#NAME?</v>
      </c>
      <c r="E369" s="739" t="e">
        <f ca="1">gr(analyses!AC369)</f>
        <v>#NAME?</v>
      </c>
    </row>
    <row r="370" spans="1:5" x14ac:dyDescent="0.2">
      <c r="A370" s="222">
        <f>calculs!A370</f>
        <v>44921</v>
      </c>
      <c r="B370" s="522" t="e">
        <f ca="1">gr(calculs!BD370)</f>
        <v>#NAME?</v>
      </c>
      <c r="C370" s="523" t="e">
        <f ca="1">gr(calculs!BE370)</f>
        <v>#NAME?</v>
      </c>
      <c r="D370" s="739" t="e">
        <f ca="1">gr(données_step[[#This Row],[Temp_eaux]])</f>
        <v>#NAME?</v>
      </c>
      <c r="E370" s="739" t="e">
        <f ca="1">gr(analyses!AC370)</f>
        <v>#NAME?</v>
      </c>
    </row>
    <row r="371" spans="1:5" x14ac:dyDescent="0.2">
      <c r="A371" s="222">
        <f>calculs!A371</f>
        <v>44922</v>
      </c>
      <c r="B371" s="522" t="e">
        <f ca="1">gr(calculs!BD371)</f>
        <v>#NAME?</v>
      </c>
      <c r="C371" s="523" t="e">
        <f ca="1">gr(calculs!BE371)</f>
        <v>#NAME?</v>
      </c>
      <c r="D371" s="739" t="e">
        <f ca="1">gr(données_step[[#This Row],[Temp_eaux]])</f>
        <v>#NAME?</v>
      </c>
      <c r="E371" s="739" t="e">
        <f ca="1">gr(analyses!AC371)</f>
        <v>#NAME?</v>
      </c>
    </row>
    <row r="372" spans="1:5" x14ac:dyDescent="0.2">
      <c r="A372" s="222">
        <f>calculs!A372</f>
        <v>44923</v>
      </c>
      <c r="B372" s="522" t="e">
        <f ca="1">gr(calculs!BD372)</f>
        <v>#NAME?</v>
      </c>
      <c r="C372" s="523" t="e">
        <f ca="1">gr(calculs!BE372)</f>
        <v>#NAME?</v>
      </c>
      <c r="D372" s="739" t="e">
        <f ca="1">gr(données_step[[#This Row],[Temp_eaux]])</f>
        <v>#NAME?</v>
      </c>
      <c r="E372" s="739" t="e">
        <f ca="1">gr(analyses!AC372)</f>
        <v>#NAME?</v>
      </c>
    </row>
    <row r="373" spans="1:5" x14ac:dyDescent="0.2">
      <c r="A373" s="222">
        <f>calculs!A373</f>
        <v>44924</v>
      </c>
      <c r="B373" s="522" t="e">
        <f ca="1">gr(calculs!BD373)</f>
        <v>#NAME?</v>
      </c>
      <c r="C373" s="523" t="e">
        <f ca="1">gr(calculs!BE373)</f>
        <v>#NAME?</v>
      </c>
      <c r="D373" s="739" t="e">
        <f ca="1">gr(données_step[[#This Row],[Temp_eaux]])</f>
        <v>#NAME?</v>
      </c>
      <c r="E373" s="739" t="e">
        <f ca="1">gr(analyses!AC373)</f>
        <v>#NAME?</v>
      </c>
    </row>
    <row r="374" spans="1:5" x14ac:dyDescent="0.2">
      <c r="A374" s="222">
        <f>calculs!A374</f>
        <v>44925</v>
      </c>
      <c r="B374" s="522" t="e">
        <f ca="1">gr(calculs!BD374)</f>
        <v>#NAME?</v>
      </c>
      <c r="C374" s="523" t="e">
        <f ca="1">gr(calculs!BE374)</f>
        <v>#NAME?</v>
      </c>
      <c r="D374" s="739" t="e">
        <f ca="1">gr(données_step[[#This Row],[Temp_eaux]])</f>
        <v>#NAME?</v>
      </c>
      <c r="E374" s="739" t="e">
        <f ca="1">gr(analyses!AC374)</f>
        <v>#NAME?</v>
      </c>
    </row>
    <row r="375" spans="1:5" x14ac:dyDescent="0.2">
      <c r="A375" s="222">
        <f>calculs!A375</f>
        <v>44926</v>
      </c>
      <c r="B375" s="522" t="e">
        <f ca="1">gr(calculs!BD375)</f>
        <v>#NAME?</v>
      </c>
      <c r="C375" s="523" t="e">
        <f ca="1">gr(calculs!BE375)</f>
        <v>#NAME?</v>
      </c>
      <c r="D375" s="739" t="e">
        <f ca="1">gr(données_step[[#This Row],[Temp_eaux]])</f>
        <v>#NAME?</v>
      </c>
      <c r="E375" s="739" t="e">
        <f ca="1">gr(analyses!AC375)</f>
        <v>#NAME?</v>
      </c>
    </row>
    <row r="376" spans="1:5" x14ac:dyDescent="0.2">
      <c r="A376" s="222">
        <f>calculs!A376</f>
        <v>0</v>
      </c>
      <c r="B376" s="522" t="e">
        <f ca="1">gr(calculs!BD376)</f>
        <v>#NAME?</v>
      </c>
      <c r="C376" s="523" t="e">
        <f ca="1">gr(calculs!BE376)</f>
        <v>#NAME?</v>
      </c>
      <c r="D376" s="739" t="e">
        <f ca="1">gr(données_step[[#This Row],[Temp_eaux]])</f>
        <v>#NAME?</v>
      </c>
      <c r="E376" s="739" t="e">
        <f ca="1">gr(analyses!AC376)</f>
        <v>#NAME?</v>
      </c>
    </row>
    <row r="377" spans="1:5" s="515" customFormat="1" x14ac:dyDescent="0.2"/>
  </sheetData>
  <pageMargins left="0.7" right="0.7" top="0.75" bottom="0.75" header="0.3" footer="0.3"/>
  <pageSetup paperSize="301" scale="52" orientation="portrait" r:id="rId1"/>
  <colBreaks count="1" manualBreakCount="1">
    <brk id="7" max="37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C000"/>
  </sheetPr>
  <dimension ref="A1:AB58"/>
  <sheetViews>
    <sheetView topLeftCell="P1" zoomScale="115" zoomScaleNormal="115" workbookViewId="0">
      <selection activeCell="AH18" sqref="AH18"/>
    </sheetView>
  </sheetViews>
  <sheetFormatPr baseColWidth="10" defaultRowHeight="12.75" x14ac:dyDescent="0.2"/>
  <cols>
    <col min="1" max="1" width="4.28515625" style="14" customWidth="1"/>
    <col min="2" max="3" width="11.85546875" style="14" customWidth="1"/>
    <col min="4" max="4" width="13.28515625" style="14" customWidth="1"/>
    <col min="5" max="5" width="4.28515625" style="14" customWidth="1"/>
    <col min="6" max="6" width="7.140625" style="14" customWidth="1"/>
    <col min="7" max="9" width="2.42578125" style="14" customWidth="1"/>
    <col min="10" max="10" width="0" style="14" hidden="1" customWidth="1"/>
    <col min="11" max="11" width="16.140625" hidden="1" customWidth="1"/>
    <col min="12" max="12" width="0" hidden="1" customWidth="1"/>
    <col min="14" max="14" width="9" customWidth="1"/>
    <col min="15" max="15" width="8.140625" customWidth="1"/>
    <col min="20" max="20" width="9.28515625" customWidth="1"/>
    <col min="22" max="22" width="2.140625" customWidth="1"/>
    <col min="23" max="23" width="7.7109375" customWidth="1"/>
    <col min="24" max="24" width="3.28515625" customWidth="1"/>
    <col min="28" max="28" width="11.5703125" hidden="1" customWidth="1"/>
  </cols>
  <sheetData>
    <row r="1" spans="1:22" ht="19.149999999999999" customHeight="1" x14ac:dyDescent="0.25">
      <c r="A1" s="1102" t="str">
        <f>IF(Langue=1,"Schéma général de la STEP avec exemples","Allgemeines ARA-Schema mit Beispieldaten")</f>
        <v>Allgemeines ARA-Schema mit Beispieldaten</v>
      </c>
      <c r="B1" s="1102"/>
      <c r="C1" s="1102"/>
      <c r="D1" s="1102"/>
      <c r="E1" s="1102"/>
      <c r="F1" s="82"/>
      <c r="G1" s="82"/>
      <c r="H1" s="82"/>
      <c r="I1" s="82"/>
      <c r="J1" s="82"/>
      <c r="K1" s="141"/>
      <c r="L1" s="141"/>
      <c r="M1" s="141"/>
      <c r="N1" s="141"/>
    </row>
    <row r="2" spans="1:22" ht="18" x14ac:dyDescent="0.25">
      <c r="A2" s="82" t="str">
        <f>IF(Langue=1,"(Boues)","(Schlamm)")</f>
        <v>(Schlamm)</v>
      </c>
      <c r="B2" s="82"/>
      <c r="C2" s="82"/>
      <c r="D2" s="82"/>
      <c r="E2" s="82"/>
      <c r="F2" s="82"/>
      <c r="G2" s="82"/>
      <c r="H2" s="82"/>
      <c r="I2" s="82"/>
      <c r="J2" s="82"/>
      <c r="K2" s="141"/>
      <c r="L2" s="141"/>
      <c r="M2" s="802"/>
      <c r="N2" s="802"/>
      <c r="O2" s="792"/>
      <c r="P2" s="792"/>
      <c r="Q2" s="792"/>
      <c r="R2" s="792"/>
      <c r="S2" s="792"/>
      <c r="T2" s="792"/>
      <c r="U2" s="792"/>
      <c r="V2" s="792"/>
    </row>
    <row r="3" spans="1:22" ht="6.6" customHeight="1" x14ac:dyDescent="0.2">
      <c r="M3" s="792"/>
      <c r="N3" s="792"/>
      <c r="O3" s="792"/>
      <c r="P3" s="792"/>
      <c r="Q3" s="792"/>
      <c r="R3" s="792"/>
      <c r="S3" s="792"/>
      <c r="T3" s="792"/>
      <c r="U3" s="792"/>
      <c r="V3" s="792"/>
    </row>
    <row r="4" spans="1:22" x14ac:dyDescent="0.2">
      <c r="M4" s="792"/>
      <c r="N4" s="792"/>
      <c r="O4" s="792"/>
      <c r="P4" s="792"/>
      <c r="Q4" s="792"/>
      <c r="R4" s="792"/>
      <c r="S4" s="792"/>
      <c r="T4" s="792"/>
      <c r="U4" s="792"/>
      <c r="V4" s="792"/>
    </row>
    <row r="5" spans="1:22" ht="12.75" customHeight="1" x14ac:dyDescent="0.2">
      <c r="M5" s="792"/>
      <c r="N5" s="792"/>
      <c r="O5" s="792"/>
      <c r="P5" s="792"/>
      <c r="Q5" s="792"/>
      <c r="R5" s="792"/>
      <c r="S5" s="792"/>
      <c r="T5" s="792"/>
      <c r="U5" s="792"/>
      <c r="V5" s="792"/>
    </row>
    <row r="6" spans="1:22" x14ac:dyDescent="0.2">
      <c r="B6" s="1107" t="str">
        <f>IF(Langue=1,"Epaississement","Eindickung")</f>
        <v>Eindickung</v>
      </c>
      <c r="C6" s="1108"/>
      <c r="D6" s="1109"/>
      <c r="M6" s="792"/>
      <c r="N6" s="792"/>
      <c r="O6" s="792"/>
      <c r="P6" s="792"/>
      <c r="Q6" s="815"/>
      <c r="R6" s="815"/>
      <c r="S6" s="804"/>
      <c r="T6" s="805"/>
      <c r="U6" s="1"/>
      <c r="V6" s="792"/>
    </row>
    <row r="7" spans="1:22" x14ac:dyDescent="0.2">
      <c r="B7" s="1110"/>
      <c r="C7" s="1111"/>
      <c r="D7" s="1112"/>
      <c r="M7" s="792"/>
      <c r="N7" s="792"/>
      <c r="O7" s="792"/>
      <c r="P7" s="792"/>
      <c r="Q7" s="815"/>
      <c r="R7" s="815"/>
      <c r="S7" s="804"/>
      <c r="T7" s="806"/>
      <c r="U7" s="1"/>
      <c r="V7" s="792"/>
    </row>
    <row r="8" spans="1:22" x14ac:dyDescent="0.2">
      <c r="B8" s="1113"/>
      <c r="C8" s="1114"/>
      <c r="D8" s="1115"/>
      <c r="K8" s="14" t="str">
        <f>IF(Langue=1,"échantilloneur","Probenehmer")</f>
        <v>Probenehmer</v>
      </c>
      <c r="M8" s="792"/>
      <c r="N8" s="792"/>
      <c r="O8" s="803"/>
      <c r="P8" s="803"/>
      <c r="Q8" s="815"/>
      <c r="R8" s="815"/>
      <c r="S8" s="804"/>
      <c r="T8" s="807"/>
      <c r="U8" s="1"/>
      <c r="V8" s="792"/>
    </row>
    <row r="9" spans="1:22" ht="4.9000000000000004" customHeight="1" x14ac:dyDescent="0.2">
      <c r="M9" s="792"/>
      <c r="N9" s="792"/>
      <c r="O9" s="792"/>
      <c r="P9" s="792"/>
      <c r="Q9" s="792"/>
      <c r="R9" s="792"/>
      <c r="S9" s="792"/>
      <c r="T9" s="792"/>
      <c r="U9" s="792"/>
      <c r="V9" s="792"/>
    </row>
    <row r="10" spans="1:22" x14ac:dyDescent="0.2">
      <c r="K10" t="str">
        <f>IF(Langue=1,"est pris en compte dans calculs","wird in Berechnungen übernommen")</f>
        <v>wird in Berechnungen übernommen</v>
      </c>
      <c r="M10" s="792"/>
      <c r="N10" s="792"/>
      <c r="O10" s="792"/>
      <c r="P10" s="792"/>
      <c r="Q10" s="792"/>
      <c r="R10" s="792"/>
      <c r="S10" s="792"/>
      <c r="T10" s="792"/>
      <c r="U10" s="792"/>
      <c r="V10" s="792"/>
    </row>
    <row r="11" spans="1:22" ht="17.45" customHeight="1" x14ac:dyDescent="0.2">
      <c r="K11" t="str">
        <f>IF(Langue=1,"n'est pas pris en compte dans calculs","nicht benutzt in Berechnungen")</f>
        <v>nicht benutzt in Berechnungen</v>
      </c>
      <c r="M11" s="792"/>
      <c r="N11" s="792"/>
      <c r="O11" s="792"/>
      <c r="P11" s="792"/>
      <c r="Q11" s="792"/>
      <c r="R11" s="792"/>
      <c r="S11" s="792"/>
      <c r="T11" s="792"/>
      <c r="U11" s="792"/>
      <c r="V11" s="792"/>
    </row>
    <row r="12" spans="1:22" ht="10.5" customHeight="1" x14ac:dyDescent="0.2">
      <c r="M12" s="792"/>
      <c r="N12" s="792"/>
      <c r="O12" s="792"/>
      <c r="P12" s="792"/>
      <c r="Q12" s="792"/>
      <c r="R12" s="792"/>
      <c r="S12" s="792"/>
      <c r="T12" s="792"/>
      <c r="U12" s="792"/>
      <c r="V12" s="792"/>
    </row>
    <row r="13" spans="1:22" x14ac:dyDescent="0.2">
      <c r="B13" s="1125" t="str">
        <f>IF(Langue=1,"Digestion","Faulung")</f>
        <v>Faulung</v>
      </c>
      <c r="C13" s="1126"/>
      <c r="D13" s="1127"/>
      <c r="M13" s="815"/>
      <c r="N13" s="815"/>
      <c r="O13" s="815"/>
      <c r="P13" s="804"/>
      <c r="Q13" s="808"/>
      <c r="R13" s="809"/>
      <c r="S13" s="792"/>
      <c r="T13" s="792"/>
      <c r="U13" s="792"/>
      <c r="V13" s="792"/>
    </row>
    <row r="14" spans="1:22" x14ac:dyDescent="0.2">
      <c r="B14" s="1128"/>
      <c r="C14" s="1129"/>
      <c r="D14" s="1130"/>
      <c r="M14" s="815"/>
      <c r="N14" s="815"/>
      <c r="O14" s="815"/>
      <c r="P14" s="804"/>
      <c r="Q14" s="806"/>
      <c r="R14" s="809"/>
      <c r="S14" s="792"/>
      <c r="T14" s="792"/>
      <c r="U14" s="792"/>
      <c r="V14" s="792"/>
    </row>
    <row r="15" spans="1:22" ht="12.75" customHeight="1" x14ac:dyDescent="0.2">
      <c r="B15" s="1131"/>
      <c r="C15" s="1132"/>
      <c r="D15" s="1133"/>
      <c r="M15" s="815"/>
      <c r="N15" s="815"/>
      <c r="O15" s="815"/>
      <c r="P15" s="804"/>
      <c r="Q15" s="807"/>
      <c r="R15" s="809"/>
      <c r="S15" s="792"/>
      <c r="T15" s="792"/>
      <c r="U15" s="792"/>
      <c r="V15" s="792"/>
    </row>
    <row r="16" spans="1:22" ht="7.15" customHeight="1" x14ac:dyDescent="0.2">
      <c r="B16" s="4"/>
      <c r="M16" s="792"/>
      <c r="N16" s="792"/>
      <c r="O16" s="792"/>
      <c r="P16" s="792"/>
      <c r="Q16" s="810"/>
      <c r="R16" s="792"/>
      <c r="S16" s="792"/>
      <c r="T16" s="792"/>
      <c r="U16" s="792"/>
      <c r="V16" s="792"/>
    </row>
    <row r="17" spans="2:22" ht="15" customHeight="1" x14ac:dyDescent="0.2">
      <c r="M17" s="792"/>
      <c r="N17" s="792"/>
      <c r="O17" s="792"/>
      <c r="P17" s="803"/>
      <c r="Q17" s="803"/>
      <c r="R17" s="792"/>
      <c r="S17" s="792"/>
      <c r="T17" s="792"/>
      <c r="U17" s="792"/>
      <c r="V17" s="792"/>
    </row>
    <row r="18" spans="2:22" ht="15" customHeight="1" x14ac:dyDescent="0.2">
      <c r="E18" s="20"/>
      <c r="M18" s="792"/>
      <c r="N18" s="792"/>
      <c r="O18" s="792"/>
      <c r="P18" s="792"/>
      <c r="Q18" s="792"/>
      <c r="R18" s="792"/>
      <c r="S18" s="792"/>
      <c r="T18" s="792"/>
      <c r="U18" s="792"/>
      <c r="V18" s="792"/>
    </row>
    <row r="19" spans="2:22" ht="41.25" customHeight="1" x14ac:dyDescent="0.2">
      <c r="M19" s="792"/>
      <c r="N19" s="792"/>
      <c r="O19" s="792"/>
      <c r="P19" s="792"/>
      <c r="Q19" s="792"/>
      <c r="R19" s="792"/>
      <c r="S19" s="792"/>
      <c r="T19" s="792"/>
      <c r="U19" s="792"/>
      <c r="V19" s="792"/>
    </row>
    <row r="20" spans="2:22" ht="46.5" customHeight="1" x14ac:dyDescent="0.2">
      <c r="M20" s="811"/>
      <c r="N20" s="811"/>
      <c r="O20" s="811"/>
      <c r="P20" s="811"/>
      <c r="Q20" s="811"/>
      <c r="R20" s="816"/>
      <c r="S20" s="816"/>
      <c r="T20" s="812"/>
      <c r="U20" s="812"/>
      <c r="V20" s="792"/>
    </row>
    <row r="21" spans="2:22" x14ac:dyDescent="0.2">
      <c r="B21" s="1125" t="str">
        <f>IF(Langue=1,"Déshydratation","Entwässerung")</f>
        <v>Entwässerung</v>
      </c>
      <c r="C21" s="1126"/>
      <c r="D21" s="1127"/>
      <c r="M21" s="816"/>
      <c r="N21" s="816"/>
      <c r="O21" s="816"/>
      <c r="P21" s="811"/>
      <c r="Q21" s="813"/>
      <c r="R21" s="813"/>
      <c r="S21" s="813"/>
      <c r="T21" s="813"/>
      <c r="U21" s="813"/>
    </row>
    <row r="22" spans="2:22" ht="12.75" customHeight="1" x14ac:dyDescent="0.2">
      <c r="B22" s="1128"/>
      <c r="C22" s="1129"/>
      <c r="D22" s="1130"/>
      <c r="E22" s="4"/>
      <c r="M22" s="816"/>
      <c r="N22" s="816"/>
      <c r="O22" s="816"/>
      <c r="P22" s="811"/>
      <c r="Q22" s="811"/>
      <c r="R22" s="811"/>
      <c r="S22" s="811"/>
      <c r="T22" s="811"/>
      <c r="U22" s="811"/>
    </row>
    <row r="23" spans="2:22" ht="12.75" customHeight="1" x14ac:dyDescent="0.2">
      <c r="B23" s="1131"/>
      <c r="C23" s="1132"/>
      <c r="D23" s="1133"/>
      <c r="M23" s="816"/>
      <c r="N23" s="816"/>
      <c r="O23" s="816"/>
      <c r="P23" s="811"/>
      <c r="Q23" s="814"/>
      <c r="R23" s="811"/>
      <c r="S23" s="811"/>
      <c r="T23" s="811"/>
      <c r="U23" s="811"/>
    </row>
    <row r="24" spans="2:22" ht="6.6" customHeight="1" x14ac:dyDescent="0.2">
      <c r="C24"/>
      <c r="O24" s="68"/>
      <c r="P24" s="68"/>
      <c r="Q24" s="792"/>
      <c r="R24" s="792"/>
      <c r="S24" s="792"/>
      <c r="T24" s="792"/>
      <c r="U24" s="792"/>
    </row>
    <row r="25" spans="2:22" ht="12.75" customHeight="1" x14ac:dyDescent="0.2">
      <c r="Q25" s="815"/>
      <c r="R25" s="815"/>
      <c r="S25" s="804"/>
      <c r="T25" s="805"/>
      <c r="U25" s="1"/>
    </row>
    <row r="26" spans="2:22" ht="12.75" customHeight="1" x14ac:dyDescent="0.2">
      <c r="M26" s="1116" t="str">
        <f>IF(Langue=1,"Decantation primaire","Vorklärung")</f>
        <v>Vorklärung</v>
      </c>
      <c r="N26" s="1117"/>
      <c r="O26" s="1118"/>
      <c r="Q26" s="815"/>
      <c r="R26" s="815"/>
      <c r="S26" s="804"/>
      <c r="T26" s="806"/>
      <c r="U26" s="1"/>
    </row>
    <row r="27" spans="2:22" ht="12.75" customHeight="1" x14ac:dyDescent="0.2">
      <c r="M27" s="1119"/>
      <c r="N27" s="1120"/>
      <c r="O27" s="1121"/>
      <c r="Q27" s="815"/>
      <c r="R27" s="815"/>
      <c r="S27" s="804"/>
      <c r="T27" s="807"/>
      <c r="U27" s="1"/>
    </row>
    <row r="28" spans="2:22" ht="12.75" customHeight="1" x14ac:dyDescent="0.2">
      <c r="M28" s="1122"/>
      <c r="N28" s="1123"/>
      <c r="O28" s="1124"/>
      <c r="Q28" s="792"/>
      <c r="R28" s="792"/>
      <c r="S28" s="792"/>
      <c r="T28" s="792"/>
      <c r="U28" s="792"/>
    </row>
    <row r="29" spans="2:22" ht="12.75" customHeight="1" x14ac:dyDescent="0.2">
      <c r="Q29" s="792"/>
      <c r="R29" s="792"/>
      <c r="S29" s="792"/>
      <c r="T29" s="792"/>
      <c r="U29" s="792"/>
    </row>
    <row r="30" spans="2:22" ht="12.75" customHeight="1" x14ac:dyDescent="0.2">
      <c r="Q30" s="792"/>
      <c r="R30" s="792"/>
      <c r="S30" s="792"/>
      <c r="T30" s="792"/>
      <c r="U30" s="792"/>
    </row>
    <row r="31" spans="2:22" ht="12.75" customHeight="1" x14ac:dyDescent="0.2">
      <c r="Q31" s="803"/>
      <c r="R31" s="803"/>
      <c r="S31" s="792"/>
      <c r="T31" s="792"/>
      <c r="U31" s="792"/>
    </row>
    <row r="32" spans="2:22" ht="4.1500000000000004" customHeight="1" x14ac:dyDescent="0.2">
      <c r="B32" s="19"/>
      <c r="C32" s="19"/>
      <c r="D32" s="19"/>
      <c r="Q32" s="803"/>
      <c r="R32" s="803"/>
      <c r="S32" s="792"/>
      <c r="T32" s="792"/>
      <c r="U32" s="792"/>
    </row>
    <row r="33" spans="1:23" ht="12.75" customHeight="1" x14ac:dyDescent="0.2">
      <c r="B33" s="1125" t="str">
        <f>IF(Langue=1,"Séchage","Trocknung")</f>
        <v>Trocknung</v>
      </c>
      <c r="C33" s="1126"/>
      <c r="D33" s="1127"/>
      <c r="Q33" s="792"/>
      <c r="R33" s="792"/>
      <c r="S33" s="792"/>
      <c r="T33" s="792"/>
      <c r="U33" s="792"/>
    </row>
    <row r="34" spans="1:23" x14ac:dyDescent="0.2">
      <c r="B34" s="1128"/>
      <c r="C34" s="1129"/>
      <c r="D34" s="1130"/>
      <c r="M34" s="1116" t="str">
        <f>IF(Langue=1,"Biologie+clarification","Biologie+Nachklärung")</f>
        <v>Biologie+Nachklärung</v>
      </c>
      <c r="N34" s="1117"/>
      <c r="O34" s="1118"/>
      <c r="Q34" s="792"/>
      <c r="R34" s="792"/>
      <c r="S34" s="792"/>
      <c r="T34" s="792"/>
      <c r="U34" s="792"/>
    </row>
    <row r="35" spans="1:23" x14ac:dyDescent="0.2">
      <c r="B35" s="1131"/>
      <c r="C35" s="1132"/>
      <c r="D35" s="1133"/>
      <c r="M35" s="1119"/>
      <c r="N35" s="1120"/>
      <c r="O35" s="1121"/>
      <c r="Q35" s="792"/>
      <c r="R35" s="792"/>
      <c r="S35" s="792"/>
      <c r="T35" s="792"/>
      <c r="U35" s="792"/>
    </row>
    <row r="36" spans="1:23" x14ac:dyDescent="0.2">
      <c r="M36" s="1122"/>
      <c r="N36" s="1123"/>
      <c r="O36" s="1124"/>
      <c r="Q36" s="815"/>
      <c r="R36" s="815"/>
      <c r="S36" s="804"/>
      <c r="T36" s="805"/>
      <c r="U36" s="1"/>
    </row>
    <row r="37" spans="1:23" x14ac:dyDescent="0.2">
      <c r="Q37" s="815"/>
      <c r="R37" s="815"/>
      <c r="S37" s="804"/>
      <c r="T37" s="806"/>
      <c r="U37" s="1"/>
    </row>
    <row r="38" spans="1:23" x14ac:dyDescent="0.2">
      <c r="Q38" s="815"/>
      <c r="R38" s="815"/>
      <c r="S38" s="804"/>
      <c r="T38" s="807"/>
      <c r="U38" s="1"/>
    </row>
    <row r="39" spans="1:23" x14ac:dyDescent="0.2">
      <c r="Q39" s="794"/>
      <c r="R39" s="794"/>
      <c r="S39" s="794"/>
      <c r="T39" s="794"/>
      <c r="U39" s="794"/>
    </row>
    <row r="40" spans="1:23" ht="12.75" customHeight="1" x14ac:dyDescent="0.2"/>
    <row r="42" spans="1:23" ht="4.9000000000000004" customHeight="1" x14ac:dyDescent="0.2">
      <c r="A42" s="35"/>
      <c r="B42" s="35"/>
    </row>
    <row r="43" spans="1:23" x14ac:dyDescent="0.2">
      <c r="A43" s="35"/>
      <c r="B43" s="35"/>
    </row>
    <row r="44" spans="1:23" x14ac:dyDescent="0.2">
      <c r="A44" s="35"/>
      <c r="B44" s="35"/>
      <c r="M44" s="1106"/>
      <c r="N44" s="1106"/>
    </row>
    <row r="45" spans="1:23" ht="21.75" customHeight="1" x14ac:dyDescent="0.2">
      <c r="U45" s="1103"/>
      <c r="V45" s="1104"/>
      <c r="W45" s="1105"/>
    </row>
    <row r="46" spans="1:23" x14ac:dyDescent="0.2">
      <c r="T46" s="5"/>
      <c r="U46" s="5"/>
      <c r="V46" s="5"/>
      <c r="W46" s="5"/>
    </row>
    <row r="47" spans="1:23" x14ac:dyDescent="0.2">
      <c r="A47" s="37"/>
      <c r="B47" s="36"/>
      <c r="M47" s="81"/>
      <c r="T47" s="5"/>
      <c r="U47" s="80"/>
      <c r="V47" s="80"/>
      <c r="W47" s="80"/>
    </row>
    <row r="48" spans="1:23" x14ac:dyDescent="0.2">
      <c r="M48" s="81"/>
      <c r="T48" s="5"/>
      <c r="U48" s="80"/>
      <c r="V48" s="80"/>
      <c r="W48" s="80"/>
    </row>
    <row r="49" spans="1:28" x14ac:dyDescent="0.2">
      <c r="A49"/>
    </row>
    <row r="51" spans="1:28" x14ac:dyDescent="0.2">
      <c r="AB51" s="95" t="str">
        <f>IF(Langue=1,"import complet d'un fichier","1 Datei komplett importieren")</f>
        <v>1 Datei komplett importieren</v>
      </c>
    </row>
    <row r="52" spans="1:28" x14ac:dyDescent="0.2">
      <c r="AB52" s="95" t="str">
        <f>IF(Langue=1,"import d'un fichier","1 Datei importieren")</f>
        <v>1 Datei importieren</v>
      </c>
    </row>
    <row r="53" spans="1:28" x14ac:dyDescent="0.2">
      <c r="AB53" s="95" t="str">
        <f>IF(Langue=1,"Créer PDF","PDF-Export")</f>
        <v>PDF-Export</v>
      </c>
    </row>
    <row r="54" spans="1:28" x14ac:dyDescent="0.2">
      <c r="AB54" s="95" t="str">
        <f>IF(Langue=1,"tout effacer","Alle Daten löschen")</f>
        <v>Alle Daten löschen</v>
      </c>
    </row>
    <row r="55" spans="1:28" x14ac:dyDescent="0.2">
      <c r="AB55" s="95" t="str">
        <f>IF(Langue=1,"masquer cellules","Tabellen maskieren")</f>
        <v>Tabellen maskieren</v>
      </c>
    </row>
    <row r="56" spans="1:28" x14ac:dyDescent="0.2">
      <c r="AB56" s="95" t="str">
        <f>IF(Langue=1,"afficher tout","Alle Tabellen anzeigen")</f>
        <v>Alle Tabellen anzeigen</v>
      </c>
    </row>
    <row r="57" spans="1:28" x14ac:dyDescent="0.2">
      <c r="AB57" s="95" t="str">
        <f>IF(Langue=1,"verrouiller tout","alles schützen")</f>
        <v>alles schützen</v>
      </c>
    </row>
    <row r="58" spans="1:28" x14ac:dyDescent="0.2">
      <c r="AB58" s="95" t="str">
        <f>IF(Langue=1,"déverrouiller tout","alles entschützen")</f>
        <v>alles entschützen</v>
      </c>
    </row>
  </sheetData>
  <mergeCells count="9">
    <mergeCell ref="A1:E1"/>
    <mergeCell ref="U45:W45"/>
    <mergeCell ref="M44:N44"/>
    <mergeCell ref="B6:D8"/>
    <mergeCell ref="M26:O28"/>
    <mergeCell ref="B13:D15"/>
    <mergeCell ref="B21:D23"/>
    <mergeCell ref="B33:D35"/>
    <mergeCell ref="M34:O36"/>
  </mergeCells>
  <phoneticPr fontId="5" type="noConversion"/>
  <pageMargins left="0.78740157499999996" right="0.18" top="0.54" bottom="0.62" header="0.4921259845" footer="0.24"/>
  <pageSetup paperSize="9" scale="51" orientation="landscape" r:id="rId1"/>
  <headerFooter alignWithMargins="0">
    <oddFooter>&amp;R&amp;A,  &amp;P/&amp;N</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2:L21"/>
  <sheetViews>
    <sheetView zoomScale="115" zoomScaleNormal="115" workbookViewId="0">
      <selection activeCell="C26" sqref="C26"/>
    </sheetView>
  </sheetViews>
  <sheetFormatPr baseColWidth="10" defaultRowHeight="12.75" x14ac:dyDescent="0.2"/>
  <cols>
    <col min="5" max="5" width="14.140625" customWidth="1"/>
    <col min="6" max="7" width="13" customWidth="1"/>
    <col min="8" max="9" width="16.85546875" customWidth="1"/>
    <col min="11" max="11" width="13" customWidth="1"/>
    <col min="13" max="13" width="36.7109375" customWidth="1"/>
  </cols>
  <sheetData>
    <row r="2" spans="1:12" ht="13.5" thickBot="1" x14ac:dyDescent="0.25"/>
    <row r="3" spans="1:12" x14ac:dyDescent="0.2">
      <c r="A3" s="1134" t="str">
        <f>IF('liste-STEP'!F95=1,"Charges spécifiques admises par EH","Spezifische Frachten pro EW")</f>
        <v>Spezifische Frachten pro EW</v>
      </c>
      <c r="B3" s="1135"/>
      <c r="C3" s="1136"/>
      <c r="D3" s="588"/>
      <c r="E3" s="588"/>
    </row>
    <row r="4" spans="1:12" x14ac:dyDescent="0.2">
      <c r="A4" s="1137"/>
      <c r="B4" s="1138"/>
      <c r="C4" s="1139"/>
      <c r="D4" s="588"/>
      <c r="E4" s="588"/>
    </row>
    <row r="5" spans="1:12" x14ac:dyDescent="0.2">
      <c r="A5" s="507" t="str">
        <f>IF('liste-STEP'!F95=1,"Paramètres (*)","Parameter (*)")</f>
        <v>Parameter (*)</v>
      </c>
      <c r="B5" s="508" t="str">
        <f>IF('liste-STEP'!F95=1,"Entrée STEP","ARA Zulauf")</f>
        <v>ARA Zulauf</v>
      </c>
      <c r="C5" s="509" t="str">
        <f>IF('liste-STEP'!F95=1,"Sortie DP","Ablauf VK")</f>
        <v>Ablauf VK</v>
      </c>
      <c r="D5" s="588"/>
      <c r="E5" s="588"/>
    </row>
    <row r="6" spans="1:12" s="172" customFormat="1" x14ac:dyDescent="0.2">
      <c r="A6" s="165" t="str">
        <f>IF('liste-STEP'!F95=1,"Débit","Durchfluss")</f>
        <v>Durchfluss</v>
      </c>
      <c r="B6" s="319">
        <v>150</v>
      </c>
      <c r="C6" s="319">
        <v>150</v>
      </c>
      <c r="D6" s="588"/>
      <c r="E6" s="588"/>
      <c r="F6"/>
      <c r="G6"/>
      <c r="H6"/>
      <c r="I6"/>
      <c r="J6"/>
      <c r="K6"/>
      <c r="L6"/>
    </row>
    <row r="7" spans="1:12" x14ac:dyDescent="0.2">
      <c r="A7" s="165" t="str">
        <f>IF('liste-STEP'!F95=1,"DBO5","BSB5")</f>
        <v>BSB5</v>
      </c>
      <c r="B7" s="319">
        <v>60</v>
      </c>
      <c r="C7" s="510">
        <f>B7*(1-33%)</f>
        <v>40.199999999999996</v>
      </c>
      <c r="D7" s="588"/>
      <c r="E7" s="588"/>
    </row>
    <row r="8" spans="1:12" x14ac:dyDescent="0.2">
      <c r="A8" s="165" t="str">
        <f>IF('liste-STEP'!F95=1,"DCO","CSB")</f>
        <v>CSB</v>
      </c>
      <c r="B8" s="319">
        <v>120</v>
      </c>
      <c r="C8" s="510">
        <v>80</v>
      </c>
      <c r="D8" s="588"/>
      <c r="E8" s="588"/>
    </row>
    <row r="9" spans="1:12" x14ac:dyDescent="0.2">
      <c r="A9" s="165" t="str">
        <f>IF('liste-STEP'!F95=1,"COT/COD","TOC/DOC")</f>
        <v>TOC/DOC</v>
      </c>
      <c r="B9" s="319">
        <f>B7/1.6</f>
        <v>37.5</v>
      </c>
      <c r="C9" s="510">
        <f>B9*(1-33%)</f>
        <v>25.124999999999996</v>
      </c>
      <c r="D9" s="588"/>
      <c r="E9" s="588"/>
    </row>
    <row r="10" spans="1:12" x14ac:dyDescent="0.2">
      <c r="A10" s="165" t="str">
        <f>IF('liste-STEP'!F95=1,"Ntot","Nges")</f>
        <v>Nges</v>
      </c>
      <c r="B10" s="511">
        <v>11</v>
      </c>
      <c r="C10" s="319"/>
      <c r="D10" s="588"/>
      <c r="E10" s="588"/>
    </row>
    <row r="11" spans="1:12" x14ac:dyDescent="0.2">
      <c r="A11" s="165"/>
      <c r="B11" s="319"/>
      <c r="C11" s="510"/>
      <c r="D11" s="588"/>
      <c r="E11" s="588"/>
    </row>
    <row r="12" spans="1:12" x14ac:dyDescent="0.2">
      <c r="A12" s="165" t="s">
        <v>0</v>
      </c>
      <c r="B12" s="319">
        <v>7</v>
      </c>
      <c r="C12" s="319">
        <f>B12</f>
        <v>7</v>
      </c>
      <c r="D12" s="588"/>
      <c r="E12" s="588"/>
    </row>
    <row r="13" spans="1:12" x14ac:dyDescent="0.2">
      <c r="A13" s="165" t="s">
        <v>8</v>
      </c>
      <c r="B13" s="319"/>
      <c r="C13" s="319"/>
      <c r="D13" s="588"/>
      <c r="E13" s="588"/>
    </row>
    <row r="14" spans="1:12" x14ac:dyDescent="0.2">
      <c r="A14" s="165" t="s">
        <v>9</v>
      </c>
      <c r="B14" s="319"/>
      <c r="C14" s="319"/>
      <c r="D14" s="588"/>
      <c r="E14" s="588"/>
    </row>
    <row r="15" spans="1:12" x14ac:dyDescent="0.2">
      <c r="A15" s="165" t="str">
        <f>IF('liste-STEP'!F95=1,"Ptot","Pges")</f>
        <v>Pges</v>
      </c>
      <c r="B15" s="319">
        <v>1.7</v>
      </c>
      <c r="C15" s="511">
        <f>B15*(1-11%)</f>
        <v>1.5129999999999999</v>
      </c>
      <c r="D15" s="588"/>
      <c r="E15" s="588"/>
    </row>
    <row r="16" spans="1:12" x14ac:dyDescent="0.2">
      <c r="A16" s="165" t="str">
        <f>IF('liste-STEP'!F95=1,"MES","GUS")</f>
        <v>GUS</v>
      </c>
      <c r="B16" s="319">
        <v>70</v>
      </c>
      <c r="C16" s="319"/>
      <c r="D16" s="588"/>
      <c r="E16" s="588"/>
    </row>
    <row r="17" spans="1:5" x14ac:dyDescent="0.2">
      <c r="A17" s="165" t="str">
        <f>IF('liste-STEP'!F95=1,"Biogaz","Biogas")</f>
        <v>Biogas</v>
      </c>
      <c r="B17" s="319">
        <v>26</v>
      </c>
      <c r="C17" s="319">
        <v>26</v>
      </c>
      <c r="D17" s="588"/>
      <c r="E17" s="588"/>
    </row>
    <row r="18" spans="1:5" x14ac:dyDescent="0.2">
      <c r="A18" s="165" t="str">
        <f>IF('liste-STEP'!F95=1,"Boues fraîches","Frischschlamm")</f>
        <v>Frischschlamm</v>
      </c>
      <c r="B18" s="319">
        <v>85</v>
      </c>
      <c r="C18" s="319">
        <v>85</v>
      </c>
      <c r="D18" s="588"/>
      <c r="E18" s="588"/>
    </row>
    <row r="19" spans="1:5" x14ac:dyDescent="0.2">
      <c r="A19" s="165" t="str">
        <f>IF('liste-STEP'!F95=1,"Boues digérées","Faulschlamm")</f>
        <v>Faulschlamm</v>
      </c>
      <c r="B19" s="512">
        <v>58</v>
      </c>
      <c r="C19" s="512">
        <v>58</v>
      </c>
      <c r="D19" s="588"/>
      <c r="E19" s="588"/>
    </row>
    <row r="20" spans="1:5" ht="13.5" thickBot="1" x14ac:dyDescent="0.25">
      <c r="A20" s="166" t="str">
        <f>IF('liste-STEP'!F95=1,"Température bio","Temperatur Bio")</f>
        <v>Temperatur Bio</v>
      </c>
      <c r="B20" s="513"/>
      <c r="C20" s="513"/>
      <c r="D20" s="588"/>
      <c r="E20" s="588"/>
    </row>
    <row r="21" spans="1:5" x14ac:dyDescent="0.2">
      <c r="A21" s="5" t="str">
        <f>IF('liste-STEP'!F95=1,"(*)  en g/jour.EH sauf pour débit et biogaz: en litres/j.EH","(*) in g/d.EW ausser für Durchfluss und Biogas in L/d.EW")</f>
        <v>(*) in g/d.EW ausser für Durchfluss und Biogas in L/d.EW</v>
      </c>
      <c r="B21" s="5"/>
      <c r="C21" s="5"/>
      <c r="D21" s="5"/>
      <c r="E21" s="5"/>
    </row>
  </sheetData>
  <mergeCells count="1">
    <mergeCell ref="A3:C4"/>
  </mergeCells>
  <phoneticPr fontId="5" type="noConversion"/>
  <pageMargins left="0.78740157499999996" right="0.78740157499999996" top="0.984251969" bottom="0.984251969" header="0.4921259845" footer="0.4921259845"/>
  <pageSetup paperSize="9" orientation="portrait" r:id="rId1"/>
  <headerFooter alignWithMargins="0">
    <oddFooter>&amp;R&amp;A,  &amp;P/&amp;P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CCFFCC"/>
    <pageSetUpPr fitToPage="1"/>
  </sheetPr>
  <dimension ref="A1:N73"/>
  <sheetViews>
    <sheetView zoomScaleNormal="100" workbookViewId="0">
      <selection sqref="A1:F1"/>
    </sheetView>
  </sheetViews>
  <sheetFormatPr baseColWidth="10" defaultRowHeight="12.75" x14ac:dyDescent="0.2"/>
  <cols>
    <col min="1" max="1" width="13.7109375" customWidth="1"/>
    <col min="2" max="2" width="13.85546875" customWidth="1"/>
    <col min="4" max="4" width="14" customWidth="1"/>
    <col min="6" max="6" width="13.28515625" customWidth="1"/>
    <col min="7" max="7" width="5.28515625" customWidth="1"/>
    <col min="8" max="8" width="12.140625" customWidth="1"/>
    <col min="9" max="9" width="12.28515625" customWidth="1"/>
    <col min="10" max="10" width="22.85546875" customWidth="1"/>
    <col min="13" max="13" width="10" customWidth="1"/>
  </cols>
  <sheetData>
    <row r="1" spans="1:14" s="73" customFormat="1" ht="15" customHeight="1" x14ac:dyDescent="0.2">
      <c r="A1" s="908" t="str">
        <f>basis!A1</f>
        <v>ARA Ausserbinn</v>
      </c>
      <c r="B1" s="909"/>
      <c r="C1" s="909"/>
      <c r="D1" s="909"/>
      <c r="E1" s="909"/>
      <c r="F1" s="910"/>
      <c r="G1" s="72"/>
      <c r="H1" s="935" t="str">
        <f>IF(Langue=1,"Arrêts STEP","Ausserbetriebnahme der ARA")</f>
        <v>Ausserbetriebnahme der ARA</v>
      </c>
      <c r="I1" s="935"/>
      <c r="J1" s="935"/>
      <c r="K1" s="935"/>
      <c r="L1" s="935"/>
      <c r="M1" s="935"/>
    </row>
    <row r="2" spans="1:14" s="32" customFormat="1" ht="15" customHeight="1" x14ac:dyDescent="0.2">
      <c r="A2" s="760"/>
      <c r="B2" s="761"/>
      <c r="C2" s="761"/>
      <c r="D2" s="761"/>
      <c r="E2" s="761"/>
      <c r="F2" s="762"/>
      <c r="H2" s="28" t="str">
        <f>IF(Langue=1,"début","Anfang")</f>
        <v>Anfang</v>
      </c>
      <c r="I2" s="28" t="str">
        <f>IF(Langue=1,"fin","Ende")</f>
        <v>Ende</v>
      </c>
      <c r="J2" s="936" t="str">
        <f>IF(Langue=1,"cause","Grund")</f>
        <v>Grund</v>
      </c>
      <c r="K2" s="936"/>
      <c r="L2" s="936"/>
      <c r="M2" s="936"/>
    </row>
    <row r="3" spans="1:14" s="32" customFormat="1" ht="12.75" customHeight="1" x14ac:dyDescent="0.2">
      <c r="A3" s="908" t="str">
        <f>IF(Langue=1,"Notes","Notizen")</f>
        <v>Notizen</v>
      </c>
      <c r="B3" s="909"/>
      <c r="C3" s="909"/>
      <c r="D3" s="909"/>
      <c r="E3" s="909"/>
      <c r="F3" s="910"/>
      <c r="H3" s="201"/>
      <c r="I3" s="201"/>
      <c r="J3" s="937"/>
      <c r="K3" s="937"/>
      <c r="L3" s="937"/>
      <c r="M3" s="937"/>
      <c r="N3" s="33"/>
    </row>
    <row r="4" spans="1:14" s="24" customFormat="1" x14ac:dyDescent="0.2">
      <c r="A4" s="911"/>
      <c r="B4" s="912"/>
      <c r="C4" s="912"/>
      <c r="D4" s="912"/>
      <c r="E4" s="912"/>
      <c r="F4" s="913"/>
      <c r="H4" s="201"/>
      <c r="I4" s="201"/>
      <c r="J4" s="937"/>
      <c r="K4" s="937"/>
      <c r="L4" s="937"/>
      <c r="M4" s="937"/>
      <c r="N4" s="26"/>
    </row>
    <row r="5" spans="1:14" s="24" customFormat="1" x14ac:dyDescent="0.2">
      <c r="A5" s="914"/>
      <c r="B5" s="915"/>
      <c r="C5" s="915"/>
      <c r="D5" s="915"/>
      <c r="E5" s="915"/>
      <c r="F5" s="916"/>
      <c r="H5" s="201"/>
      <c r="I5" s="201"/>
      <c r="J5" s="937"/>
      <c r="K5" s="937"/>
      <c r="L5" s="937"/>
      <c r="M5" s="937"/>
      <c r="N5" s="26"/>
    </row>
    <row r="6" spans="1:14" s="24" customFormat="1" x14ac:dyDescent="0.2">
      <c r="A6" s="914"/>
      <c r="B6" s="915"/>
      <c r="C6" s="915"/>
      <c r="D6" s="915"/>
      <c r="E6" s="915"/>
      <c r="F6" s="916"/>
      <c r="H6" s="201"/>
      <c r="I6" s="201"/>
      <c r="J6" s="937"/>
      <c r="K6" s="937"/>
      <c r="L6" s="937"/>
      <c r="M6" s="937"/>
      <c r="N6" s="26"/>
    </row>
    <row r="7" spans="1:14" s="24" customFormat="1" x14ac:dyDescent="0.2">
      <c r="A7" s="914"/>
      <c r="B7" s="915"/>
      <c r="C7" s="915"/>
      <c r="D7" s="915"/>
      <c r="E7" s="915"/>
      <c r="F7" s="916"/>
      <c r="H7" s="201"/>
      <c r="I7" s="201"/>
      <c r="J7" s="937"/>
      <c r="K7" s="937"/>
      <c r="L7" s="937"/>
      <c r="M7" s="937"/>
      <c r="N7" s="26"/>
    </row>
    <row r="8" spans="1:14" s="24" customFormat="1" x14ac:dyDescent="0.2">
      <c r="A8" s="914"/>
      <c r="B8" s="915"/>
      <c r="C8" s="915"/>
      <c r="D8" s="915"/>
      <c r="E8" s="915"/>
      <c r="F8" s="916"/>
      <c r="H8" s="201"/>
      <c r="I8" s="201"/>
      <c r="J8" s="938"/>
      <c r="K8" s="939"/>
      <c r="L8" s="939"/>
      <c r="M8" s="940"/>
      <c r="N8" s="26"/>
    </row>
    <row r="9" spans="1:14" s="24" customFormat="1" x14ac:dyDescent="0.2">
      <c r="A9" s="914"/>
      <c r="B9" s="915"/>
      <c r="C9" s="915"/>
      <c r="D9" s="915"/>
      <c r="E9" s="915"/>
      <c r="F9" s="916"/>
      <c r="H9" s="33"/>
      <c r="I9" s="33"/>
      <c r="J9" s="33"/>
      <c r="K9" s="33"/>
      <c r="L9" s="33"/>
      <c r="M9" s="33"/>
    </row>
    <row r="10" spans="1:14" s="24" customFormat="1" ht="12.75" customHeight="1" x14ac:dyDescent="0.2">
      <c r="A10" s="914"/>
      <c r="B10" s="915"/>
      <c r="C10" s="915"/>
      <c r="D10" s="915"/>
      <c r="E10" s="915"/>
      <c r="F10" s="916"/>
      <c r="H10" s="941" t="str">
        <f>IF(Langue=1,"Production et destination des déchets","Abfallproduktion und Entsorgungswege")</f>
        <v>Abfallproduktion und Entsorgungswege</v>
      </c>
      <c r="I10" s="941"/>
      <c r="J10" s="941"/>
      <c r="K10" s="941"/>
      <c r="L10" s="941"/>
      <c r="M10" s="941"/>
    </row>
    <row r="11" spans="1:14" s="24" customFormat="1" ht="12.75" customHeight="1" x14ac:dyDescent="0.2">
      <c r="A11" s="914"/>
      <c r="B11" s="915"/>
      <c r="C11" s="915"/>
      <c r="D11" s="915"/>
      <c r="E11" s="915"/>
      <c r="F11" s="916"/>
      <c r="H11" s="948" t="str">
        <f>IF(Langue=1,"Type de déchet","Abfallart :")</f>
        <v>Abfallart :</v>
      </c>
      <c r="I11" s="948"/>
      <c r="J11" s="942" t="str">
        <f>IF(Langue=1,"Sables","Sandfanggut")</f>
        <v>Sandfanggut</v>
      </c>
      <c r="K11" s="950" t="str">
        <f>IF(Langue=1,"Refus de dégrilleur et tamiseur","Rechen- bzw. Siebgutanfall")</f>
        <v>Rechen- bzw. Siebgutanfall</v>
      </c>
      <c r="L11" s="942" t="str">
        <f>IF(Langue=1,"Boues","Klärschlamm")</f>
        <v>Klärschlamm</v>
      </c>
      <c r="M11" s="942" t="str">
        <f>IF(Langue=1,"autres","Anderes")</f>
        <v>Anderes</v>
      </c>
    </row>
    <row r="12" spans="1:14" s="24" customFormat="1" x14ac:dyDescent="0.2">
      <c r="A12" s="914"/>
      <c r="B12" s="915"/>
      <c r="C12" s="915"/>
      <c r="D12" s="915"/>
      <c r="E12" s="915"/>
      <c r="F12" s="916"/>
      <c r="H12" s="948"/>
      <c r="I12" s="948"/>
      <c r="J12" s="942"/>
      <c r="K12" s="950"/>
      <c r="L12" s="942"/>
      <c r="M12" s="942"/>
    </row>
    <row r="13" spans="1:14" s="24" customFormat="1" x14ac:dyDescent="0.2">
      <c r="A13" s="914"/>
      <c r="B13" s="915"/>
      <c r="C13" s="915"/>
      <c r="D13" s="915"/>
      <c r="E13" s="915"/>
      <c r="F13" s="916"/>
      <c r="H13" s="948"/>
      <c r="I13" s="948"/>
      <c r="J13" s="949"/>
      <c r="K13" s="951"/>
      <c r="L13" s="942"/>
      <c r="M13" s="942"/>
    </row>
    <row r="14" spans="1:14" s="24" customFormat="1" x14ac:dyDescent="0.2">
      <c r="A14" s="914"/>
      <c r="B14" s="915"/>
      <c r="C14" s="915"/>
      <c r="D14" s="915"/>
      <c r="E14" s="915"/>
      <c r="F14" s="916"/>
      <c r="H14" s="23" t="str">
        <f>IF(Langue=1,"Quantité annuelle (t brut)","Jährliche Menge (t bruto)")</f>
        <v>Jährliche Menge (t bruto)</v>
      </c>
      <c r="I14" s="194"/>
      <c r="J14" s="196"/>
      <c r="K14" s="198"/>
      <c r="L14" s="262">
        <f>analyses!AF384</f>
        <v>0</v>
      </c>
      <c r="M14" s="170"/>
    </row>
    <row r="15" spans="1:14" s="24" customFormat="1" x14ac:dyDescent="0.2">
      <c r="A15" s="914"/>
      <c r="B15" s="915"/>
      <c r="C15" s="915"/>
      <c r="D15" s="915"/>
      <c r="E15" s="915"/>
      <c r="F15" s="916"/>
      <c r="H15" s="23" t="str">
        <f>IF(Langue=1,"Quantité annuelle (t MS)","Jährliche Menge (t TS)")</f>
        <v>Jährliche Menge (t TS)</v>
      </c>
      <c r="I15" s="194"/>
      <c r="J15" s="276"/>
      <c r="K15" s="198"/>
      <c r="L15" s="262">
        <f>analyses!AH384</f>
        <v>0</v>
      </c>
      <c r="M15" s="170"/>
    </row>
    <row r="16" spans="1:14" s="24" customFormat="1" x14ac:dyDescent="0.2">
      <c r="A16" s="914"/>
      <c r="B16" s="915"/>
      <c r="C16" s="915"/>
      <c r="D16" s="915"/>
      <c r="E16" s="915"/>
      <c r="F16" s="916"/>
      <c r="H16" s="23" t="str">
        <f>IF(Langue=1,"Teneur en MO % (sables)","Glühverlust %GV (Sand)")</f>
        <v>Glühverlust %GV (Sand)</v>
      </c>
      <c r="I16" s="194"/>
      <c r="J16" s="276"/>
      <c r="K16" s="276"/>
      <c r="L16" s="276"/>
      <c r="M16" s="276"/>
    </row>
    <row r="17" spans="1:13" s="24" customFormat="1" x14ac:dyDescent="0.2">
      <c r="A17" s="917"/>
      <c r="B17" s="918"/>
      <c r="C17" s="918"/>
      <c r="D17" s="918"/>
      <c r="E17" s="918"/>
      <c r="F17" s="919"/>
      <c r="G17" s="24" t="s">
        <v>5</v>
      </c>
      <c r="H17" s="23" t="str">
        <f>IF(Langue=1,"Sables lavés ? (Oui/Non)","Sand gewaschen ? (Ja/Nein)")</f>
        <v>Sand gewaschen ? (Ja/Nein)</v>
      </c>
      <c r="I17" s="194"/>
      <c r="J17" s="313"/>
      <c r="K17" s="276"/>
      <c r="L17" s="276"/>
      <c r="M17" s="276"/>
    </row>
    <row r="18" spans="1:13" s="24" customFormat="1" x14ac:dyDescent="0.2">
      <c r="H18" s="23" t="str">
        <f>IF(Langue=1,"Type de destination : (mettre une croix 'x' en face de la destination)","Entsorgungsweg : (betreffendes Feld ankreuzen 'x')")</f>
        <v>Entsorgungsweg : (betreffendes Feld ankreuzen 'x')</v>
      </c>
      <c r="I18" s="23"/>
      <c r="J18" s="174"/>
      <c r="K18" s="23"/>
      <c r="L18" s="23"/>
      <c r="M18" s="23"/>
    </row>
    <row r="19" spans="1:13" s="24" customFormat="1" x14ac:dyDescent="0.2">
      <c r="A19" s="908" t="str">
        <f>IF(Langue=1,"Principales entreprises raccordées","Wichtigste angeschlossenen Industrien")</f>
        <v>Wichtigste angeschlossenen Industrien</v>
      </c>
      <c r="B19" s="909"/>
      <c r="C19" s="909"/>
      <c r="D19" s="909"/>
      <c r="E19" s="909"/>
      <c r="F19" s="910"/>
      <c r="H19" s="45" t="str">
        <f>IF(Langue=1,"Incinération","Verbrennung")</f>
        <v>Verbrennung</v>
      </c>
      <c r="I19" s="194"/>
      <c r="J19" s="203"/>
      <c r="K19" s="204"/>
      <c r="L19" s="204"/>
      <c r="M19" s="205"/>
    </row>
    <row r="20" spans="1:13" s="24" customFormat="1" x14ac:dyDescent="0.2">
      <c r="A20" s="943" t="str">
        <f>IF(Langue=1,"Nom","Name")</f>
        <v>Name</v>
      </c>
      <c r="B20" s="944"/>
      <c r="C20" s="943" t="str">
        <f>IF(Langue=1,"Activité","Aktivität")</f>
        <v>Aktivität</v>
      </c>
      <c r="D20" s="952"/>
      <c r="E20" s="944"/>
      <c r="F20" s="22" t="str">
        <f>IF(Langue=1,"(EH)","(EW)")</f>
        <v>(EW)</v>
      </c>
      <c r="H20" s="45" t="str">
        <f>IF(Langue=1,"compostage","Kompostierung")</f>
        <v>Kompostierung</v>
      </c>
      <c r="I20" s="194"/>
      <c r="J20" s="206"/>
      <c r="K20" s="207"/>
      <c r="L20" s="207"/>
      <c r="M20" s="208"/>
    </row>
    <row r="21" spans="1:13" s="24" customFormat="1" x14ac:dyDescent="0.2">
      <c r="A21" s="938"/>
      <c r="B21" s="940"/>
      <c r="C21" s="938"/>
      <c r="D21" s="939"/>
      <c r="E21" s="940"/>
      <c r="F21" s="199"/>
      <c r="H21" s="45" t="str">
        <f>IF(Langue=1,"décharge bioactive","Reaktordeponie")</f>
        <v>Reaktordeponie</v>
      </c>
      <c r="I21" s="194"/>
      <c r="J21" s="206"/>
      <c r="K21" s="207"/>
      <c r="L21" s="207"/>
      <c r="M21" s="208"/>
    </row>
    <row r="22" spans="1:13" s="24" customFormat="1" x14ac:dyDescent="0.2">
      <c r="A22" s="927"/>
      <c r="B22" s="927"/>
      <c r="C22" s="927"/>
      <c r="D22" s="927"/>
      <c r="E22" s="927"/>
      <c r="F22" s="200"/>
      <c r="H22" s="45" t="str">
        <f>IF(Langue=1,"décharge inerte","Inertstoffdeponie")</f>
        <v>Inertstoffdeponie</v>
      </c>
      <c r="I22" s="194"/>
      <c r="J22" s="206"/>
      <c r="K22" s="207"/>
      <c r="L22" s="207"/>
      <c r="M22" s="208"/>
    </row>
    <row r="23" spans="1:13" s="24" customFormat="1" x14ac:dyDescent="0.2">
      <c r="A23" s="927"/>
      <c r="B23" s="927"/>
      <c r="C23" s="927"/>
      <c r="D23" s="927"/>
      <c r="E23" s="927"/>
      <c r="F23" s="200"/>
      <c r="H23" s="45" t="str">
        <f>IF(Langue=1,"agriculture","Landwirtschaft")</f>
        <v>Landwirtschaft</v>
      </c>
      <c r="I23" s="194"/>
      <c r="J23" s="206"/>
      <c r="K23" s="207"/>
      <c r="L23" s="207"/>
      <c r="M23" s="208"/>
    </row>
    <row r="24" spans="1:13" s="24" customFormat="1" x14ac:dyDescent="0.2">
      <c r="A24" s="927"/>
      <c r="B24" s="927"/>
      <c r="C24" s="927"/>
      <c r="D24" s="927"/>
      <c r="E24" s="927"/>
      <c r="F24" s="200"/>
      <c r="H24" s="45" t="str">
        <f>IF(Langue=1,"autre (à spécifier)","Anderw. (bezeichnen)")</f>
        <v>Anderw. (bezeichnen)</v>
      </c>
      <c r="I24" s="194"/>
      <c r="J24" s="209"/>
      <c r="K24" s="210"/>
      <c r="L24" s="210"/>
      <c r="M24" s="211"/>
    </row>
    <row r="25" spans="1:13" s="24" customFormat="1" x14ac:dyDescent="0.2">
      <c r="A25" s="927"/>
      <c r="B25" s="927"/>
      <c r="C25" s="927"/>
      <c r="D25" s="927"/>
      <c r="E25" s="927"/>
      <c r="F25" s="197"/>
      <c r="H25" s="954" t="str">
        <f>IF(Langue=1,"Lieu d'élimination (nom)","Entsorgungsort (Name)")</f>
        <v>Entsorgungsort (Name)</v>
      </c>
      <c r="I25" s="955"/>
      <c r="J25" s="202"/>
      <c r="K25" s="202"/>
      <c r="L25" s="202"/>
      <c r="M25" s="202"/>
    </row>
    <row r="26" spans="1:13" s="24" customFormat="1" x14ac:dyDescent="0.2">
      <c r="A26" s="927"/>
      <c r="B26" s="927"/>
      <c r="C26" s="927"/>
      <c r="D26" s="927"/>
      <c r="E26" s="927"/>
      <c r="F26" s="197"/>
      <c r="H26" s="956"/>
      <c r="I26" s="956"/>
      <c r="J26" s="956"/>
      <c r="K26" s="956"/>
      <c r="L26" s="956"/>
      <c r="M26" s="956"/>
    </row>
    <row r="27" spans="1:13" s="24" customFormat="1" x14ac:dyDescent="0.2">
      <c r="A27" s="927"/>
      <c r="B27" s="927"/>
      <c r="C27" s="927"/>
      <c r="D27" s="927"/>
      <c r="E27" s="927"/>
      <c r="F27" s="197"/>
    </row>
    <row r="28" spans="1:13" s="24" customFormat="1" x14ac:dyDescent="0.2">
      <c r="A28" s="927"/>
      <c r="B28" s="927"/>
      <c r="C28" s="927"/>
      <c r="D28" s="927"/>
      <c r="E28" s="927"/>
      <c r="F28" s="197"/>
      <c r="H28" s="953" t="str">
        <f>IF(Langue=1,"Evaluation des déversements (m3) d'eaux usées au milieu naturel","Abschätzung der Entlastungen (m3) in den Vorfluter")</f>
        <v>Abschätzung der Entlastungen (m3) in den Vorfluter</v>
      </c>
      <c r="I28" s="953"/>
      <c r="J28" s="953"/>
      <c r="K28" s="953"/>
      <c r="L28" s="953"/>
      <c r="M28" s="953"/>
    </row>
    <row r="29" spans="1:13" s="24" customFormat="1" ht="25.5" customHeight="1" x14ac:dyDescent="0.2">
      <c r="H29" s="90"/>
      <c r="I29" s="191" t="str">
        <f>IF(Langue=1,"DO","Regenüb.")</f>
        <v>Regenüb.</v>
      </c>
      <c r="J29" s="191" t="str">
        <f>IF(Langue=1,"BEP","Regenkl.b.")</f>
        <v>Regenkl.b.</v>
      </c>
      <c r="K29" s="89" t="str">
        <f>analyses!E5</f>
        <v>Q Bypass Zulauf  ARA</v>
      </c>
      <c r="L29" s="957" t="str">
        <f>analyses!G5</f>
        <v>Q Bypass Ablauf Vorklärung</v>
      </c>
      <c r="M29" s="958"/>
    </row>
    <row r="30" spans="1:13" s="24" customFormat="1" x14ac:dyDescent="0.2">
      <c r="A30" s="945" t="str">
        <f>IF(Langue=1,"Travaux effectués sur le réseau","Ausgeführte Arbeiten auf dem Netz")</f>
        <v>Ausgeführte Arbeiten auf dem Netz</v>
      </c>
      <c r="B30" s="946"/>
      <c r="C30" s="946"/>
      <c r="D30" s="946"/>
      <c r="E30" s="946"/>
      <c r="F30" s="947"/>
      <c r="H30" s="173" t="str">
        <f>IF(Langue=1,"janv","Jan")</f>
        <v>Jan</v>
      </c>
      <c r="I30" s="193"/>
      <c r="J30" s="193"/>
      <c r="K30" s="262">
        <f>SUMIF(analyses!$B11:$B377,1,analyses!E11:E377)</f>
        <v>0</v>
      </c>
      <c r="L30" s="920">
        <f>SUMIF(analyses!$B11:$B377,1,analyses!G11:G377)</f>
        <v>0</v>
      </c>
      <c r="M30" s="920"/>
    </row>
    <row r="31" spans="1:13" s="24" customFormat="1" x14ac:dyDescent="0.2">
      <c r="A31" s="924" t="str">
        <f>IF(Langue=1,"Descriptions :","Beschrieb :")</f>
        <v>Beschrieb :</v>
      </c>
      <c r="B31" s="925"/>
      <c r="C31" s="925"/>
      <c r="D31" s="925"/>
      <c r="E31" s="925"/>
      <c r="F31" s="926"/>
      <c r="H31" s="173" t="str">
        <f>IF(Langue=1,"fév","Feb")</f>
        <v>Feb</v>
      </c>
      <c r="I31" s="193"/>
      <c r="J31" s="193"/>
      <c r="K31" s="262">
        <f>SUMIF(analyses!$B11:$B377,2,analyses!E11:E377)</f>
        <v>0</v>
      </c>
      <c r="L31" s="920">
        <f>SUMIF(analyses!$B11:$B377,2,analyses!G11:G377)</f>
        <v>0</v>
      </c>
      <c r="M31" s="920"/>
    </row>
    <row r="32" spans="1:13" s="24" customFormat="1" x14ac:dyDescent="0.2">
      <c r="A32" s="927"/>
      <c r="B32" s="927"/>
      <c r="C32" s="927"/>
      <c r="D32" s="927"/>
      <c r="E32" s="927"/>
      <c r="F32" s="927"/>
      <c r="H32" s="173" t="str">
        <f>IF(Langue=1,"mars","März")</f>
        <v>März</v>
      </c>
      <c r="I32" s="193"/>
      <c r="J32" s="193"/>
      <c r="K32" s="262">
        <f>SUMIF(analyses!$B11:$B377,3,analyses!E11:E377)</f>
        <v>0</v>
      </c>
      <c r="L32" s="920">
        <f>SUMIF(analyses!$B11:$B377,3,analyses!G11:G377)</f>
        <v>0</v>
      </c>
      <c r="M32" s="920"/>
    </row>
    <row r="33" spans="1:13" s="24" customFormat="1" x14ac:dyDescent="0.2">
      <c r="A33" s="927"/>
      <c r="B33" s="927"/>
      <c r="C33" s="927"/>
      <c r="D33" s="927"/>
      <c r="E33" s="927"/>
      <c r="F33" s="927"/>
      <c r="H33" s="173" t="str">
        <f>IF(Langue=1,"avril","Apr")</f>
        <v>Apr</v>
      </c>
      <c r="I33" s="193"/>
      <c r="J33" s="193"/>
      <c r="K33" s="262">
        <f>SUMIF(analyses!$B11:$B377,4,analyses!E11:E377)</f>
        <v>0</v>
      </c>
      <c r="L33" s="920">
        <f>SUMIF(analyses!$B11:$B377,4,analyses!G11:G377)</f>
        <v>0</v>
      </c>
      <c r="M33" s="920"/>
    </row>
    <row r="34" spans="1:13" s="24" customFormat="1" x14ac:dyDescent="0.2">
      <c r="A34" s="927"/>
      <c r="B34" s="927"/>
      <c r="C34" s="927"/>
      <c r="D34" s="927"/>
      <c r="E34" s="927"/>
      <c r="F34" s="927"/>
      <c r="H34" s="173" t="str">
        <f>IF(Langue=1,"mai","Mai")</f>
        <v>Mai</v>
      </c>
      <c r="I34" s="193"/>
      <c r="J34" s="193"/>
      <c r="K34" s="262">
        <f>SUMIF(analyses!$B11:$B377,5,analyses!E11:E377)</f>
        <v>0</v>
      </c>
      <c r="L34" s="920">
        <f>SUMIF(analyses!$B11:$B377,5,analyses!G11:G377)</f>
        <v>0</v>
      </c>
      <c r="M34" s="920"/>
    </row>
    <row r="35" spans="1:13" s="24" customFormat="1" x14ac:dyDescent="0.2">
      <c r="A35" s="927"/>
      <c r="B35" s="927"/>
      <c r="C35" s="927"/>
      <c r="D35" s="927"/>
      <c r="E35" s="927"/>
      <c r="F35" s="927"/>
      <c r="H35" s="173" t="str">
        <f>IF(Langue=1,"juin","Juni")</f>
        <v>Juni</v>
      </c>
      <c r="I35" s="193"/>
      <c r="J35" s="193"/>
      <c r="K35" s="262">
        <f>SUMIF(analyses!$B11:$B377,6,analyses!E11:E377)</f>
        <v>0</v>
      </c>
      <c r="L35" s="920">
        <f>SUMIF(analyses!$B11:$B377,6,analyses!G11:G377)</f>
        <v>0</v>
      </c>
      <c r="M35" s="920"/>
    </row>
    <row r="36" spans="1:13" s="24" customFormat="1" x14ac:dyDescent="0.2">
      <c r="A36" s="927"/>
      <c r="B36" s="927"/>
      <c r="C36" s="927"/>
      <c r="D36" s="927"/>
      <c r="E36" s="927"/>
      <c r="F36" s="927"/>
      <c r="H36" s="173" t="str">
        <f>IF(Langue=1,"juil","Juli")</f>
        <v>Juli</v>
      </c>
      <c r="I36" s="193"/>
      <c r="J36" s="193"/>
      <c r="K36" s="262">
        <f>SUMIF(analyses!$B11:$B377,7,analyses!E11:E377)</f>
        <v>0</v>
      </c>
      <c r="L36" s="920">
        <f>SUMIF(analyses!$B11:$B377,7,analyses!G11:G377)</f>
        <v>0</v>
      </c>
      <c r="M36" s="920"/>
    </row>
    <row r="37" spans="1:13" s="24" customFormat="1" x14ac:dyDescent="0.2">
      <c r="A37" s="927"/>
      <c r="B37" s="927"/>
      <c r="C37" s="927"/>
      <c r="D37" s="927"/>
      <c r="E37" s="927"/>
      <c r="F37" s="927"/>
      <c r="H37" s="173" t="str">
        <f>IF(Langue=1,"août","Aug")</f>
        <v>Aug</v>
      </c>
      <c r="I37" s="193"/>
      <c r="J37" s="193"/>
      <c r="K37" s="262">
        <f>SUMIF(analyses!$B11:$B377,8,analyses!E11:E377)</f>
        <v>0</v>
      </c>
      <c r="L37" s="920">
        <f>SUMIF(analyses!$B11:$B377,8,analyses!G11:G377)</f>
        <v>0</v>
      </c>
      <c r="M37" s="920"/>
    </row>
    <row r="38" spans="1:13" s="24" customFormat="1" x14ac:dyDescent="0.2">
      <c r="A38" s="927"/>
      <c r="B38" s="927"/>
      <c r="C38" s="927"/>
      <c r="D38" s="927"/>
      <c r="E38" s="927"/>
      <c r="F38" s="927"/>
      <c r="H38" s="173" t="str">
        <f>IF(Langue=1,"sept","Sept")</f>
        <v>Sept</v>
      </c>
      <c r="I38" s="193"/>
      <c r="J38" s="193"/>
      <c r="K38" s="262">
        <f>SUMIF(analyses!$B11:$B377,9,analyses!E11:E377)</f>
        <v>0</v>
      </c>
      <c r="L38" s="920">
        <f>SUMIF(analyses!$B11:$B377,9,analyses!G11:G377)</f>
        <v>0</v>
      </c>
      <c r="M38" s="920"/>
    </row>
    <row r="39" spans="1:13" s="24" customFormat="1" x14ac:dyDescent="0.2">
      <c r="A39" s="927"/>
      <c r="B39" s="927"/>
      <c r="C39" s="927"/>
      <c r="D39" s="927"/>
      <c r="E39" s="927"/>
      <c r="F39" s="927"/>
      <c r="H39" s="173" t="str">
        <f>IF(Langue=1,"oct","Okt")</f>
        <v>Okt</v>
      </c>
      <c r="I39" s="193"/>
      <c r="J39" s="193"/>
      <c r="K39" s="262">
        <f>SUMIF(analyses!$B11:$B377,10,analyses!E11:E377)</f>
        <v>0</v>
      </c>
      <c r="L39" s="920">
        <f>SUMIF(analyses!$B11:$B377,10,analyses!G11:G377)</f>
        <v>0</v>
      </c>
      <c r="M39" s="920"/>
    </row>
    <row r="40" spans="1:13" s="24" customFormat="1" x14ac:dyDescent="0.2">
      <c r="A40" s="927"/>
      <c r="B40" s="927"/>
      <c r="C40" s="927"/>
      <c r="D40" s="927"/>
      <c r="E40" s="927"/>
      <c r="F40" s="927"/>
      <c r="H40" s="173" t="str">
        <f>IF(Langue=1,"nov","Nov")</f>
        <v>Nov</v>
      </c>
      <c r="I40" s="193"/>
      <c r="J40" s="193"/>
      <c r="K40" s="262">
        <f>SUMIF(analyses!$B11:$B377,11,analyses!E11:E377)</f>
        <v>0</v>
      </c>
      <c r="L40" s="920">
        <f>SUMIF(analyses!$B11:$B377,11,analyses!G11:G377)</f>
        <v>0</v>
      </c>
      <c r="M40" s="920"/>
    </row>
    <row r="41" spans="1:13" s="24" customFormat="1" x14ac:dyDescent="0.2">
      <c r="A41" s="927"/>
      <c r="B41" s="927"/>
      <c r="C41" s="927"/>
      <c r="D41" s="927"/>
      <c r="E41" s="927"/>
      <c r="F41" s="927"/>
      <c r="H41" s="173" t="str">
        <f>IF(Langue=1,"déc","Dez")</f>
        <v>Dez</v>
      </c>
      <c r="I41" s="193"/>
      <c r="J41" s="193"/>
      <c r="K41" s="262">
        <f>SUMIF(analyses!$B11:$B377,12,analyses!E11:E377)</f>
        <v>0</v>
      </c>
      <c r="L41" s="920">
        <f>SUMIF(analyses!$B11:$B377,12,analyses!G11:G377)</f>
        <v>0</v>
      </c>
      <c r="M41" s="920"/>
    </row>
    <row r="42" spans="1:13" s="24" customFormat="1" x14ac:dyDescent="0.2">
      <c r="A42" s="945" t="str">
        <f>IF(Langue=1,"Travaux prévus sur le réseau l'année prochaine","Vorgesehene Arbeiten auf dem Netz im nächsten Jahr")</f>
        <v>Vorgesehene Arbeiten auf dem Netz im nächsten Jahr</v>
      </c>
      <c r="B42" s="946"/>
      <c r="C42" s="946"/>
      <c r="D42" s="946"/>
      <c r="E42" s="946"/>
      <c r="F42" s="947"/>
      <c r="H42" s="91" t="str">
        <f>IF(Langue=1,"Total année","Total Jahr")</f>
        <v>Total Jahr</v>
      </c>
      <c r="I42" s="264">
        <f>SUM(I30:I41)</f>
        <v>0</v>
      </c>
      <c r="J42" s="264">
        <f>SUM(J30:J41)</f>
        <v>0</v>
      </c>
      <c r="K42" s="263">
        <f>SUM(K30:K41)</f>
        <v>0</v>
      </c>
      <c r="L42" s="920">
        <f>SUM(L30:L41)</f>
        <v>0</v>
      </c>
      <c r="M42" s="920"/>
    </row>
    <row r="43" spans="1:13" s="24" customFormat="1" x14ac:dyDescent="0.2">
      <c r="A43" s="924" t="str">
        <f>IF(Langue=1,"Descriptions :","Beschreibung :")</f>
        <v>Beschreibung :</v>
      </c>
      <c r="B43" s="925"/>
      <c r="C43" s="925"/>
      <c r="D43" s="925"/>
      <c r="E43" s="925"/>
      <c r="F43" s="926"/>
    </row>
    <row r="44" spans="1:13" s="24" customFormat="1" x14ac:dyDescent="0.2">
      <c r="A44" s="959"/>
      <c r="B44" s="927"/>
      <c r="C44" s="927"/>
      <c r="D44" s="927"/>
      <c r="E44" s="927"/>
      <c r="F44" s="927"/>
    </row>
    <row r="45" spans="1:13" s="24" customFormat="1" x14ac:dyDescent="0.2">
      <c r="A45" s="927"/>
      <c r="B45" s="927"/>
      <c r="C45" s="927"/>
      <c r="D45" s="927"/>
      <c r="E45" s="927"/>
      <c r="F45" s="927"/>
    </row>
    <row r="46" spans="1:13" s="24" customFormat="1" x14ac:dyDescent="0.2">
      <c r="A46" s="927"/>
      <c r="B46" s="927"/>
      <c r="C46" s="927"/>
      <c r="D46" s="927"/>
      <c r="E46" s="927"/>
      <c r="F46" s="927"/>
    </row>
    <row r="47" spans="1:13" s="24" customFormat="1" x14ac:dyDescent="0.2">
      <c r="A47" s="927"/>
      <c r="B47" s="927"/>
      <c r="C47" s="927"/>
      <c r="D47" s="927"/>
      <c r="E47" s="927"/>
      <c r="F47" s="927"/>
    </row>
    <row r="48" spans="1:13" s="24" customFormat="1" x14ac:dyDescent="0.2">
      <c r="A48" s="927"/>
      <c r="B48" s="927"/>
      <c r="C48" s="927"/>
      <c r="D48" s="927"/>
      <c r="E48" s="927"/>
      <c r="F48" s="927"/>
    </row>
    <row r="49" spans="1:13" s="24" customFormat="1" x14ac:dyDescent="0.2">
      <c r="A49" s="927"/>
      <c r="B49" s="927"/>
      <c r="C49" s="927"/>
      <c r="D49" s="927"/>
      <c r="E49" s="927"/>
      <c r="F49" s="927"/>
    </row>
    <row r="50" spans="1:13" s="24" customFormat="1" x14ac:dyDescent="0.2">
      <c r="A50" s="927"/>
      <c r="B50" s="927"/>
      <c r="C50" s="927"/>
      <c r="D50" s="927"/>
      <c r="E50" s="927"/>
      <c r="F50" s="927"/>
    </row>
    <row r="51" spans="1:13" s="24" customFormat="1" x14ac:dyDescent="0.2">
      <c r="A51" s="927"/>
      <c r="B51" s="927"/>
      <c r="C51" s="927"/>
      <c r="D51" s="927"/>
      <c r="E51" s="927"/>
      <c r="F51" s="927"/>
    </row>
    <row r="52" spans="1:13" s="24" customFormat="1" x14ac:dyDescent="0.2">
      <c r="A52" s="927"/>
      <c r="B52" s="927"/>
      <c r="C52" s="927"/>
      <c r="D52" s="927"/>
      <c r="E52" s="927"/>
      <c r="F52" s="927"/>
    </row>
    <row r="53" spans="1:13" s="24" customFormat="1" x14ac:dyDescent="0.2">
      <c r="A53" s="927"/>
      <c r="B53" s="927"/>
      <c r="C53" s="927"/>
      <c r="D53" s="927"/>
      <c r="E53" s="927"/>
      <c r="F53" s="927"/>
    </row>
    <row r="54" spans="1:13" s="24" customFormat="1" x14ac:dyDescent="0.2">
      <c r="A54" s="924"/>
      <c r="B54" s="925"/>
      <c r="C54" s="925"/>
      <c r="D54" s="925"/>
      <c r="E54" s="925"/>
      <c r="F54" s="926"/>
    </row>
    <row r="55" spans="1:13" s="24" customFormat="1" x14ac:dyDescent="0.2">
      <c r="A55" s="34"/>
      <c r="B55" s="34"/>
      <c r="C55" s="34"/>
      <c r="D55" s="34"/>
      <c r="E55" s="34"/>
      <c r="F55" s="34"/>
    </row>
    <row r="56" spans="1:13" s="24" customFormat="1" x14ac:dyDescent="0.2"/>
    <row r="57" spans="1:13" s="24" customFormat="1" x14ac:dyDescent="0.2">
      <c r="A57" s="94" t="str">
        <f>IF(Langue=1,"Boues recues d'autres STEP:","Schlammannahme anderer ARA:")</f>
        <v>Schlammannahme anderer ARA:</v>
      </c>
      <c r="H57" s="94" t="str">
        <f>IF(Langue=1,"Quantité de cosubstrats admis à la STEP:","Menge Cosubstrat:")</f>
        <v>Menge Cosubstrat:</v>
      </c>
    </row>
    <row r="58" spans="1:13" s="24" customFormat="1" x14ac:dyDescent="0.2">
      <c r="A58" s="933" t="str">
        <f>IF(Langue=1,"Nom STEP","ARA-Name")</f>
        <v>ARA-Name</v>
      </c>
      <c r="B58" s="933"/>
      <c r="C58" s="922" t="str">
        <f>IF(Langue=1,"quantité       (t MS)","Menge (t TS)")</f>
        <v>Menge (t TS)</v>
      </c>
      <c r="D58" s="921" t="str">
        <f>IF(Langue=1,"A déduire des calculs (mettre une croix 'x')?","Muss in den Berechnungen abgezogen werden (ankreuzen 'x')?")</f>
        <v>Muss in den Berechnungen abgezogen werden (ankreuzen 'x')?</v>
      </c>
      <c r="E58" s="921"/>
      <c r="F58" s="921"/>
      <c r="H58" s="933" t="str">
        <f>IF(Langue=1,"Provenance","Herkunft")</f>
        <v>Herkunft</v>
      </c>
      <c r="I58" s="933"/>
      <c r="J58" s="921" t="str">
        <f>IF(Langue=1,"quantité (t brut)","Menge (t brutto)")</f>
        <v>Menge (t brutto)</v>
      </c>
    </row>
    <row r="59" spans="1:13" x14ac:dyDescent="0.2">
      <c r="A59" s="933"/>
      <c r="B59" s="933"/>
      <c r="C59" s="934"/>
      <c r="D59" s="921"/>
      <c r="E59" s="921"/>
      <c r="F59" s="921"/>
      <c r="H59" s="963"/>
      <c r="I59" s="963"/>
      <c r="J59" s="922"/>
      <c r="K59" s="142"/>
      <c r="L59" s="142"/>
      <c r="M59" s="142"/>
    </row>
    <row r="60" spans="1:13" x14ac:dyDescent="0.2">
      <c r="A60" s="928"/>
      <c r="B60" s="929"/>
      <c r="C60" s="215"/>
      <c r="D60" s="930"/>
      <c r="E60" s="931"/>
      <c r="F60" s="932"/>
      <c r="G60" s="171"/>
      <c r="H60" s="923" t="str">
        <f>IF(Langue=1,"Petit Lait","Molke")</f>
        <v>Molke</v>
      </c>
      <c r="I60" s="923"/>
      <c r="J60" s="195"/>
      <c r="K60" s="142"/>
      <c r="L60" s="142"/>
      <c r="M60" s="142"/>
    </row>
    <row r="61" spans="1:13" x14ac:dyDescent="0.2">
      <c r="A61" s="928"/>
      <c r="B61" s="929"/>
      <c r="C61" s="215"/>
      <c r="D61" s="930"/>
      <c r="E61" s="931"/>
      <c r="F61" s="932"/>
      <c r="G61" s="171"/>
      <c r="H61" s="923" t="str">
        <f>IF(Langue=1,"Graisse","Fett")</f>
        <v>Fett</v>
      </c>
      <c r="I61" s="923"/>
      <c r="J61" s="195"/>
      <c r="K61" s="142"/>
      <c r="L61" s="142"/>
      <c r="M61" s="142"/>
    </row>
    <row r="62" spans="1:13" x14ac:dyDescent="0.2">
      <c r="A62" s="928"/>
      <c r="B62" s="929"/>
      <c r="C62" s="216"/>
      <c r="D62" s="930"/>
      <c r="E62" s="931"/>
      <c r="F62" s="932"/>
      <c r="G62" s="171"/>
      <c r="H62" s="923" t="str">
        <f>IF(Langue=1,"Résidus de distilleries","Brennereirückstand")</f>
        <v>Brennereirückstand</v>
      </c>
      <c r="I62" s="923"/>
      <c r="J62" s="195"/>
      <c r="K62" s="142"/>
      <c r="L62" s="142"/>
      <c r="M62" s="142"/>
    </row>
    <row r="63" spans="1:13" x14ac:dyDescent="0.2">
      <c r="A63" s="928"/>
      <c r="B63" s="929"/>
      <c r="C63" s="215"/>
      <c r="D63" s="930"/>
      <c r="E63" s="931"/>
      <c r="F63" s="932"/>
      <c r="G63" s="171"/>
      <c r="H63" s="923" t="str">
        <f>IF(Langue=1,"Lavures","Spülwasser")</f>
        <v>Spülwasser</v>
      </c>
      <c r="I63" s="923"/>
      <c r="J63" s="195"/>
      <c r="K63" s="142"/>
      <c r="L63" s="142"/>
      <c r="M63" s="142"/>
    </row>
    <row r="64" spans="1:13" x14ac:dyDescent="0.2">
      <c r="A64" s="928"/>
      <c r="B64" s="929"/>
      <c r="C64" s="215"/>
      <c r="D64" s="930"/>
      <c r="E64" s="931"/>
      <c r="F64" s="932"/>
      <c r="G64" s="171"/>
      <c r="H64" s="923" t="str">
        <f>IF(Langue=1,"Autre","Andere")</f>
        <v>Andere</v>
      </c>
      <c r="I64" s="923"/>
      <c r="J64" s="195"/>
      <c r="K64" s="142"/>
      <c r="L64" s="142"/>
      <c r="M64" s="142"/>
    </row>
    <row r="65" spans="1:13" x14ac:dyDescent="0.2">
      <c r="A65" s="928"/>
      <c r="B65" s="929"/>
      <c r="C65" s="215"/>
      <c r="D65" s="930"/>
      <c r="E65" s="931"/>
      <c r="F65" s="932"/>
      <c r="G65" s="171"/>
      <c r="H65" s="962" t="s">
        <v>6</v>
      </c>
      <c r="I65" s="962"/>
      <c r="J65" s="265">
        <f>SUM(J60:J64)</f>
        <v>0</v>
      </c>
      <c r="K65" s="142"/>
      <c r="L65" s="142"/>
      <c r="M65" s="142"/>
    </row>
    <row r="66" spans="1:13" x14ac:dyDescent="0.2">
      <c r="A66" s="928"/>
      <c r="B66" s="929"/>
      <c r="C66" s="216"/>
      <c r="D66" s="930"/>
      <c r="E66" s="931"/>
      <c r="F66" s="932"/>
      <c r="G66" s="171"/>
      <c r="K66" s="142"/>
      <c r="L66" s="142"/>
      <c r="M66" s="142"/>
    </row>
    <row r="67" spans="1:13" x14ac:dyDescent="0.2">
      <c r="A67" s="928"/>
      <c r="B67" s="929"/>
      <c r="C67" s="215"/>
      <c r="D67" s="930"/>
      <c r="E67" s="931"/>
      <c r="F67" s="932"/>
      <c r="G67" s="171"/>
      <c r="K67" s="142"/>
      <c r="L67" s="142"/>
      <c r="M67" s="142"/>
    </row>
    <row r="68" spans="1:13" x14ac:dyDescent="0.2">
      <c r="A68" s="928"/>
      <c r="B68" s="929"/>
      <c r="C68" s="215"/>
      <c r="D68" s="930"/>
      <c r="E68" s="931"/>
      <c r="F68" s="932"/>
      <c r="G68" s="171"/>
      <c r="K68" s="142"/>
      <c r="L68" s="142"/>
      <c r="M68" s="142"/>
    </row>
    <row r="69" spans="1:13" x14ac:dyDescent="0.2">
      <c r="A69" s="928"/>
      <c r="B69" s="929"/>
      <c r="C69" s="215"/>
      <c r="D69" s="930"/>
      <c r="E69" s="931"/>
      <c r="F69" s="932"/>
      <c r="G69" s="171"/>
      <c r="K69" s="142"/>
      <c r="L69" s="142"/>
      <c r="M69" s="142"/>
    </row>
    <row r="70" spans="1:13" x14ac:dyDescent="0.2">
      <c r="A70" s="928"/>
      <c r="B70" s="929"/>
      <c r="C70" s="215"/>
      <c r="D70" s="930"/>
      <c r="E70" s="931"/>
      <c r="F70" s="932"/>
      <c r="G70" s="171"/>
      <c r="K70" s="142"/>
      <c r="L70" s="142"/>
      <c r="M70" s="142"/>
    </row>
    <row r="71" spans="1:13" x14ac:dyDescent="0.2">
      <c r="A71" s="928"/>
      <c r="B71" s="929"/>
      <c r="C71" s="215"/>
      <c r="D71" s="930"/>
      <c r="E71" s="931"/>
      <c r="F71" s="932"/>
      <c r="G71" s="171"/>
      <c r="K71" s="142"/>
      <c r="L71" s="142"/>
      <c r="M71" s="142"/>
    </row>
    <row r="72" spans="1:13" x14ac:dyDescent="0.2">
      <c r="A72" s="928"/>
      <c r="B72" s="929"/>
      <c r="C72" s="215"/>
      <c r="D72" s="930"/>
      <c r="E72" s="931"/>
      <c r="F72" s="932"/>
      <c r="G72" s="171"/>
      <c r="K72" s="142"/>
      <c r="L72" s="142"/>
      <c r="M72" s="142"/>
    </row>
    <row r="73" spans="1:13" ht="14.25" customHeight="1" x14ac:dyDescent="0.2">
      <c r="A73" s="960" t="str">
        <f>IF(Langue=1,"Total à soustraire","Total abzuziehen")</f>
        <v>Total abzuziehen</v>
      </c>
      <c r="B73" s="961"/>
      <c r="C73" s="266">
        <f ca="1">SUMIF(D60:F72,"x",C60:C72)</f>
        <v>0</v>
      </c>
      <c r="D73" s="267"/>
      <c r="E73" s="268"/>
      <c r="F73" s="269"/>
      <c r="K73" s="142"/>
      <c r="L73" s="142"/>
      <c r="M73" s="142"/>
    </row>
  </sheetData>
  <mergeCells count="106">
    <mergeCell ref="C22:E22"/>
    <mergeCell ref="A23:B23"/>
    <mergeCell ref="C23:E23"/>
    <mergeCell ref="A24:B24"/>
    <mergeCell ref="C24:E24"/>
    <mergeCell ref="A42:F42"/>
    <mergeCell ref="A32:F33"/>
    <mergeCell ref="A34:F35"/>
    <mergeCell ref="A38:F39"/>
    <mergeCell ref="A36:F37"/>
    <mergeCell ref="A31:F31"/>
    <mergeCell ref="A40:F41"/>
    <mergeCell ref="H62:I62"/>
    <mergeCell ref="H63:I63"/>
    <mergeCell ref="H64:I64"/>
    <mergeCell ref="A65:B65"/>
    <mergeCell ref="D65:F65"/>
    <mergeCell ref="H65:I65"/>
    <mergeCell ref="H58:I59"/>
    <mergeCell ref="A62:B62"/>
    <mergeCell ref="D62:F62"/>
    <mergeCell ref="A63:B63"/>
    <mergeCell ref="D63:F63"/>
    <mergeCell ref="A64:B64"/>
    <mergeCell ref="D64:F64"/>
    <mergeCell ref="A44:F45"/>
    <mergeCell ref="A43:F43"/>
    <mergeCell ref="A73:B73"/>
    <mergeCell ref="A72:B72"/>
    <mergeCell ref="D72:F72"/>
    <mergeCell ref="A69:B69"/>
    <mergeCell ref="D69:F69"/>
    <mergeCell ref="A70:B70"/>
    <mergeCell ref="D70:F70"/>
    <mergeCell ref="A71:B71"/>
    <mergeCell ref="D71:F71"/>
    <mergeCell ref="A68:B68"/>
    <mergeCell ref="D68:F68"/>
    <mergeCell ref="A48:F49"/>
    <mergeCell ref="A66:B66"/>
    <mergeCell ref="D66:F66"/>
    <mergeCell ref="A67:B67"/>
    <mergeCell ref="D67:F67"/>
    <mergeCell ref="A52:F53"/>
    <mergeCell ref="A20:B20"/>
    <mergeCell ref="A30:F30"/>
    <mergeCell ref="A21:B21"/>
    <mergeCell ref="C21:E21"/>
    <mergeCell ref="A19:F19"/>
    <mergeCell ref="L11:L13"/>
    <mergeCell ref="H11:I13"/>
    <mergeCell ref="J11:J13"/>
    <mergeCell ref="K11:K13"/>
    <mergeCell ref="C20:E20"/>
    <mergeCell ref="H28:M28"/>
    <mergeCell ref="H25:I25"/>
    <mergeCell ref="H26:M26"/>
    <mergeCell ref="A28:B28"/>
    <mergeCell ref="C28:E28"/>
    <mergeCell ref="A25:B25"/>
    <mergeCell ref="C25:E25"/>
    <mergeCell ref="A26:B26"/>
    <mergeCell ref="C26:E26"/>
    <mergeCell ref="L29:M29"/>
    <mergeCell ref="L30:M30"/>
    <mergeCell ref="A27:B27"/>
    <mergeCell ref="C27:E27"/>
    <mergeCell ref="A22:B22"/>
    <mergeCell ref="L32:M32"/>
    <mergeCell ref="L41:M41"/>
    <mergeCell ref="L35:M35"/>
    <mergeCell ref="H1:M1"/>
    <mergeCell ref="J2:M2"/>
    <mergeCell ref="J7:M7"/>
    <mergeCell ref="J3:M3"/>
    <mergeCell ref="J4:M4"/>
    <mergeCell ref="J5:M5"/>
    <mergeCell ref="J6:M6"/>
    <mergeCell ref="J8:M8"/>
    <mergeCell ref="H10:M10"/>
    <mergeCell ref="M11:M13"/>
    <mergeCell ref="L36:M36"/>
    <mergeCell ref="A1:F1"/>
    <mergeCell ref="A3:F3"/>
    <mergeCell ref="A4:F17"/>
    <mergeCell ref="L31:M31"/>
    <mergeCell ref="J58:J59"/>
    <mergeCell ref="H60:I60"/>
    <mergeCell ref="H61:I61"/>
    <mergeCell ref="L42:M42"/>
    <mergeCell ref="L37:M37"/>
    <mergeCell ref="L38:M38"/>
    <mergeCell ref="L39:M39"/>
    <mergeCell ref="A54:F54"/>
    <mergeCell ref="A46:F47"/>
    <mergeCell ref="A60:B60"/>
    <mergeCell ref="D60:F60"/>
    <mergeCell ref="A61:B61"/>
    <mergeCell ref="D61:F61"/>
    <mergeCell ref="A58:B59"/>
    <mergeCell ref="C58:C59"/>
    <mergeCell ref="D58:F59"/>
    <mergeCell ref="L40:M40"/>
    <mergeCell ref="L33:M33"/>
    <mergeCell ref="L34:M34"/>
    <mergeCell ref="A50:F51"/>
  </mergeCells>
  <phoneticPr fontId="5" type="noConversion"/>
  <pageMargins left="0.78740157480314965" right="0.78740157480314965" top="0.98425196850393704" bottom="0.98425196850393704" header="0.51181102362204722" footer="0.51181102362204722"/>
  <pageSetup paperSize="9" scale="53" orientation="portrait" r:id="rId1"/>
  <headerFooter alignWithMargins="0">
    <oddFooter>&amp;R&amp;A,  &amp;P/&amp;N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rgb="FFCCFFCC"/>
  </sheetPr>
  <dimension ref="A1:EH466"/>
  <sheetViews>
    <sheetView zoomScale="85" zoomScaleNormal="85" zoomScaleSheetLayoutView="25" workbookViewId="0">
      <pane xSplit="3" ySplit="10" topLeftCell="D11" activePane="bottomRight" state="frozen"/>
      <selection activeCell="M40" sqref="M40"/>
      <selection pane="topRight" activeCell="M40" sqref="M40"/>
      <selection pane="bottomLeft" activeCell="M40" sqref="M40"/>
      <selection pane="bottomRight" activeCell="AG11" sqref="AG11"/>
    </sheetView>
  </sheetViews>
  <sheetFormatPr baseColWidth="10" defaultColWidth="11.42578125" defaultRowHeight="12.75" x14ac:dyDescent="0.2"/>
  <cols>
    <col min="1" max="1" width="10.5703125" style="149" customWidth="1"/>
    <col min="2" max="2" width="10.5703125" style="149" hidden="1" customWidth="1"/>
    <col min="3" max="3" width="11.85546875" style="150" customWidth="1"/>
    <col min="4" max="4" width="14.42578125" style="44" customWidth="1"/>
    <col min="5" max="5" width="13" style="143" customWidth="1"/>
    <col min="6" max="6" width="12.28515625" style="143" customWidth="1"/>
    <col min="7" max="7" width="14.42578125" style="143" customWidth="1"/>
    <col min="8" max="8" width="13.28515625" style="143" customWidth="1"/>
    <col min="9" max="9" width="11.140625" style="144" customWidth="1"/>
    <col min="10" max="10" width="11.85546875" style="144" customWidth="1"/>
    <col min="11" max="11" width="9.7109375" style="39" customWidth="1"/>
    <col min="12" max="13" width="9.7109375" style="147" customWidth="1"/>
    <col min="14" max="16" width="9.7109375" style="146" customWidth="1"/>
    <col min="17" max="17" width="9.7109375" style="147" customWidth="1"/>
    <col min="18" max="20" width="9.7109375" style="146" customWidth="1"/>
    <col min="21" max="21" width="9.7109375" style="145" customWidth="1"/>
    <col min="22" max="22" width="9.7109375" style="146" customWidth="1"/>
    <col min="23" max="24" width="9.7109375" style="145" customWidth="1"/>
    <col min="25" max="25" width="9.7109375" style="146" customWidth="1"/>
    <col min="26" max="26" width="9.7109375" style="147" customWidth="1"/>
    <col min="27" max="27" width="9.7109375" style="146" customWidth="1"/>
    <col min="28" max="28" width="16.28515625" style="143" customWidth="1"/>
    <col min="29" max="29" width="9.7109375" style="146" customWidth="1"/>
    <col min="30" max="30" width="9.7109375" style="143" customWidth="1"/>
    <col min="31" max="32" width="9.7109375" style="146" customWidth="1"/>
    <col min="33" max="33" width="9.7109375" style="148" customWidth="1"/>
    <col min="34" max="34" width="9.7109375" style="146" customWidth="1"/>
    <col min="35" max="42" width="9.7109375" style="143" customWidth="1"/>
    <col min="43" max="43" width="11.5703125" style="39" customWidth="1"/>
    <col min="44" max="44" width="2.42578125" style="39" customWidth="1"/>
    <col min="45" max="16384" width="11.42578125" style="39"/>
  </cols>
  <sheetData>
    <row r="1" spans="1:138" s="93" customFormat="1" ht="20.100000000000001" customHeight="1" x14ac:dyDescent="0.35">
      <c r="A1" s="992" t="str">
        <f>basis!A1</f>
        <v>ARA Ausserbinn</v>
      </c>
      <c r="B1" s="992"/>
      <c r="C1" s="992"/>
      <c r="D1" s="992"/>
      <c r="E1" s="992"/>
      <c r="F1" s="992"/>
      <c r="G1" s="277"/>
      <c r="H1" s="278"/>
      <c r="I1" s="278"/>
      <c r="J1" s="279"/>
      <c r="K1" s="280"/>
      <c r="L1" s="281"/>
      <c r="M1" s="282"/>
      <c r="N1" s="283"/>
      <c r="O1" s="283"/>
      <c r="P1" s="283"/>
      <c r="Q1" s="282"/>
      <c r="R1" s="283"/>
      <c r="S1" s="283"/>
      <c r="T1" s="283"/>
      <c r="U1" s="284"/>
      <c r="V1" s="285"/>
      <c r="W1" s="286"/>
      <c r="X1" s="286"/>
      <c r="Y1" s="285"/>
      <c r="Z1" s="282"/>
      <c r="AA1" s="283"/>
      <c r="AB1" s="589"/>
      <c r="AC1" s="283"/>
      <c r="AD1" s="287"/>
      <c r="AE1" s="283"/>
      <c r="AF1" s="283"/>
      <c r="AG1" s="288"/>
      <c r="AH1" s="591"/>
      <c r="AI1" s="287"/>
      <c r="AJ1" s="287"/>
      <c r="AK1" s="287"/>
      <c r="AL1" s="287"/>
      <c r="AM1" s="287"/>
      <c r="AN1" s="287"/>
      <c r="AO1" s="287"/>
      <c r="AP1" s="287"/>
      <c r="AQ1" s="289"/>
      <c r="AR1" s="156"/>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row>
    <row r="2" spans="1:138" s="24" customFormat="1" ht="36" customHeight="1" x14ac:dyDescent="0.2">
      <c r="A2" s="290"/>
      <c r="B2" s="290"/>
      <c r="C2" s="291"/>
      <c r="D2" s="280"/>
      <c r="E2" s="280"/>
      <c r="F2" s="280"/>
      <c r="G2" s="280"/>
      <c r="H2" s="280"/>
      <c r="I2" s="280"/>
      <c r="J2" s="280"/>
      <c r="K2" s="280"/>
      <c r="L2" s="293"/>
      <c r="M2" s="294"/>
      <c r="N2" s="295"/>
      <c r="O2" s="295"/>
      <c r="P2" s="295"/>
      <c r="Q2" s="280"/>
      <c r="R2" s="293"/>
      <c r="S2" s="294"/>
      <c r="T2" s="295"/>
      <c r="U2" s="295"/>
      <c r="V2" s="295"/>
      <c r="W2" s="280"/>
      <c r="X2" s="293"/>
      <c r="Y2" s="294"/>
      <c r="Z2" s="280"/>
      <c r="AA2" s="280"/>
      <c r="AB2" s="280"/>
      <c r="AC2" s="280"/>
      <c r="AD2" s="280"/>
      <c r="AE2" s="280"/>
      <c r="AF2" s="280"/>
      <c r="AG2" s="280"/>
      <c r="AH2" s="280"/>
      <c r="AI2" s="280"/>
      <c r="AJ2" s="280"/>
      <c r="AK2" s="280"/>
      <c r="AL2" s="280"/>
      <c r="AM2" s="280"/>
      <c r="AN2" s="280"/>
      <c r="AO2" s="280"/>
      <c r="AP2" s="280"/>
      <c r="AQ2" s="280"/>
      <c r="AR2" s="25"/>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row>
    <row r="3" spans="1:138" s="24" customFormat="1" ht="39.75" customHeight="1" thickBot="1" x14ac:dyDescent="0.25">
      <c r="A3" s="296"/>
      <c r="B3" s="299"/>
      <c r="C3" s="300"/>
      <c r="D3" s="301"/>
      <c r="I3" s="93"/>
      <c r="K3" s="302"/>
      <c r="L3" s="296"/>
      <c r="M3" s="294"/>
      <c r="N3" s="295"/>
      <c r="O3" s="295"/>
      <c r="P3" s="295"/>
      <c r="Q3" s="303"/>
      <c r="R3" s="304"/>
      <c r="S3" s="295"/>
      <c r="T3" s="305"/>
      <c r="U3" s="305"/>
      <c r="V3" s="304"/>
      <c r="W3" s="305"/>
      <c r="X3" s="294"/>
      <c r="Y3" s="295"/>
      <c r="Z3" s="306"/>
      <c r="AA3" s="295"/>
      <c r="AB3" s="590"/>
      <c r="AC3" s="295"/>
      <c r="AD3" s="292"/>
      <c r="AE3" s="295"/>
      <c r="AF3" s="295"/>
      <c r="AG3" s="298"/>
      <c r="AH3" s="592"/>
      <c r="AI3" s="292"/>
      <c r="AJ3" s="292"/>
      <c r="AK3" s="292"/>
      <c r="AL3" s="297"/>
      <c r="AM3" s="307"/>
      <c r="AN3" s="292"/>
      <c r="AO3" s="292"/>
      <c r="AP3" s="287" t="s">
        <v>5</v>
      </c>
      <c r="AQ3" s="308"/>
      <c r="AR3" s="25"/>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row>
    <row r="4" spans="1:138" s="367" customFormat="1" ht="27" customHeight="1" thickBot="1" x14ac:dyDescent="0.25">
      <c r="A4" s="996" t="str">
        <f>IF(Langue=1,"Date","Datum")</f>
        <v>Datum</v>
      </c>
      <c r="B4" s="997"/>
      <c r="C4" s="998"/>
      <c r="D4" s="987" t="str">
        <f>IF(Langue=1,"Temp. eaux usées","Temp. Abwasser")</f>
        <v>Temp. Abwasser</v>
      </c>
      <c r="E4" s="993" t="str">
        <f>IF(Langue=1,"débits","Durchflüsse")</f>
        <v>Durchflüsse</v>
      </c>
      <c r="F4" s="994"/>
      <c r="G4" s="994"/>
      <c r="H4" s="994"/>
      <c r="I4" s="994"/>
      <c r="J4" s="995"/>
      <c r="K4" s="989" t="str">
        <f>IF(Langue=1,"Analyses eaux brutes (entrée STEP)","Analysen Rohabwasser (ARA Zulauf)")</f>
        <v>Analysen Rohabwasser (ARA Zulauf)</v>
      </c>
      <c r="L4" s="990"/>
      <c r="M4" s="990"/>
      <c r="N4" s="990"/>
      <c r="O4" s="990"/>
      <c r="P4" s="991"/>
      <c r="Q4" s="999" t="str">
        <f>IF(Langue=1,"Analyses eaux traitée (sortie STEP)","Analysen behandeltes Abwasser (ARA Ablauf)")</f>
        <v>Analysen behandeltes Abwasser (ARA Ablauf)</v>
      </c>
      <c r="R4" s="1000"/>
      <c r="S4" s="1000"/>
      <c r="T4" s="1000"/>
      <c r="U4" s="1000"/>
      <c r="V4" s="1000"/>
      <c r="W4" s="1000"/>
      <c r="X4" s="1000"/>
      <c r="Y4" s="1001"/>
      <c r="Z4" s="1002" t="str">
        <f>IF(Langue=1,"Production boues","Frischschlamm")</f>
        <v>Frischschlamm</v>
      </c>
      <c r="AA4" s="1003"/>
      <c r="AB4" s="982" t="str">
        <f>IF(Langue=1,"Bassins biologiques","Biobecken")</f>
        <v>Biobecken</v>
      </c>
      <c r="AC4" s="983"/>
      <c r="AD4" s="983"/>
      <c r="AE4" s="984"/>
      <c r="AF4" s="979" t="str">
        <f>IF(Langue=1,"Elimination boues","Entwässerter Schlamm")</f>
        <v>Entwässerter Schlamm</v>
      </c>
      <c r="AG4" s="980"/>
      <c r="AH4" s="981"/>
      <c r="AI4" s="973" t="str">
        <f>IF(Langue=1,"Energie achetée","bezogene Energie")</f>
        <v>bezogene Energie</v>
      </c>
      <c r="AJ4" s="974"/>
      <c r="AK4" s="975" t="str">
        <f>IF(Langue=1,"Electricité","Strom")</f>
        <v>Strom</v>
      </c>
      <c r="AL4" s="976"/>
      <c r="AM4" s="969" t="str">
        <f>IF(Langue=1,"Energie produite","Erzeugte Energie")</f>
        <v>Erzeugte Energie</v>
      </c>
      <c r="AN4" s="970"/>
      <c r="AO4" s="964" t="str">
        <f>IF(Langue=1,"Energie vendue","Verkaufte Energie")</f>
        <v>Verkaufte Energie</v>
      </c>
      <c r="AP4" s="529" t="str">
        <f>IF(Langue=1,"Pluviométrie","Niederschlag")</f>
        <v>Niederschlag</v>
      </c>
      <c r="AQ4" s="364" t="str">
        <f>IF(Langue=1,"Heures de travail","Arbeits-aufwand")</f>
        <v>Arbeits-aufwand</v>
      </c>
      <c r="AR4" s="365"/>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6"/>
      <c r="BZ4" s="366"/>
      <c r="CA4" s="366"/>
      <c r="CB4" s="366"/>
      <c r="CC4" s="366"/>
      <c r="CD4" s="366"/>
      <c r="CE4" s="366"/>
      <c r="CF4" s="366"/>
      <c r="CG4" s="366"/>
      <c r="CH4" s="366"/>
      <c r="CI4" s="366"/>
      <c r="CJ4" s="366"/>
      <c r="CK4" s="366"/>
      <c r="CL4" s="366"/>
      <c r="CM4" s="366"/>
      <c r="CN4" s="366"/>
      <c r="CO4" s="366"/>
      <c r="CP4" s="366"/>
      <c r="CQ4" s="366"/>
      <c r="CR4" s="366"/>
      <c r="CS4" s="366"/>
      <c r="CT4" s="366"/>
      <c r="CU4" s="366"/>
      <c r="CV4" s="366"/>
      <c r="CW4" s="366"/>
      <c r="CX4" s="366"/>
      <c r="CY4" s="366"/>
      <c r="CZ4" s="366"/>
      <c r="DA4" s="366"/>
      <c r="DB4" s="366"/>
      <c r="DC4" s="366"/>
      <c r="DD4" s="366"/>
      <c r="DE4" s="366"/>
      <c r="DF4" s="366"/>
      <c r="DG4" s="366"/>
      <c r="DH4" s="366"/>
      <c r="DI4" s="366"/>
      <c r="DJ4" s="366"/>
      <c r="DK4" s="366"/>
      <c r="DL4" s="366"/>
      <c r="DM4" s="366"/>
      <c r="DN4" s="366"/>
      <c r="DO4" s="366"/>
      <c r="DP4" s="366"/>
      <c r="DQ4" s="366"/>
      <c r="DR4" s="366"/>
      <c r="DS4" s="366"/>
      <c r="DT4" s="366"/>
      <c r="DU4" s="366"/>
      <c r="DV4" s="366"/>
      <c r="DW4" s="366"/>
      <c r="DX4" s="366"/>
      <c r="DY4" s="366"/>
      <c r="DZ4" s="366"/>
      <c r="EA4" s="366"/>
      <c r="EB4" s="366"/>
      <c r="EC4" s="366"/>
      <c r="ED4" s="366"/>
      <c r="EE4" s="366"/>
      <c r="EF4" s="366"/>
      <c r="EG4" s="366"/>
      <c r="EH4" s="366"/>
    </row>
    <row r="5" spans="1:138" s="367" customFormat="1" ht="25.5" customHeight="1" x14ac:dyDescent="0.2">
      <c r="A5" s="1004"/>
      <c r="B5" s="1005"/>
      <c r="C5" s="1006"/>
      <c r="D5" s="988"/>
      <c r="E5" s="437" t="str">
        <f>IF(Langue=1,"Q dévié entrée STEP","Q Bypass Zulauf  ARA")</f>
        <v>Q Bypass Zulauf  ARA</v>
      </c>
      <c r="F5" s="482" t="str">
        <f>IF(Langue=1,"Q entrée STEP","Q Zulauf ARA")</f>
        <v>Q Zulauf ARA</v>
      </c>
      <c r="G5" s="437" t="str">
        <f>IF(Langue=1,"Q dévié sortie primaire","Q Bypass Ablauf Vorklärung")</f>
        <v>Q Bypass Ablauf Vorklärung</v>
      </c>
      <c r="H5" s="438" t="str">
        <f>IF(Langue=1,"Q sortie STEP (traité)","Q Ablauf ARA (behandelt)")</f>
        <v>Q Ablauf ARA (behandelt)</v>
      </c>
      <c r="I5" s="439" t="str">
        <f>IF(Langue=1,"Q min (entrée ou sortie STEP)","Q Min (Zu- oder Ablauf ARA)")</f>
        <v>Q Min (Zu- oder Ablauf ARA)</v>
      </c>
      <c r="J5" s="439" t="str">
        <f>IF(Langue=1,"Q max (entrée ou sortie STEP)","Q Max (Zu- oder Ablauf ARA)")</f>
        <v>Q Max (Zu- oder Ablauf ARA)</v>
      </c>
      <c r="K5" s="368"/>
      <c r="L5" s="368"/>
      <c r="M5" s="368"/>
      <c r="N5" s="368"/>
      <c r="O5" s="368"/>
      <c r="P5" s="368"/>
      <c r="Q5" s="369"/>
      <c r="R5" s="370"/>
      <c r="S5" s="370"/>
      <c r="T5" s="370"/>
      <c r="U5" s="371"/>
      <c r="V5" s="370"/>
      <c r="W5" s="371"/>
      <c r="X5" s="371"/>
      <c r="Y5" s="370"/>
      <c r="Z5" s="985" t="str">
        <f>IF(Langue=1,"fraîches (déc. prim.)","Anfall (VKB)")</f>
        <v>Anfall (VKB)</v>
      </c>
      <c r="AA5" s="986"/>
      <c r="AB5" s="440" t="str">
        <f>IF(Langue=1,"Volume","Volumen")</f>
        <v>Volumen</v>
      </c>
      <c r="AC5" s="441" t="str">
        <f>IF(Langue=1,"Concen-tration","Konzentration")</f>
        <v>Konzentration</v>
      </c>
      <c r="AD5" s="971" t="str">
        <f>IF(Langue=1,"Extraction boues bio","Überschussschlamm")</f>
        <v>Überschussschlamm</v>
      </c>
      <c r="AE5" s="972"/>
      <c r="AF5" s="966" t="str">
        <f>IF(Langue=1,"déshydratées","Menge")</f>
        <v>Menge</v>
      </c>
      <c r="AG5" s="967"/>
      <c r="AH5" s="968"/>
      <c r="AI5" s="372" t="str">
        <f>IF(Langue=1,"Gaz naturel","Erdgaz")</f>
        <v>Erdgaz</v>
      </c>
      <c r="AJ5" s="372" t="str">
        <f>IF(Langue=1,"Mazout","Heizöl")</f>
        <v>Heizöl</v>
      </c>
      <c r="AK5" s="977" t="str">
        <f>IF(Langue=1,"Electricité totale consommée, (y compris achetée)","Totaler Stromverbrauch auf ARA (inkl. extern bezogener Strom)")</f>
        <v>Totaler Stromverbrauch auf ARA (inkl. extern bezogener Strom)</v>
      </c>
      <c r="AL5" s="977" t="str">
        <f>IF(Langue=1,"Electricité consommé par soufflantes","Verbrauchter Strom für Gebläse")</f>
        <v>Verbrauchter Strom für Gebläse</v>
      </c>
      <c r="AM5" s="373"/>
      <c r="AN5" s="374"/>
      <c r="AO5" s="965"/>
      <c r="AP5" s="530" t="str">
        <f>"l/m2/d  resp. mm/d"</f>
        <v>l/m2/d  resp. mm/d</v>
      </c>
      <c r="AQ5" s="375"/>
      <c r="AR5" s="365"/>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6"/>
      <c r="BZ5" s="366"/>
      <c r="CA5" s="366"/>
      <c r="CB5" s="366"/>
      <c r="CC5" s="366"/>
      <c r="CD5" s="366"/>
      <c r="CE5" s="366"/>
      <c r="CF5" s="366"/>
      <c r="CG5" s="366"/>
      <c r="CH5" s="366"/>
      <c r="CI5" s="366"/>
      <c r="CJ5" s="366"/>
      <c r="CK5" s="366"/>
      <c r="CL5" s="366"/>
      <c r="CM5" s="366"/>
      <c r="CN5" s="366"/>
      <c r="CO5" s="366"/>
      <c r="CP5" s="366"/>
      <c r="CQ5" s="366"/>
      <c r="CR5" s="366"/>
      <c r="CS5" s="366"/>
      <c r="CT5" s="366"/>
      <c r="CU5" s="366"/>
      <c r="CV5" s="366"/>
      <c r="CW5" s="366"/>
      <c r="CX5" s="366"/>
      <c r="CY5" s="366"/>
      <c r="CZ5" s="366"/>
      <c r="DA5" s="366"/>
      <c r="DB5" s="366"/>
      <c r="DC5" s="366"/>
      <c r="DD5" s="366"/>
      <c r="DE5" s="366"/>
      <c r="DF5" s="366"/>
      <c r="DG5" s="366"/>
      <c r="DH5" s="366"/>
      <c r="DI5" s="366"/>
      <c r="DJ5" s="366"/>
      <c r="DK5" s="366"/>
      <c r="DL5" s="366"/>
      <c r="DM5" s="366"/>
      <c r="DN5" s="366"/>
      <c r="DO5" s="366"/>
      <c r="DP5" s="366"/>
      <c r="DQ5" s="366"/>
      <c r="DR5" s="366"/>
      <c r="DS5" s="366"/>
      <c r="DT5" s="366"/>
      <c r="DU5" s="366"/>
      <c r="DV5" s="366"/>
      <c r="DW5" s="366"/>
      <c r="DX5" s="366"/>
      <c r="DY5" s="366"/>
      <c r="DZ5" s="366"/>
      <c r="EA5" s="366"/>
      <c r="EB5" s="366"/>
      <c r="EC5" s="366"/>
      <c r="ED5" s="366"/>
      <c r="EE5" s="366"/>
      <c r="EF5" s="366"/>
      <c r="EG5" s="366"/>
      <c r="EH5" s="366"/>
    </row>
    <row r="6" spans="1:138" s="367" customFormat="1" ht="31.9" customHeight="1" x14ac:dyDescent="0.2">
      <c r="A6" s="428"/>
      <c r="B6" s="429"/>
      <c r="C6" s="430"/>
      <c r="D6" s="442"/>
      <c r="E6" s="443"/>
      <c r="F6" s="483"/>
      <c r="G6" s="443"/>
      <c r="H6" s="444"/>
      <c r="I6" s="445"/>
      <c r="J6" s="445"/>
      <c r="K6" s="376" t="str">
        <f>IF(Langue=1,"DBO5","BSB5")</f>
        <v>BSB5</v>
      </c>
      <c r="L6" s="377" t="str">
        <f>IF(Langue=1,"DCO","CSB")</f>
        <v>CSB</v>
      </c>
      <c r="M6" s="377" t="str">
        <f>IF(Langue=1,"COT","TOC")</f>
        <v>TOC</v>
      </c>
      <c r="N6" s="378" t="s">
        <v>157</v>
      </c>
      <c r="O6" s="378" t="str">
        <f>IF(Langue=1,"Ntot","Ntot")</f>
        <v>Ntot</v>
      </c>
      <c r="P6" s="378" t="str">
        <f>IF(Langue=1,"Ptot","Pges")</f>
        <v>Pges</v>
      </c>
      <c r="Q6" s="379" t="str">
        <f>IF(Langue=1,"DBO5","BSB5")</f>
        <v>BSB5</v>
      </c>
      <c r="R6" s="380" t="str">
        <f>IF(Langue=1,"DCO","CSB")</f>
        <v>CSB</v>
      </c>
      <c r="S6" s="380" t="str">
        <f>IF(Langue=1,"COD","DOC")</f>
        <v>DOC</v>
      </c>
      <c r="T6" s="380" t="str">
        <f>IF(Langue=1,"NH4","NH4")</f>
        <v>NH4</v>
      </c>
      <c r="U6" s="381" t="str">
        <f>IF(Langue=1,"NO2","NO2")</f>
        <v>NO2</v>
      </c>
      <c r="V6" s="380" t="str">
        <f>IF(Langue=1,"NO3","NO3")</f>
        <v>NO3</v>
      </c>
      <c r="W6" s="381" t="str">
        <f>IF(Langue=1,"PO4","PO4")</f>
        <v>PO4</v>
      </c>
      <c r="X6" s="381" t="str">
        <f>IF(Langue=1,"Ptot","Pges")</f>
        <v>Pges</v>
      </c>
      <c r="Y6" s="382" t="str">
        <f>IF(Langue=1,"MES","GUS")</f>
        <v>GUS</v>
      </c>
      <c r="Z6" s="383" t="str">
        <f>IF(Langue=1,"Volume","Volumen")</f>
        <v>Volumen</v>
      </c>
      <c r="AA6" s="384" t="str">
        <f>IF(Langue=1,"concentration","Konzentration")</f>
        <v>Konzentration</v>
      </c>
      <c r="AB6" s="446" t="str">
        <f>IF(Langue=1,"Bassin-bio","bio-Becken")</f>
        <v>bio-Becken</v>
      </c>
      <c r="AC6" s="446" t="str">
        <f>IF(Langue=1,"Bassin-bio","bio-Becken")</f>
        <v>bio-Becken</v>
      </c>
      <c r="AD6" s="446" t="str">
        <f>IF(Langue=1,"Volume","Volumen")</f>
        <v>Volumen</v>
      </c>
      <c r="AE6" s="447" t="str">
        <f>IF(Langue=1,"concentration","Konzentration")</f>
        <v>Konzentration</v>
      </c>
      <c r="AF6" s="448" t="str">
        <f>IF(Langue=1,"quantité brut","Menge Brutto")</f>
        <v>Menge Brutto</v>
      </c>
      <c r="AG6" s="449" t="str">
        <f>IF(Langue=1,"siccité","TS Gehalt")</f>
        <v>TS Gehalt</v>
      </c>
      <c r="AH6" s="396" t="str">
        <f>IF(Langue=1,"quantité MS","Menge TS")</f>
        <v>Menge TS</v>
      </c>
      <c r="AI6" s="385"/>
      <c r="AJ6" s="372"/>
      <c r="AK6" s="978"/>
      <c r="AL6" s="978"/>
      <c r="AM6" s="386" t="s">
        <v>69</v>
      </c>
      <c r="AN6" s="387" t="str">
        <f>IF(Langue=1,"Electricité","Strom")</f>
        <v>Strom</v>
      </c>
      <c r="AO6" s="388" t="str">
        <f>IF(Langue=1,"Electricité","Strom")</f>
        <v>Strom</v>
      </c>
      <c r="AP6" s="530"/>
      <c r="AQ6" s="375"/>
      <c r="AR6" s="365"/>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6"/>
      <c r="BZ6" s="366"/>
      <c r="CA6" s="366"/>
      <c r="CB6" s="366"/>
      <c r="CC6" s="366"/>
      <c r="CD6" s="366"/>
      <c r="CE6" s="366"/>
      <c r="CF6" s="366"/>
      <c r="CG6" s="366"/>
      <c r="CH6" s="366"/>
      <c r="CI6" s="366"/>
      <c r="CJ6" s="366"/>
      <c r="CK6" s="366"/>
      <c r="CL6" s="366"/>
      <c r="CM6" s="366"/>
      <c r="CN6" s="366"/>
      <c r="CO6" s="366"/>
      <c r="CP6" s="366"/>
      <c r="CQ6" s="366"/>
      <c r="CR6" s="366"/>
      <c r="CS6" s="366"/>
      <c r="CT6" s="366"/>
      <c r="CU6" s="366"/>
      <c r="CV6" s="366"/>
      <c r="CW6" s="366"/>
      <c r="CX6" s="366"/>
      <c r="CY6" s="366"/>
      <c r="CZ6" s="366"/>
      <c r="DA6" s="366"/>
      <c r="DB6" s="366"/>
      <c r="DC6" s="366"/>
      <c r="DD6" s="366"/>
      <c r="DE6" s="366"/>
      <c r="DF6" s="366"/>
      <c r="DG6" s="366"/>
      <c r="DH6" s="366"/>
      <c r="DI6" s="366"/>
      <c r="DJ6" s="366"/>
      <c r="DK6" s="366"/>
      <c r="DL6" s="366"/>
      <c r="DM6" s="366"/>
      <c r="DN6" s="366"/>
      <c r="DO6" s="366"/>
      <c r="DP6" s="366"/>
      <c r="DQ6" s="366"/>
      <c r="DR6" s="366"/>
      <c r="DS6" s="366"/>
      <c r="DT6" s="366"/>
      <c r="DU6" s="366"/>
      <c r="DV6" s="366"/>
      <c r="DW6" s="366"/>
      <c r="DX6" s="366"/>
      <c r="DY6" s="366"/>
      <c r="DZ6" s="366"/>
      <c r="EA6" s="366"/>
      <c r="EB6" s="366"/>
      <c r="EC6" s="366"/>
      <c r="ED6" s="366"/>
      <c r="EE6" s="366"/>
      <c r="EF6" s="366"/>
      <c r="EG6" s="366"/>
      <c r="EH6" s="366"/>
    </row>
    <row r="7" spans="1:138" s="367" customFormat="1" ht="13.5" thickBot="1" x14ac:dyDescent="0.25">
      <c r="A7" s="431"/>
      <c r="B7" s="432"/>
      <c r="C7" s="433"/>
      <c r="D7" s="389" t="s">
        <v>1</v>
      </c>
      <c r="E7" s="390" t="str">
        <f>IF(Langue=1,"m3/j","m3/Tag")</f>
        <v>m3/Tag</v>
      </c>
      <c r="F7" s="484" t="str">
        <f>IF(Langue=1,"m3/j","m3/Tag")</f>
        <v>m3/Tag</v>
      </c>
      <c r="G7" s="390" t="str">
        <f>IF(Langue=1,"m3/j","m3/Tag")</f>
        <v>m3/Tag</v>
      </c>
      <c r="H7" s="391" t="str">
        <f>IF(Langue=1,"m3/j","m3/Tag")</f>
        <v>m3/Tag</v>
      </c>
      <c r="I7" s="392" t="s">
        <v>2</v>
      </c>
      <c r="J7" s="392" t="s">
        <v>2</v>
      </c>
      <c r="K7" s="376" t="s">
        <v>4</v>
      </c>
      <c r="L7" s="377" t="s">
        <v>4</v>
      </c>
      <c r="M7" s="393" t="s">
        <v>4</v>
      </c>
      <c r="N7" s="378" t="s">
        <v>4</v>
      </c>
      <c r="O7" s="378" t="s">
        <v>4</v>
      </c>
      <c r="P7" s="378" t="s">
        <v>4</v>
      </c>
      <c r="Q7" s="379" t="s">
        <v>4</v>
      </c>
      <c r="R7" s="380" t="s">
        <v>4</v>
      </c>
      <c r="S7" s="380" t="s">
        <v>4</v>
      </c>
      <c r="T7" s="380" t="s">
        <v>4</v>
      </c>
      <c r="U7" s="381" t="s">
        <v>4</v>
      </c>
      <c r="V7" s="380" t="s">
        <v>4</v>
      </c>
      <c r="W7" s="381" t="s">
        <v>4</v>
      </c>
      <c r="X7" s="381" t="s">
        <v>4</v>
      </c>
      <c r="Y7" s="382" t="s">
        <v>4</v>
      </c>
      <c r="Z7" s="383" t="str">
        <f>IF(Langue=1,"m3/j","m3/Tag")</f>
        <v>m3/Tag</v>
      </c>
      <c r="AA7" s="384" t="str">
        <f>IF(Langue=1,"g MS/l","g TS/l")</f>
        <v>g TS/l</v>
      </c>
      <c r="AB7" s="446" t="s">
        <v>10</v>
      </c>
      <c r="AC7" s="447" t="str">
        <f>IF(Langue=1,"g MS/l","g TS/l")</f>
        <v>g TS/l</v>
      </c>
      <c r="AD7" s="446" t="str">
        <f>IF(Langue=1,"m3/j","m3/Tag")</f>
        <v>m3/Tag</v>
      </c>
      <c r="AE7" s="447" t="str">
        <f>IF(Langue=1,"g MS/l","g TS/l")</f>
        <v>g TS/l</v>
      </c>
      <c r="AF7" s="394" t="str">
        <f>IF(Langue=1,"t brut","t Brutto")</f>
        <v>t Brutto</v>
      </c>
      <c r="AG7" s="395" t="str">
        <f>IF(Langue=1,"% MS","% TS")</f>
        <v>% TS</v>
      </c>
      <c r="AH7" s="396" t="str">
        <f>IF(Langue=1,"t MS","t TS")</f>
        <v>t TS</v>
      </c>
      <c r="AI7" s="372" t="str">
        <f>IF(Langue=1,"m3/jour","m3/Tag")</f>
        <v>m3/Tag</v>
      </c>
      <c r="AJ7" s="372" t="str">
        <f>IF(Langue=1,"l/jour","l/Tag")</f>
        <v>l/Tag</v>
      </c>
      <c r="AK7" s="397" t="str">
        <f>IF(Langue=1,"kWh/j","kWh/Tag")</f>
        <v>kWh/Tag</v>
      </c>
      <c r="AL7" s="397" t="str">
        <f>IF(Langue=1,"kWh/j","kWh/Tag")</f>
        <v>kWh/Tag</v>
      </c>
      <c r="AM7" s="386" t="str">
        <f>IF(Langue=1,"m3/jour","m3/Tag")</f>
        <v>m3/Tag</v>
      </c>
      <c r="AN7" s="387" t="str">
        <f>IF(Langue=1,"kWh/j","kWh/Tag")</f>
        <v>kWh/Tag</v>
      </c>
      <c r="AO7" s="388" t="str">
        <f>IF(Langue=1,"kWh/j","kWh/Tag")</f>
        <v>kWh/Tag</v>
      </c>
      <c r="AP7" s="530"/>
      <c r="AQ7" s="375" t="s">
        <v>118</v>
      </c>
      <c r="AR7" s="365"/>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I7" s="366"/>
      <c r="CJ7" s="366"/>
      <c r="CK7" s="366"/>
      <c r="CL7" s="366"/>
      <c r="CM7" s="366"/>
      <c r="CN7" s="366"/>
      <c r="CO7" s="366"/>
      <c r="CP7" s="366"/>
      <c r="CQ7" s="366"/>
      <c r="CR7" s="366"/>
      <c r="CS7" s="366"/>
      <c r="CT7" s="366"/>
      <c r="CU7" s="366"/>
      <c r="CV7" s="366"/>
      <c r="CW7" s="366"/>
      <c r="CX7" s="366"/>
      <c r="CY7" s="366"/>
      <c r="CZ7" s="366"/>
      <c r="DA7" s="366"/>
      <c r="DB7" s="366"/>
      <c r="DC7" s="366"/>
      <c r="DD7" s="366"/>
      <c r="DE7" s="366"/>
      <c r="DF7" s="366"/>
      <c r="DG7" s="366"/>
      <c r="DH7" s="366"/>
      <c r="DI7" s="366"/>
      <c r="DJ7" s="366"/>
      <c r="DK7" s="366"/>
      <c r="DL7" s="366"/>
      <c r="DM7" s="366"/>
      <c r="DN7" s="366"/>
      <c r="DO7" s="366"/>
      <c r="DP7" s="366"/>
      <c r="DQ7" s="366"/>
      <c r="DR7" s="366"/>
      <c r="DS7" s="366"/>
      <c r="DT7" s="366"/>
      <c r="DU7" s="366"/>
      <c r="DV7" s="366"/>
      <c r="DW7" s="366"/>
      <c r="DX7" s="366"/>
      <c r="DY7" s="366"/>
      <c r="DZ7" s="366"/>
      <c r="EA7" s="366"/>
      <c r="EB7" s="366"/>
      <c r="EC7" s="366"/>
      <c r="ED7" s="366"/>
      <c r="EE7" s="366"/>
      <c r="EF7" s="366"/>
      <c r="EG7" s="366"/>
      <c r="EH7" s="366"/>
    </row>
    <row r="8" spans="1:138" s="367" customFormat="1" x14ac:dyDescent="0.2">
      <c r="A8" s="434"/>
      <c r="B8" s="435"/>
      <c r="C8" s="436"/>
      <c r="D8" s="398"/>
      <c r="E8" s="399"/>
      <c r="F8" s="485"/>
      <c r="G8" s="399"/>
      <c r="H8" s="400"/>
      <c r="I8" s="401"/>
      <c r="J8" s="401"/>
      <c r="K8" s="402"/>
      <c r="L8" s="403"/>
      <c r="M8" s="404"/>
      <c r="N8" s="405"/>
      <c r="O8" s="405"/>
      <c r="P8" s="405"/>
      <c r="Q8" s="406"/>
      <c r="R8" s="407"/>
      <c r="S8" s="407"/>
      <c r="T8" s="407"/>
      <c r="U8" s="408"/>
      <c r="V8" s="407"/>
      <c r="W8" s="408"/>
      <c r="X8" s="408"/>
      <c r="Y8" s="409"/>
      <c r="Z8" s="410"/>
      <c r="AA8" s="411"/>
      <c r="AB8" s="450"/>
      <c r="AC8" s="451"/>
      <c r="AD8" s="450"/>
      <c r="AE8" s="451"/>
      <c r="AF8" s="412"/>
      <c r="AG8" s="413"/>
      <c r="AH8" s="414"/>
      <c r="AI8" s="415"/>
      <c r="AJ8" s="415"/>
      <c r="AK8" s="416"/>
      <c r="AL8" s="416"/>
      <c r="AM8" s="417"/>
      <c r="AN8" s="418"/>
      <c r="AO8" s="419"/>
      <c r="AP8" s="531"/>
      <c r="AQ8" s="420"/>
      <c r="AR8" s="365"/>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6"/>
      <c r="BZ8" s="366"/>
      <c r="CA8" s="366"/>
      <c r="CB8" s="366"/>
      <c r="CC8" s="366"/>
      <c r="CD8" s="366"/>
      <c r="CE8" s="366"/>
      <c r="CF8" s="366"/>
      <c r="CG8" s="366"/>
      <c r="CH8" s="366"/>
      <c r="CI8" s="366"/>
      <c r="CJ8" s="366"/>
      <c r="CK8" s="366"/>
      <c r="CL8" s="366"/>
      <c r="CM8" s="366"/>
      <c r="CN8" s="366"/>
      <c r="CO8" s="366"/>
      <c r="CP8" s="366"/>
      <c r="CQ8" s="366"/>
      <c r="CR8" s="366"/>
      <c r="CS8" s="366"/>
      <c r="CT8" s="366"/>
      <c r="CU8" s="366"/>
      <c r="CV8" s="366"/>
      <c r="CW8" s="366"/>
      <c r="CX8" s="366"/>
      <c r="CY8" s="366"/>
      <c r="CZ8" s="366"/>
      <c r="DA8" s="366"/>
      <c r="DB8" s="366"/>
      <c r="DC8" s="366"/>
      <c r="DD8" s="366"/>
      <c r="DE8" s="366"/>
      <c r="DF8" s="366"/>
      <c r="DG8" s="366"/>
      <c r="DH8" s="366"/>
      <c r="DI8" s="366"/>
      <c r="DJ8" s="366"/>
      <c r="DK8" s="366"/>
      <c r="DL8" s="366"/>
      <c r="DM8" s="366"/>
      <c r="DN8" s="366"/>
      <c r="DO8" s="366"/>
      <c r="DP8" s="366"/>
      <c r="DQ8" s="366"/>
      <c r="DR8" s="366"/>
      <c r="DS8" s="366"/>
      <c r="DT8" s="366"/>
      <c r="DU8" s="366"/>
      <c r="DV8" s="366"/>
      <c r="DW8" s="366"/>
      <c r="DX8" s="366"/>
      <c r="DY8" s="366"/>
      <c r="DZ8" s="366"/>
      <c r="EA8" s="366"/>
      <c r="EB8" s="366"/>
      <c r="EC8" s="366"/>
      <c r="ED8" s="366"/>
      <c r="EE8" s="366"/>
      <c r="EF8" s="366"/>
      <c r="EG8" s="366"/>
      <c r="EH8" s="366"/>
    </row>
    <row r="9" spans="1:138" s="367" customFormat="1" x14ac:dyDescent="0.2">
      <c r="A9" s="434"/>
      <c r="B9" s="435"/>
      <c r="C9" s="436"/>
      <c r="D9" s="398"/>
      <c r="E9" s="421"/>
      <c r="F9" s="486"/>
      <c r="G9" s="421"/>
      <c r="H9" s="422"/>
      <c r="I9" s="423"/>
      <c r="J9" s="423"/>
      <c r="K9" s="402"/>
      <c r="L9" s="403"/>
      <c r="M9" s="404"/>
      <c r="N9" s="405"/>
      <c r="O9" s="405"/>
      <c r="P9" s="405"/>
      <c r="Q9" s="406"/>
      <c r="R9" s="407"/>
      <c r="S9" s="407"/>
      <c r="T9" s="407"/>
      <c r="U9" s="408"/>
      <c r="V9" s="407"/>
      <c r="W9" s="408"/>
      <c r="X9" s="408"/>
      <c r="Y9" s="409"/>
      <c r="Z9" s="410"/>
      <c r="AA9" s="411"/>
      <c r="AB9" s="450"/>
      <c r="AC9" s="451"/>
      <c r="AD9" s="450"/>
      <c r="AE9" s="451"/>
      <c r="AF9" s="412"/>
      <c r="AG9" s="413"/>
      <c r="AH9" s="414"/>
      <c r="AI9" s="415"/>
      <c r="AJ9" s="424"/>
      <c r="AK9" s="425"/>
      <c r="AL9" s="425"/>
      <c r="AM9" s="426"/>
      <c r="AN9" s="427"/>
      <c r="AO9" s="419"/>
      <c r="AP9" s="531"/>
      <c r="AQ9" s="420"/>
      <c r="AR9" s="365"/>
      <c r="AS9" s="366"/>
      <c r="AT9" s="366"/>
      <c r="AU9" s="36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6"/>
      <c r="BZ9" s="366"/>
      <c r="CA9" s="366"/>
      <c r="CB9" s="366"/>
      <c r="CC9" s="366"/>
      <c r="CD9" s="366"/>
      <c r="CE9" s="366"/>
      <c r="CF9" s="366"/>
      <c r="CG9" s="366"/>
      <c r="CH9" s="366"/>
      <c r="CI9" s="366"/>
      <c r="CJ9" s="366"/>
      <c r="CK9" s="366"/>
      <c r="CL9" s="366"/>
      <c r="CM9" s="366"/>
      <c r="CN9" s="366"/>
      <c r="CO9" s="366"/>
      <c r="CP9" s="366"/>
      <c r="CQ9" s="366"/>
      <c r="CR9" s="366"/>
      <c r="CS9" s="366"/>
      <c r="CT9" s="366"/>
      <c r="CU9" s="366"/>
      <c r="CV9" s="366"/>
      <c r="CW9" s="366"/>
      <c r="CX9" s="366"/>
      <c r="CY9" s="366"/>
      <c r="CZ9" s="366"/>
      <c r="DA9" s="366"/>
      <c r="DB9" s="366"/>
      <c r="DC9" s="366"/>
      <c r="DD9" s="366"/>
      <c r="DE9" s="366"/>
      <c r="DF9" s="366"/>
      <c r="DG9" s="366"/>
      <c r="DH9" s="366"/>
      <c r="DI9" s="366"/>
      <c r="DJ9" s="366"/>
      <c r="DK9" s="366"/>
      <c r="DL9" s="366"/>
      <c r="DM9" s="366"/>
      <c r="DN9" s="366"/>
      <c r="DO9" s="366"/>
      <c r="DP9" s="366"/>
      <c r="DQ9" s="366"/>
      <c r="DR9" s="366"/>
      <c r="DS9" s="366"/>
      <c r="DT9" s="366"/>
      <c r="DU9" s="366"/>
      <c r="DV9" s="366"/>
      <c r="DW9" s="366"/>
      <c r="DX9" s="366"/>
      <c r="DY9" s="366"/>
      <c r="DZ9" s="366"/>
      <c r="EA9" s="366"/>
      <c r="EB9" s="366"/>
      <c r="EC9" s="366"/>
      <c r="ED9" s="366"/>
      <c r="EE9" s="366"/>
      <c r="EF9" s="366"/>
      <c r="EG9" s="366"/>
      <c r="EH9" s="366"/>
    </row>
    <row r="10" spans="1:138" s="481" customFormat="1" ht="18.75" customHeight="1" x14ac:dyDescent="0.2">
      <c r="A10" s="452" t="s">
        <v>316</v>
      </c>
      <c r="B10" s="453" t="s">
        <v>315</v>
      </c>
      <c r="C10" s="454" t="s">
        <v>317</v>
      </c>
      <c r="D10" s="455" t="s">
        <v>277</v>
      </c>
      <c r="E10" s="456" t="s">
        <v>122</v>
      </c>
      <c r="F10" s="487" t="s">
        <v>124</v>
      </c>
      <c r="G10" s="456" t="s">
        <v>123</v>
      </c>
      <c r="H10" s="457" t="s">
        <v>276</v>
      </c>
      <c r="I10" s="458" t="s">
        <v>120</v>
      </c>
      <c r="J10" s="459" t="s">
        <v>121</v>
      </c>
      <c r="K10" s="460" t="s">
        <v>125</v>
      </c>
      <c r="L10" s="461" t="s">
        <v>126</v>
      </c>
      <c r="M10" s="461" t="s">
        <v>127</v>
      </c>
      <c r="N10" s="462" t="s">
        <v>128</v>
      </c>
      <c r="O10" s="462" t="s">
        <v>129</v>
      </c>
      <c r="P10" s="462" t="s">
        <v>130</v>
      </c>
      <c r="Q10" s="463" t="s">
        <v>267</v>
      </c>
      <c r="R10" s="464" t="s">
        <v>268</v>
      </c>
      <c r="S10" s="464" t="s">
        <v>269</v>
      </c>
      <c r="T10" s="464" t="s">
        <v>270</v>
      </c>
      <c r="U10" s="465" t="s">
        <v>271</v>
      </c>
      <c r="V10" s="464" t="s">
        <v>272</v>
      </c>
      <c r="W10" s="465" t="s">
        <v>273</v>
      </c>
      <c r="X10" s="465" t="s">
        <v>274</v>
      </c>
      <c r="Y10" s="466" t="s">
        <v>275</v>
      </c>
      <c r="Z10" s="467" t="s">
        <v>131</v>
      </c>
      <c r="AA10" s="467" t="s">
        <v>147</v>
      </c>
      <c r="AB10" s="468" t="s">
        <v>132</v>
      </c>
      <c r="AC10" s="469" t="s">
        <v>142</v>
      </c>
      <c r="AD10" s="468" t="s">
        <v>133</v>
      </c>
      <c r="AE10" s="469" t="s">
        <v>146</v>
      </c>
      <c r="AF10" s="470" t="s">
        <v>144</v>
      </c>
      <c r="AG10" s="471" t="s">
        <v>143</v>
      </c>
      <c r="AH10" s="472" t="s">
        <v>145</v>
      </c>
      <c r="AI10" s="473" t="s">
        <v>134</v>
      </c>
      <c r="AJ10" s="473" t="s">
        <v>135</v>
      </c>
      <c r="AK10" s="474" t="s">
        <v>140</v>
      </c>
      <c r="AL10" s="474" t="s">
        <v>141</v>
      </c>
      <c r="AM10" s="475" t="s">
        <v>139</v>
      </c>
      <c r="AN10" s="476" t="s">
        <v>138</v>
      </c>
      <c r="AO10" s="477" t="s">
        <v>148</v>
      </c>
      <c r="AP10" s="532" t="s">
        <v>136</v>
      </c>
      <c r="AQ10" s="478" t="s">
        <v>137</v>
      </c>
      <c r="AR10" s="479"/>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c r="CF10" s="480"/>
      <c r="CG10" s="480"/>
      <c r="CH10" s="480"/>
      <c r="CI10" s="480"/>
      <c r="CJ10" s="480"/>
      <c r="CK10" s="480"/>
      <c r="CL10" s="480"/>
      <c r="CM10" s="480"/>
      <c r="CN10" s="480"/>
      <c r="CO10" s="480"/>
      <c r="CP10" s="480"/>
      <c r="CQ10" s="480"/>
      <c r="CR10" s="480"/>
      <c r="CS10" s="480"/>
      <c r="CT10" s="480"/>
      <c r="CU10" s="480"/>
      <c r="CV10" s="480"/>
      <c r="CW10" s="480"/>
      <c r="CX10" s="480"/>
      <c r="CY10" s="480"/>
      <c r="CZ10" s="480"/>
      <c r="DA10" s="480"/>
      <c r="DB10" s="480"/>
      <c r="DC10" s="480"/>
      <c r="DD10" s="480"/>
      <c r="DE10" s="480"/>
      <c r="DF10" s="480"/>
      <c r="DG10" s="480"/>
      <c r="DH10" s="480"/>
      <c r="DI10" s="480"/>
      <c r="DJ10" s="480"/>
      <c r="DK10" s="480"/>
      <c r="DL10" s="480"/>
      <c r="DM10" s="480"/>
      <c r="DN10" s="480"/>
      <c r="DO10" s="480"/>
      <c r="DP10" s="480"/>
      <c r="DQ10" s="480"/>
      <c r="DR10" s="480"/>
      <c r="DS10" s="480"/>
      <c r="DT10" s="480"/>
      <c r="DU10" s="480"/>
      <c r="DV10" s="480"/>
      <c r="DW10" s="480"/>
      <c r="DX10" s="480"/>
      <c r="DY10" s="480"/>
      <c r="DZ10" s="480"/>
      <c r="EA10" s="480"/>
      <c r="EB10" s="480"/>
      <c r="EC10" s="480"/>
      <c r="ED10" s="480"/>
      <c r="EE10" s="480"/>
      <c r="EF10" s="480"/>
      <c r="EG10" s="480"/>
      <c r="EH10" s="480"/>
    </row>
    <row r="11" spans="1:138" s="24" customFormat="1" x14ac:dyDescent="0.2">
      <c r="A11" s="219">
        <f>DATE(basis!G3,1,1)</f>
        <v>44562</v>
      </c>
      <c r="B11" s="220">
        <f t="shared" ref="B11:B74" si="0">MONTH(A11)</f>
        <v>1</v>
      </c>
      <c r="C11" s="221">
        <f>WEEKDAY(A11)</f>
        <v>7</v>
      </c>
      <c r="D11" s="795"/>
      <c r="E11" s="795"/>
      <c r="F11" s="796"/>
      <c r="G11" s="796"/>
      <c r="H11" s="796"/>
      <c r="I11" s="795"/>
      <c r="J11" s="795"/>
      <c r="K11" s="796"/>
      <c r="L11" s="796"/>
      <c r="M11" s="796"/>
      <c r="N11" s="795"/>
      <c r="O11" s="795"/>
      <c r="P11" s="795"/>
      <c r="Q11" s="795"/>
      <c r="R11" s="795"/>
      <c r="S11" s="795"/>
      <c r="T11" s="795"/>
      <c r="U11" s="795"/>
      <c r="V11" s="795"/>
      <c r="W11" s="795"/>
      <c r="X11" s="795"/>
      <c r="Y11" s="795"/>
      <c r="Z11" s="796"/>
      <c r="AA11" s="795"/>
      <c r="AB11" s="329" t="str">
        <f>basis!$B$19</f>
        <v/>
      </c>
      <c r="AC11" s="795"/>
      <c r="AD11" s="218"/>
      <c r="AE11" s="218"/>
      <c r="AF11" s="795"/>
      <c r="AG11" s="891"/>
      <c r="AH11" s="225" t="str">
        <f>IF(OR(AF11="",AG11=""),"",AF11*AG11)</f>
        <v/>
      </c>
      <c r="AI11" s="795"/>
      <c r="AJ11" s="796"/>
      <c r="AK11" s="796"/>
      <c r="AL11" s="795"/>
      <c r="AM11" s="796"/>
      <c r="AN11" s="795"/>
      <c r="AO11" s="795"/>
      <c r="AP11" s="795"/>
      <c r="AQ11" s="218"/>
      <c r="AR11" s="46"/>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row>
    <row r="12" spans="1:138" s="24" customFormat="1" x14ac:dyDescent="0.2">
      <c r="A12" s="219">
        <f>A11+1</f>
        <v>44563</v>
      </c>
      <c r="B12" s="220">
        <f t="shared" si="0"/>
        <v>1</v>
      </c>
      <c r="C12" s="221">
        <f t="shared" ref="C12:C74" si="1">WEEKDAY(A12)</f>
        <v>1</v>
      </c>
      <c r="D12" s="795"/>
      <c r="E12" s="795"/>
      <c r="F12" s="796"/>
      <c r="G12" s="796"/>
      <c r="H12" s="796"/>
      <c r="I12" s="795"/>
      <c r="J12" s="795"/>
      <c r="K12" s="796"/>
      <c r="L12" s="796"/>
      <c r="M12" s="795"/>
      <c r="N12" s="795"/>
      <c r="O12" s="795"/>
      <c r="P12" s="795"/>
      <c r="Q12" s="795"/>
      <c r="R12" s="795"/>
      <c r="S12" s="795"/>
      <c r="T12" s="795"/>
      <c r="U12" s="795"/>
      <c r="V12" s="795"/>
      <c r="W12" s="795"/>
      <c r="X12" s="795"/>
      <c r="Y12" s="795"/>
      <c r="Z12" s="796"/>
      <c r="AA12" s="795"/>
      <c r="AB12" s="329" t="str">
        <f>basis!$B$19</f>
        <v/>
      </c>
      <c r="AC12" s="795"/>
      <c r="AD12" s="795"/>
      <c r="AE12" s="795"/>
      <c r="AF12" s="795"/>
      <c r="AG12" s="892"/>
      <c r="AH12" s="225" t="str">
        <f>IF(OR(AF12="",AG12=""),"",AF12*AG12)</f>
        <v/>
      </c>
      <c r="AI12" s="795"/>
      <c r="AJ12" s="796"/>
      <c r="AK12" s="796"/>
      <c r="AL12" s="795"/>
      <c r="AM12" s="796"/>
      <c r="AN12" s="795"/>
      <c r="AO12" s="795"/>
      <c r="AP12" s="795"/>
      <c r="AQ12" s="218"/>
      <c r="AR12" s="47"/>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row>
    <row r="13" spans="1:138" s="24" customFormat="1" x14ac:dyDescent="0.2">
      <c r="A13" s="219">
        <f>A12+1</f>
        <v>44564</v>
      </c>
      <c r="B13" s="220">
        <f t="shared" si="0"/>
        <v>1</v>
      </c>
      <c r="C13" s="221">
        <f t="shared" si="1"/>
        <v>2</v>
      </c>
      <c r="D13" s="795"/>
      <c r="E13" s="795"/>
      <c r="F13" s="796"/>
      <c r="G13" s="796"/>
      <c r="H13" s="796"/>
      <c r="I13" s="795"/>
      <c r="J13" s="795"/>
      <c r="K13" s="796"/>
      <c r="L13" s="796"/>
      <c r="M13" s="796"/>
      <c r="N13" s="795"/>
      <c r="O13" s="795"/>
      <c r="P13" s="795"/>
      <c r="Q13" s="795"/>
      <c r="R13" s="795"/>
      <c r="S13" s="795"/>
      <c r="T13" s="795"/>
      <c r="U13" s="795"/>
      <c r="V13" s="795"/>
      <c r="W13" s="795"/>
      <c r="X13" s="795"/>
      <c r="Y13" s="795"/>
      <c r="Z13" s="796"/>
      <c r="AA13" s="795"/>
      <c r="AB13" s="329" t="str">
        <f>basis!$B$19</f>
        <v/>
      </c>
      <c r="AC13" s="795"/>
      <c r="AD13" s="795"/>
      <c r="AE13" s="795"/>
      <c r="AF13" s="795"/>
      <c r="AG13" s="892"/>
      <c r="AH13" s="225" t="str">
        <f t="shared" ref="AH13:AH75" si="2">IF(OR(AF13="",AG13=""),"",AF13*AG13)</f>
        <v/>
      </c>
      <c r="AI13" s="795"/>
      <c r="AJ13" s="796"/>
      <c r="AK13" s="796"/>
      <c r="AL13" s="795"/>
      <c r="AM13" s="796"/>
      <c r="AN13" s="795"/>
      <c r="AO13" s="795"/>
      <c r="AP13" s="795"/>
      <c r="AQ13" s="218"/>
      <c r="AR13" s="47"/>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row>
    <row r="14" spans="1:138" s="24" customFormat="1" x14ac:dyDescent="0.2">
      <c r="A14" s="219">
        <f t="shared" ref="A14:A76" si="3">A13+1</f>
        <v>44565</v>
      </c>
      <c r="B14" s="220">
        <f t="shared" si="0"/>
        <v>1</v>
      </c>
      <c r="C14" s="221">
        <f t="shared" si="1"/>
        <v>3</v>
      </c>
      <c r="D14" s="795"/>
      <c r="E14" s="795"/>
      <c r="F14" s="796"/>
      <c r="G14" s="796"/>
      <c r="H14" s="796"/>
      <c r="I14" s="795"/>
      <c r="J14" s="795"/>
      <c r="K14" s="796"/>
      <c r="L14" s="796"/>
      <c r="M14" s="796"/>
      <c r="N14" s="795"/>
      <c r="O14" s="795"/>
      <c r="P14" s="795"/>
      <c r="Q14" s="795"/>
      <c r="R14" s="795"/>
      <c r="S14" s="795"/>
      <c r="T14" s="795"/>
      <c r="U14" s="795"/>
      <c r="V14" s="795"/>
      <c r="W14" s="795"/>
      <c r="X14" s="795"/>
      <c r="Y14" s="795"/>
      <c r="Z14" s="796"/>
      <c r="AA14" s="795"/>
      <c r="AB14" s="329" t="str">
        <f>basis!$B$19</f>
        <v/>
      </c>
      <c r="AC14" s="795"/>
      <c r="AD14" s="795"/>
      <c r="AE14" s="795"/>
      <c r="AF14" s="795"/>
      <c r="AG14" s="892"/>
      <c r="AH14" s="225" t="str">
        <f t="shared" si="2"/>
        <v/>
      </c>
      <c r="AI14" s="795"/>
      <c r="AJ14" s="796"/>
      <c r="AK14" s="796"/>
      <c r="AL14" s="795"/>
      <c r="AM14" s="796"/>
      <c r="AN14" s="795"/>
      <c r="AO14" s="795"/>
      <c r="AP14" s="795"/>
      <c r="AQ14" s="218"/>
      <c r="AR14" s="47"/>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row>
    <row r="15" spans="1:138" s="24" customFormat="1" x14ac:dyDescent="0.2">
      <c r="A15" s="219">
        <f t="shared" si="3"/>
        <v>44566</v>
      </c>
      <c r="B15" s="220">
        <f t="shared" si="0"/>
        <v>1</v>
      </c>
      <c r="C15" s="221">
        <f t="shared" si="1"/>
        <v>4</v>
      </c>
      <c r="D15" s="795"/>
      <c r="E15" s="795"/>
      <c r="F15" s="796"/>
      <c r="G15" s="796"/>
      <c r="H15" s="796"/>
      <c r="I15" s="795"/>
      <c r="J15" s="795"/>
      <c r="K15" s="796"/>
      <c r="L15" s="796"/>
      <c r="M15" s="796"/>
      <c r="N15" s="795"/>
      <c r="O15" s="795"/>
      <c r="P15" s="795"/>
      <c r="Q15" s="795"/>
      <c r="R15" s="795"/>
      <c r="S15" s="795"/>
      <c r="T15" s="795"/>
      <c r="U15" s="795"/>
      <c r="V15" s="795"/>
      <c r="W15" s="795"/>
      <c r="X15" s="795"/>
      <c r="Y15" s="795"/>
      <c r="Z15" s="796"/>
      <c r="AA15" s="795"/>
      <c r="AB15" s="329" t="str">
        <f>basis!$B$19</f>
        <v/>
      </c>
      <c r="AC15" s="795"/>
      <c r="AD15" s="795"/>
      <c r="AE15" s="795"/>
      <c r="AF15" s="795"/>
      <c r="AG15" s="892"/>
      <c r="AH15" s="225" t="str">
        <f t="shared" si="2"/>
        <v/>
      </c>
      <c r="AI15" s="795"/>
      <c r="AJ15" s="796"/>
      <c r="AK15" s="796"/>
      <c r="AL15" s="795"/>
      <c r="AM15" s="796"/>
      <c r="AN15" s="795"/>
      <c r="AO15" s="795"/>
      <c r="AP15" s="795"/>
      <c r="AQ15" s="218"/>
      <c r="AR15" s="47"/>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row>
    <row r="16" spans="1:138" s="38" customFormat="1" x14ac:dyDescent="0.2">
      <c r="A16" s="219">
        <f t="shared" si="3"/>
        <v>44567</v>
      </c>
      <c r="B16" s="220">
        <f t="shared" si="0"/>
        <v>1</v>
      </c>
      <c r="C16" s="221">
        <f t="shared" si="1"/>
        <v>5</v>
      </c>
      <c r="D16" s="795"/>
      <c r="E16" s="795"/>
      <c r="F16" s="796"/>
      <c r="G16" s="796"/>
      <c r="H16" s="796"/>
      <c r="I16" s="795"/>
      <c r="J16" s="795"/>
      <c r="K16" s="796"/>
      <c r="L16" s="796"/>
      <c r="M16" s="796"/>
      <c r="N16" s="795"/>
      <c r="O16" s="795"/>
      <c r="P16" s="795"/>
      <c r="Q16" s="795"/>
      <c r="R16" s="795"/>
      <c r="S16" s="795"/>
      <c r="T16" s="795"/>
      <c r="U16" s="795"/>
      <c r="V16" s="795"/>
      <c r="W16" s="795"/>
      <c r="X16" s="795"/>
      <c r="Y16" s="795"/>
      <c r="Z16" s="796"/>
      <c r="AA16" s="795"/>
      <c r="AB16" s="329" t="str">
        <f>basis!$B$19</f>
        <v/>
      </c>
      <c r="AC16" s="795"/>
      <c r="AD16" s="795"/>
      <c r="AE16" s="795"/>
      <c r="AF16" s="795"/>
      <c r="AG16" s="892"/>
      <c r="AH16" s="225" t="str">
        <f t="shared" si="2"/>
        <v/>
      </c>
      <c r="AI16" s="795"/>
      <c r="AJ16" s="796"/>
      <c r="AK16" s="796"/>
      <c r="AL16" s="795"/>
      <c r="AM16" s="796"/>
      <c r="AN16" s="795"/>
      <c r="AO16" s="795"/>
      <c r="AP16" s="795"/>
      <c r="AQ16" s="218"/>
      <c r="AR16" s="47"/>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row>
    <row r="17" spans="1:138" s="24" customFormat="1" x14ac:dyDescent="0.2">
      <c r="A17" s="219">
        <f t="shared" si="3"/>
        <v>44568</v>
      </c>
      <c r="B17" s="220">
        <f t="shared" si="0"/>
        <v>1</v>
      </c>
      <c r="C17" s="221">
        <f t="shared" si="1"/>
        <v>6</v>
      </c>
      <c r="D17" s="795"/>
      <c r="E17" s="795"/>
      <c r="F17" s="796"/>
      <c r="G17" s="796"/>
      <c r="H17" s="796"/>
      <c r="I17" s="795"/>
      <c r="J17" s="795"/>
      <c r="K17" s="796"/>
      <c r="L17" s="796"/>
      <c r="M17" s="796"/>
      <c r="N17" s="795"/>
      <c r="O17" s="795"/>
      <c r="P17" s="795"/>
      <c r="Q17" s="795"/>
      <c r="R17" s="795"/>
      <c r="S17" s="795"/>
      <c r="T17" s="795"/>
      <c r="U17" s="795"/>
      <c r="V17" s="795"/>
      <c r="W17" s="795"/>
      <c r="X17" s="795"/>
      <c r="Y17" s="795"/>
      <c r="Z17" s="796"/>
      <c r="AA17" s="795"/>
      <c r="AB17" s="329" t="str">
        <f>basis!$B$19</f>
        <v/>
      </c>
      <c r="AC17" s="795"/>
      <c r="AD17" s="795"/>
      <c r="AE17" s="795"/>
      <c r="AF17" s="795"/>
      <c r="AG17" s="892"/>
      <c r="AH17" s="225" t="str">
        <f t="shared" si="2"/>
        <v/>
      </c>
      <c r="AI17" s="795"/>
      <c r="AJ17" s="796"/>
      <c r="AK17" s="796"/>
      <c r="AL17" s="795"/>
      <c r="AM17" s="796"/>
      <c r="AN17" s="795"/>
      <c r="AO17" s="795"/>
      <c r="AP17" s="795"/>
      <c r="AQ17" s="218"/>
      <c r="AR17" s="47"/>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row>
    <row r="18" spans="1:138" s="24" customFormat="1" x14ac:dyDescent="0.2">
      <c r="A18" s="219">
        <f t="shared" si="3"/>
        <v>44569</v>
      </c>
      <c r="B18" s="220">
        <f t="shared" si="0"/>
        <v>1</v>
      </c>
      <c r="C18" s="221">
        <f t="shared" si="1"/>
        <v>7</v>
      </c>
      <c r="D18" s="795"/>
      <c r="E18" s="795"/>
      <c r="F18" s="796"/>
      <c r="G18" s="796"/>
      <c r="H18" s="796"/>
      <c r="I18" s="795"/>
      <c r="J18" s="795"/>
      <c r="K18" s="796"/>
      <c r="L18" s="796"/>
      <c r="M18" s="796"/>
      <c r="N18" s="795"/>
      <c r="O18" s="795"/>
      <c r="P18" s="795"/>
      <c r="Q18" s="795"/>
      <c r="R18" s="795"/>
      <c r="S18" s="795"/>
      <c r="T18" s="795"/>
      <c r="U18" s="795"/>
      <c r="V18" s="795"/>
      <c r="W18" s="795"/>
      <c r="X18" s="795"/>
      <c r="Y18" s="795"/>
      <c r="Z18" s="796"/>
      <c r="AA18" s="795"/>
      <c r="AB18" s="329" t="str">
        <f>basis!$B$19</f>
        <v/>
      </c>
      <c r="AC18" s="795"/>
      <c r="AD18" s="795"/>
      <c r="AE18" s="795"/>
      <c r="AF18" s="795"/>
      <c r="AG18" s="892"/>
      <c r="AH18" s="225" t="str">
        <f t="shared" si="2"/>
        <v/>
      </c>
      <c r="AI18" s="795"/>
      <c r="AJ18" s="796"/>
      <c r="AK18" s="796"/>
      <c r="AL18" s="795"/>
      <c r="AM18" s="796"/>
      <c r="AN18" s="795"/>
      <c r="AO18" s="795"/>
      <c r="AP18" s="795"/>
      <c r="AQ18" s="218"/>
      <c r="AR18" s="47"/>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row>
    <row r="19" spans="1:138" s="24" customFormat="1" x14ac:dyDescent="0.2">
      <c r="A19" s="219">
        <f t="shared" si="3"/>
        <v>44570</v>
      </c>
      <c r="B19" s="220">
        <f t="shared" si="0"/>
        <v>1</v>
      </c>
      <c r="C19" s="221">
        <f t="shared" si="1"/>
        <v>1</v>
      </c>
      <c r="D19" s="795"/>
      <c r="E19" s="795"/>
      <c r="F19" s="796"/>
      <c r="G19" s="796"/>
      <c r="H19" s="796"/>
      <c r="I19" s="795"/>
      <c r="J19" s="795"/>
      <c r="K19" s="796"/>
      <c r="L19" s="796"/>
      <c r="M19" s="796"/>
      <c r="N19" s="795"/>
      <c r="O19" s="795"/>
      <c r="P19" s="795"/>
      <c r="Q19" s="795"/>
      <c r="R19" s="795"/>
      <c r="S19" s="795"/>
      <c r="T19" s="795"/>
      <c r="U19" s="795"/>
      <c r="V19" s="795"/>
      <c r="W19" s="795"/>
      <c r="X19" s="795"/>
      <c r="Y19" s="795"/>
      <c r="Z19" s="796"/>
      <c r="AA19" s="795"/>
      <c r="AB19" s="329" t="str">
        <f>basis!$B$19</f>
        <v/>
      </c>
      <c r="AC19" s="795"/>
      <c r="AD19" s="795"/>
      <c r="AE19" s="795"/>
      <c r="AF19" s="795"/>
      <c r="AG19" s="892"/>
      <c r="AH19" s="225" t="str">
        <f t="shared" si="2"/>
        <v/>
      </c>
      <c r="AI19" s="795"/>
      <c r="AJ19" s="796"/>
      <c r="AK19" s="796"/>
      <c r="AL19" s="795"/>
      <c r="AM19" s="796"/>
      <c r="AN19" s="795"/>
      <c r="AO19" s="795"/>
      <c r="AP19" s="795"/>
      <c r="AQ19" s="218"/>
      <c r="AR19" s="47"/>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row>
    <row r="20" spans="1:138" s="24" customFormat="1" x14ac:dyDescent="0.2">
      <c r="A20" s="219">
        <f t="shared" si="3"/>
        <v>44571</v>
      </c>
      <c r="B20" s="220">
        <f t="shared" si="0"/>
        <v>1</v>
      </c>
      <c r="C20" s="221">
        <f t="shared" si="1"/>
        <v>2</v>
      </c>
      <c r="D20" s="795"/>
      <c r="E20" s="795"/>
      <c r="F20" s="796"/>
      <c r="G20" s="796"/>
      <c r="H20" s="796"/>
      <c r="I20" s="795"/>
      <c r="J20" s="795"/>
      <c r="K20" s="796"/>
      <c r="L20" s="796"/>
      <c r="M20" s="796"/>
      <c r="N20" s="795"/>
      <c r="O20" s="795"/>
      <c r="P20" s="795"/>
      <c r="Q20" s="795"/>
      <c r="R20" s="795"/>
      <c r="S20" s="795"/>
      <c r="T20" s="795"/>
      <c r="U20" s="795"/>
      <c r="V20" s="795"/>
      <c r="W20" s="795"/>
      <c r="X20" s="795"/>
      <c r="Y20" s="795"/>
      <c r="Z20" s="796"/>
      <c r="AA20" s="795"/>
      <c r="AB20" s="329" t="str">
        <f>basis!$B$19</f>
        <v/>
      </c>
      <c r="AC20" s="795"/>
      <c r="AD20" s="795"/>
      <c r="AE20" s="795"/>
      <c r="AF20" s="795"/>
      <c r="AG20" s="892"/>
      <c r="AH20" s="225" t="str">
        <f t="shared" si="2"/>
        <v/>
      </c>
      <c r="AI20" s="795"/>
      <c r="AJ20" s="796"/>
      <c r="AK20" s="796"/>
      <c r="AL20" s="795"/>
      <c r="AM20" s="796"/>
      <c r="AN20" s="795"/>
      <c r="AO20" s="795"/>
      <c r="AP20" s="795"/>
      <c r="AQ20" s="218"/>
      <c r="AR20" s="47"/>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row>
    <row r="21" spans="1:138" s="24" customFormat="1" x14ac:dyDescent="0.2">
      <c r="A21" s="219">
        <f t="shared" si="3"/>
        <v>44572</v>
      </c>
      <c r="B21" s="220">
        <f t="shared" si="0"/>
        <v>1</v>
      </c>
      <c r="C21" s="221">
        <f t="shared" si="1"/>
        <v>3</v>
      </c>
      <c r="D21" s="795"/>
      <c r="E21" s="795"/>
      <c r="F21" s="796"/>
      <c r="G21" s="796"/>
      <c r="H21" s="796"/>
      <c r="I21" s="795"/>
      <c r="J21" s="795"/>
      <c r="K21" s="796"/>
      <c r="L21" s="796"/>
      <c r="M21" s="796"/>
      <c r="N21" s="795"/>
      <c r="O21" s="795"/>
      <c r="P21" s="795"/>
      <c r="Q21" s="795"/>
      <c r="R21" s="795"/>
      <c r="S21" s="795"/>
      <c r="T21" s="795"/>
      <c r="U21" s="795"/>
      <c r="V21" s="795"/>
      <c r="W21" s="795"/>
      <c r="X21" s="795"/>
      <c r="Y21" s="795"/>
      <c r="Z21" s="796"/>
      <c r="AA21" s="795"/>
      <c r="AB21" s="329" t="str">
        <f>basis!$B$19</f>
        <v/>
      </c>
      <c r="AC21" s="795"/>
      <c r="AD21" s="795"/>
      <c r="AE21" s="795"/>
      <c r="AF21" s="795"/>
      <c r="AG21" s="892"/>
      <c r="AH21" s="225" t="str">
        <f t="shared" si="2"/>
        <v/>
      </c>
      <c r="AI21" s="795"/>
      <c r="AJ21" s="796"/>
      <c r="AK21" s="796"/>
      <c r="AL21" s="795"/>
      <c r="AM21" s="796"/>
      <c r="AN21" s="795"/>
      <c r="AO21" s="795"/>
      <c r="AP21" s="795"/>
      <c r="AQ21" s="218"/>
      <c r="AR21" s="47"/>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row>
    <row r="22" spans="1:138" s="24" customFormat="1" x14ac:dyDescent="0.2">
      <c r="A22" s="219">
        <f t="shared" si="3"/>
        <v>44573</v>
      </c>
      <c r="B22" s="220">
        <f t="shared" si="0"/>
        <v>1</v>
      </c>
      <c r="C22" s="221">
        <f t="shared" si="1"/>
        <v>4</v>
      </c>
      <c r="D22" s="795"/>
      <c r="E22" s="795"/>
      <c r="F22" s="796"/>
      <c r="G22" s="796"/>
      <c r="H22" s="796"/>
      <c r="I22" s="795"/>
      <c r="J22" s="795"/>
      <c r="K22" s="796"/>
      <c r="L22" s="796"/>
      <c r="M22" s="796"/>
      <c r="N22" s="795"/>
      <c r="O22" s="795"/>
      <c r="P22" s="795"/>
      <c r="Q22" s="795"/>
      <c r="R22" s="795"/>
      <c r="S22" s="795"/>
      <c r="T22" s="795"/>
      <c r="U22" s="795"/>
      <c r="V22" s="795"/>
      <c r="W22" s="795"/>
      <c r="X22" s="795"/>
      <c r="Y22" s="795"/>
      <c r="Z22" s="796"/>
      <c r="AA22" s="795"/>
      <c r="AB22" s="329" t="str">
        <f>basis!$B$19</f>
        <v/>
      </c>
      <c r="AC22" s="795"/>
      <c r="AD22" s="795"/>
      <c r="AE22" s="795"/>
      <c r="AF22" s="795"/>
      <c r="AG22" s="892"/>
      <c r="AH22" s="225" t="str">
        <f t="shared" si="2"/>
        <v/>
      </c>
      <c r="AI22" s="795"/>
      <c r="AJ22" s="796"/>
      <c r="AK22" s="796"/>
      <c r="AL22" s="795"/>
      <c r="AM22" s="796"/>
      <c r="AN22" s="795"/>
      <c r="AO22" s="795"/>
      <c r="AP22" s="795"/>
      <c r="AQ22" s="218"/>
      <c r="AR22" s="47"/>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row>
    <row r="23" spans="1:138" s="24" customFormat="1" x14ac:dyDescent="0.2">
      <c r="A23" s="219">
        <f t="shared" si="3"/>
        <v>44574</v>
      </c>
      <c r="B23" s="220">
        <f t="shared" si="0"/>
        <v>1</v>
      </c>
      <c r="C23" s="221">
        <f t="shared" si="1"/>
        <v>5</v>
      </c>
      <c r="D23" s="795"/>
      <c r="E23" s="795"/>
      <c r="F23" s="796"/>
      <c r="G23" s="796"/>
      <c r="H23" s="796"/>
      <c r="I23" s="795"/>
      <c r="J23" s="795"/>
      <c r="K23" s="796"/>
      <c r="L23" s="796"/>
      <c r="M23" s="796"/>
      <c r="N23" s="795"/>
      <c r="O23" s="795"/>
      <c r="P23" s="795"/>
      <c r="Q23" s="795"/>
      <c r="R23" s="795"/>
      <c r="S23" s="795"/>
      <c r="T23" s="795"/>
      <c r="U23" s="795"/>
      <c r="V23" s="795"/>
      <c r="W23" s="795"/>
      <c r="X23" s="795"/>
      <c r="Y23" s="795"/>
      <c r="Z23" s="796"/>
      <c r="AA23" s="795"/>
      <c r="AB23" s="329" t="str">
        <f>basis!$B$19</f>
        <v/>
      </c>
      <c r="AC23" s="795"/>
      <c r="AD23" s="795"/>
      <c r="AE23" s="795"/>
      <c r="AF23" s="795"/>
      <c r="AG23" s="892"/>
      <c r="AH23" s="225" t="str">
        <f t="shared" si="2"/>
        <v/>
      </c>
      <c r="AI23" s="795"/>
      <c r="AJ23" s="796"/>
      <c r="AK23" s="796"/>
      <c r="AL23" s="795"/>
      <c r="AM23" s="796"/>
      <c r="AN23" s="795"/>
      <c r="AO23" s="795"/>
      <c r="AP23" s="795"/>
      <c r="AQ23" s="218"/>
      <c r="AR23" s="47"/>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row>
    <row r="24" spans="1:138" s="24" customFormat="1" x14ac:dyDescent="0.2">
      <c r="A24" s="219">
        <f t="shared" si="3"/>
        <v>44575</v>
      </c>
      <c r="B24" s="220">
        <f t="shared" si="0"/>
        <v>1</v>
      </c>
      <c r="C24" s="221">
        <f t="shared" si="1"/>
        <v>6</v>
      </c>
      <c r="D24" s="795"/>
      <c r="E24" s="795"/>
      <c r="F24" s="796"/>
      <c r="G24" s="796"/>
      <c r="H24" s="796"/>
      <c r="I24" s="795"/>
      <c r="J24" s="795"/>
      <c r="K24" s="796"/>
      <c r="L24" s="796"/>
      <c r="M24" s="796"/>
      <c r="N24" s="795"/>
      <c r="O24" s="795"/>
      <c r="P24" s="795"/>
      <c r="Q24" s="795"/>
      <c r="R24" s="795"/>
      <c r="S24" s="795"/>
      <c r="T24" s="795"/>
      <c r="U24" s="795"/>
      <c r="V24" s="795"/>
      <c r="W24" s="795"/>
      <c r="X24" s="795"/>
      <c r="Y24" s="795"/>
      <c r="Z24" s="796"/>
      <c r="AA24" s="795"/>
      <c r="AB24" s="329" t="str">
        <f>basis!$B$19</f>
        <v/>
      </c>
      <c r="AC24" s="795"/>
      <c r="AD24" s="795"/>
      <c r="AE24" s="795"/>
      <c r="AF24" s="795"/>
      <c r="AG24" s="892"/>
      <c r="AH24" s="225" t="str">
        <f t="shared" si="2"/>
        <v/>
      </c>
      <c r="AI24" s="795"/>
      <c r="AJ24" s="796"/>
      <c r="AK24" s="796"/>
      <c r="AL24" s="795"/>
      <c r="AM24" s="796"/>
      <c r="AN24" s="795"/>
      <c r="AO24" s="795"/>
      <c r="AP24" s="795"/>
      <c r="AQ24" s="218"/>
      <c r="AR24" s="47"/>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row>
    <row r="25" spans="1:138" s="24" customFormat="1" x14ac:dyDescent="0.2">
      <c r="A25" s="219">
        <f t="shared" si="3"/>
        <v>44576</v>
      </c>
      <c r="B25" s="220">
        <f t="shared" si="0"/>
        <v>1</v>
      </c>
      <c r="C25" s="221">
        <f t="shared" si="1"/>
        <v>7</v>
      </c>
      <c r="D25" s="795"/>
      <c r="E25" s="795"/>
      <c r="F25" s="796"/>
      <c r="G25" s="796"/>
      <c r="H25" s="796"/>
      <c r="I25" s="795"/>
      <c r="J25" s="795"/>
      <c r="K25" s="796"/>
      <c r="L25" s="796"/>
      <c r="M25" s="796"/>
      <c r="N25" s="795"/>
      <c r="O25" s="795"/>
      <c r="P25" s="795"/>
      <c r="Q25" s="795"/>
      <c r="R25" s="795"/>
      <c r="S25" s="795"/>
      <c r="T25" s="795"/>
      <c r="U25" s="795"/>
      <c r="V25" s="795"/>
      <c r="W25" s="795"/>
      <c r="X25" s="795"/>
      <c r="Y25" s="795"/>
      <c r="Z25" s="796"/>
      <c r="AA25" s="795"/>
      <c r="AB25" s="329" t="str">
        <f>basis!$B$19</f>
        <v/>
      </c>
      <c r="AC25" s="795"/>
      <c r="AD25" s="795"/>
      <c r="AE25" s="795"/>
      <c r="AF25" s="795"/>
      <c r="AG25" s="892"/>
      <c r="AH25" s="225" t="str">
        <f t="shared" si="2"/>
        <v/>
      </c>
      <c r="AI25" s="795"/>
      <c r="AJ25" s="796"/>
      <c r="AK25" s="796"/>
      <c r="AL25" s="795"/>
      <c r="AM25" s="796"/>
      <c r="AN25" s="795"/>
      <c r="AO25" s="795"/>
      <c r="AP25" s="795"/>
      <c r="AQ25" s="218"/>
      <c r="AR25" s="47"/>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row>
    <row r="26" spans="1:138" s="24" customFormat="1" x14ac:dyDescent="0.2">
      <c r="A26" s="219">
        <f t="shared" si="3"/>
        <v>44577</v>
      </c>
      <c r="B26" s="220">
        <f t="shared" si="0"/>
        <v>1</v>
      </c>
      <c r="C26" s="221">
        <f t="shared" si="1"/>
        <v>1</v>
      </c>
      <c r="D26" s="795"/>
      <c r="E26" s="795"/>
      <c r="F26" s="796"/>
      <c r="G26" s="796"/>
      <c r="H26" s="796"/>
      <c r="I26" s="795"/>
      <c r="J26" s="795"/>
      <c r="K26" s="796"/>
      <c r="L26" s="796"/>
      <c r="M26" s="796"/>
      <c r="N26" s="795"/>
      <c r="O26" s="795"/>
      <c r="P26" s="795"/>
      <c r="Q26" s="795"/>
      <c r="R26" s="795"/>
      <c r="S26" s="795"/>
      <c r="T26" s="795"/>
      <c r="U26" s="795"/>
      <c r="V26" s="795"/>
      <c r="W26" s="795"/>
      <c r="X26" s="795"/>
      <c r="Y26" s="795"/>
      <c r="Z26" s="796"/>
      <c r="AA26" s="795"/>
      <c r="AB26" s="329" t="str">
        <f>basis!$B$19</f>
        <v/>
      </c>
      <c r="AC26" s="795"/>
      <c r="AD26" s="795"/>
      <c r="AE26" s="795"/>
      <c r="AF26" s="795"/>
      <c r="AG26" s="892"/>
      <c r="AH26" s="225" t="str">
        <f t="shared" si="2"/>
        <v/>
      </c>
      <c r="AI26" s="795"/>
      <c r="AJ26" s="796"/>
      <c r="AK26" s="796"/>
      <c r="AL26" s="795"/>
      <c r="AM26" s="796"/>
      <c r="AN26" s="795"/>
      <c r="AO26" s="795"/>
      <c r="AP26" s="795"/>
      <c r="AQ26" s="218"/>
      <c r="AR26" s="47"/>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row>
    <row r="27" spans="1:138" s="24" customFormat="1" x14ac:dyDescent="0.2">
      <c r="A27" s="219">
        <f t="shared" si="3"/>
        <v>44578</v>
      </c>
      <c r="B27" s="220">
        <f t="shared" si="0"/>
        <v>1</v>
      </c>
      <c r="C27" s="221">
        <f t="shared" si="1"/>
        <v>2</v>
      </c>
      <c r="D27" s="795"/>
      <c r="E27" s="795"/>
      <c r="F27" s="796"/>
      <c r="G27" s="796"/>
      <c r="H27" s="796"/>
      <c r="I27" s="795"/>
      <c r="J27" s="795"/>
      <c r="K27" s="796"/>
      <c r="L27" s="796"/>
      <c r="M27" s="796"/>
      <c r="N27" s="795"/>
      <c r="O27" s="795"/>
      <c r="P27" s="795"/>
      <c r="Q27" s="795"/>
      <c r="R27" s="795"/>
      <c r="S27" s="795"/>
      <c r="T27" s="795"/>
      <c r="U27" s="795"/>
      <c r="V27" s="795"/>
      <c r="W27" s="795"/>
      <c r="X27" s="795"/>
      <c r="Y27" s="795"/>
      <c r="Z27" s="796"/>
      <c r="AA27" s="795"/>
      <c r="AB27" s="329" t="str">
        <f>basis!$B$19</f>
        <v/>
      </c>
      <c r="AC27" s="795"/>
      <c r="AD27" s="795"/>
      <c r="AE27" s="795"/>
      <c r="AF27" s="795"/>
      <c r="AG27" s="892"/>
      <c r="AH27" s="225" t="str">
        <f t="shared" si="2"/>
        <v/>
      </c>
      <c r="AI27" s="795"/>
      <c r="AJ27" s="796"/>
      <c r="AK27" s="796"/>
      <c r="AL27" s="795"/>
      <c r="AM27" s="796"/>
      <c r="AN27" s="795"/>
      <c r="AO27" s="795"/>
      <c r="AP27" s="795"/>
      <c r="AQ27" s="218"/>
      <c r="AR27" s="47"/>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row>
    <row r="28" spans="1:138" s="24" customFormat="1" x14ac:dyDescent="0.2">
      <c r="A28" s="219">
        <f t="shared" si="3"/>
        <v>44579</v>
      </c>
      <c r="B28" s="220">
        <f t="shared" si="0"/>
        <v>1</v>
      </c>
      <c r="C28" s="221">
        <f t="shared" si="1"/>
        <v>3</v>
      </c>
      <c r="D28" s="795"/>
      <c r="E28" s="795"/>
      <c r="F28" s="796"/>
      <c r="G28" s="796"/>
      <c r="H28" s="796"/>
      <c r="I28" s="795"/>
      <c r="J28" s="795"/>
      <c r="K28" s="796"/>
      <c r="L28" s="796"/>
      <c r="M28" s="796"/>
      <c r="N28" s="795"/>
      <c r="O28" s="795"/>
      <c r="P28" s="795"/>
      <c r="Q28" s="795"/>
      <c r="R28" s="795"/>
      <c r="S28" s="795"/>
      <c r="T28" s="795"/>
      <c r="U28" s="795"/>
      <c r="V28" s="795"/>
      <c r="W28" s="795"/>
      <c r="X28" s="795"/>
      <c r="Y28" s="795"/>
      <c r="Z28" s="796"/>
      <c r="AA28" s="795"/>
      <c r="AB28" s="329" t="str">
        <f>basis!$B$19</f>
        <v/>
      </c>
      <c r="AC28" s="795"/>
      <c r="AD28" s="795"/>
      <c r="AE28" s="795"/>
      <c r="AF28" s="795"/>
      <c r="AG28" s="892"/>
      <c r="AH28" s="225" t="str">
        <f t="shared" si="2"/>
        <v/>
      </c>
      <c r="AI28" s="795"/>
      <c r="AJ28" s="796"/>
      <c r="AK28" s="796"/>
      <c r="AL28" s="795"/>
      <c r="AM28" s="796"/>
      <c r="AN28" s="795"/>
      <c r="AO28" s="795"/>
      <c r="AP28" s="795"/>
      <c r="AQ28" s="218"/>
      <c r="AR28" s="47"/>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row>
    <row r="29" spans="1:138" s="24" customFormat="1" x14ac:dyDescent="0.2">
      <c r="A29" s="219">
        <f t="shared" si="3"/>
        <v>44580</v>
      </c>
      <c r="B29" s="220">
        <f t="shared" si="0"/>
        <v>1</v>
      </c>
      <c r="C29" s="221">
        <f t="shared" si="1"/>
        <v>4</v>
      </c>
      <c r="D29" s="795"/>
      <c r="E29" s="795"/>
      <c r="F29" s="796"/>
      <c r="G29" s="796"/>
      <c r="H29" s="796"/>
      <c r="I29" s="795"/>
      <c r="J29" s="795"/>
      <c r="K29" s="796"/>
      <c r="L29" s="796"/>
      <c r="M29" s="796"/>
      <c r="N29" s="795"/>
      <c r="O29" s="795"/>
      <c r="P29" s="795"/>
      <c r="Q29" s="795"/>
      <c r="R29" s="795"/>
      <c r="S29" s="795"/>
      <c r="T29" s="795"/>
      <c r="U29" s="795"/>
      <c r="V29" s="795"/>
      <c r="W29" s="795"/>
      <c r="X29" s="795"/>
      <c r="Y29" s="795"/>
      <c r="Z29" s="796"/>
      <c r="AA29" s="795"/>
      <c r="AB29" s="329" t="str">
        <f>basis!$B$19</f>
        <v/>
      </c>
      <c r="AC29" s="795"/>
      <c r="AD29" s="795"/>
      <c r="AE29" s="795"/>
      <c r="AF29" s="795"/>
      <c r="AG29" s="892"/>
      <c r="AH29" s="225" t="str">
        <f t="shared" si="2"/>
        <v/>
      </c>
      <c r="AI29" s="795"/>
      <c r="AJ29" s="796"/>
      <c r="AK29" s="796"/>
      <c r="AL29" s="795"/>
      <c r="AM29" s="796"/>
      <c r="AN29" s="795"/>
      <c r="AO29" s="795"/>
      <c r="AP29" s="795"/>
      <c r="AQ29" s="218"/>
      <c r="AR29" s="47"/>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row>
    <row r="30" spans="1:138" s="24" customFormat="1" x14ac:dyDescent="0.2">
      <c r="A30" s="219">
        <f t="shared" si="3"/>
        <v>44581</v>
      </c>
      <c r="B30" s="220">
        <f t="shared" si="0"/>
        <v>1</v>
      </c>
      <c r="C30" s="221">
        <f t="shared" si="1"/>
        <v>5</v>
      </c>
      <c r="D30" s="795"/>
      <c r="E30" s="795"/>
      <c r="F30" s="796"/>
      <c r="G30" s="796"/>
      <c r="H30" s="796"/>
      <c r="I30" s="795"/>
      <c r="J30" s="795"/>
      <c r="K30" s="796"/>
      <c r="L30" s="796"/>
      <c r="M30" s="795"/>
      <c r="N30" s="795"/>
      <c r="O30" s="795"/>
      <c r="P30" s="795"/>
      <c r="Q30" s="795"/>
      <c r="R30" s="795"/>
      <c r="S30" s="795"/>
      <c r="T30" s="795"/>
      <c r="U30" s="795"/>
      <c r="V30" s="795"/>
      <c r="W30" s="795"/>
      <c r="X30" s="795"/>
      <c r="Y30" s="795"/>
      <c r="Z30" s="796"/>
      <c r="AA30" s="795"/>
      <c r="AB30" s="329" t="str">
        <f>basis!$B$19</f>
        <v/>
      </c>
      <c r="AC30" s="795"/>
      <c r="AD30" s="795"/>
      <c r="AE30" s="795"/>
      <c r="AF30" s="795"/>
      <c r="AG30" s="892"/>
      <c r="AH30" s="225" t="str">
        <f t="shared" si="2"/>
        <v/>
      </c>
      <c r="AI30" s="795"/>
      <c r="AJ30" s="796"/>
      <c r="AK30" s="796"/>
      <c r="AL30" s="795"/>
      <c r="AM30" s="796"/>
      <c r="AN30" s="795"/>
      <c r="AO30" s="795"/>
      <c r="AP30" s="795"/>
      <c r="AQ30" s="218"/>
      <c r="AR30" s="47"/>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row>
    <row r="31" spans="1:138" s="24" customFormat="1" x14ac:dyDescent="0.2">
      <c r="A31" s="219">
        <f t="shared" si="3"/>
        <v>44582</v>
      </c>
      <c r="B31" s="220">
        <f t="shared" si="0"/>
        <v>1</v>
      </c>
      <c r="C31" s="221">
        <f t="shared" si="1"/>
        <v>6</v>
      </c>
      <c r="D31" s="795"/>
      <c r="E31" s="795"/>
      <c r="F31" s="796"/>
      <c r="G31" s="796"/>
      <c r="H31" s="796"/>
      <c r="I31" s="795"/>
      <c r="J31" s="795"/>
      <c r="K31" s="796"/>
      <c r="L31" s="796"/>
      <c r="M31" s="796"/>
      <c r="N31" s="795"/>
      <c r="O31" s="795"/>
      <c r="P31" s="795"/>
      <c r="Q31" s="795"/>
      <c r="R31" s="795"/>
      <c r="S31" s="795"/>
      <c r="T31" s="795"/>
      <c r="U31" s="795"/>
      <c r="V31" s="795"/>
      <c r="W31" s="795"/>
      <c r="X31" s="795"/>
      <c r="Y31" s="795"/>
      <c r="Z31" s="796"/>
      <c r="AA31" s="795"/>
      <c r="AB31" s="329" t="str">
        <f>basis!$B$19</f>
        <v/>
      </c>
      <c r="AC31" s="795"/>
      <c r="AD31" s="795"/>
      <c r="AE31" s="795"/>
      <c r="AF31" s="795"/>
      <c r="AG31" s="892"/>
      <c r="AH31" s="225" t="str">
        <f t="shared" si="2"/>
        <v/>
      </c>
      <c r="AI31" s="795"/>
      <c r="AJ31" s="796"/>
      <c r="AK31" s="796"/>
      <c r="AL31" s="795"/>
      <c r="AM31" s="796"/>
      <c r="AN31" s="795"/>
      <c r="AO31" s="795"/>
      <c r="AP31" s="795"/>
      <c r="AQ31" s="218"/>
      <c r="AR31" s="47"/>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row>
    <row r="32" spans="1:138" s="24" customFormat="1" x14ac:dyDescent="0.2">
      <c r="A32" s="219">
        <f t="shared" si="3"/>
        <v>44583</v>
      </c>
      <c r="B32" s="220">
        <f t="shared" si="0"/>
        <v>1</v>
      </c>
      <c r="C32" s="221">
        <f t="shared" si="1"/>
        <v>7</v>
      </c>
      <c r="D32" s="795"/>
      <c r="E32" s="795"/>
      <c r="F32" s="796"/>
      <c r="G32" s="796"/>
      <c r="H32" s="796"/>
      <c r="I32" s="795"/>
      <c r="J32" s="795"/>
      <c r="K32" s="796"/>
      <c r="L32" s="796"/>
      <c r="M32" s="796"/>
      <c r="N32" s="795"/>
      <c r="O32" s="795"/>
      <c r="P32" s="795"/>
      <c r="Q32" s="795"/>
      <c r="R32" s="795"/>
      <c r="S32" s="795"/>
      <c r="T32" s="795"/>
      <c r="U32" s="795"/>
      <c r="V32" s="795"/>
      <c r="W32" s="795"/>
      <c r="X32" s="795"/>
      <c r="Y32" s="795"/>
      <c r="Z32" s="796"/>
      <c r="AA32" s="795"/>
      <c r="AB32" s="329" t="str">
        <f>basis!$B$19</f>
        <v/>
      </c>
      <c r="AC32" s="795"/>
      <c r="AD32" s="795"/>
      <c r="AE32" s="795"/>
      <c r="AF32" s="795"/>
      <c r="AG32" s="892"/>
      <c r="AH32" s="225" t="str">
        <f t="shared" si="2"/>
        <v/>
      </c>
      <c r="AI32" s="795"/>
      <c r="AJ32" s="796"/>
      <c r="AK32" s="796"/>
      <c r="AL32" s="795"/>
      <c r="AM32" s="796"/>
      <c r="AN32" s="795"/>
      <c r="AO32" s="795"/>
      <c r="AP32" s="795"/>
      <c r="AQ32" s="218"/>
      <c r="AR32" s="47"/>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row>
    <row r="33" spans="1:138" s="24" customFormat="1" x14ac:dyDescent="0.2">
      <c r="A33" s="219">
        <f t="shared" si="3"/>
        <v>44584</v>
      </c>
      <c r="B33" s="220">
        <f t="shared" si="0"/>
        <v>1</v>
      </c>
      <c r="C33" s="221">
        <f t="shared" si="1"/>
        <v>1</v>
      </c>
      <c r="D33" s="795"/>
      <c r="E33" s="795"/>
      <c r="F33" s="796"/>
      <c r="G33" s="796"/>
      <c r="H33" s="796"/>
      <c r="I33" s="795"/>
      <c r="J33" s="795"/>
      <c r="K33" s="796"/>
      <c r="L33" s="796"/>
      <c r="M33" s="796"/>
      <c r="N33" s="795"/>
      <c r="O33" s="795"/>
      <c r="P33" s="795"/>
      <c r="Q33" s="795"/>
      <c r="R33" s="795"/>
      <c r="S33" s="795"/>
      <c r="T33" s="795"/>
      <c r="U33" s="795"/>
      <c r="V33" s="795"/>
      <c r="W33" s="795"/>
      <c r="X33" s="795"/>
      <c r="Y33" s="795"/>
      <c r="Z33" s="796"/>
      <c r="AA33" s="795"/>
      <c r="AB33" s="329" t="str">
        <f>basis!$B$19</f>
        <v/>
      </c>
      <c r="AC33" s="795"/>
      <c r="AD33" s="795"/>
      <c r="AE33" s="795"/>
      <c r="AF33" s="795"/>
      <c r="AG33" s="892"/>
      <c r="AH33" s="225" t="str">
        <f t="shared" si="2"/>
        <v/>
      </c>
      <c r="AI33" s="795"/>
      <c r="AJ33" s="796"/>
      <c r="AK33" s="796"/>
      <c r="AL33" s="795"/>
      <c r="AM33" s="796"/>
      <c r="AN33" s="795"/>
      <c r="AO33" s="795"/>
      <c r="AP33" s="795"/>
      <c r="AQ33" s="218"/>
      <c r="AR33" s="47"/>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row>
    <row r="34" spans="1:138" s="24" customFormat="1" x14ac:dyDescent="0.2">
      <c r="A34" s="219">
        <f t="shared" si="3"/>
        <v>44585</v>
      </c>
      <c r="B34" s="220">
        <f t="shared" si="0"/>
        <v>1</v>
      </c>
      <c r="C34" s="221">
        <f t="shared" si="1"/>
        <v>2</v>
      </c>
      <c r="D34" s="795"/>
      <c r="E34" s="795"/>
      <c r="F34" s="796"/>
      <c r="G34" s="796"/>
      <c r="H34" s="796"/>
      <c r="I34" s="795"/>
      <c r="J34" s="795"/>
      <c r="K34" s="796"/>
      <c r="L34" s="796"/>
      <c r="M34" s="796"/>
      <c r="N34" s="795"/>
      <c r="O34" s="795"/>
      <c r="P34" s="795"/>
      <c r="Q34" s="795"/>
      <c r="R34" s="795"/>
      <c r="S34" s="795"/>
      <c r="T34" s="795"/>
      <c r="U34" s="795"/>
      <c r="V34" s="795"/>
      <c r="W34" s="795"/>
      <c r="X34" s="795"/>
      <c r="Y34" s="795"/>
      <c r="Z34" s="796"/>
      <c r="AA34" s="795"/>
      <c r="AB34" s="329" t="str">
        <f>basis!$B$19</f>
        <v/>
      </c>
      <c r="AC34" s="795"/>
      <c r="AD34" s="795"/>
      <c r="AE34" s="795"/>
      <c r="AF34" s="795"/>
      <c r="AG34" s="892"/>
      <c r="AH34" s="225" t="str">
        <f t="shared" si="2"/>
        <v/>
      </c>
      <c r="AI34" s="795"/>
      <c r="AJ34" s="796"/>
      <c r="AK34" s="796"/>
      <c r="AL34" s="795"/>
      <c r="AM34" s="796"/>
      <c r="AN34" s="795"/>
      <c r="AO34" s="795"/>
      <c r="AP34" s="795"/>
      <c r="AQ34" s="218"/>
      <c r="AR34" s="47"/>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row>
    <row r="35" spans="1:138" s="24" customFormat="1" x14ac:dyDescent="0.2">
      <c r="A35" s="219">
        <f t="shared" si="3"/>
        <v>44586</v>
      </c>
      <c r="B35" s="220">
        <f t="shared" si="0"/>
        <v>1</v>
      </c>
      <c r="C35" s="221">
        <f t="shared" si="1"/>
        <v>3</v>
      </c>
      <c r="D35" s="795"/>
      <c r="E35" s="795"/>
      <c r="F35" s="796"/>
      <c r="G35" s="796"/>
      <c r="H35" s="796"/>
      <c r="I35" s="795"/>
      <c r="J35" s="795"/>
      <c r="K35" s="796"/>
      <c r="L35" s="796"/>
      <c r="M35" s="796"/>
      <c r="N35" s="795"/>
      <c r="O35" s="795"/>
      <c r="P35" s="795"/>
      <c r="Q35" s="795"/>
      <c r="R35" s="795"/>
      <c r="S35" s="795"/>
      <c r="T35" s="795"/>
      <c r="U35" s="795"/>
      <c r="V35" s="795"/>
      <c r="W35" s="795"/>
      <c r="X35" s="795"/>
      <c r="Y35" s="795"/>
      <c r="Z35" s="796"/>
      <c r="AA35" s="795"/>
      <c r="AB35" s="329" t="str">
        <f>basis!$B$19</f>
        <v/>
      </c>
      <c r="AC35" s="795"/>
      <c r="AD35" s="795"/>
      <c r="AE35" s="795"/>
      <c r="AF35" s="795"/>
      <c r="AG35" s="892"/>
      <c r="AH35" s="225" t="str">
        <f t="shared" si="2"/>
        <v/>
      </c>
      <c r="AI35" s="795"/>
      <c r="AJ35" s="796"/>
      <c r="AK35" s="796"/>
      <c r="AL35" s="795"/>
      <c r="AM35" s="796"/>
      <c r="AN35" s="795"/>
      <c r="AO35" s="795"/>
      <c r="AP35" s="795"/>
      <c r="AQ35" s="218"/>
      <c r="AR35" s="47"/>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row>
    <row r="36" spans="1:138" s="24" customFormat="1" x14ac:dyDescent="0.2">
      <c r="A36" s="219">
        <f t="shared" si="3"/>
        <v>44587</v>
      </c>
      <c r="B36" s="220">
        <f t="shared" si="0"/>
        <v>1</v>
      </c>
      <c r="C36" s="221">
        <f t="shared" si="1"/>
        <v>4</v>
      </c>
      <c r="D36" s="795"/>
      <c r="E36" s="795"/>
      <c r="F36" s="796"/>
      <c r="G36" s="796"/>
      <c r="H36" s="796"/>
      <c r="I36" s="795"/>
      <c r="J36" s="795"/>
      <c r="K36" s="796"/>
      <c r="L36" s="796"/>
      <c r="M36" s="796"/>
      <c r="N36" s="795"/>
      <c r="O36" s="795"/>
      <c r="P36" s="795"/>
      <c r="Q36" s="795"/>
      <c r="R36" s="795"/>
      <c r="S36" s="795"/>
      <c r="T36" s="795"/>
      <c r="U36" s="795"/>
      <c r="V36" s="795"/>
      <c r="W36" s="795"/>
      <c r="X36" s="795"/>
      <c r="Y36" s="795"/>
      <c r="Z36" s="796"/>
      <c r="AA36" s="795"/>
      <c r="AB36" s="329" t="str">
        <f>basis!$B$19</f>
        <v/>
      </c>
      <c r="AC36" s="795"/>
      <c r="AD36" s="795"/>
      <c r="AE36" s="795"/>
      <c r="AF36" s="795"/>
      <c r="AG36" s="892"/>
      <c r="AH36" s="225" t="str">
        <f t="shared" si="2"/>
        <v/>
      </c>
      <c r="AI36" s="795"/>
      <c r="AJ36" s="796"/>
      <c r="AK36" s="796"/>
      <c r="AL36" s="795"/>
      <c r="AM36" s="796"/>
      <c r="AN36" s="795"/>
      <c r="AO36" s="795"/>
      <c r="AP36" s="795"/>
      <c r="AQ36" s="218"/>
      <c r="AR36" s="47"/>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row>
    <row r="37" spans="1:138" s="24" customFormat="1" x14ac:dyDescent="0.2">
      <c r="A37" s="219">
        <f t="shared" si="3"/>
        <v>44588</v>
      </c>
      <c r="B37" s="220">
        <f t="shared" si="0"/>
        <v>1</v>
      </c>
      <c r="C37" s="221">
        <f t="shared" si="1"/>
        <v>5</v>
      </c>
      <c r="D37" s="795"/>
      <c r="E37" s="795"/>
      <c r="F37" s="796"/>
      <c r="G37" s="796"/>
      <c r="H37" s="796"/>
      <c r="I37" s="795"/>
      <c r="J37" s="795"/>
      <c r="K37" s="796"/>
      <c r="L37" s="796"/>
      <c r="M37" s="796"/>
      <c r="N37" s="795"/>
      <c r="O37" s="795"/>
      <c r="P37" s="795"/>
      <c r="Q37" s="795"/>
      <c r="R37" s="795"/>
      <c r="S37" s="795"/>
      <c r="T37" s="795"/>
      <c r="U37" s="795"/>
      <c r="V37" s="795"/>
      <c r="W37" s="795"/>
      <c r="X37" s="795"/>
      <c r="Y37" s="795"/>
      <c r="Z37" s="796"/>
      <c r="AA37" s="795"/>
      <c r="AB37" s="329" t="str">
        <f>basis!$B$19</f>
        <v/>
      </c>
      <c r="AC37" s="795"/>
      <c r="AD37" s="795"/>
      <c r="AE37" s="795"/>
      <c r="AF37" s="795"/>
      <c r="AG37" s="892"/>
      <c r="AH37" s="225" t="str">
        <f t="shared" si="2"/>
        <v/>
      </c>
      <c r="AI37" s="795"/>
      <c r="AJ37" s="796"/>
      <c r="AK37" s="796"/>
      <c r="AL37" s="795"/>
      <c r="AM37" s="796"/>
      <c r="AN37" s="795"/>
      <c r="AO37" s="795"/>
      <c r="AP37" s="795"/>
      <c r="AQ37" s="218"/>
      <c r="AR37" s="47"/>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row>
    <row r="38" spans="1:138" s="24" customFormat="1" x14ac:dyDescent="0.2">
      <c r="A38" s="219">
        <f t="shared" si="3"/>
        <v>44589</v>
      </c>
      <c r="B38" s="220">
        <f t="shared" si="0"/>
        <v>1</v>
      </c>
      <c r="C38" s="221">
        <f t="shared" si="1"/>
        <v>6</v>
      </c>
      <c r="D38" s="795"/>
      <c r="E38" s="795"/>
      <c r="F38" s="796"/>
      <c r="G38" s="796"/>
      <c r="H38" s="796"/>
      <c r="I38" s="795"/>
      <c r="J38" s="795"/>
      <c r="K38" s="796"/>
      <c r="L38" s="796"/>
      <c r="M38" s="796"/>
      <c r="N38" s="795"/>
      <c r="O38" s="795"/>
      <c r="P38" s="795"/>
      <c r="Q38" s="795"/>
      <c r="R38" s="795"/>
      <c r="S38" s="795"/>
      <c r="T38" s="795"/>
      <c r="U38" s="795"/>
      <c r="V38" s="795"/>
      <c r="W38" s="795"/>
      <c r="X38" s="795"/>
      <c r="Y38" s="795"/>
      <c r="Z38" s="796"/>
      <c r="AA38" s="795"/>
      <c r="AB38" s="329" t="str">
        <f>basis!$B$19</f>
        <v/>
      </c>
      <c r="AC38" s="795"/>
      <c r="AD38" s="795"/>
      <c r="AE38" s="795"/>
      <c r="AF38" s="795"/>
      <c r="AG38" s="892"/>
      <c r="AH38" s="225" t="str">
        <f t="shared" si="2"/>
        <v/>
      </c>
      <c r="AI38" s="795"/>
      <c r="AJ38" s="796"/>
      <c r="AK38" s="796"/>
      <c r="AL38" s="795"/>
      <c r="AM38" s="796"/>
      <c r="AN38" s="795"/>
      <c r="AO38" s="795"/>
      <c r="AP38" s="795"/>
      <c r="AQ38" s="218"/>
      <c r="AR38" s="47"/>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row>
    <row r="39" spans="1:138" s="24" customFormat="1" x14ac:dyDescent="0.2">
      <c r="A39" s="219">
        <f t="shared" si="3"/>
        <v>44590</v>
      </c>
      <c r="B39" s="220">
        <f t="shared" si="0"/>
        <v>1</v>
      </c>
      <c r="C39" s="221">
        <f t="shared" si="1"/>
        <v>7</v>
      </c>
      <c r="D39" s="795"/>
      <c r="E39" s="795"/>
      <c r="F39" s="796"/>
      <c r="G39" s="796"/>
      <c r="H39" s="796"/>
      <c r="I39" s="795"/>
      <c r="J39" s="795"/>
      <c r="K39" s="796"/>
      <c r="L39" s="796"/>
      <c r="M39" s="796"/>
      <c r="N39" s="795"/>
      <c r="O39" s="795"/>
      <c r="P39" s="795"/>
      <c r="Q39" s="795"/>
      <c r="R39" s="795"/>
      <c r="S39" s="795"/>
      <c r="T39" s="795"/>
      <c r="U39" s="795"/>
      <c r="V39" s="795"/>
      <c r="W39" s="795"/>
      <c r="X39" s="795"/>
      <c r="Y39" s="795"/>
      <c r="Z39" s="796"/>
      <c r="AA39" s="795"/>
      <c r="AB39" s="329" t="str">
        <f>basis!$B$19</f>
        <v/>
      </c>
      <c r="AC39" s="795"/>
      <c r="AD39" s="795"/>
      <c r="AE39" s="795"/>
      <c r="AF39" s="795"/>
      <c r="AG39" s="892"/>
      <c r="AH39" s="225" t="str">
        <f t="shared" si="2"/>
        <v/>
      </c>
      <c r="AI39" s="795"/>
      <c r="AJ39" s="796"/>
      <c r="AK39" s="796"/>
      <c r="AL39" s="795"/>
      <c r="AM39" s="796"/>
      <c r="AN39" s="795"/>
      <c r="AO39" s="795"/>
      <c r="AP39" s="795"/>
      <c r="AQ39" s="218"/>
      <c r="AR39" s="47"/>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row>
    <row r="40" spans="1:138" s="24" customFormat="1" x14ac:dyDescent="0.2">
      <c r="A40" s="219">
        <f t="shared" si="3"/>
        <v>44591</v>
      </c>
      <c r="B40" s="220">
        <f t="shared" si="0"/>
        <v>1</v>
      </c>
      <c r="C40" s="221">
        <f t="shared" si="1"/>
        <v>1</v>
      </c>
      <c r="D40" s="795"/>
      <c r="E40" s="795"/>
      <c r="F40" s="796"/>
      <c r="G40" s="796"/>
      <c r="H40" s="796"/>
      <c r="I40" s="795"/>
      <c r="J40" s="795"/>
      <c r="K40" s="796"/>
      <c r="L40" s="796"/>
      <c r="M40" s="796"/>
      <c r="N40" s="795"/>
      <c r="O40" s="795"/>
      <c r="P40" s="795"/>
      <c r="Q40" s="795"/>
      <c r="R40" s="795"/>
      <c r="S40" s="795"/>
      <c r="T40" s="795"/>
      <c r="U40" s="795"/>
      <c r="V40" s="795"/>
      <c r="W40" s="795"/>
      <c r="X40" s="795"/>
      <c r="Y40" s="795"/>
      <c r="Z40" s="796"/>
      <c r="AA40" s="795"/>
      <c r="AB40" s="329" t="str">
        <f>basis!$B$19</f>
        <v/>
      </c>
      <c r="AC40" s="795"/>
      <c r="AD40" s="795"/>
      <c r="AE40" s="795"/>
      <c r="AF40" s="795"/>
      <c r="AG40" s="892"/>
      <c r="AH40" s="225" t="str">
        <f t="shared" si="2"/>
        <v/>
      </c>
      <c r="AI40" s="795"/>
      <c r="AJ40" s="796"/>
      <c r="AK40" s="796"/>
      <c r="AL40" s="795"/>
      <c r="AM40" s="796"/>
      <c r="AN40" s="795"/>
      <c r="AO40" s="795"/>
      <c r="AP40" s="795"/>
      <c r="AQ40" s="218"/>
      <c r="AR40" s="47"/>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row>
    <row r="41" spans="1:138" s="24" customFormat="1" x14ac:dyDescent="0.2">
      <c r="A41" s="219">
        <f t="shared" si="3"/>
        <v>44592</v>
      </c>
      <c r="B41" s="220">
        <f t="shared" si="0"/>
        <v>1</v>
      </c>
      <c r="C41" s="221">
        <f t="shared" si="1"/>
        <v>2</v>
      </c>
      <c r="D41" s="795"/>
      <c r="E41" s="795"/>
      <c r="F41" s="796"/>
      <c r="G41" s="796"/>
      <c r="H41" s="796"/>
      <c r="I41" s="795"/>
      <c r="J41" s="795"/>
      <c r="K41" s="796"/>
      <c r="L41" s="796"/>
      <c r="M41" s="796"/>
      <c r="N41" s="795"/>
      <c r="O41" s="795"/>
      <c r="P41" s="795"/>
      <c r="Q41" s="795"/>
      <c r="R41" s="795"/>
      <c r="S41" s="795"/>
      <c r="T41" s="795"/>
      <c r="U41" s="795"/>
      <c r="V41" s="795"/>
      <c r="W41" s="795"/>
      <c r="X41" s="795"/>
      <c r="Y41" s="795"/>
      <c r="Z41" s="796"/>
      <c r="AA41" s="795"/>
      <c r="AB41" s="329" t="str">
        <f>basis!$B$19</f>
        <v/>
      </c>
      <c r="AC41" s="795"/>
      <c r="AD41" s="795"/>
      <c r="AE41" s="795"/>
      <c r="AF41" s="795"/>
      <c r="AG41" s="892"/>
      <c r="AH41" s="225" t="str">
        <f t="shared" si="2"/>
        <v/>
      </c>
      <c r="AI41" s="795"/>
      <c r="AJ41" s="796"/>
      <c r="AK41" s="796"/>
      <c r="AL41" s="795"/>
      <c r="AM41" s="796"/>
      <c r="AN41" s="795"/>
      <c r="AO41" s="795"/>
      <c r="AP41" s="795"/>
      <c r="AQ41" s="218"/>
      <c r="AR41" s="47"/>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row>
    <row r="42" spans="1:138" s="24" customFormat="1" x14ac:dyDescent="0.2">
      <c r="A42" s="219">
        <f t="shared" si="3"/>
        <v>44593</v>
      </c>
      <c r="B42" s="220">
        <f t="shared" si="0"/>
        <v>2</v>
      </c>
      <c r="C42" s="221">
        <f t="shared" si="1"/>
        <v>3</v>
      </c>
      <c r="D42" s="795"/>
      <c r="E42" s="795"/>
      <c r="F42" s="796"/>
      <c r="G42" s="796"/>
      <c r="H42" s="796"/>
      <c r="I42" s="795"/>
      <c r="J42" s="795"/>
      <c r="K42" s="796"/>
      <c r="L42" s="796"/>
      <c r="M42" s="796"/>
      <c r="N42" s="795"/>
      <c r="O42" s="795"/>
      <c r="P42" s="795"/>
      <c r="Q42" s="795"/>
      <c r="R42" s="795"/>
      <c r="S42" s="795"/>
      <c r="T42" s="795"/>
      <c r="U42" s="795"/>
      <c r="V42" s="795"/>
      <c r="W42" s="795"/>
      <c r="X42" s="795"/>
      <c r="Y42" s="795"/>
      <c r="Z42" s="796"/>
      <c r="AA42" s="795"/>
      <c r="AB42" s="329" t="str">
        <f>basis!$B$19</f>
        <v/>
      </c>
      <c r="AC42" s="795"/>
      <c r="AD42" s="795"/>
      <c r="AE42" s="795"/>
      <c r="AF42" s="795"/>
      <c r="AG42" s="892"/>
      <c r="AH42" s="225" t="str">
        <f t="shared" si="2"/>
        <v/>
      </c>
      <c r="AI42" s="795"/>
      <c r="AJ42" s="796"/>
      <c r="AK42" s="796"/>
      <c r="AL42" s="795"/>
      <c r="AM42" s="796"/>
      <c r="AN42" s="795"/>
      <c r="AO42" s="795"/>
      <c r="AP42" s="795"/>
      <c r="AQ42" s="218"/>
      <c r="AR42" s="47"/>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row>
    <row r="43" spans="1:138" s="24" customFormat="1" x14ac:dyDescent="0.2">
      <c r="A43" s="219">
        <f t="shared" si="3"/>
        <v>44594</v>
      </c>
      <c r="B43" s="220">
        <f t="shared" si="0"/>
        <v>2</v>
      </c>
      <c r="C43" s="221">
        <f t="shared" si="1"/>
        <v>4</v>
      </c>
      <c r="D43" s="795"/>
      <c r="E43" s="795"/>
      <c r="F43" s="796"/>
      <c r="G43" s="796"/>
      <c r="H43" s="796"/>
      <c r="I43" s="795"/>
      <c r="J43" s="795"/>
      <c r="K43" s="796"/>
      <c r="L43" s="796"/>
      <c r="M43" s="796"/>
      <c r="N43" s="795"/>
      <c r="O43" s="795"/>
      <c r="P43" s="795"/>
      <c r="Q43" s="795"/>
      <c r="R43" s="795"/>
      <c r="S43" s="795"/>
      <c r="T43" s="795"/>
      <c r="U43" s="795"/>
      <c r="V43" s="795"/>
      <c r="W43" s="795"/>
      <c r="X43" s="795"/>
      <c r="Y43" s="795"/>
      <c r="Z43" s="796"/>
      <c r="AA43" s="795"/>
      <c r="AB43" s="329" t="str">
        <f>basis!$B$19</f>
        <v/>
      </c>
      <c r="AC43" s="795"/>
      <c r="AD43" s="795"/>
      <c r="AE43" s="795"/>
      <c r="AF43" s="795"/>
      <c r="AG43" s="892"/>
      <c r="AH43" s="225" t="str">
        <f t="shared" si="2"/>
        <v/>
      </c>
      <c r="AI43" s="795"/>
      <c r="AJ43" s="796"/>
      <c r="AK43" s="796"/>
      <c r="AL43" s="795"/>
      <c r="AM43" s="796"/>
      <c r="AN43" s="795"/>
      <c r="AO43" s="795"/>
      <c r="AP43" s="795"/>
      <c r="AQ43" s="218"/>
      <c r="AR43" s="47"/>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row>
    <row r="44" spans="1:138" s="24" customFormat="1" x14ac:dyDescent="0.2">
      <c r="A44" s="219">
        <f t="shared" si="3"/>
        <v>44595</v>
      </c>
      <c r="B44" s="220">
        <f t="shared" si="0"/>
        <v>2</v>
      </c>
      <c r="C44" s="221">
        <f t="shared" si="1"/>
        <v>5</v>
      </c>
      <c r="D44" s="795"/>
      <c r="E44" s="795"/>
      <c r="F44" s="796"/>
      <c r="G44" s="796"/>
      <c r="H44" s="796"/>
      <c r="I44" s="795"/>
      <c r="J44" s="795"/>
      <c r="K44" s="796"/>
      <c r="L44" s="796"/>
      <c r="M44" s="796"/>
      <c r="N44" s="795"/>
      <c r="O44" s="795"/>
      <c r="P44" s="795"/>
      <c r="Q44" s="795"/>
      <c r="R44" s="795"/>
      <c r="S44" s="795"/>
      <c r="T44" s="795"/>
      <c r="U44" s="795"/>
      <c r="V44" s="795"/>
      <c r="W44" s="795"/>
      <c r="X44" s="795"/>
      <c r="Y44" s="795"/>
      <c r="Z44" s="796"/>
      <c r="AA44" s="795"/>
      <c r="AB44" s="329" t="str">
        <f>basis!$B$19</f>
        <v/>
      </c>
      <c r="AC44" s="795"/>
      <c r="AD44" s="795"/>
      <c r="AE44" s="795"/>
      <c r="AF44" s="795"/>
      <c r="AG44" s="892"/>
      <c r="AH44" s="225" t="str">
        <f t="shared" si="2"/>
        <v/>
      </c>
      <c r="AI44" s="795"/>
      <c r="AJ44" s="796"/>
      <c r="AK44" s="796"/>
      <c r="AL44" s="795"/>
      <c r="AM44" s="796"/>
      <c r="AN44" s="795"/>
      <c r="AO44" s="795"/>
      <c r="AP44" s="795"/>
      <c r="AQ44" s="218"/>
      <c r="AR44" s="47"/>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row>
    <row r="45" spans="1:138" s="24" customFormat="1" x14ac:dyDescent="0.2">
      <c r="A45" s="219">
        <f t="shared" si="3"/>
        <v>44596</v>
      </c>
      <c r="B45" s="220">
        <f t="shared" si="0"/>
        <v>2</v>
      </c>
      <c r="C45" s="221">
        <f t="shared" si="1"/>
        <v>6</v>
      </c>
      <c r="D45" s="795"/>
      <c r="E45" s="795"/>
      <c r="F45" s="796"/>
      <c r="G45" s="796"/>
      <c r="H45" s="796"/>
      <c r="I45" s="795"/>
      <c r="J45" s="795"/>
      <c r="K45" s="796"/>
      <c r="L45" s="796"/>
      <c r="M45" s="796"/>
      <c r="N45" s="795"/>
      <c r="O45" s="795"/>
      <c r="P45" s="795"/>
      <c r="Q45" s="795"/>
      <c r="R45" s="795"/>
      <c r="S45" s="795"/>
      <c r="T45" s="795"/>
      <c r="U45" s="795"/>
      <c r="V45" s="795"/>
      <c r="W45" s="795"/>
      <c r="X45" s="795"/>
      <c r="Y45" s="795"/>
      <c r="Z45" s="796"/>
      <c r="AA45" s="795"/>
      <c r="AB45" s="329" t="str">
        <f>basis!$B$19</f>
        <v/>
      </c>
      <c r="AC45" s="795"/>
      <c r="AD45" s="795"/>
      <c r="AE45" s="795"/>
      <c r="AF45" s="795"/>
      <c r="AG45" s="892"/>
      <c r="AH45" s="225" t="str">
        <f t="shared" si="2"/>
        <v/>
      </c>
      <c r="AI45" s="795"/>
      <c r="AJ45" s="796"/>
      <c r="AK45" s="796"/>
      <c r="AL45" s="795"/>
      <c r="AM45" s="796"/>
      <c r="AN45" s="795"/>
      <c r="AO45" s="795"/>
      <c r="AP45" s="795"/>
      <c r="AQ45" s="218"/>
      <c r="AR45" s="47"/>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row>
    <row r="46" spans="1:138" s="24" customFormat="1" x14ac:dyDescent="0.2">
      <c r="A46" s="219">
        <f t="shared" si="3"/>
        <v>44597</v>
      </c>
      <c r="B46" s="220">
        <f t="shared" si="0"/>
        <v>2</v>
      </c>
      <c r="C46" s="221">
        <f t="shared" si="1"/>
        <v>7</v>
      </c>
      <c r="D46" s="795"/>
      <c r="E46" s="795"/>
      <c r="F46" s="796"/>
      <c r="G46" s="796"/>
      <c r="H46" s="796"/>
      <c r="I46" s="795"/>
      <c r="J46" s="795"/>
      <c r="K46" s="796"/>
      <c r="L46" s="796"/>
      <c r="M46" s="796"/>
      <c r="N46" s="795"/>
      <c r="O46" s="795"/>
      <c r="P46" s="795"/>
      <c r="Q46" s="795"/>
      <c r="R46" s="795"/>
      <c r="S46" s="795"/>
      <c r="T46" s="795"/>
      <c r="U46" s="795"/>
      <c r="V46" s="795"/>
      <c r="W46" s="795"/>
      <c r="X46" s="795"/>
      <c r="Y46" s="795"/>
      <c r="Z46" s="796"/>
      <c r="AA46" s="795"/>
      <c r="AB46" s="329" t="str">
        <f>basis!$B$19</f>
        <v/>
      </c>
      <c r="AC46" s="795"/>
      <c r="AD46" s="795"/>
      <c r="AE46" s="795"/>
      <c r="AF46" s="795"/>
      <c r="AG46" s="892"/>
      <c r="AH46" s="225" t="str">
        <f t="shared" si="2"/>
        <v/>
      </c>
      <c r="AI46" s="795"/>
      <c r="AJ46" s="796"/>
      <c r="AK46" s="796"/>
      <c r="AL46" s="795"/>
      <c r="AM46" s="796"/>
      <c r="AN46" s="795"/>
      <c r="AO46" s="795"/>
      <c r="AP46" s="795"/>
      <c r="AQ46" s="218"/>
      <c r="AR46" s="47"/>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row>
    <row r="47" spans="1:138" s="24" customFormat="1" x14ac:dyDescent="0.2">
      <c r="A47" s="219">
        <f t="shared" si="3"/>
        <v>44598</v>
      </c>
      <c r="B47" s="220">
        <f t="shared" si="0"/>
        <v>2</v>
      </c>
      <c r="C47" s="221">
        <f t="shared" si="1"/>
        <v>1</v>
      </c>
      <c r="D47" s="795"/>
      <c r="E47" s="795"/>
      <c r="F47" s="796"/>
      <c r="G47" s="796"/>
      <c r="H47" s="796"/>
      <c r="I47" s="795"/>
      <c r="J47" s="795"/>
      <c r="K47" s="796"/>
      <c r="L47" s="796"/>
      <c r="M47" s="796"/>
      <c r="N47" s="795"/>
      <c r="O47" s="795"/>
      <c r="P47" s="795"/>
      <c r="Q47" s="795"/>
      <c r="R47" s="795"/>
      <c r="S47" s="795"/>
      <c r="T47" s="795"/>
      <c r="U47" s="795"/>
      <c r="V47" s="795"/>
      <c r="W47" s="795"/>
      <c r="X47" s="795"/>
      <c r="Y47" s="795"/>
      <c r="Z47" s="796"/>
      <c r="AA47" s="795"/>
      <c r="AB47" s="329" t="str">
        <f>basis!$B$19</f>
        <v/>
      </c>
      <c r="AC47" s="795"/>
      <c r="AD47" s="795"/>
      <c r="AE47" s="795"/>
      <c r="AF47" s="795"/>
      <c r="AG47" s="892"/>
      <c r="AH47" s="225" t="str">
        <f t="shared" si="2"/>
        <v/>
      </c>
      <c r="AI47" s="795"/>
      <c r="AJ47" s="796"/>
      <c r="AK47" s="796"/>
      <c r="AL47" s="795"/>
      <c r="AM47" s="796"/>
      <c r="AN47" s="795"/>
      <c r="AO47" s="795"/>
      <c r="AP47" s="795"/>
      <c r="AQ47" s="218"/>
      <c r="AR47" s="47"/>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row>
    <row r="48" spans="1:138" s="24" customFormat="1" x14ac:dyDescent="0.2">
      <c r="A48" s="219">
        <f t="shared" si="3"/>
        <v>44599</v>
      </c>
      <c r="B48" s="220">
        <f t="shared" si="0"/>
        <v>2</v>
      </c>
      <c r="C48" s="221">
        <f t="shared" si="1"/>
        <v>2</v>
      </c>
      <c r="D48" s="795"/>
      <c r="E48" s="795"/>
      <c r="F48" s="796"/>
      <c r="G48" s="796"/>
      <c r="H48" s="796"/>
      <c r="I48" s="795"/>
      <c r="J48" s="795"/>
      <c r="K48" s="796"/>
      <c r="L48" s="796"/>
      <c r="M48" s="796"/>
      <c r="N48" s="795"/>
      <c r="O48" s="795"/>
      <c r="P48" s="795"/>
      <c r="Q48" s="795"/>
      <c r="R48" s="795"/>
      <c r="S48" s="795"/>
      <c r="T48" s="795"/>
      <c r="U48" s="795"/>
      <c r="V48" s="795"/>
      <c r="W48" s="795"/>
      <c r="X48" s="795"/>
      <c r="Y48" s="795"/>
      <c r="Z48" s="796"/>
      <c r="AA48" s="795"/>
      <c r="AB48" s="329" t="str">
        <f>basis!$B$19</f>
        <v/>
      </c>
      <c r="AC48" s="795"/>
      <c r="AD48" s="795"/>
      <c r="AE48" s="795"/>
      <c r="AF48" s="795"/>
      <c r="AG48" s="892"/>
      <c r="AH48" s="225" t="str">
        <f t="shared" si="2"/>
        <v/>
      </c>
      <c r="AI48" s="795"/>
      <c r="AJ48" s="796"/>
      <c r="AK48" s="796"/>
      <c r="AL48" s="795"/>
      <c r="AM48" s="796"/>
      <c r="AN48" s="795"/>
      <c r="AO48" s="795"/>
      <c r="AP48" s="795"/>
      <c r="AQ48" s="218"/>
      <c r="AR48" s="47"/>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row>
    <row r="49" spans="1:138" s="24" customFormat="1" x14ac:dyDescent="0.2">
      <c r="A49" s="219">
        <f t="shared" si="3"/>
        <v>44600</v>
      </c>
      <c r="B49" s="220">
        <f t="shared" si="0"/>
        <v>2</v>
      </c>
      <c r="C49" s="221">
        <f t="shared" si="1"/>
        <v>3</v>
      </c>
      <c r="D49" s="795"/>
      <c r="E49" s="795"/>
      <c r="F49" s="796"/>
      <c r="G49" s="796"/>
      <c r="H49" s="796"/>
      <c r="I49" s="795"/>
      <c r="J49" s="795"/>
      <c r="K49" s="796"/>
      <c r="L49" s="796"/>
      <c r="M49" s="796"/>
      <c r="N49" s="795"/>
      <c r="O49" s="795"/>
      <c r="P49" s="795"/>
      <c r="Q49" s="795"/>
      <c r="R49" s="795"/>
      <c r="S49" s="795"/>
      <c r="T49" s="795"/>
      <c r="U49" s="795"/>
      <c r="V49" s="795"/>
      <c r="W49" s="795"/>
      <c r="X49" s="795"/>
      <c r="Y49" s="795"/>
      <c r="Z49" s="796"/>
      <c r="AA49" s="795"/>
      <c r="AB49" s="329" t="str">
        <f>basis!$B$19</f>
        <v/>
      </c>
      <c r="AC49" s="795"/>
      <c r="AD49" s="795"/>
      <c r="AE49" s="795"/>
      <c r="AF49" s="795"/>
      <c r="AG49" s="892"/>
      <c r="AH49" s="225" t="str">
        <f t="shared" si="2"/>
        <v/>
      </c>
      <c r="AI49" s="795"/>
      <c r="AJ49" s="796"/>
      <c r="AK49" s="796"/>
      <c r="AL49" s="795"/>
      <c r="AM49" s="796"/>
      <c r="AN49" s="795"/>
      <c r="AO49" s="795"/>
      <c r="AP49" s="795"/>
      <c r="AQ49" s="218"/>
      <c r="AR49" s="47"/>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row>
    <row r="50" spans="1:138" s="24" customFormat="1" x14ac:dyDescent="0.2">
      <c r="A50" s="219">
        <f t="shared" si="3"/>
        <v>44601</v>
      </c>
      <c r="B50" s="220">
        <f t="shared" si="0"/>
        <v>2</v>
      </c>
      <c r="C50" s="221">
        <f t="shared" si="1"/>
        <v>4</v>
      </c>
      <c r="D50" s="795"/>
      <c r="E50" s="795"/>
      <c r="F50" s="796"/>
      <c r="G50" s="796"/>
      <c r="H50" s="796"/>
      <c r="I50" s="795"/>
      <c r="J50" s="795"/>
      <c r="K50" s="796"/>
      <c r="L50" s="796"/>
      <c r="M50" s="796"/>
      <c r="N50" s="795"/>
      <c r="O50" s="795"/>
      <c r="P50" s="795"/>
      <c r="Q50" s="795"/>
      <c r="R50" s="795"/>
      <c r="S50" s="795"/>
      <c r="T50" s="795"/>
      <c r="U50" s="795"/>
      <c r="V50" s="795"/>
      <c r="W50" s="795"/>
      <c r="X50" s="795"/>
      <c r="Y50" s="795"/>
      <c r="Z50" s="796"/>
      <c r="AA50" s="795"/>
      <c r="AB50" s="329" t="str">
        <f>basis!$B$19</f>
        <v/>
      </c>
      <c r="AC50" s="795"/>
      <c r="AD50" s="795"/>
      <c r="AE50" s="795"/>
      <c r="AF50" s="795"/>
      <c r="AG50" s="892"/>
      <c r="AH50" s="225" t="str">
        <f t="shared" si="2"/>
        <v/>
      </c>
      <c r="AI50" s="795"/>
      <c r="AJ50" s="796"/>
      <c r="AK50" s="796"/>
      <c r="AL50" s="795"/>
      <c r="AM50" s="796"/>
      <c r="AN50" s="795"/>
      <c r="AO50" s="795"/>
      <c r="AP50" s="795"/>
      <c r="AQ50" s="218"/>
      <c r="AR50" s="47"/>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row>
    <row r="51" spans="1:138" s="24" customFormat="1" x14ac:dyDescent="0.2">
      <c r="A51" s="219">
        <f t="shared" si="3"/>
        <v>44602</v>
      </c>
      <c r="B51" s="220">
        <f t="shared" si="0"/>
        <v>2</v>
      </c>
      <c r="C51" s="221">
        <f t="shared" si="1"/>
        <v>5</v>
      </c>
      <c r="D51" s="795"/>
      <c r="E51" s="795"/>
      <c r="F51" s="796"/>
      <c r="G51" s="796"/>
      <c r="H51" s="796"/>
      <c r="I51" s="795"/>
      <c r="J51" s="795"/>
      <c r="K51" s="796"/>
      <c r="L51" s="796"/>
      <c r="M51" s="796"/>
      <c r="N51" s="795"/>
      <c r="O51" s="795"/>
      <c r="P51" s="795"/>
      <c r="Q51" s="795"/>
      <c r="R51" s="795"/>
      <c r="S51" s="795"/>
      <c r="T51" s="795"/>
      <c r="U51" s="795"/>
      <c r="V51" s="795"/>
      <c r="W51" s="795"/>
      <c r="X51" s="795"/>
      <c r="Y51" s="795"/>
      <c r="Z51" s="796"/>
      <c r="AA51" s="795"/>
      <c r="AB51" s="329" t="str">
        <f>basis!$B$19</f>
        <v/>
      </c>
      <c r="AC51" s="795"/>
      <c r="AD51" s="795"/>
      <c r="AE51" s="795"/>
      <c r="AF51" s="795"/>
      <c r="AG51" s="892"/>
      <c r="AH51" s="225" t="str">
        <f t="shared" si="2"/>
        <v/>
      </c>
      <c r="AI51" s="795"/>
      <c r="AJ51" s="796"/>
      <c r="AK51" s="796"/>
      <c r="AL51" s="795"/>
      <c r="AM51" s="796"/>
      <c r="AN51" s="795"/>
      <c r="AO51" s="795"/>
      <c r="AP51" s="795"/>
      <c r="AQ51" s="218"/>
      <c r="AR51" s="47"/>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row>
    <row r="52" spans="1:138" s="24" customFormat="1" x14ac:dyDescent="0.2">
      <c r="A52" s="219">
        <f t="shared" si="3"/>
        <v>44603</v>
      </c>
      <c r="B52" s="220">
        <f t="shared" si="0"/>
        <v>2</v>
      </c>
      <c r="C52" s="221">
        <f t="shared" si="1"/>
        <v>6</v>
      </c>
      <c r="D52" s="795"/>
      <c r="E52" s="795"/>
      <c r="F52" s="796"/>
      <c r="G52" s="796"/>
      <c r="H52" s="796"/>
      <c r="I52" s="795"/>
      <c r="J52" s="795"/>
      <c r="K52" s="796"/>
      <c r="L52" s="796"/>
      <c r="M52" s="796"/>
      <c r="N52" s="795"/>
      <c r="O52" s="795"/>
      <c r="P52" s="795"/>
      <c r="Q52" s="795"/>
      <c r="R52" s="795"/>
      <c r="S52" s="795"/>
      <c r="T52" s="795"/>
      <c r="U52" s="795"/>
      <c r="V52" s="795"/>
      <c r="W52" s="795"/>
      <c r="X52" s="795"/>
      <c r="Y52" s="795"/>
      <c r="Z52" s="796"/>
      <c r="AA52" s="795"/>
      <c r="AB52" s="329" t="str">
        <f>basis!$B$19</f>
        <v/>
      </c>
      <c r="AC52" s="795"/>
      <c r="AD52" s="795"/>
      <c r="AE52" s="795"/>
      <c r="AF52" s="795"/>
      <c r="AG52" s="892"/>
      <c r="AH52" s="225" t="str">
        <f t="shared" si="2"/>
        <v/>
      </c>
      <c r="AI52" s="795"/>
      <c r="AJ52" s="796"/>
      <c r="AK52" s="796"/>
      <c r="AL52" s="795"/>
      <c r="AM52" s="796"/>
      <c r="AN52" s="795"/>
      <c r="AO52" s="795"/>
      <c r="AP52" s="795"/>
      <c r="AQ52" s="218"/>
      <c r="AR52" s="47"/>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row>
    <row r="53" spans="1:138" s="24" customFormat="1" x14ac:dyDescent="0.2">
      <c r="A53" s="219">
        <f t="shared" si="3"/>
        <v>44604</v>
      </c>
      <c r="B53" s="220">
        <f t="shared" si="0"/>
        <v>2</v>
      </c>
      <c r="C53" s="221">
        <f t="shared" si="1"/>
        <v>7</v>
      </c>
      <c r="D53" s="795"/>
      <c r="E53" s="795"/>
      <c r="F53" s="796"/>
      <c r="G53" s="796"/>
      <c r="H53" s="796"/>
      <c r="I53" s="795"/>
      <c r="J53" s="795"/>
      <c r="K53" s="796"/>
      <c r="L53" s="796"/>
      <c r="M53" s="796"/>
      <c r="N53" s="795"/>
      <c r="O53" s="795"/>
      <c r="P53" s="795"/>
      <c r="Q53" s="795"/>
      <c r="R53" s="795"/>
      <c r="S53" s="795"/>
      <c r="T53" s="795"/>
      <c r="U53" s="795"/>
      <c r="V53" s="795"/>
      <c r="W53" s="795"/>
      <c r="X53" s="795"/>
      <c r="Y53" s="795"/>
      <c r="Z53" s="796"/>
      <c r="AA53" s="795"/>
      <c r="AB53" s="329" t="str">
        <f>basis!$B$19</f>
        <v/>
      </c>
      <c r="AC53" s="795"/>
      <c r="AD53" s="795"/>
      <c r="AE53" s="795"/>
      <c r="AF53" s="795"/>
      <c r="AG53" s="892"/>
      <c r="AH53" s="225" t="str">
        <f>IF(OR(AF53="",AG53=""),"",AF53*AG53)</f>
        <v/>
      </c>
      <c r="AI53" s="795"/>
      <c r="AJ53" s="796"/>
      <c r="AK53" s="796"/>
      <c r="AL53" s="795"/>
      <c r="AM53" s="796"/>
      <c r="AN53" s="795"/>
      <c r="AO53" s="795"/>
      <c r="AP53" s="795"/>
      <c r="AQ53" s="218"/>
      <c r="AR53" s="47"/>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row>
    <row r="54" spans="1:138" s="24" customFormat="1" x14ac:dyDescent="0.2">
      <c r="A54" s="219">
        <f t="shared" si="3"/>
        <v>44605</v>
      </c>
      <c r="B54" s="220">
        <f t="shared" si="0"/>
        <v>2</v>
      </c>
      <c r="C54" s="221">
        <f t="shared" si="1"/>
        <v>1</v>
      </c>
      <c r="D54" s="795"/>
      <c r="E54" s="795"/>
      <c r="F54" s="796"/>
      <c r="G54" s="796"/>
      <c r="H54" s="796"/>
      <c r="I54" s="795"/>
      <c r="J54" s="795"/>
      <c r="K54" s="796"/>
      <c r="L54" s="796"/>
      <c r="M54" s="796"/>
      <c r="N54" s="795"/>
      <c r="O54" s="795"/>
      <c r="P54" s="795"/>
      <c r="Q54" s="795"/>
      <c r="R54" s="795"/>
      <c r="S54" s="795"/>
      <c r="T54" s="795"/>
      <c r="U54" s="795"/>
      <c r="V54" s="795"/>
      <c r="W54" s="795"/>
      <c r="X54" s="795"/>
      <c r="Y54" s="795"/>
      <c r="Z54" s="796"/>
      <c r="AA54" s="795"/>
      <c r="AB54" s="329" t="str">
        <f>basis!$B$19</f>
        <v/>
      </c>
      <c r="AC54" s="795"/>
      <c r="AD54" s="795"/>
      <c r="AE54" s="795"/>
      <c r="AF54" s="795"/>
      <c r="AG54" s="892"/>
      <c r="AH54" s="225" t="str">
        <f t="shared" si="2"/>
        <v/>
      </c>
      <c r="AI54" s="795"/>
      <c r="AJ54" s="796"/>
      <c r="AK54" s="796"/>
      <c r="AL54" s="795"/>
      <c r="AM54" s="796"/>
      <c r="AN54" s="795"/>
      <c r="AO54" s="795"/>
      <c r="AP54" s="795"/>
      <c r="AQ54" s="218"/>
      <c r="AR54" s="47"/>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row>
    <row r="55" spans="1:138" s="24" customFormat="1" x14ac:dyDescent="0.2">
      <c r="A55" s="219">
        <f t="shared" si="3"/>
        <v>44606</v>
      </c>
      <c r="B55" s="220">
        <f t="shared" si="0"/>
        <v>2</v>
      </c>
      <c r="C55" s="221">
        <f t="shared" si="1"/>
        <v>2</v>
      </c>
      <c r="D55" s="795"/>
      <c r="E55" s="795"/>
      <c r="F55" s="796"/>
      <c r="G55" s="796"/>
      <c r="H55" s="796"/>
      <c r="I55" s="795"/>
      <c r="J55" s="795"/>
      <c r="K55" s="796"/>
      <c r="L55" s="796"/>
      <c r="M55" s="796"/>
      <c r="N55" s="795"/>
      <c r="O55" s="795"/>
      <c r="P55" s="795"/>
      <c r="Q55" s="795"/>
      <c r="R55" s="795"/>
      <c r="S55" s="795"/>
      <c r="T55" s="795"/>
      <c r="U55" s="795"/>
      <c r="V55" s="795"/>
      <c r="W55" s="795"/>
      <c r="X55" s="795"/>
      <c r="Y55" s="795"/>
      <c r="Z55" s="796"/>
      <c r="AA55" s="795"/>
      <c r="AB55" s="329" t="str">
        <f>basis!$B$19</f>
        <v/>
      </c>
      <c r="AC55" s="795"/>
      <c r="AD55" s="795"/>
      <c r="AE55" s="795"/>
      <c r="AF55" s="795"/>
      <c r="AG55" s="892"/>
      <c r="AH55" s="225" t="str">
        <f t="shared" si="2"/>
        <v/>
      </c>
      <c r="AI55" s="795"/>
      <c r="AJ55" s="796"/>
      <c r="AK55" s="796"/>
      <c r="AL55" s="795"/>
      <c r="AM55" s="796"/>
      <c r="AN55" s="795"/>
      <c r="AO55" s="795"/>
      <c r="AP55" s="795"/>
      <c r="AQ55" s="218"/>
      <c r="AR55" s="47"/>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row>
    <row r="56" spans="1:138" s="24" customFormat="1" x14ac:dyDescent="0.2">
      <c r="A56" s="219">
        <f t="shared" si="3"/>
        <v>44607</v>
      </c>
      <c r="B56" s="220">
        <f t="shared" si="0"/>
        <v>2</v>
      </c>
      <c r="C56" s="221">
        <f t="shared" si="1"/>
        <v>3</v>
      </c>
      <c r="D56" s="795"/>
      <c r="E56" s="795"/>
      <c r="F56" s="796"/>
      <c r="G56" s="796"/>
      <c r="H56" s="796"/>
      <c r="I56" s="795"/>
      <c r="J56" s="795"/>
      <c r="K56" s="796"/>
      <c r="L56" s="796"/>
      <c r="M56" s="796"/>
      <c r="N56" s="795"/>
      <c r="O56" s="795"/>
      <c r="P56" s="795"/>
      <c r="Q56" s="795"/>
      <c r="R56" s="795"/>
      <c r="S56" s="795"/>
      <c r="T56" s="795"/>
      <c r="U56" s="795"/>
      <c r="V56" s="795"/>
      <c r="W56" s="795"/>
      <c r="X56" s="795"/>
      <c r="Y56" s="795"/>
      <c r="Z56" s="796"/>
      <c r="AA56" s="795"/>
      <c r="AB56" s="329" t="str">
        <f>basis!$B$19</f>
        <v/>
      </c>
      <c r="AC56" s="795"/>
      <c r="AD56" s="795"/>
      <c r="AE56" s="795"/>
      <c r="AF56" s="795"/>
      <c r="AG56" s="892"/>
      <c r="AH56" s="225" t="str">
        <f t="shared" si="2"/>
        <v/>
      </c>
      <c r="AI56" s="795"/>
      <c r="AJ56" s="796"/>
      <c r="AK56" s="796"/>
      <c r="AL56" s="795"/>
      <c r="AM56" s="796"/>
      <c r="AN56" s="795"/>
      <c r="AO56" s="795"/>
      <c r="AP56" s="795"/>
      <c r="AQ56" s="218"/>
      <c r="AR56" s="47"/>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row>
    <row r="57" spans="1:138" s="24" customFormat="1" x14ac:dyDescent="0.2">
      <c r="A57" s="219">
        <f t="shared" si="3"/>
        <v>44608</v>
      </c>
      <c r="B57" s="220">
        <f t="shared" si="0"/>
        <v>2</v>
      </c>
      <c r="C57" s="221">
        <f t="shared" si="1"/>
        <v>4</v>
      </c>
      <c r="D57" s="795"/>
      <c r="E57" s="795"/>
      <c r="F57" s="796"/>
      <c r="G57" s="796"/>
      <c r="H57" s="796"/>
      <c r="I57" s="795"/>
      <c r="J57" s="795"/>
      <c r="K57" s="796"/>
      <c r="L57" s="796"/>
      <c r="M57" s="796"/>
      <c r="N57" s="795"/>
      <c r="O57" s="795"/>
      <c r="P57" s="795"/>
      <c r="Q57" s="795"/>
      <c r="R57" s="795"/>
      <c r="S57" s="795"/>
      <c r="T57" s="795"/>
      <c r="U57" s="795"/>
      <c r="V57" s="795"/>
      <c r="W57" s="795"/>
      <c r="X57" s="795"/>
      <c r="Y57" s="795"/>
      <c r="Z57" s="796"/>
      <c r="AA57" s="795"/>
      <c r="AB57" s="329" t="str">
        <f>basis!$B$19</f>
        <v/>
      </c>
      <c r="AC57" s="795"/>
      <c r="AD57" s="795"/>
      <c r="AE57" s="795"/>
      <c r="AF57" s="795"/>
      <c r="AG57" s="892"/>
      <c r="AH57" s="225" t="str">
        <f t="shared" si="2"/>
        <v/>
      </c>
      <c r="AI57" s="795"/>
      <c r="AJ57" s="796"/>
      <c r="AK57" s="796"/>
      <c r="AL57" s="795"/>
      <c r="AM57" s="796"/>
      <c r="AN57" s="795"/>
      <c r="AO57" s="795"/>
      <c r="AP57" s="795"/>
      <c r="AQ57" s="218"/>
      <c r="AR57" s="47"/>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row>
    <row r="58" spans="1:138" s="24" customFormat="1" x14ac:dyDescent="0.2">
      <c r="A58" s="219">
        <f t="shared" si="3"/>
        <v>44609</v>
      </c>
      <c r="B58" s="220">
        <f t="shared" si="0"/>
        <v>2</v>
      </c>
      <c r="C58" s="221">
        <f t="shared" si="1"/>
        <v>5</v>
      </c>
      <c r="D58" s="795"/>
      <c r="E58" s="795"/>
      <c r="F58" s="796"/>
      <c r="G58" s="796"/>
      <c r="H58" s="796"/>
      <c r="I58" s="795"/>
      <c r="J58" s="795"/>
      <c r="K58" s="796"/>
      <c r="L58" s="796"/>
      <c r="M58" s="796"/>
      <c r="N58" s="795"/>
      <c r="O58" s="795"/>
      <c r="P58" s="795"/>
      <c r="Q58" s="795"/>
      <c r="R58" s="795"/>
      <c r="S58" s="795"/>
      <c r="T58" s="795"/>
      <c r="U58" s="795"/>
      <c r="V58" s="795"/>
      <c r="W58" s="795"/>
      <c r="X58" s="795"/>
      <c r="Y58" s="795"/>
      <c r="Z58" s="796"/>
      <c r="AA58" s="795"/>
      <c r="AB58" s="329" t="str">
        <f>basis!$B$19</f>
        <v/>
      </c>
      <c r="AC58" s="795"/>
      <c r="AD58" s="795"/>
      <c r="AE58" s="795"/>
      <c r="AF58" s="795"/>
      <c r="AG58" s="892"/>
      <c r="AH58" s="225" t="str">
        <f t="shared" si="2"/>
        <v/>
      </c>
      <c r="AI58" s="795"/>
      <c r="AJ58" s="796"/>
      <c r="AK58" s="796"/>
      <c r="AL58" s="795"/>
      <c r="AM58" s="796"/>
      <c r="AN58" s="795"/>
      <c r="AO58" s="795"/>
      <c r="AP58" s="795"/>
      <c r="AQ58" s="218"/>
      <c r="AR58" s="47"/>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row>
    <row r="59" spans="1:138" s="24" customFormat="1" x14ac:dyDescent="0.2">
      <c r="A59" s="219">
        <f t="shared" si="3"/>
        <v>44610</v>
      </c>
      <c r="B59" s="220">
        <f t="shared" si="0"/>
        <v>2</v>
      </c>
      <c r="C59" s="221">
        <f t="shared" si="1"/>
        <v>6</v>
      </c>
      <c r="D59" s="795"/>
      <c r="E59" s="795"/>
      <c r="F59" s="796"/>
      <c r="G59" s="796"/>
      <c r="H59" s="796"/>
      <c r="I59" s="795"/>
      <c r="J59" s="795"/>
      <c r="K59" s="796"/>
      <c r="L59" s="796"/>
      <c r="M59" s="796"/>
      <c r="N59" s="795"/>
      <c r="O59" s="795"/>
      <c r="P59" s="795"/>
      <c r="Q59" s="795"/>
      <c r="R59" s="795"/>
      <c r="S59" s="795"/>
      <c r="T59" s="795"/>
      <c r="U59" s="795"/>
      <c r="V59" s="795"/>
      <c r="W59" s="795"/>
      <c r="X59" s="795"/>
      <c r="Y59" s="795"/>
      <c r="Z59" s="796"/>
      <c r="AA59" s="795"/>
      <c r="AB59" s="329" t="str">
        <f>basis!$B$19</f>
        <v/>
      </c>
      <c r="AC59" s="795"/>
      <c r="AD59" s="795"/>
      <c r="AE59" s="795"/>
      <c r="AF59" s="795"/>
      <c r="AG59" s="892"/>
      <c r="AH59" s="225" t="str">
        <f t="shared" si="2"/>
        <v/>
      </c>
      <c r="AI59" s="795"/>
      <c r="AJ59" s="796"/>
      <c r="AK59" s="796"/>
      <c r="AL59" s="795"/>
      <c r="AM59" s="796"/>
      <c r="AN59" s="795"/>
      <c r="AO59" s="795"/>
      <c r="AP59" s="795"/>
      <c r="AQ59" s="218"/>
      <c r="AR59" s="47"/>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row>
    <row r="60" spans="1:138" s="24" customFormat="1" x14ac:dyDescent="0.2">
      <c r="A60" s="219">
        <f t="shared" si="3"/>
        <v>44611</v>
      </c>
      <c r="B60" s="220">
        <f t="shared" si="0"/>
        <v>2</v>
      </c>
      <c r="C60" s="221">
        <f t="shared" si="1"/>
        <v>7</v>
      </c>
      <c r="D60" s="795"/>
      <c r="E60" s="795"/>
      <c r="F60" s="796"/>
      <c r="G60" s="796"/>
      <c r="H60" s="796"/>
      <c r="I60" s="795"/>
      <c r="J60" s="795"/>
      <c r="K60" s="796"/>
      <c r="L60" s="796"/>
      <c r="M60" s="796"/>
      <c r="N60" s="795"/>
      <c r="O60" s="795"/>
      <c r="P60" s="795"/>
      <c r="Q60" s="795"/>
      <c r="R60" s="795"/>
      <c r="S60" s="795"/>
      <c r="T60" s="795"/>
      <c r="U60" s="795"/>
      <c r="V60" s="795"/>
      <c r="W60" s="795"/>
      <c r="X60" s="795"/>
      <c r="Y60" s="795"/>
      <c r="Z60" s="796"/>
      <c r="AA60" s="795"/>
      <c r="AB60" s="329" t="str">
        <f>basis!$B$19</f>
        <v/>
      </c>
      <c r="AC60" s="795"/>
      <c r="AD60" s="795"/>
      <c r="AE60" s="795"/>
      <c r="AF60" s="795"/>
      <c r="AG60" s="892"/>
      <c r="AH60" s="225" t="str">
        <f t="shared" si="2"/>
        <v/>
      </c>
      <c r="AI60" s="795"/>
      <c r="AJ60" s="796"/>
      <c r="AK60" s="796"/>
      <c r="AL60" s="795"/>
      <c r="AM60" s="796"/>
      <c r="AN60" s="795"/>
      <c r="AO60" s="795"/>
      <c r="AP60" s="795"/>
      <c r="AQ60" s="218"/>
      <c r="AR60" s="47"/>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row>
    <row r="61" spans="1:138" s="24" customFormat="1" x14ac:dyDescent="0.2">
      <c r="A61" s="219">
        <f t="shared" si="3"/>
        <v>44612</v>
      </c>
      <c r="B61" s="220">
        <f t="shared" si="0"/>
        <v>2</v>
      </c>
      <c r="C61" s="221">
        <f t="shared" si="1"/>
        <v>1</v>
      </c>
      <c r="D61" s="795"/>
      <c r="E61" s="795"/>
      <c r="F61" s="796"/>
      <c r="G61" s="796"/>
      <c r="H61" s="796"/>
      <c r="I61" s="795"/>
      <c r="J61" s="795"/>
      <c r="K61" s="796"/>
      <c r="L61" s="796"/>
      <c r="M61" s="796"/>
      <c r="N61" s="795"/>
      <c r="O61" s="795"/>
      <c r="P61" s="795"/>
      <c r="Q61" s="795"/>
      <c r="R61" s="795"/>
      <c r="S61" s="795"/>
      <c r="T61" s="795"/>
      <c r="U61" s="795"/>
      <c r="V61" s="795"/>
      <c r="W61" s="795"/>
      <c r="X61" s="795"/>
      <c r="Y61" s="795"/>
      <c r="Z61" s="796"/>
      <c r="AA61" s="795"/>
      <c r="AB61" s="329" t="str">
        <f>basis!$B$19</f>
        <v/>
      </c>
      <c r="AC61" s="795"/>
      <c r="AD61" s="795"/>
      <c r="AE61" s="795"/>
      <c r="AF61" s="795"/>
      <c r="AG61" s="892"/>
      <c r="AH61" s="225" t="str">
        <f t="shared" si="2"/>
        <v/>
      </c>
      <c r="AI61" s="795"/>
      <c r="AJ61" s="796"/>
      <c r="AK61" s="796"/>
      <c r="AL61" s="795"/>
      <c r="AM61" s="796"/>
      <c r="AN61" s="795"/>
      <c r="AO61" s="795"/>
      <c r="AP61" s="795"/>
      <c r="AQ61" s="218"/>
      <c r="AR61" s="47"/>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row>
    <row r="62" spans="1:138" s="24" customFormat="1" x14ac:dyDescent="0.2">
      <c r="A62" s="219">
        <f t="shared" si="3"/>
        <v>44613</v>
      </c>
      <c r="B62" s="220">
        <f t="shared" si="0"/>
        <v>2</v>
      </c>
      <c r="C62" s="221">
        <f t="shared" si="1"/>
        <v>2</v>
      </c>
      <c r="D62" s="795"/>
      <c r="E62" s="795"/>
      <c r="F62" s="796"/>
      <c r="G62" s="796"/>
      <c r="H62" s="796"/>
      <c r="I62" s="795"/>
      <c r="J62" s="795"/>
      <c r="K62" s="796"/>
      <c r="L62" s="796"/>
      <c r="M62" s="796"/>
      <c r="N62" s="795"/>
      <c r="O62" s="795"/>
      <c r="P62" s="795"/>
      <c r="Q62" s="795"/>
      <c r="R62" s="795"/>
      <c r="S62" s="795"/>
      <c r="T62" s="795"/>
      <c r="U62" s="795"/>
      <c r="V62" s="795"/>
      <c r="W62" s="795"/>
      <c r="X62" s="795"/>
      <c r="Y62" s="795"/>
      <c r="Z62" s="796"/>
      <c r="AA62" s="795"/>
      <c r="AB62" s="329" t="str">
        <f>basis!$B$19</f>
        <v/>
      </c>
      <c r="AC62" s="795"/>
      <c r="AD62" s="795"/>
      <c r="AE62" s="795"/>
      <c r="AF62" s="795"/>
      <c r="AG62" s="892"/>
      <c r="AH62" s="225" t="str">
        <f t="shared" si="2"/>
        <v/>
      </c>
      <c r="AI62" s="795"/>
      <c r="AJ62" s="796"/>
      <c r="AK62" s="796"/>
      <c r="AL62" s="795"/>
      <c r="AM62" s="796"/>
      <c r="AN62" s="795"/>
      <c r="AO62" s="795"/>
      <c r="AP62" s="795"/>
      <c r="AQ62" s="218"/>
      <c r="AR62" s="47"/>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row>
    <row r="63" spans="1:138" s="24" customFormat="1" x14ac:dyDescent="0.2">
      <c r="A63" s="219">
        <f t="shared" si="3"/>
        <v>44614</v>
      </c>
      <c r="B63" s="220">
        <f t="shared" si="0"/>
        <v>2</v>
      </c>
      <c r="C63" s="221">
        <f t="shared" si="1"/>
        <v>3</v>
      </c>
      <c r="D63" s="795"/>
      <c r="E63" s="795"/>
      <c r="F63" s="796"/>
      <c r="G63" s="796"/>
      <c r="H63" s="796"/>
      <c r="I63" s="795"/>
      <c r="J63" s="795"/>
      <c r="K63" s="796"/>
      <c r="L63" s="796"/>
      <c r="M63" s="796"/>
      <c r="N63" s="795"/>
      <c r="O63" s="795"/>
      <c r="P63" s="795"/>
      <c r="Q63" s="795"/>
      <c r="R63" s="795"/>
      <c r="S63" s="795"/>
      <c r="T63" s="795"/>
      <c r="U63" s="795"/>
      <c r="V63" s="795"/>
      <c r="W63" s="795"/>
      <c r="X63" s="795"/>
      <c r="Y63" s="795"/>
      <c r="Z63" s="796"/>
      <c r="AA63" s="795"/>
      <c r="AB63" s="329" t="str">
        <f>basis!$B$19</f>
        <v/>
      </c>
      <c r="AC63" s="795"/>
      <c r="AD63" s="795"/>
      <c r="AE63" s="795"/>
      <c r="AF63" s="795"/>
      <c r="AG63" s="892"/>
      <c r="AH63" s="225" t="str">
        <f t="shared" si="2"/>
        <v/>
      </c>
      <c r="AI63" s="795"/>
      <c r="AJ63" s="796"/>
      <c r="AK63" s="796"/>
      <c r="AL63" s="795"/>
      <c r="AM63" s="796"/>
      <c r="AN63" s="795"/>
      <c r="AO63" s="795"/>
      <c r="AP63" s="795"/>
      <c r="AQ63" s="218"/>
      <c r="AR63" s="47"/>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row>
    <row r="64" spans="1:138" s="24" customFormat="1" x14ac:dyDescent="0.2">
      <c r="A64" s="219">
        <f t="shared" si="3"/>
        <v>44615</v>
      </c>
      <c r="B64" s="220">
        <f t="shared" si="0"/>
        <v>2</v>
      </c>
      <c r="C64" s="221">
        <f t="shared" si="1"/>
        <v>4</v>
      </c>
      <c r="D64" s="795"/>
      <c r="E64" s="795"/>
      <c r="F64" s="796"/>
      <c r="G64" s="796"/>
      <c r="H64" s="796"/>
      <c r="I64" s="795"/>
      <c r="J64" s="795"/>
      <c r="K64" s="796"/>
      <c r="L64" s="796"/>
      <c r="M64" s="796"/>
      <c r="N64" s="795"/>
      <c r="O64" s="795"/>
      <c r="P64" s="795"/>
      <c r="Q64" s="795"/>
      <c r="R64" s="795"/>
      <c r="S64" s="795"/>
      <c r="T64" s="795"/>
      <c r="U64" s="795"/>
      <c r="V64" s="795"/>
      <c r="W64" s="795"/>
      <c r="X64" s="795"/>
      <c r="Y64" s="795"/>
      <c r="Z64" s="796"/>
      <c r="AA64" s="795"/>
      <c r="AB64" s="329" t="str">
        <f>basis!$B$19</f>
        <v/>
      </c>
      <c r="AC64" s="795"/>
      <c r="AD64" s="795"/>
      <c r="AE64" s="795"/>
      <c r="AF64" s="795"/>
      <c r="AG64" s="892"/>
      <c r="AH64" s="225" t="str">
        <f t="shared" si="2"/>
        <v/>
      </c>
      <c r="AI64" s="795"/>
      <c r="AJ64" s="796"/>
      <c r="AK64" s="796"/>
      <c r="AL64" s="795"/>
      <c r="AM64" s="796"/>
      <c r="AN64" s="795"/>
      <c r="AO64" s="795"/>
      <c r="AP64" s="795"/>
      <c r="AQ64" s="218"/>
      <c r="AR64" s="47"/>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row>
    <row r="65" spans="1:138" s="24" customFormat="1" x14ac:dyDescent="0.2">
      <c r="A65" s="219">
        <f t="shared" si="3"/>
        <v>44616</v>
      </c>
      <c r="B65" s="220">
        <f t="shared" si="0"/>
        <v>2</v>
      </c>
      <c r="C65" s="221">
        <f t="shared" si="1"/>
        <v>5</v>
      </c>
      <c r="D65" s="795"/>
      <c r="E65" s="795"/>
      <c r="F65" s="796"/>
      <c r="G65" s="796"/>
      <c r="H65" s="796"/>
      <c r="I65" s="795"/>
      <c r="J65" s="795"/>
      <c r="K65" s="796"/>
      <c r="L65" s="796"/>
      <c r="M65" s="796"/>
      <c r="N65" s="795"/>
      <c r="O65" s="795"/>
      <c r="P65" s="795"/>
      <c r="Q65" s="795"/>
      <c r="R65" s="795"/>
      <c r="S65" s="795"/>
      <c r="T65" s="795"/>
      <c r="U65" s="795"/>
      <c r="V65" s="795"/>
      <c r="W65" s="795"/>
      <c r="X65" s="795"/>
      <c r="Y65" s="795"/>
      <c r="Z65" s="796"/>
      <c r="AA65" s="795"/>
      <c r="AB65" s="329" t="str">
        <f>basis!$B$19</f>
        <v/>
      </c>
      <c r="AC65" s="795"/>
      <c r="AD65" s="795"/>
      <c r="AE65" s="795"/>
      <c r="AF65" s="795"/>
      <c r="AG65" s="892"/>
      <c r="AH65" s="225" t="str">
        <f t="shared" si="2"/>
        <v/>
      </c>
      <c r="AI65" s="795"/>
      <c r="AJ65" s="796"/>
      <c r="AK65" s="796"/>
      <c r="AL65" s="795"/>
      <c r="AM65" s="796"/>
      <c r="AN65" s="795"/>
      <c r="AO65" s="795"/>
      <c r="AP65" s="795"/>
      <c r="AQ65" s="218"/>
      <c r="AR65" s="47"/>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row>
    <row r="66" spans="1:138" s="24" customFormat="1" x14ac:dyDescent="0.2">
      <c r="A66" s="219">
        <f t="shared" si="3"/>
        <v>44617</v>
      </c>
      <c r="B66" s="220">
        <f t="shared" si="0"/>
        <v>2</v>
      </c>
      <c r="C66" s="221">
        <f t="shared" si="1"/>
        <v>6</v>
      </c>
      <c r="D66" s="795"/>
      <c r="E66" s="795"/>
      <c r="F66" s="796"/>
      <c r="G66" s="796"/>
      <c r="H66" s="796"/>
      <c r="I66" s="795"/>
      <c r="J66" s="795"/>
      <c r="K66" s="796"/>
      <c r="L66" s="796"/>
      <c r="M66" s="796"/>
      <c r="N66" s="795"/>
      <c r="O66" s="795"/>
      <c r="P66" s="795"/>
      <c r="Q66" s="795"/>
      <c r="R66" s="795"/>
      <c r="S66" s="795"/>
      <c r="T66" s="795"/>
      <c r="U66" s="795"/>
      <c r="V66" s="795"/>
      <c r="W66" s="795"/>
      <c r="X66" s="795"/>
      <c r="Y66" s="795"/>
      <c r="Z66" s="796"/>
      <c r="AA66" s="795"/>
      <c r="AB66" s="329" t="str">
        <f>basis!$B$19</f>
        <v/>
      </c>
      <c r="AC66" s="795"/>
      <c r="AD66" s="795"/>
      <c r="AE66" s="795"/>
      <c r="AF66" s="795"/>
      <c r="AG66" s="892"/>
      <c r="AH66" s="225" t="str">
        <f t="shared" si="2"/>
        <v/>
      </c>
      <c r="AI66" s="795"/>
      <c r="AJ66" s="796"/>
      <c r="AK66" s="796"/>
      <c r="AL66" s="795"/>
      <c r="AM66" s="796"/>
      <c r="AN66" s="795"/>
      <c r="AO66" s="795"/>
      <c r="AP66" s="795"/>
      <c r="AQ66" s="218"/>
      <c r="AR66" s="47"/>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row>
    <row r="67" spans="1:138" s="24" customFormat="1" x14ac:dyDescent="0.2">
      <c r="A67" s="219">
        <f t="shared" si="3"/>
        <v>44618</v>
      </c>
      <c r="B67" s="220">
        <f t="shared" si="0"/>
        <v>2</v>
      </c>
      <c r="C67" s="221">
        <f t="shared" si="1"/>
        <v>7</v>
      </c>
      <c r="D67" s="795"/>
      <c r="E67" s="795"/>
      <c r="F67" s="796"/>
      <c r="G67" s="796"/>
      <c r="H67" s="796"/>
      <c r="I67" s="795"/>
      <c r="J67" s="795"/>
      <c r="K67" s="796"/>
      <c r="L67" s="796"/>
      <c r="M67" s="796"/>
      <c r="N67" s="795"/>
      <c r="O67" s="795"/>
      <c r="P67" s="795"/>
      <c r="Q67" s="795"/>
      <c r="R67" s="795"/>
      <c r="S67" s="795"/>
      <c r="T67" s="795"/>
      <c r="U67" s="795"/>
      <c r="V67" s="795"/>
      <c r="W67" s="795"/>
      <c r="X67" s="795"/>
      <c r="Y67" s="795"/>
      <c r="Z67" s="796"/>
      <c r="AA67" s="795"/>
      <c r="AB67" s="329" t="str">
        <f>basis!$B$19</f>
        <v/>
      </c>
      <c r="AC67" s="795"/>
      <c r="AD67" s="795"/>
      <c r="AE67" s="795"/>
      <c r="AF67" s="795"/>
      <c r="AG67" s="892"/>
      <c r="AH67" s="225" t="str">
        <f t="shared" si="2"/>
        <v/>
      </c>
      <c r="AI67" s="795"/>
      <c r="AJ67" s="796"/>
      <c r="AK67" s="796"/>
      <c r="AL67" s="795"/>
      <c r="AM67" s="796"/>
      <c r="AN67" s="795"/>
      <c r="AO67" s="795"/>
      <c r="AP67" s="795"/>
      <c r="AQ67" s="218"/>
      <c r="AR67" s="47"/>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row>
    <row r="68" spans="1:138" s="24" customFormat="1" x14ac:dyDescent="0.2">
      <c r="A68" s="219">
        <f t="shared" si="3"/>
        <v>44619</v>
      </c>
      <c r="B68" s="220">
        <f t="shared" si="0"/>
        <v>2</v>
      </c>
      <c r="C68" s="221">
        <f t="shared" si="1"/>
        <v>1</v>
      </c>
      <c r="D68" s="795"/>
      <c r="E68" s="795"/>
      <c r="F68" s="796"/>
      <c r="G68" s="796"/>
      <c r="H68" s="796"/>
      <c r="I68" s="795"/>
      <c r="J68" s="795"/>
      <c r="K68" s="796"/>
      <c r="L68" s="796"/>
      <c r="M68" s="796"/>
      <c r="N68" s="795"/>
      <c r="O68" s="795"/>
      <c r="P68" s="795"/>
      <c r="Q68" s="795"/>
      <c r="R68" s="795"/>
      <c r="S68" s="795"/>
      <c r="T68" s="795"/>
      <c r="U68" s="795"/>
      <c r="V68" s="795"/>
      <c r="W68" s="795"/>
      <c r="X68" s="795"/>
      <c r="Y68" s="795"/>
      <c r="Z68" s="796"/>
      <c r="AA68" s="795"/>
      <c r="AB68" s="329" t="str">
        <f>basis!$B$19</f>
        <v/>
      </c>
      <c r="AC68" s="795"/>
      <c r="AD68" s="795"/>
      <c r="AE68" s="795"/>
      <c r="AF68" s="795"/>
      <c r="AG68" s="892"/>
      <c r="AH68" s="225" t="str">
        <f t="shared" si="2"/>
        <v/>
      </c>
      <c r="AI68" s="795"/>
      <c r="AJ68" s="796"/>
      <c r="AK68" s="796"/>
      <c r="AL68" s="795"/>
      <c r="AM68" s="796"/>
      <c r="AN68" s="795"/>
      <c r="AO68" s="795"/>
      <c r="AP68" s="795"/>
      <c r="AQ68" s="218"/>
      <c r="AR68" s="47"/>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row>
    <row r="69" spans="1:138" s="24" customFormat="1" x14ac:dyDescent="0.2">
      <c r="A69" s="219">
        <f t="shared" si="3"/>
        <v>44620</v>
      </c>
      <c r="B69" s="220">
        <f t="shared" si="0"/>
        <v>2</v>
      </c>
      <c r="C69" s="221">
        <f t="shared" si="1"/>
        <v>2</v>
      </c>
      <c r="D69" s="795"/>
      <c r="E69" s="795"/>
      <c r="F69" s="796"/>
      <c r="G69" s="796"/>
      <c r="H69" s="796"/>
      <c r="I69" s="795"/>
      <c r="J69" s="795"/>
      <c r="K69" s="796"/>
      <c r="L69" s="796"/>
      <c r="M69" s="796"/>
      <c r="N69" s="795"/>
      <c r="O69" s="795"/>
      <c r="P69" s="795"/>
      <c r="Q69" s="795"/>
      <c r="R69" s="795"/>
      <c r="S69" s="795"/>
      <c r="T69" s="795"/>
      <c r="U69" s="795"/>
      <c r="V69" s="795"/>
      <c r="W69" s="795"/>
      <c r="X69" s="795"/>
      <c r="Y69" s="795"/>
      <c r="Z69" s="796"/>
      <c r="AA69" s="795"/>
      <c r="AB69" s="329" t="str">
        <f>basis!$B$19</f>
        <v/>
      </c>
      <c r="AC69" s="795"/>
      <c r="AD69" s="795"/>
      <c r="AE69" s="795"/>
      <c r="AF69" s="795"/>
      <c r="AG69" s="892"/>
      <c r="AH69" s="225" t="str">
        <f t="shared" si="2"/>
        <v/>
      </c>
      <c r="AI69" s="795"/>
      <c r="AJ69" s="796"/>
      <c r="AK69" s="796"/>
      <c r="AL69" s="795"/>
      <c r="AM69" s="796"/>
      <c r="AN69" s="795"/>
      <c r="AO69" s="795"/>
      <c r="AP69" s="795"/>
      <c r="AQ69" s="218"/>
      <c r="AR69" s="47"/>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row>
    <row r="70" spans="1:138" s="24" customFormat="1" x14ac:dyDescent="0.2">
      <c r="A70" s="219">
        <f t="shared" si="3"/>
        <v>44621</v>
      </c>
      <c r="B70" s="220">
        <f t="shared" si="0"/>
        <v>3</v>
      </c>
      <c r="C70" s="221">
        <f t="shared" si="1"/>
        <v>3</v>
      </c>
      <c r="D70" s="795"/>
      <c r="E70" s="795"/>
      <c r="F70" s="796"/>
      <c r="G70" s="796"/>
      <c r="H70" s="796"/>
      <c r="I70" s="795"/>
      <c r="J70" s="795"/>
      <c r="K70" s="796"/>
      <c r="L70" s="796"/>
      <c r="M70" s="796"/>
      <c r="N70" s="795"/>
      <c r="O70" s="795"/>
      <c r="P70" s="795"/>
      <c r="Q70" s="795"/>
      <c r="R70" s="795"/>
      <c r="S70" s="795"/>
      <c r="T70" s="795"/>
      <c r="U70" s="795"/>
      <c r="V70" s="795"/>
      <c r="W70" s="795"/>
      <c r="X70" s="795"/>
      <c r="Y70" s="795"/>
      <c r="Z70" s="796"/>
      <c r="AA70" s="795"/>
      <c r="AB70" s="329" t="str">
        <f>basis!$B$19</f>
        <v/>
      </c>
      <c r="AC70" s="795"/>
      <c r="AD70" s="795"/>
      <c r="AE70" s="795"/>
      <c r="AF70" s="795"/>
      <c r="AG70" s="892"/>
      <c r="AH70" s="225" t="str">
        <f t="shared" si="2"/>
        <v/>
      </c>
      <c r="AI70" s="795"/>
      <c r="AJ70" s="796"/>
      <c r="AK70" s="796"/>
      <c r="AL70" s="795"/>
      <c r="AM70" s="796"/>
      <c r="AN70" s="795"/>
      <c r="AO70" s="795"/>
      <c r="AP70" s="795"/>
      <c r="AQ70" s="218"/>
      <c r="AR70" s="47"/>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row>
    <row r="71" spans="1:138" s="24" customFormat="1" x14ac:dyDescent="0.2">
      <c r="A71" s="219">
        <f t="shared" si="3"/>
        <v>44622</v>
      </c>
      <c r="B71" s="220">
        <f t="shared" si="0"/>
        <v>3</v>
      </c>
      <c r="C71" s="221">
        <f t="shared" si="1"/>
        <v>4</v>
      </c>
      <c r="D71" s="795"/>
      <c r="E71" s="795"/>
      <c r="F71" s="796"/>
      <c r="G71" s="796"/>
      <c r="H71" s="796"/>
      <c r="I71" s="795"/>
      <c r="J71" s="795"/>
      <c r="K71" s="796"/>
      <c r="L71" s="796"/>
      <c r="M71" s="796"/>
      <c r="N71" s="795"/>
      <c r="O71" s="795"/>
      <c r="P71" s="795"/>
      <c r="Q71" s="795"/>
      <c r="R71" s="795"/>
      <c r="S71" s="795"/>
      <c r="T71" s="795"/>
      <c r="U71" s="795"/>
      <c r="V71" s="795"/>
      <c r="W71" s="795"/>
      <c r="X71" s="795"/>
      <c r="Y71" s="795"/>
      <c r="Z71" s="796"/>
      <c r="AA71" s="795"/>
      <c r="AB71" s="329" t="str">
        <f>basis!$B$19</f>
        <v/>
      </c>
      <c r="AC71" s="795"/>
      <c r="AD71" s="795"/>
      <c r="AE71" s="795"/>
      <c r="AF71" s="795"/>
      <c r="AG71" s="892"/>
      <c r="AH71" s="225" t="str">
        <f t="shared" si="2"/>
        <v/>
      </c>
      <c r="AI71" s="795"/>
      <c r="AJ71" s="796"/>
      <c r="AK71" s="796"/>
      <c r="AL71" s="795"/>
      <c r="AM71" s="796"/>
      <c r="AN71" s="795"/>
      <c r="AO71" s="795"/>
      <c r="AP71" s="795"/>
      <c r="AQ71" s="218"/>
      <c r="AR71" s="47"/>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row>
    <row r="72" spans="1:138" s="24" customFormat="1" x14ac:dyDescent="0.2">
      <c r="A72" s="219">
        <f t="shared" si="3"/>
        <v>44623</v>
      </c>
      <c r="B72" s="220">
        <f t="shared" si="0"/>
        <v>3</v>
      </c>
      <c r="C72" s="221">
        <f t="shared" si="1"/>
        <v>5</v>
      </c>
      <c r="D72" s="795"/>
      <c r="E72" s="795"/>
      <c r="F72" s="796"/>
      <c r="G72" s="796"/>
      <c r="H72" s="796"/>
      <c r="I72" s="795"/>
      <c r="J72" s="795"/>
      <c r="K72" s="796"/>
      <c r="L72" s="796"/>
      <c r="M72" s="796"/>
      <c r="N72" s="795"/>
      <c r="O72" s="795"/>
      <c r="P72" s="795"/>
      <c r="Q72" s="795"/>
      <c r="R72" s="795"/>
      <c r="S72" s="795"/>
      <c r="T72" s="795"/>
      <c r="U72" s="795"/>
      <c r="V72" s="795"/>
      <c r="W72" s="795"/>
      <c r="X72" s="795"/>
      <c r="Y72" s="795"/>
      <c r="Z72" s="796"/>
      <c r="AA72" s="795"/>
      <c r="AB72" s="329" t="str">
        <f>basis!$B$19</f>
        <v/>
      </c>
      <c r="AC72" s="795"/>
      <c r="AD72" s="795"/>
      <c r="AE72" s="795"/>
      <c r="AF72" s="795"/>
      <c r="AG72" s="892"/>
      <c r="AH72" s="225" t="str">
        <f t="shared" si="2"/>
        <v/>
      </c>
      <c r="AI72" s="795"/>
      <c r="AJ72" s="796"/>
      <c r="AK72" s="796"/>
      <c r="AL72" s="795"/>
      <c r="AM72" s="796"/>
      <c r="AN72" s="795"/>
      <c r="AO72" s="795"/>
      <c r="AP72" s="795"/>
      <c r="AQ72" s="218"/>
      <c r="AR72" s="47"/>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row>
    <row r="73" spans="1:138" s="24" customFormat="1" x14ac:dyDescent="0.2">
      <c r="A73" s="219">
        <f t="shared" si="3"/>
        <v>44624</v>
      </c>
      <c r="B73" s="220">
        <f t="shared" si="0"/>
        <v>3</v>
      </c>
      <c r="C73" s="221">
        <f t="shared" si="1"/>
        <v>6</v>
      </c>
      <c r="D73" s="795"/>
      <c r="E73" s="795"/>
      <c r="F73" s="796"/>
      <c r="G73" s="796"/>
      <c r="H73" s="796"/>
      <c r="I73" s="795"/>
      <c r="J73" s="795"/>
      <c r="K73" s="796"/>
      <c r="L73" s="796"/>
      <c r="M73" s="796"/>
      <c r="N73" s="795"/>
      <c r="O73" s="795"/>
      <c r="P73" s="795"/>
      <c r="Q73" s="795"/>
      <c r="R73" s="795"/>
      <c r="S73" s="795"/>
      <c r="T73" s="795"/>
      <c r="U73" s="795"/>
      <c r="V73" s="795"/>
      <c r="W73" s="795"/>
      <c r="X73" s="795"/>
      <c r="Y73" s="795"/>
      <c r="Z73" s="796"/>
      <c r="AA73" s="795"/>
      <c r="AB73" s="329" t="str">
        <f>basis!$B$19</f>
        <v/>
      </c>
      <c r="AC73" s="795"/>
      <c r="AD73" s="795"/>
      <c r="AE73" s="795"/>
      <c r="AF73" s="795"/>
      <c r="AG73" s="892"/>
      <c r="AH73" s="225" t="str">
        <f t="shared" si="2"/>
        <v/>
      </c>
      <c r="AI73" s="795"/>
      <c r="AJ73" s="796"/>
      <c r="AK73" s="796"/>
      <c r="AL73" s="795"/>
      <c r="AM73" s="796"/>
      <c r="AN73" s="795"/>
      <c r="AO73" s="795"/>
      <c r="AP73" s="795"/>
      <c r="AQ73" s="218"/>
      <c r="AR73" s="47"/>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row>
    <row r="74" spans="1:138" s="24" customFormat="1" x14ac:dyDescent="0.2">
      <c r="A74" s="219">
        <f t="shared" si="3"/>
        <v>44625</v>
      </c>
      <c r="B74" s="220">
        <f t="shared" si="0"/>
        <v>3</v>
      </c>
      <c r="C74" s="221">
        <f t="shared" si="1"/>
        <v>7</v>
      </c>
      <c r="D74" s="795"/>
      <c r="E74" s="795"/>
      <c r="F74" s="796"/>
      <c r="G74" s="796"/>
      <c r="H74" s="796"/>
      <c r="I74" s="795"/>
      <c r="J74" s="795"/>
      <c r="K74" s="796"/>
      <c r="L74" s="796"/>
      <c r="M74" s="796"/>
      <c r="N74" s="795"/>
      <c r="O74" s="795"/>
      <c r="P74" s="795"/>
      <c r="Q74" s="795"/>
      <c r="R74" s="795"/>
      <c r="S74" s="795"/>
      <c r="T74" s="795"/>
      <c r="U74" s="795"/>
      <c r="V74" s="795"/>
      <c r="W74" s="795"/>
      <c r="X74" s="795"/>
      <c r="Y74" s="795"/>
      <c r="Z74" s="796"/>
      <c r="AA74" s="795"/>
      <c r="AB74" s="329" t="str">
        <f>basis!$B$19</f>
        <v/>
      </c>
      <c r="AC74" s="795"/>
      <c r="AD74" s="795"/>
      <c r="AE74" s="795"/>
      <c r="AF74" s="795"/>
      <c r="AG74" s="892"/>
      <c r="AH74" s="225" t="str">
        <f t="shared" si="2"/>
        <v/>
      </c>
      <c r="AI74" s="795"/>
      <c r="AJ74" s="796"/>
      <c r="AK74" s="796"/>
      <c r="AL74" s="795"/>
      <c r="AM74" s="796"/>
      <c r="AN74" s="795"/>
      <c r="AO74" s="795"/>
      <c r="AP74" s="795"/>
      <c r="AQ74" s="218"/>
      <c r="AR74" s="47"/>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row>
    <row r="75" spans="1:138" s="24" customFormat="1" x14ac:dyDescent="0.2">
      <c r="A75" s="219">
        <f t="shared" si="3"/>
        <v>44626</v>
      </c>
      <c r="B75" s="220">
        <f t="shared" ref="B75:B138" si="4">MONTH(A75)</f>
        <v>3</v>
      </c>
      <c r="C75" s="221">
        <f t="shared" ref="C75:C138" si="5">WEEKDAY(A75)</f>
        <v>1</v>
      </c>
      <c r="D75" s="795"/>
      <c r="E75" s="795"/>
      <c r="F75" s="796"/>
      <c r="G75" s="796"/>
      <c r="H75" s="796"/>
      <c r="I75" s="795"/>
      <c r="J75" s="795"/>
      <c r="K75" s="796"/>
      <c r="L75" s="796"/>
      <c r="M75" s="796"/>
      <c r="N75" s="795"/>
      <c r="O75" s="795"/>
      <c r="P75" s="795"/>
      <c r="Q75" s="795"/>
      <c r="R75" s="795"/>
      <c r="S75" s="795"/>
      <c r="T75" s="795"/>
      <c r="U75" s="795"/>
      <c r="V75" s="795"/>
      <c r="W75" s="795"/>
      <c r="X75" s="795"/>
      <c r="Y75" s="795"/>
      <c r="Z75" s="796"/>
      <c r="AA75" s="795"/>
      <c r="AB75" s="329" t="str">
        <f>basis!$B$19</f>
        <v/>
      </c>
      <c r="AC75" s="795"/>
      <c r="AD75" s="795"/>
      <c r="AE75" s="795"/>
      <c r="AF75" s="795"/>
      <c r="AG75" s="892"/>
      <c r="AH75" s="225" t="str">
        <f t="shared" si="2"/>
        <v/>
      </c>
      <c r="AI75" s="795"/>
      <c r="AJ75" s="796"/>
      <c r="AK75" s="796"/>
      <c r="AL75" s="795"/>
      <c r="AM75" s="796"/>
      <c r="AN75" s="795"/>
      <c r="AO75" s="795"/>
      <c r="AP75" s="795"/>
      <c r="AQ75" s="218"/>
      <c r="AR75" s="47"/>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row>
    <row r="76" spans="1:138" s="24" customFormat="1" x14ac:dyDescent="0.2">
      <c r="A76" s="219">
        <f t="shared" si="3"/>
        <v>44627</v>
      </c>
      <c r="B76" s="220">
        <f t="shared" si="4"/>
        <v>3</v>
      </c>
      <c r="C76" s="221">
        <f t="shared" si="5"/>
        <v>2</v>
      </c>
      <c r="D76" s="795"/>
      <c r="E76" s="795"/>
      <c r="F76" s="796"/>
      <c r="G76" s="796"/>
      <c r="H76" s="796"/>
      <c r="I76" s="795"/>
      <c r="J76" s="795"/>
      <c r="K76" s="796"/>
      <c r="L76" s="796"/>
      <c r="M76" s="796"/>
      <c r="N76" s="795"/>
      <c r="O76" s="795"/>
      <c r="P76" s="795"/>
      <c r="Q76" s="795"/>
      <c r="R76" s="795"/>
      <c r="S76" s="795"/>
      <c r="T76" s="795"/>
      <c r="U76" s="795"/>
      <c r="V76" s="795"/>
      <c r="W76" s="795"/>
      <c r="X76" s="795"/>
      <c r="Y76" s="795"/>
      <c r="Z76" s="796"/>
      <c r="AA76" s="795"/>
      <c r="AB76" s="329" t="str">
        <f>basis!$B$19</f>
        <v/>
      </c>
      <c r="AC76" s="795"/>
      <c r="AD76" s="795"/>
      <c r="AE76" s="795"/>
      <c r="AF76" s="795"/>
      <c r="AG76" s="892"/>
      <c r="AH76" s="225" t="str">
        <f t="shared" ref="AH76:AH139" si="6">IF(OR(AF76="",AG76=""),"",AF76*AG76)</f>
        <v/>
      </c>
      <c r="AI76" s="795"/>
      <c r="AJ76" s="796"/>
      <c r="AK76" s="796"/>
      <c r="AL76" s="795"/>
      <c r="AM76" s="796"/>
      <c r="AN76" s="795"/>
      <c r="AO76" s="795"/>
      <c r="AP76" s="795"/>
      <c r="AQ76" s="218"/>
      <c r="AR76" s="47"/>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row>
    <row r="77" spans="1:138" s="24" customFormat="1" x14ac:dyDescent="0.2">
      <c r="A77" s="219">
        <f t="shared" ref="A77:A140" si="7">A76+1</f>
        <v>44628</v>
      </c>
      <c r="B77" s="220">
        <f t="shared" si="4"/>
        <v>3</v>
      </c>
      <c r="C77" s="221">
        <f t="shared" si="5"/>
        <v>3</v>
      </c>
      <c r="D77" s="795"/>
      <c r="E77" s="795"/>
      <c r="F77" s="796"/>
      <c r="G77" s="796"/>
      <c r="H77" s="796"/>
      <c r="I77" s="795"/>
      <c r="J77" s="795"/>
      <c r="K77" s="796"/>
      <c r="L77" s="796"/>
      <c r="M77" s="796"/>
      <c r="N77" s="795"/>
      <c r="O77" s="795"/>
      <c r="P77" s="795"/>
      <c r="Q77" s="795"/>
      <c r="R77" s="795"/>
      <c r="S77" s="795"/>
      <c r="T77" s="795"/>
      <c r="U77" s="795"/>
      <c r="V77" s="795"/>
      <c r="W77" s="795"/>
      <c r="X77" s="795"/>
      <c r="Y77" s="795"/>
      <c r="Z77" s="796"/>
      <c r="AA77" s="795"/>
      <c r="AB77" s="329" t="str">
        <f>basis!$B$19</f>
        <v/>
      </c>
      <c r="AC77" s="795"/>
      <c r="AD77" s="795"/>
      <c r="AE77" s="795"/>
      <c r="AF77" s="795"/>
      <c r="AG77" s="892"/>
      <c r="AH77" s="225" t="str">
        <f t="shared" si="6"/>
        <v/>
      </c>
      <c r="AI77" s="795"/>
      <c r="AJ77" s="796"/>
      <c r="AK77" s="796"/>
      <c r="AL77" s="795"/>
      <c r="AM77" s="796"/>
      <c r="AN77" s="795"/>
      <c r="AO77" s="795"/>
      <c r="AP77" s="795"/>
      <c r="AQ77" s="218"/>
      <c r="AR77" s="47"/>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row>
    <row r="78" spans="1:138" s="24" customFormat="1" x14ac:dyDescent="0.2">
      <c r="A78" s="219">
        <f t="shared" si="7"/>
        <v>44629</v>
      </c>
      <c r="B78" s="220">
        <f t="shared" si="4"/>
        <v>3</v>
      </c>
      <c r="C78" s="221">
        <f t="shared" si="5"/>
        <v>4</v>
      </c>
      <c r="D78" s="795"/>
      <c r="E78" s="795"/>
      <c r="F78" s="796"/>
      <c r="G78" s="796"/>
      <c r="H78" s="796"/>
      <c r="I78" s="795"/>
      <c r="J78" s="795"/>
      <c r="K78" s="796"/>
      <c r="L78" s="796"/>
      <c r="M78" s="796"/>
      <c r="N78" s="795"/>
      <c r="O78" s="795"/>
      <c r="P78" s="795"/>
      <c r="Q78" s="795"/>
      <c r="R78" s="795"/>
      <c r="S78" s="795"/>
      <c r="T78" s="795"/>
      <c r="U78" s="795"/>
      <c r="V78" s="795"/>
      <c r="W78" s="795"/>
      <c r="X78" s="795"/>
      <c r="Y78" s="795"/>
      <c r="Z78" s="796"/>
      <c r="AA78" s="795"/>
      <c r="AB78" s="329" t="str">
        <f>basis!$B$19</f>
        <v/>
      </c>
      <c r="AC78" s="795"/>
      <c r="AD78" s="795"/>
      <c r="AE78" s="795"/>
      <c r="AF78" s="795"/>
      <c r="AG78" s="892"/>
      <c r="AH78" s="225" t="str">
        <f t="shared" si="6"/>
        <v/>
      </c>
      <c r="AI78" s="795"/>
      <c r="AJ78" s="796"/>
      <c r="AK78" s="796"/>
      <c r="AL78" s="795"/>
      <c r="AM78" s="796"/>
      <c r="AN78" s="795"/>
      <c r="AO78" s="795"/>
      <c r="AP78" s="795"/>
      <c r="AQ78" s="218"/>
      <c r="AR78" s="47"/>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row>
    <row r="79" spans="1:138" s="24" customFormat="1" x14ac:dyDescent="0.2">
      <c r="A79" s="219">
        <f t="shared" si="7"/>
        <v>44630</v>
      </c>
      <c r="B79" s="220">
        <f t="shared" si="4"/>
        <v>3</v>
      </c>
      <c r="C79" s="221">
        <f t="shared" si="5"/>
        <v>5</v>
      </c>
      <c r="D79" s="795"/>
      <c r="E79" s="795"/>
      <c r="F79" s="796"/>
      <c r="G79" s="796"/>
      <c r="H79" s="796"/>
      <c r="I79" s="795"/>
      <c r="J79" s="795"/>
      <c r="K79" s="796"/>
      <c r="L79" s="796"/>
      <c r="M79" s="796"/>
      <c r="N79" s="795"/>
      <c r="O79" s="795"/>
      <c r="P79" s="795"/>
      <c r="Q79" s="795"/>
      <c r="R79" s="795"/>
      <c r="S79" s="795"/>
      <c r="T79" s="795"/>
      <c r="U79" s="795"/>
      <c r="V79" s="795"/>
      <c r="W79" s="795"/>
      <c r="X79" s="795"/>
      <c r="Y79" s="795"/>
      <c r="Z79" s="796"/>
      <c r="AA79" s="795"/>
      <c r="AB79" s="329" t="str">
        <f>basis!$B$19</f>
        <v/>
      </c>
      <c r="AC79" s="795"/>
      <c r="AD79" s="795"/>
      <c r="AE79" s="795"/>
      <c r="AF79" s="795"/>
      <c r="AG79" s="892"/>
      <c r="AH79" s="225" t="str">
        <f t="shared" si="6"/>
        <v/>
      </c>
      <c r="AI79" s="795"/>
      <c r="AJ79" s="796"/>
      <c r="AK79" s="796"/>
      <c r="AL79" s="795"/>
      <c r="AM79" s="796"/>
      <c r="AN79" s="795"/>
      <c r="AO79" s="795"/>
      <c r="AP79" s="795"/>
      <c r="AQ79" s="218"/>
      <c r="AR79" s="47"/>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row>
    <row r="80" spans="1:138" s="24" customFormat="1" x14ac:dyDescent="0.2">
      <c r="A80" s="219">
        <f t="shared" si="7"/>
        <v>44631</v>
      </c>
      <c r="B80" s="220">
        <f t="shared" si="4"/>
        <v>3</v>
      </c>
      <c r="C80" s="221">
        <f t="shared" si="5"/>
        <v>6</v>
      </c>
      <c r="D80" s="795"/>
      <c r="E80" s="795"/>
      <c r="F80" s="796"/>
      <c r="G80" s="796"/>
      <c r="H80" s="796"/>
      <c r="I80" s="795"/>
      <c r="J80" s="795"/>
      <c r="K80" s="796"/>
      <c r="L80" s="796"/>
      <c r="M80" s="796"/>
      <c r="N80" s="795"/>
      <c r="O80" s="795"/>
      <c r="P80" s="795"/>
      <c r="Q80" s="795"/>
      <c r="R80" s="795"/>
      <c r="S80" s="795"/>
      <c r="T80" s="795"/>
      <c r="U80" s="795"/>
      <c r="V80" s="795"/>
      <c r="W80" s="795"/>
      <c r="X80" s="795"/>
      <c r="Y80" s="795"/>
      <c r="Z80" s="796"/>
      <c r="AA80" s="795"/>
      <c r="AB80" s="329" t="str">
        <f>basis!$B$19</f>
        <v/>
      </c>
      <c r="AC80" s="795"/>
      <c r="AD80" s="795"/>
      <c r="AE80" s="795"/>
      <c r="AF80" s="795"/>
      <c r="AG80" s="892"/>
      <c r="AH80" s="225" t="str">
        <f t="shared" si="6"/>
        <v/>
      </c>
      <c r="AI80" s="795"/>
      <c r="AJ80" s="796"/>
      <c r="AK80" s="796"/>
      <c r="AL80" s="795"/>
      <c r="AM80" s="796"/>
      <c r="AN80" s="795"/>
      <c r="AO80" s="795"/>
      <c r="AP80" s="795"/>
      <c r="AQ80" s="218"/>
      <c r="AR80" s="47"/>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row>
    <row r="81" spans="1:138" s="24" customFormat="1" x14ac:dyDescent="0.2">
      <c r="A81" s="219">
        <f t="shared" si="7"/>
        <v>44632</v>
      </c>
      <c r="B81" s="220">
        <f t="shared" si="4"/>
        <v>3</v>
      </c>
      <c r="C81" s="221">
        <f t="shared" si="5"/>
        <v>7</v>
      </c>
      <c r="D81" s="795"/>
      <c r="E81" s="795"/>
      <c r="F81" s="796"/>
      <c r="G81" s="796"/>
      <c r="H81" s="796"/>
      <c r="I81" s="795"/>
      <c r="J81" s="795"/>
      <c r="K81" s="796"/>
      <c r="L81" s="796"/>
      <c r="M81" s="796"/>
      <c r="N81" s="795"/>
      <c r="O81" s="795"/>
      <c r="P81" s="795"/>
      <c r="Q81" s="795"/>
      <c r="R81" s="795"/>
      <c r="S81" s="795"/>
      <c r="T81" s="795"/>
      <c r="U81" s="795"/>
      <c r="V81" s="795"/>
      <c r="W81" s="795"/>
      <c r="X81" s="795"/>
      <c r="Y81" s="795"/>
      <c r="Z81" s="796"/>
      <c r="AA81" s="795"/>
      <c r="AB81" s="329" t="str">
        <f>basis!$B$19</f>
        <v/>
      </c>
      <c r="AC81" s="795"/>
      <c r="AD81" s="795"/>
      <c r="AE81" s="795"/>
      <c r="AF81" s="795"/>
      <c r="AG81" s="892"/>
      <c r="AH81" s="225" t="str">
        <f t="shared" si="6"/>
        <v/>
      </c>
      <c r="AI81" s="795"/>
      <c r="AJ81" s="796"/>
      <c r="AK81" s="796"/>
      <c r="AL81" s="795"/>
      <c r="AM81" s="796"/>
      <c r="AN81" s="795"/>
      <c r="AO81" s="795"/>
      <c r="AP81" s="795"/>
      <c r="AQ81" s="218"/>
      <c r="AR81" s="47"/>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row>
    <row r="82" spans="1:138" s="24" customFormat="1" x14ac:dyDescent="0.2">
      <c r="A82" s="219">
        <f t="shared" si="7"/>
        <v>44633</v>
      </c>
      <c r="B82" s="220">
        <f t="shared" si="4"/>
        <v>3</v>
      </c>
      <c r="C82" s="221">
        <f t="shared" si="5"/>
        <v>1</v>
      </c>
      <c r="D82" s="795"/>
      <c r="E82" s="795"/>
      <c r="F82" s="796"/>
      <c r="G82" s="796"/>
      <c r="H82" s="796"/>
      <c r="I82" s="795"/>
      <c r="J82" s="795"/>
      <c r="K82" s="796"/>
      <c r="L82" s="796"/>
      <c r="M82" s="796"/>
      <c r="N82" s="795"/>
      <c r="O82" s="795"/>
      <c r="P82" s="795"/>
      <c r="Q82" s="795"/>
      <c r="R82" s="795"/>
      <c r="S82" s="795"/>
      <c r="T82" s="795"/>
      <c r="U82" s="795"/>
      <c r="V82" s="795"/>
      <c r="W82" s="795"/>
      <c r="X82" s="795"/>
      <c r="Y82" s="795"/>
      <c r="Z82" s="796"/>
      <c r="AA82" s="795"/>
      <c r="AB82" s="329" t="str">
        <f>basis!$B$19</f>
        <v/>
      </c>
      <c r="AC82" s="795"/>
      <c r="AD82" s="795"/>
      <c r="AE82" s="795"/>
      <c r="AF82" s="795"/>
      <c r="AG82" s="892"/>
      <c r="AH82" s="225" t="str">
        <f t="shared" si="6"/>
        <v/>
      </c>
      <c r="AI82" s="795"/>
      <c r="AJ82" s="796"/>
      <c r="AK82" s="796"/>
      <c r="AL82" s="795"/>
      <c r="AM82" s="796"/>
      <c r="AN82" s="795"/>
      <c r="AO82" s="795"/>
      <c r="AP82" s="795"/>
      <c r="AQ82" s="218"/>
      <c r="AR82" s="47"/>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row>
    <row r="83" spans="1:138" s="24" customFormat="1" x14ac:dyDescent="0.2">
      <c r="A83" s="219">
        <f t="shared" si="7"/>
        <v>44634</v>
      </c>
      <c r="B83" s="220">
        <f t="shared" si="4"/>
        <v>3</v>
      </c>
      <c r="C83" s="221">
        <f t="shared" si="5"/>
        <v>2</v>
      </c>
      <c r="D83" s="795"/>
      <c r="E83" s="795"/>
      <c r="F83" s="796"/>
      <c r="G83" s="796"/>
      <c r="H83" s="796"/>
      <c r="I83" s="795"/>
      <c r="J83" s="795"/>
      <c r="K83" s="796"/>
      <c r="L83" s="796"/>
      <c r="M83" s="796"/>
      <c r="N83" s="795"/>
      <c r="O83" s="795"/>
      <c r="P83" s="795"/>
      <c r="Q83" s="795"/>
      <c r="R83" s="795"/>
      <c r="S83" s="795"/>
      <c r="T83" s="795"/>
      <c r="U83" s="795"/>
      <c r="V83" s="795"/>
      <c r="W83" s="795"/>
      <c r="X83" s="795"/>
      <c r="Y83" s="795"/>
      <c r="Z83" s="796"/>
      <c r="AA83" s="795"/>
      <c r="AB83" s="329" t="str">
        <f>basis!$B$19</f>
        <v/>
      </c>
      <c r="AC83" s="795"/>
      <c r="AD83" s="795"/>
      <c r="AE83" s="795"/>
      <c r="AF83" s="795"/>
      <c r="AG83" s="892"/>
      <c r="AH83" s="225" t="str">
        <f t="shared" si="6"/>
        <v/>
      </c>
      <c r="AI83" s="795"/>
      <c r="AJ83" s="796"/>
      <c r="AK83" s="796"/>
      <c r="AL83" s="795"/>
      <c r="AM83" s="796"/>
      <c r="AN83" s="795"/>
      <c r="AO83" s="795"/>
      <c r="AP83" s="795"/>
      <c r="AQ83" s="218"/>
      <c r="AR83" s="47"/>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row>
    <row r="84" spans="1:138" s="24" customFormat="1" x14ac:dyDescent="0.2">
      <c r="A84" s="219">
        <f t="shared" si="7"/>
        <v>44635</v>
      </c>
      <c r="B84" s="220">
        <f t="shared" si="4"/>
        <v>3</v>
      </c>
      <c r="C84" s="221">
        <f t="shared" si="5"/>
        <v>3</v>
      </c>
      <c r="D84" s="795"/>
      <c r="E84" s="795"/>
      <c r="F84" s="796"/>
      <c r="G84" s="796"/>
      <c r="H84" s="796"/>
      <c r="I84" s="795"/>
      <c r="J84" s="795"/>
      <c r="K84" s="796"/>
      <c r="L84" s="796"/>
      <c r="M84" s="796"/>
      <c r="N84" s="795"/>
      <c r="O84" s="795"/>
      <c r="P84" s="795"/>
      <c r="Q84" s="795"/>
      <c r="R84" s="795"/>
      <c r="S84" s="795"/>
      <c r="T84" s="795"/>
      <c r="U84" s="795"/>
      <c r="V84" s="795"/>
      <c r="W84" s="795"/>
      <c r="X84" s="795"/>
      <c r="Y84" s="795"/>
      <c r="Z84" s="796"/>
      <c r="AA84" s="795"/>
      <c r="AB84" s="329" t="str">
        <f>basis!$B$19</f>
        <v/>
      </c>
      <c r="AC84" s="795"/>
      <c r="AD84" s="795"/>
      <c r="AE84" s="795"/>
      <c r="AF84" s="795"/>
      <c r="AG84" s="892"/>
      <c r="AH84" s="225" t="str">
        <f t="shared" si="6"/>
        <v/>
      </c>
      <c r="AI84" s="795"/>
      <c r="AJ84" s="796"/>
      <c r="AK84" s="796"/>
      <c r="AL84" s="795"/>
      <c r="AM84" s="796"/>
      <c r="AN84" s="795"/>
      <c r="AO84" s="795"/>
      <c r="AP84" s="795"/>
      <c r="AQ84" s="218"/>
      <c r="AR84" s="47"/>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row>
    <row r="85" spans="1:138" s="24" customFormat="1" x14ac:dyDescent="0.2">
      <c r="A85" s="219">
        <f t="shared" si="7"/>
        <v>44636</v>
      </c>
      <c r="B85" s="220">
        <f t="shared" si="4"/>
        <v>3</v>
      </c>
      <c r="C85" s="221">
        <f t="shared" si="5"/>
        <v>4</v>
      </c>
      <c r="D85" s="795"/>
      <c r="E85" s="795"/>
      <c r="F85" s="796"/>
      <c r="G85" s="796"/>
      <c r="H85" s="796"/>
      <c r="I85" s="795"/>
      <c r="J85" s="795"/>
      <c r="K85" s="796"/>
      <c r="L85" s="796"/>
      <c r="M85" s="796"/>
      <c r="N85" s="795"/>
      <c r="O85" s="795"/>
      <c r="P85" s="795"/>
      <c r="Q85" s="795"/>
      <c r="R85" s="795"/>
      <c r="S85" s="795"/>
      <c r="T85" s="795"/>
      <c r="U85" s="795"/>
      <c r="V85" s="795"/>
      <c r="W85" s="795"/>
      <c r="X85" s="795"/>
      <c r="Y85" s="795"/>
      <c r="Z85" s="796"/>
      <c r="AA85" s="795"/>
      <c r="AB85" s="329" t="str">
        <f>basis!$B$19</f>
        <v/>
      </c>
      <c r="AC85" s="795"/>
      <c r="AD85" s="795"/>
      <c r="AE85" s="795"/>
      <c r="AF85" s="795"/>
      <c r="AG85" s="892"/>
      <c r="AH85" s="225" t="str">
        <f t="shared" si="6"/>
        <v/>
      </c>
      <c r="AI85" s="795"/>
      <c r="AJ85" s="796"/>
      <c r="AK85" s="796"/>
      <c r="AL85" s="795"/>
      <c r="AM85" s="796"/>
      <c r="AN85" s="795"/>
      <c r="AO85" s="795"/>
      <c r="AP85" s="795"/>
      <c r="AQ85" s="218"/>
      <c r="AR85" s="47"/>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row>
    <row r="86" spans="1:138" s="24" customFormat="1" x14ac:dyDescent="0.2">
      <c r="A86" s="219">
        <f t="shared" si="7"/>
        <v>44637</v>
      </c>
      <c r="B86" s="220">
        <f t="shared" si="4"/>
        <v>3</v>
      </c>
      <c r="C86" s="221">
        <f t="shared" si="5"/>
        <v>5</v>
      </c>
      <c r="D86" s="795"/>
      <c r="E86" s="795"/>
      <c r="F86" s="796"/>
      <c r="G86" s="796"/>
      <c r="H86" s="796"/>
      <c r="I86" s="795"/>
      <c r="J86" s="795"/>
      <c r="K86" s="796"/>
      <c r="L86" s="796"/>
      <c r="M86" s="796"/>
      <c r="N86" s="795"/>
      <c r="O86" s="795"/>
      <c r="P86" s="795"/>
      <c r="Q86" s="795"/>
      <c r="R86" s="795"/>
      <c r="S86" s="795"/>
      <c r="T86" s="795"/>
      <c r="U86" s="795"/>
      <c r="V86" s="795"/>
      <c r="W86" s="795"/>
      <c r="X86" s="795"/>
      <c r="Y86" s="795"/>
      <c r="Z86" s="796"/>
      <c r="AA86" s="795"/>
      <c r="AB86" s="329" t="str">
        <f>basis!$B$19</f>
        <v/>
      </c>
      <c r="AC86" s="795"/>
      <c r="AD86" s="795"/>
      <c r="AE86" s="795"/>
      <c r="AF86" s="795"/>
      <c r="AG86" s="892"/>
      <c r="AH86" s="225" t="str">
        <f t="shared" si="6"/>
        <v/>
      </c>
      <c r="AI86" s="795"/>
      <c r="AJ86" s="796"/>
      <c r="AK86" s="796"/>
      <c r="AL86" s="795"/>
      <c r="AM86" s="796"/>
      <c r="AN86" s="795"/>
      <c r="AO86" s="795"/>
      <c r="AP86" s="795"/>
      <c r="AQ86" s="218"/>
      <c r="AR86" s="47"/>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row>
    <row r="87" spans="1:138" s="24" customFormat="1" x14ac:dyDescent="0.2">
      <c r="A87" s="219">
        <f t="shared" si="7"/>
        <v>44638</v>
      </c>
      <c r="B87" s="220">
        <f t="shared" si="4"/>
        <v>3</v>
      </c>
      <c r="C87" s="221">
        <f t="shared" si="5"/>
        <v>6</v>
      </c>
      <c r="D87" s="795"/>
      <c r="E87" s="795"/>
      <c r="F87" s="796"/>
      <c r="G87" s="796"/>
      <c r="H87" s="796"/>
      <c r="I87" s="795"/>
      <c r="J87" s="795"/>
      <c r="K87" s="796"/>
      <c r="L87" s="796"/>
      <c r="M87" s="796"/>
      <c r="N87" s="795"/>
      <c r="O87" s="795"/>
      <c r="P87" s="795"/>
      <c r="Q87" s="795"/>
      <c r="R87" s="795"/>
      <c r="S87" s="795"/>
      <c r="T87" s="795"/>
      <c r="U87" s="795"/>
      <c r="V87" s="795"/>
      <c r="W87" s="795"/>
      <c r="X87" s="795"/>
      <c r="Y87" s="795"/>
      <c r="Z87" s="796"/>
      <c r="AA87" s="795"/>
      <c r="AB87" s="329" t="str">
        <f>basis!$B$19</f>
        <v/>
      </c>
      <c r="AC87" s="795"/>
      <c r="AD87" s="795"/>
      <c r="AE87" s="795"/>
      <c r="AF87" s="795"/>
      <c r="AG87" s="892"/>
      <c r="AH87" s="225" t="str">
        <f t="shared" si="6"/>
        <v/>
      </c>
      <c r="AI87" s="795"/>
      <c r="AJ87" s="796"/>
      <c r="AK87" s="796"/>
      <c r="AL87" s="795"/>
      <c r="AM87" s="796"/>
      <c r="AN87" s="795"/>
      <c r="AO87" s="795"/>
      <c r="AP87" s="795"/>
      <c r="AQ87" s="218"/>
      <c r="AR87" s="47"/>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row>
    <row r="88" spans="1:138" s="24" customFormat="1" x14ac:dyDescent="0.2">
      <c r="A88" s="219">
        <f t="shared" si="7"/>
        <v>44639</v>
      </c>
      <c r="B88" s="220">
        <f t="shared" si="4"/>
        <v>3</v>
      </c>
      <c r="C88" s="221">
        <f t="shared" si="5"/>
        <v>7</v>
      </c>
      <c r="D88" s="795"/>
      <c r="E88" s="795"/>
      <c r="F88" s="796"/>
      <c r="G88" s="796"/>
      <c r="H88" s="796"/>
      <c r="I88" s="795"/>
      <c r="J88" s="795"/>
      <c r="K88" s="796"/>
      <c r="L88" s="796"/>
      <c r="M88" s="796"/>
      <c r="N88" s="795"/>
      <c r="O88" s="795"/>
      <c r="P88" s="795"/>
      <c r="Q88" s="795"/>
      <c r="R88" s="795"/>
      <c r="S88" s="795"/>
      <c r="T88" s="795"/>
      <c r="U88" s="795"/>
      <c r="V88" s="795"/>
      <c r="W88" s="795"/>
      <c r="X88" s="795"/>
      <c r="Y88" s="795"/>
      <c r="Z88" s="796"/>
      <c r="AA88" s="795"/>
      <c r="AB88" s="329" t="str">
        <f>basis!$B$19</f>
        <v/>
      </c>
      <c r="AC88" s="795"/>
      <c r="AD88" s="795"/>
      <c r="AE88" s="795"/>
      <c r="AF88" s="795"/>
      <c r="AG88" s="892"/>
      <c r="AH88" s="225" t="str">
        <f t="shared" si="6"/>
        <v/>
      </c>
      <c r="AI88" s="795"/>
      <c r="AJ88" s="796"/>
      <c r="AK88" s="796"/>
      <c r="AL88" s="795"/>
      <c r="AM88" s="796"/>
      <c r="AN88" s="795"/>
      <c r="AO88" s="795"/>
      <c r="AP88" s="795"/>
      <c r="AQ88" s="218"/>
      <c r="AR88" s="47"/>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row>
    <row r="89" spans="1:138" s="24" customFormat="1" x14ac:dyDescent="0.2">
      <c r="A89" s="219">
        <f t="shared" si="7"/>
        <v>44640</v>
      </c>
      <c r="B89" s="220">
        <f t="shared" si="4"/>
        <v>3</v>
      </c>
      <c r="C89" s="221">
        <f t="shared" si="5"/>
        <v>1</v>
      </c>
      <c r="D89" s="795"/>
      <c r="E89" s="795"/>
      <c r="F89" s="796"/>
      <c r="G89" s="796"/>
      <c r="H89" s="796"/>
      <c r="I89" s="795"/>
      <c r="J89" s="795"/>
      <c r="K89" s="796"/>
      <c r="L89" s="796"/>
      <c r="M89" s="796"/>
      <c r="N89" s="795"/>
      <c r="O89" s="795"/>
      <c r="P89" s="795"/>
      <c r="Q89" s="795"/>
      <c r="R89" s="795"/>
      <c r="S89" s="795"/>
      <c r="T89" s="795"/>
      <c r="U89" s="795"/>
      <c r="V89" s="795"/>
      <c r="W89" s="795"/>
      <c r="X89" s="795"/>
      <c r="Y89" s="795"/>
      <c r="Z89" s="796"/>
      <c r="AA89" s="795"/>
      <c r="AB89" s="329" t="str">
        <f>basis!$B$19</f>
        <v/>
      </c>
      <c r="AC89" s="795"/>
      <c r="AD89" s="795"/>
      <c r="AE89" s="795"/>
      <c r="AF89" s="795"/>
      <c r="AG89" s="892"/>
      <c r="AH89" s="225" t="str">
        <f t="shared" si="6"/>
        <v/>
      </c>
      <c r="AI89" s="795"/>
      <c r="AJ89" s="796"/>
      <c r="AK89" s="796"/>
      <c r="AL89" s="795"/>
      <c r="AM89" s="796"/>
      <c r="AN89" s="795"/>
      <c r="AO89" s="795"/>
      <c r="AP89" s="795"/>
      <c r="AQ89" s="218"/>
      <c r="AR89" s="47"/>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row>
    <row r="90" spans="1:138" s="24" customFormat="1" x14ac:dyDescent="0.2">
      <c r="A90" s="219">
        <f t="shared" si="7"/>
        <v>44641</v>
      </c>
      <c r="B90" s="220">
        <f t="shared" si="4"/>
        <v>3</v>
      </c>
      <c r="C90" s="221">
        <f t="shared" si="5"/>
        <v>2</v>
      </c>
      <c r="D90" s="795"/>
      <c r="E90" s="795"/>
      <c r="F90" s="796"/>
      <c r="G90" s="796"/>
      <c r="H90" s="796"/>
      <c r="I90" s="795"/>
      <c r="J90" s="795"/>
      <c r="K90" s="796"/>
      <c r="L90" s="796"/>
      <c r="M90" s="796"/>
      <c r="N90" s="795"/>
      <c r="O90" s="795"/>
      <c r="P90" s="795"/>
      <c r="Q90" s="795"/>
      <c r="R90" s="795"/>
      <c r="S90" s="795"/>
      <c r="T90" s="795"/>
      <c r="U90" s="795"/>
      <c r="V90" s="795"/>
      <c r="W90" s="795"/>
      <c r="X90" s="795"/>
      <c r="Y90" s="795"/>
      <c r="Z90" s="796"/>
      <c r="AA90" s="795"/>
      <c r="AB90" s="329" t="str">
        <f>basis!$B$19</f>
        <v/>
      </c>
      <c r="AC90" s="795"/>
      <c r="AD90" s="795"/>
      <c r="AE90" s="795"/>
      <c r="AF90" s="795"/>
      <c r="AG90" s="892"/>
      <c r="AH90" s="225" t="str">
        <f t="shared" si="6"/>
        <v/>
      </c>
      <c r="AI90" s="795"/>
      <c r="AJ90" s="796"/>
      <c r="AK90" s="796"/>
      <c r="AL90" s="795"/>
      <c r="AM90" s="796"/>
      <c r="AN90" s="795"/>
      <c r="AO90" s="795"/>
      <c r="AP90" s="795"/>
      <c r="AQ90" s="218"/>
      <c r="AR90" s="47"/>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row>
    <row r="91" spans="1:138" s="24" customFormat="1" x14ac:dyDescent="0.2">
      <c r="A91" s="219">
        <f t="shared" si="7"/>
        <v>44642</v>
      </c>
      <c r="B91" s="220">
        <f t="shared" si="4"/>
        <v>3</v>
      </c>
      <c r="C91" s="221">
        <f t="shared" si="5"/>
        <v>3</v>
      </c>
      <c r="D91" s="795"/>
      <c r="E91" s="795"/>
      <c r="F91" s="796"/>
      <c r="G91" s="796"/>
      <c r="H91" s="796"/>
      <c r="I91" s="795"/>
      <c r="J91" s="795"/>
      <c r="K91" s="796"/>
      <c r="L91" s="796"/>
      <c r="M91" s="796"/>
      <c r="N91" s="795"/>
      <c r="O91" s="795"/>
      <c r="P91" s="795"/>
      <c r="Q91" s="795"/>
      <c r="R91" s="795"/>
      <c r="S91" s="795"/>
      <c r="T91" s="795"/>
      <c r="U91" s="795"/>
      <c r="V91" s="795"/>
      <c r="W91" s="795"/>
      <c r="X91" s="795"/>
      <c r="Y91" s="795"/>
      <c r="Z91" s="796"/>
      <c r="AA91" s="795"/>
      <c r="AB91" s="329" t="str">
        <f>basis!$B$19</f>
        <v/>
      </c>
      <c r="AC91" s="795"/>
      <c r="AD91" s="795"/>
      <c r="AE91" s="795"/>
      <c r="AF91" s="795"/>
      <c r="AG91" s="892"/>
      <c r="AH91" s="225" t="str">
        <f t="shared" si="6"/>
        <v/>
      </c>
      <c r="AI91" s="795"/>
      <c r="AJ91" s="796"/>
      <c r="AK91" s="796"/>
      <c r="AL91" s="795"/>
      <c r="AM91" s="796"/>
      <c r="AN91" s="795"/>
      <c r="AO91" s="795"/>
      <c r="AP91" s="795"/>
      <c r="AQ91" s="218"/>
      <c r="AR91" s="47"/>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row>
    <row r="92" spans="1:138" s="24" customFormat="1" x14ac:dyDescent="0.2">
      <c r="A92" s="219">
        <f t="shared" si="7"/>
        <v>44643</v>
      </c>
      <c r="B92" s="220">
        <f t="shared" si="4"/>
        <v>3</v>
      </c>
      <c r="C92" s="221">
        <f t="shared" si="5"/>
        <v>4</v>
      </c>
      <c r="D92" s="795"/>
      <c r="E92" s="795"/>
      <c r="F92" s="796"/>
      <c r="G92" s="796"/>
      <c r="H92" s="796"/>
      <c r="I92" s="795"/>
      <c r="J92" s="795"/>
      <c r="K92" s="796"/>
      <c r="L92" s="796"/>
      <c r="M92" s="796"/>
      <c r="N92" s="795"/>
      <c r="O92" s="795"/>
      <c r="P92" s="795"/>
      <c r="Q92" s="795"/>
      <c r="R92" s="795"/>
      <c r="S92" s="795"/>
      <c r="T92" s="795"/>
      <c r="U92" s="795"/>
      <c r="V92" s="795"/>
      <c r="W92" s="795"/>
      <c r="X92" s="795"/>
      <c r="Y92" s="795"/>
      <c r="Z92" s="796"/>
      <c r="AA92" s="795"/>
      <c r="AB92" s="329" t="str">
        <f>basis!$B$19</f>
        <v/>
      </c>
      <c r="AC92" s="795"/>
      <c r="AD92" s="795"/>
      <c r="AE92" s="795"/>
      <c r="AF92" s="795"/>
      <c r="AG92" s="892"/>
      <c r="AH92" s="225" t="str">
        <f t="shared" si="6"/>
        <v/>
      </c>
      <c r="AI92" s="795"/>
      <c r="AJ92" s="796"/>
      <c r="AK92" s="796"/>
      <c r="AL92" s="795"/>
      <c r="AM92" s="796"/>
      <c r="AN92" s="795"/>
      <c r="AO92" s="795"/>
      <c r="AP92" s="795"/>
      <c r="AQ92" s="218"/>
      <c r="AR92" s="47"/>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row>
    <row r="93" spans="1:138" s="24" customFormat="1" x14ac:dyDescent="0.2">
      <c r="A93" s="219">
        <f t="shared" si="7"/>
        <v>44644</v>
      </c>
      <c r="B93" s="220">
        <f t="shared" si="4"/>
        <v>3</v>
      </c>
      <c r="C93" s="221">
        <f t="shared" si="5"/>
        <v>5</v>
      </c>
      <c r="D93" s="795"/>
      <c r="E93" s="795"/>
      <c r="F93" s="796"/>
      <c r="G93" s="796"/>
      <c r="H93" s="796"/>
      <c r="I93" s="795"/>
      <c r="J93" s="795"/>
      <c r="K93" s="796"/>
      <c r="L93" s="796"/>
      <c r="M93" s="796"/>
      <c r="N93" s="795"/>
      <c r="O93" s="795"/>
      <c r="P93" s="795"/>
      <c r="Q93" s="795"/>
      <c r="R93" s="795"/>
      <c r="S93" s="795"/>
      <c r="T93" s="795"/>
      <c r="U93" s="795"/>
      <c r="V93" s="795"/>
      <c r="W93" s="795"/>
      <c r="X93" s="795"/>
      <c r="Y93" s="795"/>
      <c r="Z93" s="796"/>
      <c r="AA93" s="795"/>
      <c r="AB93" s="329" t="str">
        <f>basis!$B$19</f>
        <v/>
      </c>
      <c r="AC93" s="795"/>
      <c r="AD93" s="795"/>
      <c r="AE93" s="795"/>
      <c r="AF93" s="795"/>
      <c r="AG93" s="892"/>
      <c r="AH93" s="225" t="str">
        <f t="shared" si="6"/>
        <v/>
      </c>
      <c r="AI93" s="795"/>
      <c r="AJ93" s="796"/>
      <c r="AK93" s="796"/>
      <c r="AL93" s="795"/>
      <c r="AM93" s="796"/>
      <c r="AN93" s="795"/>
      <c r="AO93" s="795"/>
      <c r="AP93" s="795"/>
      <c r="AQ93" s="218"/>
      <c r="AR93" s="47"/>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row>
    <row r="94" spans="1:138" s="24" customFormat="1" x14ac:dyDescent="0.2">
      <c r="A94" s="219">
        <f t="shared" si="7"/>
        <v>44645</v>
      </c>
      <c r="B94" s="220">
        <f t="shared" si="4"/>
        <v>3</v>
      </c>
      <c r="C94" s="221">
        <f t="shared" si="5"/>
        <v>6</v>
      </c>
      <c r="D94" s="795"/>
      <c r="E94" s="795"/>
      <c r="F94" s="796"/>
      <c r="G94" s="796"/>
      <c r="H94" s="796"/>
      <c r="I94" s="795"/>
      <c r="J94" s="795"/>
      <c r="K94" s="796"/>
      <c r="L94" s="796"/>
      <c r="M94" s="796"/>
      <c r="N94" s="795"/>
      <c r="O94" s="795"/>
      <c r="P94" s="795"/>
      <c r="Q94" s="795"/>
      <c r="R94" s="795"/>
      <c r="S94" s="795"/>
      <c r="T94" s="795"/>
      <c r="U94" s="795"/>
      <c r="V94" s="795"/>
      <c r="W94" s="795"/>
      <c r="X94" s="795"/>
      <c r="Y94" s="795"/>
      <c r="Z94" s="796"/>
      <c r="AA94" s="795"/>
      <c r="AB94" s="329" t="str">
        <f>basis!$B$19</f>
        <v/>
      </c>
      <c r="AC94" s="795"/>
      <c r="AD94" s="795"/>
      <c r="AE94" s="795"/>
      <c r="AF94" s="795"/>
      <c r="AG94" s="892"/>
      <c r="AH94" s="225" t="str">
        <f t="shared" si="6"/>
        <v/>
      </c>
      <c r="AI94" s="795"/>
      <c r="AJ94" s="796"/>
      <c r="AK94" s="796"/>
      <c r="AL94" s="795"/>
      <c r="AM94" s="796"/>
      <c r="AN94" s="795"/>
      <c r="AO94" s="795"/>
      <c r="AP94" s="795"/>
      <c r="AQ94" s="218"/>
      <c r="AR94" s="47"/>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row>
    <row r="95" spans="1:138" s="24" customFormat="1" x14ac:dyDescent="0.2">
      <c r="A95" s="219">
        <f t="shared" si="7"/>
        <v>44646</v>
      </c>
      <c r="B95" s="220">
        <f t="shared" si="4"/>
        <v>3</v>
      </c>
      <c r="C95" s="221">
        <f t="shared" si="5"/>
        <v>7</v>
      </c>
      <c r="D95" s="795"/>
      <c r="E95" s="795"/>
      <c r="F95" s="796"/>
      <c r="G95" s="796"/>
      <c r="H95" s="796"/>
      <c r="I95" s="795"/>
      <c r="J95" s="795"/>
      <c r="K95" s="796"/>
      <c r="L95" s="796"/>
      <c r="M95" s="796"/>
      <c r="N95" s="795"/>
      <c r="O95" s="795"/>
      <c r="P95" s="795"/>
      <c r="Q95" s="795"/>
      <c r="R95" s="795"/>
      <c r="S95" s="795"/>
      <c r="T95" s="795"/>
      <c r="U95" s="795"/>
      <c r="V95" s="795"/>
      <c r="W95" s="795"/>
      <c r="X95" s="795"/>
      <c r="Y95" s="795"/>
      <c r="Z95" s="796"/>
      <c r="AA95" s="795"/>
      <c r="AB95" s="329" t="str">
        <f>basis!$B$19</f>
        <v/>
      </c>
      <c r="AC95" s="795"/>
      <c r="AD95" s="795"/>
      <c r="AE95" s="795"/>
      <c r="AF95" s="795"/>
      <c r="AG95" s="892"/>
      <c r="AH95" s="225" t="str">
        <f t="shared" si="6"/>
        <v/>
      </c>
      <c r="AI95" s="795"/>
      <c r="AJ95" s="796"/>
      <c r="AK95" s="796"/>
      <c r="AL95" s="795"/>
      <c r="AM95" s="796"/>
      <c r="AN95" s="795"/>
      <c r="AO95" s="795"/>
      <c r="AP95" s="795"/>
      <c r="AQ95" s="218"/>
      <c r="AR95" s="47"/>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row>
    <row r="96" spans="1:138" s="24" customFormat="1" x14ac:dyDescent="0.2">
      <c r="A96" s="219">
        <f t="shared" si="7"/>
        <v>44647</v>
      </c>
      <c r="B96" s="220">
        <f t="shared" si="4"/>
        <v>3</v>
      </c>
      <c r="C96" s="221">
        <f t="shared" si="5"/>
        <v>1</v>
      </c>
      <c r="D96" s="795"/>
      <c r="E96" s="795"/>
      <c r="F96" s="796"/>
      <c r="G96" s="796"/>
      <c r="H96" s="796"/>
      <c r="I96" s="795"/>
      <c r="J96" s="795"/>
      <c r="K96" s="796"/>
      <c r="L96" s="796"/>
      <c r="M96" s="796"/>
      <c r="N96" s="795"/>
      <c r="O96" s="795"/>
      <c r="P96" s="795"/>
      <c r="Q96" s="795"/>
      <c r="R96" s="795"/>
      <c r="S96" s="795"/>
      <c r="T96" s="795"/>
      <c r="U96" s="795"/>
      <c r="V96" s="795"/>
      <c r="W96" s="795"/>
      <c r="X96" s="795"/>
      <c r="Y96" s="795"/>
      <c r="Z96" s="796"/>
      <c r="AA96" s="795"/>
      <c r="AB96" s="329" t="str">
        <f>basis!$B$19</f>
        <v/>
      </c>
      <c r="AC96" s="795"/>
      <c r="AD96" s="795"/>
      <c r="AE96" s="795"/>
      <c r="AF96" s="795"/>
      <c r="AG96" s="892"/>
      <c r="AH96" s="225" t="str">
        <f t="shared" si="6"/>
        <v/>
      </c>
      <c r="AI96" s="795"/>
      <c r="AJ96" s="796"/>
      <c r="AK96" s="796"/>
      <c r="AL96" s="795"/>
      <c r="AM96" s="796"/>
      <c r="AN96" s="795"/>
      <c r="AO96" s="795"/>
      <c r="AP96" s="795"/>
      <c r="AQ96" s="218"/>
      <c r="AR96" s="47"/>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row>
    <row r="97" spans="1:138" s="24" customFormat="1" x14ac:dyDescent="0.2">
      <c r="A97" s="219">
        <f t="shared" si="7"/>
        <v>44648</v>
      </c>
      <c r="B97" s="220">
        <f t="shared" si="4"/>
        <v>3</v>
      </c>
      <c r="C97" s="221">
        <f t="shared" si="5"/>
        <v>2</v>
      </c>
      <c r="D97" s="795"/>
      <c r="E97" s="795"/>
      <c r="F97" s="796"/>
      <c r="G97" s="796"/>
      <c r="H97" s="796"/>
      <c r="I97" s="795"/>
      <c r="J97" s="795"/>
      <c r="K97" s="796"/>
      <c r="L97" s="796"/>
      <c r="M97" s="796"/>
      <c r="N97" s="795"/>
      <c r="O97" s="795"/>
      <c r="P97" s="795"/>
      <c r="Q97" s="795"/>
      <c r="R97" s="795"/>
      <c r="S97" s="795"/>
      <c r="T97" s="795"/>
      <c r="U97" s="795"/>
      <c r="V97" s="795"/>
      <c r="W97" s="795"/>
      <c r="X97" s="795"/>
      <c r="Y97" s="795"/>
      <c r="Z97" s="796"/>
      <c r="AA97" s="795"/>
      <c r="AB97" s="329" t="str">
        <f>basis!$B$19</f>
        <v/>
      </c>
      <c r="AC97" s="795"/>
      <c r="AD97" s="795"/>
      <c r="AE97" s="795"/>
      <c r="AF97" s="795"/>
      <c r="AG97" s="892"/>
      <c r="AH97" s="225" t="str">
        <f t="shared" si="6"/>
        <v/>
      </c>
      <c r="AI97" s="795"/>
      <c r="AJ97" s="796"/>
      <c r="AK97" s="796"/>
      <c r="AL97" s="795"/>
      <c r="AM97" s="796"/>
      <c r="AN97" s="795"/>
      <c r="AO97" s="795"/>
      <c r="AP97" s="795"/>
      <c r="AQ97" s="218"/>
      <c r="AR97" s="47"/>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row>
    <row r="98" spans="1:138" s="24" customFormat="1" x14ac:dyDescent="0.2">
      <c r="A98" s="219">
        <f t="shared" si="7"/>
        <v>44649</v>
      </c>
      <c r="B98" s="220">
        <f t="shared" si="4"/>
        <v>3</v>
      </c>
      <c r="C98" s="221">
        <f t="shared" si="5"/>
        <v>3</v>
      </c>
      <c r="D98" s="795"/>
      <c r="E98" s="795"/>
      <c r="F98" s="796"/>
      <c r="G98" s="796"/>
      <c r="H98" s="796"/>
      <c r="I98" s="795"/>
      <c r="J98" s="795"/>
      <c r="K98" s="796"/>
      <c r="L98" s="796"/>
      <c r="M98" s="796"/>
      <c r="N98" s="795"/>
      <c r="O98" s="795"/>
      <c r="P98" s="795"/>
      <c r="Q98" s="795"/>
      <c r="R98" s="795"/>
      <c r="S98" s="795"/>
      <c r="T98" s="795"/>
      <c r="U98" s="795"/>
      <c r="V98" s="795"/>
      <c r="W98" s="795"/>
      <c r="X98" s="795"/>
      <c r="Y98" s="795"/>
      <c r="Z98" s="796"/>
      <c r="AA98" s="795"/>
      <c r="AB98" s="329" t="str">
        <f>basis!$B$19</f>
        <v/>
      </c>
      <c r="AC98" s="795"/>
      <c r="AD98" s="795"/>
      <c r="AE98" s="795"/>
      <c r="AF98" s="795"/>
      <c r="AG98" s="892"/>
      <c r="AH98" s="225" t="str">
        <f t="shared" si="6"/>
        <v/>
      </c>
      <c r="AI98" s="795"/>
      <c r="AJ98" s="796"/>
      <c r="AK98" s="796"/>
      <c r="AL98" s="795"/>
      <c r="AM98" s="796"/>
      <c r="AN98" s="795"/>
      <c r="AO98" s="795"/>
      <c r="AP98" s="795"/>
      <c r="AQ98" s="218"/>
      <c r="AR98" s="47"/>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row>
    <row r="99" spans="1:138" s="24" customFormat="1" x14ac:dyDescent="0.2">
      <c r="A99" s="219">
        <f t="shared" si="7"/>
        <v>44650</v>
      </c>
      <c r="B99" s="220">
        <f t="shared" si="4"/>
        <v>3</v>
      </c>
      <c r="C99" s="221">
        <f t="shared" si="5"/>
        <v>4</v>
      </c>
      <c r="D99" s="795"/>
      <c r="E99" s="795"/>
      <c r="F99" s="796"/>
      <c r="G99" s="796"/>
      <c r="H99" s="796"/>
      <c r="I99" s="795"/>
      <c r="J99" s="795"/>
      <c r="K99" s="796"/>
      <c r="L99" s="796"/>
      <c r="M99" s="796"/>
      <c r="N99" s="795"/>
      <c r="O99" s="795"/>
      <c r="P99" s="795"/>
      <c r="Q99" s="795"/>
      <c r="R99" s="795"/>
      <c r="S99" s="795"/>
      <c r="T99" s="795"/>
      <c r="U99" s="795"/>
      <c r="V99" s="795"/>
      <c r="W99" s="795"/>
      <c r="X99" s="795"/>
      <c r="Y99" s="795"/>
      <c r="Z99" s="796"/>
      <c r="AA99" s="795"/>
      <c r="AB99" s="329" t="str">
        <f>basis!$B$19</f>
        <v/>
      </c>
      <c r="AC99" s="795"/>
      <c r="AD99" s="795"/>
      <c r="AE99" s="795"/>
      <c r="AF99" s="795"/>
      <c r="AG99" s="892"/>
      <c r="AH99" s="225" t="str">
        <f t="shared" si="6"/>
        <v/>
      </c>
      <c r="AI99" s="795"/>
      <c r="AJ99" s="796"/>
      <c r="AK99" s="796"/>
      <c r="AL99" s="795"/>
      <c r="AM99" s="796"/>
      <c r="AN99" s="795"/>
      <c r="AO99" s="795"/>
      <c r="AP99" s="795"/>
      <c r="AQ99" s="218"/>
      <c r="AR99" s="47"/>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row>
    <row r="100" spans="1:138" s="24" customFormat="1" x14ac:dyDescent="0.2">
      <c r="A100" s="219">
        <f t="shared" si="7"/>
        <v>44651</v>
      </c>
      <c r="B100" s="220">
        <f t="shared" si="4"/>
        <v>3</v>
      </c>
      <c r="C100" s="221">
        <f t="shared" si="5"/>
        <v>5</v>
      </c>
      <c r="D100" s="795"/>
      <c r="E100" s="795"/>
      <c r="F100" s="796"/>
      <c r="G100" s="796"/>
      <c r="H100" s="796"/>
      <c r="I100" s="795"/>
      <c r="J100" s="795"/>
      <c r="K100" s="796"/>
      <c r="L100" s="796"/>
      <c r="M100" s="796"/>
      <c r="N100" s="795"/>
      <c r="O100" s="795"/>
      <c r="P100" s="795"/>
      <c r="Q100" s="795"/>
      <c r="R100" s="795"/>
      <c r="S100" s="795"/>
      <c r="T100" s="795"/>
      <c r="U100" s="795"/>
      <c r="V100" s="795"/>
      <c r="W100" s="795"/>
      <c r="X100" s="795"/>
      <c r="Y100" s="795"/>
      <c r="Z100" s="796"/>
      <c r="AA100" s="795"/>
      <c r="AB100" s="329" t="str">
        <f>basis!$B$19</f>
        <v/>
      </c>
      <c r="AC100" s="795"/>
      <c r="AD100" s="795"/>
      <c r="AE100" s="795"/>
      <c r="AF100" s="795"/>
      <c r="AG100" s="892"/>
      <c r="AH100" s="225" t="str">
        <f t="shared" si="6"/>
        <v/>
      </c>
      <c r="AI100" s="795"/>
      <c r="AJ100" s="796"/>
      <c r="AK100" s="796"/>
      <c r="AL100" s="795"/>
      <c r="AM100" s="796"/>
      <c r="AN100" s="795"/>
      <c r="AO100" s="795"/>
      <c r="AP100" s="795"/>
      <c r="AQ100" s="218"/>
      <c r="AR100" s="47"/>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row>
    <row r="101" spans="1:138" s="24" customFormat="1" x14ac:dyDescent="0.2">
      <c r="A101" s="219">
        <f t="shared" si="7"/>
        <v>44652</v>
      </c>
      <c r="B101" s="220">
        <f t="shared" si="4"/>
        <v>4</v>
      </c>
      <c r="C101" s="221">
        <f t="shared" si="5"/>
        <v>6</v>
      </c>
      <c r="D101" s="795"/>
      <c r="E101" s="795"/>
      <c r="F101" s="796"/>
      <c r="G101" s="796"/>
      <c r="H101" s="796"/>
      <c r="I101" s="795"/>
      <c r="J101" s="795"/>
      <c r="K101" s="796"/>
      <c r="L101" s="796"/>
      <c r="M101" s="796"/>
      <c r="N101" s="795"/>
      <c r="O101" s="795"/>
      <c r="P101" s="795"/>
      <c r="Q101" s="795"/>
      <c r="R101" s="795"/>
      <c r="S101" s="795"/>
      <c r="T101" s="795"/>
      <c r="U101" s="795"/>
      <c r="V101" s="795"/>
      <c r="W101" s="795"/>
      <c r="X101" s="795"/>
      <c r="Y101" s="795"/>
      <c r="Z101" s="796"/>
      <c r="AA101" s="795"/>
      <c r="AB101" s="329" t="str">
        <f>basis!$B$19</f>
        <v/>
      </c>
      <c r="AC101" s="795"/>
      <c r="AD101" s="795"/>
      <c r="AE101" s="795"/>
      <c r="AF101" s="795"/>
      <c r="AG101" s="892"/>
      <c r="AH101" s="225" t="str">
        <f t="shared" si="6"/>
        <v/>
      </c>
      <c r="AI101" s="795"/>
      <c r="AJ101" s="796"/>
      <c r="AK101" s="796"/>
      <c r="AL101" s="795"/>
      <c r="AM101" s="796"/>
      <c r="AN101" s="795"/>
      <c r="AO101" s="795"/>
      <c r="AP101" s="795"/>
      <c r="AQ101" s="218"/>
      <c r="AR101" s="47"/>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row>
    <row r="102" spans="1:138" s="24" customFormat="1" x14ac:dyDescent="0.2">
      <c r="A102" s="219">
        <f t="shared" si="7"/>
        <v>44653</v>
      </c>
      <c r="B102" s="220">
        <f t="shared" si="4"/>
        <v>4</v>
      </c>
      <c r="C102" s="221">
        <f t="shared" si="5"/>
        <v>7</v>
      </c>
      <c r="D102" s="795"/>
      <c r="E102" s="795"/>
      <c r="F102" s="796"/>
      <c r="G102" s="796"/>
      <c r="H102" s="796"/>
      <c r="I102" s="795"/>
      <c r="J102" s="795"/>
      <c r="K102" s="796"/>
      <c r="L102" s="796"/>
      <c r="M102" s="796"/>
      <c r="N102" s="795"/>
      <c r="O102" s="795"/>
      <c r="P102" s="795"/>
      <c r="Q102" s="795"/>
      <c r="R102" s="795"/>
      <c r="S102" s="795"/>
      <c r="T102" s="795"/>
      <c r="U102" s="795"/>
      <c r="V102" s="795"/>
      <c r="W102" s="795"/>
      <c r="X102" s="795"/>
      <c r="Y102" s="795"/>
      <c r="Z102" s="796"/>
      <c r="AA102" s="795"/>
      <c r="AB102" s="329" t="str">
        <f>basis!$B$19</f>
        <v/>
      </c>
      <c r="AC102" s="795"/>
      <c r="AD102" s="795"/>
      <c r="AE102" s="795"/>
      <c r="AF102" s="795"/>
      <c r="AG102" s="892"/>
      <c r="AH102" s="225" t="str">
        <f t="shared" si="6"/>
        <v/>
      </c>
      <c r="AI102" s="795"/>
      <c r="AJ102" s="796"/>
      <c r="AK102" s="796"/>
      <c r="AL102" s="795"/>
      <c r="AM102" s="796"/>
      <c r="AN102" s="795"/>
      <c r="AO102" s="795"/>
      <c r="AP102" s="795"/>
      <c r="AQ102" s="218"/>
      <c r="AR102" s="47"/>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row>
    <row r="103" spans="1:138" s="24" customFormat="1" x14ac:dyDescent="0.2">
      <c r="A103" s="219">
        <f t="shared" si="7"/>
        <v>44654</v>
      </c>
      <c r="B103" s="220">
        <f t="shared" si="4"/>
        <v>4</v>
      </c>
      <c r="C103" s="221">
        <f t="shared" si="5"/>
        <v>1</v>
      </c>
      <c r="D103" s="795"/>
      <c r="E103" s="795"/>
      <c r="F103" s="796"/>
      <c r="G103" s="796"/>
      <c r="H103" s="796"/>
      <c r="I103" s="795"/>
      <c r="J103" s="795"/>
      <c r="K103" s="796"/>
      <c r="L103" s="796"/>
      <c r="M103" s="796"/>
      <c r="N103" s="795"/>
      <c r="O103" s="795"/>
      <c r="P103" s="795"/>
      <c r="Q103" s="795"/>
      <c r="R103" s="795"/>
      <c r="S103" s="795"/>
      <c r="T103" s="795"/>
      <c r="U103" s="795"/>
      <c r="V103" s="795"/>
      <c r="W103" s="795"/>
      <c r="X103" s="795"/>
      <c r="Y103" s="795"/>
      <c r="Z103" s="796"/>
      <c r="AA103" s="795"/>
      <c r="AB103" s="329" t="str">
        <f>basis!$B$19</f>
        <v/>
      </c>
      <c r="AC103" s="795"/>
      <c r="AD103" s="795"/>
      <c r="AE103" s="795"/>
      <c r="AF103" s="795"/>
      <c r="AG103" s="892"/>
      <c r="AH103" s="225" t="str">
        <f t="shared" si="6"/>
        <v/>
      </c>
      <c r="AI103" s="795"/>
      <c r="AJ103" s="796"/>
      <c r="AK103" s="796"/>
      <c r="AL103" s="795"/>
      <c r="AM103" s="796"/>
      <c r="AN103" s="795"/>
      <c r="AO103" s="795"/>
      <c r="AP103" s="795"/>
      <c r="AQ103" s="218"/>
      <c r="AR103" s="47"/>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row>
    <row r="104" spans="1:138" s="24" customFormat="1" x14ac:dyDescent="0.2">
      <c r="A104" s="219">
        <f t="shared" si="7"/>
        <v>44655</v>
      </c>
      <c r="B104" s="220">
        <f t="shared" si="4"/>
        <v>4</v>
      </c>
      <c r="C104" s="221">
        <f t="shared" si="5"/>
        <v>2</v>
      </c>
      <c r="D104" s="795"/>
      <c r="E104" s="795"/>
      <c r="F104" s="796"/>
      <c r="G104" s="796"/>
      <c r="H104" s="796"/>
      <c r="I104" s="795"/>
      <c r="J104" s="795"/>
      <c r="K104" s="796"/>
      <c r="L104" s="796"/>
      <c r="M104" s="796"/>
      <c r="N104" s="795"/>
      <c r="O104" s="795"/>
      <c r="P104" s="795"/>
      <c r="Q104" s="795"/>
      <c r="R104" s="795"/>
      <c r="S104" s="795"/>
      <c r="T104" s="795"/>
      <c r="U104" s="795"/>
      <c r="V104" s="795"/>
      <c r="W104" s="795"/>
      <c r="X104" s="795"/>
      <c r="Y104" s="795"/>
      <c r="Z104" s="796"/>
      <c r="AA104" s="795"/>
      <c r="AB104" s="329" t="str">
        <f>basis!$B$19</f>
        <v/>
      </c>
      <c r="AC104" s="795"/>
      <c r="AD104" s="795"/>
      <c r="AE104" s="795"/>
      <c r="AF104" s="795"/>
      <c r="AG104" s="892"/>
      <c r="AH104" s="225" t="str">
        <f t="shared" si="6"/>
        <v/>
      </c>
      <c r="AI104" s="795"/>
      <c r="AJ104" s="796"/>
      <c r="AK104" s="796"/>
      <c r="AL104" s="795"/>
      <c r="AM104" s="796"/>
      <c r="AN104" s="795"/>
      <c r="AO104" s="795"/>
      <c r="AP104" s="795"/>
      <c r="AQ104" s="218"/>
      <c r="AR104" s="47"/>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s="24" customFormat="1" x14ac:dyDescent="0.2">
      <c r="A105" s="219">
        <f t="shared" si="7"/>
        <v>44656</v>
      </c>
      <c r="B105" s="220">
        <f t="shared" si="4"/>
        <v>4</v>
      </c>
      <c r="C105" s="221">
        <f t="shared" si="5"/>
        <v>3</v>
      </c>
      <c r="D105" s="795"/>
      <c r="E105" s="795"/>
      <c r="F105" s="796"/>
      <c r="G105" s="796"/>
      <c r="H105" s="796"/>
      <c r="I105" s="795"/>
      <c r="J105" s="795"/>
      <c r="K105" s="796"/>
      <c r="L105" s="796"/>
      <c r="M105" s="796"/>
      <c r="N105" s="795"/>
      <c r="O105" s="795"/>
      <c r="P105" s="795"/>
      <c r="Q105" s="795"/>
      <c r="R105" s="795"/>
      <c r="S105" s="795"/>
      <c r="T105" s="795"/>
      <c r="U105" s="795"/>
      <c r="V105" s="795"/>
      <c r="W105" s="795"/>
      <c r="X105" s="795"/>
      <c r="Y105" s="795"/>
      <c r="Z105" s="796"/>
      <c r="AA105" s="795"/>
      <c r="AB105" s="329" t="str">
        <f>basis!$B$19</f>
        <v/>
      </c>
      <c r="AC105" s="795"/>
      <c r="AD105" s="795"/>
      <c r="AE105" s="795"/>
      <c r="AF105" s="795"/>
      <c r="AG105" s="892"/>
      <c r="AH105" s="225" t="str">
        <f t="shared" si="6"/>
        <v/>
      </c>
      <c r="AI105" s="795"/>
      <c r="AJ105" s="796"/>
      <c r="AK105" s="796"/>
      <c r="AL105" s="795"/>
      <c r="AM105" s="796"/>
      <c r="AN105" s="795"/>
      <c r="AO105" s="795"/>
      <c r="AP105" s="795"/>
      <c r="AQ105" s="218"/>
      <c r="AR105" s="47"/>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row>
    <row r="106" spans="1:138" s="24" customFormat="1" x14ac:dyDescent="0.2">
      <c r="A106" s="219">
        <f t="shared" si="7"/>
        <v>44657</v>
      </c>
      <c r="B106" s="220">
        <f t="shared" si="4"/>
        <v>4</v>
      </c>
      <c r="C106" s="221">
        <f t="shared" si="5"/>
        <v>4</v>
      </c>
      <c r="D106" s="795"/>
      <c r="E106" s="795"/>
      <c r="F106" s="796"/>
      <c r="G106" s="796"/>
      <c r="H106" s="796"/>
      <c r="I106" s="795"/>
      <c r="J106" s="795"/>
      <c r="K106" s="796"/>
      <c r="L106" s="796"/>
      <c r="M106" s="796"/>
      <c r="N106" s="795"/>
      <c r="O106" s="795"/>
      <c r="P106" s="795"/>
      <c r="Q106" s="795"/>
      <c r="R106" s="795"/>
      <c r="S106" s="795"/>
      <c r="T106" s="795"/>
      <c r="U106" s="795"/>
      <c r="V106" s="795"/>
      <c r="W106" s="795"/>
      <c r="X106" s="795"/>
      <c r="Y106" s="795"/>
      <c r="Z106" s="796"/>
      <c r="AA106" s="795"/>
      <c r="AB106" s="329" t="str">
        <f>basis!$B$19</f>
        <v/>
      </c>
      <c r="AC106" s="795"/>
      <c r="AD106" s="795"/>
      <c r="AE106" s="795"/>
      <c r="AF106" s="795"/>
      <c r="AG106" s="892"/>
      <c r="AH106" s="225" t="str">
        <f t="shared" si="6"/>
        <v/>
      </c>
      <c r="AI106" s="795"/>
      <c r="AJ106" s="796"/>
      <c r="AK106" s="796"/>
      <c r="AL106" s="795"/>
      <c r="AM106" s="796"/>
      <c r="AN106" s="795"/>
      <c r="AO106" s="795"/>
      <c r="AP106" s="795"/>
      <c r="AQ106" s="218"/>
      <c r="AR106" s="47"/>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row>
    <row r="107" spans="1:138" s="24" customFormat="1" x14ac:dyDescent="0.2">
      <c r="A107" s="219">
        <f t="shared" si="7"/>
        <v>44658</v>
      </c>
      <c r="B107" s="220">
        <f t="shared" si="4"/>
        <v>4</v>
      </c>
      <c r="C107" s="221">
        <f t="shared" si="5"/>
        <v>5</v>
      </c>
      <c r="D107" s="795"/>
      <c r="E107" s="795"/>
      <c r="F107" s="796"/>
      <c r="G107" s="796"/>
      <c r="H107" s="796"/>
      <c r="I107" s="795"/>
      <c r="J107" s="795"/>
      <c r="K107" s="796"/>
      <c r="L107" s="796"/>
      <c r="M107" s="796"/>
      <c r="N107" s="795"/>
      <c r="O107" s="795"/>
      <c r="P107" s="795"/>
      <c r="Q107" s="795"/>
      <c r="R107" s="795"/>
      <c r="S107" s="795"/>
      <c r="T107" s="795"/>
      <c r="U107" s="795"/>
      <c r="V107" s="795"/>
      <c r="W107" s="795"/>
      <c r="X107" s="795"/>
      <c r="Y107" s="795"/>
      <c r="Z107" s="796"/>
      <c r="AA107" s="795"/>
      <c r="AB107" s="329" t="str">
        <f>basis!$B$19</f>
        <v/>
      </c>
      <c r="AC107" s="795"/>
      <c r="AD107" s="795"/>
      <c r="AE107" s="795"/>
      <c r="AF107" s="795"/>
      <c r="AG107" s="892"/>
      <c r="AH107" s="225" t="str">
        <f t="shared" si="6"/>
        <v/>
      </c>
      <c r="AI107" s="795"/>
      <c r="AJ107" s="796"/>
      <c r="AK107" s="796"/>
      <c r="AL107" s="795"/>
      <c r="AM107" s="796"/>
      <c r="AN107" s="795"/>
      <c r="AO107" s="795"/>
      <c r="AP107" s="795"/>
      <c r="AQ107" s="218"/>
      <c r="AR107" s="47"/>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row>
    <row r="108" spans="1:138" s="24" customFormat="1" x14ac:dyDescent="0.2">
      <c r="A108" s="219">
        <f t="shared" si="7"/>
        <v>44659</v>
      </c>
      <c r="B108" s="220">
        <f t="shared" si="4"/>
        <v>4</v>
      </c>
      <c r="C108" s="221">
        <f t="shared" si="5"/>
        <v>6</v>
      </c>
      <c r="D108" s="795"/>
      <c r="E108" s="795"/>
      <c r="F108" s="796"/>
      <c r="G108" s="796"/>
      <c r="H108" s="796"/>
      <c r="I108" s="795"/>
      <c r="J108" s="795"/>
      <c r="K108" s="796"/>
      <c r="L108" s="796"/>
      <c r="M108" s="796"/>
      <c r="N108" s="795"/>
      <c r="O108" s="795"/>
      <c r="P108" s="795"/>
      <c r="Q108" s="795"/>
      <c r="R108" s="795"/>
      <c r="S108" s="795"/>
      <c r="T108" s="795"/>
      <c r="U108" s="795"/>
      <c r="V108" s="795"/>
      <c r="W108" s="795"/>
      <c r="X108" s="795"/>
      <c r="Y108" s="795"/>
      <c r="Z108" s="796"/>
      <c r="AA108" s="795"/>
      <c r="AB108" s="329" t="str">
        <f>basis!$B$19</f>
        <v/>
      </c>
      <c r="AC108" s="795"/>
      <c r="AD108" s="795"/>
      <c r="AE108" s="795"/>
      <c r="AF108" s="795"/>
      <c r="AG108" s="892"/>
      <c r="AH108" s="225" t="str">
        <f t="shared" si="6"/>
        <v/>
      </c>
      <c r="AI108" s="795"/>
      <c r="AJ108" s="796"/>
      <c r="AK108" s="796"/>
      <c r="AL108" s="795"/>
      <c r="AM108" s="796"/>
      <c r="AN108" s="795"/>
      <c r="AO108" s="795"/>
      <c r="AP108" s="795"/>
      <c r="AQ108" s="218"/>
      <c r="AR108" s="47"/>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row>
    <row r="109" spans="1:138" s="24" customFormat="1" x14ac:dyDescent="0.2">
      <c r="A109" s="219">
        <f t="shared" si="7"/>
        <v>44660</v>
      </c>
      <c r="B109" s="220">
        <f t="shared" si="4"/>
        <v>4</v>
      </c>
      <c r="C109" s="221">
        <f t="shared" si="5"/>
        <v>7</v>
      </c>
      <c r="D109" s="795"/>
      <c r="E109" s="795"/>
      <c r="F109" s="796"/>
      <c r="G109" s="796"/>
      <c r="H109" s="796"/>
      <c r="I109" s="795"/>
      <c r="J109" s="795"/>
      <c r="K109" s="796"/>
      <c r="L109" s="796"/>
      <c r="M109" s="796"/>
      <c r="N109" s="795"/>
      <c r="O109" s="795"/>
      <c r="P109" s="795"/>
      <c r="Q109" s="795"/>
      <c r="R109" s="795"/>
      <c r="S109" s="795"/>
      <c r="T109" s="795"/>
      <c r="U109" s="795"/>
      <c r="V109" s="795"/>
      <c r="W109" s="795"/>
      <c r="X109" s="795"/>
      <c r="Y109" s="795"/>
      <c r="Z109" s="796"/>
      <c r="AA109" s="795"/>
      <c r="AB109" s="329" t="str">
        <f>basis!$B$19</f>
        <v/>
      </c>
      <c r="AC109" s="795"/>
      <c r="AD109" s="795"/>
      <c r="AE109" s="795"/>
      <c r="AF109" s="795"/>
      <c r="AG109" s="892"/>
      <c r="AH109" s="225" t="str">
        <f t="shared" si="6"/>
        <v/>
      </c>
      <c r="AI109" s="795"/>
      <c r="AJ109" s="796"/>
      <c r="AK109" s="796"/>
      <c r="AL109" s="795"/>
      <c r="AM109" s="796"/>
      <c r="AN109" s="795"/>
      <c r="AO109" s="795"/>
      <c r="AP109" s="795"/>
      <c r="AQ109" s="218"/>
      <c r="AR109" s="47"/>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row>
    <row r="110" spans="1:138" s="24" customFormat="1" x14ac:dyDescent="0.2">
      <c r="A110" s="219">
        <f t="shared" si="7"/>
        <v>44661</v>
      </c>
      <c r="B110" s="220">
        <f t="shared" si="4"/>
        <v>4</v>
      </c>
      <c r="C110" s="221">
        <f t="shared" si="5"/>
        <v>1</v>
      </c>
      <c r="D110" s="795"/>
      <c r="E110" s="795"/>
      <c r="F110" s="796"/>
      <c r="G110" s="796"/>
      <c r="H110" s="796"/>
      <c r="I110" s="795"/>
      <c r="J110" s="795"/>
      <c r="K110" s="796"/>
      <c r="L110" s="796"/>
      <c r="M110" s="796"/>
      <c r="N110" s="795"/>
      <c r="O110" s="795"/>
      <c r="P110" s="795"/>
      <c r="Q110" s="795"/>
      <c r="R110" s="795"/>
      <c r="S110" s="795"/>
      <c r="T110" s="795"/>
      <c r="U110" s="795"/>
      <c r="V110" s="795"/>
      <c r="W110" s="795"/>
      <c r="X110" s="795"/>
      <c r="Y110" s="795"/>
      <c r="Z110" s="796"/>
      <c r="AA110" s="795"/>
      <c r="AB110" s="329" t="str">
        <f>basis!$B$19</f>
        <v/>
      </c>
      <c r="AC110" s="795"/>
      <c r="AD110" s="795"/>
      <c r="AE110" s="795"/>
      <c r="AF110" s="795"/>
      <c r="AG110" s="892"/>
      <c r="AH110" s="225" t="str">
        <f t="shared" si="6"/>
        <v/>
      </c>
      <c r="AI110" s="795"/>
      <c r="AJ110" s="796"/>
      <c r="AK110" s="796"/>
      <c r="AL110" s="795"/>
      <c r="AM110" s="796"/>
      <c r="AN110" s="795"/>
      <c r="AO110" s="795"/>
      <c r="AP110" s="795"/>
      <c r="AQ110" s="218"/>
      <c r="AR110" s="47"/>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row>
    <row r="111" spans="1:138" s="24" customFormat="1" x14ac:dyDescent="0.2">
      <c r="A111" s="219">
        <f t="shared" si="7"/>
        <v>44662</v>
      </c>
      <c r="B111" s="220">
        <f t="shared" si="4"/>
        <v>4</v>
      </c>
      <c r="C111" s="221">
        <f t="shared" si="5"/>
        <v>2</v>
      </c>
      <c r="D111" s="795"/>
      <c r="E111" s="795"/>
      <c r="F111" s="796"/>
      <c r="G111" s="796"/>
      <c r="H111" s="796"/>
      <c r="I111" s="795"/>
      <c r="J111" s="795"/>
      <c r="K111" s="796"/>
      <c r="L111" s="796"/>
      <c r="M111" s="796"/>
      <c r="N111" s="795"/>
      <c r="O111" s="795"/>
      <c r="P111" s="795"/>
      <c r="Q111" s="795"/>
      <c r="R111" s="795"/>
      <c r="S111" s="795"/>
      <c r="T111" s="795"/>
      <c r="U111" s="795"/>
      <c r="V111" s="795"/>
      <c r="W111" s="795"/>
      <c r="X111" s="795"/>
      <c r="Y111" s="795"/>
      <c r="Z111" s="796"/>
      <c r="AA111" s="795"/>
      <c r="AB111" s="329" t="str">
        <f>basis!$B$19</f>
        <v/>
      </c>
      <c r="AC111" s="795"/>
      <c r="AD111" s="795"/>
      <c r="AE111" s="795"/>
      <c r="AF111" s="795"/>
      <c r="AG111" s="892"/>
      <c r="AH111" s="225" t="str">
        <f t="shared" si="6"/>
        <v/>
      </c>
      <c r="AI111" s="795"/>
      <c r="AJ111" s="796"/>
      <c r="AK111" s="796"/>
      <c r="AL111" s="795"/>
      <c r="AM111" s="796"/>
      <c r="AN111" s="795"/>
      <c r="AO111" s="795"/>
      <c r="AP111" s="795"/>
      <c r="AQ111" s="218"/>
      <c r="AR111" s="47"/>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row>
    <row r="112" spans="1:138" s="24" customFormat="1" x14ac:dyDescent="0.2">
      <c r="A112" s="219">
        <f t="shared" si="7"/>
        <v>44663</v>
      </c>
      <c r="B112" s="220">
        <f t="shared" si="4"/>
        <v>4</v>
      </c>
      <c r="C112" s="221">
        <f t="shared" si="5"/>
        <v>3</v>
      </c>
      <c r="D112" s="795"/>
      <c r="E112" s="795"/>
      <c r="F112" s="796"/>
      <c r="G112" s="796"/>
      <c r="H112" s="796"/>
      <c r="I112" s="795"/>
      <c r="J112" s="795"/>
      <c r="K112" s="796"/>
      <c r="L112" s="796"/>
      <c r="M112" s="796"/>
      <c r="N112" s="795"/>
      <c r="O112" s="795"/>
      <c r="P112" s="795"/>
      <c r="Q112" s="795"/>
      <c r="R112" s="795"/>
      <c r="S112" s="795"/>
      <c r="T112" s="795"/>
      <c r="U112" s="795"/>
      <c r="V112" s="795"/>
      <c r="W112" s="795"/>
      <c r="X112" s="795"/>
      <c r="Y112" s="795"/>
      <c r="Z112" s="796"/>
      <c r="AA112" s="795"/>
      <c r="AB112" s="329" t="str">
        <f>basis!$B$19</f>
        <v/>
      </c>
      <c r="AC112" s="795"/>
      <c r="AD112" s="795"/>
      <c r="AE112" s="795"/>
      <c r="AF112" s="795"/>
      <c r="AG112" s="892"/>
      <c r="AH112" s="225" t="str">
        <f t="shared" si="6"/>
        <v/>
      </c>
      <c r="AI112" s="795"/>
      <c r="AJ112" s="796"/>
      <c r="AK112" s="796"/>
      <c r="AL112" s="795"/>
      <c r="AM112" s="796"/>
      <c r="AN112" s="795"/>
      <c r="AO112" s="795"/>
      <c r="AP112" s="795"/>
      <c r="AQ112" s="218"/>
      <c r="AR112" s="47"/>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row>
    <row r="113" spans="1:138" s="24" customFormat="1" x14ac:dyDescent="0.2">
      <c r="A113" s="219">
        <f t="shared" si="7"/>
        <v>44664</v>
      </c>
      <c r="B113" s="220">
        <f t="shared" si="4"/>
        <v>4</v>
      </c>
      <c r="C113" s="221">
        <f t="shared" si="5"/>
        <v>4</v>
      </c>
      <c r="D113" s="795"/>
      <c r="E113" s="795"/>
      <c r="F113" s="796"/>
      <c r="G113" s="796"/>
      <c r="H113" s="796"/>
      <c r="I113" s="795"/>
      <c r="J113" s="795"/>
      <c r="K113" s="796"/>
      <c r="L113" s="796"/>
      <c r="M113" s="796"/>
      <c r="N113" s="795"/>
      <c r="O113" s="795"/>
      <c r="P113" s="795"/>
      <c r="Q113" s="795"/>
      <c r="R113" s="795"/>
      <c r="S113" s="795"/>
      <c r="T113" s="795"/>
      <c r="U113" s="795"/>
      <c r="V113" s="795"/>
      <c r="W113" s="795"/>
      <c r="X113" s="795"/>
      <c r="Y113" s="795"/>
      <c r="Z113" s="796"/>
      <c r="AA113" s="795"/>
      <c r="AB113" s="329" t="str">
        <f>basis!$B$19</f>
        <v/>
      </c>
      <c r="AC113" s="795"/>
      <c r="AD113" s="795"/>
      <c r="AE113" s="795"/>
      <c r="AF113" s="795"/>
      <c r="AG113" s="892"/>
      <c r="AH113" s="225" t="str">
        <f t="shared" si="6"/>
        <v/>
      </c>
      <c r="AI113" s="795"/>
      <c r="AJ113" s="796"/>
      <c r="AK113" s="796"/>
      <c r="AL113" s="795"/>
      <c r="AM113" s="796"/>
      <c r="AN113" s="795"/>
      <c r="AO113" s="795"/>
      <c r="AP113" s="795"/>
      <c r="AQ113" s="218"/>
      <c r="AR113" s="47"/>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row>
    <row r="114" spans="1:138" s="24" customFormat="1" x14ac:dyDescent="0.2">
      <c r="A114" s="219">
        <f t="shared" si="7"/>
        <v>44665</v>
      </c>
      <c r="B114" s="220">
        <f t="shared" si="4"/>
        <v>4</v>
      </c>
      <c r="C114" s="221">
        <f t="shared" si="5"/>
        <v>5</v>
      </c>
      <c r="D114" s="795"/>
      <c r="E114" s="795"/>
      <c r="F114" s="796"/>
      <c r="G114" s="796"/>
      <c r="H114" s="796"/>
      <c r="I114" s="795"/>
      <c r="J114" s="795"/>
      <c r="K114" s="796"/>
      <c r="L114" s="796"/>
      <c r="M114" s="796"/>
      <c r="N114" s="795"/>
      <c r="O114" s="795"/>
      <c r="P114" s="795"/>
      <c r="Q114" s="795"/>
      <c r="R114" s="795"/>
      <c r="S114" s="795"/>
      <c r="T114" s="795"/>
      <c r="U114" s="795"/>
      <c r="V114" s="795"/>
      <c r="W114" s="795"/>
      <c r="X114" s="795"/>
      <c r="Y114" s="795"/>
      <c r="Z114" s="796"/>
      <c r="AA114" s="795"/>
      <c r="AB114" s="329" t="str">
        <f>basis!$B$19</f>
        <v/>
      </c>
      <c r="AC114" s="795"/>
      <c r="AD114" s="795"/>
      <c r="AE114" s="795"/>
      <c r="AF114" s="795"/>
      <c r="AG114" s="892"/>
      <c r="AH114" s="225" t="str">
        <f t="shared" si="6"/>
        <v/>
      </c>
      <c r="AI114" s="795"/>
      <c r="AJ114" s="796"/>
      <c r="AK114" s="796"/>
      <c r="AL114" s="795"/>
      <c r="AM114" s="796"/>
      <c r="AN114" s="795"/>
      <c r="AO114" s="795"/>
      <c r="AP114" s="795"/>
      <c r="AQ114" s="218"/>
      <c r="AR114" s="47"/>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row>
    <row r="115" spans="1:138" s="24" customFormat="1" x14ac:dyDescent="0.2">
      <c r="A115" s="219">
        <f t="shared" si="7"/>
        <v>44666</v>
      </c>
      <c r="B115" s="220">
        <f t="shared" si="4"/>
        <v>4</v>
      </c>
      <c r="C115" s="221">
        <f t="shared" si="5"/>
        <v>6</v>
      </c>
      <c r="D115" s="795"/>
      <c r="E115" s="795"/>
      <c r="F115" s="796"/>
      <c r="G115" s="796"/>
      <c r="H115" s="796"/>
      <c r="I115" s="795"/>
      <c r="J115" s="795"/>
      <c r="K115" s="796"/>
      <c r="L115" s="796"/>
      <c r="M115" s="796"/>
      <c r="N115" s="795"/>
      <c r="O115" s="795"/>
      <c r="P115" s="795"/>
      <c r="Q115" s="795"/>
      <c r="R115" s="795"/>
      <c r="S115" s="795"/>
      <c r="T115" s="795"/>
      <c r="U115" s="795"/>
      <c r="V115" s="795"/>
      <c r="W115" s="795"/>
      <c r="X115" s="795"/>
      <c r="Y115" s="795"/>
      <c r="Z115" s="796"/>
      <c r="AA115" s="795"/>
      <c r="AB115" s="329" t="str">
        <f>basis!$B$19</f>
        <v/>
      </c>
      <c r="AC115" s="795"/>
      <c r="AD115" s="795"/>
      <c r="AE115" s="795"/>
      <c r="AF115" s="795"/>
      <c r="AG115" s="892"/>
      <c r="AH115" s="225" t="str">
        <f t="shared" si="6"/>
        <v/>
      </c>
      <c r="AI115" s="795"/>
      <c r="AJ115" s="796"/>
      <c r="AK115" s="796"/>
      <c r="AL115" s="795"/>
      <c r="AM115" s="796"/>
      <c r="AN115" s="795"/>
      <c r="AO115" s="795"/>
      <c r="AP115" s="795"/>
      <c r="AQ115" s="218"/>
      <c r="AR115" s="47"/>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row>
    <row r="116" spans="1:138" s="24" customFormat="1" x14ac:dyDescent="0.2">
      <c r="A116" s="219">
        <f t="shared" si="7"/>
        <v>44667</v>
      </c>
      <c r="B116" s="220">
        <f t="shared" si="4"/>
        <v>4</v>
      </c>
      <c r="C116" s="221">
        <f t="shared" si="5"/>
        <v>7</v>
      </c>
      <c r="D116" s="795"/>
      <c r="E116" s="795"/>
      <c r="F116" s="796"/>
      <c r="G116" s="796"/>
      <c r="H116" s="796"/>
      <c r="I116" s="795"/>
      <c r="J116" s="795"/>
      <c r="K116" s="796"/>
      <c r="L116" s="796"/>
      <c r="M116" s="796"/>
      <c r="N116" s="795"/>
      <c r="O116" s="795"/>
      <c r="P116" s="795"/>
      <c r="Q116" s="795"/>
      <c r="R116" s="795"/>
      <c r="S116" s="795"/>
      <c r="T116" s="795"/>
      <c r="U116" s="795"/>
      <c r="V116" s="795"/>
      <c r="W116" s="795"/>
      <c r="X116" s="795"/>
      <c r="Y116" s="795"/>
      <c r="Z116" s="796"/>
      <c r="AA116" s="795"/>
      <c r="AB116" s="329" t="str">
        <f>basis!$B$19</f>
        <v/>
      </c>
      <c r="AC116" s="795"/>
      <c r="AD116" s="795"/>
      <c r="AE116" s="795"/>
      <c r="AF116" s="795"/>
      <c r="AG116" s="892"/>
      <c r="AH116" s="225" t="str">
        <f t="shared" si="6"/>
        <v/>
      </c>
      <c r="AI116" s="795"/>
      <c r="AJ116" s="796"/>
      <c r="AK116" s="796"/>
      <c r="AL116" s="795"/>
      <c r="AM116" s="796"/>
      <c r="AN116" s="795"/>
      <c r="AO116" s="795"/>
      <c r="AP116" s="795"/>
      <c r="AQ116" s="218"/>
      <c r="AR116" s="47"/>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row>
    <row r="117" spans="1:138" s="24" customFormat="1" x14ac:dyDescent="0.2">
      <c r="A117" s="219">
        <f t="shared" si="7"/>
        <v>44668</v>
      </c>
      <c r="B117" s="220">
        <f t="shared" si="4"/>
        <v>4</v>
      </c>
      <c r="C117" s="221">
        <f t="shared" si="5"/>
        <v>1</v>
      </c>
      <c r="D117" s="795"/>
      <c r="E117" s="795"/>
      <c r="F117" s="796"/>
      <c r="G117" s="796"/>
      <c r="H117" s="796"/>
      <c r="I117" s="795"/>
      <c r="J117" s="795"/>
      <c r="K117" s="796"/>
      <c r="L117" s="796"/>
      <c r="M117" s="796"/>
      <c r="N117" s="795"/>
      <c r="O117" s="795"/>
      <c r="P117" s="795"/>
      <c r="Q117" s="795"/>
      <c r="R117" s="795"/>
      <c r="S117" s="795"/>
      <c r="T117" s="795"/>
      <c r="U117" s="795"/>
      <c r="V117" s="795"/>
      <c r="W117" s="795"/>
      <c r="X117" s="795"/>
      <c r="Y117" s="795"/>
      <c r="Z117" s="796"/>
      <c r="AA117" s="795"/>
      <c r="AB117" s="329" t="str">
        <f>basis!$B$19</f>
        <v/>
      </c>
      <c r="AC117" s="795"/>
      <c r="AD117" s="795"/>
      <c r="AE117" s="795"/>
      <c r="AF117" s="795"/>
      <c r="AG117" s="892"/>
      <c r="AH117" s="225" t="str">
        <f t="shared" si="6"/>
        <v/>
      </c>
      <c r="AI117" s="795"/>
      <c r="AJ117" s="796"/>
      <c r="AK117" s="796"/>
      <c r="AL117" s="795"/>
      <c r="AM117" s="796"/>
      <c r="AN117" s="795"/>
      <c r="AO117" s="795"/>
      <c r="AP117" s="795"/>
      <c r="AQ117" s="218"/>
      <c r="AR117" s="47"/>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row>
    <row r="118" spans="1:138" s="24" customFormat="1" x14ac:dyDescent="0.2">
      <c r="A118" s="219">
        <f t="shared" si="7"/>
        <v>44669</v>
      </c>
      <c r="B118" s="220">
        <f t="shared" si="4"/>
        <v>4</v>
      </c>
      <c r="C118" s="221">
        <f t="shared" si="5"/>
        <v>2</v>
      </c>
      <c r="D118" s="795"/>
      <c r="E118" s="795"/>
      <c r="F118" s="796"/>
      <c r="G118" s="796"/>
      <c r="H118" s="796"/>
      <c r="I118" s="795"/>
      <c r="J118" s="795"/>
      <c r="K118" s="796"/>
      <c r="L118" s="796"/>
      <c r="M118" s="796"/>
      <c r="N118" s="795"/>
      <c r="O118" s="795"/>
      <c r="P118" s="795"/>
      <c r="Q118" s="795"/>
      <c r="R118" s="795"/>
      <c r="S118" s="795"/>
      <c r="T118" s="795"/>
      <c r="U118" s="795"/>
      <c r="V118" s="795"/>
      <c r="W118" s="795"/>
      <c r="X118" s="795"/>
      <c r="Y118" s="795"/>
      <c r="Z118" s="796"/>
      <c r="AA118" s="795"/>
      <c r="AB118" s="329" t="str">
        <f>basis!$B$19</f>
        <v/>
      </c>
      <c r="AC118" s="795"/>
      <c r="AD118" s="795"/>
      <c r="AE118" s="795"/>
      <c r="AF118" s="795"/>
      <c r="AG118" s="892"/>
      <c r="AH118" s="225" t="str">
        <f t="shared" si="6"/>
        <v/>
      </c>
      <c r="AI118" s="795"/>
      <c r="AJ118" s="796"/>
      <c r="AK118" s="796"/>
      <c r="AL118" s="795"/>
      <c r="AM118" s="796"/>
      <c r="AN118" s="795"/>
      <c r="AO118" s="795"/>
      <c r="AP118" s="795"/>
      <c r="AQ118" s="218"/>
      <c r="AR118" s="47"/>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row>
    <row r="119" spans="1:138" s="24" customFormat="1" x14ac:dyDescent="0.2">
      <c r="A119" s="219">
        <f t="shared" si="7"/>
        <v>44670</v>
      </c>
      <c r="B119" s="220">
        <f t="shared" si="4"/>
        <v>4</v>
      </c>
      <c r="C119" s="221">
        <f t="shared" si="5"/>
        <v>3</v>
      </c>
      <c r="D119" s="795"/>
      <c r="E119" s="795"/>
      <c r="F119" s="796"/>
      <c r="G119" s="796"/>
      <c r="H119" s="796"/>
      <c r="I119" s="795"/>
      <c r="J119" s="795"/>
      <c r="K119" s="796"/>
      <c r="L119" s="796"/>
      <c r="M119" s="796"/>
      <c r="N119" s="795"/>
      <c r="O119" s="795"/>
      <c r="P119" s="795"/>
      <c r="Q119" s="795"/>
      <c r="R119" s="795"/>
      <c r="S119" s="795"/>
      <c r="T119" s="795"/>
      <c r="U119" s="795"/>
      <c r="V119" s="795"/>
      <c r="W119" s="795"/>
      <c r="X119" s="795"/>
      <c r="Y119" s="795"/>
      <c r="Z119" s="796"/>
      <c r="AA119" s="795"/>
      <c r="AB119" s="329" t="str">
        <f>basis!$B$19</f>
        <v/>
      </c>
      <c r="AC119" s="795"/>
      <c r="AD119" s="795"/>
      <c r="AE119" s="795"/>
      <c r="AF119" s="795"/>
      <c r="AG119" s="892"/>
      <c r="AH119" s="225" t="str">
        <f t="shared" si="6"/>
        <v/>
      </c>
      <c r="AI119" s="795"/>
      <c r="AJ119" s="796"/>
      <c r="AK119" s="796"/>
      <c r="AL119" s="795"/>
      <c r="AM119" s="796"/>
      <c r="AN119" s="795"/>
      <c r="AO119" s="795"/>
      <c r="AP119" s="795"/>
      <c r="AQ119" s="218"/>
      <c r="AR119" s="47"/>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row>
    <row r="120" spans="1:138" s="24" customFormat="1" x14ac:dyDescent="0.2">
      <c r="A120" s="219">
        <f t="shared" si="7"/>
        <v>44671</v>
      </c>
      <c r="B120" s="220">
        <f t="shared" si="4"/>
        <v>4</v>
      </c>
      <c r="C120" s="221">
        <f t="shared" si="5"/>
        <v>4</v>
      </c>
      <c r="D120" s="795"/>
      <c r="E120" s="795"/>
      <c r="F120" s="796"/>
      <c r="G120" s="796"/>
      <c r="H120" s="796"/>
      <c r="I120" s="795"/>
      <c r="J120" s="795"/>
      <c r="K120" s="796"/>
      <c r="L120" s="796"/>
      <c r="M120" s="796"/>
      <c r="N120" s="795"/>
      <c r="O120" s="795"/>
      <c r="P120" s="795"/>
      <c r="Q120" s="795"/>
      <c r="R120" s="795"/>
      <c r="S120" s="795"/>
      <c r="T120" s="795"/>
      <c r="U120" s="795"/>
      <c r="V120" s="795"/>
      <c r="W120" s="795"/>
      <c r="X120" s="795"/>
      <c r="Y120" s="795"/>
      <c r="Z120" s="796"/>
      <c r="AA120" s="795"/>
      <c r="AB120" s="329" t="str">
        <f>basis!$B$19</f>
        <v/>
      </c>
      <c r="AC120" s="795"/>
      <c r="AD120" s="795"/>
      <c r="AE120" s="795"/>
      <c r="AF120" s="795"/>
      <c r="AG120" s="892"/>
      <c r="AH120" s="225" t="str">
        <f t="shared" si="6"/>
        <v/>
      </c>
      <c r="AI120" s="795"/>
      <c r="AJ120" s="796"/>
      <c r="AK120" s="796"/>
      <c r="AL120" s="795"/>
      <c r="AM120" s="796"/>
      <c r="AN120" s="795"/>
      <c r="AO120" s="795"/>
      <c r="AP120" s="795"/>
      <c r="AQ120" s="218"/>
      <c r="AR120" s="47"/>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row>
    <row r="121" spans="1:138" s="24" customFormat="1" x14ac:dyDescent="0.2">
      <c r="A121" s="219">
        <f t="shared" si="7"/>
        <v>44672</v>
      </c>
      <c r="B121" s="220">
        <f t="shared" si="4"/>
        <v>4</v>
      </c>
      <c r="C121" s="221">
        <f t="shared" si="5"/>
        <v>5</v>
      </c>
      <c r="D121" s="795"/>
      <c r="E121" s="795"/>
      <c r="F121" s="796"/>
      <c r="G121" s="796"/>
      <c r="H121" s="796"/>
      <c r="I121" s="795"/>
      <c r="J121" s="795"/>
      <c r="K121" s="796"/>
      <c r="L121" s="796"/>
      <c r="M121" s="796"/>
      <c r="N121" s="795"/>
      <c r="O121" s="795"/>
      <c r="P121" s="795"/>
      <c r="Q121" s="795"/>
      <c r="R121" s="795"/>
      <c r="S121" s="795"/>
      <c r="T121" s="795"/>
      <c r="U121" s="795"/>
      <c r="V121" s="795"/>
      <c r="W121" s="795"/>
      <c r="X121" s="795"/>
      <c r="Y121" s="795"/>
      <c r="Z121" s="796"/>
      <c r="AA121" s="795"/>
      <c r="AB121" s="329" t="str">
        <f>basis!$B$19</f>
        <v/>
      </c>
      <c r="AC121" s="795"/>
      <c r="AD121" s="795"/>
      <c r="AE121" s="795"/>
      <c r="AF121" s="795"/>
      <c r="AG121" s="892"/>
      <c r="AH121" s="225" t="str">
        <f t="shared" si="6"/>
        <v/>
      </c>
      <c r="AI121" s="795"/>
      <c r="AJ121" s="796"/>
      <c r="AK121" s="796"/>
      <c r="AL121" s="795"/>
      <c r="AM121" s="796"/>
      <c r="AN121" s="795"/>
      <c r="AO121" s="795"/>
      <c r="AP121" s="795"/>
      <c r="AQ121" s="218"/>
      <c r="AR121" s="47"/>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row>
    <row r="122" spans="1:138" s="24" customFormat="1" x14ac:dyDescent="0.2">
      <c r="A122" s="219">
        <f t="shared" si="7"/>
        <v>44673</v>
      </c>
      <c r="B122" s="220">
        <f t="shared" si="4"/>
        <v>4</v>
      </c>
      <c r="C122" s="221">
        <f t="shared" si="5"/>
        <v>6</v>
      </c>
      <c r="D122" s="795"/>
      <c r="E122" s="795"/>
      <c r="F122" s="796"/>
      <c r="G122" s="796"/>
      <c r="H122" s="796"/>
      <c r="I122" s="795"/>
      <c r="J122" s="795"/>
      <c r="K122" s="796"/>
      <c r="L122" s="796"/>
      <c r="M122" s="796"/>
      <c r="N122" s="795"/>
      <c r="O122" s="795"/>
      <c r="P122" s="795"/>
      <c r="Q122" s="795"/>
      <c r="R122" s="795"/>
      <c r="S122" s="795"/>
      <c r="T122" s="795"/>
      <c r="U122" s="795"/>
      <c r="V122" s="795"/>
      <c r="W122" s="795"/>
      <c r="X122" s="795"/>
      <c r="Y122" s="795"/>
      <c r="Z122" s="796"/>
      <c r="AA122" s="795"/>
      <c r="AB122" s="329" t="str">
        <f>basis!$B$19</f>
        <v/>
      </c>
      <c r="AC122" s="795"/>
      <c r="AD122" s="795"/>
      <c r="AE122" s="795"/>
      <c r="AF122" s="795"/>
      <c r="AG122" s="892"/>
      <c r="AH122" s="225" t="str">
        <f t="shared" si="6"/>
        <v/>
      </c>
      <c r="AI122" s="795"/>
      <c r="AJ122" s="796"/>
      <c r="AK122" s="796"/>
      <c r="AL122" s="795"/>
      <c r="AM122" s="796"/>
      <c r="AN122" s="795"/>
      <c r="AO122" s="795"/>
      <c r="AP122" s="795"/>
      <c r="AQ122" s="218"/>
      <c r="AR122" s="47"/>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row>
    <row r="123" spans="1:138" s="24" customFormat="1" x14ac:dyDescent="0.2">
      <c r="A123" s="219">
        <f t="shared" si="7"/>
        <v>44674</v>
      </c>
      <c r="B123" s="220">
        <f t="shared" si="4"/>
        <v>4</v>
      </c>
      <c r="C123" s="221">
        <f t="shared" si="5"/>
        <v>7</v>
      </c>
      <c r="D123" s="795"/>
      <c r="E123" s="795"/>
      <c r="F123" s="796"/>
      <c r="G123" s="796"/>
      <c r="H123" s="796"/>
      <c r="I123" s="795"/>
      <c r="J123" s="795"/>
      <c r="K123" s="796"/>
      <c r="L123" s="796"/>
      <c r="M123" s="796"/>
      <c r="N123" s="795"/>
      <c r="O123" s="795"/>
      <c r="P123" s="795"/>
      <c r="Q123" s="795"/>
      <c r="R123" s="795"/>
      <c r="S123" s="795"/>
      <c r="T123" s="795"/>
      <c r="U123" s="795"/>
      <c r="V123" s="795"/>
      <c r="W123" s="795"/>
      <c r="X123" s="795"/>
      <c r="Y123" s="795"/>
      <c r="Z123" s="796"/>
      <c r="AA123" s="795"/>
      <c r="AB123" s="329" t="str">
        <f>basis!$B$19</f>
        <v/>
      </c>
      <c r="AC123" s="795"/>
      <c r="AD123" s="795"/>
      <c r="AE123" s="795"/>
      <c r="AF123" s="795"/>
      <c r="AG123" s="892"/>
      <c r="AH123" s="225" t="str">
        <f t="shared" si="6"/>
        <v/>
      </c>
      <c r="AI123" s="795"/>
      <c r="AJ123" s="796"/>
      <c r="AK123" s="796"/>
      <c r="AL123" s="795"/>
      <c r="AM123" s="796"/>
      <c r="AN123" s="795"/>
      <c r="AO123" s="795"/>
      <c r="AP123" s="795"/>
      <c r="AQ123" s="218"/>
      <c r="AR123" s="47"/>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row>
    <row r="124" spans="1:138" s="24" customFormat="1" x14ac:dyDescent="0.2">
      <c r="A124" s="219">
        <f t="shared" si="7"/>
        <v>44675</v>
      </c>
      <c r="B124" s="220">
        <f t="shared" si="4"/>
        <v>4</v>
      </c>
      <c r="C124" s="221">
        <f t="shared" si="5"/>
        <v>1</v>
      </c>
      <c r="D124" s="795"/>
      <c r="E124" s="795"/>
      <c r="F124" s="796"/>
      <c r="G124" s="796"/>
      <c r="H124" s="796"/>
      <c r="I124" s="795"/>
      <c r="J124" s="795"/>
      <c r="K124" s="796"/>
      <c r="L124" s="796"/>
      <c r="M124" s="796"/>
      <c r="N124" s="795"/>
      <c r="O124" s="795"/>
      <c r="P124" s="795"/>
      <c r="Q124" s="795"/>
      <c r="R124" s="795"/>
      <c r="S124" s="795"/>
      <c r="T124" s="795"/>
      <c r="U124" s="795"/>
      <c r="V124" s="795"/>
      <c r="W124" s="795"/>
      <c r="X124" s="795"/>
      <c r="Y124" s="795"/>
      <c r="Z124" s="796"/>
      <c r="AA124" s="795"/>
      <c r="AB124" s="329" t="str">
        <f>basis!$B$19</f>
        <v/>
      </c>
      <c r="AC124" s="795"/>
      <c r="AD124" s="795"/>
      <c r="AE124" s="795"/>
      <c r="AF124" s="795"/>
      <c r="AG124" s="892"/>
      <c r="AH124" s="225" t="str">
        <f t="shared" si="6"/>
        <v/>
      </c>
      <c r="AI124" s="795"/>
      <c r="AJ124" s="796"/>
      <c r="AK124" s="796"/>
      <c r="AL124" s="795"/>
      <c r="AM124" s="796"/>
      <c r="AN124" s="795"/>
      <c r="AO124" s="795"/>
      <c r="AP124" s="795"/>
      <c r="AQ124" s="218"/>
      <c r="AR124" s="47"/>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row>
    <row r="125" spans="1:138" s="24" customFormat="1" x14ac:dyDescent="0.2">
      <c r="A125" s="219">
        <f t="shared" si="7"/>
        <v>44676</v>
      </c>
      <c r="B125" s="220">
        <f t="shared" si="4"/>
        <v>4</v>
      </c>
      <c r="C125" s="221">
        <f t="shared" si="5"/>
        <v>2</v>
      </c>
      <c r="D125" s="795"/>
      <c r="E125" s="795"/>
      <c r="F125" s="796"/>
      <c r="G125" s="796"/>
      <c r="H125" s="796"/>
      <c r="I125" s="795"/>
      <c r="J125" s="795"/>
      <c r="K125" s="796"/>
      <c r="L125" s="796"/>
      <c r="M125" s="796"/>
      <c r="N125" s="795"/>
      <c r="O125" s="795"/>
      <c r="P125" s="795"/>
      <c r="Q125" s="795"/>
      <c r="R125" s="795"/>
      <c r="S125" s="795"/>
      <c r="T125" s="795"/>
      <c r="U125" s="795"/>
      <c r="V125" s="795"/>
      <c r="W125" s="795"/>
      <c r="X125" s="795"/>
      <c r="Y125" s="795"/>
      <c r="Z125" s="796"/>
      <c r="AA125" s="795"/>
      <c r="AB125" s="329" t="str">
        <f>basis!$B$19</f>
        <v/>
      </c>
      <c r="AC125" s="795"/>
      <c r="AD125" s="795"/>
      <c r="AE125" s="795"/>
      <c r="AF125" s="795"/>
      <c r="AG125" s="892"/>
      <c r="AH125" s="225" t="str">
        <f t="shared" si="6"/>
        <v/>
      </c>
      <c r="AI125" s="795"/>
      <c r="AJ125" s="796"/>
      <c r="AK125" s="796"/>
      <c r="AL125" s="795"/>
      <c r="AM125" s="796"/>
      <c r="AN125" s="795"/>
      <c r="AO125" s="795"/>
      <c r="AP125" s="795"/>
      <c r="AQ125" s="218"/>
      <c r="AR125" s="47"/>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row>
    <row r="126" spans="1:138" s="24" customFormat="1" x14ac:dyDescent="0.2">
      <c r="A126" s="219">
        <f t="shared" si="7"/>
        <v>44677</v>
      </c>
      <c r="B126" s="220">
        <f t="shared" si="4"/>
        <v>4</v>
      </c>
      <c r="C126" s="221">
        <f t="shared" si="5"/>
        <v>3</v>
      </c>
      <c r="D126" s="795"/>
      <c r="E126" s="795"/>
      <c r="F126" s="796"/>
      <c r="G126" s="796"/>
      <c r="H126" s="796"/>
      <c r="I126" s="795"/>
      <c r="J126" s="795"/>
      <c r="K126" s="796"/>
      <c r="L126" s="796"/>
      <c r="M126" s="796"/>
      <c r="N126" s="795"/>
      <c r="O126" s="795"/>
      <c r="P126" s="795"/>
      <c r="Q126" s="795"/>
      <c r="R126" s="795"/>
      <c r="S126" s="795"/>
      <c r="T126" s="795"/>
      <c r="U126" s="795"/>
      <c r="V126" s="795"/>
      <c r="W126" s="795"/>
      <c r="X126" s="795"/>
      <c r="Y126" s="795"/>
      <c r="Z126" s="796"/>
      <c r="AA126" s="795"/>
      <c r="AB126" s="329" t="str">
        <f>basis!$B$19</f>
        <v/>
      </c>
      <c r="AC126" s="795"/>
      <c r="AD126" s="795"/>
      <c r="AE126" s="795"/>
      <c r="AF126" s="795"/>
      <c r="AG126" s="892"/>
      <c r="AH126" s="225" t="str">
        <f t="shared" si="6"/>
        <v/>
      </c>
      <c r="AI126" s="795"/>
      <c r="AJ126" s="796"/>
      <c r="AK126" s="796"/>
      <c r="AL126" s="795"/>
      <c r="AM126" s="796"/>
      <c r="AN126" s="795"/>
      <c r="AO126" s="795"/>
      <c r="AP126" s="795"/>
      <c r="AQ126" s="218"/>
      <c r="AR126" s="47"/>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row>
    <row r="127" spans="1:138" s="24" customFormat="1" x14ac:dyDescent="0.2">
      <c r="A127" s="219">
        <f t="shared" si="7"/>
        <v>44678</v>
      </c>
      <c r="B127" s="220">
        <f t="shared" si="4"/>
        <v>4</v>
      </c>
      <c r="C127" s="221">
        <f t="shared" si="5"/>
        <v>4</v>
      </c>
      <c r="D127" s="795"/>
      <c r="E127" s="795"/>
      <c r="F127" s="796"/>
      <c r="G127" s="796"/>
      <c r="H127" s="796"/>
      <c r="I127" s="795"/>
      <c r="J127" s="795"/>
      <c r="K127" s="796"/>
      <c r="L127" s="796"/>
      <c r="M127" s="796"/>
      <c r="N127" s="795"/>
      <c r="O127" s="795"/>
      <c r="P127" s="795"/>
      <c r="Q127" s="795"/>
      <c r="R127" s="795"/>
      <c r="S127" s="795"/>
      <c r="T127" s="795"/>
      <c r="U127" s="795"/>
      <c r="V127" s="795"/>
      <c r="W127" s="795"/>
      <c r="X127" s="795"/>
      <c r="Y127" s="795"/>
      <c r="Z127" s="796"/>
      <c r="AA127" s="795"/>
      <c r="AB127" s="329" t="str">
        <f>basis!$B$19</f>
        <v/>
      </c>
      <c r="AC127" s="795"/>
      <c r="AD127" s="795"/>
      <c r="AE127" s="795"/>
      <c r="AF127" s="795"/>
      <c r="AG127" s="892"/>
      <c r="AH127" s="225" t="str">
        <f t="shared" si="6"/>
        <v/>
      </c>
      <c r="AI127" s="795"/>
      <c r="AJ127" s="796"/>
      <c r="AK127" s="796"/>
      <c r="AL127" s="795"/>
      <c r="AM127" s="796"/>
      <c r="AN127" s="795"/>
      <c r="AO127" s="795"/>
      <c r="AP127" s="795"/>
      <c r="AQ127" s="218"/>
      <c r="AR127" s="47"/>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row>
    <row r="128" spans="1:138" s="24" customFormat="1" x14ac:dyDescent="0.2">
      <c r="A128" s="219">
        <f t="shared" si="7"/>
        <v>44679</v>
      </c>
      <c r="B128" s="220">
        <f t="shared" si="4"/>
        <v>4</v>
      </c>
      <c r="C128" s="221">
        <f t="shared" si="5"/>
        <v>5</v>
      </c>
      <c r="D128" s="795"/>
      <c r="E128" s="795"/>
      <c r="F128" s="796"/>
      <c r="G128" s="796"/>
      <c r="H128" s="796"/>
      <c r="I128" s="795"/>
      <c r="J128" s="795"/>
      <c r="K128" s="796"/>
      <c r="L128" s="796"/>
      <c r="M128" s="796"/>
      <c r="N128" s="795"/>
      <c r="O128" s="795"/>
      <c r="P128" s="795"/>
      <c r="Q128" s="795"/>
      <c r="R128" s="795"/>
      <c r="S128" s="795"/>
      <c r="T128" s="795"/>
      <c r="U128" s="795"/>
      <c r="V128" s="795"/>
      <c r="W128" s="795"/>
      <c r="X128" s="795"/>
      <c r="Y128" s="795"/>
      <c r="Z128" s="796"/>
      <c r="AA128" s="795"/>
      <c r="AB128" s="329" t="str">
        <f>basis!$B$19</f>
        <v/>
      </c>
      <c r="AC128" s="795"/>
      <c r="AD128" s="795"/>
      <c r="AE128" s="795"/>
      <c r="AF128" s="795"/>
      <c r="AG128" s="892"/>
      <c r="AH128" s="225" t="str">
        <f t="shared" si="6"/>
        <v/>
      </c>
      <c r="AI128" s="795"/>
      <c r="AJ128" s="796"/>
      <c r="AK128" s="796"/>
      <c r="AL128" s="795"/>
      <c r="AM128" s="796"/>
      <c r="AN128" s="795"/>
      <c r="AO128" s="795"/>
      <c r="AP128" s="795"/>
      <c r="AQ128" s="218"/>
      <c r="AR128" s="47"/>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row>
    <row r="129" spans="1:138" s="24" customFormat="1" x14ac:dyDescent="0.2">
      <c r="A129" s="219">
        <f t="shared" si="7"/>
        <v>44680</v>
      </c>
      <c r="B129" s="220">
        <f t="shared" si="4"/>
        <v>4</v>
      </c>
      <c r="C129" s="221">
        <f t="shared" si="5"/>
        <v>6</v>
      </c>
      <c r="D129" s="795"/>
      <c r="E129" s="795"/>
      <c r="F129" s="796"/>
      <c r="G129" s="796"/>
      <c r="H129" s="796"/>
      <c r="I129" s="795"/>
      <c r="J129" s="795"/>
      <c r="K129" s="796"/>
      <c r="L129" s="796"/>
      <c r="M129" s="796"/>
      <c r="N129" s="795"/>
      <c r="O129" s="795"/>
      <c r="P129" s="795"/>
      <c r="Q129" s="795"/>
      <c r="R129" s="795"/>
      <c r="S129" s="795"/>
      <c r="T129" s="795"/>
      <c r="U129" s="795"/>
      <c r="V129" s="795"/>
      <c r="W129" s="795"/>
      <c r="X129" s="795"/>
      <c r="Y129" s="795"/>
      <c r="Z129" s="796"/>
      <c r="AA129" s="795"/>
      <c r="AB129" s="329" t="str">
        <f>basis!$B$19</f>
        <v/>
      </c>
      <c r="AC129" s="795"/>
      <c r="AD129" s="795"/>
      <c r="AE129" s="795"/>
      <c r="AF129" s="795"/>
      <c r="AG129" s="892"/>
      <c r="AH129" s="225" t="str">
        <f t="shared" si="6"/>
        <v/>
      </c>
      <c r="AI129" s="795"/>
      <c r="AJ129" s="796"/>
      <c r="AK129" s="796"/>
      <c r="AL129" s="795"/>
      <c r="AM129" s="796"/>
      <c r="AN129" s="795"/>
      <c r="AO129" s="795"/>
      <c r="AP129" s="795"/>
      <c r="AQ129" s="218"/>
      <c r="AR129" s="47"/>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row>
    <row r="130" spans="1:138" s="24" customFormat="1" x14ac:dyDescent="0.2">
      <c r="A130" s="219">
        <f t="shared" si="7"/>
        <v>44681</v>
      </c>
      <c r="B130" s="220">
        <f t="shared" si="4"/>
        <v>4</v>
      </c>
      <c r="C130" s="221">
        <f t="shared" si="5"/>
        <v>7</v>
      </c>
      <c r="D130" s="795"/>
      <c r="E130" s="795"/>
      <c r="F130" s="796"/>
      <c r="G130" s="796"/>
      <c r="H130" s="796"/>
      <c r="I130" s="795"/>
      <c r="J130" s="795"/>
      <c r="K130" s="796"/>
      <c r="L130" s="796"/>
      <c r="M130" s="796"/>
      <c r="N130" s="795"/>
      <c r="O130" s="795"/>
      <c r="P130" s="795"/>
      <c r="Q130" s="795"/>
      <c r="R130" s="795"/>
      <c r="S130" s="795"/>
      <c r="T130" s="795"/>
      <c r="U130" s="795"/>
      <c r="V130" s="795"/>
      <c r="W130" s="795"/>
      <c r="X130" s="795"/>
      <c r="Y130" s="795"/>
      <c r="Z130" s="796"/>
      <c r="AA130" s="795"/>
      <c r="AB130" s="329" t="str">
        <f>basis!$B$19</f>
        <v/>
      </c>
      <c r="AC130" s="795"/>
      <c r="AD130" s="795"/>
      <c r="AE130" s="795"/>
      <c r="AF130" s="795"/>
      <c r="AG130" s="892"/>
      <c r="AH130" s="225" t="str">
        <f t="shared" si="6"/>
        <v/>
      </c>
      <c r="AI130" s="795"/>
      <c r="AJ130" s="796"/>
      <c r="AK130" s="796"/>
      <c r="AL130" s="795"/>
      <c r="AM130" s="796"/>
      <c r="AN130" s="795"/>
      <c r="AO130" s="795"/>
      <c r="AP130" s="795"/>
      <c r="AQ130" s="218"/>
      <c r="AR130" s="47"/>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row>
    <row r="131" spans="1:138" s="24" customFormat="1" x14ac:dyDescent="0.2">
      <c r="A131" s="219">
        <f t="shared" si="7"/>
        <v>44682</v>
      </c>
      <c r="B131" s="220">
        <f t="shared" si="4"/>
        <v>5</v>
      </c>
      <c r="C131" s="221">
        <f t="shared" si="5"/>
        <v>1</v>
      </c>
      <c r="D131" s="795"/>
      <c r="E131" s="795"/>
      <c r="F131" s="796"/>
      <c r="G131" s="796"/>
      <c r="H131" s="796"/>
      <c r="I131" s="795"/>
      <c r="J131" s="795"/>
      <c r="K131" s="796"/>
      <c r="L131" s="796"/>
      <c r="M131" s="796"/>
      <c r="N131" s="795"/>
      <c r="O131" s="795"/>
      <c r="P131" s="795"/>
      <c r="Q131" s="795"/>
      <c r="R131" s="795"/>
      <c r="S131" s="795"/>
      <c r="T131" s="795"/>
      <c r="U131" s="795"/>
      <c r="V131" s="795"/>
      <c r="W131" s="795"/>
      <c r="X131" s="795"/>
      <c r="Y131" s="795"/>
      <c r="Z131" s="796"/>
      <c r="AA131" s="795"/>
      <c r="AB131" s="329" t="str">
        <f>basis!$B$19</f>
        <v/>
      </c>
      <c r="AC131" s="795"/>
      <c r="AD131" s="795"/>
      <c r="AE131" s="795"/>
      <c r="AF131" s="795"/>
      <c r="AG131" s="892"/>
      <c r="AH131" s="225" t="str">
        <f t="shared" si="6"/>
        <v/>
      </c>
      <c r="AI131" s="795"/>
      <c r="AJ131" s="796"/>
      <c r="AK131" s="796"/>
      <c r="AL131" s="795"/>
      <c r="AM131" s="796"/>
      <c r="AN131" s="795"/>
      <c r="AO131" s="795"/>
      <c r="AP131" s="795"/>
      <c r="AQ131" s="218"/>
      <c r="AR131" s="47"/>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row>
    <row r="132" spans="1:138" s="24" customFormat="1" x14ac:dyDescent="0.2">
      <c r="A132" s="219">
        <f t="shared" si="7"/>
        <v>44683</v>
      </c>
      <c r="B132" s="220">
        <f t="shared" si="4"/>
        <v>5</v>
      </c>
      <c r="C132" s="221">
        <f t="shared" si="5"/>
        <v>2</v>
      </c>
      <c r="D132" s="795"/>
      <c r="E132" s="795"/>
      <c r="F132" s="796"/>
      <c r="G132" s="796"/>
      <c r="H132" s="796"/>
      <c r="I132" s="795"/>
      <c r="J132" s="795"/>
      <c r="K132" s="796"/>
      <c r="L132" s="796"/>
      <c r="M132" s="796"/>
      <c r="N132" s="795"/>
      <c r="O132" s="795"/>
      <c r="P132" s="795"/>
      <c r="Q132" s="795"/>
      <c r="R132" s="795"/>
      <c r="S132" s="795"/>
      <c r="T132" s="795"/>
      <c r="U132" s="795"/>
      <c r="V132" s="795"/>
      <c r="W132" s="795"/>
      <c r="X132" s="795"/>
      <c r="Y132" s="795"/>
      <c r="Z132" s="796"/>
      <c r="AA132" s="795"/>
      <c r="AB132" s="329" t="str">
        <f>basis!$B$19</f>
        <v/>
      </c>
      <c r="AC132" s="795"/>
      <c r="AD132" s="795"/>
      <c r="AE132" s="795"/>
      <c r="AF132" s="795"/>
      <c r="AG132" s="892"/>
      <c r="AH132" s="225" t="str">
        <f t="shared" si="6"/>
        <v/>
      </c>
      <c r="AI132" s="795"/>
      <c r="AJ132" s="796"/>
      <c r="AK132" s="796"/>
      <c r="AL132" s="795"/>
      <c r="AM132" s="796"/>
      <c r="AN132" s="795"/>
      <c r="AO132" s="795"/>
      <c r="AP132" s="795"/>
      <c r="AQ132" s="218"/>
      <c r="AR132" s="47"/>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row>
    <row r="133" spans="1:138" s="24" customFormat="1" x14ac:dyDescent="0.2">
      <c r="A133" s="219">
        <f t="shared" si="7"/>
        <v>44684</v>
      </c>
      <c r="B133" s="220">
        <f t="shared" si="4"/>
        <v>5</v>
      </c>
      <c r="C133" s="221">
        <f t="shared" si="5"/>
        <v>3</v>
      </c>
      <c r="D133" s="795"/>
      <c r="E133" s="795"/>
      <c r="F133" s="796"/>
      <c r="G133" s="796"/>
      <c r="H133" s="796"/>
      <c r="I133" s="795"/>
      <c r="J133" s="795"/>
      <c r="K133" s="796"/>
      <c r="L133" s="796"/>
      <c r="M133" s="796"/>
      <c r="N133" s="795"/>
      <c r="O133" s="795"/>
      <c r="P133" s="795"/>
      <c r="Q133" s="795"/>
      <c r="R133" s="795"/>
      <c r="S133" s="795"/>
      <c r="T133" s="795"/>
      <c r="U133" s="795"/>
      <c r="V133" s="795"/>
      <c r="W133" s="795"/>
      <c r="X133" s="795"/>
      <c r="Y133" s="795"/>
      <c r="Z133" s="796"/>
      <c r="AA133" s="795"/>
      <c r="AB133" s="329" t="str">
        <f>basis!$B$19</f>
        <v/>
      </c>
      <c r="AC133" s="795"/>
      <c r="AD133" s="795"/>
      <c r="AE133" s="795"/>
      <c r="AF133" s="795"/>
      <c r="AG133" s="892"/>
      <c r="AH133" s="225" t="str">
        <f t="shared" si="6"/>
        <v/>
      </c>
      <c r="AI133" s="795"/>
      <c r="AJ133" s="796"/>
      <c r="AK133" s="796"/>
      <c r="AL133" s="795"/>
      <c r="AM133" s="796"/>
      <c r="AN133" s="795"/>
      <c r="AO133" s="795"/>
      <c r="AP133" s="795"/>
      <c r="AQ133" s="218"/>
      <c r="AR133" s="47"/>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row>
    <row r="134" spans="1:138" s="24" customFormat="1" x14ac:dyDescent="0.2">
      <c r="A134" s="219">
        <f t="shared" si="7"/>
        <v>44685</v>
      </c>
      <c r="B134" s="220">
        <f t="shared" si="4"/>
        <v>5</v>
      </c>
      <c r="C134" s="221">
        <f t="shared" si="5"/>
        <v>4</v>
      </c>
      <c r="D134" s="795"/>
      <c r="E134" s="795"/>
      <c r="F134" s="796"/>
      <c r="G134" s="796"/>
      <c r="H134" s="796"/>
      <c r="I134" s="795"/>
      <c r="J134" s="795"/>
      <c r="K134" s="796"/>
      <c r="L134" s="796"/>
      <c r="M134" s="796"/>
      <c r="N134" s="795"/>
      <c r="O134" s="795"/>
      <c r="P134" s="795"/>
      <c r="Q134" s="795"/>
      <c r="R134" s="795"/>
      <c r="S134" s="795"/>
      <c r="T134" s="795"/>
      <c r="U134" s="795"/>
      <c r="V134" s="795"/>
      <c r="W134" s="795"/>
      <c r="X134" s="795"/>
      <c r="Y134" s="795"/>
      <c r="Z134" s="796"/>
      <c r="AA134" s="795"/>
      <c r="AB134" s="329" t="str">
        <f>basis!$B$19</f>
        <v/>
      </c>
      <c r="AC134" s="795"/>
      <c r="AD134" s="795"/>
      <c r="AE134" s="795"/>
      <c r="AF134" s="795"/>
      <c r="AG134" s="892"/>
      <c r="AH134" s="225" t="str">
        <f t="shared" si="6"/>
        <v/>
      </c>
      <c r="AI134" s="795"/>
      <c r="AJ134" s="796"/>
      <c r="AK134" s="796"/>
      <c r="AL134" s="795"/>
      <c r="AM134" s="796"/>
      <c r="AN134" s="795"/>
      <c r="AO134" s="795"/>
      <c r="AP134" s="795"/>
      <c r="AQ134" s="218"/>
      <c r="AR134" s="47"/>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row>
    <row r="135" spans="1:138" s="24" customFormat="1" x14ac:dyDescent="0.2">
      <c r="A135" s="219">
        <f t="shared" si="7"/>
        <v>44686</v>
      </c>
      <c r="B135" s="220">
        <f t="shared" si="4"/>
        <v>5</v>
      </c>
      <c r="C135" s="221">
        <f t="shared" si="5"/>
        <v>5</v>
      </c>
      <c r="D135" s="795"/>
      <c r="E135" s="795"/>
      <c r="F135" s="796"/>
      <c r="G135" s="796"/>
      <c r="H135" s="796"/>
      <c r="I135" s="795"/>
      <c r="J135" s="795"/>
      <c r="K135" s="796"/>
      <c r="L135" s="796"/>
      <c r="M135" s="796"/>
      <c r="N135" s="795"/>
      <c r="O135" s="795"/>
      <c r="P135" s="795"/>
      <c r="Q135" s="795"/>
      <c r="R135" s="795"/>
      <c r="S135" s="795"/>
      <c r="T135" s="795"/>
      <c r="U135" s="795"/>
      <c r="V135" s="795"/>
      <c r="W135" s="795"/>
      <c r="X135" s="795"/>
      <c r="Y135" s="795"/>
      <c r="Z135" s="796"/>
      <c r="AA135" s="795"/>
      <c r="AB135" s="329" t="str">
        <f>basis!$B$19</f>
        <v/>
      </c>
      <c r="AC135" s="795"/>
      <c r="AD135" s="795"/>
      <c r="AE135" s="795"/>
      <c r="AF135" s="795"/>
      <c r="AG135" s="892"/>
      <c r="AH135" s="225" t="str">
        <f t="shared" si="6"/>
        <v/>
      </c>
      <c r="AI135" s="795"/>
      <c r="AJ135" s="796"/>
      <c r="AK135" s="796"/>
      <c r="AL135" s="795"/>
      <c r="AM135" s="796"/>
      <c r="AN135" s="795"/>
      <c r="AO135" s="795"/>
      <c r="AP135" s="795"/>
      <c r="AQ135" s="218"/>
      <c r="AR135" s="47"/>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row>
    <row r="136" spans="1:138" s="24" customFormat="1" x14ac:dyDescent="0.2">
      <c r="A136" s="219">
        <f t="shared" si="7"/>
        <v>44687</v>
      </c>
      <c r="B136" s="220">
        <f t="shared" si="4"/>
        <v>5</v>
      </c>
      <c r="C136" s="221">
        <f t="shared" si="5"/>
        <v>6</v>
      </c>
      <c r="D136" s="795"/>
      <c r="E136" s="795"/>
      <c r="F136" s="796"/>
      <c r="G136" s="796"/>
      <c r="H136" s="796"/>
      <c r="I136" s="795"/>
      <c r="J136" s="795"/>
      <c r="K136" s="796"/>
      <c r="L136" s="796"/>
      <c r="M136" s="796"/>
      <c r="N136" s="795"/>
      <c r="O136" s="795"/>
      <c r="P136" s="795"/>
      <c r="Q136" s="795"/>
      <c r="R136" s="795"/>
      <c r="S136" s="795"/>
      <c r="T136" s="795"/>
      <c r="U136" s="795"/>
      <c r="V136" s="795"/>
      <c r="W136" s="795"/>
      <c r="X136" s="795"/>
      <c r="Y136" s="795"/>
      <c r="Z136" s="796"/>
      <c r="AA136" s="795"/>
      <c r="AB136" s="329" t="str">
        <f>basis!$B$19</f>
        <v/>
      </c>
      <c r="AC136" s="795"/>
      <c r="AD136" s="795"/>
      <c r="AE136" s="795"/>
      <c r="AF136" s="795"/>
      <c r="AG136" s="892"/>
      <c r="AH136" s="225" t="str">
        <f t="shared" si="6"/>
        <v/>
      </c>
      <c r="AI136" s="795"/>
      <c r="AJ136" s="796"/>
      <c r="AK136" s="796"/>
      <c r="AL136" s="795"/>
      <c r="AM136" s="796"/>
      <c r="AN136" s="795"/>
      <c r="AO136" s="795"/>
      <c r="AP136" s="795"/>
      <c r="AQ136" s="218"/>
      <c r="AR136" s="47"/>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row>
    <row r="137" spans="1:138" s="24" customFormat="1" x14ac:dyDescent="0.2">
      <c r="A137" s="219">
        <f t="shared" si="7"/>
        <v>44688</v>
      </c>
      <c r="B137" s="220">
        <f t="shared" si="4"/>
        <v>5</v>
      </c>
      <c r="C137" s="221">
        <f t="shared" si="5"/>
        <v>7</v>
      </c>
      <c r="D137" s="795"/>
      <c r="E137" s="795"/>
      <c r="F137" s="796"/>
      <c r="G137" s="796"/>
      <c r="H137" s="796"/>
      <c r="I137" s="795"/>
      <c r="J137" s="795"/>
      <c r="K137" s="796"/>
      <c r="L137" s="796"/>
      <c r="M137" s="796"/>
      <c r="N137" s="795"/>
      <c r="O137" s="795"/>
      <c r="P137" s="795"/>
      <c r="Q137" s="795"/>
      <c r="R137" s="795"/>
      <c r="S137" s="795"/>
      <c r="T137" s="795"/>
      <c r="U137" s="795"/>
      <c r="V137" s="795"/>
      <c r="W137" s="795"/>
      <c r="X137" s="795"/>
      <c r="Y137" s="795"/>
      <c r="Z137" s="796"/>
      <c r="AA137" s="795"/>
      <c r="AB137" s="329" t="str">
        <f>basis!$B$19</f>
        <v/>
      </c>
      <c r="AC137" s="795"/>
      <c r="AD137" s="795"/>
      <c r="AE137" s="795"/>
      <c r="AF137" s="795"/>
      <c r="AG137" s="892"/>
      <c r="AH137" s="225" t="str">
        <f t="shared" si="6"/>
        <v/>
      </c>
      <c r="AI137" s="795"/>
      <c r="AJ137" s="796"/>
      <c r="AK137" s="796"/>
      <c r="AL137" s="795"/>
      <c r="AM137" s="796"/>
      <c r="AN137" s="795"/>
      <c r="AO137" s="795"/>
      <c r="AP137" s="795"/>
      <c r="AQ137" s="218"/>
      <c r="AR137" s="47"/>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row>
    <row r="138" spans="1:138" s="24" customFormat="1" x14ac:dyDescent="0.2">
      <c r="A138" s="219">
        <f t="shared" si="7"/>
        <v>44689</v>
      </c>
      <c r="B138" s="220">
        <f t="shared" si="4"/>
        <v>5</v>
      </c>
      <c r="C138" s="221">
        <f t="shared" si="5"/>
        <v>1</v>
      </c>
      <c r="D138" s="795"/>
      <c r="E138" s="795"/>
      <c r="F138" s="796"/>
      <c r="G138" s="796"/>
      <c r="H138" s="796"/>
      <c r="I138" s="795"/>
      <c r="J138" s="795"/>
      <c r="K138" s="796"/>
      <c r="L138" s="796"/>
      <c r="M138" s="796"/>
      <c r="N138" s="795"/>
      <c r="O138" s="795"/>
      <c r="P138" s="795"/>
      <c r="Q138" s="795"/>
      <c r="R138" s="795"/>
      <c r="S138" s="795"/>
      <c r="T138" s="795"/>
      <c r="U138" s="795"/>
      <c r="V138" s="795"/>
      <c r="W138" s="795"/>
      <c r="X138" s="795"/>
      <c r="Y138" s="795"/>
      <c r="Z138" s="796"/>
      <c r="AA138" s="795"/>
      <c r="AB138" s="329" t="str">
        <f>basis!$B$19</f>
        <v/>
      </c>
      <c r="AC138" s="795"/>
      <c r="AD138" s="795"/>
      <c r="AE138" s="795"/>
      <c r="AF138" s="795"/>
      <c r="AG138" s="892"/>
      <c r="AH138" s="225" t="str">
        <f t="shared" si="6"/>
        <v/>
      </c>
      <c r="AI138" s="795"/>
      <c r="AJ138" s="796"/>
      <c r="AK138" s="796"/>
      <c r="AL138" s="795"/>
      <c r="AM138" s="796"/>
      <c r="AN138" s="795"/>
      <c r="AO138" s="795"/>
      <c r="AP138" s="795"/>
      <c r="AQ138" s="218"/>
      <c r="AR138" s="47"/>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row>
    <row r="139" spans="1:138" s="24" customFormat="1" x14ac:dyDescent="0.2">
      <c r="A139" s="219">
        <f t="shared" si="7"/>
        <v>44690</v>
      </c>
      <c r="B139" s="220">
        <f t="shared" ref="B139:B202" si="8">MONTH(A139)</f>
        <v>5</v>
      </c>
      <c r="C139" s="221">
        <f t="shared" ref="C139:C202" si="9">WEEKDAY(A139)</f>
        <v>2</v>
      </c>
      <c r="D139" s="795"/>
      <c r="E139" s="795"/>
      <c r="F139" s="796"/>
      <c r="G139" s="796"/>
      <c r="H139" s="796"/>
      <c r="I139" s="795"/>
      <c r="J139" s="795"/>
      <c r="K139" s="796"/>
      <c r="L139" s="796"/>
      <c r="M139" s="796"/>
      <c r="N139" s="795"/>
      <c r="O139" s="795"/>
      <c r="P139" s="795"/>
      <c r="Q139" s="795"/>
      <c r="R139" s="795"/>
      <c r="S139" s="795"/>
      <c r="T139" s="795"/>
      <c r="U139" s="795"/>
      <c r="V139" s="795"/>
      <c r="W139" s="795"/>
      <c r="X139" s="795"/>
      <c r="Y139" s="795"/>
      <c r="Z139" s="796"/>
      <c r="AA139" s="795"/>
      <c r="AB139" s="329" t="str">
        <f>basis!$B$19</f>
        <v/>
      </c>
      <c r="AC139" s="795"/>
      <c r="AD139" s="795"/>
      <c r="AE139" s="795"/>
      <c r="AF139" s="795"/>
      <c r="AG139" s="892"/>
      <c r="AH139" s="225" t="str">
        <f t="shared" si="6"/>
        <v/>
      </c>
      <c r="AI139" s="795"/>
      <c r="AJ139" s="796"/>
      <c r="AK139" s="796"/>
      <c r="AL139" s="795"/>
      <c r="AM139" s="796"/>
      <c r="AN139" s="795"/>
      <c r="AO139" s="795"/>
      <c r="AP139" s="795"/>
      <c r="AQ139" s="218"/>
      <c r="AR139" s="47"/>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row>
    <row r="140" spans="1:138" s="24" customFormat="1" x14ac:dyDescent="0.2">
      <c r="A140" s="219">
        <f t="shared" si="7"/>
        <v>44691</v>
      </c>
      <c r="B140" s="220">
        <f t="shared" si="8"/>
        <v>5</v>
      </c>
      <c r="C140" s="221">
        <f t="shared" si="9"/>
        <v>3</v>
      </c>
      <c r="D140" s="795"/>
      <c r="E140" s="795"/>
      <c r="F140" s="796"/>
      <c r="G140" s="796"/>
      <c r="H140" s="796"/>
      <c r="I140" s="795"/>
      <c r="J140" s="795"/>
      <c r="K140" s="796"/>
      <c r="L140" s="796"/>
      <c r="M140" s="796"/>
      <c r="N140" s="795"/>
      <c r="O140" s="795"/>
      <c r="P140" s="795"/>
      <c r="Q140" s="795"/>
      <c r="R140" s="795"/>
      <c r="S140" s="795"/>
      <c r="T140" s="795"/>
      <c r="U140" s="795"/>
      <c r="V140" s="795"/>
      <c r="W140" s="795"/>
      <c r="X140" s="795"/>
      <c r="Y140" s="795"/>
      <c r="Z140" s="796"/>
      <c r="AA140" s="795"/>
      <c r="AB140" s="329" t="str">
        <f>basis!$B$19</f>
        <v/>
      </c>
      <c r="AC140" s="795"/>
      <c r="AD140" s="795"/>
      <c r="AE140" s="795"/>
      <c r="AF140" s="795"/>
      <c r="AG140" s="892"/>
      <c r="AH140" s="225" t="str">
        <f t="shared" ref="AH140:AH203" si="10">IF(OR(AF140="",AG140=""),"",AF140*AG140)</f>
        <v/>
      </c>
      <c r="AI140" s="795"/>
      <c r="AJ140" s="796"/>
      <c r="AK140" s="796"/>
      <c r="AL140" s="795"/>
      <c r="AM140" s="796"/>
      <c r="AN140" s="795"/>
      <c r="AO140" s="795"/>
      <c r="AP140" s="795"/>
      <c r="AQ140" s="218"/>
      <c r="AR140" s="47"/>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row>
    <row r="141" spans="1:138" s="24" customFormat="1" x14ac:dyDescent="0.2">
      <c r="A141" s="219">
        <f t="shared" ref="A141:A204" si="11">A140+1</f>
        <v>44692</v>
      </c>
      <c r="B141" s="220">
        <f t="shared" si="8"/>
        <v>5</v>
      </c>
      <c r="C141" s="221">
        <f t="shared" si="9"/>
        <v>4</v>
      </c>
      <c r="D141" s="795"/>
      <c r="E141" s="795"/>
      <c r="F141" s="796"/>
      <c r="G141" s="796"/>
      <c r="H141" s="796"/>
      <c r="I141" s="795"/>
      <c r="J141" s="795"/>
      <c r="K141" s="796"/>
      <c r="L141" s="796"/>
      <c r="M141" s="796"/>
      <c r="N141" s="795"/>
      <c r="O141" s="795"/>
      <c r="P141" s="795"/>
      <c r="Q141" s="795"/>
      <c r="R141" s="795"/>
      <c r="S141" s="795"/>
      <c r="T141" s="795"/>
      <c r="U141" s="795"/>
      <c r="V141" s="795"/>
      <c r="W141" s="795"/>
      <c r="X141" s="795"/>
      <c r="Y141" s="795"/>
      <c r="Z141" s="796"/>
      <c r="AA141" s="795"/>
      <c r="AB141" s="329" t="str">
        <f>basis!$B$19</f>
        <v/>
      </c>
      <c r="AC141" s="795"/>
      <c r="AD141" s="795"/>
      <c r="AE141" s="795"/>
      <c r="AF141" s="795"/>
      <c r="AG141" s="892"/>
      <c r="AH141" s="225" t="str">
        <f t="shared" si="10"/>
        <v/>
      </c>
      <c r="AI141" s="795"/>
      <c r="AJ141" s="796"/>
      <c r="AK141" s="796"/>
      <c r="AL141" s="795"/>
      <c r="AM141" s="796"/>
      <c r="AN141" s="795"/>
      <c r="AO141" s="795"/>
      <c r="AP141" s="795"/>
      <c r="AQ141" s="218"/>
      <c r="AR141" s="47"/>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row>
    <row r="142" spans="1:138" s="24" customFormat="1" x14ac:dyDescent="0.2">
      <c r="A142" s="219">
        <f t="shared" si="11"/>
        <v>44693</v>
      </c>
      <c r="B142" s="220">
        <f t="shared" si="8"/>
        <v>5</v>
      </c>
      <c r="C142" s="221">
        <f t="shared" si="9"/>
        <v>5</v>
      </c>
      <c r="D142" s="795"/>
      <c r="E142" s="795"/>
      <c r="F142" s="796"/>
      <c r="G142" s="796"/>
      <c r="H142" s="796"/>
      <c r="I142" s="795"/>
      <c r="J142" s="795"/>
      <c r="K142" s="796"/>
      <c r="L142" s="796"/>
      <c r="M142" s="796"/>
      <c r="N142" s="795"/>
      <c r="O142" s="795"/>
      <c r="P142" s="795"/>
      <c r="Q142" s="795"/>
      <c r="R142" s="795"/>
      <c r="S142" s="795"/>
      <c r="T142" s="795"/>
      <c r="U142" s="795"/>
      <c r="V142" s="795"/>
      <c r="W142" s="795"/>
      <c r="X142" s="795"/>
      <c r="Y142" s="795"/>
      <c r="Z142" s="796"/>
      <c r="AA142" s="795"/>
      <c r="AB142" s="329" t="str">
        <f>basis!$B$19</f>
        <v/>
      </c>
      <c r="AC142" s="795"/>
      <c r="AD142" s="795"/>
      <c r="AE142" s="795"/>
      <c r="AF142" s="795"/>
      <c r="AG142" s="892"/>
      <c r="AH142" s="225" t="str">
        <f t="shared" si="10"/>
        <v/>
      </c>
      <c r="AI142" s="795"/>
      <c r="AJ142" s="796"/>
      <c r="AK142" s="796"/>
      <c r="AL142" s="795"/>
      <c r="AM142" s="796"/>
      <c r="AN142" s="795"/>
      <c r="AO142" s="795"/>
      <c r="AP142" s="795"/>
      <c r="AQ142" s="218"/>
      <c r="AR142" s="47"/>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row>
    <row r="143" spans="1:138" s="24" customFormat="1" x14ac:dyDescent="0.2">
      <c r="A143" s="219">
        <f t="shared" si="11"/>
        <v>44694</v>
      </c>
      <c r="B143" s="220">
        <f t="shared" si="8"/>
        <v>5</v>
      </c>
      <c r="C143" s="221">
        <f t="shared" si="9"/>
        <v>6</v>
      </c>
      <c r="D143" s="795"/>
      <c r="E143" s="795"/>
      <c r="F143" s="796"/>
      <c r="G143" s="796"/>
      <c r="H143" s="796"/>
      <c r="I143" s="795"/>
      <c r="J143" s="795"/>
      <c r="K143" s="796"/>
      <c r="L143" s="796"/>
      <c r="M143" s="796"/>
      <c r="N143" s="795"/>
      <c r="O143" s="795"/>
      <c r="P143" s="795"/>
      <c r="Q143" s="795"/>
      <c r="R143" s="795"/>
      <c r="S143" s="795"/>
      <c r="T143" s="795"/>
      <c r="U143" s="795"/>
      <c r="V143" s="795"/>
      <c r="W143" s="795"/>
      <c r="X143" s="795"/>
      <c r="Y143" s="795"/>
      <c r="Z143" s="796"/>
      <c r="AA143" s="795"/>
      <c r="AB143" s="329" t="str">
        <f>basis!$B$19</f>
        <v/>
      </c>
      <c r="AC143" s="795"/>
      <c r="AD143" s="795"/>
      <c r="AE143" s="795"/>
      <c r="AF143" s="795"/>
      <c r="AG143" s="892"/>
      <c r="AH143" s="225" t="str">
        <f t="shared" si="10"/>
        <v/>
      </c>
      <c r="AI143" s="795"/>
      <c r="AJ143" s="796"/>
      <c r="AK143" s="796"/>
      <c r="AL143" s="795"/>
      <c r="AM143" s="796"/>
      <c r="AN143" s="795"/>
      <c r="AO143" s="795"/>
      <c r="AP143" s="795"/>
      <c r="AQ143" s="218"/>
      <c r="AR143" s="47"/>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row>
    <row r="144" spans="1:138" s="24" customFormat="1" x14ac:dyDescent="0.2">
      <c r="A144" s="219">
        <f t="shared" si="11"/>
        <v>44695</v>
      </c>
      <c r="B144" s="220">
        <f t="shared" si="8"/>
        <v>5</v>
      </c>
      <c r="C144" s="221">
        <f t="shared" si="9"/>
        <v>7</v>
      </c>
      <c r="D144" s="795"/>
      <c r="E144" s="795"/>
      <c r="F144" s="796"/>
      <c r="G144" s="796"/>
      <c r="H144" s="796"/>
      <c r="I144" s="795"/>
      <c r="J144" s="795"/>
      <c r="K144" s="796"/>
      <c r="L144" s="796"/>
      <c r="M144" s="796"/>
      <c r="N144" s="795"/>
      <c r="O144" s="795"/>
      <c r="P144" s="795"/>
      <c r="Q144" s="795"/>
      <c r="R144" s="795"/>
      <c r="S144" s="795"/>
      <c r="T144" s="795"/>
      <c r="U144" s="795"/>
      <c r="V144" s="795"/>
      <c r="W144" s="795"/>
      <c r="X144" s="795"/>
      <c r="Y144" s="795"/>
      <c r="Z144" s="796"/>
      <c r="AA144" s="795"/>
      <c r="AB144" s="329" t="str">
        <f>basis!$B$19</f>
        <v/>
      </c>
      <c r="AC144" s="795"/>
      <c r="AD144" s="795"/>
      <c r="AE144" s="795"/>
      <c r="AF144" s="795"/>
      <c r="AG144" s="892"/>
      <c r="AH144" s="225" t="str">
        <f t="shared" si="10"/>
        <v/>
      </c>
      <c r="AI144" s="795"/>
      <c r="AJ144" s="796"/>
      <c r="AK144" s="796"/>
      <c r="AL144" s="795"/>
      <c r="AM144" s="796"/>
      <c r="AN144" s="795"/>
      <c r="AO144" s="795"/>
      <c r="AP144" s="795"/>
      <c r="AQ144" s="218"/>
      <c r="AR144" s="47"/>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row>
    <row r="145" spans="1:138" s="24" customFormat="1" x14ac:dyDescent="0.2">
      <c r="A145" s="219">
        <f t="shared" si="11"/>
        <v>44696</v>
      </c>
      <c r="B145" s="220">
        <f t="shared" si="8"/>
        <v>5</v>
      </c>
      <c r="C145" s="221">
        <f t="shared" si="9"/>
        <v>1</v>
      </c>
      <c r="D145" s="795"/>
      <c r="E145" s="795"/>
      <c r="F145" s="796"/>
      <c r="G145" s="796"/>
      <c r="H145" s="796"/>
      <c r="I145" s="795"/>
      <c r="J145" s="795"/>
      <c r="K145" s="796"/>
      <c r="L145" s="796"/>
      <c r="M145" s="796"/>
      <c r="N145" s="795"/>
      <c r="O145" s="795"/>
      <c r="P145" s="795"/>
      <c r="Q145" s="795"/>
      <c r="R145" s="795"/>
      <c r="S145" s="795"/>
      <c r="T145" s="795"/>
      <c r="U145" s="795"/>
      <c r="V145" s="795"/>
      <c r="W145" s="795"/>
      <c r="X145" s="795"/>
      <c r="Y145" s="795"/>
      <c r="Z145" s="796"/>
      <c r="AA145" s="795"/>
      <c r="AB145" s="329" t="str">
        <f>basis!$B$19</f>
        <v/>
      </c>
      <c r="AC145" s="795"/>
      <c r="AD145" s="795"/>
      <c r="AE145" s="795"/>
      <c r="AF145" s="795"/>
      <c r="AG145" s="892"/>
      <c r="AH145" s="225" t="str">
        <f t="shared" si="10"/>
        <v/>
      </c>
      <c r="AI145" s="795"/>
      <c r="AJ145" s="796"/>
      <c r="AK145" s="796"/>
      <c r="AL145" s="795"/>
      <c r="AM145" s="796"/>
      <c r="AN145" s="795"/>
      <c r="AO145" s="795"/>
      <c r="AP145" s="795"/>
      <c r="AQ145" s="218"/>
      <c r="AR145" s="47"/>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row>
    <row r="146" spans="1:138" s="24" customFormat="1" x14ac:dyDescent="0.2">
      <c r="A146" s="219">
        <f t="shared" si="11"/>
        <v>44697</v>
      </c>
      <c r="B146" s="220">
        <f t="shared" si="8"/>
        <v>5</v>
      </c>
      <c r="C146" s="221">
        <f t="shared" si="9"/>
        <v>2</v>
      </c>
      <c r="D146" s="795"/>
      <c r="E146" s="795"/>
      <c r="F146" s="796"/>
      <c r="G146" s="796"/>
      <c r="H146" s="796"/>
      <c r="I146" s="795"/>
      <c r="J146" s="795"/>
      <c r="K146" s="796"/>
      <c r="L146" s="796"/>
      <c r="M146" s="796"/>
      <c r="N146" s="795"/>
      <c r="O146" s="795"/>
      <c r="P146" s="795"/>
      <c r="Q146" s="795"/>
      <c r="R146" s="795"/>
      <c r="S146" s="795"/>
      <c r="T146" s="795"/>
      <c r="U146" s="795"/>
      <c r="V146" s="795"/>
      <c r="W146" s="795"/>
      <c r="X146" s="795"/>
      <c r="Y146" s="795"/>
      <c r="Z146" s="796"/>
      <c r="AA146" s="795"/>
      <c r="AB146" s="329" t="str">
        <f>basis!$B$19</f>
        <v/>
      </c>
      <c r="AC146" s="795"/>
      <c r="AD146" s="795"/>
      <c r="AE146" s="795"/>
      <c r="AF146" s="795"/>
      <c r="AG146" s="892"/>
      <c r="AH146" s="225" t="str">
        <f t="shared" si="10"/>
        <v/>
      </c>
      <c r="AI146" s="795"/>
      <c r="AJ146" s="796"/>
      <c r="AK146" s="796"/>
      <c r="AL146" s="795"/>
      <c r="AM146" s="796"/>
      <c r="AN146" s="795"/>
      <c r="AO146" s="795"/>
      <c r="AP146" s="795"/>
      <c r="AQ146" s="218"/>
      <c r="AR146" s="47"/>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row>
    <row r="147" spans="1:138" s="24" customFormat="1" x14ac:dyDescent="0.2">
      <c r="A147" s="219">
        <f t="shared" si="11"/>
        <v>44698</v>
      </c>
      <c r="B147" s="220">
        <f t="shared" si="8"/>
        <v>5</v>
      </c>
      <c r="C147" s="221">
        <f t="shared" si="9"/>
        <v>3</v>
      </c>
      <c r="D147" s="795"/>
      <c r="E147" s="795"/>
      <c r="F147" s="796"/>
      <c r="G147" s="796"/>
      <c r="H147" s="796"/>
      <c r="I147" s="795"/>
      <c r="J147" s="795"/>
      <c r="K147" s="796"/>
      <c r="L147" s="796"/>
      <c r="M147" s="796"/>
      <c r="N147" s="795"/>
      <c r="O147" s="795"/>
      <c r="P147" s="795"/>
      <c r="Q147" s="795"/>
      <c r="R147" s="795"/>
      <c r="S147" s="795"/>
      <c r="T147" s="795"/>
      <c r="U147" s="795"/>
      <c r="V147" s="795"/>
      <c r="W147" s="795"/>
      <c r="X147" s="795"/>
      <c r="Y147" s="795"/>
      <c r="Z147" s="796"/>
      <c r="AA147" s="795"/>
      <c r="AB147" s="329" t="str">
        <f>basis!$B$19</f>
        <v/>
      </c>
      <c r="AC147" s="795"/>
      <c r="AD147" s="795"/>
      <c r="AE147" s="795"/>
      <c r="AF147" s="795"/>
      <c r="AG147" s="892"/>
      <c r="AH147" s="225" t="str">
        <f t="shared" si="10"/>
        <v/>
      </c>
      <c r="AI147" s="795"/>
      <c r="AJ147" s="796"/>
      <c r="AK147" s="796"/>
      <c r="AL147" s="795"/>
      <c r="AM147" s="796"/>
      <c r="AN147" s="795"/>
      <c r="AO147" s="795"/>
      <c r="AP147" s="795"/>
      <c r="AQ147" s="218"/>
      <c r="AR147" s="47"/>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row>
    <row r="148" spans="1:138" s="24" customFormat="1" x14ac:dyDescent="0.2">
      <c r="A148" s="219">
        <f t="shared" si="11"/>
        <v>44699</v>
      </c>
      <c r="B148" s="220">
        <f t="shared" si="8"/>
        <v>5</v>
      </c>
      <c r="C148" s="221">
        <f t="shared" si="9"/>
        <v>4</v>
      </c>
      <c r="D148" s="795"/>
      <c r="E148" s="795"/>
      <c r="F148" s="796"/>
      <c r="G148" s="796"/>
      <c r="H148" s="796"/>
      <c r="I148" s="795"/>
      <c r="J148" s="795"/>
      <c r="K148" s="796"/>
      <c r="L148" s="796"/>
      <c r="M148" s="796"/>
      <c r="N148" s="795"/>
      <c r="O148" s="795"/>
      <c r="P148" s="795"/>
      <c r="Q148" s="795"/>
      <c r="R148" s="795"/>
      <c r="S148" s="795"/>
      <c r="T148" s="795"/>
      <c r="U148" s="795"/>
      <c r="V148" s="795"/>
      <c r="W148" s="795"/>
      <c r="X148" s="795"/>
      <c r="Y148" s="795"/>
      <c r="Z148" s="796"/>
      <c r="AA148" s="795"/>
      <c r="AB148" s="329" t="str">
        <f>basis!$B$19</f>
        <v/>
      </c>
      <c r="AC148" s="795"/>
      <c r="AD148" s="795"/>
      <c r="AE148" s="795"/>
      <c r="AF148" s="795"/>
      <c r="AG148" s="892"/>
      <c r="AH148" s="225" t="str">
        <f t="shared" si="10"/>
        <v/>
      </c>
      <c r="AI148" s="795"/>
      <c r="AJ148" s="796"/>
      <c r="AK148" s="796"/>
      <c r="AL148" s="795"/>
      <c r="AM148" s="796"/>
      <c r="AN148" s="795"/>
      <c r="AO148" s="795"/>
      <c r="AP148" s="795"/>
      <c r="AQ148" s="218"/>
      <c r="AR148" s="47"/>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row>
    <row r="149" spans="1:138" s="24" customFormat="1" x14ac:dyDescent="0.2">
      <c r="A149" s="219">
        <f t="shared" si="11"/>
        <v>44700</v>
      </c>
      <c r="B149" s="220">
        <f t="shared" si="8"/>
        <v>5</v>
      </c>
      <c r="C149" s="221">
        <f t="shared" si="9"/>
        <v>5</v>
      </c>
      <c r="D149" s="795"/>
      <c r="E149" s="795"/>
      <c r="F149" s="796"/>
      <c r="G149" s="796"/>
      <c r="H149" s="796"/>
      <c r="I149" s="795"/>
      <c r="J149" s="795"/>
      <c r="K149" s="796"/>
      <c r="L149" s="796"/>
      <c r="M149" s="796"/>
      <c r="N149" s="795"/>
      <c r="O149" s="795"/>
      <c r="P149" s="795"/>
      <c r="Q149" s="795"/>
      <c r="R149" s="795"/>
      <c r="S149" s="795"/>
      <c r="T149" s="795"/>
      <c r="U149" s="795"/>
      <c r="V149" s="795"/>
      <c r="W149" s="795"/>
      <c r="X149" s="795"/>
      <c r="Y149" s="795"/>
      <c r="Z149" s="796"/>
      <c r="AA149" s="795"/>
      <c r="AB149" s="329" t="str">
        <f>basis!$B$19</f>
        <v/>
      </c>
      <c r="AC149" s="795"/>
      <c r="AD149" s="795"/>
      <c r="AE149" s="795"/>
      <c r="AF149" s="795"/>
      <c r="AG149" s="892"/>
      <c r="AH149" s="225" t="str">
        <f t="shared" si="10"/>
        <v/>
      </c>
      <c r="AI149" s="795"/>
      <c r="AJ149" s="796"/>
      <c r="AK149" s="796"/>
      <c r="AL149" s="795"/>
      <c r="AM149" s="796"/>
      <c r="AN149" s="795"/>
      <c r="AO149" s="795"/>
      <c r="AP149" s="795"/>
      <c r="AQ149" s="218"/>
      <c r="AR149" s="47"/>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row>
    <row r="150" spans="1:138" s="24" customFormat="1" x14ac:dyDescent="0.2">
      <c r="A150" s="219">
        <f t="shared" si="11"/>
        <v>44701</v>
      </c>
      <c r="B150" s="220">
        <f t="shared" si="8"/>
        <v>5</v>
      </c>
      <c r="C150" s="221">
        <f t="shared" si="9"/>
        <v>6</v>
      </c>
      <c r="D150" s="795"/>
      <c r="E150" s="795"/>
      <c r="F150" s="796"/>
      <c r="G150" s="796"/>
      <c r="H150" s="796"/>
      <c r="I150" s="795"/>
      <c r="J150" s="795"/>
      <c r="K150" s="796"/>
      <c r="L150" s="796"/>
      <c r="M150" s="796"/>
      <c r="N150" s="795"/>
      <c r="O150" s="795"/>
      <c r="P150" s="795"/>
      <c r="Q150" s="795"/>
      <c r="R150" s="795"/>
      <c r="S150" s="795"/>
      <c r="T150" s="795"/>
      <c r="U150" s="795"/>
      <c r="V150" s="795"/>
      <c r="W150" s="795"/>
      <c r="X150" s="795"/>
      <c r="Y150" s="795"/>
      <c r="Z150" s="796"/>
      <c r="AA150" s="795"/>
      <c r="AB150" s="329" t="str">
        <f>basis!$B$19</f>
        <v/>
      </c>
      <c r="AC150" s="795"/>
      <c r="AD150" s="795"/>
      <c r="AE150" s="795"/>
      <c r="AF150" s="795"/>
      <c r="AG150" s="892"/>
      <c r="AH150" s="225" t="str">
        <f t="shared" si="10"/>
        <v/>
      </c>
      <c r="AI150" s="795"/>
      <c r="AJ150" s="796"/>
      <c r="AK150" s="796"/>
      <c r="AL150" s="795"/>
      <c r="AM150" s="796"/>
      <c r="AN150" s="795"/>
      <c r="AO150" s="795"/>
      <c r="AP150" s="795"/>
      <c r="AQ150" s="218"/>
      <c r="AR150" s="47"/>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row>
    <row r="151" spans="1:138" s="24" customFormat="1" x14ac:dyDescent="0.2">
      <c r="A151" s="219">
        <f t="shared" si="11"/>
        <v>44702</v>
      </c>
      <c r="B151" s="220">
        <f t="shared" si="8"/>
        <v>5</v>
      </c>
      <c r="C151" s="221">
        <f t="shared" si="9"/>
        <v>7</v>
      </c>
      <c r="D151" s="795"/>
      <c r="E151" s="795"/>
      <c r="F151" s="796"/>
      <c r="G151" s="796"/>
      <c r="H151" s="796"/>
      <c r="I151" s="795"/>
      <c r="J151" s="795"/>
      <c r="K151" s="796"/>
      <c r="L151" s="796"/>
      <c r="M151" s="796"/>
      <c r="N151" s="795"/>
      <c r="O151" s="795"/>
      <c r="P151" s="795"/>
      <c r="Q151" s="795"/>
      <c r="R151" s="795"/>
      <c r="S151" s="795"/>
      <c r="T151" s="795"/>
      <c r="U151" s="795"/>
      <c r="V151" s="795"/>
      <c r="W151" s="795"/>
      <c r="X151" s="795"/>
      <c r="Y151" s="795"/>
      <c r="Z151" s="796"/>
      <c r="AA151" s="795"/>
      <c r="AB151" s="329" t="str">
        <f>basis!$B$19</f>
        <v/>
      </c>
      <c r="AC151" s="795"/>
      <c r="AD151" s="795"/>
      <c r="AE151" s="795"/>
      <c r="AF151" s="795"/>
      <c r="AG151" s="892"/>
      <c r="AH151" s="225" t="str">
        <f t="shared" si="10"/>
        <v/>
      </c>
      <c r="AI151" s="795"/>
      <c r="AJ151" s="796"/>
      <c r="AK151" s="796"/>
      <c r="AL151" s="795"/>
      <c r="AM151" s="796"/>
      <c r="AN151" s="795"/>
      <c r="AO151" s="795"/>
      <c r="AP151" s="795"/>
      <c r="AQ151" s="218"/>
      <c r="AR151" s="47"/>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row>
    <row r="152" spans="1:138" s="24" customFormat="1" x14ac:dyDescent="0.2">
      <c r="A152" s="219">
        <f t="shared" si="11"/>
        <v>44703</v>
      </c>
      <c r="B152" s="220">
        <f t="shared" si="8"/>
        <v>5</v>
      </c>
      <c r="C152" s="221">
        <f t="shared" si="9"/>
        <v>1</v>
      </c>
      <c r="D152" s="795"/>
      <c r="E152" s="795"/>
      <c r="F152" s="796"/>
      <c r="G152" s="796"/>
      <c r="H152" s="796"/>
      <c r="I152" s="795"/>
      <c r="J152" s="795"/>
      <c r="K152" s="796"/>
      <c r="L152" s="796"/>
      <c r="M152" s="796"/>
      <c r="N152" s="795"/>
      <c r="O152" s="795"/>
      <c r="P152" s="795"/>
      <c r="Q152" s="795"/>
      <c r="R152" s="795"/>
      <c r="S152" s="795"/>
      <c r="T152" s="795"/>
      <c r="U152" s="795"/>
      <c r="V152" s="795"/>
      <c r="W152" s="795"/>
      <c r="X152" s="795"/>
      <c r="Y152" s="795"/>
      <c r="Z152" s="796"/>
      <c r="AA152" s="795"/>
      <c r="AB152" s="329" t="str">
        <f>basis!$B$19</f>
        <v/>
      </c>
      <c r="AC152" s="795"/>
      <c r="AD152" s="795"/>
      <c r="AE152" s="795"/>
      <c r="AF152" s="795"/>
      <c r="AG152" s="892"/>
      <c r="AH152" s="225" t="str">
        <f t="shared" si="10"/>
        <v/>
      </c>
      <c r="AI152" s="795"/>
      <c r="AJ152" s="796"/>
      <c r="AK152" s="796"/>
      <c r="AL152" s="795"/>
      <c r="AM152" s="796"/>
      <c r="AN152" s="795"/>
      <c r="AO152" s="795"/>
      <c r="AP152" s="795"/>
      <c r="AQ152" s="218"/>
      <c r="AR152" s="47"/>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row>
    <row r="153" spans="1:138" s="24" customFormat="1" x14ac:dyDescent="0.2">
      <c r="A153" s="219">
        <f t="shared" si="11"/>
        <v>44704</v>
      </c>
      <c r="B153" s="220">
        <f t="shared" si="8"/>
        <v>5</v>
      </c>
      <c r="C153" s="221">
        <f t="shared" si="9"/>
        <v>2</v>
      </c>
      <c r="D153" s="795"/>
      <c r="E153" s="795"/>
      <c r="F153" s="796"/>
      <c r="G153" s="796"/>
      <c r="H153" s="796"/>
      <c r="I153" s="795"/>
      <c r="J153" s="795"/>
      <c r="K153" s="796"/>
      <c r="L153" s="796"/>
      <c r="M153" s="796"/>
      <c r="N153" s="795"/>
      <c r="O153" s="795"/>
      <c r="P153" s="795"/>
      <c r="Q153" s="795"/>
      <c r="R153" s="795"/>
      <c r="S153" s="795"/>
      <c r="T153" s="795"/>
      <c r="U153" s="795"/>
      <c r="V153" s="795"/>
      <c r="W153" s="795"/>
      <c r="X153" s="795"/>
      <c r="Y153" s="795"/>
      <c r="Z153" s="796"/>
      <c r="AA153" s="795"/>
      <c r="AB153" s="329" t="str">
        <f>basis!$B$19</f>
        <v/>
      </c>
      <c r="AC153" s="795"/>
      <c r="AD153" s="795"/>
      <c r="AE153" s="795"/>
      <c r="AF153" s="795"/>
      <c r="AG153" s="892"/>
      <c r="AH153" s="225" t="str">
        <f t="shared" si="10"/>
        <v/>
      </c>
      <c r="AI153" s="795"/>
      <c r="AJ153" s="796"/>
      <c r="AK153" s="796"/>
      <c r="AL153" s="795"/>
      <c r="AM153" s="796"/>
      <c r="AN153" s="795"/>
      <c r="AO153" s="795"/>
      <c r="AP153" s="795"/>
      <c r="AQ153" s="218"/>
      <c r="AR153" s="47"/>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row>
    <row r="154" spans="1:138" s="24" customFormat="1" x14ac:dyDescent="0.2">
      <c r="A154" s="219">
        <f t="shared" si="11"/>
        <v>44705</v>
      </c>
      <c r="B154" s="220">
        <f t="shared" si="8"/>
        <v>5</v>
      </c>
      <c r="C154" s="221">
        <f t="shared" si="9"/>
        <v>3</v>
      </c>
      <c r="D154" s="795"/>
      <c r="E154" s="795"/>
      <c r="F154" s="796"/>
      <c r="G154" s="796"/>
      <c r="H154" s="796"/>
      <c r="I154" s="795"/>
      <c r="J154" s="795"/>
      <c r="K154" s="796"/>
      <c r="L154" s="796"/>
      <c r="M154" s="796"/>
      <c r="N154" s="795"/>
      <c r="O154" s="795"/>
      <c r="P154" s="795"/>
      <c r="Q154" s="795"/>
      <c r="R154" s="795"/>
      <c r="S154" s="795"/>
      <c r="T154" s="795"/>
      <c r="U154" s="795"/>
      <c r="V154" s="795"/>
      <c r="W154" s="795"/>
      <c r="X154" s="795"/>
      <c r="Y154" s="795"/>
      <c r="Z154" s="796"/>
      <c r="AA154" s="795"/>
      <c r="AB154" s="329" t="str">
        <f>basis!$B$19</f>
        <v/>
      </c>
      <c r="AC154" s="795"/>
      <c r="AD154" s="795"/>
      <c r="AE154" s="795"/>
      <c r="AF154" s="795"/>
      <c r="AG154" s="892"/>
      <c r="AH154" s="225" t="str">
        <f t="shared" si="10"/>
        <v/>
      </c>
      <c r="AI154" s="795"/>
      <c r="AJ154" s="796"/>
      <c r="AK154" s="796"/>
      <c r="AL154" s="795"/>
      <c r="AM154" s="796"/>
      <c r="AN154" s="795"/>
      <c r="AO154" s="795"/>
      <c r="AP154" s="795"/>
      <c r="AQ154" s="218"/>
      <c r="AR154" s="47"/>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row>
    <row r="155" spans="1:138" s="24" customFormat="1" x14ac:dyDescent="0.2">
      <c r="A155" s="219">
        <f t="shared" si="11"/>
        <v>44706</v>
      </c>
      <c r="B155" s="220">
        <f t="shared" si="8"/>
        <v>5</v>
      </c>
      <c r="C155" s="221">
        <f t="shared" si="9"/>
        <v>4</v>
      </c>
      <c r="D155" s="795"/>
      <c r="E155" s="795"/>
      <c r="F155" s="796"/>
      <c r="G155" s="796"/>
      <c r="H155" s="796"/>
      <c r="I155" s="795"/>
      <c r="J155" s="795"/>
      <c r="K155" s="796"/>
      <c r="L155" s="796"/>
      <c r="M155" s="796"/>
      <c r="N155" s="795"/>
      <c r="O155" s="795"/>
      <c r="P155" s="795"/>
      <c r="Q155" s="795"/>
      <c r="R155" s="795"/>
      <c r="S155" s="795"/>
      <c r="T155" s="795"/>
      <c r="U155" s="795"/>
      <c r="V155" s="795"/>
      <c r="W155" s="795"/>
      <c r="X155" s="795"/>
      <c r="Y155" s="795"/>
      <c r="Z155" s="796"/>
      <c r="AA155" s="795"/>
      <c r="AB155" s="329" t="str">
        <f>basis!$B$19</f>
        <v/>
      </c>
      <c r="AC155" s="795"/>
      <c r="AD155" s="795"/>
      <c r="AE155" s="795"/>
      <c r="AF155" s="795"/>
      <c r="AG155" s="892"/>
      <c r="AH155" s="225" t="str">
        <f t="shared" si="10"/>
        <v/>
      </c>
      <c r="AI155" s="795"/>
      <c r="AJ155" s="796"/>
      <c r="AK155" s="796"/>
      <c r="AL155" s="795"/>
      <c r="AM155" s="796"/>
      <c r="AN155" s="795"/>
      <c r="AO155" s="795"/>
      <c r="AP155" s="795"/>
      <c r="AQ155" s="218"/>
      <c r="AR155" s="47"/>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row>
    <row r="156" spans="1:138" s="24" customFormat="1" x14ac:dyDescent="0.2">
      <c r="A156" s="219">
        <f t="shared" si="11"/>
        <v>44707</v>
      </c>
      <c r="B156" s="220">
        <f t="shared" si="8"/>
        <v>5</v>
      </c>
      <c r="C156" s="221">
        <f t="shared" si="9"/>
        <v>5</v>
      </c>
      <c r="D156" s="795"/>
      <c r="E156" s="795"/>
      <c r="F156" s="796"/>
      <c r="G156" s="796"/>
      <c r="H156" s="796"/>
      <c r="I156" s="795"/>
      <c r="J156" s="795"/>
      <c r="K156" s="796"/>
      <c r="L156" s="796"/>
      <c r="M156" s="796"/>
      <c r="N156" s="795"/>
      <c r="O156" s="795"/>
      <c r="P156" s="795"/>
      <c r="Q156" s="795"/>
      <c r="R156" s="795"/>
      <c r="S156" s="795"/>
      <c r="T156" s="795"/>
      <c r="U156" s="795"/>
      <c r="V156" s="795"/>
      <c r="W156" s="795"/>
      <c r="X156" s="795"/>
      <c r="Y156" s="795"/>
      <c r="Z156" s="796"/>
      <c r="AA156" s="795"/>
      <c r="AB156" s="329" t="str">
        <f>basis!$B$19</f>
        <v/>
      </c>
      <c r="AC156" s="795"/>
      <c r="AD156" s="795"/>
      <c r="AE156" s="795"/>
      <c r="AF156" s="795"/>
      <c r="AG156" s="892"/>
      <c r="AH156" s="225" t="str">
        <f t="shared" si="10"/>
        <v/>
      </c>
      <c r="AI156" s="795"/>
      <c r="AJ156" s="796"/>
      <c r="AK156" s="796"/>
      <c r="AL156" s="795"/>
      <c r="AM156" s="796"/>
      <c r="AN156" s="795"/>
      <c r="AO156" s="795"/>
      <c r="AP156" s="795"/>
      <c r="AQ156" s="218"/>
      <c r="AR156" s="47"/>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row>
    <row r="157" spans="1:138" s="24" customFormat="1" x14ac:dyDescent="0.2">
      <c r="A157" s="219">
        <f t="shared" si="11"/>
        <v>44708</v>
      </c>
      <c r="B157" s="220">
        <f t="shared" si="8"/>
        <v>5</v>
      </c>
      <c r="C157" s="221">
        <f t="shared" si="9"/>
        <v>6</v>
      </c>
      <c r="D157" s="795"/>
      <c r="E157" s="795"/>
      <c r="F157" s="796"/>
      <c r="G157" s="796"/>
      <c r="H157" s="796"/>
      <c r="I157" s="795"/>
      <c r="J157" s="795"/>
      <c r="K157" s="796"/>
      <c r="L157" s="796"/>
      <c r="M157" s="796"/>
      <c r="N157" s="795"/>
      <c r="O157" s="795"/>
      <c r="P157" s="795"/>
      <c r="Q157" s="795"/>
      <c r="R157" s="795"/>
      <c r="S157" s="795"/>
      <c r="T157" s="795"/>
      <c r="U157" s="795"/>
      <c r="V157" s="795"/>
      <c r="W157" s="795"/>
      <c r="X157" s="795"/>
      <c r="Y157" s="795"/>
      <c r="Z157" s="796"/>
      <c r="AA157" s="795"/>
      <c r="AB157" s="329" t="str">
        <f>basis!$B$19</f>
        <v/>
      </c>
      <c r="AC157" s="795"/>
      <c r="AD157" s="795"/>
      <c r="AE157" s="795"/>
      <c r="AF157" s="795"/>
      <c r="AG157" s="892"/>
      <c r="AH157" s="225" t="str">
        <f t="shared" si="10"/>
        <v/>
      </c>
      <c r="AI157" s="795"/>
      <c r="AJ157" s="796"/>
      <c r="AK157" s="796"/>
      <c r="AL157" s="795"/>
      <c r="AM157" s="796"/>
      <c r="AN157" s="795"/>
      <c r="AO157" s="795"/>
      <c r="AP157" s="795"/>
      <c r="AQ157" s="218"/>
      <c r="AR157" s="47"/>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row>
    <row r="158" spans="1:138" s="24" customFormat="1" x14ac:dyDescent="0.2">
      <c r="A158" s="219">
        <f t="shared" si="11"/>
        <v>44709</v>
      </c>
      <c r="B158" s="220">
        <f t="shared" si="8"/>
        <v>5</v>
      </c>
      <c r="C158" s="221">
        <f t="shared" si="9"/>
        <v>7</v>
      </c>
      <c r="D158" s="795"/>
      <c r="E158" s="795"/>
      <c r="F158" s="796"/>
      <c r="G158" s="796"/>
      <c r="H158" s="796"/>
      <c r="I158" s="795"/>
      <c r="J158" s="795"/>
      <c r="K158" s="796"/>
      <c r="L158" s="796"/>
      <c r="M158" s="796"/>
      <c r="N158" s="795"/>
      <c r="O158" s="795"/>
      <c r="P158" s="795"/>
      <c r="Q158" s="795"/>
      <c r="R158" s="795"/>
      <c r="S158" s="795"/>
      <c r="T158" s="795"/>
      <c r="U158" s="795"/>
      <c r="V158" s="795"/>
      <c r="W158" s="795"/>
      <c r="X158" s="795"/>
      <c r="Y158" s="795"/>
      <c r="Z158" s="796"/>
      <c r="AA158" s="795"/>
      <c r="AB158" s="329" t="str">
        <f>basis!$B$19</f>
        <v/>
      </c>
      <c r="AC158" s="795"/>
      <c r="AD158" s="795"/>
      <c r="AE158" s="795"/>
      <c r="AF158" s="795"/>
      <c r="AG158" s="892"/>
      <c r="AH158" s="225" t="str">
        <f t="shared" si="10"/>
        <v/>
      </c>
      <c r="AI158" s="795"/>
      <c r="AJ158" s="796"/>
      <c r="AK158" s="796"/>
      <c r="AL158" s="795"/>
      <c r="AM158" s="796"/>
      <c r="AN158" s="795"/>
      <c r="AO158" s="795"/>
      <c r="AP158" s="795"/>
      <c r="AQ158" s="218"/>
      <c r="AR158" s="47"/>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row>
    <row r="159" spans="1:138" s="24" customFormat="1" x14ac:dyDescent="0.2">
      <c r="A159" s="219">
        <f t="shared" si="11"/>
        <v>44710</v>
      </c>
      <c r="B159" s="220">
        <f t="shared" si="8"/>
        <v>5</v>
      </c>
      <c r="C159" s="221">
        <f t="shared" si="9"/>
        <v>1</v>
      </c>
      <c r="D159" s="795"/>
      <c r="E159" s="795"/>
      <c r="F159" s="796"/>
      <c r="G159" s="796"/>
      <c r="H159" s="796"/>
      <c r="I159" s="795"/>
      <c r="J159" s="795"/>
      <c r="K159" s="796"/>
      <c r="L159" s="796"/>
      <c r="M159" s="796"/>
      <c r="N159" s="795"/>
      <c r="O159" s="795"/>
      <c r="P159" s="795"/>
      <c r="Q159" s="795"/>
      <c r="R159" s="795"/>
      <c r="S159" s="795"/>
      <c r="T159" s="795"/>
      <c r="U159" s="795"/>
      <c r="V159" s="795"/>
      <c r="W159" s="795"/>
      <c r="X159" s="795"/>
      <c r="Y159" s="795"/>
      <c r="Z159" s="796"/>
      <c r="AA159" s="795"/>
      <c r="AB159" s="329" t="str">
        <f>basis!$B$19</f>
        <v/>
      </c>
      <c r="AC159" s="795"/>
      <c r="AD159" s="795"/>
      <c r="AE159" s="795"/>
      <c r="AF159" s="795"/>
      <c r="AG159" s="892"/>
      <c r="AH159" s="225" t="str">
        <f t="shared" si="10"/>
        <v/>
      </c>
      <c r="AI159" s="795"/>
      <c r="AJ159" s="796"/>
      <c r="AK159" s="796"/>
      <c r="AL159" s="795"/>
      <c r="AM159" s="796"/>
      <c r="AN159" s="795"/>
      <c r="AO159" s="795"/>
      <c r="AP159" s="795"/>
      <c r="AQ159" s="218"/>
      <c r="AR159" s="47"/>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row>
    <row r="160" spans="1:138" s="24" customFormat="1" x14ac:dyDescent="0.2">
      <c r="A160" s="219">
        <f t="shared" si="11"/>
        <v>44711</v>
      </c>
      <c r="B160" s="220">
        <f t="shared" si="8"/>
        <v>5</v>
      </c>
      <c r="C160" s="221">
        <f t="shared" si="9"/>
        <v>2</v>
      </c>
      <c r="D160" s="795"/>
      <c r="E160" s="795"/>
      <c r="F160" s="796"/>
      <c r="G160" s="796"/>
      <c r="H160" s="796"/>
      <c r="I160" s="795"/>
      <c r="J160" s="795"/>
      <c r="K160" s="796"/>
      <c r="L160" s="796"/>
      <c r="M160" s="796"/>
      <c r="N160" s="795"/>
      <c r="O160" s="795"/>
      <c r="P160" s="795"/>
      <c r="Q160" s="795"/>
      <c r="R160" s="795"/>
      <c r="S160" s="795"/>
      <c r="T160" s="795"/>
      <c r="U160" s="795"/>
      <c r="V160" s="795"/>
      <c r="W160" s="795"/>
      <c r="X160" s="795"/>
      <c r="Y160" s="795"/>
      <c r="Z160" s="796"/>
      <c r="AA160" s="795"/>
      <c r="AB160" s="329" t="str">
        <f>basis!$B$19</f>
        <v/>
      </c>
      <c r="AC160" s="795"/>
      <c r="AD160" s="795"/>
      <c r="AE160" s="795"/>
      <c r="AF160" s="795"/>
      <c r="AG160" s="892"/>
      <c r="AH160" s="225" t="str">
        <f t="shared" si="10"/>
        <v/>
      </c>
      <c r="AI160" s="795"/>
      <c r="AJ160" s="796"/>
      <c r="AK160" s="796"/>
      <c r="AL160" s="795"/>
      <c r="AM160" s="796"/>
      <c r="AN160" s="795"/>
      <c r="AO160" s="795"/>
      <c r="AP160" s="795"/>
      <c r="AQ160" s="218"/>
      <c r="AR160" s="47"/>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row>
    <row r="161" spans="1:138" s="24" customFormat="1" x14ac:dyDescent="0.2">
      <c r="A161" s="219">
        <f t="shared" si="11"/>
        <v>44712</v>
      </c>
      <c r="B161" s="220">
        <f t="shared" si="8"/>
        <v>5</v>
      </c>
      <c r="C161" s="221">
        <f t="shared" si="9"/>
        <v>3</v>
      </c>
      <c r="D161" s="795"/>
      <c r="E161" s="795"/>
      <c r="F161" s="796"/>
      <c r="G161" s="796"/>
      <c r="H161" s="796"/>
      <c r="I161" s="795"/>
      <c r="J161" s="795"/>
      <c r="K161" s="796"/>
      <c r="L161" s="796"/>
      <c r="M161" s="796"/>
      <c r="N161" s="795"/>
      <c r="O161" s="795"/>
      <c r="P161" s="795"/>
      <c r="Q161" s="795"/>
      <c r="R161" s="795"/>
      <c r="S161" s="795"/>
      <c r="T161" s="795"/>
      <c r="U161" s="795"/>
      <c r="V161" s="795"/>
      <c r="W161" s="795"/>
      <c r="X161" s="795"/>
      <c r="Y161" s="795"/>
      <c r="Z161" s="796"/>
      <c r="AA161" s="795"/>
      <c r="AB161" s="329" t="str">
        <f>basis!$B$19</f>
        <v/>
      </c>
      <c r="AC161" s="795"/>
      <c r="AD161" s="795"/>
      <c r="AE161" s="795"/>
      <c r="AF161" s="795"/>
      <c r="AG161" s="892"/>
      <c r="AH161" s="225" t="str">
        <f t="shared" si="10"/>
        <v/>
      </c>
      <c r="AI161" s="795"/>
      <c r="AJ161" s="796"/>
      <c r="AK161" s="796"/>
      <c r="AL161" s="795"/>
      <c r="AM161" s="796"/>
      <c r="AN161" s="795"/>
      <c r="AO161" s="795"/>
      <c r="AP161" s="795"/>
      <c r="AQ161" s="218"/>
      <c r="AR161" s="47"/>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row>
    <row r="162" spans="1:138" s="24" customFormat="1" x14ac:dyDescent="0.2">
      <c r="A162" s="219">
        <f t="shared" si="11"/>
        <v>44713</v>
      </c>
      <c r="B162" s="220">
        <f t="shared" si="8"/>
        <v>6</v>
      </c>
      <c r="C162" s="221">
        <f t="shared" si="9"/>
        <v>4</v>
      </c>
      <c r="D162" s="795"/>
      <c r="E162" s="795"/>
      <c r="F162" s="796"/>
      <c r="G162" s="796"/>
      <c r="H162" s="796"/>
      <c r="I162" s="795"/>
      <c r="J162" s="795"/>
      <c r="K162" s="796"/>
      <c r="L162" s="796"/>
      <c r="M162" s="796"/>
      <c r="N162" s="795"/>
      <c r="O162" s="795"/>
      <c r="P162" s="795"/>
      <c r="Q162" s="795"/>
      <c r="R162" s="795"/>
      <c r="S162" s="795"/>
      <c r="T162" s="795"/>
      <c r="U162" s="795"/>
      <c r="V162" s="795"/>
      <c r="W162" s="795"/>
      <c r="X162" s="795"/>
      <c r="Y162" s="795"/>
      <c r="Z162" s="796"/>
      <c r="AA162" s="795"/>
      <c r="AB162" s="329" t="str">
        <f>basis!$B$19</f>
        <v/>
      </c>
      <c r="AC162" s="795"/>
      <c r="AD162" s="795"/>
      <c r="AE162" s="795"/>
      <c r="AF162" s="795"/>
      <c r="AG162" s="892"/>
      <c r="AH162" s="225" t="str">
        <f t="shared" si="10"/>
        <v/>
      </c>
      <c r="AI162" s="795"/>
      <c r="AJ162" s="796"/>
      <c r="AK162" s="796"/>
      <c r="AL162" s="795"/>
      <c r="AM162" s="796"/>
      <c r="AN162" s="795"/>
      <c r="AO162" s="795"/>
      <c r="AP162" s="795"/>
      <c r="AQ162" s="218"/>
      <c r="AR162" s="47"/>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row>
    <row r="163" spans="1:138" s="24" customFormat="1" x14ac:dyDescent="0.2">
      <c r="A163" s="219">
        <f t="shared" si="11"/>
        <v>44714</v>
      </c>
      <c r="B163" s="220">
        <f t="shared" si="8"/>
        <v>6</v>
      </c>
      <c r="C163" s="221">
        <f t="shared" si="9"/>
        <v>5</v>
      </c>
      <c r="D163" s="795"/>
      <c r="E163" s="795"/>
      <c r="F163" s="796"/>
      <c r="G163" s="796"/>
      <c r="H163" s="796"/>
      <c r="I163" s="795"/>
      <c r="J163" s="795"/>
      <c r="K163" s="796"/>
      <c r="L163" s="796"/>
      <c r="M163" s="796"/>
      <c r="N163" s="795"/>
      <c r="O163" s="795"/>
      <c r="P163" s="795"/>
      <c r="Q163" s="795"/>
      <c r="R163" s="795"/>
      <c r="S163" s="795"/>
      <c r="T163" s="795"/>
      <c r="U163" s="795"/>
      <c r="V163" s="795"/>
      <c r="W163" s="795"/>
      <c r="X163" s="795"/>
      <c r="Y163" s="795"/>
      <c r="Z163" s="796"/>
      <c r="AA163" s="795"/>
      <c r="AB163" s="329" t="str">
        <f>basis!$B$19</f>
        <v/>
      </c>
      <c r="AC163" s="795"/>
      <c r="AD163" s="795"/>
      <c r="AE163" s="795"/>
      <c r="AF163" s="795"/>
      <c r="AG163" s="892"/>
      <c r="AH163" s="225" t="str">
        <f t="shared" si="10"/>
        <v/>
      </c>
      <c r="AI163" s="795"/>
      <c r="AJ163" s="796"/>
      <c r="AK163" s="796"/>
      <c r="AL163" s="795"/>
      <c r="AM163" s="796"/>
      <c r="AN163" s="795"/>
      <c r="AO163" s="795"/>
      <c r="AP163" s="795"/>
      <c r="AQ163" s="218"/>
      <c r="AR163" s="47"/>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row>
    <row r="164" spans="1:138" s="24" customFormat="1" x14ac:dyDescent="0.2">
      <c r="A164" s="219">
        <f t="shared" si="11"/>
        <v>44715</v>
      </c>
      <c r="B164" s="220">
        <f t="shared" si="8"/>
        <v>6</v>
      </c>
      <c r="C164" s="221">
        <f t="shared" si="9"/>
        <v>6</v>
      </c>
      <c r="D164" s="795"/>
      <c r="E164" s="795"/>
      <c r="F164" s="796"/>
      <c r="G164" s="796"/>
      <c r="H164" s="796"/>
      <c r="I164" s="795"/>
      <c r="J164" s="795"/>
      <c r="K164" s="796"/>
      <c r="L164" s="796"/>
      <c r="M164" s="796"/>
      <c r="N164" s="795"/>
      <c r="O164" s="795"/>
      <c r="P164" s="795"/>
      <c r="Q164" s="795"/>
      <c r="R164" s="795"/>
      <c r="S164" s="795"/>
      <c r="T164" s="795"/>
      <c r="U164" s="795"/>
      <c r="V164" s="795"/>
      <c r="W164" s="795"/>
      <c r="X164" s="795"/>
      <c r="Y164" s="795"/>
      <c r="Z164" s="796"/>
      <c r="AA164" s="795"/>
      <c r="AB164" s="329" t="str">
        <f>basis!$B$19</f>
        <v/>
      </c>
      <c r="AC164" s="795"/>
      <c r="AD164" s="795"/>
      <c r="AE164" s="795"/>
      <c r="AF164" s="795"/>
      <c r="AG164" s="892"/>
      <c r="AH164" s="225" t="str">
        <f t="shared" si="10"/>
        <v/>
      </c>
      <c r="AI164" s="795"/>
      <c r="AJ164" s="796"/>
      <c r="AK164" s="796"/>
      <c r="AL164" s="795"/>
      <c r="AM164" s="796"/>
      <c r="AN164" s="795"/>
      <c r="AO164" s="795"/>
      <c r="AP164" s="795"/>
      <c r="AQ164" s="218"/>
      <c r="AR164" s="47"/>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row>
    <row r="165" spans="1:138" s="24" customFormat="1" x14ac:dyDescent="0.2">
      <c r="A165" s="219">
        <f t="shared" si="11"/>
        <v>44716</v>
      </c>
      <c r="B165" s="220">
        <f t="shared" si="8"/>
        <v>6</v>
      </c>
      <c r="C165" s="221">
        <f t="shared" si="9"/>
        <v>7</v>
      </c>
      <c r="D165" s="795"/>
      <c r="E165" s="795"/>
      <c r="F165" s="796"/>
      <c r="G165" s="796"/>
      <c r="H165" s="796"/>
      <c r="I165" s="795"/>
      <c r="J165" s="795"/>
      <c r="K165" s="796"/>
      <c r="L165" s="796"/>
      <c r="M165" s="796"/>
      <c r="N165" s="795"/>
      <c r="O165" s="795"/>
      <c r="P165" s="795"/>
      <c r="Q165" s="795"/>
      <c r="R165" s="795"/>
      <c r="S165" s="795"/>
      <c r="T165" s="795"/>
      <c r="U165" s="795"/>
      <c r="V165" s="795"/>
      <c r="W165" s="795"/>
      <c r="X165" s="795"/>
      <c r="Y165" s="795"/>
      <c r="Z165" s="796"/>
      <c r="AA165" s="795"/>
      <c r="AB165" s="329" t="str">
        <f>basis!$B$19</f>
        <v/>
      </c>
      <c r="AC165" s="795"/>
      <c r="AD165" s="795"/>
      <c r="AE165" s="795"/>
      <c r="AF165" s="795"/>
      <c r="AG165" s="892"/>
      <c r="AH165" s="225" t="str">
        <f t="shared" si="10"/>
        <v/>
      </c>
      <c r="AI165" s="795"/>
      <c r="AJ165" s="796"/>
      <c r="AK165" s="796"/>
      <c r="AL165" s="795"/>
      <c r="AM165" s="796"/>
      <c r="AN165" s="795"/>
      <c r="AO165" s="795"/>
      <c r="AP165" s="795"/>
      <c r="AQ165" s="218"/>
      <c r="AR165" s="47"/>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row>
    <row r="166" spans="1:138" s="24" customFormat="1" x14ac:dyDescent="0.2">
      <c r="A166" s="219">
        <f t="shared" si="11"/>
        <v>44717</v>
      </c>
      <c r="B166" s="220">
        <f t="shared" si="8"/>
        <v>6</v>
      </c>
      <c r="C166" s="221">
        <f t="shared" si="9"/>
        <v>1</v>
      </c>
      <c r="D166" s="795"/>
      <c r="E166" s="795"/>
      <c r="F166" s="796"/>
      <c r="G166" s="796"/>
      <c r="H166" s="796"/>
      <c r="I166" s="795"/>
      <c r="J166" s="795"/>
      <c r="K166" s="796"/>
      <c r="L166" s="796"/>
      <c r="M166" s="796"/>
      <c r="N166" s="795"/>
      <c r="O166" s="795"/>
      <c r="P166" s="795"/>
      <c r="Q166" s="795"/>
      <c r="R166" s="795"/>
      <c r="S166" s="795"/>
      <c r="T166" s="795"/>
      <c r="U166" s="795"/>
      <c r="V166" s="795"/>
      <c r="W166" s="795"/>
      <c r="X166" s="795"/>
      <c r="Y166" s="795"/>
      <c r="Z166" s="796"/>
      <c r="AA166" s="795"/>
      <c r="AB166" s="329" t="str">
        <f>basis!$B$19</f>
        <v/>
      </c>
      <c r="AC166" s="795"/>
      <c r="AD166" s="795"/>
      <c r="AE166" s="795"/>
      <c r="AF166" s="795"/>
      <c r="AG166" s="892"/>
      <c r="AH166" s="225" t="str">
        <f t="shared" si="10"/>
        <v/>
      </c>
      <c r="AI166" s="795"/>
      <c r="AJ166" s="796"/>
      <c r="AK166" s="796"/>
      <c r="AL166" s="795"/>
      <c r="AM166" s="796"/>
      <c r="AN166" s="795"/>
      <c r="AO166" s="795"/>
      <c r="AP166" s="795"/>
      <c r="AQ166" s="218"/>
      <c r="AR166" s="47"/>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row>
    <row r="167" spans="1:138" s="24" customFormat="1" x14ac:dyDescent="0.2">
      <c r="A167" s="219">
        <f t="shared" si="11"/>
        <v>44718</v>
      </c>
      <c r="B167" s="220">
        <f t="shared" si="8"/>
        <v>6</v>
      </c>
      <c r="C167" s="221">
        <f t="shared" si="9"/>
        <v>2</v>
      </c>
      <c r="D167" s="795"/>
      <c r="E167" s="795"/>
      <c r="F167" s="796"/>
      <c r="G167" s="796"/>
      <c r="H167" s="796"/>
      <c r="I167" s="795"/>
      <c r="J167" s="795"/>
      <c r="K167" s="796"/>
      <c r="L167" s="796"/>
      <c r="M167" s="796"/>
      <c r="N167" s="795"/>
      <c r="O167" s="795"/>
      <c r="P167" s="795"/>
      <c r="Q167" s="795"/>
      <c r="R167" s="795"/>
      <c r="S167" s="795"/>
      <c r="T167" s="795"/>
      <c r="U167" s="795"/>
      <c r="V167" s="795"/>
      <c r="W167" s="795"/>
      <c r="X167" s="795"/>
      <c r="Y167" s="795"/>
      <c r="Z167" s="796"/>
      <c r="AA167" s="795"/>
      <c r="AB167" s="329" t="str">
        <f>basis!$B$19</f>
        <v/>
      </c>
      <c r="AC167" s="795"/>
      <c r="AD167" s="795"/>
      <c r="AE167" s="795"/>
      <c r="AF167" s="795"/>
      <c r="AG167" s="892"/>
      <c r="AH167" s="225" t="str">
        <f t="shared" si="10"/>
        <v/>
      </c>
      <c r="AI167" s="795"/>
      <c r="AJ167" s="796"/>
      <c r="AK167" s="796"/>
      <c r="AL167" s="795"/>
      <c r="AM167" s="796"/>
      <c r="AN167" s="795"/>
      <c r="AO167" s="795"/>
      <c r="AP167" s="795"/>
      <c r="AQ167" s="218"/>
      <c r="AR167" s="47"/>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row>
    <row r="168" spans="1:138" s="24" customFormat="1" x14ac:dyDescent="0.2">
      <c r="A168" s="219">
        <f t="shared" si="11"/>
        <v>44719</v>
      </c>
      <c r="B168" s="220">
        <f t="shared" si="8"/>
        <v>6</v>
      </c>
      <c r="C168" s="221">
        <f t="shared" si="9"/>
        <v>3</v>
      </c>
      <c r="D168" s="795"/>
      <c r="E168" s="795"/>
      <c r="F168" s="796"/>
      <c r="G168" s="796"/>
      <c r="H168" s="796"/>
      <c r="I168" s="795"/>
      <c r="J168" s="795"/>
      <c r="K168" s="796"/>
      <c r="L168" s="796"/>
      <c r="M168" s="796"/>
      <c r="N168" s="795"/>
      <c r="O168" s="795"/>
      <c r="P168" s="795"/>
      <c r="Q168" s="795"/>
      <c r="R168" s="795"/>
      <c r="S168" s="795"/>
      <c r="T168" s="795"/>
      <c r="U168" s="795"/>
      <c r="V168" s="795"/>
      <c r="W168" s="795"/>
      <c r="X168" s="795"/>
      <c r="Y168" s="795"/>
      <c r="Z168" s="796"/>
      <c r="AA168" s="795"/>
      <c r="AB168" s="329" t="str">
        <f>basis!$B$19</f>
        <v/>
      </c>
      <c r="AC168" s="795"/>
      <c r="AD168" s="795"/>
      <c r="AE168" s="795"/>
      <c r="AF168" s="795"/>
      <c r="AG168" s="892"/>
      <c r="AH168" s="225" t="str">
        <f t="shared" si="10"/>
        <v/>
      </c>
      <c r="AI168" s="795"/>
      <c r="AJ168" s="796"/>
      <c r="AK168" s="796"/>
      <c r="AL168" s="795"/>
      <c r="AM168" s="796"/>
      <c r="AN168" s="795"/>
      <c r="AO168" s="795"/>
      <c r="AP168" s="795"/>
      <c r="AQ168" s="218"/>
      <c r="AR168" s="47"/>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row>
    <row r="169" spans="1:138" s="24" customFormat="1" x14ac:dyDescent="0.2">
      <c r="A169" s="219">
        <f t="shared" si="11"/>
        <v>44720</v>
      </c>
      <c r="B169" s="220">
        <f t="shared" si="8"/>
        <v>6</v>
      </c>
      <c r="C169" s="221">
        <f t="shared" si="9"/>
        <v>4</v>
      </c>
      <c r="D169" s="795"/>
      <c r="E169" s="795"/>
      <c r="F169" s="796"/>
      <c r="G169" s="796"/>
      <c r="H169" s="796"/>
      <c r="I169" s="795"/>
      <c r="J169" s="795"/>
      <c r="K169" s="796"/>
      <c r="L169" s="796"/>
      <c r="M169" s="796"/>
      <c r="N169" s="795"/>
      <c r="O169" s="795"/>
      <c r="P169" s="795"/>
      <c r="Q169" s="795"/>
      <c r="R169" s="795"/>
      <c r="S169" s="795"/>
      <c r="T169" s="795"/>
      <c r="U169" s="795"/>
      <c r="V169" s="795"/>
      <c r="W169" s="795"/>
      <c r="X169" s="795"/>
      <c r="Y169" s="795"/>
      <c r="Z169" s="796"/>
      <c r="AA169" s="795"/>
      <c r="AB169" s="329" t="str">
        <f>basis!$B$19</f>
        <v/>
      </c>
      <c r="AC169" s="795"/>
      <c r="AD169" s="795"/>
      <c r="AE169" s="795"/>
      <c r="AF169" s="795"/>
      <c r="AG169" s="892"/>
      <c r="AH169" s="225" t="str">
        <f t="shared" si="10"/>
        <v/>
      </c>
      <c r="AI169" s="795"/>
      <c r="AJ169" s="796"/>
      <c r="AK169" s="796"/>
      <c r="AL169" s="795"/>
      <c r="AM169" s="796"/>
      <c r="AN169" s="795"/>
      <c r="AO169" s="795"/>
      <c r="AP169" s="795"/>
      <c r="AQ169" s="218"/>
      <c r="AR169" s="47"/>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row>
    <row r="170" spans="1:138" s="24" customFormat="1" x14ac:dyDescent="0.2">
      <c r="A170" s="219">
        <f t="shared" si="11"/>
        <v>44721</v>
      </c>
      <c r="B170" s="220">
        <f t="shared" si="8"/>
        <v>6</v>
      </c>
      <c r="C170" s="221">
        <f t="shared" si="9"/>
        <v>5</v>
      </c>
      <c r="D170" s="795"/>
      <c r="E170" s="795"/>
      <c r="F170" s="796"/>
      <c r="G170" s="796"/>
      <c r="H170" s="796"/>
      <c r="I170" s="795"/>
      <c r="J170" s="795"/>
      <c r="K170" s="796"/>
      <c r="L170" s="796"/>
      <c r="M170" s="796"/>
      <c r="N170" s="795"/>
      <c r="O170" s="795"/>
      <c r="P170" s="795"/>
      <c r="Q170" s="795"/>
      <c r="R170" s="795"/>
      <c r="S170" s="795"/>
      <c r="T170" s="795"/>
      <c r="U170" s="795"/>
      <c r="V170" s="795"/>
      <c r="W170" s="795"/>
      <c r="X170" s="795"/>
      <c r="Y170" s="795"/>
      <c r="Z170" s="796"/>
      <c r="AA170" s="795"/>
      <c r="AB170" s="329" t="str">
        <f>basis!$B$19</f>
        <v/>
      </c>
      <c r="AC170" s="795"/>
      <c r="AD170" s="795"/>
      <c r="AE170" s="795"/>
      <c r="AF170" s="795"/>
      <c r="AG170" s="892"/>
      <c r="AH170" s="225" t="str">
        <f t="shared" si="10"/>
        <v/>
      </c>
      <c r="AI170" s="795"/>
      <c r="AJ170" s="796"/>
      <c r="AK170" s="796"/>
      <c r="AL170" s="795"/>
      <c r="AM170" s="796"/>
      <c r="AN170" s="795"/>
      <c r="AO170" s="795"/>
      <c r="AP170" s="795"/>
      <c r="AQ170" s="218"/>
      <c r="AR170" s="47"/>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row>
    <row r="171" spans="1:138" s="24" customFormat="1" x14ac:dyDescent="0.2">
      <c r="A171" s="219">
        <f t="shared" si="11"/>
        <v>44722</v>
      </c>
      <c r="B171" s="220">
        <f t="shared" si="8"/>
        <v>6</v>
      </c>
      <c r="C171" s="221">
        <f t="shared" si="9"/>
        <v>6</v>
      </c>
      <c r="D171" s="795"/>
      <c r="E171" s="795"/>
      <c r="F171" s="796"/>
      <c r="G171" s="796"/>
      <c r="H171" s="796"/>
      <c r="I171" s="795"/>
      <c r="J171" s="795"/>
      <c r="K171" s="796"/>
      <c r="L171" s="796"/>
      <c r="M171" s="796"/>
      <c r="N171" s="795"/>
      <c r="O171" s="795"/>
      <c r="P171" s="795"/>
      <c r="Q171" s="795"/>
      <c r="R171" s="795"/>
      <c r="S171" s="795"/>
      <c r="T171" s="795"/>
      <c r="U171" s="795"/>
      <c r="V171" s="795"/>
      <c r="W171" s="795"/>
      <c r="X171" s="795"/>
      <c r="Y171" s="795"/>
      <c r="Z171" s="796"/>
      <c r="AA171" s="795"/>
      <c r="AB171" s="329" t="str">
        <f>basis!$B$19</f>
        <v/>
      </c>
      <c r="AC171" s="795"/>
      <c r="AD171" s="795"/>
      <c r="AE171" s="795"/>
      <c r="AF171" s="795"/>
      <c r="AG171" s="892"/>
      <c r="AH171" s="225" t="str">
        <f t="shared" si="10"/>
        <v/>
      </c>
      <c r="AI171" s="795"/>
      <c r="AJ171" s="796"/>
      <c r="AK171" s="796"/>
      <c r="AL171" s="795"/>
      <c r="AM171" s="796"/>
      <c r="AN171" s="795"/>
      <c r="AO171" s="795"/>
      <c r="AP171" s="795"/>
      <c r="AQ171" s="218"/>
      <c r="AR171" s="47"/>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row>
    <row r="172" spans="1:138" s="24" customFormat="1" x14ac:dyDescent="0.2">
      <c r="A172" s="219">
        <f t="shared" si="11"/>
        <v>44723</v>
      </c>
      <c r="B172" s="220">
        <f t="shared" si="8"/>
        <v>6</v>
      </c>
      <c r="C172" s="221">
        <f t="shared" si="9"/>
        <v>7</v>
      </c>
      <c r="D172" s="795"/>
      <c r="E172" s="795"/>
      <c r="F172" s="796"/>
      <c r="G172" s="796"/>
      <c r="H172" s="796"/>
      <c r="I172" s="795"/>
      <c r="J172" s="795"/>
      <c r="K172" s="796"/>
      <c r="L172" s="796"/>
      <c r="M172" s="796"/>
      <c r="N172" s="795"/>
      <c r="O172" s="795"/>
      <c r="P172" s="795"/>
      <c r="Q172" s="795"/>
      <c r="R172" s="795"/>
      <c r="S172" s="795"/>
      <c r="T172" s="795"/>
      <c r="U172" s="795"/>
      <c r="V172" s="795"/>
      <c r="W172" s="795"/>
      <c r="X172" s="795"/>
      <c r="Y172" s="795"/>
      <c r="Z172" s="796"/>
      <c r="AA172" s="795"/>
      <c r="AB172" s="329" t="str">
        <f>basis!$B$19</f>
        <v/>
      </c>
      <c r="AC172" s="795"/>
      <c r="AD172" s="795"/>
      <c r="AE172" s="795"/>
      <c r="AF172" s="795"/>
      <c r="AG172" s="892"/>
      <c r="AH172" s="225" t="str">
        <f t="shared" si="10"/>
        <v/>
      </c>
      <c r="AI172" s="795"/>
      <c r="AJ172" s="796"/>
      <c r="AK172" s="796"/>
      <c r="AL172" s="795"/>
      <c r="AM172" s="796"/>
      <c r="AN172" s="795"/>
      <c r="AO172" s="795"/>
      <c r="AP172" s="795"/>
      <c r="AQ172" s="218"/>
      <c r="AR172" s="47"/>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row>
    <row r="173" spans="1:138" s="24" customFormat="1" x14ac:dyDescent="0.2">
      <c r="A173" s="219">
        <f t="shared" si="11"/>
        <v>44724</v>
      </c>
      <c r="B173" s="220">
        <f t="shared" si="8"/>
        <v>6</v>
      </c>
      <c r="C173" s="221">
        <f t="shared" si="9"/>
        <v>1</v>
      </c>
      <c r="D173" s="795"/>
      <c r="E173" s="795"/>
      <c r="F173" s="796"/>
      <c r="G173" s="796"/>
      <c r="H173" s="796"/>
      <c r="I173" s="795"/>
      <c r="J173" s="795"/>
      <c r="K173" s="796"/>
      <c r="L173" s="796"/>
      <c r="M173" s="796"/>
      <c r="N173" s="795"/>
      <c r="O173" s="795"/>
      <c r="P173" s="795"/>
      <c r="Q173" s="795"/>
      <c r="R173" s="795"/>
      <c r="S173" s="795"/>
      <c r="T173" s="795"/>
      <c r="U173" s="795"/>
      <c r="V173" s="795"/>
      <c r="W173" s="795"/>
      <c r="X173" s="795"/>
      <c r="Y173" s="795"/>
      <c r="Z173" s="796"/>
      <c r="AA173" s="795"/>
      <c r="AB173" s="329" t="str">
        <f>basis!$B$19</f>
        <v/>
      </c>
      <c r="AC173" s="795"/>
      <c r="AD173" s="795"/>
      <c r="AE173" s="795"/>
      <c r="AF173" s="795"/>
      <c r="AG173" s="892"/>
      <c r="AH173" s="225" t="str">
        <f t="shared" si="10"/>
        <v/>
      </c>
      <c r="AI173" s="795"/>
      <c r="AJ173" s="796"/>
      <c r="AK173" s="796"/>
      <c r="AL173" s="795"/>
      <c r="AM173" s="796"/>
      <c r="AN173" s="795"/>
      <c r="AO173" s="795"/>
      <c r="AP173" s="795"/>
      <c r="AQ173" s="218"/>
      <c r="AR173" s="47"/>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row>
    <row r="174" spans="1:138" s="24" customFormat="1" x14ac:dyDescent="0.2">
      <c r="A174" s="219">
        <f t="shared" si="11"/>
        <v>44725</v>
      </c>
      <c r="B174" s="220">
        <f t="shared" si="8"/>
        <v>6</v>
      </c>
      <c r="C174" s="221">
        <f t="shared" si="9"/>
        <v>2</v>
      </c>
      <c r="D174" s="795"/>
      <c r="E174" s="795"/>
      <c r="F174" s="796"/>
      <c r="G174" s="796"/>
      <c r="H174" s="796"/>
      <c r="I174" s="795"/>
      <c r="J174" s="795"/>
      <c r="K174" s="796"/>
      <c r="L174" s="796"/>
      <c r="M174" s="796"/>
      <c r="N174" s="795"/>
      <c r="O174" s="795"/>
      <c r="P174" s="795"/>
      <c r="Q174" s="795"/>
      <c r="R174" s="795"/>
      <c r="S174" s="795"/>
      <c r="T174" s="795"/>
      <c r="U174" s="795"/>
      <c r="V174" s="795"/>
      <c r="W174" s="795"/>
      <c r="X174" s="795"/>
      <c r="Y174" s="795"/>
      <c r="Z174" s="796"/>
      <c r="AA174" s="795"/>
      <c r="AB174" s="329" t="str">
        <f>basis!$B$19</f>
        <v/>
      </c>
      <c r="AC174" s="795"/>
      <c r="AD174" s="795"/>
      <c r="AE174" s="795"/>
      <c r="AF174" s="795"/>
      <c r="AG174" s="892"/>
      <c r="AH174" s="225" t="str">
        <f t="shared" si="10"/>
        <v/>
      </c>
      <c r="AI174" s="795"/>
      <c r="AJ174" s="796"/>
      <c r="AK174" s="796"/>
      <c r="AL174" s="795"/>
      <c r="AM174" s="796"/>
      <c r="AN174" s="795"/>
      <c r="AO174" s="795"/>
      <c r="AP174" s="795"/>
      <c r="AQ174" s="218"/>
      <c r="AR174" s="47"/>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row>
    <row r="175" spans="1:138" s="24" customFormat="1" x14ac:dyDescent="0.2">
      <c r="A175" s="219">
        <f t="shared" si="11"/>
        <v>44726</v>
      </c>
      <c r="B175" s="220">
        <f t="shared" si="8"/>
        <v>6</v>
      </c>
      <c r="C175" s="221">
        <f t="shared" si="9"/>
        <v>3</v>
      </c>
      <c r="D175" s="795"/>
      <c r="E175" s="795"/>
      <c r="F175" s="796"/>
      <c r="G175" s="796"/>
      <c r="H175" s="796"/>
      <c r="I175" s="795"/>
      <c r="J175" s="795"/>
      <c r="K175" s="796"/>
      <c r="L175" s="796"/>
      <c r="M175" s="796"/>
      <c r="N175" s="795"/>
      <c r="O175" s="795"/>
      <c r="P175" s="795"/>
      <c r="Q175" s="795"/>
      <c r="R175" s="795"/>
      <c r="S175" s="795"/>
      <c r="T175" s="795"/>
      <c r="U175" s="795"/>
      <c r="V175" s="795"/>
      <c r="W175" s="795"/>
      <c r="X175" s="795"/>
      <c r="Y175" s="795"/>
      <c r="Z175" s="796"/>
      <c r="AA175" s="795"/>
      <c r="AB175" s="329" t="str">
        <f>basis!$B$19</f>
        <v/>
      </c>
      <c r="AC175" s="795"/>
      <c r="AD175" s="795"/>
      <c r="AE175" s="795"/>
      <c r="AF175" s="795"/>
      <c r="AG175" s="892"/>
      <c r="AH175" s="225" t="str">
        <f t="shared" si="10"/>
        <v/>
      </c>
      <c r="AI175" s="795"/>
      <c r="AJ175" s="796"/>
      <c r="AK175" s="796"/>
      <c r="AL175" s="795"/>
      <c r="AM175" s="796"/>
      <c r="AN175" s="795"/>
      <c r="AO175" s="795"/>
      <c r="AP175" s="795"/>
      <c r="AQ175" s="218"/>
      <c r="AR175" s="47"/>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row>
    <row r="176" spans="1:138" s="24" customFormat="1" x14ac:dyDescent="0.2">
      <c r="A176" s="219">
        <f t="shared" si="11"/>
        <v>44727</v>
      </c>
      <c r="B176" s="220">
        <f t="shared" si="8"/>
        <v>6</v>
      </c>
      <c r="C176" s="221">
        <f t="shared" si="9"/>
        <v>4</v>
      </c>
      <c r="D176" s="795"/>
      <c r="E176" s="795"/>
      <c r="F176" s="796"/>
      <c r="G176" s="796"/>
      <c r="H176" s="796"/>
      <c r="I176" s="795"/>
      <c r="J176" s="795"/>
      <c r="K176" s="796"/>
      <c r="L176" s="796"/>
      <c r="M176" s="796"/>
      <c r="N176" s="795"/>
      <c r="O176" s="795"/>
      <c r="P176" s="795"/>
      <c r="Q176" s="795"/>
      <c r="R176" s="795"/>
      <c r="S176" s="795"/>
      <c r="T176" s="795"/>
      <c r="U176" s="795"/>
      <c r="V176" s="795"/>
      <c r="W176" s="795"/>
      <c r="X176" s="795"/>
      <c r="Y176" s="795"/>
      <c r="Z176" s="796"/>
      <c r="AA176" s="795"/>
      <c r="AB176" s="329" t="str">
        <f>basis!$B$19</f>
        <v/>
      </c>
      <c r="AC176" s="795"/>
      <c r="AD176" s="795"/>
      <c r="AE176" s="795"/>
      <c r="AF176" s="795"/>
      <c r="AG176" s="892"/>
      <c r="AH176" s="225" t="str">
        <f t="shared" si="10"/>
        <v/>
      </c>
      <c r="AI176" s="795"/>
      <c r="AJ176" s="796"/>
      <c r="AK176" s="796"/>
      <c r="AL176" s="795"/>
      <c r="AM176" s="796"/>
      <c r="AN176" s="795"/>
      <c r="AO176" s="795"/>
      <c r="AP176" s="795"/>
      <c r="AQ176" s="218"/>
      <c r="AR176" s="47"/>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row>
    <row r="177" spans="1:138" s="24" customFormat="1" x14ac:dyDescent="0.2">
      <c r="A177" s="219">
        <f t="shared" si="11"/>
        <v>44728</v>
      </c>
      <c r="B177" s="220">
        <f t="shared" si="8"/>
        <v>6</v>
      </c>
      <c r="C177" s="221">
        <f t="shared" si="9"/>
        <v>5</v>
      </c>
      <c r="D177" s="795"/>
      <c r="E177" s="795"/>
      <c r="F177" s="796"/>
      <c r="G177" s="796"/>
      <c r="H177" s="796"/>
      <c r="I177" s="795"/>
      <c r="J177" s="795"/>
      <c r="K177" s="796"/>
      <c r="L177" s="796"/>
      <c r="M177" s="796"/>
      <c r="N177" s="795"/>
      <c r="O177" s="795"/>
      <c r="P177" s="795"/>
      <c r="Q177" s="795"/>
      <c r="R177" s="795"/>
      <c r="S177" s="795"/>
      <c r="T177" s="795"/>
      <c r="U177" s="795"/>
      <c r="V177" s="795"/>
      <c r="W177" s="795"/>
      <c r="X177" s="795"/>
      <c r="Y177" s="795"/>
      <c r="Z177" s="796"/>
      <c r="AA177" s="795"/>
      <c r="AB177" s="329" t="str">
        <f>basis!$B$19</f>
        <v/>
      </c>
      <c r="AC177" s="795"/>
      <c r="AD177" s="795"/>
      <c r="AE177" s="795"/>
      <c r="AF177" s="795"/>
      <c r="AG177" s="892"/>
      <c r="AH177" s="225" t="str">
        <f t="shared" si="10"/>
        <v/>
      </c>
      <c r="AI177" s="795"/>
      <c r="AJ177" s="796"/>
      <c r="AK177" s="796"/>
      <c r="AL177" s="795"/>
      <c r="AM177" s="796"/>
      <c r="AN177" s="795"/>
      <c r="AO177" s="795"/>
      <c r="AP177" s="795"/>
      <c r="AQ177" s="218"/>
      <c r="AR177" s="47"/>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row>
    <row r="178" spans="1:138" s="24" customFormat="1" x14ac:dyDescent="0.2">
      <c r="A178" s="219">
        <f t="shared" si="11"/>
        <v>44729</v>
      </c>
      <c r="B178" s="220">
        <f t="shared" si="8"/>
        <v>6</v>
      </c>
      <c r="C178" s="221">
        <f t="shared" si="9"/>
        <v>6</v>
      </c>
      <c r="D178" s="795"/>
      <c r="E178" s="795"/>
      <c r="F178" s="796"/>
      <c r="G178" s="796"/>
      <c r="H178" s="796"/>
      <c r="I178" s="795"/>
      <c r="J178" s="795"/>
      <c r="K178" s="796"/>
      <c r="L178" s="796"/>
      <c r="M178" s="796"/>
      <c r="N178" s="795"/>
      <c r="O178" s="795"/>
      <c r="P178" s="795"/>
      <c r="Q178" s="795"/>
      <c r="R178" s="795"/>
      <c r="S178" s="795"/>
      <c r="T178" s="795"/>
      <c r="U178" s="795"/>
      <c r="V178" s="795"/>
      <c r="W178" s="795"/>
      <c r="X178" s="795"/>
      <c r="Y178" s="795"/>
      <c r="Z178" s="796"/>
      <c r="AA178" s="795"/>
      <c r="AB178" s="329" t="str">
        <f>basis!$B$19</f>
        <v/>
      </c>
      <c r="AC178" s="795"/>
      <c r="AD178" s="795"/>
      <c r="AE178" s="795"/>
      <c r="AF178" s="795"/>
      <c r="AG178" s="892"/>
      <c r="AH178" s="225" t="str">
        <f t="shared" si="10"/>
        <v/>
      </c>
      <c r="AI178" s="795"/>
      <c r="AJ178" s="796"/>
      <c r="AK178" s="796"/>
      <c r="AL178" s="795"/>
      <c r="AM178" s="796"/>
      <c r="AN178" s="795"/>
      <c r="AO178" s="795"/>
      <c r="AP178" s="795"/>
      <c r="AQ178" s="218"/>
      <c r="AR178" s="47"/>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row>
    <row r="179" spans="1:138" s="24" customFormat="1" x14ac:dyDescent="0.2">
      <c r="A179" s="219">
        <f t="shared" si="11"/>
        <v>44730</v>
      </c>
      <c r="B179" s="220">
        <f t="shared" si="8"/>
        <v>6</v>
      </c>
      <c r="C179" s="221">
        <f t="shared" si="9"/>
        <v>7</v>
      </c>
      <c r="D179" s="795"/>
      <c r="E179" s="795"/>
      <c r="F179" s="796"/>
      <c r="G179" s="796"/>
      <c r="H179" s="796"/>
      <c r="I179" s="795"/>
      <c r="J179" s="795"/>
      <c r="K179" s="796"/>
      <c r="L179" s="796"/>
      <c r="M179" s="796"/>
      <c r="N179" s="795"/>
      <c r="O179" s="795"/>
      <c r="P179" s="795"/>
      <c r="Q179" s="795"/>
      <c r="R179" s="795"/>
      <c r="S179" s="795"/>
      <c r="T179" s="795"/>
      <c r="U179" s="795"/>
      <c r="V179" s="795"/>
      <c r="W179" s="795"/>
      <c r="X179" s="795"/>
      <c r="Y179" s="795"/>
      <c r="Z179" s="796"/>
      <c r="AA179" s="795"/>
      <c r="AB179" s="329" t="str">
        <f>basis!$B$19</f>
        <v/>
      </c>
      <c r="AC179" s="795"/>
      <c r="AD179" s="795"/>
      <c r="AE179" s="795"/>
      <c r="AF179" s="795"/>
      <c r="AG179" s="892"/>
      <c r="AH179" s="225" t="str">
        <f t="shared" si="10"/>
        <v/>
      </c>
      <c r="AI179" s="795"/>
      <c r="AJ179" s="796"/>
      <c r="AK179" s="796"/>
      <c r="AL179" s="795"/>
      <c r="AM179" s="796"/>
      <c r="AN179" s="795"/>
      <c r="AO179" s="795"/>
      <c r="AP179" s="795"/>
      <c r="AQ179" s="218"/>
      <c r="AR179" s="47"/>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row>
    <row r="180" spans="1:138" s="24" customFormat="1" x14ac:dyDescent="0.2">
      <c r="A180" s="219">
        <f t="shared" si="11"/>
        <v>44731</v>
      </c>
      <c r="B180" s="220">
        <f t="shared" si="8"/>
        <v>6</v>
      </c>
      <c r="C180" s="221">
        <f t="shared" si="9"/>
        <v>1</v>
      </c>
      <c r="D180" s="795"/>
      <c r="E180" s="795"/>
      <c r="F180" s="796"/>
      <c r="G180" s="796"/>
      <c r="H180" s="796"/>
      <c r="I180" s="795"/>
      <c r="J180" s="795"/>
      <c r="K180" s="796"/>
      <c r="L180" s="796"/>
      <c r="M180" s="796"/>
      <c r="N180" s="795"/>
      <c r="O180" s="795"/>
      <c r="P180" s="795"/>
      <c r="Q180" s="795"/>
      <c r="R180" s="795"/>
      <c r="S180" s="795"/>
      <c r="T180" s="795"/>
      <c r="U180" s="795"/>
      <c r="V180" s="795"/>
      <c r="W180" s="795"/>
      <c r="X180" s="795"/>
      <c r="Y180" s="795"/>
      <c r="Z180" s="796"/>
      <c r="AA180" s="795"/>
      <c r="AB180" s="329" t="str">
        <f>basis!$B$19</f>
        <v/>
      </c>
      <c r="AC180" s="795"/>
      <c r="AD180" s="795"/>
      <c r="AE180" s="795"/>
      <c r="AF180" s="795"/>
      <c r="AG180" s="892"/>
      <c r="AH180" s="225" t="str">
        <f t="shared" si="10"/>
        <v/>
      </c>
      <c r="AI180" s="795"/>
      <c r="AJ180" s="796"/>
      <c r="AK180" s="796"/>
      <c r="AL180" s="795"/>
      <c r="AM180" s="796"/>
      <c r="AN180" s="795"/>
      <c r="AO180" s="795"/>
      <c r="AP180" s="795"/>
      <c r="AQ180" s="218"/>
      <c r="AR180" s="47"/>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row>
    <row r="181" spans="1:138" s="24" customFormat="1" x14ac:dyDescent="0.2">
      <c r="A181" s="219">
        <f t="shared" si="11"/>
        <v>44732</v>
      </c>
      <c r="B181" s="220">
        <f t="shared" si="8"/>
        <v>6</v>
      </c>
      <c r="C181" s="221">
        <f t="shared" si="9"/>
        <v>2</v>
      </c>
      <c r="D181" s="795"/>
      <c r="E181" s="795"/>
      <c r="F181" s="796"/>
      <c r="G181" s="796"/>
      <c r="H181" s="796"/>
      <c r="I181" s="795"/>
      <c r="J181" s="795"/>
      <c r="K181" s="796"/>
      <c r="L181" s="796"/>
      <c r="M181" s="796"/>
      <c r="N181" s="795"/>
      <c r="O181" s="795"/>
      <c r="P181" s="795"/>
      <c r="Q181" s="795"/>
      <c r="R181" s="795"/>
      <c r="S181" s="795"/>
      <c r="T181" s="795"/>
      <c r="U181" s="795"/>
      <c r="V181" s="795"/>
      <c r="W181" s="795"/>
      <c r="X181" s="795"/>
      <c r="Y181" s="795"/>
      <c r="Z181" s="796"/>
      <c r="AA181" s="795"/>
      <c r="AB181" s="329" t="str">
        <f>basis!$B$19</f>
        <v/>
      </c>
      <c r="AC181" s="795"/>
      <c r="AD181" s="795"/>
      <c r="AE181" s="795"/>
      <c r="AF181" s="795"/>
      <c r="AG181" s="892"/>
      <c r="AH181" s="225" t="str">
        <f t="shared" si="10"/>
        <v/>
      </c>
      <c r="AI181" s="795"/>
      <c r="AJ181" s="796"/>
      <c r="AK181" s="796"/>
      <c r="AL181" s="795"/>
      <c r="AM181" s="796"/>
      <c r="AN181" s="795"/>
      <c r="AO181" s="795"/>
      <c r="AP181" s="795"/>
      <c r="AQ181" s="218"/>
      <c r="AR181" s="47"/>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row>
    <row r="182" spans="1:138" s="24" customFormat="1" x14ac:dyDescent="0.2">
      <c r="A182" s="219">
        <f t="shared" si="11"/>
        <v>44733</v>
      </c>
      <c r="B182" s="220">
        <f t="shared" si="8"/>
        <v>6</v>
      </c>
      <c r="C182" s="221">
        <f t="shared" si="9"/>
        <v>3</v>
      </c>
      <c r="D182" s="795"/>
      <c r="E182" s="795"/>
      <c r="F182" s="796"/>
      <c r="G182" s="796"/>
      <c r="H182" s="796"/>
      <c r="I182" s="795"/>
      <c r="J182" s="795"/>
      <c r="K182" s="796"/>
      <c r="L182" s="796"/>
      <c r="M182" s="796"/>
      <c r="N182" s="795"/>
      <c r="O182" s="795"/>
      <c r="P182" s="795"/>
      <c r="Q182" s="795"/>
      <c r="R182" s="795"/>
      <c r="S182" s="795"/>
      <c r="T182" s="795"/>
      <c r="U182" s="795"/>
      <c r="V182" s="795"/>
      <c r="W182" s="795"/>
      <c r="X182" s="795"/>
      <c r="Y182" s="795"/>
      <c r="Z182" s="796"/>
      <c r="AA182" s="795"/>
      <c r="AB182" s="329" t="str">
        <f>basis!$B$19</f>
        <v/>
      </c>
      <c r="AC182" s="795"/>
      <c r="AD182" s="795"/>
      <c r="AE182" s="795"/>
      <c r="AF182" s="795"/>
      <c r="AG182" s="892"/>
      <c r="AH182" s="225" t="str">
        <f t="shared" si="10"/>
        <v/>
      </c>
      <c r="AI182" s="795"/>
      <c r="AJ182" s="796"/>
      <c r="AK182" s="796"/>
      <c r="AL182" s="795"/>
      <c r="AM182" s="796"/>
      <c r="AN182" s="795"/>
      <c r="AO182" s="795"/>
      <c r="AP182" s="795"/>
      <c r="AQ182" s="218"/>
      <c r="AR182" s="47"/>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row>
    <row r="183" spans="1:138" s="24" customFormat="1" x14ac:dyDescent="0.2">
      <c r="A183" s="219">
        <f t="shared" si="11"/>
        <v>44734</v>
      </c>
      <c r="B183" s="220">
        <f t="shared" si="8"/>
        <v>6</v>
      </c>
      <c r="C183" s="221">
        <f t="shared" si="9"/>
        <v>4</v>
      </c>
      <c r="D183" s="795"/>
      <c r="E183" s="795"/>
      <c r="F183" s="796"/>
      <c r="G183" s="796"/>
      <c r="H183" s="796"/>
      <c r="I183" s="795"/>
      <c r="J183" s="795"/>
      <c r="K183" s="796"/>
      <c r="L183" s="796"/>
      <c r="M183" s="796"/>
      <c r="N183" s="795"/>
      <c r="O183" s="795"/>
      <c r="P183" s="795"/>
      <c r="Q183" s="795"/>
      <c r="R183" s="795"/>
      <c r="S183" s="795"/>
      <c r="T183" s="795"/>
      <c r="U183" s="795"/>
      <c r="V183" s="795"/>
      <c r="W183" s="795"/>
      <c r="X183" s="795"/>
      <c r="Y183" s="795"/>
      <c r="Z183" s="796"/>
      <c r="AA183" s="795"/>
      <c r="AB183" s="329" t="str">
        <f>basis!$B$19</f>
        <v/>
      </c>
      <c r="AC183" s="795"/>
      <c r="AD183" s="795"/>
      <c r="AE183" s="795"/>
      <c r="AF183" s="795"/>
      <c r="AG183" s="892"/>
      <c r="AH183" s="225" t="str">
        <f t="shared" si="10"/>
        <v/>
      </c>
      <c r="AI183" s="795"/>
      <c r="AJ183" s="796"/>
      <c r="AK183" s="796"/>
      <c r="AL183" s="795"/>
      <c r="AM183" s="796"/>
      <c r="AN183" s="795"/>
      <c r="AO183" s="795"/>
      <c r="AP183" s="795"/>
      <c r="AQ183" s="218"/>
      <c r="AR183" s="47"/>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row>
    <row r="184" spans="1:138" s="24" customFormat="1" x14ac:dyDescent="0.2">
      <c r="A184" s="219">
        <f t="shared" si="11"/>
        <v>44735</v>
      </c>
      <c r="B184" s="220">
        <f t="shared" si="8"/>
        <v>6</v>
      </c>
      <c r="C184" s="221">
        <f t="shared" si="9"/>
        <v>5</v>
      </c>
      <c r="D184" s="795"/>
      <c r="E184" s="795"/>
      <c r="F184" s="796"/>
      <c r="G184" s="796"/>
      <c r="H184" s="796"/>
      <c r="I184" s="795"/>
      <c r="J184" s="795"/>
      <c r="K184" s="796"/>
      <c r="L184" s="796"/>
      <c r="M184" s="796"/>
      <c r="N184" s="795"/>
      <c r="O184" s="795"/>
      <c r="P184" s="795"/>
      <c r="Q184" s="795"/>
      <c r="R184" s="795"/>
      <c r="S184" s="795"/>
      <c r="T184" s="795"/>
      <c r="U184" s="795"/>
      <c r="V184" s="795"/>
      <c r="W184" s="795"/>
      <c r="X184" s="795"/>
      <c r="Y184" s="795"/>
      <c r="Z184" s="796"/>
      <c r="AA184" s="795"/>
      <c r="AB184" s="329" t="str">
        <f>basis!$B$19</f>
        <v/>
      </c>
      <c r="AC184" s="795"/>
      <c r="AD184" s="795"/>
      <c r="AE184" s="795"/>
      <c r="AF184" s="795"/>
      <c r="AG184" s="892"/>
      <c r="AH184" s="225" t="str">
        <f t="shared" si="10"/>
        <v/>
      </c>
      <c r="AI184" s="795"/>
      <c r="AJ184" s="796"/>
      <c r="AK184" s="796"/>
      <c r="AL184" s="795"/>
      <c r="AM184" s="796"/>
      <c r="AN184" s="795"/>
      <c r="AO184" s="795"/>
      <c r="AP184" s="795"/>
      <c r="AQ184" s="218"/>
      <c r="AR184" s="47"/>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row>
    <row r="185" spans="1:138" s="24" customFormat="1" x14ac:dyDescent="0.2">
      <c r="A185" s="219">
        <f t="shared" si="11"/>
        <v>44736</v>
      </c>
      <c r="B185" s="220">
        <f t="shared" si="8"/>
        <v>6</v>
      </c>
      <c r="C185" s="221">
        <f t="shared" si="9"/>
        <v>6</v>
      </c>
      <c r="D185" s="795"/>
      <c r="E185" s="795"/>
      <c r="F185" s="796"/>
      <c r="G185" s="796"/>
      <c r="H185" s="796"/>
      <c r="I185" s="795"/>
      <c r="J185" s="795"/>
      <c r="K185" s="796"/>
      <c r="L185" s="796"/>
      <c r="M185" s="796"/>
      <c r="N185" s="795"/>
      <c r="O185" s="795"/>
      <c r="P185" s="795"/>
      <c r="Q185" s="795"/>
      <c r="R185" s="795"/>
      <c r="S185" s="795"/>
      <c r="T185" s="795"/>
      <c r="U185" s="795"/>
      <c r="V185" s="795"/>
      <c r="W185" s="795"/>
      <c r="X185" s="795"/>
      <c r="Y185" s="795"/>
      <c r="Z185" s="796"/>
      <c r="AA185" s="795"/>
      <c r="AB185" s="329" t="str">
        <f>basis!$B$19</f>
        <v/>
      </c>
      <c r="AC185" s="795"/>
      <c r="AD185" s="795"/>
      <c r="AE185" s="795"/>
      <c r="AF185" s="795"/>
      <c r="AG185" s="892"/>
      <c r="AH185" s="225" t="str">
        <f t="shared" si="10"/>
        <v/>
      </c>
      <c r="AI185" s="795"/>
      <c r="AJ185" s="796"/>
      <c r="AK185" s="796"/>
      <c r="AL185" s="795"/>
      <c r="AM185" s="796"/>
      <c r="AN185" s="795"/>
      <c r="AO185" s="795"/>
      <c r="AP185" s="795"/>
      <c r="AQ185" s="218"/>
      <c r="AR185" s="47"/>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row>
    <row r="186" spans="1:138" s="24" customFormat="1" x14ac:dyDescent="0.2">
      <c r="A186" s="219">
        <f t="shared" si="11"/>
        <v>44737</v>
      </c>
      <c r="B186" s="220">
        <f t="shared" si="8"/>
        <v>6</v>
      </c>
      <c r="C186" s="221">
        <f t="shared" si="9"/>
        <v>7</v>
      </c>
      <c r="D186" s="795"/>
      <c r="E186" s="795"/>
      <c r="F186" s="796"/>
      <c r="G186" s="796"/>
      <c r="H186" s="796"/>
      <c r="I186" s="795"/>
      <c r="J186" s="795"/>
      <c r="K186" s="796"/>
      <c r="L186" s="796"/>
      <c r="M186" s="796"/>
      <c r="N186" s="795"/>
      <c r="O186" s="795"/>
      <c r="P186" s="795"/>
      <c r="Q186" s="795"/>
      <c r="R186" s="795"/>
      <c r="S186" s="795"/>
      <c r="T186" s="795"/>
      <c r="U186" s="795"/>
      <c r="V186" s="795"/>
      <c r="W186" s="795"/>
      <c r="X186" s="795"/>
      <c r="Y186" s="795"/>
      <c r="Z186" s="796"/>
      <c r="AA186" s="795"/>
      <c r="AB186" s="329" t="str">
        <f>basis!$B$19</f>
        <v/>
      </c>
      <c r="AC186" s="795"/>
      <c r="AD186" s="795"/>
      <c r="AE186" s="795"/>
      <c r="AF186" s="795"/>
      <c r="AG186" s="892"/>
      <c r="AH186" s="225" t="str">
        <f t="shared" si="10"/>
        <v/>
      </c>
      <c r="AI186" s="795"/>
      <c r="AJ186" s="796"/>
      <c r="AK186" s="796"/>
      <c r="AL186" s="795"/>
      <c r="AM186" s="796"/>
      <c r="AN186" s="795"/>
      <c r="AO186" s="795"/>
      <c r="AP186" s="795"/>
      <c r="AQ186" s="218"/>
      <c r="AR186" s="47"/>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row>
    <row r="187" spans="1:138" s="24" customFormat="1" x14ac:dyDescent="0.2">
      <c r="A187" s="219">
        <f t="shared" si="11"/>
        <v>44738</v>
      </c>
      <c r="B187" s="220">
        <f t="shared" si="8"/>
        <v>6</v>
      </c>
      <c r="C187" s="221">
        <f t="shared" si="9"/>
        <v>1</v>
      </c>
      <c r="D187" s="795"/>
      <c r="E187" s="795"/>
      <c r="F187" s="796"/>
      <c r="G187" s="796"/>
      <c r="H187" s="796"/>
      <c r="I187" s="795"/>
      <c r="J187" s="795"/>
      <c r="K187" s="796"/>
      <c r="L187" s="796"/>
      <c r="M187" s="796"/>
      <c r="N187" s="795"/>
      <c r="O187" s="795"/>
      <c r="P187" s="795"/>
      <c r="Q187" s="795"/>
      <c r="R187" s="795"/>
      <c r="S187" s="795"/>
      <c r="T187" s="795"/>
      <c r="U187" s="795"/>
      <c r="V187" s="795"/>
      <c r="W187" s="795"/>
      <c r="X187" s="795"/>
      <c r="Y187" s="795"/>
      <c r="Z187" s="796"/>
      <c r="AA187" s="795"/>
      <c r="AB187" s="329" t="str">
        <f>basis!$B$19</f>
        <v/>
      </c>
      <c r="AC187" s="795"/>
      <c r="AD187" s="795"/>
      <c r="AE187" s="795"/>
      <c r="AF187" s="795"/>
      <c r="AG187" s="892"/>
      <c r="AH187" s="225" t="str">
        <f t="shared" si="10"/>
        <v/>
      </c>
      <c r="AI187" s="795"/>
      <c r="AJ187" s="796"/>
      <c r="AK187" s="796"/>
      <c r="AL187" s="795"/>
      <c r="AM187" s="796"/>
      <c r="AN187" s="795"/>
      <c r="AO187" s="795"/>
      <c r="AP187" s="795"/>
      <c r="AQ187" s="218"/>
      <c r="AR187" s="47"/>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row>
    <row r="188" spans="1:138" s="24" customFormat="1" x14ac:dyDescent="0.2">
      <c r="A188" s="219">
        <f t="shared" si="11"/>
        <v>44739</v>
      </c>
      <c r="B188" s="220">
        <f t="shared" si="8"/>
        <v>6</v>
      </c>
      <c r="C188" s="221">
        <f t="shared" si="9"/>
        <v>2</v>
      </c>
      <c r="D188" s="795"/>
      <c r="E188" s="795"/>
      <c r="F188" s="796"/>
      <c r="G188" s="796"/>
      <c r="H188" s="796"/>
      <c r="I188" s="795"/>
      <c r="J188" s="795"/>
      <c r="K188" s="796"/>
      <c r="L188" s="796"/>
      <c r="M188" s="796"/>
      <c r="N188" s="795"/>
      <c r="O188" s="795"/>
      <c r="P188" s="795"/>
      <c r="Q188" s="795"/>
      <c r="R188" s="795"/>
      <c r="S188" s="795"/>
      <c r="T188" s="795"/>
      <c r="U188" s="795"/>
      <c r="V188" s="795"/>
      <c r="W188" s="795"/>
      <c r="X188" s="795"/>
      <c r="Y188" s="795"/>
      <c r="Z188" s="796"/>
      <c r="AA188" s="795"/>
      <c r="AB188" s="329" t="str">
        <f>basis!$B$19</f>
        <v/>
      </c>
      <c r="AC188" s="795"/>
      <c r="AD188" s="795"/>
      <c r="AE188" s="795"/>
      <c r="AF188" s="795"/>
      <c r="AG188" s="892"/>
      <c r="AH188" s="225" t="str">
        <f t="shared" si="10"/>
        <v/>
      </c>
      <c r="AI188" s="795"/>
      <c r="AJ188" s="796"/>
      <c r="AK188" s="796"/>
      <c r="AL188" s="795"/>
      <c r="AM188" s="796"/>
      <c r="AN188" s="795"/>
      <c r="AO188" s="795"/>
      <c r="AP188" s="795"/>
      <c r="AQ188" s="218"/>
      <c r="AR188" s="47"/>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row>
    <row r="189" spans="1:138" s="24" customFormat="1" x14ac:dyDescent="0.2">
      <c r="A189" s="219">
        <f t="shared" si="11"/>
        <v>44740</v>
      </c>
      <c r="B189" s="220">
        <f t="shared" si="8"/>
        <v>6</v>
      </c>
      <c r="C189" s="221">
        <f t="shared" si="9"/>
        <v>3</v>
      </c>
      <c r="D189" s="795"/>
      <c r="E189" s="795"/>
      <c r="F189" s="796"/>
      <c r="G189" s="796"/>
      <c r="H189" s="796"/>
      <c r="I189" s="795"/>
      <c r="J189" s="795"/>
      <c r="K189" s="796"/>
      <c r="L189" s="796"/>
      <c r="M189" s="796"/>
      <c r="N189" s="795"/>
      <c r="O189" s="795"/>
      <c r="P189" s="795"/>
      <c r="Q189" s="795"/>
      <c r="R189" s="795"/>
      <c r="S189" s="795"/>
      <c r="T189" s="795"/>
      <c r="U189" s="795"/>
      <c r="V189" s="795"/>
      <c r="W189" s="795"/>
      <c r="X189" s="795"/>
      <c r="Y189" s="795"/>
      <c r="Z189" s="796"/>
      <c r="AA189" s="795"/>
      <c r="AB189" s="329" t="str">
        <f>basis!$B$19</f>
        <v/>
      </c>
      <c r="AC189" s="795"/>
      <c r="AD189" s="795"/>
      <c r="AE189" s="795"/>
      <c r="AF189" s="795"/>
      <c r="AG189" s="892"/>
      <c r="AH189" s="225" t="str">
        <f t="shared" si="10"/>
        <v/>
      </c>
      <c r="AI189" s="795"/>
      <c r="AJ189" s="796"/>
      <c r="AK189" s="796"/>
      <c r="AL189" s="795"/>
      <c r="AM189" s="796"/>
      <c r="AN189" s="795"/>
      <c r="AO189" s="795"/>
      <c r="AP189" s="795"/>
      <c r="AQ189" s="218"/>
      <c r="AR189" s="47"/>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row>
    <row r="190" spans="1:138" s="24" customFormat="1" x14ac:dyDescent="0.2">
      <c r="A190" s="219">
        <f t="shared" si="11"/>
        <v>44741</v>
      </c>
      <c r="B190" s="220">
        <f t="shared" si="8"/>
        <v>6</v>
      </c>
      <c r="C190" s="221">
        <f t="shared" si="9"/>
        <v>4</v>
      </c>
      <c r="D190" s="795"/>
      <c r="E190" s="795"/>
      <c r="F190" s="796"/>
      <c r="G190" s="796"/>
      <c r="H190" s="796"/>
      <c r="I190" s="795"/>
      <c r="J190" s="795"/>
      <c r="K190" s="796"/>
      <c r="L190" s="796"/>
      <c r="M190" s="796"/>
      <c r="N190" s="795"/>
      <c r="O190" s="795"/>
      <c r="P190" s="795"/>
      <c r="Q190" s="795"/>
      <c r="R190" s="795"/>
      <c r="S190" s="795"/>
      <c r="T190" s="795"/>
      <c r="U190" s="795"/>
      <c r="V190" s="795"/>
      <c r="W190" s="795"/>
      <c r="X190" s="795"/>
      <c r="Y190" s="795"/>
      <c r="Z190" s="796"/>
      <c r="AA190" s="795"/>
      <c r="AB190" s="329" t="str">
        <f>basis!$B$19</f>
        <v/>
      </c>
      <c r="AC190" s="795"/>
      <c r="AD190" s="795"/>
      <c r="AE190" s="795"/>
      <c r="AF190" s="795"/>
      <c r="AG190" s="892"/>
      <c r="AH190" s="225" t="str">
        <f t="shared" si="10"/>
        <v/>
      </c>
      <c r="AI190" s="795"/>
      <c r="AJ190" s="796"/>
      <c r="AK190" s="796"/>
      <c r="AL190" s="795"/>
      <c r="AM190" s="796"/>
      <c r="AN190" s="795"/>
      <c r="AO190" s="795"/>
      <c r="AP190" s="795"/>
      <c r="AQ190" s="218"/>
      <c r="AR190" s="47"/>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row>
    <row r="191" spans="1:138" s="24" customFormat="1" x14ac:dyDescent="0.2">
      <c r="A191" s="219">
        <f t="shared" si="11"/>
        <v>44742</v>
      </c>
      <c r="B191" s="220">
        <f t="shared" si="8"/>
        <v>6</v>
      </c>
      <c r="C191" s="221">
        <f t="shared" si="9"/>
        <v>5</v>
      </c>
      <c r="D191" s="795"/>
      <c r="E191" s="795"/>
      <c r="F191" s="796"/>
      <c r="G191" s="796"/>
      <c r="H191" s="796"/>
      <c r="I191" s="795"/>
      <c r="J191" s="795"/>
      <c r="K191" s="796"/>
      <c r="L191" s="796"/>
      <c r="M191" s="796"/>
      <c r="N191" s="795"/>
      <c r="O191" s="795"/>
      <c r="P191" s="795"/>
      <c r="Q191" s="795"/>
      <c r="R191" s="795"/>
      <c r="S191" s="795"/>
      <c r="T191" s="795"/>
      <c r="U191" s="795"/>
      <c r="V191" s="795"/>
      <c r="W191" s="795"/>
      <c r="X191" s="795"/>
      <c r="Y191" s="795"/>
      <c r="Z191" s="796"/>
      <c r="AA191" s="795"/>
      <c r="AB191" s="329" t="str">
        <f>basis!$B$19</f>
        <v/>
      </c>
      <c r="AC191" s="795"/>
      <c r="AD191" s="795"/>
      <c r="AE191" s="795"/>
      <c r="AF191" s="795"/>
      <c r="AG191" s="892"/>
      <c r="AH191" s="225" t="str">
        <f t="shared" si="10"/>
        <v/>
      </c>
      <c r="AI191" s="795"/>
      <c r="AJ191" s="796"/>
      <c r="AK191" s="796"/>
      <c r="AL191" s="795"/>
      <c r="AM191" s="796"/>
      <c r="AN191" s="795"/>
      <c r="AO191" s="795"/>
      <c r="AP191" s="795"/>
      <c r="AQ191" s="218"/>
      <c r="AR191" s="47"/>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row>
    <row r="192" spans="1:138" s="24" customFormat="1" x14ac:dyDescent="0.2">
      <c r="A192" s="219">
        <f t="shared" si="11"/>
        <v>44743</v>
      </c>
      <c r="B192" s="220">
        <f t="shared" si="8"/>
        <v>7</v>
      </c>
      <c r="C192" s="221">
        <f t="shared" si="9"/>
        <v>6</v>
      </c>
      <c r="D192" s="795"/>
      <c r="E192" s="795"/>
      <c r="F192" s="796"/>
      <c r="G192" s="796"/>
      <c r="H192" s="796"/>
      <c r="I192" s="795"/>
      <c r="J192" s="795"/>
      <c r="K192" s="796"/>
      <c r="L192" s="796"/>
      <c r="M192" s="796"/>
      <c r="N192" s="795"/>
      <c r="O192" s="795"/>
      <c r="P192" s="795"/>
      <c r="Q192" s="795"/>
      <c r="R192" s="795"/>
      <c r="S192" s="795"/>
      <c r="T192" s="795"/>
      <c r="U192" s="795"/>
      <c r="V192" s="795"/>
      <c r="W192" s="795"/>
      <c r="X192" s="795"/>
      <c r="Y192" s="795"/>
      <c r="Z192" s="796"/>
      <c r="AA192" s="795"/>
      <c r="AB192" s="329" t="str">
        <f>basis!$B$19</f>
        <v/>
      </c>
      <c r="AC192" s="795"/>
      <c r="AD192" s="795"/>
      <c r="AE192" s="795"/>
      <c r="AF192" s="795"/>
      <c r="AG192" s="892"/>
      <c r="AH192" s="225" t="str">
        <f t="shared" si="10"/>
        <v/>
      </c>
      <c r="AI192" s="795"/>
      <c r="AJ192" s="796"/>
      <c r="AK192" s="796"/>
      <c r="AL192" s="795"/>
      <c r="AM192" s="796"/>
      <c r="AN192" s="795"/>
      <c r="AO192" s="795"/>
      <c r="AP192" s="795"/>
      <c r="AQ192" s="218"/>
      <c r="AR192" s="47"/>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row>
    <row r="193" spans="1:138" s="24" customFormat="1" x14ac:dyDescent="0.2">
      <c r="A193" s="219">
        <f t="shared" si="11"/>
        <v>44744</v>
      </c>
      <c r="B193" s="220">
        <f t="shared" si="8"/>
        <v>7</v>
      </c>
      <c r="C193" s="221">
        <f t="shared" si="9"/>
        <v>7</v>
      </c>
      <c r="D193" s="795"/>
      <c r="E193" s="795"/>
      <c r="F193" s="796"/>
      <c r="G193" s="796"/>
      <c r="H193" s="796"/>
      <c r="I193" s="795"/>
      <c r="J193" s="795"/>
      <c r="K193" s="796"/>
      <c r="L193" s="796"/>
      <c r="M193" s="796"/>
      <c r="N193" s="795"/>
      <c r="O193" s="795"/>
      <c r="P193" s="795"/>
      <c r="Q193" s="795"/>
      <c r="R193" s="795"/>
      <c r="S193" s="795"/>
      <c r="T193" s="795"/>
      <c r="U193" s="795"/>
      <c r="V193" s="795"/>
      <c r="W193" s="795"/>
      <c r="X193" s="795"/>
      <c r="Y193" s="795"/>
      <c r="Z193" s="796"/>
      <c r="AA193" s="795"/>
      <c r="AB193" s="329" t="str">
        <f>basis!$B$19</f>
        <v/>
      </c>
      <c r="AC193" s="795"/>
      <c r="AD193" s="795"/>
      <c r="AE193" s="795"/>
      <c r="AF193" s="795"/>
      <c r="AG193" s="892"/>
      <c r="AH193" s="225" t="str">
        <f t="shared" si="10"/>
        <v/>
      </c>
      <c r="AI193" s="795"/>
      <c r="AJ193" s="796"/>
      <c r="AK193" s="796"/>
      <c r="AL193" s="795"/>
      <c r="AM193" s="796"/>
      <c r="AN193" s="795"/>
      <c r="AO193" s="795"/>
      <c r="AP193" s="795"/>
      <c r="AQ193" s="218"/>
      <c r="AR193" s="47"/>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row>
    <row r="194" spans="1:138" s="24" customFormat="1" x14ac:dyDescent="0.2">
      <c r="A194" s="219">
        <f t="shared" si="11"/>
        <v>44745</v>
      </c>
      <c r="B194" s="220">
        <f t="shared" si="8"/>
        <v>7</v>
      </c>
      <c r="C194" s="221">
        <f t="shared" si="9"/>
        <v>1</v>
      </c>
      <c r="D194" s="795"/>
      <c r="E194" s="795"/>
      <c r="F194" s="796"/>
      <c r="G194" s="796"/>
      <c r="H194" s="796"/>
      <c r="I194" s="795"/>
      <c r="J194" s="795"/>
      <c r="K194" s="796"/>
      <c r="L194" s="796"/>
      <c r="M194" s="796"/>
      <c r="N194" s="795"/>
      <c r="O194" s="795"/>
      <c r="P194" s="795"/>
      <c r="Q194" s="795"/>
      <c r="R194" s="795"/>
      <c r="S194" s="795"/>
      <c r="T194" s="795"/>
      <c r="U194" s="795"/>
      <c r="V194" s="795"/>
      <c r="W194" s="795"/>
      <c r="X194" s="795"/>
      <c r="Y194" s="795"/>
      <c r="Z194" s="796"/>
      <c r="AA194" s="795"/>
      <c r="AB194" s="329" t="str">
        <f>basis!$B$19</f>
        <v/>
      </c>
      <c r="AC194" s="795"/>
      <c r="AD194" s="795"/>
      <c r="AE194" s="795"/>
      <c r="AF194" s="795"/>
      <c r="AG194" s="892"/>
      <c r="AH194" s="225" t="str">
        <f t="shared" si="10"/>
        <v/>
      </c>
      <c r="AI194" s="795"/>
      <c r="AJ194" s="796"/>
      <c r="AK194" s="796"/>
      <c r="AL194" s="795"/>
      <c r="AM194" s="796"/>
      <c r="AN194" s="795"/>
      <c r="AO194" s="795"/>
      <c r="AP194" s="795"/>
      <c r="AQ194" s="218"/>
      <c r="AR194" s="47"/>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row>
    <row r="195" spans="1:138" s="24" customFormat="1" x14ac:dyDescent="0.2">
      <c r="A195" s="219">
        <f t="shared" si="11"/>
        <v>44746</v>
      </c>
      <c r="B195" s="220">
        <f t="shared" si="8"/>
        <v>7</v>
      </c>
      <c r="C195" s="221">
        <f t="shared" si="9"/>
        <v>2</v>
      </c>
      <c r="D195" s="795"/>
      <c r="E195" s="795"/>
      <c r="F195" s="796"/>
      <c r="G195" s="796"/>
      <c r="H195" s="796"/>
      <c r="I195" s="795"/>
      <c r="J195" s="795"/>
      <c r="K195" s="796"/>
      <c r="L195" s="796"/>
      <c r="M195" s="796"/>
      <c r="N195" s="795"/>
      <c r="O195" s="795"/>
      <c r="P195" s="795"/>
      <c r="Q195" s="795"/>
      <c r="R195" s="795"/>
      <c r="S195" s="795"/>
      <c r="T195" s="795"/>
      <c r="U195" s="795"/>
      <c r="V195" s="795"/>
      <c r="W195" s="795"/>
      <c r="X195" s="795"/>
      <c r="Y195" s="795"/>
      <c r="Z195" s="796"/>
      <c r="AA195" s="795"/>
      <c r="AB195" s="329" t="str">
        <f>basis!$B$19</f>
        <v/>
      </c>
      <c r="AC195" s="795"/>
      <c r="AD195" s="795"/>
      <c r="AE195" s="795"/>
      <c r="AF195" s="795"/>
      <c r="AG195" s="892"/>
      <c r="AH195" s="225" t="str">
        <f t="shared" si="10"/>
        <v/>
      </c>
      <c r="AI195" s="795"/>
      <c r="AJ195" s="796"/>
      <c r="AK195" s="796"/>
      <c r="AL195" s="795"/>
      <c r="AM195" s="796"/>
      <c r="AN195" s="795"/>
      <c r="AO195" s="795"/>
      <c r="AP195" s="795"/>
      <c r="AQ195" s="218"/>
      <c r="AR195" s="47"/>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row>
    <row r="196" spans="1:138" s="24" customFormat="1" x14ac:dyDescent="0.2">
      <c r="A196" s="219">
        <f t="shared" si="11"/>
        <v>44747</v>
      </c>
      <c r="B196" s="220">
        <f t="shared" si="8"/>
        <v>7</v>
      </c>
      <c r="C196" s="221">
        <f t="shared" si="9"/>
        <v>3</v>
      </c>
      <c r="D196" s="795"/>
      <c r="E196" s="795"/>
      <c r="F196" s="796"/>
      <c r="G196" s="796"/>
      <c r="H196" s="796"/>
      <c r="I196" s="795"/>
      <c r="J196" s="795"/>
      <c r="K196" s="796"/>
      <c r="L196" s="796"/>
      <c r="M196" s="796"/>
      <c r="N196" s="795"/>
      <c r="O196" s="795"/>
      <c r="P196" s="795"/>
      <c r="Q196" s="795"/>
      <c r="R196" s="795"/>
      <c r="S196" s="795"/>
      <c r="T196" s="795"/>
      <c r="U196" s="795"/>
      <c r="V196" s="795"/>
      <c r="W196" s="795"/>
      <c r="X196" s="795"/>
      <c r="Y196" s="795"/>
      <c r="Z196" s="796"/>
      <c r="AA196" s="795"/>
      <c r="AB196" s="329" t="str">
        <f>basis!$B$19</f>
        <v/>
      </c>
      <c r="AC196" s="795"/>
      <c r="AD196" s="795"/>
      <c r="AE196" s="795"/>
      <c r="AF196" s="795"/>
      <c r="AG196" s="892"/>
      <c r="AH196" s="225" t="str">
        <f t="shared" si="10"/>
        <v/>
      </c>
      <c r="AI196" s="795"/>
      <c r="AJ196" s="796"/>
      <c r="AK196" s="796"/>
      <c r="AL196" s="795"/>
      <c r="AM196" s="796"/>
      <c r="AN196" s="795"/>
      <c r="AO196" s="795"/>
      <c r="AP196" s="795"/>
      <c r="AQ196" s="218"/>
      <c r="AR196" s="47"/>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row>
    <row r="197" spans="1:138" s="24" customFormat="1" x14ac:dyDescent="0.2">
      <c r="A197" s="219">
        <f t="shared" si="11"/>
        <v>44748</v>
      </c>
      <c r="B197" s="220">
        <f t="shared" si="8"/>
        <v>7</v>
      </c>
      <c r="C197" s="221">
        <f t="shared" si="9"/>
        <v>4</v>
      </c>
      <c r="D197" s="795"/>
      <c r="E197" s="795"/>
      <c r="F197" s="796"/>
      <c r="G197" s="796"/>
      <c r="H197" s="796"/>
      <c r="I197" s="795"/>
      <c r="J197" s="795"/>
      <c r="K197" s="796"/>
      <c r="L197" s="796"/>
      <c r="M197" s="796"/>
      <c r="N197" s="795"/>
      <c r="O197" s="795"/>
      <c r="P197" s="795"/>
      <c r="Q197" s="795"/>
      <c r="R197" s="795"/>
      <c r="S197" s="795"/>
      <c r="T197" s="795"/>
      <c r="U197" s="795"/>
      <c r="V197" s="795"/>
      <c r="W197" s="795"/>
      <c r="X197" s="795"/>
      <c r="Y197" s="795"/>
      <c r="Z197" s="796"/>
      <c r="AA197" s="795"/>
      <c r="AB197" s="329" t="str">
        <f>basis!$B$19</f>
        <v/>
      </c>
      <c r="AC197" s="795"/>
      <c r="AD197" s="795"/>
      <c r="AE197" s="795"/>
      <c r="AF197" s="795"/>
      <c r="AG197" s="892"/>
      <c r="AH197" s="225" t="str">
        <f t="shared" si="10"/>
        <v/>
      </c>
      <c r="AI197" s="795"/>
      <c r="AJ197" s="796"/>
      <c r="AK197" s="796"/>
      <c r="AL197" s="795"/>
      <c r="AM197" s="796"/>
      <c r="AN197" s="795"/>
      <c r="AO197" s="795"/>
      <c r="AP197" s="795"/>
      <c r="AQ197" s="218"/>
      <c r="AR197" s="47"/>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row>
    <row r="198" spans="1:138" s="24" customFormat="1" x14ac:dyDescent="0.2">
      <c r="A198" s="219">
        <f t="shared" si="11"/>
        <v>44749</v>
      </c>
      <c r="B198" s="220">
        <f t="shared" si="8"/>
        <v>7</v>
      </c>
      <c r="C198" s="221">
        <f t="shared" si="9"/>
        <v>5</v>
      </c>
      <c r="D198" s="795"/>
      <c r="E198" s="795"/>
      <c r="F198" s="796"/>
      <c r="G198" s="796"/>
      <c r="H198" s="796"/>
      <c r="I198" s="795"/>
      <c r="J198" s="795"/>
      <c r="K198" s="796"/>
      <c r="L198" s="796"/>
      <c r="M198" s="796"/>
      <c r="N198" s="795"/>
      <c r="O198" s="795"/>
      <c r="P198" s="795"/>
      <c r="Q198" s="795"/>
      <c r="R198" s="795"/>
      <c r="S198" s="795"/>
      <c r="T198" s="795"/>
      <c r="U198" s="795"/>
      <c r="V198" s="795"/>
      <c r="W198" s="795"/>
      <c r="X198" s="795"/>
      <c r="Y198" s="795"/>
      <c r="Z198" s="796"/>
      <c r="AA198" s="795"/>
      <c r="AB198" s="329" t="str">
        <f>basis!$B$19</f>
        <v/>
      </c>
      <c r="AC198" s="795"/>
      <c r="AD198" s="795"/>
      <c r="AE198" s="795"/>
      <c r="AF198" s="795"/>
      <c r="AG198" s="892"/>
      <c r="AH198" s="225" t="str">
        <f t="shared" si="10"/>
        <v/>
      </c>
      <c r="AI198" s="795"/>
      <c r="AJ198" s="796"/>
      <c r="AK198" s="796"/>
      <c r="AL198" s="795"/>
      <c r="AM198" s="796"/>
      <c r="AN198" s="795"/>
      <c r="AO198" s="795"/>
      <c r="AP198" s="795"/>
      <c r="AQ198" s="218"/>
      <c r="AR198" s="47"/>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row>
    <row r="199" spans="1:138" s="24" customFormat="1" x14ac:dyDescent="0.2">
      <c r="A199" s="219">
        <f t="shared" si="11"/>
        <v>44750</v>
      </c>
      <c r="B199" s="220">
        <f t="shared" si="8"/>
        <v>7</v>
      </c>
      <c r="C199" s="221">
        <f t="shared" si="9"/>
        <v>6</v>
      </c>
      <c r="D199" s="795"/>
      <c r="E199" s="795"/>
      <c r="F199" s="796"/>
      <c r="G199" s="796"/>
      <c r="H199" s="796"/>
      <c r="I199" s="795"/>
      <c r="J199" s="795"/>
      <c r="K199" s="796"/>
      <c r="L199" s="796"/>
      <c r="M199" s="796"/>
      <c r="N199" s="795"/>
      <c r="O199" s="795"/>
      <c r="P199" s="795"/>
      <c r="Q199" s="795"/>
      <c r="R199" s="795"/>
      <c r="S199" s="795"/>
      <c r="T199" s="795"/>
      <c r="U199" s="795"/>
      <c r="V199" s="795"/>
      <c r="W199" s="795"/>
      <c r="X199" s="795"/>
      <c r="Y199" s="795"/>
      <c r="Z199" s="796"/>
      <c r="AA199" s="795"/>
      <c r="AB199" s="329" t="str">
        <f>basis!$B$19</f>
        <v/>
      </c>
      <c r="AC199" s="795"/>
      <c r="AD199" s="795"/>
      <c r="AE199" s="795"/>
      <c r="AF199" s="795"/>
      <c r="AG199" s="892"/>
      <c r="AH199" s="225" t="str">
        <f t="shared" si="10"/>
        <v/>
      </c>
      <c r="AI199" s="795"/>
      <c r="AJ199" s="796"/>
      <c r="AK199" s="796"/>
      <c r="AL199" s="795"/>
      <c r="AM199" s="796"/>
      <c r="AN199" s="795"/>
      <c r="AO199" s="795"/>
      <c r="AP199" s="795"/>
      <c r="AQ199" s="218"/>
      <c r="AR199" s="47"/>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row>
    <row r="200" spans="1:138" s="24" customFormat="1" x14ac:dyDescent="0.2">
      <c r="A200" s="219">
        <f t="shared" si="11"/>
        <v>44751</v>
      </c>
      <c r="B200" s="220">
        <f t="shared" si="8"/>
        <v>7</v>
      </c>
      <c r="C200" s="221">
        <f t="shared" si="9"/>
        <v>7</v>
      </c>
      <c r="D200" s="795"/>
      <c r="E200" s="795"/>
      <c r="F200" s="796"/>
      <c r="G200" s="796"/>
      <c r="H200" s="796"/>
      <c r="I200" s="795"/>
      <c r="J200" s="795"/>
      <c r="K200" s="796"/>
      <c r="L200" s="796"/>
      <c r="M200" s="796"/>
      <c r="N200" s="795"/>
      <c r="O200" s="795"/>
      <c r="P200" s="795"/>
      <c r="Q200" s="795"/>
      <c r="R200" s="795"/>
      <c r="S200" s="795"/>
      <c r="T200" s="795"/>
      <c r="U200" s="795"/>
      <c r="V200" s="795"/>
      <c r="W200" s="795"/>
      <c r="X200" s="795"/>
      <c r="Y200" s="795"/>
      <c r="Z200" s="796"/>
      <c r="AA200" s="795"/>
      <c r="AB200" s="329" t="str">
        <f>basis!$B$19</f>
        <v/>
      </c>
      <c r="AC200" s="795"/>
      <c r="AD200" s="795"/>
      <c r="AE200" s="795"/>
      <c r="AF200" s="795"/>
      <c r="AG200" s="892"/>
      <c r="AH200" s="225" t="str">
        <f t="shared" si="10"/>
        <v/>
      </c>
      <c r="AI200" s="795"/>
      <c r="AJ200" s="796"/>
      <c r="AK200" s="796"/>
      <c r="AL200" s="795"/>
      <c r="AM200" s="796"/>
      <c r="AN200" s="795"/>
      <c r="AO200" s="795"/>
      <c r="AP200" s="795"/>
      <c r="AQ200" s="218"/>
      <c r="AR200" s="47"/>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row>
    <row r="201" spans="1:138" s="24" customFormat="1" x14ac:dyDescent="0.2">
      <c r="A201" s="219">
        <f t="shared" si="11"/>
        <v>44752</v>
      </c>
      <c r="B201" s="220">
        <f t="shared" si="8"/>
        <v>7</v>
      </c>
      <c r="C201" s="221">
        <f t="shared" si="9"/>
        <v>1</v>
      </c>
      <c r="D201" s="795"/>
      <c r="E201" s="795"/>
      <c r="F201" s="796"/>
      <c r="G201" s="796"/>
      <c r="H201" s="796"/>
      <c r="I201" s="795"/>
      <c r="J201" s="795"/>
      <c r="K201" s="796"/>
      <c r="L201" s="796"/>
      <c r="M201" s="796"/>
      <c r="N201" s="795"/>
      <c r="O201" s="795"/>
      <c r="P201" s="795"/>
      <c r="Q201" s="795"/>
      <c r="R201" s="795"/>
      <c r="S201" s="795"/>
      <c r="T201" s="795"/>
      <c r="U201" s="795"/>
      <c r="V201" s="795"/>
      <c r="W201" s="795"/>
      <c r="X201" s="795"/>
      <c r="Y201" s="795"/>
      <c r="Z201" s="796"/>
      <c r="AA201" s="795"/>
      <c r="AB201" s="329" t="str">
        <f>basis!$B$19</f>
        <v/>
      </c>
      <c r="AC201" s="795"/>
      <c r="AD201" s="795"/>
      <c r="AE201" s="795"/>
      <c r="AF201" s="795"/>
      <c r="AG201" s="892"/>
      <c r="AH201" s="225" t="str">
        <f t="shared" si="10"/>
        <v/>
      </c>
      <c r="AI201" s="795"/>
      <c r="AJ201" s="796"/>
      <c r="AK201" s="796"/>
      <c r="AL201" s="795"/>
      <c r="AM201" s="796"/>
      <c r="AN201" s="795"/>
      <c r="AO201" s="795"/>
      <c r="AP201" s="795"/>
      <c r="AQ201" s="218"/>
      <c r="AR201" s="47"/>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row>
    <row r="202" spans="1:138" s="24" customFormat="1" x14ac:dyDescent="0.2">
      <c r="A202" s="219">
        <f t="shared" si="11"/>
        <v>44753</v>
      </c>
      <c r="B202" s="220">
        <f t="shared" si="8"/>
        <v>7</v>
      </c>
      <c r="C202" s="221">
        <f t="shared" si="9"/>
        <v>2</v>
      </c>
      <c r="D202" s="795"/>
      <c r="E202" s="795"/>
      <c r="F202" s="796"/>
      <c r="G202" s="796"/>
      <c r="H202" s="796"/>
      <c r="I202" s="795"/>
      <c r="J202" s="795"/>
      <c r="K202" s="796"/>
      <c r="L202" s="796"/>
      <c r="M202" s="796"/>
      <c r="N202" s="795"/>
      <c r="O202" s="795"/>
      <c r="P202" s="795"/>
      <c r="Q202" s="795"/>
      <c r="R202" s="795"/>
      <c r="S202" s="795"/>
      <c r="T202" s="795"/>
      <c r="U202" s="795"/>
      <c r="V202" s="795"/>
      <c r="W202" s="795"/>
      <c r="X202" s="795"/>
      <c r="Y202" s="795"/>
      <c r="Z202" s="796"/>
      <c r="AA202" s="795"/>
      <c r="AB202" s="329" t="str">
        <f>basis!$B$19</f>
        <v/>
      </c>
      <c r="AC202" s="795"/>
      <c r="AD202" s="795"/>
      <c r="AE202" s="795"/>
      <c r="AF202" s="795"/>
      <c r="AG202" s="892"/>
      <c r="AH202" s="225" t="str">
        <f t="shared" si="10"/>
        <v/>
      </c>
      <c r="AI202" s="795"/>
      <c r="AJ202" s="796"/>
      <c r="AK202" s="796"/>
      <c r="AL202" s="795"/>
      <c r="AM202" s="796"/>
      <c r="AN202" s="795"/>
      <c r="AO202" s="795"/>
      <c r="AP202" s="795"/>
      <c r="AQ202" s="218"/>
      <c r="AR202" s="47"/>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row>
    <row r="203" spans="1:138" s="24" customFormat="1" x14ac:dyDescent="0.2">
      <c r="A203" s="219">
        <f t="shared" si="11"/>
        <v>44754</v>
      </c>
      <c r="B203" s="220">
        <f t="shared" ref="B203:B266" si="12">MONTH(A203)</f>
        <v>7</v>
      </c>
      <c r="C203" s="221">
        <f t="shared" ref="C203:C266" si="13">WEEKDAY(A203)</f>
        <v>3</v>
      </c>
      <c r="D203" s="795"/>
      <c r="E203" s="795"/>
      <c r="F203" s="796"/>
      <c r="G203" s="796"/>
      <c r="H203" s="796"/>
      <c r="I203" s="795"/>
      <c r="J203" s="795"/>
      <c r="K203" s="796"/>
      <c r="L203" s="796"/>
      <c r="M203" s="796"/>
      <c r="N203" s="795"/>
      <c r="O203" s="795"/>
      <c r="P203" s="795"/>
      <c r="Q203" s="795"/>
      <c r="R203" s="795"/>
      <c r="S203" s="795"/>
      <c r="T203" s="795"/>
      <c r="U203" s="795"/>
      <c r="V203" s="795"/>
      <c r="W203" s="795"/>
      <c r="X203" s="795"/>
      <c r="Y203" s="795"/>
      <c r="Z203" s="796"/>
      <c r="AA203" s="795"/>
      <c r="AB203" s="329" t="str">
        <f>basis!$B$19</f>
        <v/>
      </c>
      <c r="AC203" s="795"/>
      <c r="AD203" s="795"/>
      <c r="AE203" s="795"/>
      <c r="AF203" s="795"/>
      <c r="AG203" s="892"/>
      <c r="AH203" s="225" t="str">
        <f t="shared" si="10"/>
        <v/>
      </c>
      <c r="AI203" s="795"/>
      <c r="AJ203" s="796"/>
      <c r="AK203" s="796"/>
      <c r="AL203" s="795"/>
      <c r="AM203" s="796"/>
      <c r="AN203" s="795"/>
      <c r="AO203" s="795"/>
      <c r="AP203" s="795"/>
      <c r="AQ203" s="218"/>
      <c r="AR203" s="47"/>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row>
    <row r="204" spans="1:138" s="24" customFormat="1" x14ac:dyDescent="0.2">
      <c r="A204" s="219">
        <f t="shared" si="11"/>
        <v>44755</v>
      </c>
      <c r="B204" s="220">
        <f t="shared" si="12"/>
        <v>7</v>
      </c>
      <c r="C204" s="221">
        <f t="shared" si="13"/>
        <v>4</v>
      </c>
      <c r="D204" s="795"/>
      <c r="E204" s="795"/>
      <c r="F204" s="796"/>
      <c r="G204" s="796"/>
      <c r="H204" s="796"/>
      <c r="I204" s="795"/>
      <c r="J204" s="795"/>
      <c r="K204" s="796"/>
      <c r="L204" s="796"/>
      <c r="M204" s="796"/>
      <c r="N204" s="795"/>
      <c r="O204" s="795"/>
      <c r="P204" s="795"/>
      <c r="Q204" s="795"/>
      <c r="R204" s="795"/>
      <c r="S204" s="795"/>
      <c r="T204" s="795"/>
      <c r="U204" s="795"/>
      <c r="V204" s="795"/>
      <c r="W204" s="795"/>
      <c r="X204" s="795"/>
      <c r="Y204" s="795"/>
      <c r="Z204" s="796"/>
      <c r="AA204" s="795"/>
      <c r="AB204" s="329" t="str">
        <f>basis!$B$19</f>
        <v/>
      </c>
      <c r="AC204" s="795"/>
      <c r="AD204" s="795"/>
      <c r="AE204" s="795"/>
      <c r="AF204" s="795"/>
      <c r="AG204" s="892"/>
      <c r="AH204" s="225" t="str">
        <f t="shared" ref="AH204:AH267" si="14">IF(OR(AF204="",AG204=""),"",AF204*AG204)</f>
        <v/>
      </c>
      <c r="AI204" s="795"/>
      <c r="AJ204" s="796"/>
      <c r="AK204" s="796"/>
      <c r="AL204" s="795"/>
      <c r="AM204" s="796"/>
      <c r="AN204" s="795"/>
      <c r="AO204" s="795"/>
      <c r="AP204" s="795"/>
      <c r="AQ204" s="218"/>
      <c r="AR204" s="47"/>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row>
    <row r="205" spans="1:138" s="24" customFormat="1" x14ac:dyDescent="0.2">
      <c r="A205" s="219">
        <f t="shared" ref="A205:A268" si="15">A204+1</f>
        <v>44756</v>
      </c>
      <c r="B205" s="220">
        <f t="shared" si="12"/>
        <v>7</v>
      </c>
      <c r="C205" s="221">
        <f t="shared" si="13"/>
        <v>5</v>
      </c>
      <c r="D205" s="795"/>
      <c r="E205" s="795"/>
      <c r="F205" s="796"/>
      <c r="G205" s="796"/>
      <c r="H205" s="796"/>
      <c r="I205" s="795"/>
      <c r="J205" s="795"/>
      <c r="K205" s="796"/>
      <c r="L205" s="796"/>
      <c r="M205" s="796"/>
      <c r="N205" s="795"/>
      <c r="O205" s="795"/>
      <c r="P205" s="795"/>
      <c r="Q205" s="795"/>
      <c r="R205" s="795"/>
      <c r="S205" s="795"/>
      <c r="T205" s="795"/>
      <c r="U205" s="795"/>
      <c r="V205" s="795"/>
      <c r="W205" s="795"/>
      <c r="X205" s="795"/>
      <c r="Y205" s="795"/>
      <c r="Z205" s="796"/>
      <c r="AA205" s="795"/>
      <c r="AB205" s="329" t="str">
        <f>basis!$B$19</f>
        <v/>
      </c>
      <c r="AC205" s="795"/>
      <c r="AD205" s="795"/>
      <c r="AE205" s="795"/>
      <c r="AF205" s="795"/>
      <c r="AG205" s="892"/>
      <c r="AH205" s="225" t="str">
        <f t="shared" si="14"/>
        <v/>
      </c>
      <c r="AI205" s="795"/>
      <c r="AJ205" s="796"/>
      <c r="AK205" s="796"/>
      <c r="AL205" s="795"/>
      <c r="AM205" s="796"/>
      <c r="AN205" s="795"/>
      <c r="AO205" s="795"/>
      <c r="AP205" s="795"/>
      <c r="AQ205" s="218"/>
      <c r="AR205" s="47"/>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row>
    <row r="206" spans="1:138" s="24" customFormat="1" x14ac:dyDescent="0.2">
      <c r="A206" s="219">
        <f t="shared" si="15"/>
        <v>44757</v>
      </c>
      <c r="B206" s="220">
        <f t="shared" si="12"/>
        <v>7</v>
      </c>
      <c r="C206" s="221">
        <f t="shared" si="13"/>
        <v>6</v>
      </c>
      <c r="D206" s="795"/>
      <c r="E206" s="795"/>
      <c r="F206" s="796"/>
      <c r="G206" s="796"/>
      <c r="H206" s="796"/>
      <c r="I206" s="795"/>
      <c r="J206" s="795"/>
      <c r="K206" s="796"/>
      <c r="L206" s="796"/>
      <c r="M206" s="796"/>
      <c r="N206" s="795"/>
      <c r="O206" s="795"/>
      <c r="P206" s="795"/>
      <c r="Q206" s="795"/>
      <c r="R206" s="795"/>
      <c r="S206" s="795"/>
      <c r="T206" s="795"/>
      <c r="U206" s="795"/>
      <c r="V206" s="795"/>
      <c r="W206" s="795"/>
      <c r="X206" s="795"/>
      <c r="Y206" s="795"/>
      <c r="Z206" s="796"/>
      <c r="AA206" s="795"/>
      <c r="AB206" s="329" t="str">
        <f>basis!$B$19</f>
        <v/>
      </c>
      <c r="AC206" s="795"/>
      <c r="AD206" s="795"/>
      <c r="AE206" s="795"/>
      <c r="AF206" s="795"/>
      <c r="AG206" s="892"/>
      <c r="AH206" s="225" t="str">
        <f t="shared" si="14"/>
        <v/>
      </c>
      <c r="AI206" s="795"/>
      <c r="AJ206" s="796"/>
      <c r="AK206" s="796"/>
      <c r="AL206" s="795"/>
      <c r="AM206" s="796"/>
      <c r="AN206" s="795"/>
      <c r="AO206" s="795"/>
      <c r="AP206" s="795"/>
      <c r="AQ206" s="218"/>
      <c r="AR206" s="47"/>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row>
    <row r="207" spans="1:138" s="24" customFormat="1" x14ac:dyDescent="0.2">
      <c r="A207" s="219">
        <f t="shared" si="15"/>
        <v>44758</v>
      </c>
      <c r="B207" s="220">
        <f t="shared" si="12"/>
        <v>7</v>
      </c>
      <c r="C207" s="221">
        <f t="shared" si="13"/>
        <v>7</v>
      </c>
      <c r="D207" s="795"/>
      <c r="E207" s="795"/>
      <c r="F207" s="796"/>
      <c r="G207" s="796"/>
      <c r="H207" s="796"/>
      <c r="I207" s="795"/>
      <c r="J207" s="795"/>
      <c r="K207" s="796"/>
      <c r="L207" s="796"/>
      <c r="M207" s="796"/>
      <c r="N207" s="795"/>
      <c r="O207" s="795"/>
      <c r="P207" s="795"/>
      <c r="Q207" s="795"/>
      <c r="R207" s="795"/>
      <c r="S207" s="795"/>
      <c r="T207" s="795"/>
      <c r="U207" s="795"/>
      <c r="V207" s="795"/>
      <c r="W207" s="795"/>
      <c r="X207" s="795"/>
      <c r="Y207" s="795"/>
      <c r="Z207" s="796"/>
      <c r="AA207" s="795"/>
      <c r="AB207" s="329" t="str">
        <f>basis!$B$19</f>
        <v/>
      </c>
      <c r="AC207" s="795"/>
      <c r="AD207" s="795"/>
      <c r="AE207" s="795"/>
      <c r="AF207" s="795"/>
      <c r="AG207" s="892"/>
      <c r="AH207" s="225" t="str">
        <f t="shared" si="14"/>
        <v/>
      </c>
      <c r="AI207" s="795"/>
      <c r="AJ207" s="796"/>
      <c r="AK207" s="796"/>
      <c r="AL207" s="795"/>
      <c r="AM207" s="796"/>
      <c r="AN207" s="795"/>
      <c r="AO207" s="795"/>
      <c r="AP207" s="795"/>
      <c r="AQ207" s="218"/>
      <c r="AR207" s="47"/>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row>
    <row r="208" spans="1:138" s="24" customFormat="1" x14ac:dyDescent="0.2">
      <c r="A208" s="219">
        <f t="shared" si="15"/>
        <v>44759</v>
      </c>
      <c r="B208" s="220">
        <f t="shared" si="12"/>
        <v>7</v>
      </c>
      <c r="C208" s="221">
        <f t="shared" si="13"/>
        <v>1</v>
      </c>
      <c r="D208" s="795"/>
      <c r="E208" s="795"/>
      <c r="F208" s="796"/>
      <c r="G208" s="796"/>
      <c r="H208" s="796"/>
      <c r="I208" s="795"/>
      <c r="J208" s="795"/>
      <c r="K208" s="796"/>
      <c r="L208" s="796"/>
      <c r="M208" s="796"/>
      <c r="N208" s="795"/>
      <c r="O208" s="795"/>
      <c r="P208" s="795"/>
      <c r="Q208" s="795"/>
      <c r="R208" s="795"/>
      <c r="S208" s="795"/>
      <c r="T208" s="795"/>
      <c r="U208" s="795"/>
      <c r="V208" s="795"/>
      <c r="W208" s="795"/>
      <c r="X208" s="795"/>
      <c r="Y208" s="795"/>
      <c r="Z208" s="796"/>
      <c r="AA208" s="795"/>
      <c r="AB208" s="329" t="str">
        <f>basis!$B$19</f>
        <v/>
      </c>
      <c r="AC208" s="795"/>
      <c r="AD208" s="795"/>
      <c r="AE208" s="795"/>
      <c r="AF208" s="795"/>
      <c r="AG208" s="892"/>
      <c r="AH208" s="225" t="str">
        <f t="shared" si="14"/>
        <v/>
      </c>
      <c r="AI208" s="795"/>
      <c r="AJ208" s="796"/>
      <c r="AK208" s="796"/>
      <c r="AL208" s="795"/>
      <c r="AM208" s="796"/>
      <c r="AN208" s="795"/>
      <c r="AO208" s="795"/>
      <c r="AP208" s="795"/>
      <c r="AQ208" s="218"/>
      <c r="AR208" s="47"/>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row>
    <row r="209" spans="1:138" s="24" customFormat="1" x14ac:dyDescent="0.2">
      <c r="A209" s="219">
        <f t="shared" si="15"/>
        <v>44760</v>
      </c>
      <c r="B209" s="220">
        <f t="shared" si="12"/>
        <v>7</v>
      </c>
      <c r="C209" s="221">
        <f t="shared" si="13"/>
        <v>2</v>
      </c>
      <c r="D209" s="795"/>
      <c r="E209" s="795"/>
      <c r="F209" s="796"/>
      <c r="G209" s="796"/>
      <c r="H209" s="796"/>
      <c r="I209" s="795"/>
      <c r="J209" s="795"/>
      <c r="K209" s="796"/>
      <c r="L209" s="796"/>
      <c r="M209" s="796"/>
      <c r="N209" s="795"/>
      <c r="O209" s="795"/>
      <c r="P209" s="795"/>
      <c r="Q209" s="795"/>
      <c r="R209" s="795"/>
      <c r="S209" s="795"/>
      <c r="T209" s="795"/>
      <c r="U209" s="795"/>
      <c r="V209" s="795"/>
      <c r="W209" s="795"/>
      <c r="X209" s="795"/>
      <c r="Y209" s="795"/>
      <c r="Z209" s="796"/>
      <c r="AA209" s="795"/>
      <c r="AB209" s="329" t="str">
        <f>basis!$B$19</f>
        <v/>
      </c>
      <c r="AC209" s="795"/>
      <c r="AD209" s="795"/>
      <c r="AE209" s="795"/>
      <c r="AF209" s="795"/>
      <c r="AG209" s="892"/>
      <c r="AH209" s="225" t="str">
        <f t="shared" si="14"/>
        <v/>
      </c>
      <c r="AI209" s="795"/>
      <c r="AJ209" s="796"/>
      <c r="AK209" s="796"/>
      <c r="AL209" s="795"/>
      <c r="AM209" s="796"/>
      <c r="AN209" s="795"/>
      <c r="AO209" s="795"/>
      <c r="AP209" s="795"/>
      <c r="AQ209" s="218"/>
      <c r="AR209" s="47"/>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row>
    <row r="210" spans="1:138" s="24" customFormat="1" x14ac:dyDescent="0.2">
      <c r="A210" s="219">
        <f t="shared" si="15"/>
        <v>44761</v>
      </c>
      <c r="B210" s="220">
        <f t="shared" si="12"/>
        <v>7</v>
      </c>
      <c r="C210" s="221">
        <f t="shared" si="13"/>
        <v>3</v>
      </c>
      <c r="D210" s="795"/>
      <c r="E210" s="795"/>
      <c r="F210" s="796"/>
      <c r="G210" s="796"/>
      <c r="H210" s="796"/>
      <c r="I210" s="795"/>
      <c r="J210" s="795"/>
      <c r="K210" s="796"/>
      <c r="L210" s="796"/>
      <c r="M210" s="796"/>
      <c r="N210" s="795"/>
      <c r="O210" s="795"/>
      <c r="P210" s="795"/>
      <c r="Q210" s="795"/>
      <c r="R210" s="795"/>
      <c r="S210" s="795"/>
      <c r="T210" s="795"/>
      <c r="U210" s="795"/>
      <c r="V210" s="795"/>
      <c r="W210" s="795"/>
      <c r="X210" s="795"/>
      <c r="Y210" s="795"/>
      <c r="Z210" s="796"/>
      <c r="AA210" s="795"/>
      <c r="AB210" s="329" t="str">
        <f>basis!$B$19</f>
        <v/>
      </c>
      <c r="AC210" s="795"/>
      <c r="AD210" s="795"/>
      <c r="AE210" s="795"/>
      <c r="AF210" s="795"/>
      <c r="AG210" s="892"/>
      <c r="AH210" s="225" t="str">
        <f t="shared" si="14"/>
        <v/>
      </c>
      <c r="AI210" s="795"/>
      <c r="AJ210" s="796"/>
      <c r="AK210" s="796"/>
      <c r="AL210" s="795"/>
      <c r="AM210" s="796"/>
      <c r="AN210" s="795"/>
      <c r="AO210" s="795"/>
      <c r="AP210" s="795"/>
      <c r="AQ210" s="218"/>
      <c r="AR210" s="47"/>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row>
    <row r="211" spans="1:138" s="24" customFormat="1" x14ac:dyDescent="0.2">
      <c r="A211" s="219">
        <f t="shared" si="15"/>
        <v>44762</v>
      </c>
      <c r="B211" s="220">
        <f t="shared" si="12"/>
        <v>7</v>
      </c>
      <c r="C211" s="221">
        <f t="shared" si="13"/>
        <v>4</v>
      </c>
      <c r="D211" s="795"/>
      <c r="E211" s="795"/>
      <c r="F211" s="796"/>
      <c r="G211" s="796"/>
      <c r="H211" s="796"/>
      <c r="I211" s="795"/>
      <c r="J211" s="795"/>
      <c r="K211" s="796"/>
      <c r="L211" s="796"/>
      <c r="M211" s="796"/>
      <c r="N211" s="795"/>
      <c r="O211" s="795"/>
      <c r="P211" s="795"/>
      <c r="Q211" s="795"/>
      <c r="R211" s="795"/>
      <c r="S211" s="795"/>
      <c r="T211" s="795"/>
      <c r="U211" s="795"/>
      <c r="V211" s="795"/>
      <c r="W211" s="795"/>
      <c r="X211" s="795"/>
      <c r="Y211" s="795"/>
      <c r="Z211" s="796"/>
      <c r="AA211" s="795"/>
      <c r="AB211" s="329" t="str">
        <f>basis!$B$19</f>
        <v/>
      </c>
      <c r="AC211" s="795"/>
      <c r="AD211" s="795"/>
      <c r="AE211" s="795"/>
      <c r="AF211" s="795"/>
      <c r="AG211" s="892"/>
      <c r="AH211" s="225" t="str">
        <f t="shared" si="14"/>
        <v/>
      </c>
      <c r="AI211" s="795"/>
      <c r="AJ211" s="796"/>
      <c r="AK211" s="796"/>
      <c r="AL211" s="795"/>
      <c r="AM211" s="796"/>
      <c r="AN211" s="795"/>
      <c r="AO211" s="795"/>
      <c r="AP211" s="795"/>
      <c r="AQ211" s="218"/>
      <c r="AR211" s="47"/>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row>
    <row r="212" spans="1:138" s="24" customFormat="1" x14ac:dyDescent="0.2">
      <c r="A212" s="219">
        <f t="shared" si="15"/>
        <v>44763</v>
      </c>
      <c r="B212" s="220">
        <f t="shared" si="12"/>
        <v>7</v>
      </c>
      <c r="C212" s="221">
        <f t="shared" si="13"/>
        <v>5</v>
      </c>
      <c r="D212" s="795"/>
      <c r="E212" s="795"/>
      <c r="F212" s="796"/>
      <c r="G212" s="796"/>
      <c r="H212" s="796"/>
      <c r="I212" s="795"/>
      <c r="J212" s="795"/>
      <c r="K212" s="796"/>
      <c r="L212" s="796"/>
      <c r="M212" s="796"/>
      <c r="N212" s="795"/>
      <c r="O212" s="795"/>
      <c r="P212" s="795"/>
      <c r="Q212" s="795"/>
      <c r="R212" s="795"/>
      <c r="S212" s="795"/>
      <c r="T212" s="795"/>
      <c r="U212" s="795"/>
      <c r="V212" s="795"/>
      <c r="W212" s="795"/>
      <c r="X212" s="795"/>
      <c r="Y212" s="795"/>
      <c r="Z212" s="796"/>
      <c r="AA212" s="795"/>
      <c r="AB212" s="329" t="str">
        <f>basis!$B$19</f>
        <v/>
      </c>
      <c r="AC212" s="795"/>
      <c r="AD212" s="795"/>
      <c r="AE212" s="795"/>
      <c r="AF212" s="795"/>
      <c r="AG212" s="892"/>
      <c r="AH212" s="225" t="str">
        <f t="shared" si="14"/>
        <v/>
      </c>
      <c r="AI212" s="795"/>
      <c r="AJ212" s="796"/>
      <c r="AK212" s="796"/>
      <c r="AL212" s="795"/>
      <c r="AM212" s="796"/>
      <c r="AN212" s="795"/>
      <c r="AO212" s="795"/>
      <c r="AP212" s="795"/>
      <c r="AQ212" s="218"/>
      <c r="AR212" s="47"/>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row>
    <row r="213" spans="1:138" s="24" customFormat="1" x14ac:dyDescent="0.2">
      <c r="A213" s="219">
        <f t="shared" si="15"/>
        <v>44764</v>
      </c>
      <c r="B213" s="220">
        <f t="shared" si="12"/>
        <v>7</v>
      </c>
      <c r="C213" s="221">
        <f t="shared" si="13"/>
        <v>6</v>
      </c>
      <c r="D213" s="795"/>
      <c r="E213" s="795"/>
      <c r="F213" s="796"/>
      <c r="G213" s="796"/>
      <c r="H213" s="796"/>
      <c r="I213" s="795"/>
      <c r="J213" s="795"/>
      <c r="K213" s="796"/>
      <c r="L213" s="796"/>
      <c r="M213" s="796"/>
      <c r="N213" s="795"/>
      <c r="O213" s="795"/>
      <c r="P213" s="795"/>
      <c r="Q213" s="795"/>
      <c r="R213" s="795"/>
      <c r="S213" s="795"/>
      <c r="T213" s="795"/>
      <c r="U213" s="795"/>
      <c r="V213" s="795"/>
      <c r="W213" s="795"/>
      <c r="X213" s="795"/>
      <c r="Y213" s="795"/>
      <c r="Z213" s="796"/>
      <c r="AA213" s="795"/>
      <c r="AB213" s="329" t="str">
        <f>basis!$B$19</f>
        <v/>
      </c>
      <c r="AC213" s="795"/>
      <c r="AD213" s="795"/>
      <c r="AE213" s="795"/>
      <c r="AF213" s="795"/>
      <c r="AG213" s="892"/>
      <c r="AH213" s="225" t="str">
        <f t="shared" si="14"/>
        <v/>
      </c>
      <c r="AI213" s="795"/>
      <c r="AJ213" s="796"/>
      <c r="AK213" s="796"/>
      <c r="AL213" s="795"/>
      <c r="AM213" s="796"/>
      <c r="AN213" s="795"/>
      <c r="AO213" s="795"/>
      <c r="AP213" s="795"/>
      <c r="AQ213" s="218"/>
      <c r="AR213" s="47"/>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row>
    <row r="214" spans="1:138" s="24" customFormat="1" x14ac:dyDescent="0.2">
      <c r="A214" s="219">
        <f t="shared" si="15"/>
        <v>44765</v>
      </c>
      <c r="B214" s="220">
        <f t="shared" si="12"/>
        <v>7</v>
      </c>
      <c r="C214" s="221">
        <f t="shared" si="13"/>
        <v>7</v>
      </c>
      <c r="D214" s="795"/>
      <c r="E214" s="795"/>
      <c r="F214" s="796"/>
      <c r="G214" s="796"/>
      <c r="H214" s="796"/>
      <c r="I214" s="795"/>
      <c r="J214" s="795"/>
      <c r="K214" s="796"/>
      <c r="L214" s="796"/>
      <c r="M214" s="796"/>
      <c r="N214" s="795"/>
      <c r="O214" s="795"/>
      <c r="P214" s="795"/>
      <c r="Q214" s="795"/>
      <c r="R214" s="795"/>
      <c r="S214" s="795"/>
      <c r="T214" s="795"/>
      <c r="U214" s="795"/>
      <c r="V214" s="795"/>
      <c r="W214" s="795"/>
      <c r="X214" s="795"/>
      <c r="Y214" s="795"/>
      <c r="Z214" s="796"/>
      <c r="AA214" s="795"/>
      <c r="AB214" s="329" t="str">
        <f>basis!$B$19</f>
        <v/>
      </c>
      <c r="AC214" s="795"/>
      <c r="AD214" s="795"/>
      <c r="AE214" s="795"/>
      <c r="AF214" s="795"/>
      <c r="AG214" s="892"/>
      <c r="AH214" s="225" t="str">
        <f t="shared" si="14"/>
        <v/>
      </c>
      <c r="AI214" s="795"/>
      <c r="AJ214" s="796"/>
      <c r="AK214" s="796"/>
      <c r="AL214" s="795"/>
      <c r="AM214" s="796"/>
      <c r="AN214" s="795"/>
      <c r="AO214" s="795"/>
      <c r="AP214" s="795"/>
      <c r="AQ214" s="218"/>
      <c r="AR214" s="47"/>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row>
    <row r="215" spans="1:138" s="24" customFormat="1" x14ac:dyDescent="0.2">
      <c r="A215" s="219">
        <f t="shared" si="15"/>
        <v>44766</v>
      </c>
      <c r="B215" s="220">
        <f t="shared" si="12"/>
        <v>7</v>
      </c>
      <c r="C215" s="221">
        <f t="shared" si="13"/>
        <v>1</v>
      </c>
      <c r="D215" s="795"/>
      <c r="E215" s="795"/>
      <c r="F215" s="796"/>
      <c r="G215" s="796"/>
      <c r="H215" s="796"/>
      <c r="I215" s="795"/>
      <c r="J215" s="795"/>
      <c r="K215" s="796"/>
      <c r="L215" s="796"/>
      <c r="M215" s="796"/>
      <c r="N215" s="795"/>
      <c r="O215" s="795"/>
      <c r="P215" s="795"/>
      <c r="Q215" s="795"/>
      <c r="R215" s="795"/>
      <c r="S215" s="795"/>
      <c r="T215" s="795"/>
      <c r="U215" s="795"/>
      <c r="V215" s="795"/>
      <c r="W215" s="795"/>
      <c r="X215" s="795"/>
      <c r="Y215" s="795"/>
      <c r="Z215" s="796"/>
      <c r="AA215" s="795"/>
      <c r="AB215" s="329" t="str">
        <f>basis!$B$19</f>
        <v/>
      </c>
      <c r="AC215" s="795"/>
      <c r="AD215" s="795"/>
      <c r="AE215" s="795"/>
      <c r="AF215" s="795"/>
      <c r="AG215" s="892"/>
      <c r="AH215" s="225" t="str">
        <f t="shared" si="14"/>
        <v/>
      </c>
      <c r="AI215" s="795"/>
      <c r="AJ215" s="796"/>
      <c r="AK215" s="796"/>
      <c r="AL215" s="795"/>
      <c r="AM215" s="796"/>
      <c r="AN215" s="795"/>
      <c r="AO215" s="795"/>
      <c r="AP215" s="795"/>
      <c r="AQ215" s="218"/>
      <c r="AR215" s="47"/>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row>
    <row r="216" spans="1:138" s="24" customFormat="1" x14ac:dyDescent="0.2">
      <c r="A216" s="219">
        <f t="shared" si="15"/>
        <v>44767</v>
      </c>
      <c r="B216" s="220">
        <f t="shared" si="12"/>
        <v>7</v>
      </c>
      <c r="C216" s="221">
        <f t="shared" si="13"/>
        <v>2</v>
      </c>
      <c r="D216" s="795"/>
      <c r="E216" s="795"/>
      <c r="F216" s="796"/>
      <c r="G216" s="796"/>
      <c r="H216" s="796"/>
      <c r="I216" s="795"/>
      <c r="J216" s="795"/>
      <c r="K216" s="796"/>
      <c r="L216" s="796"/>
      <c r="M216" s="796"/>
      <c r="N216" s="795"/>
      <c r="O216" s="795"/>
      <c r="P216" s="795"/>
      <c r="Q216" s="795"/>
      <c r="R216" s="795"/>
      <c r="S216" s="795"/>
      <c r="T216" s="795"/>
      <c r="U216" s="795"/>
      <c r="V216" s="795"/>
      <c r="W216" s="795"/>
      <c r="X216" s="795"/>
      <c r="Y216" s="795"/>
      <c r="Z216" s="796"/>
      <c r="AA216" s="795"/>
      <c r="AB216" s="329" t="str">
        <f>basis!$B$19</f>
        <v/>
      </c>
      <c r="AC216" s="795"/>
      <c r="AD216" s="795"/>
      <c r="AE216" s="795"/>
      <c r="AF216" s="795"/>
      <c r="AG216" s="892"/>
      <c r="AH216" s="225" t="str">
        <f t="shared" si="14"/>
        <v/>
      </c>
      <c r="AI216" s="795"/>
      <c r="AJ216" s="796"/>
      <c r="AK216" s="796"/>
      <c r="AL216" s="795"/>
      <c r="AM216" s="796"/>
      <c r="AN216" s="795"/>
      <c r="AO216" s="795"/>
      <c r="AP216" s="795"/>
      <c r="AQ216" s="218"/>
      <c r="AR216" s="47"/>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row>
    <row r="217" spans="1:138" s="24" customFormat="1" x14ac:dyDescent="0.2">
      <c r="A217" s="219">
        <f t="shared" si="15"/>
        <v>44768</v>
      </c>
      <c r="B217" s="220">
        <f t="shared" si="12"/>
        <v>7</v>
      </c>
      <c r="C217" s="221">
        <f t="shared" si="13"/>
        <v>3</v>
      </c>
      <c r="D217" s="795"/>
      <c r="E217" s="795"/>
      <c r="F217" s="796"/>
      <c r="G217" s="796"/>
      <c r="H217" s="796"/>
      <c r="I217" s="795"/>
      <c r="J217" s="795"/>
      <c r="K217" s="796"/>
      <c r="L217" s="796"/>
      <c r="M217" s="796"/>
      <c r="N217" s="795"/>
      <c r="O217" s="795"/>
      <c r="P217" s="795"/>
      <c r="Q217" s="795"/>
      <c r="R217" s="795"/>
      <c r="S217" s="795"/>
      <c r="T217" s="795"/>
      <c r="U217" s="795"/>
      <c r="V217" s="795"/>
      <c r="W217" s="795"/>
      <c r="X217" s="795"/>
      <c r="Y217" s="795"/>
      <c r="Z217" s="796"/>
      <c r="AA217" s="795"/>
      <c r="AB217" s="329" t="str">
        <f>basis!$B$19</f>
        <v/>
      </c>
      <c r="AC217" s="795"/>
      <c r="AD217" s="795"/>
      <c r="AE217" s="795"/>
      <c r="AF217" s="795"/>
      <c r="AG217" s="892"/>
      <c r="AH217" s="225" t="str">
        <f t="shared" si="14"/>
        <v/>
      </c>
      <c r="AI217" s="795"/>
      <c r="AJ217" s="796"/>
      <c r="AK217" s="796"/>
      <c r="AL217" s="795"/>
      <c r="AM217" s="796"/>
      <c r="AN217" s="795"/>
      <c r="AO217" s="795"/>
      <c r="AP217" s="795"/>
      <c r="AQ217" s="218"/>
      <c r="AR217" s="47"/>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row>
    <row r="218" spans="1:138" s="24" customFormat="1" x14ac:dyDescent="0.2">
      <c r="A218" s="219">
        <f t="shared" si="15"/>
        <v>44769</v>
      </c>
      <c r="B218" s="220">
        <f t="shared" si="12"/>
        <v>7</v>
      </c>
      <c r="C218" s="221">
        <f t="shared" si="13"/>
        <v>4</v>
      </c>
      <c r="D218" s="795"/>
      <c r="E218" s="795"/>
      <c r="F218" s="796"/>
      <c r="G218" s="796"/>
      <c r="H218" s="796"/>
      <c r="I218" s="795"/>
      <c r="J218" s="795"/>
      <c r="K218" s="796"/>
      <c r="L218" s="796"/>
      <c r="M218" s="796"/>
      <c r="N218" s="795"/>
      <c r="O218" s="795"/>
      <c r="P218" s="795"/>
      <c r="Q218" s="795"/>
      <c r="R218" s="795"/>
      <c r="S218" s="795"/>
      <c r="T218" s="795"/>
      <c r="U218" s="795"/>
      <c r="V218" s="795"/>
      <c r="W218" s="795"/>
      <c r="X218" s="795"/>
      <c r="Y218" s="795"/>
      <c r="Z218" s="796"/>
      <c r="AA218" s="795"/>
      <c r="AB218" s="329" t="str">
        <f>basis!$B$19</f>
        <v/>
      </c>
      <c r="AC218" s="795"/>
      <c r="AD218" s="795"/>
      <c r="AE218" s="795"/>
      <c r="AF218" s="795"/>
      <c r="AG218" s="892"/>
      <c r="AH218" s="225" t="str">
        <f t="shared" si="14"/>
        <v/>
      </c>
      <c r="AI218" s="795"/>
      <c r="AJ218" s="796"/>
      <c r="AK218" s="796"/>
      <c r="AL218" s="795"/>
      <c r="AM218" s="796"/>
      <c r="AN218" s="795"/>
      <c r="AO218" s="795"/>
      <c r="AP218" s="795"/>
      <c r="AQ218" s="218"/>
      <c r="AR218" s="47"/>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row>
    <row r="219" spans="1:138" s="24" customFormat="1" x14ac:dyDescent="0.2">
      <c r="A219" s="219">
        <f t="shared" si="15"/>
        <v>44770</v>
      </c>
      <c r="B219" s="220">
        <f t="shared" si="12"/>
        <v>7</v>
      </c>
      <c r="C219" s="221">
        <f t="shared" si="13"/>
        <v>5</v>
      </c>
      <c r="D219" s="795"/>
      <c r="E219" s="795"/>
      <c r="F219" s="796"/>
      <c r="G219" s="796"/>
      <c r="H219" s="796"/>
      <c r="I219" s="795"/>
      <c r="J219" s="795"/>
      <c r="K219" s="796"/>
      <c r="L219" s="796"/>
      <c r="M219" s="796"/>
      <c r="N219" s="795"/>
      <c r="O219" s="795"/>
      <c r="P219" s="795"/>
      <c r="Q219" s="795"/>
      <c r="R219" s="795"/>
      <c r="S219" s="795"/>
      <c r="T219" s="795"/>
      <c r="U219" s="795"/>
      <c r="V219" s="795"/>
      <c r="W219" s="795"/>
      <c r="X219" s="795"/>
      <c r="Y219" s="795"/>
      <c r="Z219" s="796"/>
      <c r="AA219" s="795"/>
      <c r="AB219" s="329" t="str">
        <f>basis!$B$19</f>
        <v/>
      </c>
      <c r="AC219" s="795"/>
      <c r="AD219" s="795"/>
      <c r="AE219" s="795"/>
      <c r="AF219" s="795"/>
      <c r="AG219" s="892"/>
      <c r="AH219" s="225" t="str">
        <f t="shared" si="14"/>
        <v/>
      </c>
      <c r="AI219" s="795"/>
      <c r="AJ219" s="796"/>
      <c r="AK219" s="796"/>
      <c r="AL219" s="795"/>
      <c r="AM219" s="796"/>
      <c r="AN219" s="795"/>
      <c r="AO219" s="795"/>
      <c r="AP219" s="795"/>
      <c r="AQ219" s="218"/>
      <c r="AR219" s="47"/>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row>
    <row r="220" spans="1:138" s="24" customFormat="1" x14ac:dyDescent="0.2">
      <c r="A220" s="219">
        <f t="shared" si="15"/>
        <v>44771</v>
      </c>
      <c r="B220" s="220">
        <f t="shared" si="12"/>
        <v>7</v>
      </c>
      <c r="C220" s="221">
        <f t="shared" si="13"/>
        <v>6</v>
      </c>
      <c r="D220" s="795"/>
      <c r="E220" s="795"/>
      <c r="F220" s="796"/>
      <c r="G220" s="796"/>
      <c r="H220" s="796"/>
      <c r="I220" s="795"/>
      <c r="J220" s="795"/>
      <c r="K220" s="796"/>
      <c r="L220" s="796"/>
      <c r="M220" s="796"/>
      <c r="N220" s="795"/>
      <c r="O220" s="795"/>
      <c r="P220" s="795"/>
      <c r="Q220" s="795"/>
      <c r="R220" s="795"/>
      <c r="S220" s="795"/>
      <c r="T220" s="795"/>
      <c r="U220" s="795"/>
      <c r="V220" s="795"/>
      <c r="W220" s="795"/>
      <c r="X220" s="795"/>
      <c r="Y220" s="795"/>
      <c r="Z220" s="796"/>
      <c r="AA220" s="795"/>
      <c r="AB220" s="329" t="str">
        <f>basis!$B$19</f>
        <v/>
      </c>
      <c r="AC220" s="795"/>
      <c r="AD220" s="795"/>
      <c r="AE220" s="795"/>
      <c r="AF220" s="795"/>
      <c r="AG220" s="892"/>
      <c r="AH220" s="225" t="str">
        <f t="shared" si="14"/>
        <v/>
      </c>
      <c r="AI220" s="795"/>
      <c r="AJ220" s="796"/>
      <c r="AK220" s="796"/>
      <c r="AL220" s="795"/>
      <c r="AM220" s="796"/>
      <c r="AN220" s="795"/>
      <c r="AO220" s="795"/>
      <c r="AP220" s="795"/>
      <c r="AQ220" s="218"/>
      <c r="AR220" s="47"/>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row>
    <row r="221" spans="1:138" s="24" customFormat="1" x14ac:dyDescent="0.2">
      <c r="A221" s="219">
        <f t="shared" si="15"/>
        <v>44772</v>
      </c>
      <c r="B221" s="220">
        <f t="shared" si="12"/>
        <v>7</v>
      </c>
      <c r="C221" s="221">
        <f t="shared" si="13"/>
        <v>7</v>
      </c>
      <c r="D221" s="795"/>
      <c r="E221" s="795"/>
      <c r="F221" s="796"/>
      <c r="G221" s="796"/>
      <c r="H221" s="796"/>
      <c r="I221" s="795"/>
      <c r="J221" s="795"/>
      <c r="K221" s="796"/>
      <c r="L221" s="796"/>
      <c r="M221" s="796"/>
      <c r="N221" s="795"/>
      <c r="O221" s="795"/>
      <c r="P221" s="795"/>
      <c r="Q221" s="795"/>
      <c r="R221" s="795"/>
      <c r="S221" s="795"/>
      <c r="T221" s="795"/>
      <c r="U221" s="795"/>
      <c r="V221" s="795"/>
      <c r="W221" s="795"/>
      <c r="X221" s="795"/>
      <c r="Y221" s="795"/>
      <c r="Z221" s="796"/>
      <c r="AA221" s="795"/>
      <c r="AB221" s="329" t="str">
        <f>basis!$B$19</f>
        <v/>
      </c>
      <c r="AC221" s="795"/>
      <c r="AD221" s="795"/>
      <c r="AE221" s="795"/>
      <c r="AF221" s="795"/>
      <c r="AG221" s="892"/>
      <c r="AH221" s="225" t="str">
        <f t="shared" si="14"/>
        <v/>
      </c>
      <c r="AI221" s="795"/>
      <c r="AJ221" s="796"/>
      <c r="AK221" s="796"/>
      <c r="AL221" s="795"/>
      <c r="AM221" s="796"/>
      <c r="AN221" s="795"/>
      <c r="AO221" s="795"/>
      <c r="AP221" s="795"/>
      <c r="AQ221" s="218"/>
      <c r="AR221" s="47"/>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row>
    <row r="222" spans="1:138" s="24" customFormat="1" x14ac:dyDescent="0.2">
      <c r="A222" s="219">
        <f t="shared" si="15"/>
        <v>44773</v>
      </c>
      <c r="B222" s="220">
        <f t="shared" si="12"/>
        <v>7</v>
      </c>
      <c r="C222" s="221">
        <f t="shared" si="13"/>
        <v>1</v>
      </c>
      <c r="D222" s="795"/>
      <c r="E222" s="795"/>
      <c r="F222" s="796"/>
      <c r="G222" s="796"/>
      <c r="H222" s="796"/>
      <c r="I222" s="795"/>
      <c r="J222" s="795"/>
      <c r="K222" s="796"/>
      <c r="L222" s="796"/>
      <c r="M222" s="796"/>
      <c r="N222" s="795"/>
      <c r="O222" s="795"/>
      <c r="P222" s="795"/>
      <c r="Q222" s="795"/>
      <c r="R222" s="795"/>
      <c r="S222" s="795"/>
      <c r="T222" s="795"/>
      <c r="U222" s="795"/>
      <c r="V222" s="795"/>
      <c r="W222" s="795"/>
      <c r="X222" s="795"/>
      <c r="Y222" s="795"/>
      <c r="Z222" s="796"/>
      <c r="AA222" s="795"/>
      <c r="AB222" s="329" t="str">
        <f>basis!$B$19</f>
        <v/>
      </c>
      <c r="AC222" s="795"/>
      <c r="AD222" s="795"/>
      <c r="AE222" s="795"/>
      <c r="AF222" s="795"/>
      <c r="AG222" s="892"/>
      <c r="AH222" s="225" t="str">
        <f t="shared" si="14"/>
        <v/>
      </c>
      <c r="AI222" s="795"/>
      <c r="AJ222" s="796"/>
      <c r="AK222" s="796"/>
      <c r="AL222" s="795"/>
      <c r="AM222" s="796"/>
      <c r="AN222" s="795"/>
      <c r="AO222" s="795"/>
      <c r="AP222" s="795"/>
      <c r="AQ222" s="218"/>
      <c r="AR222" s="47"/>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row>
    <row r="223" spans="1:138" s="24" customFormat="1" x14ac:dyDescent="0.2">
      <c r="A223" s="219">
        <f t="shared" si="15"/>
        <v>44774</v>
      </c>
      <c r="B223" s="220">
        <f t="shared" si="12"/>
        <v>8</v>
      </c>
      <c r="C223" s="221">
        <f t="shared" si="13"/>
        <v>2</v>
      </c>
      <c r="D223" s="795"/>
      <c r="E223" s="795"/>
      <c r="F223" s="796"/>
      <c r="G223" s="796"/>
      <c r="H223" s="796"/>
      <c r="I223" s="795"/>
      <c r="J223" s="795"/>
      <c r="K223" s="796"/>
      <c r="L223" s="796"/>
      <c r="M223" s="796"/>
      <c r="N223" s="795"/>
      <c r="O223" s="795"/>
      <c r="P223" s="795"/>
      <c r="Q223" s="795"/>
      <c r="R223" s="795"/>
      <c r="S223" s="795"/>
      <c r="T223" s="795"/>
      <c r="U223" s="795"/>
      <c r="V223" s="795"/>
      <c r="W223" s="795"/>
      <c r="X223" s="795"/>
      <c r="Y223" s="795"/>
      <c r="Z223" s="796"/>
      <c r="AA223" s="795"/>
      <c r="AB223" s="329" t="str">
        <f>basis!$B$19</f>
        <v/>
      </c>
      <c r="AC223" s="795"/>
      <c r="AD223" s="795"/>
      <c r="AE223" s="795"/>
      <c r="AF223" s="795"/>
      <c r="AG223" s="892"/>
      <c r="AH223" s="225" t="str">
        <f t="shared" si="14"/>
        <v/>
      </c>
      <c r="AI223" s="795"/>
      <c r="AJ223" s="796"/>
      <c r="AK223" s="796"/>
      <c r="AL223" s="795"/>
      <c r="AM223" s="796"/>
      <c r="AN223" s="795"/>
      <c r="AO223" s="795"/>
      <c r="AP223" s="795"/>
      <c r="AQ223" s="218"/>
      <c r="AR223" s="47"/>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row>
    <row r="224" spans="1:138" s="24" customFormat="1" x14ac:dyDescent="0.2">
      <c r="A224" s="219">
        <f t="shared" si="15"/>
        <v>44775</v>
      </c>
      <c r="B224" s="220">
        <f t="shared" si="12"/>
        <v>8</v>
      </c>
      <c r="C224" s="221">
        <f t="shared" si="13"/>
        <v>3</v>
      </c>
      <c r="D224" s="795"/>
      <c r="E224" s="795"/>
      <c r="F224" s="796"/>
      <c r="G224" s="796"/>
      <c r="H224" s="796"/>
      <c r="I224" s="795"/>
      <c r="J224" s="795"/>
      <c r="K224" s="796"/>
      <c r="L224" s="796"/>
      <c r="M224" s="796"/>
      <c r="N224" s="795"/>
      <c r="O224" s="795"/>
      <c r="P224" s="795"/>
      <c r="Q224" s="795"/>
      <c r="R224" s="795"/>
      <c r="S224" s="795"/>
      <c r="T224" s="795"/>
      <c r="U224" s="795"/>
      <c r="V224" s="795"/>
      <c r="W224" s="795"/>
      <c r="X224" s="795"/>
      <c r="Y224" s="795"/>
      <c r="Z224" s="796"/>
      <c r="AA224" s="795"/>
      <c r="AB224" s="329" t="str">
        <f>basis!$B$19</f>
        <v/>
      </c>
      <c r="AC224" s="795"/>
      <c r="AD224" s="795"/>
      <c r="AE224" s="795"/>
      <c r="AF224" s="795"/>
      <c r="AG224" s="892"/>
      <c r="AH224" s="225" t="str">
        <f t="shared" si="14"/>
        <v/>
      </c>
      <c r="AI224" s="795"/>
      <c r="AJ224" s="796"/>
      <c r="AK224" s="796"/>
      <c r="AL224" s="795"/>
      <c r="AM224" s="796"/>
      <c r="AN224" s="795"/>
      <c r="AO224" s="795"/>
      <c r="AP224" s="795"/>
      <c r="AQ224" s="218"/>
      <c r="AR224" s="47"/>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row>
    <row r="225" spans="1:138" s="24" customFormat="1" x14ac:dyDescent="0.2">
      <c r="A225" s="219">
        <f t="shared" si="15"/>
        <v>44776</v>
      </c>
      <c r="B225" s="220">
        <f t="shared" si="12"/>
        <v>8</v>
      </c>
      <c r="C225" s="221">
        <f t="shared" si="13"/>
        <v>4</v>
      </c>
      <c r="D225" s="795"/>
      <c r="E225" s="795"/>
      <c r="F225" s="796"/>
      <c r="G225" s="796"/>
      <c r="H225" s="796"/>
      <c r="I225" s="795"/>
      <c r="J225" s="795"/>
      <c r="K225" s="796"/>
      <c r="L225" s="796"/>
      <c r="M225" s="796"/>
      <c r="N225" s="795"/>
      <c r="O225" s="795"/>
      <c r="P225" s="795"/>
      <c r="Q225" s="795"/>
      <c r="R225" s="795"/>
      <c r="S225" s="795"/>
      <c r="T225" s="795"/>
      <c r="U225" s="795"/>
      <c r="V225" s="795"/>
      <c r="W225" s="795"/>
      <c r="X225" s="795"/>
      <c r="Y225" s="795"/>
      <c r="Z225" s="796"/>
      <c r="AA225" s="795"/>
      <c r="AB225" s="329" t="str">
        <f>basis!$B$19</f>
        <v/>
      </c>
      <c r="AC225" s="795"/>
      <c r="AD225" s="795"/>
      <c r="AE225" s="795"/>
      <c r="AF225" s="795"/>
      <c r="AG225" s="892"/>
      <c r="AH225" s="225" t="str">
        <f t="shared" si="14"/>
        <v/>
      </c>
      <c r="AI225" s="795"/>
      <c r="AJ225" s="796"/>
      <c r="AK225" s="796"/>
      <c r="AL225" s="795"/>
      <c r="AM225" s="796"/>
      <c r="AN225" s="795"/>
      <c r="AO225" s="795"/>
      <c r="AP225" s="795"/>
      <c r="AQ225" s="218"/>
      <c r="AR225" s="47"/>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row>
    <row r="226" spans="1:138" s="24" customFormat="1" x14ac:dyDescent="0.2">
      <c r="A226" s="219">
        <f t="shared" si="15"/>
        <v>44777</v>
      </c>
      <c r="B226" s="220">
        <f t="shared" si="12"/>
        <v>8</v>
      </c>
      <c r="C226" s="221">
        <f t="shared" si="13"/>
        <v>5</v>
      </c>
      <c r="D226" s="795"/>
      <c r="E226" s="795"/>
      <c r="F226" s="796"/>
      <c r="G226" s="796"/>
      <c r="H226" s="796"/>
      <c r="I226" s="795"/>
      <c r="J226" s="795"/>
      <c r="K226" s="796"/>
      <c r="L226" s="796"/>
      <c r="M226" s="796"/>
      <c r="N226" s="795"/>
      <c r="O226" s="795"/>
      <c r="P226" s="795"/>
      <c r="Q226" s="795"/>
      <c r="R226" s="795"/>
      <c r="S226" s="795"/>
      <c r="T226" s="795"/>
      <c r="U226" s="795"/>
      <c r="V226" s="795"/>
      <c r="W226" s="795"/>
      <c r="X226" s="795"/>
      <c r="Y226" s="795"/>
      <c r="Z226" s="796"/>
      <c r="AA226" s="795"/>
      <c r="AB226" s="329" t="str">
        <f>basis!$B$19</f>
        <v/>
      </c>
      <c r="AC226" s="795"/>
      <c r="AD226" s="795"/>
      <c r="AE226" s="795"/>
      <c r="AF226" s="795"/>
      <c r="AG226" s="892"/>
      <c r="AH226" s="225" t="str">
        <f t="shared" si="14"/>
        <v/>
      </c>
      <c r="AI226" s="795"/>
      <c r="AJ226" s="796"/>
      <c r="AK226" s="796"/>
      <c r="AL226" s="795"/>
      <c r="AM226" s="796"/>
      <c r="AN226" s="795"/>
      <c r="AO226" s="795"/>
      <c r="AP226" s="795"/>
      <c r="AQ226" s="218"/>
      <c r="AR226" s="47"/>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row>
    <row r="227" spans="1:138" s="24" customFormat="1" x14ac:dyDescent="0.2">
      <c r="A227" s="219">
        <f t="shared" si="15"/>
        <v>44778</v>
      </c>
      <c r="B227" s="220">
        <f t="shared" si="12"/>
        <v>8</v>
      </c>
      <c r="C227" s="221">
        <f t="shared" si="13"/>
        <v>6</v>
      </c>
      <c r="D227" s="795"/>
      <c r="E227" s="795"/>
      <c r="F227" s="796"/>
      <c r="G227" s="796"/>
      <c r="H227" s="796"/>
      <c r="I227" s="795"/>
      <c r="J227" s="795"/>
      <c r="K227" s="796"/>
      <c r="L227" s="796"/>
      <c r="M227" s="796"/>
      <c r="N227" s="795"/>
      <c r="O227" s="795"/>
      <c r="P227" s="795"/>
      <c r="Q227" s="795"/>
      <c r="R227" s="795"/>
      <c r="S227" s="795"/>
      <c r="T227" s="795"/>
      <c r="U227" s="795"/>
      <c r="V227" s="795"/>
      <c r="W227" s="795"/>
      <c r="X227" s="795"/>
      <c r="Y227" s="795"/>
      <c r="Z227" s="796"/>
      <c r="AA227" s="795"/>
      <c r="AB227" s="329" t="str">
        <f>basis!$B$19</f>
        <v/>
      </c>
      <c r="AC227" s="795"/>
      <c r="AD227" s="795"/>
      <c r="AE227" s="795"/>
      <c r="AF227" s="795"/>
      <c r="AG227" s="892"/>
      <c r="AH227" s="225" t="str">
        <f t="shared" si="14"/>
        <v/>
      </c>
      <c r="AI227" s="795"/>
      <c r="AJ227" s="796"/>
      <c r="AK227" s="796"/>
      <c r="AL227" s="795"/>
      <c r="AM227" s="796"/>
      <c r="AN227" s="795"/>
      <c r="AO227" s="795"/>
      <c r="AP227" s="795"/>
      <c r="AQ227" s="218"/>
      <c r="AR227" s="47"/>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row>
    <row r="228" spans="1:138" s="24" customFormat="1" x14ac:dyDescent="0.2">
      <c r="A228" s="219">
        <f t="shared" si="15"/>
        <v>44779</v>
      </c>
      <c r="B228" s="220">
        <f t="shared" si="12"/>
        <v>8</v>
      </c>
      <c r="C228" s="221">
        <f t="shared" si="13"/>
        <v>7</v>
      </c>
      <c r="D228" s="795"/>
      <c r="E228" s="795"/>
      <c r="F228" s="796"/>
      <c r="G228" s="796"/>
      <c r="H228" s="796"/>
      <c r="I228" s="795"/>
      <c r="J228" s="795"/>
      <c r="K228" s="796"/>
      <c r="L228" s="796"/>
      <c r="M228" s="796"/>
      <c r="N228" s="795"/>
      <c r="O228" s="795"/>
      <c r="P228" s="795"/>
      <c r="Q228" s="795"/>
      <c r="R228" s="795"/>
      <c r="S228" s="795"/>
      <c r="T228" s="795"/>
      <c r="U228" s="795"/>
      <c r="V228" s="795"/>
      <c r="W228" s="795"/>
      <c r="X228" s="795"/>
      <c r="Y228" s="795"/>
      <c r="Z228" s="796"/>
      <c r="AA228" s="795"/>
      <c r="AB228" s="329" t="str">
        <f>basis!$B$19</f>
        <v/>
      </c>
      <c r="AC228" s="795"/>
      <c r="AD228" s="795"/>
      <c r="AE228" s="795"/>
      <c r="AF228" s="795"/>
      <c r="AG228" s="892"/>
      <c r="AH228" s="225" t="str">
        <f t="shared" si="14"/>
        <v/>
      </c>
      <c r="AI228" s="795"/>
      <c r="AJ228" s="796"/>
      <c r="AK228" s="796"/>
      <c r="AL228" s="795"/>
      <c r="AM228" s="796"/>
      <c r="AN228" s="795"/>
      <c r="AO228" s="795"/>
      <c r="AP228" s="795"/>
      <c r="AQ228" s="218"/>
      <c r="AR228" s="47"/>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row>
    <row r="229" spans="1:138" s="24" customFormat="1" x14ac:dyDescent="0.2">
      <c r="A229" s="219">
        <f t="shared" si="15"/>
        <v>44780</v>
      </c>
      <c r="B229" s="220">
        <f t="shared" si="12"/>
        <v>8</v>
      </c>
      <c r="C229" s="221">
        <f t="shared" si="13"/>
        <v>1</v>
      </c>
      <c r="D229" s="795"/>
      <c r="E229" s="795"/>
      <c r="F229" s="796"/>
      <c r="G229" s="796"/>
      <c r="H229" s="796"/>
      <c r="I229" s="795"/>
      <c r="J229" s="795"/>
      <c r="K229" s="796"/>
      <c r="L229" s="796"/>
      <c r="M229" s="796"/>
      <c r="N229" s="795"/>
      <c r="O229" s="795"/>
      <c r="P229" s="795"/>
      <c r="Q229" s="795"/>
      <c r="R229" s="795"/>
      <c r="S229" s="795"/>
      <c r="T229" s="795"/>
      <c r="U229" s="795"/>
      <c r="V229" s="795"/>
      <c r="W229" s="795"/>
      <c r="X229" s="795"/>
      <c r="Y229" s="795"/>
      <c r="Z229" s="796"/>
      <c r="AA229" s="795"/>
      <c r="AB229" s="329" t="str">
        <f>basis!$B$19</f>
        <v/>
      </c>
      <c r="AC229" s="795"/>
      <c r="AD229" s="795"/>
      <c r="AE229" s="795"/>
      <c r="AF229" s="795"/>
      <c r="AG229" s="892"/>
      <c r="AH229" s="225" t="str">
        <f t="shared" si="14"/>
        <v/>
      </c>
      <c r="AI229" s="795"/>
      <c r="AJ229" s="796"/>
      <c r="AK229" s="796"/>
      <c r="AL229" s="795"/>
      <c r="AM229" s="796"/>
      <c r="AN229" s="795"/>
      <c r="AO229" s="795"/>
      <c r="AP229" s="795"/>
      <c r="AQ229" s="218"/>
      <c r="AR229" s="47"/>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row>
    <row r="230" spans="1:138" s="24" customFormat="1" x14ac:dyDescent="0.2">
      <c r="A230" s="219">
        <f t="shared" si="15"/>
        <v>44781</v>
      </c>
      <c r="B230" s="220">
        <f t="shared" si="12"/>
        <v>8</v>
      </c>
      <c r="C230" s="221">
        <f t="shared" si="13"/>
        <v>2</v>
      </c>
      <c r="D230" s="795"/>
      <c r="E230" s="795"/>
      <c r="F230" s="796"/>
      <c r="G230" s="796"/>
      <c r="H230" s="796"/>
      <c r="I230" s="795"/>
      <c r="J230" s="795"/>
      <c r="K230" s="796"/>
      <c r="L230" s="796"/>
      <c r="M230" s="796"/>
      <c r="N230" s="795"/>
      <c r="O230" s="795"/>
      <c r="P230" s="795"/>
      <c r="Q230" s="795"/>
      <c r="R230" s="795"/>
      <c r="S230" s="795"/>
      <c r="T230" s="795"/>
      <c r="U230" s="795"/>
      <c r="V230" s="795"/>
      <c r="W230" s="795"/>
      <c r="X230" s="795"/>
      <c r="Y230" s="795"/>
      <c r="Z230" s="796"/>
      <c r="AA230" s="795"/>
      <c r="AB230" s="329" t="str">
        <f>basis!$B$19</f>
        <v/>
      </c>
      <c r="AC230" s="795"/>
      <c r="AD230" s="795"/>
      <c r="AE230" s="795"/>
      <c r="AF230" s="795"/>
      <c r="AG230" s="892"/>
      <c r="AH230" s="225" t="str">
        <f t="shared" si="14"/>
        <v/>
      </c>
      <c r="AI230" s="795"/>
      <c r="AJ230" s="796"/>
      <c r="AK230" s="796"/>
      <c r="AL230" s="795"/>
      <c r="AM230" s="796"/>
      <c r="AN230" s="795"/>
      <c r="AO230" s="795"/>
      <c r="AP230" s="795"/>
      <c r="AQ230" s="218"/>
      <c r="AR230" s="47"/>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row>
    <row r="231" spans="1:138" s="24" customFormat="1" x14ac:dyDescent="0.2">
      <c r="A231" s="219">
        <f t="shared" si="15"/>
        <v>44782</v>
      </c>
      <c r="B231" s="220">
        <f t="shared" si="12"/>
        <v>8</v>
      </c>
      <c r="C231" s="221">
        <f t="shared" si="13"/>
        <v>3</v>
      </c>
      <c r="D231" s="795"/>
      <c r="E231" s="795"/>
      <c r="F231" s="796"/>
      <c r="G231" s="796"/>
      <c r="H231" s="796"/>
      <c r="I231" s="795"/>
      <c r="J231" s="795"/>
      <c r="K231" s="796"/>
      <c r="L231" s="796"/>
      <c r="M231" s="796"/>
      <c r="N231" s="795"/>
      <c r="O231" s="795"/>
      <c r="P231" s="795"/>
      <c r="Q231" s="795"/>
      <c r="R231" s="795"/>
      <c r="S231" s="795"/>
      <c r="T231" s="795"/>
      <c r="U231" s="795"/>
      <c r="V231" s="795"/>
      <c r="W231" s="795"/>
      <c r="X231" s="795"/>
      <c r="Y231" s="795"/>
      <c r="Z231" s="796"/>
      <c r="AA231" s="795"/>
      <c r="AB231" s="329" t="str">
        <f>basis!$B$19</f>
        <v/>
      </c>
      <c r="AC231" s="795"/>
      <c r="AD231" s="795"/>
      <c r="AE231" s="795"/>
      <c r="AF231" s="795"/>
      <c r="AG231" s="892"/>
      <c r="AH231" s="225" t="str">
        <f t="shared" si="14"/>
        <v/>
      </c>
      <c r="AI231" s="795"/>
      <c r="AJ231" s="796"/>
      <c r="AK231" s="796"/>
      <c r="AL231" s="795"/>
      <c r="AM231" s="796"/>
      <c r="AN231" s="795"/>
      <c r="AO231" s="795"/>
      <c r="AP231" s="795"/>
      <c r="AQ231" s="218"/>
      <c r="AR231" s="47"/>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row>
    <row r="232" spans="1:138" s="24" customFormat="1" x14ac:dyDescent="0.2">
      <c r="A232" s="219">
        <f t="shared" si="15"/>
        <v>44783</v>
      </c>
      <c r="B232" s="220">
        <f t="shared" si="12"/>
        <v>8</v>
      </c>
      <c r="C232" s="221">
        <f t="shared" si="13"/>
        <v>4</v>
      </c>
      <c r="D232" s="795"/>
      <c r="E232" s="795"/>
      <c r="F232" s="796"/>
      <c r="G232" s="796"/>
      <c r="H232" s="796"/>
      <c r="I232" s="795"/>
      <c r="J232" s="795"/>
      <c r="K232" s="796"/>
      <c r="L232" s="796"/>
      <c r="M232" s="796"/>
      <c r="N232" s="795"/>
      <c r="O232" s="795"/>
      <c r="P232" s="795"/>
      <c r="Q232" s="795"/>
      <c r="R232" s="795"/>
      <c r="S232" s="795"/>
      <c r="T232" s="795"/>
      <c r="U232" s="795"/>
      <c r="V232" s="795"/>
      <c r="W232" s="795"/>
      <c r="X232" s="795"/>
      <c r="Y232" s="795"/>
      <c r="Z232" s="796"/>
      <c r="AA232" s="795"/>
      <c r="AB232" s="329" t="str">
        <f>basis!$B$19</f>
        <v/>
      </c>
      <c r="AC232" s="795"/>
      <c r="AD232" s="795"/>
      <c r="AE232" s="795"/>
      <c r="AF232" s="795"/>
      <c r="AG232" s="892"/>
      <c r="AH232" s="225" t="str">
        <f t="shared" si="14"/>
        <v/>
      </c>
      <c r="AI232" s="795"/>
      <c r="AJ232" s="796"/>
      <c r="AK232" s="796"/>
      <c r="AL232" s="795"/>
      <c r="AM232" s="796"/>
      <c r="AN232" s="795"/>
      <c r="AO232" s="795"/>
      <c r="AP232" s="795"/>
      <c r="AQ232" s="218"/>
      <c r="AR232" s="47"/>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row>
    <row r="233" spans="1:138" s="24" customFormat="1" x14ac:dyDescent="0.2">
      <c r="A233" s="219">
        <f t="shared" si="15"/>
        <v>44784</v>
      </c>
      <c r="B233" s="220">
        <f t="shared" si="12"/>
        <v>8</v>
      </c>
      <c r="C233" s="221">
        <f t="shared" si="13"/>
        <v>5</v>
      </c>
      <c r="D233" s="795"/>
      <c r="E233" s="795"/>
      <c r="F233" s="796"/>
      <c r="G233" s="796"/>
      <c r="H233" s="796"/>
      <c r="I233" s="795"/>
      <c r="J233" s="795"/>
      <c r="K233" s="796"/>
      <c r="L233" s="796"/>
      <c r="M233" s="796"/>
      <c r="N233" s="795"/>
      <c r="O233" s="795"/>
      <c r="P233" s="795"/>
      <c r="Q233" s="795"/>
      <c r="R233" s="795"/>
      <c r="S233" s="795"/>
      <c r="T233" s="795"/>
      <c r="U233" s="795"/>
      <c r="V233" s="795"/>
      <c r="W233" s="795"/>
      <c r="X233" s="795"/>
      <c r="Y233" s="795"/>
      <c r="Z233" s="796"/>
      <c r="AA233" s="795"/>
      <c r="AB233" s="329" t="str">
        <f>basis!$B$19</f>
        <v/>
      </c>
      <c r="AC233" s="795"/>
      <c r="AD233" s="795"/>
      <c r="AE233" s="795"/>
      <c r="AF233" s="795"/>
      <c r="AG233" s="892"/>
      <c r="AH233" s="225" t="str">
        <f t="shared" si="14"/>
        <v/>
      </c>
      <c r="AI233" s="795"/>
      <c r="AJ233" s="796"/>
      <c r="AK233" s="796"/>
      <c r="AL233" s="795"/>
      <c r="AM233" s="796"/>
      <c r="AN233" s="795"/>
      <c r="AO233" s="795"/>
      <c r="AP233" s="795"/>
      <c r="AQ233" s="218"/>
      <c r="AR233" s="47"/>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row>
    <row r="234" spans="1:138" s="24" customFormat="1" x14ac:dyDescent="0.2">
      <c r="A234" s="219">
        <f t="shared" si="15"/>
        <v>44785</v>
      </c>
      <c r="B234" s="220">
        <f t="shared" si="12"/>
        <v>8</v>
      </c>
      <c r="C234" s="221">
        <f t="shared" si="13"/>
        <v>6</v>
      </c>
      <c r="D234" s="795"/>
      <c r="E234" s="795"/>
      <c r="F234" s="796"/>
      <c r="G234" s="796"/>
      <c r="H234" s="796"/>
      <c r="I234" s="795"/>
      <c r="J234" s="795"/>
      <c r="K234" s="796"/>
      <c r="L234" s="796"/>
      <c r="M234" s="796"/>
      <c r="N234" s="795"/>
      <c r="O234" s="795"/>
      <c r="P234" s="795"/>
      <c r="Q234" s="795"/>
      <c r="R234" s="795"/>
      <c r="S234" s="795"/>
      <c r="T234" s="795"/>
      <c r="U234" s="795"/>
      <c r="V234" s="795"/>
      <c r="W234" s="795"/>
      <c r="X234" s="795"/>
      <c r="Y234" s="795"/>
      <c r="Z234" s="796"/>
      <c r="AA234" s="795"/>
      <c r="AB234" s="329" t="str">
        <f>basis!$B$19</f>
        <v/>
      </c>
      <c r="AC234" s="795"/>
      <c r="AD234" s="795"/>
      <c r="AE234" s="795"/>
      <c r="AF234" s="795"/>
      <c r="AG234" s="892"/>
      <c r="AH234" s="225" t="str">
        <f t="shared" si="14"/>
        <v/>
      </c>
      <c r="AI234" s="795"/>
      <c r="AJ234" s="796"/>
      <c r="AK234" s="796"/>
      <c r="AL234" s="795"/>
      <c r="AM234" s="796"/>
      <c r="AN234" s="795"/>
      <c r="AO234" s="795"/>
      <c r="AP234" s="795"/>
      <c r="AQ234" s="218"/>
      <c r="AR234" s="47"/>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row>
    <row r="235" spans="1:138" s="24" customFormat="1" x14ac:dyDescent="0.2">
      <c r="A235" s="219">
        <f t="shared" si="15"/>
        <v>44786</v>
      </c>
      <c r="B235" s="220">
        <f t="shared" si="12"/>
        <v>8</v>
      </c>
      <c r="C235" s="221">
        <f t="shared" si="13"/>
        <v>7</v>
      </c>
      <c r="D235" s="795"/>
      <c r="E235" s="795"/>
      <c r="F235" s="796"/>
      <c r="G235" s="796"/>
      <c r="H235" s="796"/>
      <c r="I235" s="795"/>
      <c r="J235" s="795"/>
      <c r="K235" s="796"/>
      <c r="L235" s="796"/>
      <c r="M235" s="796"/>
      <c r="N235" s="795"/>
      <c r="O235" s="795"/>
      <c r="P235" s="795"/>
      <c r="Q235" s="795"/>
      <c r="R235" s="795"/>
      <c r="S235" s="795"/>
      <c r="T235" s="795"/>
      <c r="U235" s="795"/>
      <c r="V235" s="795"/>
      <c r="W235" s="795"/>
      <c r="X235" s="795"/>
      <c r="Y235" s="795"/>
      <c r="Z235" s="796"/>
      <c r="AA235" s="795"/>
      <c r="AB235" s="329" t="str">
        <f>basis!$B$19</f>
        <v/>
      </c>
      <c r="AC235" s="795"/>
      <c r="AD235" s="795"/>
      <c r="AE235" s="795"/>
      <c r="AF235" s="795"/>
      <c r="AG235" s="892"/>
      <c r="AH235" s="225" t="str">
        <f t="shared" si="14"/>
        <v/>
      </c>
      <c r="AI235" s="795"/>
      <c r="AJ235" s="796"/>
      <c r="AK235" s="796"/>
      <c r="AL235" s="795"/>
      <c r="AM235" s="796"/>
      <c r="AN235" s="795"/>
      <c r="AO235" s="795"/>
      <c r="AP235" s="795"/>
      <c r="AQ235" s="218"/>
      <c r="AR235" s="47"/>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row>
    <row r="236" spans="1:138" s="24" customFormat="1" x14ac:dyDescent="0.2">
      <c r="A236" s="219">
        <f t="shared" si="15"/>
        <v>44787</v>
      </c>
      <c r="B236" s="220">
        <f t="shared" si="12"/>
        <v>8</v>
      </c>
      <c r="C236" s="221">
        <f t="shared" si="13"/>
        <v>1</v>
      </c>
      <c r="D236" s="795"/>
      <c r="E236" s="795"/>
      <c r="F236" s="796"/>
      <c r="G236" s="796"/>
      <c r="H236" s="796"/>
      <c r="I236" s="795"/>
      <c r="J236" s="795"/>
      <c r="K236" s="796"/>
      <c r="L236" s="796"/>
      <c r="M236" s="796"/>
      <c r="N236" s="795"/>
      <c r="O236" s="795"/>
      <c r="P236" s="795"/>
      <c r="Q236" s="795"/>
      <c r="R236" s="795"/>
      <c r="S236" s="795"/>
      <c r="T236" s="795"/>
      <c r="U236" s="795"/>
      <c r="V236" s="795"/>
      <c r="W236" s="795"/>
      <c r="X236" s="795"/>
      <c r="Y236" s="795"/>
      <c r="Z236" s="796"/>
      <c r="AA236" s="795"/>
      <c r="AB236" s="329" t="str">
        <f>basis!$B$19</f>
        <v/>
      </c>
      <c r="AC236" s="795"/>
      <c r="AD236" s="795"/>
      <c r="AE236" s="795"/>
      <c r="AF236" s="795"/>
      <c r="AG236" s="892"/>
      <c r="AH236" s="225" t="str">
        <f t="shared" si="14"/>
        <v/>
      </c>
      <c r="AI236" s="795"/>
      <c r="AJ236" s="796"/>
      <c r="AK236" s="796"/>
      <c r="AL236" s="795"/>
      <c r="AM236" s="796"/>
      <c r="AN236" s="795"/>
      <c r="AO236" s="795"/>
      <c r="AP236" s="795"/>
      <c r="AQ236" s="218"/>
      <c r="AR236" s="47"/>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row>
    <row r="237" spans="1:138" s="24" customFormat="1" x14ac:dyDescent="0.2">
      <c r="A237" s="219">
        <f t="shared" si="15"/>
        <v>44788</v>
      </c>
      <c r="B237" s="220">
        <f t="shared" si="12"/>
        <v>8</v>
      </c>
      <c r="C237" s="221">
        <f t="shared" si="13"/>
        <v>2</v>
      </c>
      <c r="D237" s="795"/>
      <c r="E237" s="795"/>
      <c r="F237" s="796"/>
      <c r="G237" s="796"/>
      <c r="H237" s="796"/>
      <c r="I237" s="795"/>
      <c r="J237" s="795"/>
      <c r="K237" s="796"/>
      <c r="L237" s="796"/>
      <c r="M237" s="796"/>
      <c r="N237" s="795"/>
      <c r="O237" s="795"/>
      <c r="P237" s="795"/>
      <c r="Q237" s="795"/>
      <c r="R237" s="795"/>
      <c r="S237" s="795"/>
      <c r="T237" s="795"/>
      <c r="U237" s="795"/>
      <c r="V237" s="795"/>
      <c r="W237" s="795"/>
      <c r="X237" s="795"/>
      <c r="Y237" s="795"/>
      <c r="Z237" s="796"/>
      <c r="AA237" s="795"/>
      <c r="AB237" s="329" t="str">
        <f>basis!$B$19</f>
        <v/>
      </c>
      <c r="AC237" s="795"/>
      <c r="AD237" s="795"/>
      <c r="AE237" s="795"/>
      <c r="AF237" s="795"/>
      <c r="AG237" s="892"/>
      <c r="AH237" s="225" t="str">
        <f t="shared" si="14"/>
        <v/>
      </c>
      <c r="AI237" s="795"/>
      <c r="AJ237" s="796"/>
      <c r="AK237" s="796"/>
      <c r="AL237" s="795"/>
      <c r="AM237" s="796"/>
      <c r="AN237" s="795"/>
      <c r="AO237" s="795"/>
      <c r="AP237" s="795"/>
      <c r="AQ237" s="218"/>
      <c r="AR237" s="47"/>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row>
    <row r="238" spans="1:138" s="24" customFormat="1" x14ac:dyDescent="0.2">
      <c r="A238" s="219">
        <f t="shared" si="15"/>
        <v>44789</v>
      </c>
      <c r="B238" s="220">
        <f t="shared" si="12"/>
        <v>8</v>
      </c>
      <c r="C238" s="221">
        <f t="shared" si="13"/>
        <v>3</v>
      </c>
      <c r="D238" s="795"/>
      <c r="E238" s="795"/>
      <c r="F238" s="796"/>
      <c r="G238" s="796"/>
      <c r="H238" s="796"/>
      <c r="I238" s="795"/>
      <c r="J238" s="795"/>
      <c r="K238" s="796"/>
      <c r="L238" s="796"/>
      <c r="M238" s="796"/>
      <c r="N238" s="795"/>
      <c r="O238" s="795"/>
      <c r="P238" s="795"/>
      <c r="Q238" s="795"/>
      <c r="R238" s="795"/>
      <c r="S238" s="795"/>
      <c r="T238" s="795"/>
      <c r="U238" s="795"/>
      <c r="V238" s="795"/>
      <c r="W238" s="795"/>
      <c r="X238" s="795"/>
      <c r="Y238" s="795"/>
      <c r="Z238" s="796"/>
      <c r="AA238" s="795"/>
      <c r="AB238" s="329" t="str">
        <f>basis!$B$19</f>
        <v/>
      </c>
      <c r="AC238" s="795"/>
      <c r="AD238" s="795"/>
      <c r="AE238" s="795"/>
      <c r="AF238" s="795"/>
      <c r="AG238" s="892"/>
      <c r="AH238" s="225" t="str">
        <f t="shared" si="14"/>
        <v/>
      </c>
      <c r="AI238" s="795"/>
      <c r="AJ238" s="796"/>
      <c r="AK238" s="796"/>
      <c r="AL238" s="795"/>
      <c r="AM238" s="796"/>
      <c r="AN238" s="795"/>
      <c r="AO238" s="795"/>
      <c r="AP238" s="795"/>
      <c r="AQ238" s="218"/>
      <c r="AR238" s="47"/>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row>
    <row r="239" spans="1:138" s="24" customFormat="1" x14ac:dyDescent="0.2">
      <c r="A239" s="219">
        <f t="shared" si="15"/>
        <v>44790</v>
      </c>
      <c r="B239" s="220">
        <f t="shared" si="12"/>
        <v>8</v>
      </c>
      <c r="C239" s="221">
        <f t="shared" si="13"/>
        <v>4</v>
      </c>
      <c r="D239" s="795"/>
      <c r="E239" s="795"/>
      <c r="F239" s="796"/>
      <c r="G239" s="796"/>
      <c r="H239" s="796"/>
      <c r="I239" s="795"/>
      <c r="J239" s="795"/>
      <c r="K239" s="796"/>
      <c r="L239" s="796"/>
      <c r="M239" s="796"/>
      <c r="N239" s="795"/>
      <c r="O239" s="795"/>
      <c r="P239" s="795"/>
      <c r="Q239" s="795"/>
      <c r="R239" s="795"/>
      <c r="S239" s="795"/>
      <c r="T239" s="795"/>
      <c r="U239" s="795"/>
      <c r="V239" s="795"/>
      <c r="W239" s="795"/>
      <c r="X239" s="795"/>
      <c r="Y239" s="795"/>
      <c r="Z239" s="796"/>
      <c r="AA239" s="795"/>
      <c r="AB239" s="329" t="str">
        <f>basis!$B$19</f>
        <v/>
      </c>
      <c r="AC239" s="795"/>
      <c r="AD239" s="795"/>
      <c r="AE239" s="795"/>
      <c r="AF239" s="795"/>
      <c r="AG239" s="892"/>
      <c r="AH239" s="225" t="str">
        <f t="shared" si="14"/>
        <v/>
      </c>
      <c r="AI239" s="795"/>
      <c r="AJ239" s="796"/>
      <c r="AK239" s="796"/>
      <c r="AL239" s="795"/>
      <c r="AM239" s="796"/>
      <c r="AN239" s="795"/>
      <c r="AO239" s="795"/>
      <c r="AP239" s="795"/>
      <c r="AQ239" s="218"/>
      <c r="AR239" s="47"/>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row>
    <row r="240" spans="1:138" s="24" customFormat="1" x14ac:dyDescent="0.2">
      <c r="A240" s="219">
        <f t="shared" si="15"/>
        <v>44791</v>
      </c>
      <c r="B240" s="220">
        <f t="shared" si="12"/>
        <v>8</v>
      </c>
      <c r="C240" s="221">
        <f t="shared" si="13"/>
        <v>5</v>
      </c>
      <c r="D240" s="795"/>
      <c r="E240" s="795"/>
      <c r="F240" s="796"/>
      <c r="G240" s="796"/>
      <c r="H240" s="796"/>
      <c r="I240" s="795"/>
      <c r="J240" s="795"/>
      <c r="K240" s="796"/>
      <c r="L240" s="796"/>
      <c r="M240" s="796"/>
      <c r="N240" s="795"/>
      <c r="O240" s="795"/>
      <c r="P240" s="795"/>
      <c r="Q240" s="795"/>
      <c r="R240" s="795"/>
      <c r="S240" s="795"/>
      <c r="T240" s="795"/>
      <c r="U240" s="795"/>
      <c r="V240" s="795"/>
      <c r="W240" s="795"/>
      <c r="X240" s="795"/>
      <c r="Y240" s="795"/>
      <c r="Z240" s="796"/>
      <c r="AA240" s="795"/>
      <c r="AB240" s="329" t="str">
        <f>basis!$B$19</f>
        <v/>
      </c>
      <c r="AC240" s="795"/>
      <c r="AD240" s="795"/>
      <c r="AE240" s="795"/>
      <c r="AF240" s="795"/>
      <c r="AG240" s="892"/>
      <c r="AH240" s="225" t="str">
        <f t="shared" si="14"/>
        <v/>
      </c>
      <c r="AI240" s="795"/>
      <c r="AJ240" s="796"/>
      <c r="AK240" s="796"/>
      <c r="AL240" s="795"/>
      <c r="AM240" s="796"/>
      <c r="AN240" s="795"/>
      <c r="AO240" s="795"/>
      <c r="AP240" s="795"/>
      <c r="AQ240" s="218"/>
      <c r="AR240" s="47"/>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row>
    <row r="241" spans="1:138" s="24" customFormat="1" x14ac:dyDescent="0.2">
      <c r="A241" s="219">
        <f t="shared" si="15"/>
        <v>44792</v>
      </c>
      <c r="B241" s="220">
        <f t="shared" si="12"/>
        <v>8</v>
      </c>
      <c r="C241" s="221">
        <f t="shared" si="13"/>
        <v>6</v>
      </c>
      <c r="D241" s="795"/>
      <c r="E241" s="795"/>
      <c r="F241" s="796"/>
      <c r="G241" s="796"/>
      <c r="H241" s="796"/>
      <c r="I241" s="795"/>
      <c r="J241" s="795"/>
      <c r="K241" s="796"/>
      <c r="L241" s="796"/>
      <c r="M241" s="796"/>
      <c r="N241" s="795"/>
      <c r="O241" s="795"/>
      <c r="P241" s="795"/>
      <c r="Q241" s="795"/>
      <c r="R241" s="795"/>
      <c r="S241" s="795"/>
      <c r="T241" s="795"/>
      <c r="U241" s="795"/>
      <c r="V241" s="795"/>
      <c r="W241" s="795"/>
      <c r="X241" s="795"/>
      <c r="Y241" s="795"/>
      <c r="Z241" s="796"/>
      <c r="AA241" s="795"/>
      <c r="AB241" s="329" t="str">
        <f>basis!$B$19</f>
        <v/>
      </c>
      <c r="AC241" s="795"/>
      <c r="AD241" s="795"/>
      <c r="AE241" s="795"/>
      <c r="AF241" s="795"/>
      <c r="AG241" s="892"/>
      <c r="AH241" s="225" t="str">
        <f t="shared" si="14"/>
        <v/>
      </c>
      <c r="AI241" s="795"/>
      <c r="AJ241" s="796"/>
      <c r="AK241" s="796"/>
      <c r="AL241" s="795"/>
      <c r="AM241" s="796"/>
      <c r="AN241" s="795"/>
      <c r="AO241" s="795"/>
      <c r="AP241" s="795"/>
      <c r="AQ241" s="218"/>
      <c r="AR241" s="47"/>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row>
    <row r="242" spans="1:138" s="24" customFormat="1" x14ac:dyDescent="0.2">
      <c r="A242" s="219">
        <f t="shared" si="15"/>
        <v>44793</v>
      </c>
      <c r="B242" s="220">
        <f t="shared" si="12"/>
        <v>8</v>
      </c>
      <c r="C242" s="221">
        <f t="shared" si="13"/>
        <v>7</v>
      </c>
      <c r="D242" s="795"/>
      <c r="E242" s="795"/>
      <c r="F242" s="796"/>
      <c r="G242" s="796"/>
      <c r="H242" s="796"/>
      <c r="I242" s="795"/>
      <c r="J242" s="795"/>
      <c r="K242" s="796"/>
      <c r="L242" s="796"/>
      <c r="M242" s="796"/>
      <c r="N242" s="795"/>
      <c r="O242" s="795"/>
      <c r="P242" s="795"/>
      <c r="Q242" s="795"/>
      <c r="R242" s="795"/>
      <c r="S242" s="795"/>
      <c r="T242" s="795"/>
      <c r="U242" s="795"/>
      <c r="V242" s="795"/>
      <c r="W242" s="795"/>
      <c r="X242" s="795"/>
      <c r="Y242" s="795"/>
      <c r="Z242" s="796"/>
      <c r="AA242" s="795"/>
      <c r="AB242" s="329" t="str">
        <f>basis!$B$19</f>
        <v/>
      </c>
      <c r="AC242" s="795"/>
      <c r="AD242" s="795"/>
      <c r="AE242" s="795"/>
      <c r="AF242" s="795"/>
      <c r="AG242" s="892"/>
      <c r="AH242" s="225" t="str">
        <f t="shared" si="14"/>
        <v/>
      </c>
      <c r="AI242" s="795"/>
      <c r="AJ242" s="796"/>
      <c r="AK242" s="796"/>
      <c r="AL242" s="795"/>
      <c r="AM242" s="796"/>
      <c r="AN242" s="795"/>
      <c r="AO242" s="795"/>
      <c r="AP242" s="795"/>
      <c r="AQ242" s="218"/>
      <c r="AR242" s="47"/>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row>
    <row r="243" spans="1:138" s="24" customFormat="1" x14ac:dyDescent="0.2">
      <c r="A243" s="219">
        <f t="shared" si="15"/>
        <v>44794</v>
      </c>
      <c r="B243" s="220">
        <f t="shared" si="12"/>
        <v>8</v>
      </c>
      <c r="C243" s="221">
        <f t="shared" si="13"/>
        <v>1</v>
      </c>
      <c r="D243" s="795"/>
      <c r="E243" s="795"/>
      <c r="F243" s="796"/>
      <c r="G243" s="796"/>
      <c r="H243" s="796"/>
      <c r="I243" s="795"/>
      <c r="J243" s="795"/>
      <c r="K243" s="796"/>
      <c r="L243" s="796"/>
      <c r="M243" s="796"/>
      <c r="N243" s="795"/>
      <c r="O243" s="795"/>
      <c r="P243" s="795"/>
      <c r="Q243" s="795"/>
      <c r="R243" s="795"/>
      <c r="S243" s="795"/>
      <c r="T243" s="795"/>
      <c r="U243" s="795"/>
      <c r="V243" s="795"/>
      <c r="W243" s="795"/>
      <c r="X243" s="795"/>
      <c r="Y243" s="795"/>
      <c r="Z243" s="796"/>
      <c r="AA243" s="795"/>
      <c r="AB243" s="329" t="str">
        <f>basis!$B$19</f>
        <v/>
      </c>
      <c r="AC243" s="795"/>
      <c r="AD243" s="795"/>
      <c r="AE243" s="795"/>
      <c r="AF243" s="795"/>
      <c r="AG243" s="892"/>
      <c r="AH243" s="225" t="str">
        <f t="shared" si="14"/>
        <v/>
      </c>
      <c r="AI243" s="795"/>
      <c r="AJ243" s="796"/>
      <c r="AK243" s="796"/>
      <c r="AL243" s="795"/>
      <c r="AM243" s="796"/>
      <c r="AN243" s="795"/>
      <c r="AO243" s="795"/>
      <c r="AP243" s="795"/>
      <c r="AQ243" s="218"/>
      <c r="AR243" s="47"/>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row>
    <row r="244" spans="1:138" s="24" customFormat="1" x14ac:dyDescent="0.2">
      <c r="A244" s="219">
        <f t="shared" si="15"/>
        <v>44795</v>
      </c>
      <c r="B244" s="220">
        <f t="shared" si="12"/>
        <v>8</v>
      </c>
      <c r="C244" s="221">
        <f t="shared" si="13"/>
        <v>2</v>
      </c>
      <c r="D244" s="795"/>
      <c r="E244" s="795"/>
      <c r="F244" s="796"/>
      <c r="G244" s="796"/>
      <c r="H244" s="796"/>
      <c r="I244" s="795"/>
      <c r="J244" s="795"/>
      <c r="K244" s="796"/>
      <c r="L244" s="796"/>
      <c r="M244" s="796"/>
      <c r="N244" s="795"/>
      <c r="O244" s="795"/>
      <c r="P244" s="795"/>
      <c r="Q244" s="795"/>
      <c r="R244" s="795"/>
      <c r="S244" s="795"/>
      <c r="T244" s="795"/>
      <c r="U244" s="795"/>
      <c r="V244" s="795"/>
      <c r="W244" s="795"/>
      <c r="X244" s="795"/>
      <c r="Y244" s="795"/>
      <c r="Z244" s="796"/>
      <c r="AA244" s="795"/>
      <c r="AB244" s="329" t="str">
        <f>basis!$B$19</f>
        <v/>
      </c>
      <c r="AC244" s="795"/>
      <c r="AD244" s="795"/>
      <c r="AE244" s="795"/>
      <c r="AF244" s="795"/>
      <c r="AG244" s="892"/>
      <c r="AH244" s="225" t="str">
        <f t="shared" si="14"/>
        <v/>
      </c>
      <c r="AI244" s="795"/>
      <c r="AJ244" s="796"/>
      <c r="AK244" s="796"/>
      <c r="AL244" s="795"/>
      <c r="AM244" s="796"/>
      <c r="AN244" s="795"/>
      <c r="AO244" s="795"/>
      <c r="AP244" s="795"/>
      <c r="AQ244" s="218"/>
      <c r="AR244" s="47"/>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row>
    <row r="245" spans="1:138" s="24" customFormat="1" x14ac:dyDescent="0.2">
      <c r="A245" s="219">
        <f t="shared" si="15"/>
        <v>44796</v>
      </c>
      <c r="B245" s="220">
        <f t="shared" si="12"/>
        <v>8</v>
      </c>
      <c r="C245" s="221">
        <f t="shared" si="13"/>
        <v>3</v>
      </c>
      <c r="D245" s="795"/>
      <c r="E245" s="795"/>
      <c r="F245" s="796"/>
      <c r="G245" s="796"/>
      <c r="H245" s="796"/>
      <c r="I245" s="795"/>
      <c r="J245" s="795"/>
      <c r="K245" s="796"/>
      <c r="L245" s="796"/>
      <c r="M245" s="796"/>
      <c r="N245" s="795"/>
      <c r="O245" s="795"/>
      <c r="P245" s="795"/>
      <c r="Q245" s="795"/>
      <c r="R245" s="795"/>
      <c r="S245" s="795"/>
      <c r="T245" s="795"/>
      <c r="U245" s="795"/>
      <c r="V245" s="795"/>
      <c r="W245" s="795"/>
      <c r="X245" s="795"/>
      <c r="Y245" s="795"/>
      <c r="Z245" s="796"/>
      <c r="AA245" s="795"/>
      <c r="AB245" s="329" t="str">
        <f>basis!$B$19</f>
        <v/>
      </c>
      <c r="AC245" s="795"/>
      <c r="AD245" s="795"/>
      <c r="AE245" s="795"/>
      <c r="AF245" s="795"/>
      <c r="AG245" s="892"/>
      <c r="AH245" s="225" t="str">
        <f t="shared" si="14"/>
        <v/>
      </c>
      <c r="AI245" s="795"/>
      <c r="AJ245" s="796"/>
      <c r="AK245" s="796"/>
      <c r="AL245" s="795"/>
      <c r="AM245" s="796"/>
      <c r="AN245" s="795"/>
      <c r="AO245" s="795"/>
      <c r="AP245" s="795"/>
      <c r="AQ245" s="218"/>
      <c r="AR245" s="47"/>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row>
    <row r="246" spans="1:138" s="24" customFormat="1" x14ac:dyDescent="0.2">
      <c r="A246" s="219">
        <f t="shared" si="15"/>
        <v>44797</v>
      </c>
      <c r="B246" s="220">
        <f t="shared" si="12"/>
        <v>8</v>
      </c>
      <c r="C246" s="221">
        <f t="shared" si="13"/>
        <v>4</v>
      </c>
      <c r="D246" s="795"/>
      <c r="E246" s="795"/>
      <c r="F246" s="796"/>
      <c r="G246" s="796"/>
      <c r="H246" s="796"/>
      <c r="I246" s="795"/>
      <c r="J246" s="795"/>
      <c r="K246" s="796"/>
      <c r="L246" s="796"/>
      <c r="M246" s="796"/>
      <c r="N246" s="795"/>
      <c r="O246" s="795"/>
      <c r="P246" s="795"/>
      <c r="Q246" s="795"/>
      <c r="R246" s="795"/>
      <c r="S246" s="795"/>
      <c r="T246" s="795"/>
      <c r="U246" s="795"/>
      <c r="V246" s="795"/>
      <c r="W246" s="795"/>
      <c r="X246" s="795"/>
      <c r="Y246" s="795"/>
      <c r="Z246" s="796"/>
      <c r="AA246" s="795"/>
      <c r="AB246" s="329" t="str">
        <f>basis!$B$19</f>
        <v/>
      </c>
      <c r="AC246" s="795"/>
      <c r="AD246" s="795"/>
      <c r="AE246" s="795"/>
      <c r="AF246" s="795"/>
      <c r="AG246" s="892"/>
      <c r="AH246" s="225" t="str">
        <f t="shared" si="14"/>
        <v/>
      </c>
      <c r="AI246" s="795"/>
      <c r="AJ246" s="796"/>
      <c r="AK246" s="796"/>
      <c r="AL246" s="795"/>
      <c r="AM246" s="796"/>
      <c r="AN246" s="795"/>
      <c r="AO246" s="795"/>
      <c r="AP246" s="795"/>
      <c r="AQ246" s="218"/>
      <c r="AR246" s="47"/>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row>
    <row r="247" spans="1:138" s="24" customFormat="1" x14ac:dyDescent="0.2">
      <c r="A247" s="219">
        <f t="shared" si="15"/>
        <v>44798</v>
      </c>
      <c r="B247" s="220">
        <f t="shared" si="12"/>
        <v>8</v>
      </c>
      <c r="C247" s="221">
        <f t="shared" si="13"/>
        <v>5</v>
      </c>
      <c r="D247" s="795"/>
      <c r="E247" s="795"/>
      <c r="F247" s="796"/>
      <c r="G247" s="796"/>
      <c r="H247" s="796"/>
      <c r="I247" s="795"/>
      <c r="J247" s="795"/>
      <c r="K247" s="796"/>
      <c r="L247" s="796"/>
      <c r="M247" s="796"/>
      <c r="N247" s="795"/>
      <c r="O247" s="795"/>
      <c r="P247" s="795"/>
      <c r="Q247" s="795"/>
      <c r="R247" s="795"/>
      <c r="S247" s="795"/>
      <c r="T247" s="795"/>
      <c r="U247" s="795"/>
      <c r="V247" s="795"/>
      <c r="W247" s="795"/>
      <c r="X247" s="795"/>
      <c r="Y247" s="795"/>
      <c r="Z247" s="796"/>
      <c r="AA247" s="795"/>
      <c r="AB247" s="329" t="str">
        <f>basis!$B$19</f>
        <v/>
      </c>
      <c r="AC247" s="795"/>
      <c r="AD247" s="795"/>
      <c r="AE247" s="795"/>
      <c r="AF247" s="795"/>
      <c r="AG247" s="892"/>
      <c r="AH247" s="225" t="str">
        <f t="shared" si="14"/>
        <v/>
      </c>
      <c r="AI247" s="795"/>
      <c r="AJ247" s="796"/>
      <c r="AK247" s="796"/>
      <c r="AL247" s="795"/>
      <c r="AM247" s="796"/>
      <c r="AN247" s="795"/>
      <c r="AO247" s="795"/>
      <c r="AP247" s="795"/>
      <c r="AQ247" s="218"/>
      <c r="AR247" s="47"/>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row>
    <row r="248" spans="1:138" s="24" customFormat="1" x14ac:dyDescent="0.2">
      <c r="A248" s="219">
        <f t="shared" si="15"/>
        <v>44799</v>
      </c>
      <c r="B248" s="220">
        <f t="shared" si="12"/>
        <v>8</v>
      </c>
      <c r="C248" s="221">
        <f t="shared" si="13"/>
        <v>6</v>
      </c>
      <c r="D248" s="795"/>
      <c r="E248" s="795"/>
      <c r="F248" s="796"/>
      <c r="G248" s="796"/>
      <c r="H248" s="796"/>
      <c r="I248" s="795"/>
      <c r="J248" s="795"/>
      <c r="K248" s="796"/>
      <c r="L248" s="796"/>
      <c r="M248" s="796"/>
      <c r="N248" s="795"/>
      <c r="O248" s="795"/>
      <c r="P248" s="795"/>
      <c r="Q248" s="795"/>
      <c r="R248" s="795"/>
      <c r="S248" s="795"/>
      <c r="T248" s="795"/>
      <c r="U248" s="795"/>
      <c r="V248" s="795"/>
      <c r="W248" s="795"/>
      <c r="X248" s="795"/>
      <c r="Y248" s="795"/>
      <c r="Z248" s="796"/>
      <c r="AA248" s="795"/>
      <c r="AB248" s="329" t="str">
        <f>basis!$B$19</f>
        <v/>
      </c>
      <c r="AC248" s="795"/>
      <c r="AD248" s="795"/>
      <c r="AE248" s="795"/>
      <c r="AF248" s="795"/>
      <c r="AG248" s="892"/>
      <c r="AH248" s="225" t="str">
        <f t="shared" si="14"/>
        <v/>
      </c>
      <c r="AI248" s="795"/>
      <c r="AJ248" s="796"/>
      <c r="AK248" s="796"/>
      <c r="AL248" s="795"/>
      <c r="AM248" s="796"/>
      <c r="AN248" s="795"/>
      <c r="AO248" s="795"/>
      <c r="AP248" s="795"/>
      <c r="AQ248" s="218"/>
      <c r="AR248" s="47"/>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row>
    <row r="249" spans="1:138" s="24" customFormat="1" x14ac:dyDescent="0.2">
      <c r="A249" s="219">
        <f t="shared" si="15"/>
        <v>44800</v>
      </c>
      <c r="B249" s="220">
        <f t="shared" si="12"/>
        <v>8</v>
      </c>
      <c r="C249" s="221">
        <f t="shared" si="13"/>
        <v>7</v>
      </c>
      <c r="D249" s="795"/>
      <c r="E249" s="795"/>
      <c r="F249" s="796"/>
      <c r="G249" s="796"/>
      <c r="H249" s="796"/>
      <c r="I249" s="795"/>
      <c r="J249" s="795"/>
      <c r="K249" s="796"/>
      <c r="L249" s="796"/>
      <c r="M249" s="796"/>
      <c r="N249" s="795"/>
      <c r="O249" s="795"/>
      <c r="P249" s="795"/>
      <c r="Q249" s="795"/>
      <c r="R249" s="795"/>
      <c r="S249" s="795"/>
      <c r="T249" s="795"/>
      <c r="U249" s="795"/>
      <c r="V249" s="795"/>
      <c r="W249" s="795"/>
      <c r="X249" s="795"/>
      <c r="Y249" s="795"/>
      <c r="Z249" s="796"/>
      <c r="AA249" s="795"/>
      <c r="AB249" s="329" t="str">
        <f>basis!$B$19</f>
        <v/>
      </c>
      <c r="AC249" s="795"/>
      <c r="AD249" s="795"/>
      <c r="AE249" s="795"/>
      <c r="AF249" s="795"/>
      <c r="AG249" s="892"/>
      <c r="AH249" s="225" t="str">
        <f t="shared" si="14"/>
        <v/>
      </c>
      <c r="AI249" s="795"/>
      <c r="AJ249" s="796"/>
      <c r="AK249" s="796"/>
      <c r="AL249" s="795"/>
      <c r="AM249" s="796"/>
      <c r="AN249" s="795"/>
      <c r="AO249" s="795"/>
      <c r="AP249" s="795"/>
      <c r="AQ249" s="218"/>
      <c r="AR249" s="47"/>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row>
    <row r="250" spans="1:138" s="24" customFormat="1" x14ac:dyDescent="0.2">
      <c r="A250" s="219">
        <f t="shared" si="15"/>
        <v>44801</v>
      </c>
      <c r="B250" s="220">
        <f t="shared" si="12"/>
        <v>8</v>
      </c>
      <c r="C250" s="221">
        <f t="shared" si="13"/>
        <v>1</v>
      </c>
      <c r="D250" s="795"/>
      <c r="E250" s="795"/>
      <c r="F250" s="796"/>
      <c r="G250" s="796"/>
      <c r="H250" s="796"/>
      <c r="I250" s="795"/>
      <c r="J250" s="795"/>
      <c r="K250" s="796"/>
      <c r="L250" s="796"/>
      <c r="M250" s="796"/>
      <c r="N250" s="795"/>
      <c r="O250" s="795"/>
      <c r="P250" s="795"/>
      <c r="Q250" s="795"/>
      <c r="R250" s="795"/>
      <c r="S250" s="795"/>
      <c r="T250" s="795"/>
      <c r="U250" s="795"/>
      <c r="V250" s="795"/>
      <c r="W250" s="795"/>
      <c r="X250" s="795"/>
      <c r="Y250" s="795"/>
      <c r="Z250" s="796"/>
      <c r="AA250" s="795"/>
      <c r="AB250" s="329" t="str">
        <f>basis!$B$19</f>
        <v/>
      </c>
      <c r="AC250" s="795"/>
      <c r="AD250" s="795"/>
      <c r="AE250" s="795"/>
      <c r="AF250" s="795"/>
      <c r="AG250" s="892"/>
      <c r="AH250" s="225" t="str">
        <f t="shared" si="14"/>
        <v/>
      </c>
      <c r="AI250" s="795"/>
      <c r="AJ250" s="796"/>
      <c r="AK250" s="796"/>
      <c r="AL250" s="795"/>
      <c r="AM250" s="796"/>
      <c r="AN250" s="795"/>
      <c r="AO250" s="795"/>
      <c r="AP250" s="795"/>
      <c r="AQ250" s="218"/>
      <c r="AR250" s="47"/>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row>
    <row r="251" spans="1:138" s="24" customFormat="1" x14ac:dyDescent="0.2">
      <c r="A251" s="219">
        <f t="shared" si="15"/>
        <v>44802</v>
      </c>
      <c r="B251" s="220">
        <f t="shared" si="12"/>
        <v>8</v>
      </c>
      <c r="C251" s="221">
        <f t="shared" si="13"/>
        <v>2</v>
      </c>
      <c r="D251" s="795"/>
      <c r="E251" s="795"/>
      <c r="F251" s="796"/>
      <c r="G251" s="796"/>
      <c r="H251" s="796"/>
      <c r="I251" s="795"/>
      <c r="J251" s="795"/>
      <c r="K251" s="796"/>
      <c r="L251" s="796"/>
      <c r="M251" s="796"/>
      <c r="N251" s="795"/>
      <c r="O251" s="795"/>
      <c r="P251" s="795"/>
      <c r="Q251" s="795"/>
      <c r="R251" s="795"/>
      <c r="S251" s="795"/>
      <c r="T251" s="795"/>
      <c r="U251" s="795"/>
      <c r="V251" s="795"/>
      <c r="W251" s="795"/>
      <c r="X251" s="795"/>
      <c r="Y251" s="795"/>
      <c r="Z251" s="796"/>
      <c r="AA251" s="795"/>
      <c r="AB251" s="329" t="str">
        <f>basis!$B$19</f>
        <v/>
      </c>
      <c r="AC251" s="795"/>
      <c r="AD251" s="795"/>
      <c r="AE251" s="795"/>
      <c r="AF251" s="795"/>
      <c r="AG251" s="892"/>
      <c r="AH251" s="225" t="str">
        <f t="shared" si="14"/>
        <v/>
      </c>
      <c r="AI251" s="795"/>
      <c r="AJ251" s="796"/>
      <c r="AK251" s="796"/>
      <c r="AL251" s="795"/>
      <c r="AM251" s="796"/>
      <c r="AN251" s="795"/>
      <c r="AO251" s="795"/>
      <c r="AP251" s="795"/>
      <c r="AQ251" s="218"/>
      <c r="AR251" s="47"/>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row>
    <row r="252" spans="1:138" s="24" customFormat="1" x14ac:dyDescent="0.2">
      <c r="A252" s="219">
        <f t="shared" si="15"/>
        <v>44803</v>
      </c>
      <c r="B252" s="220">
        <f t="shared" si="12"/>
        <v>8</v>
      </c>
      <c r="C252" s="221">
        <f t="shared" si="13"/>
        <v>3</v>
      </c>
      <c r="D252" s="795"/>
      <c r="E252" s="795"/>
      <c r="F252" s="796"/>
      <c r="G252" s="796"/>
      <c r="H252" s="796"/>
      <c r="I252" s="795"/>
      <c r="J252" s="795"/>
      <c r="K252" s="796"/>
      <c r="L252" s="796"/>
      <c r="M252" s="796"/>
      <c r="N252" s="795"/>
      <c r="O252" s="795"/>
      <c r="P252" s="795"/>
      <c r="Q252" s="795"/>
      <c r="R252" s="795"/>
      <c r="S252" s="795"/>
      <c r="T252" s="795"/>
      <c r="U252" s="795"/>
      <c r="V252" s="795"/>
      <c r="W252" s="795"/>
      <c r="X252" s="795"/>
      <c r="Y252" s="795"/>
      <c r="Z252" s="796"/>
      <c r="AA252" s="795"/>
      <c r="AB252" s="329" t="str">
        <f>basis!$B$19</f>
        <v/>
      </c>
      <c r="AC252" s="795"/>
      <c r="AD252" s="795"/>
      <c r="AE252" s="795"/>
      <c r="AF252" s="795"/>
      <c r="AG252" s="892"/>
      <c r="AH252" s="225" t="str">
        <f t="shared" si="14"/>
        <v/>
      </c>
      <c r="AI252" s="795"/>
      <c r="AJ252" s="796"/>
      <c r="AK252" s="796"/>
      <c r="AL252" s="795"/>
      <c r="AM252" s="796"/>
      <c r="AN252" s="795"/>
      <c r="AO252" s="795"/>
      <c r="AP252" s="795"/>
      <c r="AQ252" s="218"/>
      <c r="AR252" s="47"/>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row>
    <row r="253" spans="1:138" s="24" customFormat="1" x14ac:dyDescent="0.2">
      <c r="A253" s="219">
        <f t="shared" si="15"/>
        <v>44804</v>
      </c>
      <c r="B253" s="220">
        <f t="shared" si="12"/>
        <v>8</v>
      </c>
      <c r="C253" s="221">
        <f t="shared" si="13"/>
        <v>4</v>
      </c>
      <c r="D253" s="795"/>
      <c r="E253" s="795"/>
      <c r="F253" s="796"/>
      <c r="G253" s="796"/>
      <c r="H253" s="796"/>
      <c r="I253" s="795"/>
      <c r="J253" s="795"/>
      <c r="K253" s="796"/>
      <c r="L253" s="796"/>
      <c r="M253" s="796"/>
      <c r="N253" s="795"/>
      <c r="O253" s="795"/>
      <c r="P253" s="795"/>
      <c r="Q253" s="795"/>
      <c r="R253" s="795"/>
      <c r="S253" s="795"/>
      <c r="T253" s="795"/>
      <c r="U253" s="795"/>
      <c r="V253" s="795"/>
      <c r="W253" s="795"/>
      <c r="X253" s="795"/>
      <c r="Y253" s="795"/>
      <c r="Z253" s="796"/>
      <c r="AA253" s="795"/>
      <c r="AB253" s="329" t="str">
        <f>basis!$B$19</f>
        <v/>
      </c>
      <c r="AC253" s="795"/>
      <c r="AD253" s="795"/>
      <c r="AE253" s="795"/>
      <c r="AF253" s="795"/>
      <c r="AG253" s="892"/>
      <c r="AH253" s="225" t="str">
        <f t="shared" si="14"/>
        <v/>
      </c>
      <c r="AI253" s="795"/>
      <c r="AJ253" s="796"/>
      <c r="AK253" s="796"/>
      <c r="AL253" s="795"/>
      <c r="AM253" s="796"/>
      <c r="AN253" s="795"/>
      <c r="AO253" s="795"/>
      <c r="AP253" s="795"/>
      <c r="AQ253" s="218"/>
      <c r="AR253" s="47"/>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row>
    <row r="254" spans="1:138" s="24" customFormat="1" x14ac:dyDescent="0.2">
      <c r="A254" s="219">
        <f t="shared" si="15"/>
        <v>44805</v>
      </c>
      <c r="B254" s="220">
        <f t="shared" si="12"/>
        <v>9</v>
      </c>
      <c r="C254" s="221">
        <f t="shared" si="13"/>
        <v>5</v>
      </c>
      <c r="D254" s="795"/>
      <c r="E254" s="795"/>
      <c r="F254" s="796"/>
      <c r="G254" s="796"/>
      <c r="H254" s="796"/>
      <c r="I254" s="795"/>
      <c r="J254" s="795"/>
      <c r="K254" s="796"/>
      <c r="L254" s="796"/>
      <c r="M254" s="796"/>
      <c r="N254" s="795"/>
      <c r="O254" s="795"/>
      <c r="P254" s="795"/>
      <c r="Q254" s="795"/>
      <c r="R254" s="795"/>
      <c r="S254" s="795"/>
      <c r="T254" s="795"/>
      <c r="U254" s="795"/>
      <c r="V254" s="795"/>
      <c r="W254" s="795"/>
      <c r="X254" s="795"/>
      <c r="Y254" s="795"/>
      <c r="Z254" s="796"/>
      <c r="AA254" s="795"/>
      <c r="AB254" s="329" t="str">
        <f>basis!$B$19</f>
        <v/>
      </c>
      <c r="AC254" s="795"/>
      <c r="AD254" s="795"/>
      <c r="AE254" s="795"/>
      <c r="AF254" s="795"/>
      <c r="AG254" s="892"/>
      <c r="AH254" s="225" t="str">
        <f t="shared" si="14"/>
        <v/>
      </c>
      <c r="AI254" s="795"/>
      <c r="AJ254" s="796"/>
      <c r="AK254" s="796"/>
      <c r="AL254" s="795"/>
      <c r="AM254" s="796"/>
      <c r="AN254" s="795"/>
      <c r="AO254" s="795"/>
      <c r="AP254" s="795"/>
      <c r="AQ254" s="218"/>
      <c r="AR254" s="47"/>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row>
    <row r="255" spans="1:138" s="24" customFormat="1" x14ac:dyDescent="0.2">
      <c r="A255" s="219">
        <f t="shared" si="15"/>
        <v>44806</v>
      </c>
      <c r="B255" s="220">
        <f t="shared" si="12"/>
        <v>9</v>
      </c>
      <c r="C255" s="221">
        <f t="shared" si="13"/>
        <v>6</v>
      </c>
      <c r="D255" s="795"/>
      <c r="E255" s="795"/>
      <c r="F255" s="796"/>
      <c r="G255" s="796"/>
      <c r="H255" s="796"/>
      <c r="I255" s="795"/>
      <c r="J255" s="795"/>
      <c r="K255" s="796"/>
      <c r="L255" s="796"/>
      <c r="M255" s="796"/>
      <c r="N255" s="795"/>
      <c r="O255" s="795"/>
      <c r="P255" s="795"/>
      <c r="Q255" s="795"/>
      <c r="R255" s="795"/>
      <c r="S255" s="795"/>
      <c r="T255" s="795"/>
      <c r="U255" s="795"/>
      <c r="V255" s="795"/>
      <c r="W255" s="795"/>
      <c r="X255" s="795"/>
      <c r="Y255" s="795"/>
      <c r="Z255" s="796"/>
      <c r="AA255" s="795"/>
      <c r="AB255" s="329" t="str">
        <f>basis!$B$19</f>
        <v/>
      </c>
      <c r="AC255" s="795"/>
      <c r="AD255" s="795"/>
      <c r="AE255" s="795"/>
      <c r="AF255" s="795"/>
      <c r="AG255" s="892"/>
      <c r="AH255" s="225" t="str">
        <f t="shared" si="14"/>
        <v/>
      </c>
      <c r="AI255" s="795"/>
      <c r="AJ255" s="796"/>
      <c r="AK255" s="796"/>
      <c r="AL255" s="795"/>
      <c r="AM255" s="796"/>
      <c r="AN255" s="795"/>
      <c r="AO255" s="795"/>
      <c r="AP255" s="795"/>
      <c r="AQ255" s="218"/>
      <c r="AR255" s="47"/>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row>
    <row r="256" spans="1:138" s="24" customFormat="1" x14ac:dyDescent="0.2">
      <c r="A256" s="219">
        <f t="shared" si="15"/>
        <v>44807</v>
      </c>
      <c r="B256" s="220">
        <f t="shared" si="12"/>
        <v>9</v>
      </c>
      <c r="C256" s="221">
        <f t="shared" si="13"/>
        <v>7</v>
      </c>
      <c r="D256" s="795"/>
      <c r="E256" s="795"/>
      <c r="F256" s="796"/>
      <c r="G256" s="796"/>
      <c r="H256" s="796"/>
      <c r="I256" s="795"/>
      <c r="J256" s="795"/>
      <c r="K256" s="796"/>
      <c r="L256" s="796"/>
      <c r="M256" s="796"/>
      <c r="N256" s="795"/>
      <c r="O256" s="795"/>
      <c r="P256" s="795"/>
      <c r="Q256" s="795"/>
      <c r="R256" s="795"/>
      <c r="S256" s="795"/>
      <c r="T256" s="795"/>
      <c r="U256" s="795"/>
      <c r="V256" s="795"/>
      <c r="W256" s="795"/>
      <c r="X256" s="795"/>
      <c r="Y256" s="795"/>
      <c r="Z256" s="796"/>
      <c r="AA256" s="795"/>
      <c r="AB256" s="329" t="str">
        <f>basis!$B$19</f>
        <v/>
      </c>
      <c r="AC256" s="795"/>
      <c r="AD256" s="795"/>
      <c r="AE256" s="795"/>
      <c r="AF256" s="795"/>
      <c r="AG256" s="892"/>
      <c r="AH256" s="225" t="str">
        <f t="shared" si="14"/>
        <v/>
      </c>
      <c r="AI256" s="795"/>
      <c r="AJ256" s="796"/>
      <c r="AK256" s="796"/>
      <c r="AL256" s="795"/>
      <c r="AM256" s="796"/>
      <c r="AN256" s="795"/>
      <c r="AO256" s="795"/>
      <c r="AP256" s="795"/>
      <c r="AQ256" s="218"/>
      <c r="AR256" s="47"/>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row>
    <row r="257" spans="1:138" s="24" customFormat="1" x14ac:dyDescent="0.2">
      <c r="A257" s="219">
        <f t="shared" si="15"/>
        <v>44808</v>
      </c>
      <c r="B257" s="220">
        <f t="shared" si="12"/>
        <v>9</v>
      </c>
      <c r="C257" s="221">
        <f t="shared" si="13"/>
        <v>1</v>
      </c>
      <c r="D257" s="795"/>
      <c r="E257" s="795"/>
      <c r="F257" s="796"/>
      <c r="G257" s="796"/>
      <c r="H257" s="796"/>
      <c r="I257" s="795"/>
      <c r="J257" s="795"/>
      <c r="K257" s="796"/>
      <c r="L257" s="796"/>
      <c r="M257" s="796"/>
      <c r="N257" s="795"/>
      <c r="O257" s="795"/>
      <c r="P257" s="795"/>
      <c r="Q257" s="795"/>
      <c r="R257" s="795"/>
      <c r="S257" s="795"/>
      <c r="T257" s="795"/>
      <c r="U257" s="795"/>
      <c r="V257" s="795"/>
      <c r="W257" s="795"/>
      <c r="X257" s="795"/>
      <c r="Y257" s="795"/>
      <c r="Z257" s="796"/>
      <c r="AA257" s="795"/>
      <c r="AB257" s="329" t="str">
        <f>basis!$B$19</f>
        <v/>
      </c>
      <c r="AC257" s="795"/>
      <c r="AD257" s="795"/>
      <c r="AE257" s="795"/>
      <c r="AF257" s="795"/>
      <c r="AG257" s="892"/>
      <c r="AH257" s="225" t="str">
        <f t="shared" si="14"/>
        <v/>
      </c>
      <c r="AI257" s="795"/>
      <c r="AJ257" s="796"/>
      <c r="AK257" s="796"/>
      <c r="AL257" s="795"/>
      <c r="AM257" s="796"/>
      <c r="AN257" s="795"/>
      <c r="AO257" s="795"/>
      <c r="AP257" s="795"/>
      <c r="AQ257" s="218"/>
      <c r="AR257" s="47"/>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row>
    <row r="258" spans="1:138" s="24" customFormat="1" x14ac:dyDescent="0.2">
      <c r="A258" s="219">
        <f t="shared" si="15"/>
        <v>44809</v>
      </c>
      <c r="B258" s="220">
        <f t="shared" si="12"/>
        <v>9</v>
      </c>
      <c r="C258" s="221">
        <f t="shared" si="13"/>
        <v>2</v>
      </c>
      <c r="D258" s="795"/>
      <c r="E258" s="795"/>
      <c r="F258" s="796"/>
      <c r="G258" s="796"/>
      <c r="H258" s="796"/>
      <c r="I258" s="795"/>
      <c r="J258" s="795"/>
      <c r="K258" s="796"/>
      <c r="L258" s="796"/>
      <c r="M258" s="796"/>
      <c r="N258" s="795"/>
      <c r="O258" s="795"/>
      <c r="P258" s="795"/>
      <c r="Q258" s="795"/>
      <c r="R258" s="795"/>
      <c r="S258" s="795"/>
      <c r="T258" s="795"/>
      <c r="U258" s="795"/>
      <c r="V258" s="795"/>
      <c r="W258" s="795"/>
      <c r="X258" s="795"/>
      <c r="Y258" s="795"/>
      <c r="Z258" s="796"/>
      <c r="AA258" s="795"/>
      <c r="AB258" s="329" t="str">
        <f>basis!$B$19</f>
        <v/>
      </c>
      <c r="AC258" s="795"/>
      <c r="AD258" s="795"/>
      <c r="AE258" s="795"/>
      <c r="AF258" s="795"/>
      <c r="AG258" s="892"/>
      <c r="AH258" s="225" t="str">
        <f t="shared" si="14"/>
        <v/>
      </c>
      <c r="AI258" s="795"/>
      <c r="AJ258" s="796"/>
      <c r="AK258" s="796"/>
      <c r="AL258" s="795"/>
      <c r="AM258" s="796"/>
      <c r="AN258" s="795"/>
      <c r="AO258" s="795"/>
      <c r="AP258" s="795"/>
      <c r="AQ258" s="218"/>
      <c r="AR258" s="47"/>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row>
    <row r="259" spans="1:138" s="24" customFormat="1" x14ac:dyDescent="0.2">
      <c r="A259" s="219">
        <f t="shared" si="15"/>
        <v>44810</v>
      </c>
      <c r="B259" s="220">
        <f t="shared" si="12"/>
        <v>9</v>
      </c>
      <c r="C259" s="221">
        <f t="shared" si="13"/>
        <v>3</v>
      </c>
      <c r="D259" s="795"/>
      <c r="E259" s="795"/>
      <c r="F259" s="796"/>
      <c r="G259" s="796"/>
      <c r="H259" s="796"/>
      <c r="I259" s="795"/>
      <c r="J259" s="795"/>
      <c r="K259" s="796"/>
      <c r="L259" s="796"/>
      <c r="M259" s="796"/>
      <c r="N259" s="795"/>
      <c r="O259" s="795"/>
      <c r="P259" s="795"/>
      <c r="Q259" s="795"/>
      <c r="R259" s="795"/>
      <c r="S259" s="795"/>
      <c r="T259" s="795"/>
      <c r="U259" s="795"/>
      <c r="V259" s="795"/>
      <c r="W259" s="795"/>
      <c r="X259" s="795"/>
      <c r="Y259" s="795"/>
      <c r="Z259" s="796"/>
      <c r="AA259" s="795"/>
      <c r="AB259" s="329" t="str">
        <f>basis!$B$19</f>
        <v/>
      </c>
      <c r="AC259" s="795"/>
      <c r="AD259" s="795"/>
      <c r="AE259" s="795"/>
      <c r="AF259" s="795"/>
      <c r="AG259" s="892"/>
      <c r="AH259" s="225" t="str">
        <f t="shared" si="14"/>
        <v/>
      </c>
      <c r="AI259" s="795"/>
      <c r="AJ259" s="796"/>
      <c r="AK259" s="796"/>
      <c r="AL259" s="795"/>
      <c r="AM259" s="796"/>
      <c r="AN259" s="795"/>
      <c r="AO259" s="795"/>
      <c r="AP259" s="795"/>
      <c r="AQ259" s="218"/>
      <c r="AR259" s="47"/>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row>
    <row r="260" spans="1:138" s="24" customFormat="1" x14ac:dyDescent="0.2">
      <c r="A260" s="219">
        <f t="shared" si="15"/>
        <v>44811</v>
      </c>
      <c r="B260" s="220">
        <f t="shared" si="12"/>
        <v>9</v>
      </c>
      <c r="C260" s="221">
        <f t="shared" si="13"/>
        <v>4</v>
      </c>
      <c r="D260" s="795"/>
      <c r="E260" s="795"/>
      <c r="F260" s="796"/>
      <c r="G260" s="796"/>
      <c r="H260" s="796"/>
      <c r="I260" s="795"/>
      <c r="J260" s="795"/>
      <c r="K260" s="796"/>
      <c r="L260" s="796"/>
      <c r="M260" s="796"/>
      <c r="N260" s="795"/>
      <c r="O260" s="795"/>
      <c r="P260" s="795"/>
      <c r="Q260" s="795"/>
      <c r="R260" s="795"/>
      <c r="S260" s="795"/>
      <c r="T260" s="795"/>
      <c r="U260" s="795"/>
      <c r="V260" s="795"/>
      <c r="W260" s="795"/>
      <c r="X260" s="795"/>
      <c r="Y260" s="795"/>
      <c r="Z260" s="796"/>
      <c r="AA260" s="795"/>
      <c r="AB260" s="329" t="str">
        <f>basis!$B$19</f>
        <v/>
      </c>
      <c r="AC260" s="795"/>
      <c r="AD260" s="795"/>
      <c r="AE260" s="795"/>
      <c r="AF260" s="795"/>
      <c r="AG260" s="892"/>
      <c r="AH260" s="225" t="str">
        <f t="shared" si="14"/>
        <v/>
      </c>
      <c r="AI260" s="795"/>
      <c r="AJ260" s="796"/>
      <c r="AK260" s="796"/>
      <c r="AL260" s="795"/>
      <c r="AM260" s="796"/>
      <c r="AN260" s="795"/>
      <c r="AO260" s="795"/>
      <c r="AP260" s="795"/>
      <c r="AQ260" s="218"/>
      <c r="AR260" s="47"/>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row>
    <row r="261" spans="1:138" s="24" customFormat="1" x14ac:dyDescent="0.2">
      <c r="A261" s="219">
        <f t="shared" si="15"/>
        <v>44812</v>
      </c>
      <c r="B261" s="220">
        <f t="shared" si="12"/>
        <v>9</v>
      </c>
      <c r="C261" s="221">
        <f t="shared" si="13"/>
        <v>5</v>
      </c>
      <c r="D261" s="795"/>
      <c r="E261" s="795"/>
      <c r="F261" s="796"/>
      <c r="G261" s="796"/>
      <c r="H261" s="796"/>
      <c r="I261" s="795"/>
      <c r="J261" s="795"/>
      <c r="K261" s="796"/>
      <c r="L261" s="796"/>
      <c r="M261" s="796"/>
      <c r="N261" s="795"/>
      <c r="O261" s="795"/>
      <c r="P261" s="795"/>
      <c r="Q261" s="795"/>
      <c r="R261" s="795"/>
      <c r="S261" s="795"/>
      <c r="T261" s="795"/>
      <c r="U261" s="795"/>
      <c r="V261" s="795"/>
      <c r="W261" s="795"/>
      <c r="X261" s="795"/>
      <c r="Y261" s="795"/>
      <c r="Z261" s="796"/>
      <c r="AA261" s="795"/>
      <c r="AB261" s="329" t="str">
        <f>basis!$B$19</f>
        <v/>
      </c>
      <c r="AC261" s="795"/>
      <c r="AD261" s="795"/>
      <c r="AE261" s="795"/>
      <c r="AF261" s="795"/>
      <c r="AG261" s="892"/>
      <c r="AH261" s="225" t="str">
        <f t="shared" si="14"/>
        <v/>
      </c>
      <c r="AI261" s="795"/>
      <c r="AJ261" s="796"/>
      <c r="AK261" s="796"/>
      <c r="AL261" s="795"/>
      <c r="AM261" s="796"/>
      <c r="AN261" s="795"/>
      <c r="AO261" s="795"/>
      <c r="AP261" s="795"/>
      <c r="AQ261" s="218"/>
      <c r="AR261" s="47"/>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row>
    <row r="262" spans="1:138" s="24" customFormat="1" x14ac:dyDescent="0.2">
      <c r="A262" s="219">
        <f t="shared" si="15"/>
        <v>44813</v>
      </c>
      <c r="B262" s="220">
        <f t="shared" si="12"/>
        <v>9</v>
      </c>
      <c r="C262" s="221">
        <f t="shared" si="13"/>
        <v>6</v>
      </c>
      <c r="D262" s="795"/>
      <c r="E262" s="795"/>
      <c r="F262" s="796"/>
      <c r="G262" s="796"/>
      <c r="H262" s="796"/>
      <c r="I262" s="795"/>
      <c r="J262" s="795"/>
      <c r="K262" s="796"/>
      <c r="L262" s="796"/>
      <c r="M262" s="796"/>
      <c r="N262" s="795"/>
      <c r="O262" s="795"/>
      <c r="P262" s="795"/>
      <c r="Q262" s="795"/>
      <c r="R262" s="795"/>
      <c r="S262" s="795"/>
      <c r="T262" s="795"/>
      <c r="U262" s="795"/>
      <c r="V262" s="795"/>
      <c r="W262" s="795"/>
      <c r="X262" s="795"/>
      <c r="Y262" s="795"/>
      <c r="Z262" s="796"/>
      <c r="AA262" s="795"/>
      <c r="AB262" s="329" t="str">
        <f>basis!$B$19</f>
        <v/>
      </c>
      <c r="AC262" s="795"/>
      <c r="AD262" s="795"/>
      <c r="AE262" s="795"/>
      <c r="AF262" s="795"/>
      <c r="AG262" s="892"/>
      <c r="AH262" s="225" t="str">
        <f t="shared" si="14"/>
        <v/>
      </c>
      <c r="AI262" s="795"/>
      <c r="AJ262" s="796"/>
      <c r="AK262" s="796"/>
      <c r="AL262" s="795"/>
      <c r="AM262" s="796"/>
      <c r="AN262" s="795"/>
      <c r="AO262" s="795"/>
      <c r="AP262" s="795"/>
      <c r="AQ262" s="218"/>
      <c r="AR262" s="47"/>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row>
    <row r="263" spans="1:138" s="24" customFormat="1" x14ac:dyDescent="0.2">
      <c r="A263" s="219">
        <f t="shared" si="15"/>
        <v>44814</v>
      </c>
      <c r="B263" s="220">
        <f t="shared" si="12"/>
        <v>9</v>
      </c>
      <c r="C263" s="221">
        <f t="shared" si="13"/>
        <v>7</v>
      </c>
      <c r="D263" s="795"/>
      <c r="E263" s="795"/>
      <c r="F263" s="796"/>
      <c r="G263" s="796"/>
      <c r="H263" s="796"/>
      <c r="I263" s="795"/>
      <c r="J263" s="795"/>
      <c r="K263" s="796"/>
      <c r="L263" s="796"/>
      <c r="M263" s="796"/>
      <c r="N263" s="795"/>
      <c r="O263" s="795"/>
      <c r="P263" s="795"/>
      <c r="Q263" s="795"/>
      <c r="R263" s="795"/>
      <c r="S263" s="795"/>
      <c r="T263" s="795"/>
      <c r="U263" s="795"/>
      <c r="V263" s="795"/>
      <c r="W263" s="795"/>
      <c r="X263" s="795"/>
      <c r="Y263" s="795"/>
      <c r="Z263" s="796"/>
      <c r="AA263" s="795"/>
      <c r="AB263" s="329" t="str">
        <f>basis!$B$19</f>
        <v/>
      </c>
      <c r="AC263" s="795"/>
      <c r="AD263" s="795"/>
      <c r="AE263" s="795"/>
      <c r="AF263" s="795"/>
      <c r="AG263" s="892"/>
      <c r="AH263" s="225" t="str">
        <f t="shared" si="14"/>
        <v/>
      </c>
      <c r="AI263" s="795"/>
      <c r="AJ263" s="796"/>
      <c r="AK263" s="796"/>
      <c r="AL263" s="795"/>
      <c r="AM263" s="796"/>
      <c r="AN263" s="795"/>
      <c r="AO263" s="795"/>
      <c r="AP263" s="795"/>
      <c r="AQ263" s="218"/>
      <c r="AR263" s="47"/>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row>
    <row r="264" spans="1:138" s="24" customFormat="1" x14ac:dyDescent="0.2">
      <c r="A264" s="219">
        <f t="shared" si="15"/>
        <v>44815</v>
      </c>
      <c r="B264" s="220">
        <f t="shared" si="12"/>
        <v>9</v>
      </c>
      <c r="C264" s="221">
        <f t="shared" si="13"/>
        <v>1</v>
      </c>
      <c r="D264" s="795"/>
      <c r="E264" s="795"/>
      <c r="F264" s="796"/>
      <c r="G264" s="796"/>
      <c r="H264" s="796"/>
      <c r="I264" s="795"/>
      <c r="J264" s="795"/>
      <c r="K264" s="796"/>
      <c r="L264" s="796"/>
      <c r="M264" s="796"/>
      <c r="N264" s="795"/>
      <c r="O264" s="795"/>
      <c r="P264" s="795"/>
      <c r="Q264" s="795"/>
      <c r="R264" s="795"/>
      <c r="S264" s="795"/>
      <c r="T264" s="795"/>
      <c r="U264" s="795"/>
      <c r="V264" s="795"/>
      <c r="W264" s="795"/>
      <c r="X264" s="795"/>
      <c r="Y264" s="795"/>
      <c r="Z264" s="796"/>
      <c r="AA264" s="795"/>
      <c r="AB264" s="329" t="str">
        <f>basis!$B$19</f>
        <v/>
      </c>
      <c r="AC264" s="795"/>
      <c r="AD264" s="795"/>
      <c r="AE264" s="795"/>
      <c r="AF264" s="795"/>
      <c r="AG264" s="892"/>
      <c r="AH264" s="225" t="str">
        <f t="shared" si="14"/>
        <v/>
      </c>
      <c r="AI264" s="795"/>
      <c r="AJ264" s="796"/>
      <c r="AK264" s="796"/>
      <c r="AL264" s="795"/>
      <c r="AM264" s="796"/>
      <c r="AN264" s="795"/>
      <c r="AO264" s="795"/>
      <c r="AP264" s="795"/>
      <c r="AQ264" s="218"/>
      <c r="AR264" s="47"/>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row>
    <row r="265" spans="1:138" s="24" customFormat="1" x14ac:dyDescent="0.2">
      <c r="A265" s="219">
        <f t="shared" si="15"/>
        <v>44816</v>
      </c>
      <c r="B265" s="220">
        <f t="shared" si="12"/>
        <v>9</v>
      </c>
      <c r="C265" s="221">
        <f t="shared" si="13"/>
        <v>2</v>
      </c>
      <c r="D265" s="795"/>
      <c r="E265" s="795"/>
      <c r="F265" s="796"/>
      <c r="G265" s="796"/>
      <c r="H265" s="796"/>
      <c r="I265" s="795"/>
      <c r="J265" s="795"/>
      <c r="K265" s="796"/>
      <c r="L265" s="796"/>
      <c r="M265" s="796"/>
      <c r="N265" s="795"/>
      <c r="O265" s="795"/>
      <c r="P265" s="795"/>
      <c r="Q265" s="795"/>
      <c r="R265" s="795"/>
      <c r="S265" s="795"/>
      <c r="T265" s="795"/>
      <c r="U265" s="795"/>
      <c r="V265" s="795"/>
      <c r="W265" s="795"/>
      <c r="X265" s="795"/>
      <c r="Y265" s="795"/>
      <c r="Z265" s="796"/>
      <c r="AA265" s="795"/>
      <c r="AB265" s="329" t="str">
        <f>basis!$B$19</f>
        <v/>
      </c>
      <c r="AC265" s="795"/>
      <c r="AD265" s="795"/>
      <c r="AE265" s="795"/>
      <c r="AF265" s="795"/>
      <c r="AG265" s="892"/>
      <c r="AH265" s="225" t="str">
        <f t="shared" si="14"/>
        <v/>
      </c>
      <c r="AI265" s="795"/>
      <c r="AJ265" s="796"/>
      <c r="AK265" s="796"/>
      <c r="AL265" s="795"/>
      <c r="AM265" s="796"/>
      <c r="AN265" s="795"/>
      <c r="AO265" s="795"/>
      <c r="AP265" s="795"/>
      <c r="AQ265" s="218"/>
      <c r="AR265" s="47"/>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row>
    <row r="266" spans="1:138" s="24" customFormat="1" x14ac:dyDescent="0.2">
      <c r="A266" s="219">
        <f t="shared" si="15"/>
        <v>44817</v>
      </c>
      <c r="B266" s="220">
        <f t="shared" si="12"/>
        <v>9</v>
      </c>
      <c r="C266" s="221">
        <f t="shared" si="13"/>
        <v>3</v>
      </c>
      <c r="D266" s="795"/>
      <c r="E266" s="795"/>
      <c r="F266" s="796"/>
      <c r="G266" s="796"/>
      <c r="H266" s="796"/>
      <c r="I266" s="795"/>
      <c r="J266" s="795"/>
      <c r="K266" s="796"/>
      <c r="L266" s="796"/>
      <c r="M266" s="796"/>
      <c r="N266" s="795"/>
      <c r="O266" s="795"/>
      <c r="P266" s="795"/>
      <c r="Q266" s="795"/>
      <c r="R266" s="795"/>
      <c r="S266" s="795"/>
      <c r="T266" s="795"/>
      <c r="U266" s="795"/>
      <c r="V266" s="795"/>
      <c r="W266" s="795"/>
      <c r="X266" s="795"/>
      <c r="Y266" s="795"/>
      <c r="Z266" s="796"/>
      <c r="AA266" s="795"/>
      <c r="AB266" s="329" t="str">
        <f>basis!$B$19</f>
        <v/>
      </c>
      <c r="AC266" s="795"/>
      <c r="AD266" s="795"/>
      <c r="AE266" s="795"/>
      <c r="AF266" s="795"/>
      <c r="AG266" s="892"/>
      <c r="AH266" s="225" t="str">
        <f t="shared" si="14"/>
        <v/>
      </c>
      <c r="AI266" s="795"/>
      <c r="AJ266" s="796"/>
      <c r="AK266" s="796"/>
      <c r="AL266" s="795"/>
      <c r="AM266" s="796"/>
      <c r="AN266" s="795"/>
      <c r="AO266" s="795"/>
      <c r="AP266" s="795"/>
      <c r="AQ266" s="218"/>
      <c r="AR266" s="47"/>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row>
    <row r="267" spans="1:138" s="24" customFormat="1" x14ac:dyDescent="0.2">
      <c r="A267" s="219">
        <f t="shared" si="15"/>
        <v>44818</v>
      </c>
      <c r="B267" s="220">
        <f t="shared" ref="B267:B330" si="16">MONTH(A267)</f>
        <v>9</v>
      </c>
      <c r="C267" s="221">
        <f t="shared" ref="C267:C330" si="17">WEEKDAY(A267)</f>
        <v>4</v>
      </c>
      <c r="D267" s="795"/>
      <c r="E267" s="795"/>
      <c r="F267" s="796"/>
      <c r="G267" s="796"/>
      <c r="H267" s="796"/>
      <c r="I267" s="795"/>
      <c r="J267" s="795"/>
      <c r="K267" s="796"/>
      <c r="L267" s="796"/>
      <c r="M267" s="796"/>
      <c r="N267" s="795"/>
      <c r="O267" s="795"/>
      <c r="P267" s="795"/>
      <c r="Q267" s="795"/>
      <c r="R267" s="795"/>
      <c r="S267" s="795"/>
      <c r="T267" s="795"/>
      <c r="U267" s="795"/>
      <c r="V267" s="795"/>
      <c r="W267" s="795"/>
      <c r="X267" s="795"/>
      <c r="Y267" s="795"/>
      <c r="Z267" s="796"/>
      <c r="AA267" s="795"/>
      <c r="AB267" s="329" t="str">
        <f>basis!$B$19</f>
        <v/>
      </c>
      <c r="AC267" s="795"/>
      <c r="AD267" s="795"/>
      <c r="AE267" s="795"/>
      <c r="AF267" s="795"/>
      <c r="AG267" s="892"/>
      <c r="AH267" s="225" t="str">
        <f t="shared" si="14"/>
        <v/>
      </c>
      <c r="AI267" s="795"/>
      <c r="AJ267" s="796"/>
      <c r="AK267" s="796"/>
      <c r="AL267" s="795"/>
      <c r="AM267" s="796"/>
      <c r="AN267" s="795"/>
      <c r="AO267" s="795"/>
      <c r="AP267" s="795"/>
      <c r="AQ267" s="218"/>
      <c r="AR267" s="47"/>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row>
    <row r="268" spans="1:138" s="24" customFormat="1" x14ac:dyDescent="0.2">
      <c r="A268" s="219">
        <f t="shared" si="15"/>
        <v>44819</v>
      </c>
      <c r="B268" s="220">
        <f t="shared" si="16"/>
        <v>9</v>
      </c>
      <c r="C268" s="221">
        <f t="shared" si="17"/>
        <v>5</v>
      </c>
      <c r="D268" s="795"/>
      <c r="E268" s="795"/>
      <c r="F268" s="796"/>
      <c r="G268" s="796"/>
      <c r="H268" s="796"/>
      <c r="I268" s="795"/>
      <c r="J268" s="795"/>
      <c r="K268" s="796"/>
      <c r="L268" s="796"/>
      <c r="M268" s="796"/>
      <c r="N268" s="795"/>
      <c r="O268" s="795"/>
      <c r="P268" s="795"/>
      <c r="Q268" s="795"/>
      <c r="R268" s="795"/>
      <c r="S268" s="795"/>
      <c r="T268" s="795"/>
      <c r="U268" s="795"/>
      <c r="V268" s="795"/>
      <c r="W268" s="795"/>
      <c r="X268" s="795"/>
      <c r="Y268" s="795"/>
      <c r="Z268" s="796"/>
      <c r="AA268" s="795"/>
      <c r="AB268" s="329" t="str">
        <f>basis!$B$19</f>
        <v/>
      </c>
      <c r="AC268" s="795"/>
      <c r="AD268" s="795"/>
      <c r="AE268" s="795"/>
      <c r="AF268" s="795"/>
      <c r="AG268" s="892"/>
      <c r="AH268" s="225" t="str">
        <f t="shared" ref="AH268:AH331" si="18">IF(OR(AF268="",AG268=""),"",AF268*AG268)</f>
        <v/>
      </c>
      <c r="AI268" s="795"/>
      <c r="AJ268" s="796"/>
      <c r="AK268" s="796"/>
      <c r="AL268" s="795"/>
      <c r="AM268" s="796"/>
      <c r="AN268" s="795"/>
      <c r="AO268" s="795"/>
      <c r="AP268" s="795"/>
      <c r="AQ268" s="218"/>
      <c r="AR268" s="47"/>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row>
    <row r="269" spans="1:138" s="24" customFormat="1" x14ac:dyDescent="0.2">
      <c r="A269" s="219">
        <f t="shared" ref="A269:A332" si="19">A268+1</f>
        <v>44820</v>
      </c>
      <c r="B269" s="220">
        <f t="shared" si="16"/>
        <v>9</v>
      </c>
      <c r="C269" s="221">
        <f t="shared" si="17"/>
        <v>6</v>
      </c>
      <c r="D269" s="795"/>
      <c r="E269" s="795"/>
      <c r="F269" s="796"/>
      <c r="G269" s="796"/>
      <c r="H269" s="796"/>
      <c r="I269" s="795"/>
      <c r="J269" s="795"/>
      <c r="K269" s="796"/>
      <c r="L269" s="796"/>
      <c r="M269" s="796"/>
      <c r="N269" s="795"/>
      <c r="O269" s="795"/>
      <c r="P269" s="795"/>
      <c r="Q269" s="795"/>
      <c r="R269" s="795"/>
      <c r="S269" s="795"/>
      <c r="T269" s="795"/>
      <c r="U269" s="795"/>
      <c r="V269" s="795"/>
      <c r="W269" s="795"/>
      <c r="X269" s="795"/>
      <c r="Y269" s="795"/>
      <c r="Z269" s="796"/>
      <c r="AA269" s="795"/>
      <c r="AB269" s="329" t="str">
        <f>basis!$B$19</f>
        <v/>
      </c>
      <c r="AC269" s="795"/>
      <c r="AD269" s="795"/>
      <c r="AE269" s="795"/>
      <c r="AF269" s="795"/>
      <c r="AG269" s="892"/>
      <c r="AH269" s="225" t="str">
        <f t="shared" si="18"/>
        <v/>
      </c>
      <c r="AI269" s="795"/>
      <c r="AJ269" s="796"/>
      <c r="AK269" s="796"/>
      <c r="AL269" s="795"/>
      <c r="AM269" s="796"/>
      <c r="AN269" s="795"/>
      <c r="AO269" s="795"/>
      <c r="AP269" s="795"/>
      <c r="AQ269" s="218"/>
      <c r="AR269" s="47"/>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row>
    <row r="270" spans="1:138" s="24" customFormat="1" x14ac:dyDescent="0.2">
      <c r="A270" s="219">
        <f t="shared" si="19"/>
        <v>44821</v>
      </c>
      <c r="B270" s="220">
        <f t="shared" si="16"/>
        <v>9</v>
      </c>
      <c r="C270" s="221">
        <f t="shared" si="17"/>
        <v>7</v>
      </c>
      <c r="D270" s="795"/>
      <c r="E270" s="795"/>
      <c r="F270" s="796"/>
      <c r="G270" s="796"/>
      <c r="H270" s="796"/>
      <c r="I270" s="795"/>
      <c r="J270" s="795"/>
      <c r="K270" s="796"/>
      <c r="L270" s="796"/>
      <c r="M270" s="796"/>
      <c r="N270" s="795"/>
      <c r="O270" s="795"/>
      <c r="P270" s="795"/>
      <c r="Q270" s="795"/>
      <c r="R270" s="795"/>
      <c r="S270" s="795"/>
      <c r="T270" s="795"/>
      <c r="U270" s="795"/>
      <c r="V270" s="795"/>
      <c r="W270" s="795"/>
      <c r="X270" s="795"/>
      <c r="Y270" s="795"/>
      <c r="Z270" s="796"/>
      <c r="AA270" s="795"/>
      <c r="AB270" s="329" t="str">
        <f>basis!$B$19</f>
        <v/>
      </c>
      <c r="AC270" s="795"/>
      <c r="AD270" s="795"/>
      <c r="AE270" s="795"/>
      <c r="AF270" s="795"/>
      <c r="AG270" s="892"/>
      <c r="AH270" s="225" t="str">
        <f t="shared" si="18"/>
        <v/>
      </c>
      <c r="AI270" s="795"/>
      <c r="AJ270" s="796"/>
      <c r="AK270" s="796"/>
      <c r="AL270" s="795"/>
      <c r="AM270" s="796"/>
      <c r="AN270" s="795"/>
      <c r="AO270" s="795"/>
      <c r="AP270" s="795"/>
      <c r="AQ270" s="218"/>
      <c r="AR270" s="47"/>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row>
    <row r="271" spans="1:138" s="24" customFormat="1" x14ac:dyDescent="0.2">
      <c r="A271" s="219">
        <f t="shared" si="19"/>
        <v>44822</v>
      </c>
      <c r="B271" s="220">
        <f t="shared" si="16"/>
        <v>9</v>
      </c>
      <c r="C271" s="221">
        <f t="shared" si="17"/>
        <v>1</v>
      </c>
      <c r="D271" s="795"/>
      <c r="E271" s="795"/>
      <c r="F271" s="796"/>
      <c r="G271" s="796"/>
      <c r="H271" s="796"/>
      <c r="I271" s="795"/>
      <c r="J271" s="795"/>
      <c r="K271" s="796"/>
      <c r="L271" s="796"/>
      <c r="M271" s="796"/>
      <c r="N271" s="795"/>
      <c r="O271" s="795"/>
      <c r="P271" s="795"/>
      <c r="Q271" s="795"/>
      <c r="R271" s="795"/>
      <c r="S271" s="795"/>
      <c r="T271" s="795"/>
      <c r="U271" s="795"/>
      <c r="V271" s="795"/>
      <c r="W271" s="795"/>
      <c r="X271" s="795"/>
      <c r="Y271" s="795"/>
      <c r="Z271" s="796"/>
      <c r="AA271" s="795"/>
      <c r="AB271" s="329" t="str">
        <f>basis!$B$19</f>
        <v/>
      </c>
      <c r="AC271" s="795"/>
      <c r="AD271" s="795"/>
      <c r="AE271" s="795"/>
      <c r="AF271" s="795"/>
      <c r="AG271" s="892"/>
      <c r="AH271" s="225" t="str">
        <f t="shared" si="18"/>
        <v/>
      </c>
      <c r="AI271" s="795"/>
      <c r="AJ271" s="796"/>
      <c r="AK271" s="796"/>
      <c r="AL271" s="795"/>
      <c r="AM271" s="796"/>
      <c r="AN271" s="795"/>
      <c r="AO271" s="795"/>
      <c r="AP271" s="795"/>
      <c r="AQ271" s="218"/>
      <c r="AR271" s="47"/>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row>
    <row r="272" spans="1:138" s="24" customFormat="1" x14ac:dyDescent="0.2">
      <c r="A272" s="219">
        <f t="shared" si="19"/>
        <v>44823</v>
      </c>
      <c r="B272" s="220">
        <f t="shared" si="16"/>
        <v>9</v>
      </c>
      <c r="C272" s="221">
        <f t="shared" si="17"/>
        <v>2</v>
      </c>
      <c r="D272" s="795"/>
      <c r="E272" s="795"/>
      <c r="F272" s="796"/>
      <c r="G272" s="796"/>
      <c r="H272" s="796"/>
      <c r="I272" s="795"/>
      <c r="J272" s="795"/>
      <c r="K272" s="796"/>
      <c r="L272" s="796"/>
      <c r="M272" s="796"/>
      <c r="N272" s="795"/>
      <c r="O272" s="795"/>
      <c r="P272" s="795"/>
      <c r="Q272" s="795"/>
      <c r="R272" s="795"/>
      <c r="S272" s="795"/>
      <c r="T272" s="795"/>
      <c r="U272" s="795"/>
      <c r="V272" s="795"/>
      <c r="W272" s="795"/>
      <c r="X272" s="795"/>
      <c r="Y272" s="795"/>
      <c r="Z272" s="796"/>
      <c r="AA272" s="795"/>
      <c r="AB272" s="329" t="str">
        <f>basis!$B$19</f>
        <v/>
      </c>
      <c r="AC272" s="795"/>
      <c r="AD272" s="795"/>
      <c r="AE272" s="795"/>
      <c r="AF272" s="795"/>
      <c r="AG272" s="892"/>
      <c r="AH272" s="225" t="str">
        <f t="shared" si="18"/>
        <v/>
      </c>
      <c r="AI272" s="795"/>
      <c r="AJ272" s="796"/>
      <c r="AK272" s="796"/>
      <c r="AL272" s="795"/>
      <c r="AM272" s="796"/>
      <c r="AN272" s="795"/>
      <c r="AO272" s="795"/>
      <c r="AP272" s="795"/>
      <c r="AQ272" s="218"/>
      <c r="AR272" s="47"/>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row>
    <row r="273" spans="1:138" s="24" customFormat="1" x14ac:dyDescent="0.2">
      <c r="A273" s="219">
        <f t="shared" si="19"/>
        <v>44824</v>
      </c>
      <c r="B273" s="220">
        <f t="shared" si="16"/>
        <v>9</v>
      </c>
      <c r="C273" s="221">
        <f t="shared" si="17"/>
        <v>3</v>
      </c>
      <c r="D273" s="795"/>
      <c r="E273" s="795"/>
      <c r="F273" s="796"/>
      <c r="G273" s="796"/>
      <c r="H273" s="796"/>
      <c r="I273" s="795"/>
      <c r="J273" s="795"/>
      <c r="K273" s="796"/>
      <c r="L273" s="796"/>
      <c r="M273" s="796"/>
      <c r="N273" s="795"/>
      <c r="O273" s="795"/>
      <c r="P273" s="795"/>
      <c r="Q273" s="795"/>
      <c r="R273" s="795"/>
      <c r="S273" s="795"/>
      <c r="T273" s="795"/>
      <c r="U273" s="795"/>
      <c r="V273" s="795"/>
      <c r="W273" s="795"/>
      <c r="X273" s="795"/>
      <c r="Y273" s="795"/>
      <c r="Z273" s="796"/>
      <c r="AA273" s="795"/>
      <c r="AB273" s="329" t="str">
        <f>basis!$B$19</f>
        <v/>
      </c>
      <c r="AC273" s="795"/>
      <c r="AD273" s="795"/>
      <c r="AE273" s="795"/>
      <c r="AF273" s="795"/>
      <c r="AG273" s="892"/>
      <c r="AH273" s="225" t="str">
        <f t="shared" si="18"/>
        <v/>
      </c>
      <c r="AI273" s="795"/>
      <c r="AJ273" s="796"/>
      <c r="AK273" s="796"/>
      <c r="AL273" s="795"/>
      <c r="AM273" s="796"/>
      <c r="AN273" s="795"/>
      <c r="AO273" s="795"/>
      <c r="AP273" s="795"/>
      <c r="AQ273" s="218"/>
      <c r="AR273" s="47"/>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row>
    <row r="274" spans="1:138" s="24" customFormat="1" x14ac:dyDescent="0.2">
      <c r="A274" s="219">
        <f t="shared" si="19"/>
        <v>44825</v>
      </c>
      <c r="B274" s="220">
        <f t="shared" si="16"/>
        <v>9</v>
      </c>
      <c r="C274" s="221">
        <f t="shared" si="17"/>
        <v>4</v>
      </c>
      <c r="D274" s="795"/>
      <c r="E274" s="795"/>
      <c r="F274" s="796"/>
      <c r="G274" s="796"/>
      <c r="H274" s="796"/>
      <c r="I274" s="795"/>
      <c r="J274" s="795"/>
      <c r="K274" s="796"/>
      <c r="L274" s="796"/>
      <c r="M274" s="796"/>
      <c r="N274" s="795"/>
      <c r="O274" s="795"/>
      <c r="P274" s="795"/>
      <c r="Q274" s="795"/>
      <c r="R274" s="795"/>
      <c r="S274" s="795"/>
      <c r="T274" s="795"/>
      <c r="U274" s="795"/>
      <c r="V274" s="795"/>
      <c r="W274" s="795"/>
      <c r="X274" s="795"/>
      <c r="Y274" s="795"/>
      <c r="Z274" s="796"/>
      <c r="AA274" s="795"/>
      <c r="AB274" s="329" t="str">
        <f>basis!$B$19</f>
        <v/>
      </c>
      <c r="AC274" s="795"/>
      <c r="AD274" s="795"/>
      <c r="AE274" s="795"/>
      <c r="AF274" s="795"/>
      <c r="AG274" s="892"/>
      <c r="AH274" s="225" t="str">
        <f t="shared" si="18"/>
        <v/>
      </c>
      <c r="AI274" s="795"/>
      <c r="AJ274" s="796"/>
      <c r="AK274" s="796"/>
      <c r="AL274" s="795"/>
      <c r="AM274" s="796"/>
      <c r="AN274" s="795"/>
      <c r="AO274" s="795"/>
      <c r="AP274" s="795"/>
      <c r="AQ274" s="218"/>
      <c r="AR274" s="47"/>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row>
    <row r="275" spans="1:138" s="24" customFormat="1" x14ac:dyDescent="0.2">
      <c r="A275" s="219">
        <f t="shared" si="19"/>
        <v>44826</v>
      </c>
      <c r="B275" s="220">
        <f t="shared" si="16"/>
        <v>9</v>
      </c>
      <c r="C275" s="221">
        <f t="shared" si="17"/>
        <v>5</v>
      </c>
      <c r="D275" s="795"/>
      <c r="E275" s="795"/>
      <c r="F275" s="796"/>
      <c r="G275" s="796"/>
      <c r="H275" s="796"/>
      <c r="I275" s="795"/>
      <c r="J275" s="795"/>
      <c r="K275" s="796"/>
      <c r="L275" s="796"/>
      <c r="M275" s="796"/>
      <c r="N275" s="795"/>
      <c r="O275" s="795"/>
      <c r="P275" s="795"/>
      <c r="Q275" s="795"/>
      <c r="R275" s="795"/>
      <c r="S275" s="795"/>
      <c r="T275" s="795"/>
      <c r="U275" s="795"/>
      <c r="V275" s="795"/>
      <c r="W275" s="795"/>
      <c r="X275" s="795"/>
      <c r="Y275" s="795"/>
      <c r="Z275" s="796"/>
      <c r="AA275" s="795"/>
      <c r="AB275" s="329" t="str">
        <f>basis!$B$19</f>
        <v/>
      </c>
      <c r="AC275" s="795"/>
      <c r="AD275" s="795"/>
      <c r="AE275" s="795"/>
      <c r="AF275" s="795"/>
      <c r="AG275" s="892"/>
      <c r="AH275" s="225" t="str">
        <f t="shared" si="18"/>
        <v/>
      </c>
      <c r="AI275" s="795"/>
      <c r="AJ275" s="796"/>
      <c r="AK275" s="796"/>
      <c r="AL275" s="795"/>
      <c r="AM275" s="796"/>
      <c r="AN275" s="795"/>
      <c r="AO275" s="795"/>
      <c r="AP275" s="795"/>
      <c r="AQ275" s="218"/>
      <c r="AR275" s="47"/>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row>
    <row r="276" spans="1:138" s="24" customFormat="1" x14ac:dyDescent="0.2">
      <c r="A276" s="219">
        <f t="shared" si="19"/>
        <v>44827</v>
      </c>
      <c r="B276" s="220">
        <f t="shared" si="16"/>
        <v>9</v>
      </c>
      <c r="C276" s="221">
        <f t="shared" si="17"/>
        <v>6</v>
      </c>
      <c r="D276" s="795"/>
      <c r="E276" s="795"/>
      <c r="F276" s="796"/>
      <c r="G276" s="796"/>
      <c r="H276" s="796"/>
      <c r="I276" s="795"/>
      <c r="J276" s="795"/>
      <c r="K276" s="796"/>
      <c r="L276" s="796"/>
      <c r="M276" s="796"/>
      <c r="N276" s="795"/>
      <c r="O276" s="795"/>
      <c r="P276" s="795"/>
      <c r="Q276" s="795"/>
      <c r="R276" s="795"/>
      <c r="S276" s="795"/>
      <c r="T276" s="795"/>
      <c r="U276" s="795"/>
      <c r="V276" s="795"/>
      <c r="W276" s="795"/>
      <c r="X276" s="795"/>
      <c r="Y276" s="795"/>
      <c r="Z276" s="796"/>
      <c r="AA276" s="795"/>
      <c r="AB276" s="329" t="str">
        <f>basis!$B$19</f>
        <v/>
      </c>
      <c r="AC276" s="795"/>
      <c r="AD276" s="795"/>
      <c r="AE276" s="795"/>
      <c r="AF276" s="795"/>
      <c r="AG276" s="892"/>
      <c r="AH276" s="225" t="str">
        <f t="shared" si="18"/>
        <v/>
      </c>
      <c r="AI276" s="795"/>
      <c r="AJ276" s="796"/>
      <c r="AK276" s="796"/>
      <c r="AL276" s="795"/>
      <c r="AM276" s="796"/>
      <c r="AN276" s="795"/>
      <c r="AO276" s="795"/>
      <c r="AP276" s="795"/>
      <c r="AQ276" s="218"/>
      <c r="AR276" s="47"/>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row>
    <row r="277" spans="1:138" s="24" customFormat="1" x14ac:dyDescent="0.2">
      <c r="A277" s="219">
        <f t="shared" si="19"/>
        <v>44828</v>
      </c>
      <c r="B277" s="220">
        <f t="shared" si="16"/>
        <v>9</v>
      </c>
      <c r="C277" s="221">
        <f t="shared" si="17"/>
        <v>7</v>
      </c>
      <c r="D277" s="795"/>
      <c r="E277" s="795"/>
      <c r="F277" s="796"/>
      <c r="G277" s="796"/>
      <c r="H277" s="796"/>
      <c r="I277" s="795"/>
      <c r="J277" s="795"/>
      <c r="K277" s="796"/>
      <c r="L277" s="796"/>
      <c r="M277" s="796"/>
      <c r="N277" s="795"/>
      <c r="O277" s="795"/>
      <c r="P277" s="795"/>
      <c r="Q277" s="795"/>
      <c r="R277" s="795"/>
      <c r="S277" s="795"/>
      <c r="T277" s="795"/>
      <c r="U277" s="795"/>
      <c r="V277" s="795"/>
      <c r="W277" s="795"/>
      <c r="X277" s="795"/>
      <c r="Y277" s="795"/>
      <c r="Z277" s="796"/>
      <c r="AA277" s="795"/>
      <c r="AB277" s="329" t="str">
        <f>basis!$B$19</f>
        <v/>
      </c>
      <c r="AC277" s="795"/>
      <c r="AD277" s="795"/>
      <c r="AE277" s="795"/>
      <c r="AF277" s="795"/>
      <c r="AG277" s="892"/>
      <c r="AH277" s="225" t="str">
        <f t="shared" si="18"/>
        <v/>
      </c>
      <c r="AI277" s="795"/>
      <c r="AJ277" s="796"/>
      <c r="AK277" s="796"/>
      <c r="AL277" s="795"/>
      <c r="AM277" s="796"/>
      <c r="AN277" s="795"/>
      <c r="AO277" s="795"/>
      <c r="AP277" s="795"/>
      <c r="AQ277" s="218"/>
      <c r="AR277" s="47"/>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row>
    <row r="278" spans="1:138" s="24" customFormat="1" x14ac:dyDescent="0.2">
      <c r="A278" s="219">
        <f t="shared" si="19"/>
        <v>44829</v>
      </c>
      <c r="B278" s="220">
        <f t="shared" si="16"/>
        <v>9</v>
      </c>
      <c r="C278" s="221">
        <f t="shared" si="17"/>
        <v>1</v>
      </c>
      <c r="D278" s="795"/>
      <c r="E278" s="795"/>
      <c r="F278" s="796"/>
      <c r="G278" s="796"/>
      <c r="H278" s="796"/>
      <c r="I278" s="795"/>
      <c r="J278" s="795"/>
      <c r="K278" s="796"/>
      <c r="L278" s="796"/>
      <c r="M278" s="796"/>
      <c r="N278" s="795"/>
      <c r="O278" s="795"/>
      <c r="P278" s="795"/>
      <c r="Q278" s="795"/>
      <c r="R278" s="795"/>
      <c r="S278" s="795"/>
      <c r="T278" s="795"/>
      <c r="U278" s="795"/>
      <c r="V278" s="795"/>
      <c r="W278" s="795"/>
      <c r="X278" s="795"/>
      <c r="Y278" s="795"/>
      <c r="Z278" s="796"/>
      <c r="AA278" s="795"/>
      <c r="AB278" s="329" t="str">
        <f>basis!$B$19</f>
        <v/>
      </c>
      <c r="AC278" s="795"/>
      <c r="AD278" s="795"/>
      <c r="AE278" s="795"/>
      <c r="AF278" s="795"/>
      <c r="AG278" s="892"/>
      <c r="AH278" s="225" t="str">
        <f t="shared" si="18"/>
        <v/>
      </c>
      <c r="AI278" s="795"/>
      <c r="AJ278" s="796"/>
      <c r="AK278" s="796"/>
      <c r="AL278" s="795"/>
      <c r="AM278" s="796"/>
      <c r="AN278" s="795"/>
      <c r="AO278" s="795"/>
      <c r="AP278" s="795"/>
      <c r="AQ278" s="218"/>
      <c r="AR278" s="47"/>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row>
    <row r="279" spans="1:138" s="24" customFormat="1" x14ac:dyDescent="0.2">
      <c r="A279" s="219">
        <f t="shared" si="19"/>
        <v>44830</v>
      </c>
      <c r="B279" s="220">
        <f t="shared" si="16"/>
        <v>9</v>
      </c>
      <c r="C279" s="221">
        <f t="shared" si="17"/>
        <v>2</v>
      </c>
      <c r="D279" s="795"/>
      <c r="E279" s="795"/>
      <c r="F279" s="796"/>
      <c r="G279" s="796"/>
      <c r="H279" s="796"/>
      <c r="I279" s="795"/>
      <c r="J279" s="795"/>
      <c r="K279" s="796"/>
      <c r="L279" s="796"/>
      <c r="M279" s="796"/>
      <c r="N279" s="795"/>
      <c r="O279" s="795"/>
      <c r="P279" s="795"/>
      <c r="Q279" s="795"/>
      <c r="R279" s="795"/>
      <c r="S279" s="795"/>
      <c r="T279" s="795"/>
      <c r="U279" s="795"/>
      <c r="V279" s="795"/>
      <c r="W279" s="795"/>
      <c r="X279" s="795"/>
      <c r="Y279" s="795"/>
      <c r="Z279" s="796"/>
      <c r="AA279" s="795"/>
      <c r="AB279" s="329" t="str">
        <f>basis!$B$19</f>
        <v/>
      </c>
      <c r="AC279" s="795"/>
      <c r="AD279" s="795"/>
      <c r="AE279" s="795"/>
      <c r="AF279" s="795"/>
      <c r="AG279" s="892"/>
      <c r="AH279" s="225" t="str">
        <f t="shared" si="18"/>
        <v/>
      </c>
      <c r="AI279" s="795"/>
      <c r="AJ279" s="796"/>
      <c r="AK279" s="796"/>
      <c r="AL279" s="795"/>
      <c r="AM279" s="796"/>
      <c r="AN279" s="795"/>
      <c r="AO279" s="795"/>
      <c r="AP279" s="795"/>
      <c r="AQ279" s="218"/>
      <c r="AR279" s="47"/>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row>
    <row r="280" spans="1:138" s="24" customFormat="1" x14ac:dyDescent="0.2">
      <c r="A280" s="219">
        <f t="shared" si="19"/>
        <v>44831</v>
      </c>
      <c r="B280" s="220">
        <f t="shared" si="16"/>
        <v>9</v>
      </c>
      <c r="C280" s="221">
        <f t="shared" si="17"/>
        <v>3</v>
      </c>
      <c r="D280" s="795"/>
      <c r="E280" s="795"/>
      <c r="F280" s="796"/>
      <c r="G280" s="796"/>
      <c r="H280" s="796"/>
      <c r="I280" s="795"/>
      <c r="J280" s="795"/>
      <c r="K280" s="796"/>
      <c r="L280" s="796"/>
      <c r="M280" s="796"/>
      <c r="N280" s="795"/>
      <c r="O280" s="795"/>
      <c r="P280" s="795"/>
      <c r="Q280" s="795"/>
      <c r="R280" s="795"/>
      <c r="S280" s="795"/>
      <c r="T280" s="795"/>
      <c r="U280" s="795"/>
      <c r="V280" s="795"/>
      <c r="W280" s="795"/>
      <c r="X280" s="795"/>
      <c r="Y280" s="795"/>
      <c r="Z280" s="796"/>
      <c r="AA280" s="795"/>
      <c r="AB280" s="329" t="str">
        <f>basis!$B$19</f>
        <v/>
      </c>
      <c r="AC280" s="795"/>
      <c r="AD280" s="795"/>
      <c r="AE280" s="795"/>
      <c r="AF280" s="795"/>
      <c r="AG280" s="892"/>
      <c r="AH280" s="225" t="str">
        <f t="shared" si="18"/>
        <v/>
      </c>
      <c r="AI280" s="795"/>
      <c r="AJ280" s="796"/>
      <c r="AK280" s="796"/>
      <c r="AL280" s="795"/>
      <c r="AM280" s="796"/>
      <c r="AN280" s="795"/>
      <c r="AO280" s="795"/>
      <c r="AP280" s="795"/>
      <c r="AQ280" s="218"/>
      <c r="AR280" s="47"/>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row>
    <row r="281" spans="1:138" s="24" customFormat="1" x14ac:dyDescent="0.2">
      <c r="A281" s="219">
        <f t="shared" si="19"/>
        <v>44832</v>
      </c>
      <c r="B281" s="220">
        <f t="shared" si="16"/>
        <v>9</v>
      </c>
      <c r="C281" s="221">
        <f t="shared" si="17"/>
        <v>4</v>
      </c>
      <c r="D281" s="795"/>
      <c r="E281" s="795"/>
      <c r="F281" s="796"/>
      <c r="G281" s="796"/>
      <c r="H281" s="796"/>
      <c r="I281" s="795"/>
      <c r="J281" s="795"/>
      <c r="K281" s="796"/>
      <c r="L281" s="796"/>
      <c r="M281" s="796"/>
      <c r="N281" s="795"/>
      <c r="O281" s="795"/>
      <c r="P281" s="795"/>
      <c r="Q281" s="795"/>
      <c r="R281" s="795"/>
      <c r="S281" s="795"/>
      <c r="T281" s="795"/>
      <c r="U281" s="795"/>
      <c r="V281" s="795"/>
      <c r="W281" s="795"/>
      <c r="X281" s="795"/>
      <c r="Y281" s="795"/>
      <c r="Z281" s="796"/>
      <c r="AA281" s="795"/>
      <c r="AB281" s="329" t="str">
        <f>basis!$B$19</f>
        <v/>
      </c>
      <c r="AC281" s="795"/>
      <c r="AD281" s="795"/>
      <c r="AE281" s="795"/>
      <c r="AF281" s="795"/>
      <c r="AG281" s="892"/>
      <c r="AH281" s="225" t="str">
        <f t="shared" si="18"/>
        <v/>
      </c>
      <c r="AI281" s="795"/>
      <c r="AJ281" s="796"/>
      <c r="AK281" s="796"/>
      <c r="AL281" s="795"/>
      <c r="AM281" s="796"/>
      <c r="AN281" s="795"/>
      <c r="AO281" s="795"/>
      <c r="AP281" s="795"/>
      <c r="AQ281" s="218"/>
      <c r="AR281" s="47"/>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row>
    <row r="282" spans="1:138" s="24" customFormat="1" x14ac:dyDescent="0.2">
      <c r="A282" s="219">
        <f t="shared" si="19"/>
        <v>44833</v>
      </c>
      <c r="B282" s="220">
        <f t="shared" si="16"/>
        <v>9</v>
      </c>
      <c r="C282" s="221">
        <f t="shared" si="17"/>
        <v>5</v>
      </c>
      <c r="D282" s="795"/>
      <c r="E282" s="795"/>
      <c r="F282" s="796"/>
      <c r="G282" s="796"/>
      <c r="H282" s="796"/>
      <c r="I282" s="795"/>
      <c r="J282" s="795"/>
      <c r="K282" s="796"/>
      <c r="L282" s="796"/>
      <c r="M282" s="796"/>
      <c r="N282" s="795"/>
      <c r="O282" s="795"/>
      <c r="P282" s="795"/>
      <c r="Q282" s="795"/>
      <c r="R282" s="795"/>
      <c r="S282" s="795"/>
      <c r="T282" s="795"/>
      <c r="U282" s="795"/>
      <c r="V282" s="795"/>
      <c r="W282" s="795"/>
      <c r="X282" s="795"/>
      <c r="Y282" s="795"/>
      <c r="Z282" s="796"/>
      <c r="AA282" s="795"/>
      <c r="AB282" s="329" t="str">
        <f>basis!$B$19</f>
        <v/>
      </c>
      <c r="AC282" s="795"/>
      <c r="AD282" s="795"/>
      <c r="AE282" s="795"/>
      <c r="AF282" s="795"/>
      <c r="AG282" s="892"/>
      <c r="AH282" s="225" t="str">
        <f t="shared" si="18"/>
        <v/>
      </c>
      <c r="AI282" s="795"/>
      <c r="AJ282" s="796"/>
      <c r="AK282" s="796"/>
      <c r="AL282" s="795"/>
      <c r="AM282" s="796"/>
      <c r="AN282" s="795"/>
      <c r="AO282" s="795"/>
      <c r="AP282" s="795"/>
      <c r="AQ282" s="218"/>
      <c r="AR282" s="47"/>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row>
    <row r="283" spans="1:138" s="24" customFormat="1" x14ac:dyDescent="0.2">
      <c r="A283" s="219">
        <f t="shared" si="19"/>
        <v>44834</v>
      </c>
      <c r="B283" s="220">
        <f t="shared" si="16"/>
        <v>9</v>
      </c>
      <c r="C283" s="221">
        <f t="shared" si="17"/>
        <v>6</v>
      </c>
      <c r="D283" s="795"/>
      <c r="E283" s="795"/>
      <c r="F283" s="796"/>
      <c r="G283" s="796"/>
      <c r="H283" s="796"/>
      <c r="I283" s="795"/>
      <c r="J283" s="795"/>
      <c r="K283" s="796"/>
      <c r="L283" s="796"/>
      <c r="M283" s="796"/>
      <c r="N283" s="795"/>
      <c r="O283" s="795"/>
      <c r="P283" s="795"/>
      <c r="Q283" s="795"/>
      <c r="R283" s="795"/>
      <c r="S283" s="795"/>
      <c r="T283" s="795"/>
      <c r="U283" s="795"/>
      <c r="V283" s="795"/>
      <c r="W283" s="795"/>
      <c r="X283" s="795"/>
      <c r="Y283" s="795"/>
      <c r="Z283" s="796"/>
      <c r="AA283" s="795"/>
      <c r="AB283" s="329" t="str">
        <f>basis!$B$19</f>
        <v/>
      </c>
      <c r="AC283" s="795"/>
      <c r="AD283" s="795"/>
      <c r="AE283" s="795"/>
      <c r="AF283" s="795"/>
      <c r="AG283" s="892"/>
      <c r="AH283" s="225" t="str">
        <f t="shared" si="18"/>
        <v/>
      </c>
      <c r="AI283" s="795"/>
      <c r="AJ283" s="796"/>
      <c r="AK283" s="796"/>
      <c r="AL283" s="795"/>
      <c r="AM283" s="796"/>
      <c r="AN283" s="795"/>
      <c r="AO283" s="795"/>
      <c r="AP283" s="795"/>
      <c r="AQ283" s="218"/>
      <c r="AR283" s="47"/>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row>
    <row r="284" spans="1:138" s="24" customFormat="1" x14ac:dyDescent="0.2">
      <c r="A284" s="219">
        <f t="shared" si="19"/>
        <v>44835</v>
      </c>
      <c r="B284" s="220">
        <f t="shared" si="16"/>
        <v>10</v>
      </c>
      <c r="C284" s="221">
        <f t="shared" si="17"/>
        <v>7</v>
      </c>
      <c r="D284" s="795"/>
      <c r="E284" s="795"/>
      <c r="F284" s="796"/>
      <c r="G284" s="796"/>
      <c r="H284" s="796"/>
      <c r="I284" s="795"/>
      <c r="J284" s="795"/>
      <c r="K284" s="796"/>
      <c r="L284" s="796"/>
      <c r="M284" s="796"/>
      <c r="N284" s="795"/>
      <c r="O284" s="795"/>
      <c r="P284" s="795"/>
      <c r="Q284" s="795"/>
      <c r="R284" s="795"/>
      <c r="S284" s="795"/>
      <c r="T284" s="795"/>
      <c r="U284" s="795"/>
      <c r="V284" s="795"/>
      <c r="W284" s="795"/>
      <c r="X284" s="795"/>
      <c r="Y284" s="795"/>
      <c r="Z284" s="796"/>
      <c r="AA284" s="795"/>
      <c r="AB284" s="329" t="str">
        <f>basis!$B$19</f>
        <v/>
      </c>
      <c r="AC284" s="795"/>
      <c r="AD284" s="795"/>
      <c r="AE284" s="795"/>
      <c r="AF284" s="795"/>
      <c r="AG284" s="892"/>
      <c r="AH284" s="225" t="str">
        <f t="shared" si="18"/>
        <v/>
      </c>
      <c r="AI284" s="795"/>
      <c r="AJ284" s="796"/>
      <c r="AK284" s="796"/>
      <c r="AL284" s="795"/>
      <c r="AM284" s="796"/>
      <c r="AN284" s="795"/>
      <c r="AO284" s="795"/>
      <c r="AP284" s="795"/>
      <c r="AQ284" s="218"/>
      <c r="AR284" s="47"/>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row>
    <row r="285" spans="1:138" s="24" customFormat="1" x14ac:dyDescent="0.2">
      <c r="A285" s="219">
        <f t="shared" si="19"/>
        <v>44836</v>
      </c>
      <c r="B285" s="220">
        <f t="shared" si="16"/>
        <v>10</v>
      </c>
      <c r="C285" s="221">
        <f t="shared" si="17"/>
        <v>1</v>
      </c>
      <c r="D285" s="795"/>
      <c r="E285" s="795"/>
      <c r="F285" s="796"/>
      <c r="G285" s="796"/>
      <c r="H285" s="796"/>
      <c r="I285" s="795"/>
      <c r="J285" s="795"/>
      <c r="K285" s="796"/>
      <c r="L285" s="796"/>
      <c r="M285" s="796"/>
      <c r="N285" s="795"/>
      <c r="O285" s="795"/>
      <c r="P285" s="795"/>
      <c r="Q285" s="795"/>
      <c r="R285" s="795"/>
      <c r="S285" s="795"/>
      <c r="T285" s="795"/>
      <c r="U285" s="795"/>
      <c r="V285" s="795"/>
      <c r="W285" s="795"/>
      <c r="X285" s="795"/>
      <c r="Y285" s="795"/>
      <c r="Z285" s="796"/>
      <c r="AA285" s="795"/>
      <c r="AB285" s="329" t="str">
        <f>basis!$B$19</f>
        <v/>
      </c>
      <c r="AC285" s="795"/>
      <c r="AD285" s="795"/>
      <c r="AE285" s="795"/>
      <c r="AF285" s="795"/>
      <c r="AG285" s="892"/>
      <c r="AH285" s="225" t="str">
        <f t="shared" si="18"/>
        <v/>
      </c>
      <c r="AI285" s="795"/>
      <c r="AJ285" s="796"/>
      <c r="AK285" s="796"/>
      <c r="AL285" s="795"/>
      <c r="AM285" s="796"/>
      <c r="AN285" s="795"/>
      <c r="AO285" s="795"/>
      <c r="AP285" s="795"/>
      <c r="AQ285" s="218"/>
      <c r="AR285" s="47"/>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row>
    <row r="286" spans="1:138" s="24" customFormat="1" x14ac:dyDescent="0.2">
      <c r="A286" s="219">
        <f t="shared" si="19"/>
        <v>44837</v>
      </c>
      <c r="B286" s="220">
        <f t="shared" si="16"/>
        <v>10</v>
      </c>
      <c r="C286" s="221">
        <f t="shared" si="17"/>
        <v>2</v>
      </c>
      <c r="D286" s="795"/>
      <c r="E286" s="795"/>
      <c r="F286" s="796"/>
      <c r="G286" s="796"/>
      <c r="H286" s="796"/>
      <c r="I286" s="795"/>
      <c r="J286" s="795"/>
      <c r="K286" s="796"/>
      <c r="L286" s="796"/>
      <c r="M286" s="796"/>
      <c r="N286" s="795"/>
      <c r="O286" s="795"/>
      <c r="P286" s="795"/>
      <c r="Q286" s="795"/>
      <c r="R286" s="795"/>
      <c r="S286" s="795"/>
      <c r="T286" s="795"/>
      <c r="U286" s="795"/>
      <c r="V286" s="795"/>
      <c r="W286" s="795"/>
      <c r="X286" s="795"/>
      <c r="Y286" s="795"/>
      <c r="Z286" s="796"/>
      <c r="AA286" s="795"/>
      <c r="AB286" s="329" t="str">
        <f>basis!$B$19</f>
        <v/>
      </c>
      <c r="AC286" s="795"/>
      <c r="AD286" s="795"/>
      <c r="AE286" s="795"/>
      <c r="AF286" s="795"/>
      <c r="AG286" s="892"/>
      <c r="AH286" s="225" t="str">
        <f t="shared" si="18"/>
        <v/>
      </c>
      <c r="AI286" s="795"/>
      <c r="AJ286" s="796"/>
      <c r="AK286" s="796"/>
      <c r="AL286" s="795"/>
      <c r="AM286" s="796"/>
      <c r="AN286" s="795"/>
      <c r="AO286" s="795"/>
      <c r="AP286" s="795"/>
      <c r="AQ286" s="218"/>
      <c r="AR286" s="47"/>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row>
    <row r="287" spans="1:138" s="24" customFormat="1" x14ac:dyDescent="0.2">
      <c r="A287" s="219">
        <f t="shared" si="19"/>
        <v>44838</v>
      </c>
      <c r="B287" s="220">
        <f t="shared" si="16"/>
        <v>10</v>
      </c>
      <c r="C287" s="221">
        <f t="shared" si="17"/>
        <v>3</v>
      </c>
      <c r="D287" s="795"/>
      <c r="E287" s="795"/>
      <c r="F287" s="796"/>
      <c r="G287" s="796"/>
      <c r="H287" s="796"/>
      <c r="I287" s="795"/>
      <c r="J287" s="795"/>
      <c r="K287" s="796"/>
      <c r="L287" s="796"/>
      <c r="M287" s="796"/>
      <c r="N287" s="795"/>
      <c r="O287" s="795"/>
      <c r="P287" s="795"/>
      <c r="Q287" s="795"/>
      <c r="R287" s="795"/>
      <c r="S287" s="795"/>
      <c r="T287" s="795"/>
      <c r="U287" s="795"/>
      <c r="V287" s="795"/>
      <c r="W287" s="795"/>
      <c r="X287" s="795"/>
      <c r="Y287" s="795"/>
      <c r="Z287" s="796"/>
      <c r="AA287" s="795"/>
      <c r="AB287" s="329" t="str">
        <f>basis!$B$19</f>
        <v/>
      </c>
      <c r="AC287" s="795"/>
      <c r="AD287" s="795"/>
      <c r="AE287" s="795"/>
      <c r="AF287" s="795"/>
      <c r="AG287" s="892"/>
      <c r="AH287" s="225" t="str">
        <f t="shared" si="18"/>
        <v/>
      </c>
      <c r="AI287" s="795"/>
      <c r="AJ287" s="796"/>
      <c r="AK287" s="796"/>
      <c r="AL287" s="795"/>
      <c r="AM287" s="796"/>
      <c r="AN287" s="795"/>
      <c r="AO287" s="795"/>
      <c r="AP287" s="795"/>
      <c r="AQ287" s="218"/>
      <c r="AR287" s="47"/>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row>
    <row r="288" spans="1:138" s="24" customFormat="1" x14ac:dyDescent="0.2">
      <c r="A288" s="219">
        <f t="shared" si="19"/>
        <v>44839</v>
      </c>
      <c r="B288" s="220">
        <f t="shared" si="16"/>
        <v>10</v>
      </c>
      <c r="C288" s="221">
        <f t="shared" si="17"/>
        <v>4</v>
      </c>
      <c r="D288" s="795"/>
      <c r="E288" s="795"/>
      <c r="F288" s="796"/>
      <c r="G288" s="796"/>
      <c r="H288" s="796"/>
      <c r="I288" s="795"/>
      <c r="J288" s="795"/>
      <c r="K288" s="796"/>
      <c r="L288" s="796"/>
      <c r="M288" s="796"/>
      <c r="N288" s="795"/>
      <c r="O288" s="795"/>
      <c r="P288" s="795"/>
      <c r="Q288" s="795"/>
      <c r="R288" s="795"/>
      <c r="S288" s="795"/>
      <c r="T288" s="795"/>
      <c r="U288" s="795"/>
      <c r="V288" s="795"/>
      <c r="W288" s="795"/>
      <c r="X288" s="795"/>
      <c r="Y288" s="795"/>
      <c r="Z288" s="796"/>
      <c r="AA288" s="795"/>
      <c r="AB288" s="329" t="str">
        <f>basis!$B$19</f>
        <v/>
      </c>
      <c r="AC288" s="795"/>
      <c r="AD288" s="795"/>
      <c r="AE288" s="795"/>
      <c r="AF288" s="795"/>
      <c r="AG288" s="892"/>
      <c r="AH288" s="225" t="str">
        <f t="shared" si="18"/>
        <v/>
      </c>
      <c r="AI288" s="795"/>
      <c r="AJ288" s="796"/>
      <c r="AK288" s="796"/>
      <c r="AL288" s="795"/>
      <c r="AM288" s="796"/>
      <c r="AN288" s="795"/>
      <c r="AO288" s="795"/>
      <c r="AP288" s="795"/>
      <c r="AQ288" s="218"/>
      <c r="AR288" s="47"/>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row>
    <row r="289" spans="1:138" s="24" customFormat="1" x14ac:dyDescent="0.2">
      <c r="A289" s="219">
        <f t="shared" si="19"/>
        <v>44840</v>
      </c>
      <c r="B289" s="220">
        <f t="shared" si="16"/>
        <v>10</v>
      </c>
      <c r="C289" s="221">
        <f t="shared" si="17"/>
        <v>5</v>
      </c>
      <c r="D289" s="795"/>
      <c r="E289" s="795"/>
      <c r="F289" s="796"/>
      <c r="G289" s="796"/>
      <c r="H289" s="796"/>
      <c r="I289" s="795"/>
      <c r="J289" s="795"/>
      <c r="K289" s="796"/>
      <c r="L289" s="796"/>
      <c r="M289" s="796"/>
      <c r="N289" s="795"/>
      <c r="O289" s="795"/>
      <c r="P289" s="795"/>
      <c r="Q289" s="795"/>
      <c r="R289" s="795"/>
      <c r="S289" s="795"/>
      <c r="T289" s="795"/>
      <c r="U289" s="795"/>
      <c r="V289" s="795"/>
      <c r="W289" s="795"/>
      <c r="X289" s="795"/>
      <c r="Y289" s="795"/>
      <c r="Z289" s="796"/>
      <c r="AA289" s="795"/>
      <c r="AB289" s="329" t="str">
        <f>basis!$B$19</f>
        <v/>
      </c>
      <c r="AC289" s="795"/>
      <c r="AD289" s="795"/>
      <c r="AE289" s="795"/>
      <c r="AF289" s="795"/>
      <c r="AG289" s="892"/>
      <c r="AH289" s="225" t="str">
        <f t="shared" si="18"/>
        <v/>
      </c>
      <c r="AI289" s="795"/>
      <c r="AJ289" s="796"/>
      <c r="AK289" s="796"/>
      <c r="AL289" s="795"/>
      <c r="AM289" s="796"/>
      <c r="AN289" s="795"/>
      <c r="AO289" s="795"/>
      <c r="AP289" s="795"/>
      <c r="AQ289" s="218"/>
      <c r="AR289" s="47"/>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row>
    <row r="290" spans="1:138" s="24" customFormat="1" x14ac:dyDescent="0.2">
      <c r="A290" s="219">
        <f t="shared" si="19"/>
        <v>44841</v>
      </c>
      <c r="B290" s="220">
        <f t="shared" si="16"/>
        <v>10</v>
      </c>
      <c r="C290" s="221">
        <f t="shared" si="17"/>
        <v>6</v>
      </c>
      <c r="D290" s="795"/>
      <c r="E290" s="795"/>
      <c r="F290" s="796"/>
      <c r="G290" s="796"/>
      <c r="H290" s="796"/>
      <c r="I290" s="795"/>
      <c r="J290" s="795"/>
      <c r="K290" s="796"/>
      <c r="L290" s="796"/>
      <c r="M290" s="796"/>
      <c r="N290" s="795"/>
      <c r="O290" s="795"/>
      <c r="P290" s="795"/>
      <c r="Q290" s="795"/>
      <c r="R290" s="795"/>
      <c r="S290" s="795"/>
      <c r="T290" s="795"/>
      <c r="U290" s="795"/>
      <c r="V290" s="795"/>
      <c r="W290" s="795"/>
      <c r="X290" s="795"/>
      <c r="Y290" s="795"/>
      <c r="Z290" s="796"/>
      <c r="AA290" s="795"/>
      <c r="AB290" s="329" t="str">
        <f>basis!$B$19</f>
        <v/>
      </c>
      <c r="AC290" s="795"/>
      <c r="AD290" s="795"/>
      <c r="AE290" s="795"/>
      <c r="AF290" s="795"/>
      <c r="AG290" s="892"/>
      <c r="AH290" s="225" t="str">
        <f t="shared" si="18"/>
        <v/>
      </c>
      <c r="AI290" s="795"/>
      <c r="AJ290" s="796"/>
      <c r="AK290" s="796"/>
      <c r="AL290" s="795"/>
      <c r="AM290" s="796"/>
      <c r="AN290" s="795"/>
      <c r="AO290" s="795"/>
      <c r="AP290" s="795"/>
      <c r="AQ290" s="218"/>
      <c r="AR290" s="47"/>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row>
    <row r="291" spans="1:138" s="24" customFormat="1" x14ac:dyDescent="0.2">
      <c r="A291" s="219">
        <f t="shared" si="19"/>
        <v>44842</v>
      </c>
      <c r="B291" s="220">
        <f t="shared" si="16"/>
        <v>10</v>
      </c>
      <c r="C291" s="221">
        <f t="shared" si="17"/>
        <v>7</v>
      </c>
      <c r="D291" s="795"/>
      <c r="E291" s="795"/>
      <c r="F291" s="796"/>
      <c r="G291" s="796"/>
      <c r="H291" s="796"/>
      <c r="I291" s="795"/>
      <c r="J291" s="795"/>
      <c r="K291" s="796"/>
      <c r="L291" s="796"/>
      <c r="M291" s="796"/>
      <c r="N291" s="795"/>
      <c r="O291" s="795"/>
      <c r="P291" s="795"/>
      <c r="Q291" s="795"/>
      <c r="R291" s="795"/>
      <c r="S291" s="795"/>
      <c r="T291" s="795"/>
      <c r="U291" s="795"/>
      <c r="V291" s="795"/>
      <c r="W291" s="795"/>
      <c r="X291" s="795"/>
      <c r="Y291" s="795"/>
      <c r="Z291" s="796"/>
      <c r="AA291" s="795"/>
      <c r="AB291" s="329" t="str">
        <f>basis!$B$19</f>
        <v/>
      </c>
      <c r="AC291" s="795"/>
      <c r="AD291" s="795"/>
      <c r="AE291" s="795"/>
      <c r="AF291" s="795"/>
      <c r="AG291" s="892"/>
      <c r="AH291" s="225" t="str">
        <f t="shared" si="18"/>
        <v/>
      </c>
      <c r="AI291" s="795"/>
      <c r="AJ291" s="796"/>
      <c r="AK291" s="796"/>
      <c r="AL291" s="795"/>
      <c r="AM291" s="796"/>
      <c r="AN291" s="795"/>
      <c r="AO291" s="795"/>
      <c r="AP291" s="795"/>
      <c r="AQ291" s="218"/>
      <c r="AR291" s="47"/>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row>
    <row r="292" spans="1:138" s="24" customFormat="1" x14ac:dyDescent="0.2">
      <c r="A292" s="219">
        <f t="shared" si="19"/>
        <v>44843</v>
      </c>
      <c r="B292" s="220">
        <f t="shared" si="16"/>
        <v>10</v>
      </c>
      <c r="C292" s="221">
        <f t="shared" si="17"/>
        <v>1</v>
      </c>
      <c r="D292" s="795"/>
      <c r="E292" s="795"/>
      <c r="F292" s="796"/>
      <c r="G292" s="796"/>
      <c r="H292" s="796"/>
      <c r="I292" s="795"/>
      <c r="J292" s="795"/>
      <c r="K292" s="796"/>
      <c r="L292" s="796"/>
      <c r="M292" s="796"/>
      <c r="N292" s="795"/>
      <c r="O292" s="795"/>
      <c r="P292" s="795"/>
      <c r="Q292" s="795"/>
      <c r="R292" s="795"/>
      <c r="S292" s="795"/>
      <c r="T292" s="795"/>
      <c r="U292" s="795"/>
      <c r="V292" s="795"/>
      <c r="W292" s="795"/>
      <c r="X292" s="795"/>
      <c r="Y292" s="795"/>
      <c r="Z292" s="796"/>
      <c r="AA292" s="795"/>
      <c r="AB292" s="329" t="str">
        <f>basis!$B$19</f>
        <v/>
      </c>
      <c r="AC292" s="795"/>
      <c r="AD292" s="795"/>
      <c r="AE292" s="795"/>
      <c r="AF292" s="795"/>
      <c r="AG292" s="892"/>
      <c r="AH292" s="225" t="str">
        <f t="shared" si="18"/>
        <v/>
      </c>
      <c r="AI292" s="795"/>
      <c r="AJ292" s="796"/>
      <c r="AK292" s="796"/>
      <c r="AL292" s="795"/>
      <c r="AM292" s="796"/>
      <c r="AN292" s="795"/>
      <c r="AO292" s="795"/>
      <c r="AP292" s="795"/>
      <c r="AQ292" s="218"/>
      <c r="AR292" s="47"/>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row>
    <row r="293" spans="1:138" s="24" customFormat="1" x14ac:dyDescent="0.2">
      <c r="A293" s="219">
        <f t="shared" si="19"/>
        <v>44844</v>
      </c>
      <c r="B293" s="220">
        <f t="shared" si="16"/>
        <v>10</v>
      </c>
      <c r="C293" s="221">
        <f t="shared" si="17"/>
        <v>2</v>
      </c>
      <c r="D293" s="795"/>
      <c r="E293" s="795"/>
      <c r="F293" s="796"/>
      <c r="G293" s="796"/>
      <c r="H293" s="796"/>
      <c r="I293" s="795"/>
      <c r="J293" s="795"/>
      <c r="K293" s="796"/>
      <c r="L293" s="796"/>
      <c r="M293" s="796"/>
      <c r="N293" s="795"/>
      <c r="O293" s="795"/>
      <c r="P293" s="795"/>
      <c r="Q293" s="795"/>
      <c r="R293" s="795"/>
      <c r="S293" s="795"/>
      <c r="T293" s="795"/>
      <c r="U293" s="795"/>
      <c r="V293" s="795"/>
      <c r="W293" s="795"/>
      <c r="X293" s="795"/>
      <c r="Y293" s="795"/>
      <c r="Z293" s="796"/>
      <c r="AA293" s="795"/>
      <c r="AB293" s="329" t="str">
        <f>basis!$B$19</f>
        <v/>
      </c>
      <c r="AC293" s="795"/>
      <c r="AD293" s="795"/>
      <c r="AE293" s="795"/>
      <c r="AF293" s="795"/>
      <c r="AG293" s="892"/>
      <c r="AH293" s="225" t="str">
        <f t="shared" si="18"/>
        <v/>
      </c>
      <c r="AI293" s="795"/>
      <c r="AJ293" s="796"/>
      <c r="AK293" s="796"/>
      <c r="AL293" s="795"/>
      <c r="AM293" s="796"/>
      <c r="AN293" s="795"/>
      <c r="AO293" s="795"/>
      <c r="AP293" s="795"/>
      <c r="AQ293" s="218"/>
      <c r="AR293" s="47"/>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row>
    <row r="294" spans="1:138" s="24" customFormat="1" x14ac:dyDescent="0.2">
      <c r="A294" s="219">
        <f t="shared" si="19"/>
        <v>44845</v>
      </c>
      <c r="B294" s="220">
        <f t="shared" si="16"/>
        <v>10</v>
      </c>
      <c r="C294" s="221">
        <f t="shared" si="17"/>
        <v>3</v>
      </c>
      <c r="D294" s="795"/>
      <c r="E294" s="795"/>
      <c r="F294" s="796"/>
      <c r="G294" s="796"/>
      <c r="H294" s="796"/>
      <c r="I294" s="795"/>
      <c r="J294" s="795"/>
      <c r="K294" s="796"/>
      <c r="L294" s="796"/>
      <c r="M294" s="796"/>
      <c r="N294" s="795"/>
      <c r="O294" s="795"/>
      <c r="P294" s="795"/>
      <c r="Q294" s="795"/>
      <c r="R294" s="795"/>
      <c r="S294" s="795"/>
      <c r="T294" s="795"/>
      <c r="U294" s="795"/>
      <c r="V294" s="795"/>
      <c r="W294" s="795"/>
      <c r="X294" s="795"/>
      <c r="Y294" s="795"/>
      <c r="Z294" s="796"/>
      <c r="AA294" s="795"/>
      <c r="AB294" s="329" t="str">
        <f>basis!$B$19</f>
        <v/>
      </c>
      <c r="AC294" s="795"/>
      <c r="AD294" s="795"/>
      <c r="AE294" s="795"/>
      <c r="AF294" s="795"/>
      <c r="AG294" s="892"/>
      <c r="AH294" s="225" t="str">
        <f t="shared" si="18"/>
        <v/>
      </c>
      <c r="AI294" s="795"/>
      <c r="AJ294" s="796"/>
      <c r="AK294" s="796"/>
      <c r="AL294" s="795"/>
      <c r="AM294" s="796"/>
      <c r="AN294" s="795"/>
      <c r="AO294" s="795"/>
      <c r="AP294" s="795"/>
      <c r="AQ294" s="218"/>
      <c r="AR294" s="47"/>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row>
    <row r="295" spans="1:138" s="24" customFormat="1" x14ac:dyDescent="0.2">
      <c r="A295" s="219">
        <f t="shared" si="19"/>
        <v>44846</v>
      </c>
      <c r="B295" s="220">
        <f t="shared" si="16"/>
        <v>10</v>
      </c>
      <c r="C295" s="221">
        <f t="shared" si="17"/>
        <v>4</v>
      </c>
      <c r="D295" s="795"/>
      <c r="E295" s="795"/>
      <c r="F295" s="796"/>
      <c r="G295" s="796"/>
      <c r="H295" s="796"/>
      <c r="I295" s="795"/>
      <c r="J295" s="795"/>
      <c r="K295" s="796"/>
      <c r="L295" s="796"/>
      <c r="M295" s="796"/>
      <c r="N295" s="795"/>
      <c r="O295" s="795"/>
      <c r="P295" s="795"/>
      <c r="Q295" s="795"/>
      <c r="R295" s="795"/>
      <c r="S295" s="795"/>
      <c r="T295" s="795"/>
      <c r="U295" s="795"/>
      <c r="V295" s="795"/>
      <c r="W295" s="795"/>
      <c r="X295" s="795"/>
      <c r="Y295" s="795"/>
      <c r="Z295" s="796"/>
      <c r="AA295" s="795"/>
      <c r="AB295" s="329" t="str">
        <f>basis!$B$19</f>
        <v/>
      </c>
      <c r="AC295" s="795"/>
      <c r="AD295" s="795"/>
      <c r="AE295" s="795"/>
      <c r="AF295" s="795"/>
      <c r="AG295" s="892"/>
      <c r="AH295" s="225" t="str">
        <f t="shared" si="18"/>
        <v/>
      </c>
      <c r="AI295" s="795"/>
      <c r="AJ295" s="796"/>
      <c r="AK295" s="796"/>
      <c r="AL295" s="795"/>
      <c r="AM295" s="796"/>
      <c r="AN295" s="795"/>
      <c r="AO295" s="795"/>
      <c r="AP295" s="795"/>
      <c r="AQ295" s="218"/>
      <c r="AR295" s="47"/>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row>
    <row r="296" spans="1:138" s="24" customFormat="1" x14ac:dyDescent="0.2">
      <c r="A296" s="219">
        <f t="shared" si="19"/>
        <v>44847</v>
      </c>
      <c r="B296" s="220">
        <f t="shared" si="16"/>
        <v>10</v>
      </c>
      <c r="C296" s="221">
        <f t="shared" si="17"/>
        <v>5</v>
      </c>
      <c r="D296" s="795"/>
      <c r="E296" s="795"/>
      <c r="F296" s="796"/>
      <c r="G296" s="796"/>
      <c r="H296" s="796"/>
      <c r="I296" s="795"/>
      <c r="J296" s="795"/>
      <c r="K296" s="796"/>
      <c r="L296" s="796"/>
      <c r="M296" s="796"/>
      <c r="N296" s="795"/>
      <c r="O296" s="795"/>
      <c r="P296" s="795"/>
      <c r="Q296" s="795"/>
      <c r="R296" s="795"/>
      <c r="S296" s="795"/>
      <c r="T296" s="795"/>
      <c r="U296" s="795"/>
      <c r="V296" s="795"/>
      <c r="W296" s="795"/>
      <c r="X296" s="795"/>
      <c r="Y296" s="795"/>
      <c r="Z296" s="796"/>
      <c r="AA296" s="795"/>
      <c r="AB296" s="329" t="str">
        <f>basis!$B$19</f>
        <v/>
      </c>
      <c r="AC296" s="795"/>
      <c r="AD296" s="795"/>
      <c r="AE296" s="795"/>
      <c r="AF296" s="795"/>
      <c r="AG296" s="892"/>
      <c r="AH296" s="225" t="str">
        <f t="shared" si="18"/>
        <v/>
      </c>
      <c r="AI296" s="795"/>
      <c r="AJ296" s="796"/>
      <c r="AK296" s="796"/>
      <c r="AL296" s="795"/>
      <c r="AM296" s="796"/>
      <c r="AN296" s="795"/>
      <c r="AO296" s="795"/>
      <c r="AP296" s="795"/>
      <c r="AQ296" s="218"/>
      <c r="AR296" s="47"/>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row>
    <row r="297" spans="1:138" s="24" customFormat="1" x14ac:dyDescent="0.2">
      <c r="A297" s="219">
        <f t="shared" si="19"/>
        <v>44848</v>
      </c>
      <c r="B297" s="220">
        <f t="shared" si="16"/>
        <v>10</v>
      </c>
      <c r="C297" s="221">
        <f t="shared" si="17"/>
        <v>6</v>
      </c>
      <c r="D297" s="795"/>
      <c r="E297" s="795"/>
      <c r="F297" s="796"/>
      <c r="G297" s="796"/>
      <c r="H297" s="796"/>
      <c r="I297" s="795"/>
      <c r="J297" s="795"/>
      <c r="K297" s="796"/>
      <c r="L297" s="796"/>
      <c r="M297" s="796"/>
      <c r="N297" s="795"/>
      <c r="O297" s="795"/>
      <c r="P297" s="795"/>
      <c r="Q297" s="795"/>
      <c r="R297" s="795"/>
      <c r="S297" s="795"/>
      <c r="T297" s="795"/>
      <c r="U297" s="795"/>
      <c r="V297" s="795"/>
      <c r="W297" s="795"/>
      <c r="X297" s="795"/>
      <c r="Y297" s="795"/>
      <c r="Z297" s="796"/>
      <c r="AA297" s="795"/>
      <c r="AB297" s="329" t="str">
        <f>basis!$B$19</f>
        <v/>
      </c>
      <c r="AC297" s="795"/>
      <c r="AD297" s="795"/>
      <c r="AE297" s="795"/>
      <c r="AF297" s="795"/>
      <c r="AG297" s="892"/>
      <c r="AH297" s="225" t="str">
        <f t="shared" si="18"/>
        <v/>
      </c>
      <c r="AI297" s="795"/>
      <c r="AJ297" s="796"/>
      <c r="AK297" s="796"/>
      <c r="AL297" s="795"/>
      <c r="AM297" s="796"/>
      <c r="AN297" s="795"/>
      <c r="AO297" s="795"/>
      <c r="AP297" s="795"/>
      <c r="AQ297" s="218"/>
      <c r="AR297" s="47"/>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row>
    <row r="298" spans="1:138" s="24" customFormat="1" x14ac:dyDescent="0.2">
      <c r="A298" s="219">
        <f t="shared" si="19"/>
        <v>44849</v>
      </c>
      <c r="B298" s="220">
        <f t="shared" si="16"/>
        <v>10</v>
      </c>
      <c r="C298" s="221">
        <f t="shared" si="17"/>
        <v>7</v>
      </c>
      <c r="D298" s="795"/>
      <c r="E298" s="795"/>
      <c r="F298" s="796"/>
      <c r="G298" s="796"/>
      <c r="H298" s="796"/>
      <c r="I298" s="795"/>
      <c r="J298" s="795"/>
      <c r="K298" s="796"/>
      <c r="L298" s="796"/>
      <c r="M298" s="796"/>
      <c r="N298" s="795"/>
      <c r="O298" s="795"/>
      <c r="P298" s="795"/>
      <c r="Q298" s="795"/>
      <c r="R298" s="795"/>
      <c r="S298" s="795"/>
      <c r="T298" s="795"/>
      <c r="U298" s="795"/>
      <c r="V298" s="795"/>
      <c r="W298" s="795"/>
      <c r="X298" s="795"/>
      <c r="Y298" s="795"/>
      <c r="Z298" s="796"/>
      <c r="AA298" s="795"/>
      <c r="AB298" s="329" t="str">
        <f>basis!$B$19</f>
        <v/>
      </c>
      <c r="AC298" s="795"/>
      <c r="AD298" s="795"/>
      <c r="AE298" s="795"/>
      <c r="AF298" s="795"/>
      <c r="AG298" s="892"/>
      <c r="AH298" s="225" t="str">
        <f t="shared" si="18"/>
        <v/>
      </c>
      <c r="AI298" s="795"/>
      <c r="AJ298" s="796"/>
      <c r="AK298" s="796"/>
      <c r="AL298" s="795"/>
      <c r="AM298" s="796"/>
      <c r="AN298" s="795"/>
      <c r="AO298" s="795"/>
      <c r="AP298" s="795"/>
      <c r="AQ298" s="218"/>
      <c r="AR298" s="47"/>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row>
    <row r="299" spans="1:138" s="24" customFormat="1" x14ac:dyDescent="0.2">
      <c r="A299" s="219">
        <f t="shared" si="19"/>
        <v>44850</v>
      </c>
      <c r="B299" s="220">
        <f t="shared" si="16"/>
        <v>10</v>
      </c>
      <c r="C299" s="221">
        <f t="shared" si="17"/>
        <v>1</v>
      </c>
      <c r="D299" s="795"/>
      <c r="E299" s="795"/>
      <c r="F299" s="796"/>
      <c r="G299" s="796"/>
      <c r="H299" s="796"/>
      <c r="I299" s="795"/>
      <c r="J299" s="795"/>
      <c r="K299" s="796"/>
      <c r="L299" s="796"/>
      <c r="M299" s="796"/>
      <c r="N299" s="795"/>
      <c r="O299" s="795"/>
      <c r="P299" s="795"/>
      <c r="Q299" s="795"/>
      <c r="R299" s="795"/>
      <c r="S299" s="795"/>
      <c r="T299" s="795"/>
      <c r="U299" s="795"/>
      <c r="V299" s="795"/>
      <c r="W299" s="795"/>
      <c r="X299" s="795"/>
      <c r="Y299" s="795"/>
      <c r="Z299" s="796"/>
      <c r="AA299" s="795"/>
      <c r="AB299" s="329" t="str">
        <f>basis!$B$19</f>
        <v/>
      </c>
      <c r="AC299" s="795"/>
      <c r="AD299" s="795"/>
      <c r="AE299" s="795"/>
      <c r="AF299" s="795"/>
      <c r="AG299" s="892"/>
      <c r="AH299" s="225" t="str">
        <f t="shared" si="18"/>
        <v/>
      </c>
      <c r="AI299" s="795"/>
      <c r="AJ299" s="796"/>
      <c r="AK299" s="796"/>
      <c r="AL299" s="795"/>
      <c r="AM299" s="796"/>
      <c r="AN299" s="795"/>
      <c r="AO299" s="795"/>
      <c r="AP299" s="795"/>
      <c r="AQ299" s="218"/>
      <c r="AR299" s="47"/>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row>
    <row r="300" spans="1:138" s="24" customFormat="1" x14ac:dyDescent="0.2">
      <c r="A300" s="219">
        <f t="shared" si="19"/>
        <v>44851</v>
      </c>
      <c r="B300" s="220">
        <f t="shared" si="16"/>
        <v>10</v>
      </c>
      <c r="C300" s="221">
        <f t="shared" si="17"/>
        <v>2</v>
      </c>
      <c r="D300" s="795"/>
      <c r="E300" s="795"/>
      <c r="F300" s="796"/>
      <c r="G300" s="796"/>
      <c r="H300" s="796"/>
      <c r="I300" s="795"/>
      <c r="J300" s="795"/>
      <c r="K300" s="796"/>
      <c r="L300" s="796"/>
      <c r="M300" s="796"/>
      <c r="N300" s="795"/>
      <c r="O300" s="795"/>
      <c r="P300" s="795"/>
      <c r="Q300" s="795"/>
      <c r="R300" s="795"/>
      <c r="S300" s="795"/>
      <c r="T300" s="795"/>
      <c r="U300" s="795"/>
      <c r="V300" s="795"/>
      <c r="W300" s="795"/>
      <c r="X300" s="795"/>
      <c r="Y300" s="795"/>
      <c r="Z300" s="796"/>
      <c r="AA300" s="795"/>
      <c r="AB300" s="329" t="str">
        <f>basis!$B$19</f>
        <v/>
      </c>
      <c r="AC300" s="795"/>
      <c r="AD300" s="795"/>
      <c r="AE300" s="795"/>
      <c r="AF300" s="795"/>
      <c r="AG300" s="892"/>
      <c r="AH300" s="225" t="str">
        <f t="shared" si="18"/>
        <v/>
      </c>
      <c r="AI300" s="795"/>
      <c r="AJ300" s="796"/>
      <c r="AK300" s="796"/>
      <c r="AL300" s="795"/>
      <c r="AM300" s="796"/>
      <c r="AN300" s="795"/>
      <c r="AO300" s="795"/>
      <c r="AP300" s="795"/>
      <c r="AQ300" s="218"/>
      <c r="AR300" s="47"/>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row>
    <row r="301" spans="1:138" s="24" customFormat="1" x14ac:dyDescent="0.2">
      <c r="A301" s="219">
        <f t="shared" si="19"/>
        <v>44852</v>
      </c>
      <c r="B301" s="220">
        <f t="shared" si="16"/>
        <v>10</v>
      </c>
      <c r="C301" s="221">
        <f t="shared" si="17"/>
        <v>3</v>
      </c>
      <c r="D301" s="795"/>
      <c r="E301" s="795"/>
      <c r="F301" s="796"/>
      <c r="G301" s="796"/>
      <c r="H301" s="796"/>
      <c r="I301" s="795"/>
      <c r="J301" s="795"/>
      <c r="K301" s="796"/>
      <c r="L301" s="796"/>
      <c r="M301" s="796"/>
      <c r="N301" s="795"/>
      <c r="O301" s="795"/>
      <c r="P301" s="795"/>
      <c r="Q301" s="795"/>
      <c r="R301" s="795"/>
      <c r="S301" s="795"/>
      <c r="T301" s="795"/>
      <c r="U301" s="795"/>
      <c r="V301" s="795"/>
      <c r="W301" s="795"/>
      <c r="X301" s="795"/>
      <c r="Y301" s="795"/>
      <c r="Z301" s="796"/>
      <c r="AA301" s="795"/>
      <c r="AB301" s="329" t="str">
        <f>basis!$B$19</f>
        <v/>
      </c>
      <c r="AC301" s="795"/>
      <c r="AD301" s="795"/>
      <c r="AE301" s="795"/>
      <c r="AF301" s="795"/>
      <c r="AG301" s="892"/>
      <c r="AH301" s="225" t="str">
        <f t="shared" si="18"/>
        <v/>
      </c>
      <c r="AI301" s="795"/>
      <c r="AJ301" s="796"/>
      <c r="AK301" s="796"/>
      <c r="AL301" s="795"/>
      <c r="AM301" s="796"/>
      <c r="AN301" s="795"/>
      <c r="AO301" s="795"/>
      <c r="AP301" s="795"/>
      <c r="AQ301" s="218"/>
      <c r="AR301" s="47"/>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row>
    <row r="302" spans="1:138" s="24" customFormat="1" x14ac:dyDescent="0.2">
      <c r="A302" s="219">
        <f t="shared" si="19"/>
        <v>44853</v>
      </c>
      <c r="B302" s="220">
        <f t="shared" si="16"/>
        <v>10</v>
      </c>
      <c r="C302" s="221">
        <f t="shared" si="17"/>
        <v>4</v>
      </c>
      <c r="D302" s="795"/>
      <c r="E302" s="795"/>
      <c r="F302" s="796"/>
      <c r="G302" s="796"/>
      <c r="H302" s="796"/>
      <c r="I302" s="795"/>
      <c r="J302" s="795"/>
      <c r="K302" s="796"/>
      <c r="L302" s="796"/>
      <c r="M302" s="796"/>
      <c r="N302" s="795"/>
      <c r="O302" s="795"/>
      <c r="P302" s="795"/>
      <c r="Q302" s="795"/>
      <c r="R302" s="795"/>
      <c r="S302" s="795"/>
      <c r="T302" s="795"/>
      <c r="U302" s="795"/>
      <c r="V302" s="795"/>
      <c r="W302" s="795"/>
      <c r="X302" s="795"/>
      <c r="Y302" s="795"/>
      <c r="Z302" s="796"/>
      <c r="AA302" s="795"/>
      <c r="AB302" s="329" t="str">
        <f>basis!$B$19</f>
        <v/>
      </c>
      <c r="AC302" s="795"/>
      <c r="AD302" s="795"/>
      <c r="AE302" s="795"/>
      <c r="AF302" s="795"/>
      <c r="AG302" s="892"/>
      <c r="AH302" s="225" t="str">
        <f t="shared" si="18"/>
        <v/>
      </c>
      <c r="AI302" s="795"/>
      <c r="AJ302" s="796"/>
      <c r="AK302" s="796"/>
      <c r="AL302" s="795"/>
      <c r="AM302" s="796"/>
      <c r="AN302" s="795"/>
      <c r="AO302" s="795"/>
      <c r="AP302" s="795"/>
      <c r="AQ302" s="218"/>
      <c r="AR302" s="47"/>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row>
    <row r="303" spans="1:138" s="24" customFormat="1" x14ac:dyDescent="0.2">
      <c r="A303" s="219">
        <f t="shared" si="19"/>
        <v>44854</v>
      </c>
      <c r="B303" s="220">
        <f t="shared" si="16"/>
        <v>10</v>
      </c>
      <c r="C303" s="221">
        <f t="shared" si="17"/>
        <v>5</v>
      </c>
      <c r="D303" s="795"/>
      <c r="E303" s="795"/>
      <c r="F303" s="796"/>
      <c r="G303" s="796"/>
      <c r="H303" s="796"/>
      <c r="I303" s="795"/>
      <c r="J303" s="795"/>
      <c r="K303" s="796"/>
      <c r="L303" s="796"/>
      <c r="M303" s="796"/>
      <c r="N303" s="795"/>
      <c r="O303" s="795"/>
      <c r="P303" s="795"/>
      <c r="Q303" s="795"/>
      <c r="R303" s="795"/>
      <c r="S303" s="795"/>
      <c r="T303" s="795"/>
      <c r="U303" s="795"/>
      <c r="V303" s="795"/>
      <c r="W303" s="795"/>
      <c r="X303" s="795"/>
      <c r="Y303" s="795"/>
      <c r="Z303" s="796"/>
      <c r="AA303" s="795"/>
      <c r="AB303" s="329" t="str">
        <f>basis!$B$19</f>
        <v/>
      </c>
      <c r="AC303" s="795"/>
      <c r="AD303" s="795"/>
      <c r="AE303" s="795"/>
      <c r="AF303" s="795"/>
      <c r="AG303" s="892"/>
      <c r="AH303" s="225" t="str">
        <f t="shared" si="18"/>
        <v/>
      </c>
      <c r="AI303" s="795"/>
      <c r="AJ303" s="796"/>
      <c r="AK303" s="796"/>
      <c r="AL303" s="795"/>
      <c r="AM303" s="796"/>
      <c r="AN303" s="795"/>
      <c r="AO303" s="795"/>
      <c r="AP303" s="795"/>
      <c r="AQ303" s="218"/>
      <c r="AR303" s="47"/>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row>
    <row r="304" spans="1:138" s="24" customFormat="1" x14ac:dyDescent="0.2">
      <c r="A304" s="219">
        <f t="shared" si="19"/>
        <v>44855</v>
      </c>
      <c r="B304" s="220">
        <f t="shared" si="16"/>
        <v>10</v>
      </c>
      <c r="C304" s="221">
        <f t="shared" si="17"/>
        <v>6</v>
      </c>
      <c r="D304" s="795"/>
      <c r="E304" s="795"/>
      <c r="F304" s="796"/>
      <c r="G304" s="796"/>
      <c r="H304" s="796"/>
      <c r="I304" s="795"/>
      <c r="J304" s="795"/>
      <c r="K304" s="796"/>
      <c r="L304" s="796"/>
      <c r="M304" s="796"/>
      <c r="N304" s="795"/>
      <c r="O304" s="795"/>
      <c r="P304" s="795"/>
      <c r="Q304" s="795"/>
      <c r="R304" s="795"/>
      <c r="S304" s="795"/>
      <c r="T304" s="795"/>
      <c r="U304" s="795"/>
      <c r="V304" s="795"/>
      <c r="W304" s="795"/>
      <c r="X304" s="795"/>
      <c r="Y304" s="795"/>
      <c r="Z304" s="796"/>
      <c r="AA304" s="795"/>
      <c r="AB304" s="329" t="str">
        <f>basis!$B$19</f>
        <v/>
      </c>
      <c r="AC304" s="795"/>
      <c r="AD304" s="795"/>
      <c r="AE304" s="795"/>
      <c r="AF304" s="795"/>
      <c r="AG304" s="892"/>
      <c r="AH304" s="225" t="str">
        <f t="shared" si="18"/>
        <v/>
      </c>
      <c r="AI304" s="795"/>
      <c r="AJ304" s="796"/>
      <c r="AK304" s="796"/>
      <c r="AL304" s="795"/>
      <c r="AM304" s="796"/>
      <c r="AN304" s="795"/>
      <c r="AO304" s="795"/>
      <c r="AP304" s="795"/>
      <c r="AQ304" s="218"/>
      <c r="AR304" s="47"/>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row>
    <row r="305" spans="1:138" s="24" customFormat="1" x14ac:dyDescent="0.2">
      <c r="A305" s="219">
        <f t="shared" si="19"/>
        <v>44856</v>
      </c>
      <c r="B305" s="220">
        <f t="shared" si="16"/>
        <v>10</v>
      </c>
      <c r="C305" s="221">
        <f t="shared" si="17"/>
        <v>7</v>
      </c>
      <c r="D305" s="795"/>
      <c r="E305" s="795"/>
      <c r="F305" s="796"/>
      <c r="G305" s="796"/>
      <c r="H305" s="796"/>
      <c r="I305" s="795"/>
      <c r="J305" s="795"/>
      <c r="K305" s="796"/>
      <c r="L305" s="796"/>
      <c r="M305" s="796"/>
      <c r="N305" s="795"/>
      <c r="O305" s="795"/>
      <c r="P305" s="795"/>
      <c r="Q305" s="795"/>
      <c r="R305" s="795"/>
      <c r="S305" s="795"/>
      <c r="T305" s="795"/>
      <c r="U305" s="795"/>
      <c r="V305" s="795"/>
      <c r="W305" s="795"/>
      <c r="X305" s="795"/>
      <c r="Y305" s="795"/>
      <c r="Z305" s="796"/>
      <c r="AA305" s="795"/>
      <c r="AB305" s="329" t="str">
        <f>basis!$B$19</f>
        <v/>
      </c>
      <c r="AC305" s="795"/>
      <c r="AD305" s="795"/>
      <c r="AE305" s="795"/>
      <c r="AF305" s="795"/>
      <c r="AG305" s="892"/>
      <c r="AH305" s="225" t="str">
        <f t="shared" si="18"/>
        <v/>
      </c>
      <c r="AI305" s="795"/>
      <c r="AJ305" s="796"/>
      <c r="AK305" s="796"/>
      <c r="AL305" s="795"/>
      <c r="AM305" s="796"/>
      <c r="AN305" s="795"/>
      <c r="AO305" s="795"/>
      <c r="AP305" s="795"/>
      <c r="AQ305" s="218"/>
      <c r="AR305" s="47"/>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row>
    <row r="306" spans="1:138" s="24" customFormat="1" x14ac:dyDescent="0.2">
      <c r="A306" s="219">
        <f t="shared" si="19"/>
        <v>44857</v>
      </c>
      <c r="B306" s="220">
        <f t="shared" si="16"/>
        <v>10</v>
      </c>
      <c r="C306" s="221">
        <f t="shared" si="17"/>
        <v>1</v>
      </c>
      <c r="D306" s="795"/>
      <c r="E306" s="795"/>
      <c r="F306" s="796"/>
      <c r="G306" s="796"/>
      <c r="H306" s="796"/>
      <c r="I306" s="795"/>
      <c r="J306" s="795"/>
      <c r="K306" s="796"/>
      <c r="L306" s="796"/>
      <c r="M306" s="796"/>
      <c r="N306" s="795"/>
      <c r="O306" s="795"/>
      <c r="P306" s="795"/>
      <c r="Q306" s="795"/>
      <c r="R306" s="795"/>
      <c r="S306" s="795"/>
      <c r="T306" s="795"/>
      <c r="U306" s="795"/>
      <c r="V306" s="795"/>
      <c r="W306" s="795"/>
      <c r="X306" s="795"/>
      <c r="Y306" s="795"/>
      <c r="Z306" s="796"/>
      <c r="AA306" s="795"/>
      <c r="AB306" s="329" t="str">
        <f>basis!$B$19</f>
        <v/>
      </c>
      <c r="AC306" s="795"/>
      <c r="AD306" s="795"/>
      <c r="AE306" s="795"/>
      <c r="AF306" s="795"/>
      <c r="AG306" s="892"/>
      <c r="AH306" s="225" t="str">
        <f t="shared" si="18"/>
        <v/>
      </c>
      <c r="AI306" s="795"/>
      <c r="AJ306" s="796"/>
      <c r="AK306" s="796"/>
      <c r="AL306" s="795"/>
      <c r="AM306" s="796"/>
      <c r="AN306" s="795"/>
      <c r="AO306" s="795"/>
      <c r="AP306" s="795"/>
      <c r="AQ306" s="218"/>
      <c r="AR306" s="47"/>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row>
    <row r="307" spans="1:138" s="24" customFormat="1" x14ac:dyDescent="0.2">
      <c r="A307" s="219">
        <f t="shared" si="19"/>
        <v>44858</v>
      </c>
      <c r="B307" s="220">
        <f t="shared" si="16"/>
        <v>10</v>
      </c>
      <c r="C307" s="221">
        <f t="shared" si="17"/>
        <v>2</v>
      </c>
      <c r="D307" s="795"/>
      <c r="E307" s="795"/>
      <c r="F307" s="796"/>
      <c r="G307" s="796"/>
      <c r="H307" s="796"/>
      <c r="I307" s="795"/>
      <c r="J307" s="795"/>
      <c r="K307" s="796"/>
      <c r="L307" s="796"/>
      <c r="M307" s="796"/>
      <c r="N307" s="795"/>
      <c r="O307" s="795"/>
      <c r="P307" s="795"/>
      <c r="Q307" s="795"/>
      <c r="R307" s="795"/>
      <c r="S307" s="795"/>
      <c r="T307" s="795"/>
      <c r="U307" s="795"/>
      <c r="V307" s="795"/>
      <c r="W307" s="795"/>
      <c r="X307" s="795"/>
      <c r="Y307" s="795"/>
      <c r="Z307" s="796"/>
      <c r="AA307" s="795"/>
      <c r="AB307" s="329" t="str">
        <f>basis!$B$19</f>
        <v/>
      </c>
      <c r="AC307" s="795"/>
      <c r="AD307" s="795"/>
      <c r="AE307" s="795"/>
      <c r="AF307" s="795"/>
      <c r="AG307" s="892"/>
      <c r="AH307" s="225" t="str">
        <f t="shared" si="18"/>
        <v/>
      </c>
      <c r="AI307" s="795"/>
      <c r="AJ307" s="796"/>
      <c r="AK307" s="796"/>
      <c r="AL307" s="795"/>
      <c r="AM307" s="796"/>
      <c r="AN307" s="795"/>
      <c r="AO307" s="795"/>
      <c r="AP307" s="795"/>
      <c r="AQ307" s="218"/>
      <c r="AR307" s="47"/>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row>
    <row r="308" spans="1:138" s="24" customFormat="1" x14ac:dyDescent="0.2">
      <c r="A308" s="219">
        <f t="shared" si="19"/>
        <v>44859</v>
      </c>
      <c r="B308" s="220">
        <f t="shared" si="16"/>
        <v>10</v>
      </c>
      <c r="C308" s="221">
        <f t="shared" si="17"/>
        <v>3</v>
      </c>
      <c r="D308" s="795"/>
      <c r="E308" s="795"/>
      <c r="F308" s="796"/>
      <c r="G308" s="796"/>
      <c r="H308" s="796"/>
      <c r="I308" s="795"/>
      <c r="J308" s="795"/>
      <c r="K308" s="796"/>
      <c r="L308" s="796"/>
      <c r="M308" s="796"/>
      <c r="N308" s="795"/>
      <c r="O308" s="795"/>
      <c r="P308" s="795"/>
      <c r="Q308" s="795"/>
      <c r="R308" s="795"/>
      <c r="S308" s="795"/>
      <c r="T308" s="795"/>
      <c r="U308" s="795"/>
      <c r="V308" s="795"/>
      <c r="W308" s="795"/>
      <c r="X308" s="795"/>
      <c r="Y308" s="795"/>
      <c r="Z308" s="796"/>
      <c r="AA308" s="795"/>
      <c r="AB308" s="329" t="str">
        <f>basis!$B$19</f>
        <v/>
      </c>
      <c r="AC308" s="795"/>
      <c r="AD308" s="795"/>
      <c r="AE308" s="795"/>
      <c r="AF308" s="795"/>
      <c r="AG308" s="892"/>
      <c r="AH308" s="225" t="str">
        <f t="shared" si="18"/>
        <v/>
      </c>
      <c r="AI308" s="795"/>
      <c r="AJ308" s="796"/>
      <c r="AK308" s="796"/>
      <c r="AL308" s="795"/>
      <c r="AM308" s="796"/>
      <c r="AN308" s="795"/>
      <c r="AO308" s="795"/>
      <c r="AP308" s="795"/>
      <c r="AQ308" s="218"/>
      <c r="AR308" s="47"/>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row>
    <row r="309" spans="1:138" s="24" customFormat="1" x14ac:dyDescent="0.2">
      <c r="A309" s="219">
        <f t="shared" si="19"/>
        <v>44860</v>
      </c>
      <c r="B309" s="220">
        <f t="shared" si="16"/>
        <v>10</v>
      </c>
      <c r="C309" s="221">
        <f t="shared" si="17"/>
        <v>4</v>
      </c>
      <c r="D309" s="795"/>
      <c r="E309" s="795"/>
      <c r="F309" s="796"/>
      <c r="G309" s="796"/>
      <c r="H309" s="796"/>
      <c r="I309" s="795"/>
      <c r="J309" s="795"/>
      <c r="K309" s="796"/>
      <c r="L309" s="796"/>
      <c r="M309" s="796"/>
      <c r="N309" s="795"/>
      <c r="O309" s="795"/>
      <c r="P309" s="795"/>
      <c r="Q309" s="795"/>
      <c r="R309" s="795"/>
      <c r="S309" s="795"/>
      <c r="T309" s="795"/>
      <c r="U309" s="795"/>
      <c r="V309" s="795"/>
      <c r="W309" s="795"/>
      <c r="X309" s="795"/>
      <c r="Y309" s="795"/>
      <c r="Z309" s="796"/>
      <c r="AA309" s="795"/>
      <c r="AB309" s="329" t="str">
        <f>basis!$B$19</f>
        <v/>
      </c>
      <c r="AC309" s="795"/>
      <c r="AD309" s="795"/>
      <c r="AE309" s="795"/>
      <c r="AF309" s="795"/>
      <c r="AG309" s="892"/>
      <c r="AH309" s="225" t="str">
        <f t="shared" si="18"/>
        <v/>
      </c>
      <c r="AI309" s="795"/>
      <c r="AJ309" s="796"/>
      <c r="AK309" s="796"/>
      <c r="AL309" s="795"/>
      <c r="AM309" s="796"/>
      <c r="AN309" s="795"/>
      <c r="AO309" s="795"/>
      <c r="AP309" s="795"/>
      <c r="AQ309" s="218"/>
      <c r="AR309" s="47"/>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row>
    <row r="310" spans="1:138" s="24" customFormat="1" x14ac:dyDescent="0.2">
      <c r="A310" s="219">
        <f t="shared" si="19"/>
        <v>44861</v>
      </c>
      <c r="B310" s="220">
        <f t="shared" si="16"/>
        <v>10</v>
      </c>
      <c r="C310" s="221">
        <f t="shared" si="17"/>
        <v>5</v>
      </c>
      <c r="D310" s="795"/>
      <c r="E310" s="795"/>
      <c r="F310" s="796"/>
      <c r="G310" s="796"/>
      <c r="H310" s="796"/>
      <c r="I310" s="795"/>
      <c r="J310" s="795"/>
      <c r="K310" s="796"/>
      <c r="L310" s="796"/>
      <c r="M310" s="796"/>
      <c r="N310" s="795"/>
      <c r="O310" s="795"/>
      <c r="P310" s="795"/>
      <c r="Q310" s="795"/>
      <c r="R310" s="795"/>
      <c r="S310" s="795"/>
      <c r="T310" s="795"/>
      <c r="U310" s="795"/>
      <c r="V310" s="795"/>
      <c r="W310" s="795"/>
      <c r="X310" s="795"/>
      <c r="Y310" s="795"/>
      <c r="Z310" s="796"/>
      <c r="AA310" s="795"/>
      <c r="AB310" s="329" t="str">
        <f>basis!$B$19</f>
        <v/>
      </c>
      <c r="AC310" s="795"/>
      <c r="AD310" s="795"/>
      <c r="AE310" s="795"/>
      <c r="AF310" s="795"/>
      <c r="AG310" s="892"/>
      <c r="AH310" s="225" t="str">
        <f t="shared" si="18"/>
        <v/>
      </c>
      <c r="AI310" s="795"/>
      <c r="AJ310" s="796"/>
      <c r="AK310" s="796"/>
      <c r="AL310" s="795"/>
      <c r="AM310" s="796"/>
      <c r="AN310" s="795"/>
      <c r="AO310" s="795"/>
      <c r="AP310" s="795"/>
      <c r="AQ310" s="218"/>
      <c r="AR310" s="47"/>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row>
    <row r="311" spans="1:138" s="24" customFormat="1" x14ac:dyDescent="0.2">
      <c r="A311" s="219">
        <f t="shared" si="19"/>
        <v>44862</v>
      </c>
      <c r="B311" s="220">
        <f t="shared" si="16"/>
        <v>10</v>
      </c>
      <c r="C311" s="221">
        <f t="shared" si="17"/>
        <v>6</v>
      </c>
      <c r="D311" s="795"/>
      <c r="E311" s="795"/>
      <c r="F311" s="796"/>
      <c r="G311" s="796"/>
      <c r="H311" s="796"/>
      <c r="I311" s="795"/>
      <c r="J311" s="795"/>
      <c r="K311" s="796"/>
      <c r="L311" s="796"/>
      <c r="M311" s="796"/>
      <c r="N311" s="795"/>
      <c r="O311" s="795"/>
      <c r="P311" s="795"/>
      <c r="Q311" s="795"/>
      <c r="R311" s="795"/>
      <c r="S311" s="795"/>
      <c r="T311" s="795"/>
      <c r="U311" s="795"/>
      <c r="V311" s="795"/>
      <c r="W311" s="795"/>
      <c r="X311" s="795"/>
      <c r="Y311" s="795"/>
      <c r="Z311" s="796"/>
      <c r="AA311" s="795"/>
      <c r="AB311" s="329" t="str">
        <f>basis!$B$19</f>
        <v/>
      </c>
      <c r="AC311" s="795"/>
      <c r="AD311" s="795"/>
      <c r="AE311" s="795"/>
      <c r="AF311" s="795"/>
      <c r="AG311" s="892"/>
      <c r="AH311" s="225" t="str">
        <f t="shared" si="18"/>
        <v/>
      </c>
      <c r="AI311" s="795"/>
      <c r="AJ311" s="796"/>
      <c r="AK311" s="796"/>
      <c r="AL311" s="795"/>
      <c r="AM311" s="796"/>
      <c r="AN311" s="795"/>
      <c r="AO311" s="795"/>
      <c r="AP311" s="795"/>
      <c r="AQ311" s="218"/>
      <c r="AR311" s="47"/>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row>
    <row r="312" spans="1:138" s="24" customFormat="1" x14ac:dyDescent="0.2">
      <c r="A312" s="219">
        <f t="shared" si="19"/>
        <v>44863</v>
      </c>
      <c r="B312" s="220">
        <f t="shared" si="16"/>
        <v>10</v>
      </c>
      <c r="C312" s="221">
        <f t="shared" si="17"/>
        <v>7</v>
      </c>
      <c r="D312" s="795"/>
      <c r="E312" s="795"/>
      <c r="F312" s="796"/>
      <c r="G312" s="796"/>
      <c r="H312" s="796"/>
      <c r="I312" s="795"/>
      <c r="J312" s="795"/>
      <c r="K312" s="796"/>
      <c r="L312" s="796"/>
      <c r="M312" s="796"/>
      <c r="N312" s="795"/>
      <c r="O312" s="795"/>
      <c r="P312" s="795"/>
      <c r="Q312" s="795"/>
      <c r="R312" s="795"/>
      <c r="S312" s="795"/>
      <c r="T312" s="795"/>
      <c r="U312" s="795"/>
      <c r="V312" s="795"/>
      <c r="W312" s="795"/>
      <c r="X312" s="795"/>
      <c r="Y312" s="795"/>
      <c r="Z312" s="796"/>
      <c r="AA312" s="795"/>
      <c r="AB312" s="329" t="str">
        <f>basis!$B$19</f>
        <v/>
      </c>
      <c r="AC312" s="795"/>
      <c r="AD312" s="795"/>
      <c r="AE312" s="795"/>
      <c r="AF312" s="795"/>
      <c r="AG312" s="892"/>
      <c r="AH312" s="225" t="str">
        <f t="shared" si="18"/>
        <v/>
      </c>
      <c r="AI312" s="795"/>
      <c r="AJ312" s="796"/>
      <c r="AK312" s="796"/>
      <c r="AL312" s="795"/>
      <c r="AM312" s="796"/>
      <c r="AN312" s="795"/>
      <c r="AO312" s="795"/>
      <c r="AP312" s="795"/>
      <c r="AQ312" s="218"/>
      <c r="AR312" s="47"/>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row>
    <row r="313" spans="1:138" s="24" customFormat="1" x14ac:dyDescent="0.2">
      <c r="A313" s="219">
        <f t="shared" si="19"/>
        <v>44864</v>
      </c>
      <c r="B313" s="220">
        <f t="shared" si="16"/>
        <v>10</v>
      </c>
      <c r="C313" s="221">
        <f t="shared" si="17"/>
        <v>1</v>
      </c>
      <c r="D313" s="795"/>
      <c r="E313" s="795"/>
      <c r="F313" s="796"/>
      <c r="G313" s="796"/>
      <c r="H313" s="796"/>
      <c r="I313" s="795"/>
      <c r="J313" s="795"/>
      <c r="K313" s="796"/>
      <c r="L313" s="796"/>
      <c r="M313" s="796"/>
      <c r="N313" s="795"/>
      <c r="O313" s="795"/>
      <c r="P313" s="795"/>
      <c r="Q313" s="795"/>
      <c r="R313" s="795"/>
      <c r="S313" s="795"/>
      <c r="T313" s="795"/>
      <c r="U313" s="795"/>
      <c r="V313" s="795"/>
      <c r="W313" s="795"/>
      <c r="X313" s="795"/>
      <c r="Y313" s="795"/>
      <c r="Z313" s="796"/>
      <c r="AA313" s="795"/>
      <c r="AB313" s="329" t="str">
        <f>basis!$B$19</f>
        <v/>
      </c>
      <c r="AC313" s="795"/>
      <c r="AD313" s="795"/>
      <c r="AE313" s="795"/>
      <c r="AF313" s="795"/>
      <c r="AG313" s="892"/>
      <c r="AH313" s="225" t="str">
        <f t="shared" si="18"/>
        <v/>
      </c>
      <c r="AI313" s="795"/>
      <c r="AJ313" s="796"/>
      <c r="AK313" s="796"/>
      <c r="AL313" s="795"/>
      <c r="AM313" s="796"/>
      <c r="AN313" s="795"/>
      <c r="AO313" s="795"/>
      <c r="AP313" s="795"/>
      <c r="AQ313" s="218"/>
      <c r="AR313" s="47"/>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row>
    <row r="314" spans="1:138" s="24" customFormat="1" x14ac:dyDescent="0.2">
      <c r="A314" s="219">
        <f t="shared" si="19"/>
        <v>44865</v>
      </c>
      <c r="B314" s="220">
        <f t="shared" si="16"/>
        <v>10</v>
      </c>
      <c r="C314" s="221">
        <f t="shared" si="17"/>
        <v>2</v>
      </c>
      <c r="D314" s="795"/>
      <c r="E314" s="795"/>
      <c r="F314" s="796"/>
      <c r="G314" s="796"/>
      <c r="H314" s="796"/>
      <c r="I314" s="795"/>
      <c r="J314" s="795"/>
      <c r="K314" s="796"/>
      <c r="L314" s="796"/>
      <c r="M314" s="796"/>
      <c r="N314" s="795"/>
      <c r="O314" s="795"/>
      <c r="P314" s="795"/>
      <c r="Q314" s="795"/>
      <c r="R314" s="795"/>
      <c r="S314" s="795"/>
      <c r="T314" s="795"/>
      <c r="U314" s="795"/>
      <c r="V314" s="795"/>
      <c r="W314" s="795"/>
      <c r="X314" s="795"/>
      <c r="Y314" s="795"/>
      <c r="Z314" s="796"/>
      <c r="AA314" s="795"/>
      <c r="AB314" s="329" t="str">
        <f>basis!$B$19</f>
        <v/>
      </c>
      <c r="AC314" s="795"/>
      <c r="AD314" s="795"/>
      <c r="AE314" s="795"/>
      <c r="AF314" s="795"/>
      <c r="AG314" s="892"/>
      <c r="AH314" s="225" t="str">
        <f t="shared" si="18"/>
        <v/>
      </c>
      <c r="AI314" s="795"/>
      <c r="AJ314" s="796"/>
      <c r="AK314" s="796"/>
      <c r="AL314" s="795"/>
      <c r="AM314" s="796"/>
      <c r="AN314" s="795"/>
      <c r="AO314" s="795"/>
      <c r="AP314" s="795"/>
      <c r="AQ314" s="218"/>
      <c r="AR314" s="47"/>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row>
    <row r="315" spans="1:138" s="24" customFormat="1" x14ac:dyDescent="0.2">
      <c r="A315" s="219">
        <f t="shared" si="19"/>
        <v>44866</v>
      </c>
      <c r="B315" s="220">
        <f t="shared" si="16"/>
        <v>11</v>
      </c>
      <c r="C315" s="221">
        <f t="shared" si="17"/>
        <v>3</v>
      </c>
      <c r="D315" s="795"/>
      <c r="E315" s="795"/>
      <c r="F315" s="796"/>
      <c r="G315" s="796"/>
      <c r="H315" s="796"/>
      <c r="I315" s="795"/>
      <c r="J315" s="795"/>
      <c r="K315" s="796"/>
      <c r="L315" s="796"/>
      <c r="M315" s="796"/>
      <c r="N315" s="795"/>
      <c r="O315" s="795"/>
      <c r="P315" s="795"/>
      <c r="Q315" s="795"/>
      <c r="R315" s="795"/>
      <c r="S315" s="795"/>
      <c r="T315" s="795"/>
      <c r="U315" s="795"/>
      <c r="V315" s="795"/>
      <c r="W315" s="795"/>
      <c r="X315" s="795"/>
      <c r="Y315" s="795"/>
      <c r="Z315" s="796"/>
      <c r="AA315" s="795"/>
      <c r="AB315" s="329" t="str">
        <f>basis!$B$19</f>
        <v/>
      </c>
      <c r="AC315" s="795"/>
      <c r="AD315" s="795"/>
      <c r="AE315" s="795"/>
      <c r="AF315" s="795"/>
      <c r="AG315" s="892"/>
      <c r="AH315" s="225" t="str">
        <f t="shared" si="18"/>
        <v/>
      </c>
      <c r="AI315" s="795"/>
      <c r="AJ315" s="796"/>
      <c r="AK315" s="796"/>
      <c r="AL315" s="795"/>
      <c r="AM315" s="796"/>
      <c r="AN315" s="795"/>
      <c r="AO315" s="795"/>
      <c r="AP315" s="795"/>
      <c r="AQ315" s="218"/>
      <c r="AR315" s="47"/>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row>
    <row r="316" spans="1:138" s="24" customFormat="1" x14ac:dyDescent="0.2">
      <c r="A316" s="219">
        <f t="shared" si="19"/>
        <v>44867</v>
      </c>
      <c r="B316" s="220">
        <f t="shared" si="16"/>
        <v>11</v>
      </c>
      <c r="C316" s="221">
        <f t="shared" si="17"/>
        <v>4</v>
      </c>
      <c r="D316" s="795"/>
      <c r="E316" s="795"/>
      <c r="F316" s="796"/>
      <c r="G316" s="796"/>
      <c r="H316" s="796"/>
      <c r="I316" s="795"/>
      <c r="J316" s="795"/>
      <c r="K316" s="796"/>
      <c r="L316" s="796"/>
      <c r="M316" s="796"/>
      <c r="N316" s="795"/>
      <c r="O316" s="795"/>
      <c r="P316" s="795"/>
      <c r="Q316" s="795"/>
      <c r="R316" s="795"/>
      <c r="S316" s="795"/>
      <c r="T316" s="795"/>
      <c r="U316" s="795"/>
      <c r="V316" s="795"/>
      <c r="W316" s="795"/>
      <c r="X316" s="795"/>
      <c r="Y316" s="795"/>
      <c r="Z316" s="796"/>
      <c r="AA316" s="795"/>
      <c r="AB316" s="329" t="str">
        <f>basis!$B$19</f>
        <v/>
      </c>
      <c r="AC316" s="795"/>
      <c r="AD316" s="795"/>
      <c r="AE316" s="795"/>
      <c r="AF316" s="795"/>
      <c r="AG316" s="892"/>
      <c r="AH316" s="225" t="str">
        <f t="shared" si="18"/>
        <v/>
      </c>
      <c r="AI316" s="795"/>
      <c r="AJ316" s="796"/>
      <c r="AK316" s="796"/>
      <c r="AL316" s="795"/>
      <c r="AM316" s="796"/>
      <c r="AN316" s="795"/>
      <c r="AO316" s="795"/>
      <c r="AP316" s="795"/>
      <c r="AQ316" s="218"/>
      <c r="AR316" s="47"/>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row>
    <row r="317" spans="1:138" s="24" customFormat="1" x14ac:dyDescent="0.2">
      <c r="A317" s="219">
        <f t="shared" si="19"/>
        <v>44868</v>
      </c>
      <c r="B317" s="220">
        <f t="shared" si="16"/>
        <v>11</v>
      </c>
      <c r="C317" s="221">
        <f t="shared" si="17"/>
        <v>5</v>
      </c>
      <c r="D317" s="795"/>
      <c r="E317" s="795"/>
      <c r="F317" s="796"/>
      <c r="G317" s="796"/>
      <c r="H317" s="796"/>
      <c r="I317" s="795"/>
      <c r="J317" s="795"/>
      <c r="K317" s="796"/>
      <c r="L317" s="796"/>
      <c r="M317" s="796"/>
      <c r="N317" s="795"/>
      <c r="O317" s="795"/>
      <c r="P317" s="795"/>
      <c r="Q317" s="795"/>
      <c r="R317" s="795"/>
      <c r="S317" s="795"/>
      <c r="T317" s="795"/>
      <c r="U317" s="795"/>
      <c r="V317" s="795"/>
      <c r="W317" s="795"/>
      <c r="X317" s="795"/>
      <c r="Y317" s="795"/>
      <c r="Z317" s="796"/>
      <c r="AA317" s="795"/>
      <c r="AB317" s="329" t="str">
        <f>basis!$B$19</f>
        <v/>
      </c>
      <c r="AC317" s="795"/>
      <c r="AD317" s="795"/>
      <c r="AE317" s="795"/>
      <c r="AF317" s="795"/>
      <c r="AG317" s="892"/>
      <c r="AH317" s="225" t="str">
        <f t="shared" si="18"/>
        <v/>
      </c>
      <c r="AI317" s="795"/>
      <c r="AJ317" s="796"/>
      <c r="AK317" s="796"/>
      <c r="AL317" s="795"/>
      <c r="AM317" s="796"/>
      <c r="AN317" s="795"/>
      <c r="AO317" s="795"/>
      <c r="AP317" s="795"/>
      <c r="AQ317" s="218"/>
      <c r="AR317" s="47"/>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row>
    <row r="318" spans="1:138" s="24" customFormat="1" x14ac:dyDescent="0.2">
      <c r="A318" s="219">
        <f t="shared" si="19"/>
        <v>44869</v>
      </c>
      <c r="B318" s="220">
        <f t="shared" si="16"/>
        <v>11</v>
      </c>
      <c r="C318" s="221">
        <f t="shared" si="17"/>
        <v>6</v>
      </c>
      <c r="D318" s="795"/>
      <c r="E318" s="795"/>
      <c r="F318" s="796"/>
      <c r="G318" s="796"/>
      <c r="H318" s="796"/>
      <c r="I318" s="795"/>
      <c r="J318" s="795"/>
      <c r="K318" s="796"/>
      <c r="L318" s="796"/>
      <c r="M318" s="796"/>
      <c r="N318" s="795"/>
      <c r="O318" s="795"/>
      <c r="P318" s="795"/>
      <c r="Q318" s="795"/>
      <c r="R318" s="795"/>
      <c r="S318" s="795"/>
      <c r="T318" s="795"/>
      <c r="U318" s="795"/>
      <c r="V318" s="795"/>
      <c r="W318" s="795"/>
      <c r="X318" s="795"/>
      <c r="Y318" s="795"/>
      <c r="Z318" s="796"/>
      <c r="AA318" s="795"/>
      <c r="AB318" s="329" t="str">
        <f>basis!$B$19</f>
        <v/>
      </c>
      <c r="AC318" s="795"/>
      <c r="AD318" s="795"/>
      <c r="AE318" s="795"/>
      <c r="AF318" s="795"/>
      <c r="AG318" s="892"/>
      <c r="AH318" s="225" t="str">
        <f t="shared" si="18"/>
        <v/>
      </c>
      <c r="AI318" s="795"/>
      <c r="AJ318" s="796"/>
      <c r="AK318" s="796"/>
      <c r="AL318" s="795"/>
      <c r="AM318" s="796"/>
      <c r="AN318" s="795"/>
      <c r="AO318" s="795"/>
      <c r="AP318" s="795"/>
      <c r="AQ318" s="218"/>
      <c r="AR318" s="47"/>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row>
    <row r="319" spans="1:138" s="24" customFormat="1" x14ac:dyDescent="0.2">
      <c r="A319" s="219">
        <f t="shared" si="19"/>
        <v>44870</v>
      </c>
      <c r="B319" s="220">
        <f t="shared" si="16"/>
        <v>11</v>
      </c>
      <c r="C319" s="221">
        <f t="shared" si="17"/>
        <v>7</v>
      </c>
      <c r="D319" s="795"/>
      <c r="E319" s="795"/>
      <c r="F319" s="796"/>
      <c r="G319" s="796"/>
      <c r="H319" s="796"/>
      <c r="I319" s="795"/>
      <c r="J319" s="795"/>
      <c r="K319" s="796"/>
      <c r="L319" s="796"/>
      <c r="M319" s="796"/>
      <c r="N319" s="795"/>
      <c r="O319" s="795"/>
      <c r="P319" s="795"/>
      <c r="Q319" s="795"/>
      <c r="R319" s="795"/>
      <c r="S319" s="795"/>
      <c r="T319" s="795"/>
      <c r="U319" s="795"/>
      <c r="V319" s="795"/>
      <c r="W319" s="795"/>
      <c r="X319" s="795"/>
      <c r="Y319" s="795"/>
      <c r="Z319" s="796"/>
      <c r="AA319" s="795"/>
      <c r="AB319" s="329" t="str">
        <f>basis!$B$19</f>
        <v/>
      </c>
      <c r="AC319" s="795"/>
      <c r="AD319" s="795"/>
      <c r="AE319" s="795"/>
      <c r="AF319" s="795"/>
      <c r="AG319" s="892"/>
      <c r="AH319" s="225" t="str">
        <f t="shared" si="18"/>
        <v/>
      </c>
      <c r="AI319" s="795"/>
      <c r="AJ319" s="796"/>
      <c r="AK319" s="796"/>
      <c r="AL319" s="795"/>
      <c r="AM319" s="796"/>
      <c r="AN319" s="795"/>
      <c r="AO319" s="795"/>
      <c r="AP319" s="795"/>
      <c r="AQ319" s="218"/>
      <c r="AR319" s="47"/>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row>
    <row r="320" spans="1:138" s="24" customFormat="1" x14ac:dyDescent="0.2">
      <c r="A320" s="219">
        <f t="shared" si="19"/>
        <v>44871</v>
      </c>
      <c r="B320" s="220">
        <f t="shared" si="16"/>
        <v>11</v>
      </c>
      <c r="C320" s="221">
        <f t="shared" si="17"/>
        <v>1</v>
      </c>
      <c r="D320" s="795"/>
      <c r="E320" s="795"/>
      <c r="F320" s="796"/>
      <c r="G320" s="796"/>
      <c r="H320" s="796"/>
      <c r="I320" s="795"/>
      <c r="J320" s="795"/>
      <c r="K320" s="796"/>
      <c r="L320" s="796"/>
      <c r="M320" s="796"/>
      <c r="N320" s="795"/>
      <c r="O320" s="795"/>
      <c r="P320" s="795"/>
      <c r="Q320" s="795"/>
      <c r="R320" s="795"/>
      <c r="S320" s="795"/>
      <c r="T320" s="795"/>
      <c r="U320" s="795"/>
      <c r="V320" s="795"/>
      <c r="W320" s="795"/>
      <c r="X320" s="795"/>
      <c r="Y320" s="795"/>
      <c r="Z320" s="796"/>
      <c r="AA320" s="795"/>
      <c r="AB320" s="329" t="str">
        <f>basis!$B$19</f>
        <v/>
      </c>
      <c r="AC320" s="795"/>
      <c r="AD320" s="795"/>
      <c r="AE320" s="795"/>
      <c r="AF320" s="795"/>
      <c r="AG320" s="892"/>
      <c r="AH320" s="225" t="str">
        <f t="shared" si="18"/>
        <v/>
      </c>
      <c r="AI320" s="795"/>
      <c r="AJ320" s="796"/>
      <c r="AK320" s="796"/>
      <c r="AL320" s="795"/>
      <c r="AM320" s="796"/>
      <c r="AN320" s="795"/>
      <c r="AO320" s="795"/>
      <c r="AP320" s="795"/>
      <c r="AQ320" s="218"/>
      <c r="AR320" s="47"/>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row>
    <row r="321" spans="1:138" s="24" customFormat="1" x14ac:dyDescent="0.2">
      <c r="A321" s="219">
        <f t="shared" si="19"/>
        <v>44872</v>
      </c>
      <c r="B321" s="220">
        <f t="shared" si="16"/>
        <v>11</v>
      </c>
      <c r="C321" s="221">
        <f t="shared" si="17"/>
        <v>2</v>
      </c>
      <c r="D321" s="795"/>
      <c r="E321" s="795"/>
      <c r="F321" s="796"/>
      <c r="G321" s="796"/>
      <c r="H321" s="796"/>
      <c r="I321" s="795"/>
      <c r="J321" s="795"/>
      <c r="K321" s="796"/>
      <c r="L321" s="796"/>
      <c r="M321" s="796"/>
      <c r="N321" s="795"/>
      <c r="O321" s="795"/>
      <c r="P321" s="795"/>
      <c r="Q321" s="795"/>
      <c r="R321" s="795"/>
      <c r="S321" s="795"/>
      <c r="T321" s="795"/>
      <c r="U321" s="795"/>
      <c r="V321" s="795"/>
      <c r="W321" s="795"/>
      <c r="X321" s="795"/>
      <c r="Y321" s="795"/>
      <c r="Z321" s="796"/>
      <c r="AA321" s="795"/>
      <c r="AB321" s="329" t="str">
        <f>basis!$B$19</f>
        <v/>
      </c>
      <c r="AC321" s="795"/>
      <c r="AD321" s="795"/>
      <c r="AE321" s="795"/>
      <c r="AF321" s="795"/>
      <c r="AG321" s="892"/>
      <c r="AH321" s="225" t="str">
        <f t="shared" si="18"/>
        <v/>
      </c>
      <c r="AI321" s="795"/>
      <c r="AJ321" s="796"/>
      <c r="AK321" s="796"/>
      <c r="AL321" s="795"/>
      <c r="AM321" s="796"/>
      <c r="AN321" s="795"/>
      <c r="AO321" s="795"/>
      <c r="AP321" s="795"/>
      <c r="AQ321" s="218"/>
      <c r="AR321" s="47"/>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row>
    <row r="322" spans="1:138" s="24" customFormat="1" x14ac:dyDescent="0.2">
      <c r="A322" s="219">
        <f t="shared" si="19"/>
        <v>44873</v>
      </c>
      <c r="B322" s="220">
        <f t="shared" si="16"/>
        <v>11</v>
      </c>
      <c r="C322" s="221">
        <f t="shared" si="17"/>
        <v>3</v>
      </c>
      <c r="D322" s="795"/>
      <c r="E322" s="795"/>
      <c r="F322" s="796"/>
      <c r="G322" s="796"/>
      <c r="H322" s="796"/>
      <c r="I322" s="795"/>
      <c r="J322" s="795"/>
      <c r="K322" s="796"/>
      <c r="L322" s="796"/>
      <c r="M322" s="796"/>
      <c r="N322" s="795"/>
      <c r="O322" s="795"/>
      <c r="P322" s="795"/>
      <c r="Q322" s="795"/>
      <c r="R322" s="795"/>
      <c r="S322" s="795"/>
      <c r="T322" s="795"/>
      <c r="U322" s="795"/>
      <c r="V322" s="795"/>
      <c r="W322" s="795"/>
      <c r="X322" s="795"/>
      <c r="Y322" s="795"/>
      <c r="Z322" s="796"/>
      <c r="AA322" s="795"/>
      <c r="AB322" s="329" t="str">
        <f>basis!$B$19</f>
        <v/>
      </c>
      <c r="AC322" s="795"/>
      <c r="AD322" s="795"/>
      <c r="AE322" s="795"/>
      <c r="AF322" s="795"/>
      <c r="AG322" s="892"/>
      <c r="AH322" s="225" t="str">
        <f t="shared" si="18"/>
        <v/>
      </c>
      <c r="AI322" s="795"/>
      <c r="AJ322" s="796"/>
      <c r="AK322" s="796"/>
      <c r="AL322" s="795"/>
      <c r="AM322" s="796"/>
      <c r="AN322" s="795"/>
      <c r="AO322" s="795"/>
      <c r="AP322" s="795"/>
      <c r="AQ322" s="218"/>
      <c r="AR322" s="47"/>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row>
    <row r="323" spans="1:138" s="24" customFormat="1" x14ac:dyDescent="0.2">
      <c r="A323" s="219">
        <f t="shared" si="19"/>
        <v>44874</v>
      </c>
      <c r="B323" s="220">
        <f t="shared" si="16"/>
        <v>11</v>
      </c>
      <c r="C323" s="221">
        <f t="shared" si="17"/>
        <v>4</v>
      </c>
      <c r="D323" s="795"/>
      <c r="E323" s="795"/>
      <c r="F323" s="796"/>
      <c r="G323" s="796"/>
      <c r="H323" s="796"/>
      <c r="I323" s="795"/>
      <c r="J323" s="795"/>
      <c r="K323" s="796"/>
      <c r="L323" s="796"/>
      <c r="M323" s="796"/>
      <c r="N323" s="795"/>
      <c r="O323" s="795"/>
      <c r="P323" s="795"/>
      <c r="Q323" s="795"/>
      <c r="R323" s="795"/>
      <c r="S323" s="795"/>
      <c r="T323" s="795"/>
      <c r="U323" s="795"/>
      <c r="V323" s="795"/>
      <c r="W323" s="795"/>
      <c r="X323" s="795"/>
      <c r="Y323" s="795"/>
      <c r="Z323" s="796"/>
      <c r="AA323" s="795"/>
      <c r="AB323" s="329" t="str">
        <f>basis!$B$19</f>
        <v/>
      </c>
      <c r="AC323" s="795"/>
      <c r="AD323" s="795"/>
      <c r="AE323" s="795"/>
      <c r="AF323" s="795"/>
      <c r="AG323" s="892"/>
      <c r="AH323" s="225" t="str">
        <f t="shared" si="18"/>
        <v/>
      </c>
      <c r="AI323" s="795"/>
      <c r="AJ323" s="796"/>
      <c r="AK323" s="796"/>
      <c r="AL323" s="795"/>
      <c r="AM323" s="796"/>
      <c r="AN323" s="795"/>
      <c r="AO323" s="795"/>
      <c r="AP323" s="795"/>
      <c r="AQ323" s="218"/>
      <c r="AR323" s="47"/>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row>
    <row r="324" spans="1:138" s="24" customFormat="1" x14ac:dyDescent="0.2">
      <c r="A324" s="219">
        <f t="shared" si="19"/>
        <v>44875</v>
      </c>
      <c r="B324" s="220">
        <f t="shared" si="16"/>
        <v>11</v>
      </c>
      <c r="C324" s="221">
        <f t="shared" si="17"/>
        <v>5</v>
      </c>
      <c r="D324" s="795"/>
      <c r="E324" s="795"/>
      <c r="F324" s="796"/>
      <c r="G324" s="796"/>
      <c r="H324" s="796"/>
      <c r="I324" s="795"/>
      <c r="J324" s="795"/>
      <c r="K324" s="796"/>
      <c r="L324" s="796"/>
      <c r="M324" s="796"/>
      <c r="N324" s="795"/>
      <c r="O324" s="795"/>
      <c r="P324" s="795"/>
      <c r="Q324" s="795"/>
      <c r="R324" s="795"/>
      <c r="S324" s="795"/>
      <c r="T324" s="795"/>
      <c r="U324" s="795"/>
      <c r="V324" s="795"/>
      <c r="W324" s="795"/>
      <c r="X324" s="795"/>
      <c r="Y324" s="795"/>
      <c r="Z324" s="796"/>
      <c r="AA324" s="795"/>
      <c r="AB324" s="329" t="str">
        <f>basis!$B$19</f>
        <v/>
      </c>
      <c r="AC324" s="795"/>
      <c r="AD324" s="795"/>
      <c r="AE324" s="795"/>
      <c r="AF324" s="795"/>
      <c r="AG324" s="892"/>
      <c r="AH324" s="225" t="str">
        <f t="shared" si="18"/>
        <v/>
      </c>
      <c r="AI324" s="795"/>
      <c r="AJ324" s="796"/>
      <c r="AK324" s="796"/>
      <c r="AL324" s="795"/>
      <c r="AM324" s="796"/>
      <c r="AN324" s="795"/>
      <c r="AO324" s="795"/>
      <c r="AP324" s="795"/>
      <c r="AQ324" s="218"/>
      <c r="AR324" s="47"/>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row>
    <row r="325" spans="1:138" s="24" customFormat="1" x14ac:dyDescent="0.2">
      <c r="A325" s="219">
        <f t="shared" si="19"/>
        <v>44876</v>
      </c>
      <c r="B325" s="220">
        <f t="shared" si="16"/>
        <v>11</v>
      </c>
      <c r="C325" s="221">
        <f t="shared" si="17"/>
        <v>6</v>
      </c>
      <c r="D325" s="795"/>
      <c r="E325" s="795"/>
      <c r="F325" s="796"/>
      <c r="G325" s="796"/>
      <c r="H325" s="796"/>
      <c r="I325" s="795"/>
      <c r="J325" s="795"/>
      <c r="K325" s="796"/>
      <c r="L325" s="796"/>
      <c r="M325" s="796"/>
      <c r="N325" s="795"/>
      <c r="O325" s="795"/>
      <c r="P325" s="795"/>
      <c r="Q325" s="795"/>
      <c r="R325" s="795"/>
      <c r="S325" s="795"/>
      <c r="T325" s="795"/>
      <c r="U325" s="795"/>
      <c r="V325" s="795"/>
      <c r="W325" s="795"/>
      <c r="X325" s="795"/>
      <c r="Y325" s="795"/>
      <c r="Z325" s="796"/>
      <c r="AA325" s="795"/>
      <c r="AB325" s="329" t="str">
        <f>basis!$B$19</f>
        <v/>
      </c>
      <c r="AC325" s="795"/>
      <c r="AD325" s="795"/>
      <c r="AE325" s="795"/>
      <c r="AF325" s="795"/>
      <c r="AG325" s="892"/>
      <c r="AH325" s="225" t="str">
        <f t="shared" si="18"/>
        <v/>
      </c>
      <c r="AI325" s="795"/>
      <c r="AJ325" s="796"/>
      <c r="AK325" s="796"/>
      <c r="AL325" s="795"/>
      <c r="AM325" s="796"/>
      <c r="AN325" s="795"/>
      <c r="AO325" s="795"/>
      <c r="AP325" s="795"/>
      <c r="AQ325" s="218"/>
      <c r="AR325" s="47"/>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row>
    <row r="326" spans="1:138" s="24" customFormat="1" x14ac:dyDescent="0.2">
      <c r="A326" s="219">
        <f t="shared" si="19"/>
        <v>44877</v>
      </c>
      <c r="B326" s="220">
        <f t="shared" si="16"/>
        <v>11</v>
      </c>
      <c r="C326" s="221">
        <f t="shared" si="17"/>
        <v>7</v>
      </c>
      <c r="D326" s="795"/>
      <c r="E326" s="795"/>
      <c r="F326" s="796"/>
      <c r="G326" s="796"/>
      <c r="H326" s="796"/>
      <c r="I326" s="795"/>
      <c r="J326" s="795"/>
      <c r="K326" s="796"/>
      <c r="L326" s="796"/>
      <c r="M326" s="796"/>
      <c r="N326" s="795"/>
      <c r="O326" s="795"/>
      <c r="P326" s="795"/>
      <c r="Q326" s="795"/>
      <c r="R326" s="795"/>
      <c r="S326" s="795"/>
      <c r="T326" s="795"/>
      <c r="U326" s="795"/>
      <c r="V326" s="795"/>
      <c r="W326" s="795"/>
      <c r="X326" s="795"/>
      <c r="Y326" s="795"/>
      <c r="Z326" s="796"/>
      <c r="AA326" s="795"/>
      <c r="AB326" s="329" t="str">
        <f>basis!$B$19</f>
        <v/>
      </c>
      <c r="AC326" s="795"/>
      <c r="AD326" s="795"/>
      <c r="AE326" s="795"/>
      <c r="AF326" s="795"/>
      <c r="AG326" s="892"/>
      <c r="AH326" s="225" t="str">
        <f t="shared" si="18"/>
        <v/>
      </c>
      <c r="AI326" s="795"/>
      <c r="AJ326" s="796"/>
      <c r="AK326" s="796"/>
      <c r="AL326" s="795"/>
      <c r="AM326" s="796"/>
      <c r="AN326" s="795"/>
      <c r="AO326" s="795"/>
      <c r="AP326" s="795"/>
      <c r="AQ326" s="218"/>
      <c r="AR326" s="47"/>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row>
    <row r="327" spans="1:138" s="24" customFormat="1" x14ac:dyDescent="0.2">
      <c r="A327" s="219">
        <f t="shared" si="19"/>
        <v>44878</v>
      </c>
      <c r="B327" s="220">
        <f t="shared" si="16"/>
        <v>11</v>
      </c>
      <c r="C327" s="221">
        <f t="shared" si="17"/>
        <v>1</v>
      </c>
      <c r="D327" s="795"/>
      <c r="E327" s="795"/>
      <c r="F327" s="796"/>
      <c r="G327" s="796"/>
      <c r="H327" s="796"/>
      <c r="I327" s="795"/>
      <c r="J327" s="795"/>
      <c r="K327" s="796"/>
      <c r="L327" s="796"/>
      <c r="M327" s="796"/>
      <c r="N327" s="795"/>
      <c r="O327" s="795"/>
      <c r="P327" s="795"/>
      <c r="Q327" s="795"/>
      <c r="R327" s="795"/>
      <c r="S327" s="795"/>
      <c r="T327" s="795"/>
      <c r="U327" s="795"/>
      <c r="V327" s="795"/>
      <c r="W327" s="795"/>
      <c r="X327" s="795"/>
      <c r="Y327" s="795"/>
      <c r="Z327" s="796"/>
      <c r="AA327" s="795"/>
      <c r="AB327" s="329" t="str">
        <f>basis!$B$19</f>
        <v/>
      </c>
      <c r="AC327" s="795"/>
      <c r="AD327" s="795"/>
      <c r="AE327" s="795"/>
      <c r="AF327" s="795"/>
      <c r="AG327" s="892"/>
      <c r="AH327" s="225" t="str">
        <f t="shared" si="18"/>
        <v/>
      </c>
      <c r="AI327" s="795"/>
      <c r="AJ327" s="796"/>
      <c r="AK327" s="796"/>
      <c r="AL327" s="795"/>
      <c r="AM327" s="796"/>
      <c r="AN327" s="795"/>
      <c r="AO327" s="795"/>
      <c r="AP327" s="795"/>
      <c r="AQ327" s="218"/>
      <c r="AR327" s="47"/>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row>
    <row r="328" spans="1:138" s="24" customFormat="1" x14ac:dyDescent="0.2">
      <c r="A328" s="219">
        <f t="shared" si="19"/>
        <v>44879</v>
      </c>
      <c r="B328" s="220">
        <f t="shared" si="16"/>
        <v>11</v>
      </c>
      <c r="C328" s="221">
        <f t="shared" si="17"/>
        <v>2</v>
      </c>
      <c r="D328" s="795"/>
      <c r="E328" s="795"/>
      <c r="F328" s="796"/>
      <c r="G328" s="796"/>
      <c r="H328" s="796"/>
      <c r="I328" s="795"/>
      <c r="J328" s="795"/>
      <c r="K328" s="796"/>
      <c r="L328" s="796"/>
      <c r="M328" s="796"/>
      <c r="N328" s="795"/>
      <c r="O328" s="795"/>
      <c r="P328" s="795"/>
      <c r="Q328" s="795"/>
      <c r="R328" s="795"/>
      <c r="S328" s="795"/>
      <c r="T328" s="795"/>
      <c r="U328" s="795"/>
      <c r="V328" s="795"/>
      <c r="W328" s="795"/>
      <c r="X328" s="795"/>
      <c r="Y328" s="795"/>
      <c r="Z328" s="796"/>
      <c r="AA328" s="795"/>
      <c r="AB328" s="329" t="str">
        <f>basis!$B$19</f>
        <v/>
      </c>
      <c r="AC328" s="795"/>
      <c r="AD328" s="795"/>
      <c r="AE328" s="795"/>
      <c r="AF328" s="795"/>
      <c r="AG328" s="892"/>
      <c r="AH328" s="225" t="str">
        <f t="shared" si="18"/>
        <v/>
      </c>
      <c r="AI328" s="795"/>
      <c r="AJ328" s="796"/>
      <c r="AK328" s="796"/>
      <c r="AL328" s="795"/>
      <c r="AM328" s="796"/>
      <c r="AN328" s="795"/>
      <c r="AO328" s="795"/>
      <c r="AP328" s="795"/>
      <c r="AQ328" s="218"/>
      <c r="AR328" s="47"/>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row>
    <row r="329" spans="1:138" s="24" customFormat="1" x14ac:dyDescent="0.2">
      <c r="A329" s="219">
        <f t="shared" si="19"/>
        <v>44880</v>
      </c>
      <c r="B329" s="220">
        <f t="shared" si="16"/>
        <v>11</v>
      </c>
      <c r="C329" s="221">
        <f t="shared" si="17"/>
        <v>3</v>
      </c>
      <c r="D329" s="795"/>
      <c r="E329" s="795"/>
      <c r="F329" s="796"/>
      <c r="G329" s="796"/>
      <c r="H329" s="796"/>
      <c r="I329" s="795"/>
      <c r="J329" s="795"/>
      <c r="K329" s="796"/>
      <c r="L329" s="796"/>
      <c r="M329" s="796"/>
      <c r="N329" s="795"/>
      <c r="O329" s="795"/>
      <c r="P329" s="795"/>
      <c r="Q329" s="795"/>
      <c r="R329" s="795"/>
      <c r="S329" s="795"/>
      <c r="T329" s="795"/>
      <c r="U329" s="795"/>
      <c r="V329" s="795"/>
      <c r="W329" s="795"/>
      <c r="X329" s="795"/>
      <c r="Y329" s="795"/>
      <c r="Z329" s="796"/>
      <c r="AA329" s="795"/>
      <c r="AB329" s="329" t="str">
        <f>basis!$B$19</f>
        <v/>
      </c>
      <c r="AC329" s="795"/>
      <c r="AD329" s="795"/>
      <c r="AE329" s="795"/>
      <c r="AF329" s="795"/>
      <c r="AG329" s="892"/>
      <c r="AH329" s="225" t="str">
        <f t="shared" si="18"/>
        <v/>
      </c>
      <c r="AI329" s="795"/>
      <c r="AJ329" s="796"/>
      <c r="AK329" s="796"/>
      <c r="AL329" s="795"/>
      <c r="AM329" s="796"/>
      <c r="AN329" s="795"/>
      <c r="AO329" s="795"/>
      <c r="AP329" s="795"/>
      <c r="AQ329" s="218"/>
      <c r="AR329" s="47"/>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row>
    <row r="330" spans="1:138" s="24" customFormat="1" x14ac:dyDescent="0.2">
      <c r="A330" s="219">
        <f t="shared" si="19"/>
        <v>44881</v>
      </c>
      <c r="B330" s="220">
        <f t="shared" si="16"/>
        <v>11</v>
      </c>
      <c r="C330" s="221">
        <f t="shared" si="17"/>
        <v>4</v>
      </c>
      <c r="D330" s="795"/>
      <c r="E330" s="795"/>
      <c r="F330" s="796"/>
      <c r="G330" s="796"/>
      <c r="H330" s="796"/>
      <c r="I330" s="795"/>
      <c r="J330" s="795"/>
      <c r="K330" s="796"/>
      <c r="L330" s="796"/>
      <c r="M330" s="796"/>
      <c r="N330" s="795"/>
      <c r="O330" s="795"/>
      <c r="P330" s="795"/>
      <c r="Q330" s="795"/>
      <c r="R330" s="795"/>
      <c r="S330" s="795"/>
      <c r="T330" s="795"/>
      <c r="U330" s="795"/>
      <c r="V330" s="795"/>
      <c r="W330" s="795"/>
      <c r="X330" s="795"/>
      <c r="Y330" s="795"/>
      <c r="Z330" s="796"/>
      <c r="AA330" s="795"/>
      <c r="AB330" s="329" t="str">
        <f>basis!$B$19</f>
        <v/>
      </c>
      <c r="AC330" s="795"/>
      <c r="AD330" s="795"/>
      <c r="AE330" s="795"/>
      <c r="AF330" s="795"/>
      <c r="AG330" s="892"/>
      <c r="AH330" s="225" t="str">
        <f t="shared" si="18"/>
        <v/>
      </c>
      <c r="AI330" s="795"/>
      <c r="AJ330" s="796"/>
      <c r="AK330" s="796"/>
      <c r="AL330" s="795"/>
      <c r="AM330" s="796"/>
      <c r="AN330" s="795"/>
      <c r="AO330" s="795"/>
      <c r="AP330" s="795"/>
      <c r="AQ330" s="218"/>
      <c r="AR330" s="47"/>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row>
    <row r="331" spans="1:138" s="24" customFormat="1" x14ac:dyDescent="0.2">
      <c r="A331" s="219">
        <f t="shared" si="19"/>
        <v>44882</v>
      </c>
      <c r="B331" s="220">
        <f t="shared" ref="B331:B375" si="20">MONTH(A331)</f>
        <v>11</v>
      </c>
      <c r="C331" s="221">
        <f t="shared" ref="C331:C375" si="21">WEEKDAY(A331)</f>
        <v>5</v>
      </c>
      <c r="D331" s="795"/>
      <c r="E331" s="795"/>
      <c r="F331" s="796"/>
      <c r="G331" s="796"/>
      <c r="H331" s="796"/>
      <c r="I331" s="795"/>
      <c r="J331" s="795"/>
      <c r="K331" s="796"/>
      <c r="L331" s="796"/>
      <c r="M331" s="796"/>
      <c r="N331" s="795"/>
      <c r="O331" s="795"/>
      <c r="P331" s="795"/>
      <c r="Q331" s="795"/>
      <c r="R331" s="795"/>
      <c r="S331" s="795"/>
      <c r="T331" s="795"/>
      <c r="U331" s="795"/>
      <c r="V331" s="795"/>
      <c r="W331" s="795"/>
      <c r="X331" s="795"/>
      <c r="Y331" s="795"/>
      <c r="Z331" s="796"/>
      <c r="AA331" s="795"/>
      <c r="AB331" s="329" t="str">
        <f>basis!$B$19</f>
        <v/>
      </c>
      <c r="AC331" s="795"/>
      <c r="AD331" s="795"/>
      <c r="AE331" s="795"/>
      <c r="AF331" s="795"/>
      <c r="AG331" s="892"/>
      <c r="AH331" s="225" t="str">
        <f t="shared" si="18"/>
        <v/>
      </c>
      <c r="AI331" s="795"/>
      <c r="AJ331" s="796"/>
      <c r="AK331" s="796"/>
      <c r="AL331" s="795"/>
      <c r="AM331" s="796"/>
      <c r="AN331" s="795"/>
      <c r="AO331" s="795"/>
      <c r="AP331" s="795"/>
      <c r="AQ331" s="218"/>
      <c r="AR331" s="47"/>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row>
    <row r="332" spans="1:138" s="24" customFormat="1" x14ac:dyDescent="0.2">
      <c r="A332" s="219">
        <f t="shared" si="19"/>
        <v>44883</v>
      </c>
      <c r="B332" s="220">
        <f t="shared" si="20"/>
        <v>11</v>
      </c>
      <c r="C332" s="221">
        <f t="shared" si="21"/>
        <v>6</v>
      </c>
      <c r="D332" s="795"/>
      <c r="E332" s="795"/>
      <c r="F332" s="796"/>
      <c r="G332" s="796"/>
      <c r="H332" s="796"/>
      <c r="I332" s="795"/>
      <c r="J332" s="795"/>
      <c r="K332" s="796"/>
      <c r="L332" s="796"/>
      <c r="M332" s="796"/>
      <c r="N332" s="795"/>
      <c r="O332" s="795"/>
      <c r="P332" s="795"/>
      <c r="Q332" s="795"/>
      <c r="R332" s="795"/>
      <c r="S332" s="795"/>
      <c r="T332" s="795"/>
      <c r="U332" s="795"/>
      <c r="V332" s="795"/>
      <c r="W332" s="795"/>
      <c r="X332" s="795"/>
      <c r="Y332" s="795"/>
      <c r="Z332" s="796"/>
      <c r="AA332" s="795"/>
      <c r="AB332" s="329" t="str">
        <f>basis!$B$19</f>
        <v/>
      </c>
      <c r="AC332" s="795"/>
      <c r="AD332" s="795"/>
      <c r="AE332" s="795"/>
      <c r="AF332" s="795"/>
      <c r="AG332" s="892"/>
      <c r="AH332" s="225" t="str">
        <f t="shared" ref="AH332:AH376" si="22">IF(OR(AF332="",AG332=""),"",AF332*AG332)</f>
        <v/>
      </c>
      <c r="AI332" s="795"/>
      <c r="AJ332" s="796"/>
      <c r="AK332" s="796"/>
      <c r="AL332" s="795"/>
      <c r="AM332" s="796"/>
      <c r="AN332" s="795"/>
      <c r="AO332" s="795"/>
      <c r="AP332" s="795"/>
      <c r="AQ332" s="218"/>
      <c r="AR332" s="47"/>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row>
    <row r="333" spans="1:138" s="24" customFormat="1" x14ac:dyDescent="0.2">
      <c r="A333" s="219">
        <f t="shared" ref="A333:A375" si="23">A332+1</f>
        <v>44884</v>
      </c>
      <c r="B333" s="220">
        <f t="shared" si="20"/>
        <v>11</v>
      </c>
      <c r="C333" s="221">
        <f t="shared" si="21"/>
        <v>7</v>
      </c>
      <c r="D333" s="795"/>
      <c r="E333" s="795"/>
      <c r="F333" s="796"/>
      <c r="G333" s="796"/>
      <c r="H333" s="796"/>
      <c r="I333" s="795"/>
      <c r="J333" s="795"/>
      <c r="K333" s="796"/>
      <c r="L333" s="796"/>
      <c r="M333" s="796"/>
      <c r="N333" s="795"/>
      <c r="O333" s="795"/>
      <c r="P333" s="795"/>
      <c r="Q333" s="795"/>
      <c r="R333" s="795"/>
      <c r="S333" s="795"/>
      <c r="T333" s="795"/>
      <c r="U333" s="795"/>
      <c r="V333" s="795"/>
      <c r="W333" s="795"/>
      <c r="X333" s="795"/>
      <c r="Y333" s="795"/>
      <c r="Z333" s="796"/>
      <c r="AA333" s="795"/>
      <c r="AB333" s="329" t="str">
        <f>basis!$B$19</f>
        <v/>
      </c>
      <c r="AC333" s="795"/>
      <c r="AD333" s="795"/>
      <c r="AE333" s="795"/>
      <c r="AF333" s="795"/>
      <c r="AG333" s="892"/>
      <c r="AH333" s="225" t="str">
        <f t="shared" si="22"/>
        <v/>
      </c>
      <c r="AI333" s="795"/>
      <c r="AJ333" s="796"/>
      <c r="AK333" s="796"/>
      <c r="AL333" s="795"/>
      <c r="AM333" s="796"/>
      <c r="AN333" s="795"/>
      <c r="AO333" s="795"/>
      <c r="AP333" s="795"/>
      <c r="AQ333" s="218"/>
      <c r="AR333" s="47"/>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row>
    <row r="334" spans="1:138" s="24" customFormat="1" x14ac:dyDescent="0.2">
      <c r="A334" s="219">
        <f t="shared" si="23"/>
        <v>44885</v>
      </c>
      <c r="B334" s="220">
        <f t="shared" si="20"/>
        <v>11</v>
      </c>
      <c r="C334" s="221">
        <f t="shared" si="21"/>
        <v>1</v>
      </c>
      <c r="D334" s="795"/>
      <c r="E334" s="795"/>
      <c r="F334" s="796"/>
      <c r="G334" s="796"/>
      <c r="H334" s="796"/>
      <c r="I334" s="795"/>
      <c r="J334" s="795"/>
      <c r="K334" s="796"/>
      <c r="L334" s="796"/>
      <c r="M334" s="796"/>
      <c r="N334" s="795"/>
      <c r="O334" s="795"/>
      <c r="P334" s="795"/>
      <c r="Q334" s="795"/>
      <c r="R334" s="795"/>
      <c r="S334" s="795"/>
      <c r="T334" s="795"/>
      <c r="U334" s="795"/>
      <c r="V334" s="795"/>
      <c r="W334" s="795"/>
      <c r="X334" s="795"/>
      <c r="Y334" s="795"/>
      <c r="Z334" s="796"/>
      <c r="AA334" s="795"/>
      <c r="AB334" s="329" t="str">
        <f>basis!$B$19</f>
        <v/>
      </c>
      <c r="AC334" s="795"/>
      <c r="AD334" s="795"/>
      <c r="AE334" s="795"/>
      <c r="AF334" s="795"/>
      <c r="AG334" s="892"/>
      <c r="AH334" s="225" t="str">
        <f t="shared" si="22"/>
        <v/>
      </c>
      <c r="AI334" s="795"/>
      <c r="AJ334" s="796"/>
      <c r="AK334" s="796"/>
      <c r="AL334" s="795"/>
      <c r="AM334" s="796"/>
      <c r="AN334" s="795"/>
      <c r="AO334" s="795"/>
      <c r="AP334" s="795"/>
      <c r="AQ334" s="218"/>
      <c r="AR334" s="47"/>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row>
    <row r="335" spans="1:138" s="24" customFormat="1" x14ac:dyDescent="0.2">
      <c r="A335" s="219">
        <f t="shared" si="23"/>
        <v>44886</v>
      </c>
      <c r="B335" s="220">
        <f t="shared" si="20"/>
        <v>11</v>
      </c>
      <c r="C335" s="221">
        <f t="shared" si="21"/>
        <v>2</v>
      </c>
      <c r="D335" s="795"/>
      <c r="E335" s="795"/>
      <c r="F335" s="796"/>
      <c r="G335" s="796"/>
      <c r="H335" s="796"/>
      <c r="I335" s="795"/>
      <c r="J335" s="795"/>
      <c r="K335" s="796"/>
      <c r="L335" s="796"/>
      <c r="M335" s="796"/>
      <c r="N335" s="795"/>
      <c r="O335" s="795"/>
      <c r="P335" s="795"/>
      <c r="Q335" s="795"/>
      <c r="R335" s="795"/>
      <c r="S335" s="795"/>
      <c r="T335" s="795"/>
      <c r="U335" s="795"/>
      <c r="V335" s="795"/>
      <c r="W335" s="795"/>
      <c r="X335" s="795"/>
      <c r="Y335" s="795"/>
      <c r="Z335" s="796"/>
      <c r="AA335" s="795"/>
      <c r="AB335" s="329" t="str">
        <f>basis!$B$19</f>
        <v/>
      </c>
      <c r="AC335" s="795"/>
      <c r="AD335" s="795"/>
      <c r="AE335" s="795"/>
      <c r="AF335" s="795"/>
      <c r="AG335" s="892"/>
      <c r="AH335" s="225" t="str">
        <f t="shared" si="22"/>
        <v/>
      </c>
      <c r="AI335" s="795"/>
      <c r="AJ335" s="796"/>
      <c r="AK335" s="796"/>
      <c r="AL335" s="795"/>
      <c r="AM335" s="796"/>
      <c r="AN335" s="795"/>
      <c r="AO335" s="795"/>
      <c r="AP335" s="795"/>
      <c r="AQ335" s="218"/>
      <c r="AR335" s="47"/>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row>
    <row r="336" spans="1:138" s="24" customFormat="1" x14ac:dyDescent="0.2">
      <c r="A336" s="219">
        <f t="shared" si="23"/>
        <v>44887</v>
      </c>
      <c r="B336" s="220">
        <f t="shared" si="20"/>
        <v>11</v>
      </c>
      <c r="C336" s="221">
        <f t="shared" si="21"/>
        <v>3</v>
      </c>
      <c r="D336" s="795"/>
      <c r="E336" s="795"/>
      <c r="F336" s="796"/>
      <c r="G336" s="796"/>
      <c r="H336" s="796"/>
      <c r="I336" s="795"/>
      <c r="J336" s="795"/>
      <c r="K336" s="796"/>
      <c r="L336" s="796"/>
      <c r="M336" s="796"/>
      <c r="N336" s="795"/>
      <c r="O336" s="795"/>
      <c r="P336" s="795"/>
      <c r="Q336" s="795"/>
      <c r="R336" s="795"/>
      <c r="S336" s="795"/>
      <c r="T336" s="795"/>
      <c r="U336" s="795"/>
      <c r="V336" s="795"/>
      <c r="W336" s="795"/>
      <c r="X336" s="795"/>
      <c r="Y336" s="795"/>
      <c r="Z336" s="796"/>
      <c r="AA336" s="795"/>
      <c r="AB336" s="329" t="str">
        <f>basis!$B$19</f>
        <v/>
      </c>
      <c r="AC336" s="795"/>
      <c r="AD336" s="795"/>
      <c r="AE336" s="795"/>
      <c r="AF336" s="795"/>
      <c r="AG336" s="892"/>
      <c r="AH336" s="225" t="str">
        <f t="shared" si="22"/>
        <v/>
      </c>
      <c r="AI336" s="795"/>
      <c r="AJ336" s="796"/>
      <c r="AK336" s="796"/>
      <c r="AL336" s="795"/>
      <c r="AM336" s="796"/>
      <c r="AN336" s="795"/>
      <c r="AO336" s="795"/>
      <c r="AP336" s="795"/>
      <c r="AQ336" s="218"/>
      <c r="AR336" s="47"/>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row>
    <row r="337" spans="1:138" s="24" customFormat="1" x14ac:dyDescent="0.2">
      <c r="A337" s="219">
        <f t="shared" si="23"/>
        <v>44888</v>
      </c>
      <c r="B337" s="220">
        <f t="shared" si="20"/>
        <v>11</v>
      </c>
      <c r="C337" s="221">
        <f t="shared" si="21"/>
        <v>4</v>
      </c>
      <c r="D337" s="795"/>
      <c r="E337" s="795"/>
      <c r="F337" s="796"/>
      <c r="G337" s="796"/>
      <c r="H337" s="796"/>
      <c r="I337" s="795"/>
      <c r="J337" s="795"/>
      <c r="K337" s="796"/>
      <c r="L337" s="796"/>
      <c r="M337" s="796"/>
      <c r="N337" s="795"/>
      <c r="O337" s="795"/>
      <c r="P337" s="795"/>
      <c r="Q337" s="795"/>
      <c r="R337" s="795"/>
      <c r="S337" s="795"/>
      <c r="T337" s="795"/>
      <c r="U337" s="795"/>
      <c r="V337" s="795"/>
      <c r="W337" s="795"/>
      <c r="X337" s="795"/>
      <c r="Y337" s="795"/>
      <c r="Z337" s="796"/>
      <c r="AA337" s="795"/>
      <c r="AB337" s="329" t="str">
        <f>basis!$B$19</f>
        <v/>
      </c>
      <c r="AC337" s="795"/>
      <c r="AD337" s="795"/>
      <c r="AE337" s="795"/>
      <c r="AF337" s="795"/>
      <c r="AG337" s="892"/>
      <c r="AH337" s="225" t="str">
        <f t="shared" si="22"/>
        <v/>
      </c>
      <c r="AI337" s="795"/>
      <c r="AJ337" s="796"/>
      <c r="AK337" s="796"/>
      <c r="AL337" s="795"/>
      <c r="AM337" s="796"/>
      <c r="AN337" s="795"/>
      <c r="AO337" s="795"/>
      <c r="AP337" s="795"/>
      <c r="AQ337" s="218"/>
      <c r="AR337" s="47"/>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row>
    <row r="338" spans="1:138" s="24" customFormat="1" x14ac:dyDescent="0.2">
      <c r="A338" s="219">
        <f t="shared" si="23"/>
        <v>44889</v>
      </c>
      <c r="B338" s="220">
        <f t="shared" si="20"/>
        <v>11</v>
      </c>
      <c r="C338" s="221">
        <f t="shared" si="21"/>
        <v>5</v>
      </c>
      <c r="D338" s="795"/>
      <c r="E338" s="795"/>
      <c r="F338" s="796"/>
      <c r="G338" s="796"/>
      <c r="H338" s="796"/>
      <c r="I338" s="795"/>
      <c r="J338" s="795"/>
      <c r="K338" s="796"/>
      <c r="L338" s="796"/>
      <c r="M338" s="796"/>
      <c r="N338" s="795"/>
      <c r="O338" s="795"/>
      <c r="P338" s="795"/>
      <c r="Q338" s="795"/>
      <c r="R338" s="795"/>
      <c r="S338" s="795"/>
      <c r="T338" s="795"/>
      <c r="U338" s="795"/>
      <c r="V338" s="795"/>
      <c r="W338" s="795"/>
      <c r="X338" s="795"/>
      <c r="Y338" s="795"/>
      <c r="Z338" s="796"/>
      <c r="AA338" s="795"/>
      <c r="AB338" s="329" t="str">
        <f>basis!$B$19</f>
        <v/>
      </c>
      <c r="AC338" s="795"/>
      <c r="AD338" s="795"/>
      <c r="AE338" s="795"/>
      <c r="AF338" s="795"/>
      <c r="AG338" s="892"/>
      <c r="AH338" s="225" t="str">
        <f t="shared" si="22"/>
        <v/>
      </c>
      <c r="AI338" s="795"/>
      <c r="AJ338" s="796"/>
      <c r="AK338" s="796"/>
      <c r="AL338" s="795"/>
      <c r="AM338" s="796"/>
      <c r="AN338" s="795"/>
      <c r="AO338" s="795"/>
      <c r="AP338" s="795"/>
      <c r="AQ338" s="218"/>
      <c r="AR338" s="47"/>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row>
    <row r="339" spans="1:138" s="24" customFormat="1" x14ac:dyDescent="0.2">
      <c r="A339" s="219">
        <f t="shared" si="23"/>
        <v>44890</v>
      </c>
      <c r="B339" s="220">
        <f t="shared" si="20"/>
        <v>11</v>
      </c>
      <c r="C339" s="221">
        <f t="shared" si="21"/>
        <v>6</v>
      </c>
      <c r="D339" s="795"/>
      <c r="E339" s="795"/>
      <c r="F339" s="796"/>
      <c r="G339" s="796"/>
      <c r="H339" s="796"/>
      <c r="I339" s="795"/>
      <c r="J339" s="795"/>
      <c r="K339" s="796"/>
      <c r="L339" s="796"/>
      <c r="M339" s="796"/>
      <c r="N339" s="795"/>
      <c r="O339" s="795"/>
      <c r="P339" s="795"/>
      <c r="Q339" s="795"/>
      <c r="R339" s="795"/>
      <c r="S339" s="795"/>
      <c r="T339" s="795"/>
      <c r="U339" s="795"/>
      <c r="V339" s="795"/>
      <c r="W339" s="795"/>
      <c r="X339" s="795"/>
      <c r="Y339" s="795"/>
      <c r="Z339" s="796"/>
      <c r="AA339" s="795"/>
      <c r="AB339" s="329" t="str">
        <f>basis!$B$19</f>
        <v/>
      </c>
      <c r="AC339" s="795"/>
      <c r="AD339" s="795"/>
      <c r="AE339" s="795"/>
      <c r="AF339" s="795"/>
      <c r="AG339" s="892"/>
      <c r="AH339" s="225" t="str">
        <f t="shared" si="22"/>
        <v/>
      </c>
      <c r="AI339" s="795"/>
      <c r="AJ339" s="796"/>
      <c r="AK339" s="796"/>
      <c r="AL339" s="795"/>
      <c r="AM339" s="796"/>
      <c r="AN339" s="795"/>
      <c r="AO339" s="795"/>
      <c r="AP339" s="795"/>
      <c r="AQ339" s="218"/>
      <c r="AR339" s="47"/>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row>
    <row r="340" spans="1:138" s="24" customFormat="1" x14ac:dyDescent="0.2">
      <c r="A340" s="219">
        <f t="shared" si="23"/>
        <v>44891</v>
      </c>
      <c r="B340" s="220">
        <f t="shared" si="20"/>
        <v>11</v>
      </c>
      <c r="C340" s="221">
        <f t="shared" si="21"/>
        <v>7</v>
      </c>
      <c r="D340" s="795"/>
      <c r="E340" s="795"/>
      <c r="F340" s="796"/>
      <c r="G340" s="796"/>
      <c r="H340" s="796"/>
      <c r="I340" s="795"/>
      <c r="J340" s="795"/>
      <c r="K340" s="796"/>
      <c r="L340" s="796"/>
      <c r="M340" s="796"/>
      <c r="N340" s="795"/>
      <c r="O340" s="795"/>
      <c r="P340" s="795"/>
      <c r="Q340" s="795"/>
      <c r="R340" s="795"/>
      <c r="S340" s="795"/>
      <c r="T340" s="795"/>
      <c r="U340" s="795"/>
      <c r="V340" s="795"/>
      <c r="W340" s="795"/>
      <c r="X340" s="795"/>
      <c r="Y340" s="795"/>
      <c r="Z340" s="796"/>
      <c r="AA340" s="795"/>
      <c r="AB340" s="329" t="str">
        <f>basis!$B$19</f>
        <v/>
      </c>
      <c r="AC340" s="795"/>
      <c r="AD340" s="795"/>
      <c r="AE340" s="795"/>
      <c r="AF340" s="795"/>
      <c r="AG340" s="892"/>
      <c r="AH340" s="225" t="str">
        <f t="shared" si="22"/>
        <v/>
      </c>
      <c r="AI340" s="795"/>
      <c r="AJ340" s="796"/>
      <c r="AK340" s="796"/>
      <c r="AL340" s="795"/>
      <c r="AM340" s="796"/>
      <c r="AN340" s="795"/>
      <c r="AO340" s="795"/>
      <c r="AP340" s="795"/>
      <c r="AQ340" s="218"/>
      <c r="AR340" s="47"/>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row>
    <row r="341" spans="1:138" s="24" customFormat="1" x14ac:dyDescent="0.2">
      <c r="A341" s="219">
        <f t="shared" si="23"/>
        <v>44892</v>
      </c>
      <c r="B341" s="220">
        <f t="shared" si="20"/>
        <v>11</v>
      </c>
      <c r="C341" s="221">
        <f t="shared" si="21"/>
        <v>1</v>
      </c>
      <c r="D341" s="795"/>
      <c r="E341" s="795"/>
      <c r="F341" s="796"/>
      <c r="G341" s="796"/>
      <c r="H341" s="796"/>
      <c r="I341" s="795"/>
      <c r="J341" s="795"/>
      <c r="K341" s="796"/>
      <c r="L341" s="796"/>
      <c r="M341" s="796"/>
      <c r="N341" s="795"/>
      <c r="O341" s="795"/>
      <c r="P341" s="795"/>
      <c r="Q341" s="795"/>
      <c r="R341" s="795"/>
      <c r="S341" s="795"/>
      <c r="T341" s="795"/>
      <c r="U341" s="795"/>
      <c r="V341" s="795"/>
      <c r="W341" s="795"/>
      <c r="X341" s="795"/>
      <c r="Y341" s="795"/>
      <c r="Z341" s="796"/>
      <c r="AA341" s="795"/>
      <c r="AB341" s="329" t="str">
        <f>basis!$B$19</f>
        <v/>
      </c>
      <c r="AC341" s="795"/>
      <c r="AD341" s="795"/>
      <c r="AE341" s="795"/>
      <c r="AF341" s="795"/>
      <c r="AG341" s="892"/>
      <c r="AH341" s="225" t="str">
        <f t="shared" si="22"/>
        <v/>
      </c>
      <c r="AI341" s="795"/>
      <c r="AJ341" s="796"/>
      <c r="AK341" s="796"/>
      <c r="AL341" s="795"/>
      <c r="AM341" s="796"/>
      <c r="AN341" s="795"/>
      <c r="AO341" s="795"/>
      <c r="AP341" s="795"/>
      <c r="AQ341" s="218"/>
      <c r="AR341" s="47"/>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row>
    <row r="342" spans="1:138" s="24" customFormat="1" x14ac:dyDescent="0.2">
      <c r="A342" s="219">
        <f t="shared" si="23"/>
        <v>44893</v>
      </c>
      <c r="B342" s="220">
        <f t="shared" si="20"/>
        <v>11</v>
      </c>
      <c r="C342" s="221">
        <f t="shared" si="21"/>
        <v>2</v>
      </c>
      <c r="D342" s="795"/>
      <c r="E342" s="795"/>
      <c r="F342" s="796"/>
      <c r="G342" s="796"/>
      <c r="H342" s="796"/>
      <c r="I342" s="795"/>
      <c r="J342" s="795"/>
      <c r="K342" s="796"/>
      <c r="L342" s="796"/>
      <c r="M342" s="796"/>
      <c r="N342" s="795"/>
      <c r="O342" s="795"/>
      <c r="P342" s="795"/>
      <c r="Q342" s="795"/>
      <c r="R342" s="795"/>
      <c r="S342" s="795"/>
      <c r="T342" s="795"/>
      <c r="U342" s="795"/>
      <c r="V342" s="795"/>
      <c r="W342" s="795"/>
      <c r="X342" s="795"/>
      <c r="Y342" s="795"/>
      <c r="Z342" s="796"/>
      <c r="AA342" s="795"/>
      <c r="AB342" s="329" t="str">
        <f>basis!$B$19</f>
        <v/>
      </c>
      <c r="AC342" s="795"/>
      <c r="AD342" s="795"/>
      <c r="AE342" s="795"/>
      <c r="AF342" s="795"/>
      <c r="AG342" s="892"/>
      <c r="AH342" s="225" t="str">
        <f t="shared" si="22"/>
        <v/>
      </c>
      <c r="AI342" s="795"/>
      <c r="AJ342" s="796"/>
      <c r="AK342" s="796"/>
      <c r="AL342" s="795"/>
      <c r="AM342" s="796"/>
      <c r="AN342" s="795"/>
      <c r="AO342" s="795"/>
      <c r="AP342" s="795"/>
      <c r="AQ342" s="218"/>
      <c r="AR342" s="47"/>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row>
    <row r="343" spans="1:138" s="24" customFormat="1" x14ac:dyDescent="0.2">
      <c r="A343" s="219">
        <f t="shared" si="23"/>
        <v>44894</v>
      </c>
      <c r="B343" s="220">
        <f t="shared" si="20"/>
        <v>11</v>
      </c>
      <c r="C343" s="221">
        <f t="shared" si="21"/>
        <v>3</v>
      </c>
      <c r="D343" s="795"/>
      <c r="E343" s="795"/>
      <c r="F343" s="796"/>
      <c r="G343" s="796"/>
      <c r="H343" s="796"/>
      <c r="I343" s="795"/>
      <c r="J343" s="795"/>
      <c r="K343" s="796"/>
      <c r="L343" s="796"/>
      <c r="M343" s="796"/>
      <c r="N343" s="795"/>
      <c r="O343" s="795"/>
      <c r="P343" s="795"/>
      <c r="Q343" s="795"/>
      <c r="R343" s="795"/>
      <c r="S343" s="795"/>
      <c r="T343" s="795"/>
      <c r="U343" s="795"/>
      <c r="V343" s="795"/>
      <c r="W343" s="795"/>
      <c r="X343" s="795"/>
      <c r="Y343" s="795"/>
      <c r="Z343" s="796"/>
      <c r="AA343" s="795"/>
      <c r="AB343" s="329" t="str">
        <f>basis!$B$19</f>
        <v/>
      </c>
      <c r="AC343" s="795"/>
      <c r="AD343" s="795"/>
      <c r="AE343" s="795"/>
      <c r="AF343" s="795"/>
      <c r="AG343" s="892"/>
      <c r="AH343" s="225" t="str">
        <f t="shared" si="22"/>
        <v/>
      </c>
      <c r="AI343" s="795"/>
      <c r="AJ343" s="796"/>
      <c r="AK343" s="796"/>
      <c r="AL343" s="795"/>
      <c r="AM343" s="796"/>
      <c r="AN343" s="795"/>
      <c r="AO343" s="795"/>
      <c r="AP343" s="795"/>
      <c r="AQ343" s="218"/>
      <c r="AR343" s="47"/>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row>
    <row r="344" spans="1:138" s="24" customFormat="1" x14ac:dyDescent="0.2">
      <c r="A344" s="219">
        <f t="shared" si="23"/>
        <v>44895</v>
      </c>
      <c r="B344" s="220">
        <f t="shared" si="20"/>
        <v>11</v>
      </c>
      <c r="C344" s="221">
        <f t="shared" si="21"/>
        <v>4</v>
      </c>
      <c r="D344" s="795"/>
      <c r="E344" s="795"/>
      <c r="F344" s="796"/>
      <c r="G344" s="796"/>
      <c r="H344" s="796"/>
      <c r="I344" s="795"/>
      <c r="J344" s="795"/>
      <c r="K344" s="796"/>
      <c r="L344" s="796"/>
      <c r="M344" s="796"/>
      <c r="N344" s="795"/>
      <c r="O344" s="795"/>
      <c r="P344" s="795"/>
      <c r="Q344" s="795"/>
      <c r="R344" s="795"/>
      <c r="S344" s="795"/>
      <c r="T344" s="795"/>
      <c r="U344" s="795"/>
      <c r="V344" s="795"/>
      <c r="W344" s="795"/>
      <c r="X344" s="795"/>
      <c r="Y344" s="795"/>
      <c r="Z344" s="796"/>
      <c r="AA344" s="795"/>
      <c r="AB344" s="329" t="str">
        <f>basis!$B$19</f>
        <v/>
      </c>
      <c r="AC344" s="795"/>
      <c r="AD344" s="795"/>
      <c r="AE344" s="795"/>
      <c r="AF344" s="795"/>
      <c r="AG344" s="892"/>
      <c r="AH344" s="225" t="str">
        <f t="shared" si="22"/>
        <v/>
      </c>
      <c r="AI344" s="795"/>
      <c r="AJ344" s="796"/>
      <c r="AK344" s="796"/>
      <c r="AL344" s="795"/>
      <c r="AM344" s="796"/>
      <c r="AN344" s="795"/>
      <c r="AO344" s="795"/>
      <c r="AP344" s="795"/>
      <c r="AQ344" s="218"/>
      <c r="AR344" s="47"/>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row>
    <row r="345" spans="1:138" s="24" customFormat="1" x14ac:dyDescent="0.2">
      <c r="A345" s="219">
        <f t="shared" si="23"/>
        <v>44896</v>
      </c>
      <c r="B345" s="220">
        <f t="shared" si="20"/>
        <v>12</v>
      </c>
      <c r="C345" s="221">
        <f t="shared" si="21"/>
        <v>5</v>
      </c>
      <c r="D345" s="795"/>
      <c r="E345" s="795"/>
      <c r="F345" s="796"/>
      <c r="G345" s="796"/>
      <c r="H345" s="796"/>
      <c r="I345" s="795"/>
      <c r="J345" s="795"/>
      <c r="K345" s="796"/>
      <c r="L345" s="796"/>
      <c r="M345" s="796"/>
      <c r="N345" s="795"/>
      <c r="O345" s="795"/>
      <c r="P345" s="795"/>
      <c r="Q345" s="795"/>
      <c r="R345" s="795"/>
      <c r="S345" s="795"/>
      <c r="T345" s="795"/>
      <c r="U345" s="795"/>
      <c r="V345" s="795"/>
      <c r="W345" s="795"/>
      <c r="X345" s="795"/>
      <c r="Y345" s="795"/>
      <c r="Z345" s="796"/>
      <c r="AA345" s="795"/>
      <c r="AB345" s="329" t="str">
        <f>basis!$B$19</f>
        <v/>
      </c>
      <c r="AC345" s="795"/>
      <c r="AD345" s="795"/>
      <c r="AE345" s="795"/>
      <c r="AF345" s="795"/>
      <c r="AG345" s="892"/>
      <c r="AH345" s="225" t="str">
        <f t="shared" si="22"/>
        <v/>
      </c>
      <c r="AI345" s="795"/>
      <c r="AJ345" s="796"/>
      <c r="AK345" s="796"/>
      <c r="AL345" s="795"/>
      <c r="AM345" s="796"/>
      <c r="AN345" s="795"/>
      <c r="AO345" s="795"/>
      <c r="AP345" s="795"/>
      <c r="AQ345" s="218"/>
      <c r="AR345" s="47"/>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row>
    <row r="346" spans="1:138" s="24" customFormat="1" x14ac:dyDescent="0.2">
      <c r="A346" s="219">
        <f t="shared" si="23"/>
        <v>44897</v>
      </c>
      <c r="B346" s="220">
        <f t="shared" si="20"/>
        <v>12</v>
      </c>
      <c r="C346" s="221">
        <f t="shared" si="21"/>
        <v>6</v>
      </c>
      <c r="D346" s="795"/>
      <c r="E346" s="795"/>
      <c r="F346" s="796"/>
      <c r="G346" s="796"/>
      <c r="H346" s="796"/>
      <c r="I346" s="795"/>
      <c r="J346" s="795"/>
      <c r="K346" s="796"/>
      <c r="L346" s="796"/>
      <c r="M346" s="796"/>
      <c r="N346" s="795"/>
      <c r="O346" s="795"/>
      <c r="P346" s="795"/>
      <c r="Q346" s="795"/>
      <c r="R346" s="795"/>
      <c r="S346" s="795"/>
      <c r="T346" s="795"/>
      <c r="U346" s="795"/>
      <c r="V346" s="795"/>
      <c r="W346" s="795"/>
      <c r="X346" s="795"/>
      <c r="Y346" s="795"/>
      <c r="Z346" s="796"/>
      <c r="AA346" s="795"/>
      <c r="AB346" s="329" t="str">
        <f>basis!$B$19</f>
        <v/>
      </c>
      <c r="AC346" s="795"/>
      <c r="AD346" s="795"/>
      <c r="AE346" s="795"/>
      <c r="AF346" s="795"/>
      <c r="AG346" s="892"/>
      <c r="AH346" s="225" t="str">
        <f t="shared" si="22"/>
        <v/>
      </c>
      <c r="AI346" s="795"/>
      <c r="AJ346" s="796"/>
      <c r="AK346" s="796"/>
      <c r="AL346" s="795"/>
      <c r="AM346" s="796"/>
      <c r="AN346" s="795"/>
      <c r="AO346" s="795"/>
      <c r="AP346" s="795"/>
      <c r="AQ346" s="218"/>
      <c r="AR346" s="47"/>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row>
    <row r="347" spans="1:138" s="24" customFormat="1" x14ac:dyDescent="0.2">
      <c r="A347" s="219">
        <f t="shared" si="23"/>
        <v>44898</v>
      </c>
      <c r="B347" s="220">
        <f t="shared" si="20"/>
        <v>12</v>
      </c>
      <c r="C347" s="221">
        <f t="shared" si="21"/>
        <v>7</v>
      </c>
      <c r="D347" s="795"/>
      <c r="E347" s="795"/>
      <c r="F347" s="796"/>
      <c r="G347" s="796"/>
      <c r="H347" s="796"/>
      <c r="I347" s="795"/>
      <c r="J347" s="795"/>
      <c r="K347" s="796"/>
      <c r="L347" s="796"/>
      <c r="M347" s="796"/>
      <c r="N347" s="795"/>
      <c r="O347" s="795"/>
      <c r="P347" s="795"/>
      <c r="Q347" s="795"/>
      <c r="R347" s="795"/>
      <c r="S347" s="795"/>
      <c r="T347" s="795"/>
      <c r="U347" s="795"/>
      <c r="V347" s="795"/>
      <c r="W347" s="795"/>
      <c r="X347" s="795"/>
      <c r="Y347" s="795"/>
      <c r="Z347" s="796"/>
      <c r="AA347" s="795"/>
      <c r="AB347" s="329" t="str">
        <f>basis!$B$19</f>
        <v/>
      </c>
      <c r="AC347" s="795"/>
      <c r="AD347" s="795"/>
      <c r="AE347" s="795"/>
      <c r="AF347" s="795"/>
      <c r="AG347" s="892"/>
      <c r="AH347" s="225" t="str">
        <f t="shared" si="22"/>
        <v/>
      </c>
      <c r="AI347" s="795"/>
      <c r="AJ347" s="796"/>
      <c r="AK347" s="796"/>
      <c r="AL347" s="795"/>
      <c r="AM347" s="796"/>
      <c r="AN347" s="795"/>
      <c r="AO347" s="795"/>
      <c r="AP347" s="795"/>
      <c r="AQ347" s="218"/>
      <c r="AR347" s="47"/>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row>
    <row r="348" spans="1:138" s="24" customFormat="1" x14ac:dyDescent="0.2">
      <c r="A348" s="219">
        <f t="shared" si="23"/>
        <v>44899</v>
      </c>
      <c r="B348" s="220">
        <f t="shared" si="20"/>
        <v>12</v>
      </c>
      <c r="C348" s="221">
        <f t="shared" si="21"/>
        <v>1</v>
      </c>
      <c r="D348" s="795"/>
      <c r="E348" s="795"/>
      <c r="F348" s="796"/>
      <c r="G348" s="796"/>
      <c r="H348" s="796"/>
      <c r="I348" s="795"/>
      <c r="J348" s="795"/>
      <c r="K348" s="796"/>
      <c r="L348" s="796"/>
      <c r="M348" s="796"/>
      <c r="N348" s="795"/>
      <c r="O348" s="795"/>
      <c r="P348" s="795"/>
      <c r="Q348" s="795"/>
      <c r="R348" s="795"/>
      <c r="S348" s="795"/>
      <c r="T348" s="795"/>
      <c r="U348" s="795"/>
      <c r="V348" s="795"/>
      <c r="W348" s="795"/>
      <c r="X348" s="795"/>
      <c r="Y348" s="795"/>
      <c r="Z348" s="796"/>
      <c r="AA348" s="795"/>
      <c r="AB348" s="329" t="str">
        <f>basis!$B$19</f>
        <v/>
      </c>
      <c r="AC348" s="795"/>
      <c r="AD348" s="795"/>
      <c r="AE348" s="795"/>
      <c r="AF348" s="795"/>
      <c r="AG348" s="892"/>
      <c r="AH348" s="225" t="str">
        <f t="shared" si="22"/>
        <v/>
      </c>
      <c r="AI348" s="795"/>
      <c r="AJ348" s="796"/>
      <c r="AK348" s="796"/>
      <c r="AL348" s="795"/>
      <c r="AM348" s="796"/>
      <c r="AN348" s="795"/>
      <c r="AO348" s="795"/>
      <c r="AP348" s="795"/>
      <c r="AQ348" s="218"/>
      <c r="AR348" s="47"/>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row>
    <row r="349" spans="1:138" s="24" customFormat="1" x14ac:dyDescent="0.2">
      <c r="A349" s="219">
        <f t="shared" si="23"/>
        <v>44900</v>
      </c>
      <c r="B349" s="220">
        <f t="shared" si="20"/>
        <v>12</v>
      </c>
      <c r="C349" s="221">
        <f t="shared" si="21"/>
        <v>2</v>
      </c>
      <c r="D349" s="795"/>
      <c r="E349" s="795"/>
      <c r="F349" s="796"/>
      <c r="G349" s="796"/>
      <c r="H349" s="796"/>
      <c r="I349" s="795"/>
      <c r="J349" s="795"/>
      <c r="K349" s="796"/>
      <c r="L349" s="796"/>
      <c r="M349" s="796"/>
      <c r="N349" s="795"/>
      <c r="O349" s="795"/>
      <c r="P349" s="795"/>
      <c r="Q349" s="795"/>
      <c r="R349" s="795"/>
      <c r="S349" s="795"/>
      <c r="T349" s="795"/>
      <c r="U349" s="795"/>
      <c r="V349" s="795"/>
      <c r="W349" s="795"/>
      <c r="X349" s="795"/>
      <c r="Y349" s="795"/>
      <c r="Z349" s="796"/>
      <c r="AA349" s="795"/>
      <c r="AB349" s="329" t="str">
        <f>basis!$B$19</f>
        <v/>
      </c>
      <c r="AC349" s="795"/>
      <c r="AD349" s="795"/>
      <c r="AE349" s="795"/>
      <c r="AF349" s="795"/>
      <c r="AG349" s="892"/>
      <c r="AH349" s="225" t="str">
        <f t="shared" si="22"/>
        <v/>
      </c>
      <c r="AI349" s="795"/>
      <c r="AJ349" s="796"/>
      <c r="AK349" s="796"/>
      <c r="AL349" s="795"/>
      <c r="AM349" s="796"/>
      <c r="AN349" s="795"/>
      <c r="AO349" s="795"/>
      <c r="AP349" s="795"/>
      <c r="AQ349" s="218"/>
      <c r="AR349" s="47"/>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row>
    <row r="350" spans="1:138" s="24" customFormat="1" x14ac:dyDescent="0.2">
      <c r="A350" s="219">
        <f t="shared" si="23"/>
        <v>44901</v>
      </c>
      <c r="B350" s="220">
        <f t="shared" si="20"/>
        <v>12</v>
      </c>
      <c r="C350" s="221">
        <f t="shared" si="21"/>
        <v>3</v>
      </c>
      <c r="D350" s="795"/>
      <c r="E350" s="795"/>
      <c r="F350" s="796"/>
      <c r="G350" s="796"/>
      <c r="H350" s="796"/>
      <c r="I350" s="795"/>
      <c r="J350" s="795"/>
      <c r="K350" s="796"/>
      <c r="L350" s="796"/>
      <c r="M350" s="796"/>
      <c r="N350" s="795"/>
      <c r="O350" s="795"/>
      <c r="P350" s="795"/>
      <c r="Q350" s="795"/>
      <c r="R350" s="795"/>
      <c r="S350" s="795"/>
      <c r="T350" s="795"/>
      <c r="U350" s="795"/>
      <c r="V350" s="795"/>
      <c r="W350" s="795"/>
      <c r="X350" s="795"/>
      <c r="Y350" s="795"/>
      <c r="Z350" s="796"/>
      <c r="AA350" s="795"/>
      <c r="AB350" s="329" t="str">
        <f>basis!$B$19</f>
        <v/>
      </c>
      <c r="AC350" s="795"/>
      <c r="AD350" s="795"/>
      <c r="AE350" s="795"/>
      <c r="AF350" s="795"/>
      <c r="AG350" s="892"/>
      <c r="AH350" s="225" t="str">
        <f t="shared" si="22"/>
        <v/>
      </c>
      <c r="AI350" s="795"/>
      <c r="AJ350" s="796"/>
      <c r="AK350" s="796"/>
      <c r="AL350" s="795"/>
      <c r="AM350" s="796"/>
      <c r="AN350" s="795"/>
      <c r="AO350" s="795"/>
      <c r="AP350" s="795"/>
      <c r="AQ350" s="218"/>
      <c r="AR350" s="47"/>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row>
    <row r="351" spans="1:138" s="24" customFormat="1" x14ac:dyDescent="0.2">
      <c r="A351" s="219">
        <f t="shared" si="23"/>
        <v>44902</v>
      </c>
      <c r="B351" s="220">
        <f t="shared" si="20"/>
        <v>12</v>
      </c>
      <c r="C351" s="221">
        <f t="shared" si="21"/>
        <v>4</v>
      </c>
      <c r="D351" s="795"/>
      <c r="E351" s="795"/>
      <c r="F351" s="796"/>
      <c r="G351" s="796"/>
      <c r="H351" s="796"/>
      <c r="I351" s="795"/>
      <c r="J351" s="795"/>
      <c r="K351" s="796"/>
      <c r="L351" s="796"/>
      <c r="M351" s="796"/>
      <c r="N351" s="795"/>
      <c r="O351" s="795"/>
      <c r="P351" s="795"/>
      <c r="Q351" s="795"/>
      <c r="R351" s="795"/>
      <c r="S351" s="795"/>
      <c r="T351" s="795"/>
      <c r="U351" s="795"/>
      <c r="V351" s="795"/>
      <c r="W351" s="795"/>
      <c r="X351" s="795"/>
      <c r="Y351" s="795"/>
      <c r="Z351" s="796"/>
      <c r="AA351" s="795"/>
      <c r="AB351" s="329" t="str">
        <f>basis!$B$19</f>
        <v/>
      </c>
      <c r="AC351" s="795"/>
      <c r="AD351" s="795"/>
      <c r="AE351" s="795"/>
      <c r="AF351" s="795"/>
      <c r="AG351" s="892"/>
      <c r="AH351" s="225" t="str">
        <f t="shared" si="22"/>
        <v/>
      </c>
      <c r="AI351" s="795"/>
      <c r="AJ351" s="796"/>
      <c r="AK351" s="796"/>
      <c r="AL351" s="795"/>
      <c r="AM351" s="796"/>
      <c r="AN351" s="795"/>
      <c r="AO351" s="795"/>
      <c r="AP351" s="795"/>
      <c r="AQ351" s="218"/>
      <c r="AR351" s="47"/>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row>
    <row r="352" spans="1:138" s="24" customFormat="1" x14ac:dyDescent="0.2">
      <c r="A352" s="219">
        <f t="shared" si="23"/>
        <v>44903</v>
      </c>
      <c r="B352" s="220">
        <f t="shared" si="20"/>
        <v>12</v>
      </c>
      <c r="C352" s="221">
        <f t="shared" si="21"/>
        <v>5</v>
      </c>
      <c r="D352" s="795"/>
      <c r="E352" s="795"/>
      <c r="F352" s="796"/>
      <c r="G352" s="796"/>
      <c r="H352" s="796"/>
      <c r="I352" s="795"/>
      <c r="J352" s="795"/>
      <c r="K352" s="796"/>
      <c r="L352" s="796"/>
      <c r="M352" s="796"/>
      <c r="N352" s="795"/>
      <c r="O352" s="795"/>
      <c r="P352" s="795"/>
      <c r="Q352" s="795"/>
      <c r="R352" s="795"/>
      <c r="S352" s="795"/>
      <c r="T352" s="795"/>
      <c r="U352" s="795"/>
      <c r="V352" s="795"/>
      <c r="W352" s="795"/>
      <c r="X352" s="795"/>
      <c r="Y352" s="795"/>
      <c r="Z352" s="796"/>
      <c r="AA352" s="795"/>
      <c r="AB352" s="329" t="str">
        <f>basis!$B$19</f>
        <v/>
      </c>
      <c r="AC352" s="795"/>
      <c r="AD352" s="795"/>
      <c r="AE352" s="795"/>
      <c r="AF352" s="795"/>
      <c r="AG352" s="892"/>
      <c r="AH352" s="225" t="str">
        <f t="shared" si="22"/>
        <v/>
      </c>
      <c r="AI352" s="795"/>
      <c r="AJ352" s="796"/>
      <c r="AK352" s="796"/>
      <c r="AL352" s="795"/>
      <c r="AM352" s="796"/>
      <c r="AN352" s="795"/>
      <c r="AO352" s="795"/>
      <c r="AP352" s="795"/>
      <c r="AQ352" s="218"/>
      <c r="AR352" s="47"/>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row>
    <row r="353" spans="1:138" s="24" customFormat="1" x14ac:dyDescent="0.2">
      <c r="A353" s="219">
        <f t="shared" si="23"/>
        <v>44904</v>
      </c>
      <c r="B353" s="220">
        <f t="shared" si="20"/>
        <v>12</v>
      </c>
      <c r="C353" s="221">
        <f t="shared" si="21"/>
        <v>6</v>
      </c>
      <c r="D353" s="795"/>
      <c r="E353" s="795"/>
      <c r="F353" s="796"/>
      <c r="G353" s="796"/>
      <c r="H353" s="796"/>
      <c r="I353" s="795"/>
      <c r="J353" s="795"/>
      <c r="K353" s="796"/>
      <c r="L353" s="796"/>
      <c r="M353" s="796"/>
      <c r="N353" s="795"/>
      <c r="O353" s="795"/>
      <c r="P353" s="795"/>
      <c r="Q353" s="795"/>
      <c r="R353" s="795"/>
      <c r="S353" s="795"/>
      <c r="T353" s="795"/>
      <c r="U353" s="795"/>
      <c r="V353" s="795"/>
      <c r="W353" s="795"/>
      <c r="X353" s="795"/>
      <c r="Y353" s="795"/>
      <c r="Z353" s="796"/>
      <c r="AA353" s="795"/>
      <c r="AB353" s="329" t="str">
        <f>basis!$B$19</f>
        <v/>
      </c>
      <c r="AC353" s="795"/>
      <c r="AD353" s="795"/>
      <c r="AE353" s="795"/>
      <c r="AF353" s="795"/>
      <c r="AG353" s="892"/>
      <c r="AH353" s="225" t="str">
        <f t="shared" si="22"/>
        <v/>
      </c>
      <c r="AI353" s="795"/>
      <c r="AJ353" s="796"/>
      <c r="AK353" s="796"/>
      <c r="AL353" s="795"/>
      <c r="AM353" s="796"/>
      <c r="AN353" s="795"/>
      <c r="AO353" s="795"/>
      <c r="AP353" s="795"/>
      <c r="AQ353" s="218"/>
      <c r="AR353" s="47"/>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row>
    <row r="354" spans="1:138" s="24" customFormat="1" x14ac:dyDescent="0.2">
      <c r="A354" s="219">
        <f t="shared" si="23"/>
        <v>44905</v>
      </c>
      <c r="B354" s="220">
        <f t="shared" si="20"/>
        <v>12</v>
      </c>
      <c r="C354" s="221">
        <f t="shared" si="21"/>
        <v>7</v>
      </c>
      <c r="D354" s="795"/>
      <c r="E354" s="795"/>
      <c r="F354" s="796"/>
      <c r="G354" s="796"/>
      <c r="H354" s="796"/>
      <c r="I354" s="795"/>
      <c r="J354" s="795"/>
      <c r="K354" s="796"/>
      <c r="L354" s="796"/>
      <c r="M354" s="796"/>
      <c r="N354" s="795"/>
      <c r="O354" s="795"/>
      <c r="P354" s="795"/>
      <c r="Q354" s="795"/>
      <c r="R354" s="795"/>
      <c r="S354" s="795"/>
      <c r="T354" s="795"/>
      <c r="U354" s="795"/>
      <c r="V354" s="795"/>
      <c r="W354" s="795"/>
      <c r="X354" s="795"/>
      <c r="Y354" s="795"/>
      <c r="Z354" s="796"/>
      <c r="AA354" s="795"/>
      <c r="AB354" s="329" t="str">
        <f>basis!$B$19</f>
        <v/>
      </c>
      <c r="AC354" s="795"/>
      <c r="AD354" s="795"/>
      <c r="AE354" s="795"/>
      <c r="AF354" s="795"/>
      <c r="AG354" s="892"/>
      <c r="AH354" s="225" t="str">
        <f t="shared" si="22"/>
        <v/>
      </c>
      <c r="AI354" s="795"/>
      <c r="AJ354" s="796"/>
      <c r="AK354" s="796"/>
      <c r="AL354" s="795"/>
      <c r="AM354" s="796"/>
      <c r="AN354" s="795"/>
      <c r="AO354" s="795"/>
      <c r="AP354" s="795"/>
      <c r="AQ354" s="218"/>
      <c r="AR354" s="47"/>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row>
    <row r="355" spans="1:138" s="24" customFormat="1" x14ac:dyDescent="0.2">
      <c r="A355" s="219">
        <f t="shared" si="23"/>
        <v>44906</v>
      </c>
      <c r="B355" s="220">
        <f t="shared" si="20"/>
        <v>12</v>
      </c>
      <c r="C355" s="221">
        <f t="shared" si="21"/>
        <v>1</v>
      </c>
      <c r="D355" s="795"/>
      <c r="E355" s="795"/>
      <c r="F355" s="796"/>
      <c r="G355" s="796"/>
      <c r="H355" s="796"/>
      <c r="I355" s="795"/>
      <c r="J355" s="795"/>
      <c r="K355" s="796"/>
      <c r="L355" s="796"/>
      <c r="M355" s="796"/>
      <c r="N355" s="795"/>
      <c r="O355" s="795"/>
      <c r="P355" s="795"/>
      <c r="Q355" s="795"/>
      <c r="R355" s="795"/>
      <c r="S355" s="795"/>
      <c r="T355" s="795"/>
      <c r="U355" s="795"/>
      <c r="V355" s="795"/>
      <c r="W355" s="795"/>
      <c r="X355" s="795"/>
      <c r="Y355" s="795"/>
      <c r="Z355" s="796"/>
      <c r="AA355" s="795"/>
      <c r="AB355" s="329" t="str">
        <f>basis!$B$19</f>
        <v/>
      </c>
      <c r="AC355" s="795"/>
      <c r="AD355" s="795"/>
      <c r="AE355" s="795"/>
      <c r="AF355" s="795"/>
      <c r="AG355" s="892"/>
      <c r="AH355" s="225" t="str">
        <f t="shared" si="22"/>
        <v/>
      </c>
      <c r="AI355" s="795"/>
      <c r="AJ355" s="796"/>
      <c r="AK355" s="796"/>
      <c r="AL355" s="795"/>
      <c r="AM355" s="796"/>
      <c r="AN355" s="795"/>
      <c r="AO355" s="795"/>
      <c r="AP355" s="795"/>
      <c r="AQ355" s="218"/>
      <c r="AR355" s="47"/>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row>
    <row r="356" spans="1:138" s="24" customFormat="1" x14ac:dyDescent="0.2">
      <c r="A356" s="219">
        <f t="shared" si="23"/>
        <v>44907</v>
      </c>
      <c r="B356" s="220">
        <f t="shared" si="20"/>
        <v>12</v>
      </c>
      <c r="C356" s="221">
        <f t="shared" si="21"/>
        <v>2</v>
      </c>
      <c r="D356" s="795"/>
      <c r="E356" s="795"/>
      <c r="F356" s="796"/>
      <c r="G356" s="796"/>
      <c r="H356" s="796"/>
      <c r="I356" s="795"/>
      <c r="J356" s="795"/>
      <c r="K356" s="796"/>
      <c r="L356" s="796"/>
      <c r="M356" s="796"/>
      <c r="N356" s="795"/>
      <c r="O356" s="795"/>
      <c r="P356" s="795"/>
      <c r="Q356" s="795"/>
      <c r="R356" s="795"/>
      <c r="S356" s="795"/>
      <c r="T356" s="795"/>
      <c r="U356" s="795"/>
      <c r="V356" s="795"/>
      <c r="W356" s="795"/>
      <c r="X356" s="795"/>
      <c r="Y356" s="795"/>
      <c r="Z356" s="796"/>
      <c r="AA356" s="795"/>
      <c r="AB356" s="329" t="str">
        <f>basis!$B$19</f>
        <v/>
      </c>
      <c r="AC356" s="795"/>
      <c r="AD356" s="795"/>
      <c r="AE356" s="795"/>
      <c r="AF356" s="795"/>
      <c r="AG356" s="892"/>
      <c r="AH356" s="225" t="str">
        <f t="shared" si="22"/>
        <v/>
      </c>
      <c r="AI356" s="795"/>
      <c r="AJ356" s="796"/>
      <c r="AK356" s="796"/>
      <c r="AL356" s="795"/>
      <c r="AM356" s="796"/>
      <c r="AN356" s="795"/>
      <c r="AO356" s="795"/>
      <c r="AP356" s="795"/>
      <c r="AQ356" s="218"/>
      <c r="AR356" s="47"/>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row>
    <row r="357" spans="1:138" s="24" customFormat="1" x14ac:dyDescent="0.2">
      <c r="A357" s="219">
        <f t="shared" si="23"/>
        <v>44908</v>
      </c>
      <c r="B357" s="220">
        <f t="shared" si="20"/>
        <v>12</v>
      </c>
      <c r="C357" s="221">
        <f t="shared" si="21"/>
        <v>3</v>
      </c>
      <c r="D357" s="795"/>
      <c r="E357" s="795"/>
      <c r="F357" s="796"/>
      <c r="G357" s="796"/>
      <c r="H357" s="796"/>
      <c r="I357" s="795"/>
      <c r="J357" s="795"/>
      <c r="K357" s="796"/>
      <c r="L357" s="796"/>
      <c r="M357" s="796"/>
      <c r="N357" s="795"/>
      <c r="O357" s="795"/>
      <c r="P357" s="795"/>
      <c r="Q357" s="795"/>
      <c r="R357" s="795"/>
      <c r="S357" s="795"/>
      <c r="T357" s="795"/>
      <c r="U357" s="795"/>
      <c r="V357" s="795"/>
      <c r="W357" s="795"/>
      <c r="X357" s="795"/>
      <c r="Y357" s="795"/>
      <c r="Z357" s="796"/>
      <c r="AA357" s="795"/>
      <c r="AB357" s="329" t="str">
        <f>basis!$B$19</f>
        <v/>
      </c>
      <c r="AC357" s="795"/>
      <c r="AD357" s="795"/>
      <c r="AE357" s="795"/>
      <c r="AF357" s="795"/>
      <c r="AG357" s="892"/>
      <c r="AH357" s="225" t="str">
        <f t="shared" si="22"/>
        <v/>
      </c>
      <c r="AI357" s="795"/>
      <c r="AJ357" s="796"/>
      <c r="AK357" s="796"/>
      <c r="AL357" s="795"/>
      <c r="AM357" s="796"/>
      <c r="AN357" s="795"/>
      <c r="AO357" s="795"/>
      <c r="AP357" s="795"/>
      <c r="AQ357" s="218"/>
      <c r="AR357" s="47"/>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row>
    <row r="358" spans="1:138" s="24" customFormat="1" x14ac:dyDescent="0.2">
      <c r="A358" s="219">
        <f t="shared" si="23"/>
        <v>44909</v>
      </c>
      <c r="B358" s="220">
        <f t="shared" si="20"/>
        <v>12</v>
      </c>
      <c r="C358" s="221">
        <f t="shared" si="21"/>
        <v>4</v>
      </c>
      <c r="D358" s="795"/>
      <c r="E358" s="795"/>
      <c r="F358" s="796"/>
      <c r="G358" s="796"/>
      <c r="H358" s="796"/>
      <c r="I358" s="795"/>
      <c r="J358" s="795"/>
      <c r="K358" s="796"/>
      <c r="L358" s="796"/>
      <c r="M358" s="796"/>
      <c r="N358" s="795"/>
      <c r="O358" s="795"/>
      <c r="P358" s="795"/>
      <c r="Q358" s="795"/>
      <c r="R358" s="795"/>
      <c r="S358" s="795"/>
      <c r="T358" s="795"/>
      <c r="U358" s="795"/>
      <c r="V358" s="795"/>
      <c r="W358" s="795"/>
      <c r="X358" s="795"/>
      <c r="Y358" s="795"/>
      <c r="Z358" s="796"/>
      <c r="AA358" s="795"/>
      <c r="AB358" s="329" t="str">
        <f>basis!$B$19</f>
        <v/>
      </c>
      <c r="AC358" s="795"/>
      <c r="AD358" s="795"/>
      <c r="AE358" s="795"/>
      <c r="AF358" s="795"/>
      <c r="AG358" s="892"/>
      <c r="AH358" s="225" t="str">
        <f t="shared" si="22"/>
        <v/>
      </c>
      <c r="AI358" s="795"/>
      <c r="AJ358" s="796"/>
      <c r="AK358" s="796"/>
      <c r="AL358" s="795"/>
      <c r="AM358" s="796"/>
      <c r="AN358" s="795"/>
      <c r="AO358" s="795"/>
      <c r="AP358" s="795"/>
      <c r="AQ358" s="218"/>
      <c r="AR358" s="47"/>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row>
    <row r="359" spans="1:138" s="24" customFormat="1" x14ac:dyDescent="0.2">
      <c r="A359" s="219">
        <f t="shared" si="23"/>
        <v>44910</v>
      </c>
      <c r="B359" s="220">
        <f t="shared" si="20"/>
        <v>12</v>
      </c>
      <c r="C359" s="221">
        <f t="shared" si="21"/>
        <v>5</v>
      </c>
      <c r="D359" s="795"/>
      <c r="E359" s="795"/>
      <c r="F359" s="796"/>
      <c r="G359" s="796"/>
      <c r="H359" s="796"/>
      <c r="I359" s="795"/>
      <c r="J359" s="795"/>
      <c r="K359" s="796"/>
      <c r="L359" s="796"/>
      <c r="M359" s="796"/>
      <c r="N359" s="795"/>
      <c r="O359" s="795"/>
      <c r="P359" s="795"/>
      <c r="Q359" s="795"/>
      <c r="R359" s="795"/>
      <c r="S359" s="795"/>
      <c r="T359" s="795"/>
      <c r="U359" s="795"/>
      <c r="V359" s="795"/>
      <c r="W359" s="795"/>
      <c r="X359" s="795"/>
      <c r="Y359" s="795"/>
      <c r="Z359" s="796"/>
      <c r="AA359" s="795"/>
      <c r="AB359" s="329" t="str">
        <f>basis!$B$19</f>
        <v/>
      </c>
      <c r="AC359" s="795"/>
      <c r="AD359" s="795"/>
      <c r="AE359" s="795"/>
      <c r="AF359" s="795"/>
      <c r="AG359" s="892"/>
      <c r="AH359" s="225" t="str">
        <f t="shared" si="22"/>
        <v/>
      </c>
      <c r="AI359" s="795"/>
      <c r="AJ359" s="796"/>
      <c r="AK359" s="796"/>
      <c r="AL359" s="795"/>
      <c r="AM359" s="796"/>
      <c r="AN359" s="795"/>
      <c r="AO359" s="795"/>
      <c r="AP359" s="795"/>
      <c r="AQ359" s="218"/>
      <c r="AR359" s="47"/>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row>
    <row r="360" spans="1:138" s="24" customFormat="1" x14ac:dyDescent="0.2">
      <c r="A360" s="219">
        <f t="shared" si="23"/>
        <v>44911</v>
      </c>
      <c r="B360" s="220">
        <f t="shared" si="20"/>
        <v>12</v>
      </c>
      <c r="C360" s="221">
        <f t="shared" si="21"/>
        <v>6</v>
      </c>
      <c r="D360" s="795"/>
      <c r="E360" s="795"/>
      <c r="F360" s="796"/>
      <c r="G360" s="796"/>
      <c r="H360" s="796"/>
      <c r="I360" s="795"/>
      <c r="J360" s="795"/>
      <c r="K360" s="796"/>
      <c r="L360" s="796"/>
      <c r="M360" s="796"/>
      <c r="N360" s="795"/>
      <c r="O360" s="795"/>
      <c r="P360" s="795"/>
      <c r="Q360" s="795"/>
      <c r="R360" s="795"/>
      <c r="S360" s="795"/>
      <c r="T360" s="795"/>
      <c r="U360" s="795"/>
      <c r="V360" s="795"/>
      <c r="W360" s="795"/>
      <c r="X360" s="795"/>
      <c r="Y360" s="795"/>
      <c r="Z360" s="796"/>
      <c r="AA360" s="795"/>
      <c r="AB360" s="329" t="str">
        <f>basis!$B$19</f>
        <v/>
      </c>
      <c r="AC360" s="795"/>
      <c r="AD360" s="795"/>
      <c r="AE360" s="795"/>
      <c r="AF360" s="795"/>
      <c r="AG360" s="892"/>
      <c r="AH360" s="225" t="str">
        <f t="shared" si="22"/>
        <v/>
      </c>
      <c r="AI360" s="795"/>
      <c r="AJ360" s="796"/>
      <c r="AK360" s="796"/>
      <c r="AL360" s="795"/>
      <c r="AM360" s="796"/>
      <c r="AN360" s="795"/>
      <c r="AO360" s="795"/>
      <c r="AP360" s="795"/>
      <c r="AQ360" s="218"/>
      <c r="AR360" s="47"/>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row>
    <row r="361" spans="1:138" s="24" customFormat="1" x14ac:dyDescent="0.2">
      <c r="A361" s="219">
        <f t="shared" si="23"/>
        <v>44912</v>
      </c>
      <c r="B361" s="220">
        <f t="shared" si="20"/>
        <v>12</v>
      </c>
      <c r="C361" s="221">
        <f t="shared" si="21"/>
        <v>7</v>
      </c>
      <c r="D361" s="795"/>
      <c r="E361" s="795"/>
      <c r="F361" s="796"/>
      <c r="G361" s="796"/>
      <c r="H361" s="796"/>
      <c r="I361" s="795"/>
      <c r="J361" s="795"/>
      <c r="K361" s="796"/>
      <c r="L361" s="796"/>
      <c r="M361" s="796"/>
      <c r="N361" s="795"/>
      <c r="O361" s="795"/>
      <c r="P361" s="795"/>
      <c r="Q361" s="795"/>
      <c r="R361" s="795"/>
      <c r="S361" s="795"/>
      <c r="T361" s="795"/>
      <c r="U361" s="795"/>
      <c r="V361" s="795"/>
      <c r="W361" s="795"/>
      <c r="X361" s="795"/>
      <c r="Y361" s="795"/>
      <c r="Z361" s="796"/>
      <c r="AA361" s="795"/>
      <c r="AB361" s="329" t="str">
        <f>basis!$B$19</f>
        <v/>
      </c>
      <c r="AC361" s="795"/>
      <c r="AD361" s="795"/>
      <c r="AE361" s="795"/>
      <c r="AF361" s="795"/>
      <c r="AG361" s="892"/>
      <c r="AH361" s="225" t="str">
        <f t="shared" si="22"/>
        <v/>
      </c>
      <c r="AI361" s="795"/>
      <c r="AJ361" s="796"/>
      <c r="AK361" s="796"/>
      <c r="AL361" s="795"/>
      <c r="AM361" s="796"/>
      <c r="AN361" s="795"/>
      <c r="AO361" s="795"/>
      <c r="AP361" s="795"/>
      <c r="AQ361" s="218"/>
      <c r="AR361" s="47"/>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row>
    <row r="362" spans="1:138" s="24" customFormat="1" x14ac:dyDescent="0.2">
      <c r="A362" s="219">
        <f t="shared" si="23"/>
        <v>44913</v>
      </c>
      <c r="B362" s="220">
        <f t="shared" si="20"/>
        <v>12</v>
      </c>
      <c r="C362" s="221">
        <f t="shared" si="21"/>
        <v>1</v>
      </c>
      <c r="D362" s="795"/>
      <c r="E362" s="795"/>
      <c r="F362" s="796"/>
      <c r="G362" s="796"/>
      <c r="H362" s="796"/>
      <c r="I362" s="795"/>
      <c r="J362" s="795"/>
      <c r="K362" s="796"/>
      <c r="L362" s="796"/>
      <c r="M362" s="796"/>
      <c r="N362" s="795"/>
      <c r="O362" s="795"/>
      <c r="P362" s="795"/>
      <c r="Q362" s="795"/>
      <c r="R362" s="795"/>
      <c r="S362" s="795"/>
      <c r="T362" s="795"/>
      <c r="U362" s="795"/>
      <c r="V362" s="795"/>
      <c r="W362" s="795"/>
      <c r="X362" s="795"/>
      <c r="Y362" s="795"/>
      <c r="Z362" s="796"/>
      <c r="AA362" s="795"/>
      <c r="AB362" s="329" t="str">
        <f>basis!$B$19</f>
        <v/>
      </c>
      <c r="AC362" s="795"/>
      <c r="AD362" s="795"/>
      <c r="AE362" s="795"/>
      <c r="AF362" s="795"/>
      <c r="AG362" s="892"/>
      <c r="AH362" s="225" t="str">
        <f t="shared" si="22"/>
        <v/>
      </c>
      <c r="AI362" s="795"/>
      <c r="AJ362" s="796"/>
      <c r="AK362" s="796"/>
      <c r="AL362" s="795"/>
      <c r="AM362" s="796"/>
      <c r="AN362" s="795"/>
      <c r="AO362" s="795"/>
      <c r="AP362" s="795"/>
      <c r="AQ362" s="218"/>
      <c r="AR362" s="47"/>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row>
    <row r="363" spans="1:138" s="24" customFormat="1" x14ac:dyDescent="0.2">
      <c r="A363" s="219">
        <f t="shared" si="23"/>
        <v>44914</v>
      </c>
      <c r="B363" s="220">
        <f t="shared" si="20"/>
        <v>12</v>
      </c>
      <c r="C363" s="221">
        <f t="shared" si="21"/>
        <v>2</v>
      </c>
      <c r="D363" s="795"/>
      <c r="E363" s="795"/>
      <c r="F363" s="796"/>
      <c r="G363" s="796"/>
      <c r="H363" s="796"/>
      <c r="I363" s="795"/>
      <c r="J363" s="795"/>
      <c r="K363" s="796"/>
      <c r="L363" s="796"/>
      <c r="M363" s="796"/>
      <c r="N363" s="795"/>
      <c r="O363" s="795"/>
      <c r="P363" s="795"/>
      <c r="Q363" s="795"/>
      <c r="R363" s="795"/>
      <c r="S363" s="795"/>
      <c r="T363" s="795"/>
      <c r="U363" s="795"/>
      <c r="V363" s="795"/>
      <c r="W363" s="795"/>
      <c r="X363" s="795"/>
      <c r="Y363" s="795"/>
      <c r="Z363" s="796"/>
      <c r="AA363" s="795"/>
      <c r="AB363" s="329" t="str">
        <f>basis!$B$19</f>
        <v/>
      </c>
      <c r="AC363" s="795"/>
      <c r="AD363" s="795"/>
      <c r="AE363" s="795"/>
      <c r="AF363" s="795"/>
      <c r="AG363" s="892"/>
      <c r="AH363" s="225" t="str">
        <f t="shared" si="22"/>
        <v/>
      </c>
      <c r="AI363" s="795"/>
      <c r="AJ363" s="796"/>
      <c r="AK363" s="796"/>
      <c r="AL363" s="795"/>
      <c r="AM363" s="796"/>
      <c r="AN363" s="795"/>
      <c r="AO363" s="795"/>
      <c r="AP363" s="795"/>
      <c r="AQ363" s="218"/>
      <c r="AR363" s="47"/>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row>
    <row r="364" spans="1:138" s="24" customFormat="1" x14ac:dyDescent="0.2">
      <c r="A364" s="219">
        <f t="shared" si="23"/>
        <v>44915</v>
      </c>
      <c r="B364" s="220">
        <f t="shared" si="20"/>
        <v>12</v>
      </c>
      <c r="C364" s="221">
        <f t="shared" si="21"/>
        <v>3</v>
      </c>
      <c r="D364" s="795"/>
      <c r="E364" s="795"/>
      <c r="F364" s="796"/>
      <c r="G364" s="796"/>
      <c r="H364" s="796"/>
      <c r="I364" s="795"/>
      <c r="J364" s="795"/>
      <c r="K364" s="796"/>
      <c r="L364" s="796"/>
      <c r="M364" s="796"/>
      <c r="N364" s="795"/>
      <c r="O364" s="795"/>
      <c r="P364" s="795"/>
      <c r="Q364" s="795"/>
      <c r="R364" s="795"/>
      <c r="S364" s="795"/>
      <c r="T364" s="795"/>
      <c r="U364" s="795"/>
      <c r="V364" s="795"/>
      <c r="W364" s="795"/>
      <c r="X364" s="795"/>
      <c r="Y364" s="795"/>
      <c r="Z364" s="796"/>
      <c r="AA364" s="795"/>
      <c r="AB364" s="329" t="str">
        <f>basis!$B$19</f>
        <v/>
      </c>
      <c r="AC364" s="795"/>
      <c r="AD364" s="795"/>
      <c r="AE364" s="795"/>
      <c r="AF364" s="795"/>
      <c r="AG364" s="892"/>
      <c r="AH364" s="225" t="str">
        <f t="shared" si="22"/>
        <v/>
      </c>
      <c r="AI364" s="795"/>
      <c r="AJ364" s="796"/>
      <c r="AK364" s="796"/>
      <c r="AL364" s="795"/>
      <c r="AM364" s="796"/>
      <c r="AN364" s="795"/>
      <c r="AO364" s="795"/>
      <c r="AP364" s="795"/>
      <c r="AQ364" s="218"/>
      <c r="AR364" s="47"/>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row>
    <row r="365" spans="1:138" s="24" customFormat="1" x14ac:dyDescent="0.2">
      <c r="A365" s="219">
        <f t="shared" si="23"/>
        <v>44916</v>
      </c>
      <c r="B365" s="220">
        <f t="shared" si="20"/>
        <v>12</v>
      </c>
      <c r="C365" s="221">
        <f t="shared" si="21"/>
        <v>4</v>
      </c>
      <c r="D365" s="795"/>
      <c r="E365" s="795"/>
      <c r="F365" s="796"/>
      <c r="G365" s="796"/>
      <c r="H365" s="796"/>
      <c r="I365" s="795"/>
      <c r="J365" s="795"/>
      <c r="K365" s="796"/>
      <c r="L365" s="796"/>
      <c r="M365" s="796"/>
      <c r="N365" s="795"/>
      <c r="O365" s="795"/>
      <c r="P365" s="795"/>
      <c r="Q365" s="795"/>
      <c r="R365" s="795"/>
      <c r="S365" s="795"/>
      <c r="T365" s="795"/>
      <c r="U365" s="795"/>
      <c r="V365" s="795"/>
      <c r="W365" s="795"/>
      <c r="X365" s="795"/>
      <c r="Y365" s="795"/>
      <c r="Z365" s="796"/>
      <c r="AA365" s="795"/>
      <c r="AB365" s="329" t="str">
        <f>basis!$B$19</f>
        <v/>
      </c>
      <c r="AC365" s="795"/>
      <c r="AD365" s="795"/>
      <c r="AE365" s="795"/>
      <c r="AF365" s="795"/>
      <c r="AG365" s="892"/>
      <c r="AH365" s="225" t="str">
        <f t="shared" si="22"/>
        <v/>
      </c>
      <c r="AI365" s="795"/>
      <c r="AJ365" s="796"/>
      <c r="AK365" s="796"/>
      <c r="AL365" s="795"/>
      <c r="AM365" s="796"/>
      <c r="AN365" s="795"/>
      <c r="AO365" s="795"/>
      <c r="AP365" s="795"/>
      <c r="AQ365" s="218"/>
      <c r="AR365" s="47"/>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row>
    <row r="366" spans="1:138" s="24" customFormat="1" x14ac:dyDescent="0.2">
      <c r="A366" s="219">
        <f t="shared" si="23"/>
        <v>44917</v>
      </c>
      <c r="B366" s="220">
        <f t="shared" si="20"/>
        <v>12</v>
      </c>
      <c r="C366" s="221">
        <f t="shared" si="21"/>
        <v>5</v>
      </c>
      <c r="D366" s="795"/>
      <c r="E366" s="795"/>
      <c r="F366" s="796"/>
      <c r="G366" s="796"/>
      <c r="H366" s="796"/>
      <c r="I366" s="795"/>
      <c r="J366" s="795"/>
      <c r="K366" s="796"/>
      <c r="L366" s="796"/>
      <c r="M366" s="796"/>
      <c r="N366" s="795"/>
      <c r="O366" s="795"/>
      <c r="P366" s="795"/>
      <c r="Q366" s="795"/>
      <c r="R366" s="795"/>
      <c r="S366" s="795"/>
      <c r="T366" s="795"/>
      <c r="U366" s="795"/>
      <c r="V366" s="795"/>
      <c r="W366" s="795"/>
      <c r="X366" s="795"/>
      <c r="Y366" s="795"/>
      <c r="Z366" s="796"/>
      <c r="AA366" s="795"/>
      <c r="AB366" s="329" t="str">
        <f>basis!$B$19</f>
        <v/>
      </c>
      <c r="AC366" s="795"/>
      <c r="AD366" s="795"/>
      <c r="AE366" s="795"/>
      <c r="AF366" s="795"/>
      <c r="AG366" s="892"/>
      <c r="AH366" s="225" t="str">
        <f t="shared" si="22"/>
        <v/>
      </c>
      <c r="AI366" s="795"/>
      <c r="AJ366" s="796"/>
      <c r="AK366" s="796"/>
      <c r="AL366" s="795"/>
      <c r="AM366" s="796"/>
      <c r="AN366" s="795"/>
      <c r="AO366" s="795"/>
      <c r="AP366" s="795"/>
      <c r="AQ366" s="218"/>
      <c r="AR366" s="47"/>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row>
    <row r="367" spans="1:138" s="24" customFormat="1" x14ac:dyDescent="0.2">
      <c r="A367" s="219">
        <f t="shared" si="23"/>
        <v>44918</v>
      </c>
      <c r="B367" s="220">
        <f t="shared" si="20"/>
        <v>12</v>
      </c>
      <c r="C367" s="221">
        <f t="shared" si="21"/>
        <v>6</v>
      </c>
      <c r="D367" s="795"/>
      <c r="E367" s="795"/>
      <c r="F367" s="796"/>
      <c r="G367" s="796"/>
      <c r="H367" s="796"/>
      <c r="I367" s="795"/>
      <c r="J367" s="795"/>
      <c r="K367" s="796"/>
      <c r="L367" s="796"/>
      <c r="M367" s="796"/>
      <c r="N367" s="795"/>
      <c r="O367" s="795"/>
      <c r="P367" s="795"/>
      <c r="Q367" s="795"/>
      <c r="R367" s="795"/>
      <c r="S367" s="795"/>
      <c r="T367" s="795"/>
      <c r="U367" s="795"/>
      <c r="V367" s="795"/>
      <c r="W367" s="795"/>
      <c r="X367" s="795"/>
      <c r="Y367" s="795"/>
      <c r="Z367" s="796"/>
      <c r="AA367" s="795"/>
      <c r="AB367" s="329" t="str">
        <f>basis!$B$19</f>
        <v/>
      </c>
      <c r="AC367" s="795"/>
      <c r="AD367" s="795"/>
      <c r="AE367" s="795"/>
      <c r="AF367" s="795"/>
      <c r="AG367" s="892"/>
      <c r="AH367" s="225" t="str">
        <f t="shared" si="22"/>
        <v/>
      </c>
      <c r="AI367" s="795"/>
      <c r="AJ367" s="796"/>
      <c r="AK367" s="796"/>
      <c r="AL367" s="795"/>
      <c r="AM367" s="796"/>
      <c r="AN367" s="795"/>
      <c r="AO367" s="795"/>
      <c r="AP367" s="795"/>
      <c r="AQ367" s="218"/>
      <c r="AR367" s="47"/>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row>
    <row r="368" spans="1:138" s="24" customFormat="1" x14ac:dyDescent="0.2">
      <c r="A368" s="219">
        <f t="shared" si="23"/>
        <v>44919</v>
      </c>
      <c r="B368" s="220">
        <f t="shared" si="20"/>
        <v>12</v>
      </c>
      <c r="C368" s="221">
        <f t="shared" si="21"/>
        <v>7</v>
      </c>
      <c r="D368" s="795"/>
      <c r="E368" s="795"/>
      <c r="F368" s="796"/>
      <c r="G368" s="796"/>
      <c r="H368" s="796"/>
      <c r="I368" s="795"/>
      <c r="J368" s="795"/>
      <c r="K368" s="796"/>
      <c r="L368" s="796"/>
      <c r="M368" s="796"/>
      <c r="N368" s="795"/>
      <c r="O368" s="795"/>
      <c r="P368" s="795"/>
      <c r="Q368" s="795"/>
      <c r="R368" s="795"/>
      <c r="S368" s="795"/>
      <c r="T368" s="795"/>
      <c r="U368" s="795"/>
      <c r="V368" s="795"/>
      <c r="W368" s="795"/>
      <c r="X368" s="795"/>
      <c r="Y368" s="795"/>
      <c r="Z368" s="796"/>
      <c r="AA368" s="795"/>
      <c r="AB368" s="329" t="str">
        <f>basis!$B$19</f>
        <v/>
      </c>
      <c r="AC368" s="795"/>
      <c r="AD368" s="795"/>
      <c r="AE368" s="795"/>
      <c r="AF368" s="795"/>
      <c r="AG368" s="892"/>
      <c r="AH368" s="225" t="str">
        <f t="shared" si="22"/>
        <v/>
      </c>
      <c r="AI368" s="795"/>
      <c r="AJ368" s="796"/>
      <c r="AK368" s="796"/>
      <c r="AL368" s="795"/>
      <c r="AM368" s="796"/>
      <c r="AN368" s="795"/>
      <c r="AO368" s="795"/>
      <c r="AP368" s="795"/>
      <c r="AQ368" s="218"/>
      <c r="AR368" s="47"/>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row>
    <row r="369" spans="1:138" s="24" customFormat="1" x14ac:dyDescent="0.2">
      <c r="A369" s="219">
        <f t="shared" si="23"/>
        <v>44920</v>
      </c>
      <c r="B369" s="220">
        <f t="shared" si="20"/>
        <v>12</v>
      </c>
      <c r="C369" s="221">
        <f t="shared" si="21"/>
        <v>1</v>
      </c>
      <c r="D369" s="795"/>
      <c r="E369" s="795"/>
      <c r="F369" s="796"/>
      <c r="G369" s="796"/>
      <c r="H369" s="796"/>
      <c r="I369" s="795"/>
      <c r="J369" s="795"/>
      <c r="K369" s="796"/>
      <c r="L369" s="796"/>
      <c r="M369" s="796"/>
      <c r="N369" s="795"/>
      <c r="O369" s="795"/>
      <c r="P369" s="795"/>
      <c r="Q369" s="795"/>
      <c r="R369" s="795"/>
      <c r="S369" s="795"/>
      <c r="T369" s="795"/>
      <c r="U369" s="795"/>
      <c r="V369" s="795"/>
      <c r="W369" s="795"/>
      <c r="X369" s="795"/>
      <c r="Y369" s="795"/>
      <c r="Z369" s="796"/>
      <c r="AA369" s="795"/>
      <c r="AB369" s="329" t="str">
        <f>basis!$B$19</f>
        <v/>
      </c>
      <c r="AC369" s="795"/>
      <c r="AD369" s="795"/>
      <c r="AE369" s="795"/>
      <c r="AF369" s="795"/>
      <c r="AG369" s="892"/>
      <c r="AH369" s="225" t="str">
        <f t="shared" si="22"/>
        <v/>
      </c>
      <c r="AI369" s="795"/>
      <c r="AJ369" s="796"/>
      <c r="AK369" s="796"/>
      <c r="AL369" s="795"/>
      <c r="AM369" s="796"/>
      <c r="AN369" s="795"/>
      <c r="AO369" s="795"/>
      <c r="AP369" s="795"/>
      <c r="AQ369" s="218"/>
      <c r="AR369" s="47"/>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row>
    <row r="370" spans="1:138" s="24" customFormat="1" x14ac:dyDescent="0.2">
      <c r="A370" s="219">
        <f t="shared" si="23"/>
        <v>44921</v>
      </c>
      <c r="B370" s="220">
        <f t="shared" si="20"/>
        <v>12</v>
      </c>
      <c r="C370" s="221">
        <f t="shared" si="21"/>
        <v>2</v>
      </c>
      <c r="D370" s="795"/>
      <c r="E370" s="795"/>
      <c r="F370" s="796"/>
      <c r="G370" s="796"/>
      <c r="H370" s="796"/>
      <c r="I370" s="795"/>
      <c r="J370" s="795"/>
      <c r="K370" s="796"/>
      <c r="L370" s="796"/>
      <c r="M370" s="796"/>
      <c r="N370" s="795"/>
      <c r="O370" s="795"/>
      <c r="P370" s="795"/>
      <c r="Q370" s="795"/>
      <c r="R370" s="795"/>
      <c r="S370" s="795"/>
      <c r="T370" s="795"/>
      <c r="U370" s="795"/>
      <c r="V370" s="795"/>
      <c r="W370" s="795"/>
      <c r="X370" s="795"/>
      <c r="Y370" s="795"/>
      <c r="Z370" s="796"/>
      <c r="AA370" s="795"/>
      <c r="AB370" s="329" t="str">
        <f>basis!$B$19</f>
        <v/>
      </c>
      <c r="AC370" s="795"/>
      <c r="AD370" s="795"/>
      <c r="AE370" s="795"/>
      <c r="AF370" s="795"/>
      <c r="AG370" s="892"/>
      <c r="AH370" s="225" t="str">
        <f t="shared" si="22"/>
        <v/>
      </c>
      <c r="AI370" s="795"/>
      <c r="AJ370" s="796"/>
      <c r="AK370" s="796"/>
      <c r="AL370" s="795"/>
      <c r="AM370" s="796"/>
      <c r="AN370" s="795"/>
      <c r="AO370" s="795"/>
      <c r="AP370" s="795"/>
      <c r="AQ370" s="218"/>
      <c r="AR370" s="47"/>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row>
    <row r="371" spans="1:138" s="24" customFormat="1" x14ac:dyDescent="0.2">
      <c r="A371" s="219">
        <f t="shared" si="23"/>
        <v>44922</v>
      </c>
      <c r="B371" s="220">
        <f t="shared" si="20"/>
        <v>12</v>
      </c>
      <c r="C371" s="221">
        <f t="shared" si="21"/>
        <v>3</v>
      </c>
      <c r="D371" s="795"/>
      <c r="E371" s="795"/>
      <c r="F371" s="796"/>
      <c r="G371" s="796"/>
      <c r="H371" s="796"/>
      <c r="I371" s="795"/>
      <c r="J371" s="795"/>
      <c r="K371" s="796"/>
      <c r="L371" s="796"/>
      <c r="M371" s="796"/>
      <c r="N371" s="795"/>
      <c r="O371" s="795"/>
      <c r="P371" s="795"/>
      <c r="Q371" s="795"/>
      <c r="R371" s="795"/>
      <c r="S371" s="795"/>
      <c r="T371" s="795"/>
      <c r="U371" s="795"/>
      <c r="V371" s="795"/>
      <c r="W371" s="795"/>
      <c r="X371" s="795"/>
      <c r="Y371" s="795"/>
      <c r="Z371" s="796"/>
      <c r="AA371" s="795"/>
      <c r="AB371" s="329" t="str">
        <f>basis!$B$19</f>
        <v/>
      </c>
      <c r="AC371" s="795"/>
      <c r="AD371" s="795"/>
      <c r="AE371" s="795"/>
      <c r="AF371" s="795"/>
      <c r="AG371" s="892"/>
      <c r="AH371" s="225" t="str">
        <f t="shared" si="22"/>
        <v/>
      </c>
      <c r="AI371" s="795"/>
      <c r="AJ371" s="796"/>
      <c r="AK371" s="796"/>
      <c r="AL371" s="795"/>
      <c r="AM371" s="796"/>
      <c r="AN371" s="795"/>
      <c r="AO371" s="795"/>
      <c r="AP371" s="795"/>
      <c r="AQ371" s="218"/>
      <c r="AR371" s="47"/>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row>
    <row r="372" spans="1:138" s="24" customFormat="1" x14ac:dyDescent="0.2">
      <c r="A372" s="219">
        <f t="shared" si="23"/>
        <v>44923</v>
      </c>
      <c r="B372" s="220">
        <f t="shared" si="20"/>
        <v>12</v>
      </c>
      <c r="C372" s="221">
        <f t="shared" si="21"/>
        <v>4</v>
      </c>
      <c r="D372" s="795"/>
      <c r="E372" s="795"/>
      <c r="F372" s="796"/>
      <c r="G372" s="796"/>
      <c r="H372" s="796"/>
      <c r="I372" s="795"/>
      <c r="J372" s="795"/>
      <c r="K372" s="796"/>
      <c r="L372" s="796"/>
      <c r="M372" s="796"/>
      <c r="N372" s="795"/>
      <c r="O372" s="795"/>
      <c r="P372" s="795"/>
      <c r="Q372" s="795"/>
      <c r="R372" s="795"/>
      <c r="S372" s="795"/>
      <c r="T372" s="795"/>
      <c r="U372" s="795"/>
      <c r="V372" s="795"/>
      <c r="W372" s="795"/>
      <c r="X372" s="795"/>
      <c r="Y372" s="795"/>
      <c r="Z372" s="796"/>
      <c r="AA372" s="795"/>
      <c r="AB372" s="329" t="str">
        <f>basis!$B$19</f>
        <v/>
      </c>
      <c r="AC372" s="795"/>
      <c r="AD372" s="795"/>
      <c r="AE372" s="795"/>
      <c r="AF372" s="795"/>
      <c r="AG372" s="892"/>
      <c r="AH372" s="225" t="str">
        <f t="shared" si="22"/>
        <v/>
      </c>
      <c r="AI372" s="795"/>
      <c r="AJ372" s="796"/>
      <c r="AK372" s="796"/>
      <c r="AL372" s="795"/>
      <c r="AM372" s="796"/>
      <c r="AN372" s="795"/>
      <c r="AO372" s="795"/>
      <c r="AP372" s="795"/>
      <c r="AQ372" s="218"/>
      <c r="AR372" s="47"/>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row>
    <row r="373" spans="1:138" s="24" customFormat="1" x14ac:dyDescent="0.2">
      <c r="A373" s="219">
        <f t="shared" si="23"/>
        <v>44924</v>
      </c>
      <c r="B373" s="220">
        <f t="shared" si="20"/>
        <v>12</v>
      </c>
      <c r="C373" s="221">
        <f t="shared" si="21"/>
        <v>5</v>
      </c>
      <c r="D373" s="795"/>
      <c r="E373" s="795"/>
      <c r="F373" s="796"/>
      <c r="G373" s="796"/>
      <c r="H373" s="796"/>
      <c r="I373" s="795"/>
      <c r="J373" s="795"/>
      <c r="K373" s="796"/>
      <c r="L373" s="796"/>
      <c r="M373" s="796"/>
      <c r="N373" s="795"/>
      <c r="O373" s="795"/>
      <c r="P373" s="795"/>
      <c r="Q373" s="795"/>
      <c r="R373" s="795"/>
      <c r="S373" s="795"/>
      <c r="T373" s="795"/>
      <c r="U373" s="795"/>
      <c r="V373" s="795"/>
      <c r="W373" s="795"/>
      <c r="X373" s="795"/>
      <c r="Y373" s="795"/>
      <c r="Z373" s="796"/>
      <c r="AA373" s="795"/>
      <c r="AB373" s="329" t="str">
        <f>basis!$B$19</f>
        <v/>
      </c>
      <c r="AC373" s="795"/>
      <c r="AD373" s="795"/>
      <c r="AE373" s="795"/>
      <c r="AF373" s="795"/>
      <c r="AG373" s="892"/>
      <c r="AH373" s="225" t="str">
        <f t="shared" si="22"/>
        <v/>
      </c>
      <c r="AI373" s="795"/>
      <c r="AJ373" s="796"/>
      <c r="AK373" s="796"/>
      <c r="AL373" s="795"/>
      <c r="AM373" s="796"/>
      <c r="AN373" s="795"/>
      <c r="AO373" s="795"/>
      <c r="AP373" s="795"/>
      <c r="AQ373" s="218"/>
      <c r="AR373" s="47"/>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row>
    <row r="374" spans="1:138" s="24" customFormat="1" x14ac:dyDescent="0.2">
      <c r="A374" s="219">
        <f t="shared" si="23"/>
        <v>44925</v>
      </c>
      <c r="B374" s="220">
        <f t="shared" si="20"/>
        <v>12</v>
      </c>
      <c r="C374" s="221">
        <f t="shared" si="21"/>
        <v>6</v>
      </c>
      <c r="D374" s="795"/>
      <c r="E374" s="795"/>
      <c r="F374" s="796"/>
      <c r="G374" s="796"/>
      <c r="H374" s="796"/>
      <c r="I374" s="795"/>
      <c r="J374" s="795"/>
      <c r="K374" s="796"/>
      <c r="L374" s="796"/>
      <c r="M374" s="796"/>
      <c r="N374" s="795"/>
      <c r="O374" s="795"/>
      <c r="P374" s="795"/>
      <c r="Q374" s="795"/>
      <c r="R374" s="795"/>
      <c r="S374" s="795"/>
      <c r="T374" s="795"/>
      <c r="U374" s="795"/>
      <c r="V374" s="795"/>
      <c r="W374" s="795"/>
      <c r="X374" s="795"/>
      <c r="Y374" s="795"/>
      <c r="Z374" s="796"/>
      <c r="AA374" s="795"/>
      <c r="AB374" s="329" t="str">
        <f>basis!$B$19</f>
        <v/>
      </c>
      <c r="AC374" s="795"/>
      <c r="AD374" s="795"/>
      <c r="AE374" s="795"/>
      <c r="AF374" s="795"/>
      <c r="AG374" s="892"/>
      <c r="AH374" s="225" t="str">
        <f t="shared" si="22"/>
        <v/>
      </c>
      <c r="AI374" s="795"/>
      <c r="AJ374" s="796"/>
      <c r="AK374" s="796"/>
      <c r="AL374" s="795"/>
      <c r="AM374" s="796"/>
      <c r="AN374" s="795"/>
      <c r="AO374" s="795"/>
      <c r="AP374" s="795"/>
      <c r="AQ374" s="218"/>
      <c r="AR374" s="47"/>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row>
    <row r="375" spans="1:138" s="24" customFormat="1" x14ac:dyDescent="0.2">
      <c r="A375" s="219">
        <f t="shared" si="23"/>
        <v>44926</v>
      </c>
      <c r="B375" s="220">
        <f t="shared" si="20"/>
        <v>12</v>
      </c>
      <c r="C375" s="221">
        <f t="shared" si="21"/>
        <v>7</v>
      </c>
      <c r="D375" s="795"/>
      <c r="E375" s="795"/>
      <c r="F375" s="796"/>
      <c r="G375" s="796"/>
      <c r="H375" s="796"/>
      <c r="I375" s="795"/>
      <c r="J375" s="795"/>
      <c r="K375" s="795"/>
      <c r="L375" s="796"/>
      <c r="M375" s="796"/>
      <c r="N375" s="795"/>
      <c r="O375" s="795"/>
      <c r="P375" s="795"/>
      <c r="Q375" s="795"/>
      <c r="R375" s="795"/>
      <c r="S375" s="795"/>
      <c r="T375" s="795"/>
      <c r="U375" s="795"/>
      <c r="V375" s="795"/>
      <c r="W375" s="795"/>
      <c r="X375" s="795"/>
      <c r="Y375" s="795"/>
      <c r="Z375" s="796"/>
      <c r="AA375" s="795"/>
      <c r="AB375" s="329" t="str">
        <f>basis!$B$19</f>
        <v/>
      </c>
      <c r="AC375" s="795"/>
      <c r="AD375" s="795"/>
      <c r="AE375" s="795"/>
      <c r="AF375" s="795"/>
      <c r="AG375" s="892"/>
      <c r="AH375" s="225" t="str">
        <f t="shared" si="22"/>
        <v/>
      </c>
      <c r="AI375" s="795"/>
      <c r="AJ375" s="796"/>
      <c r="AK375" s="796"/>
      <c r="AL375" s="795"/>
      <c r="AM375" s="796"/>
      <c r="AN375" s="795"/>
      <c r="AO375" s="795"/>
      <c r="AP375" s="795"/>
      <c r="AQ375" s="218"/>
      <c r="AR375" s="48"/>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row>
    <row r="376" spans="1:138" s="24" customFormat="1" x14ac:dyDescent="0.2">
      <c r="A376" s="222"/>
      <c r="B376" s="223"/>
      <c r="C376" s="224"/>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c r="AA376" s="218"/>
      <c r="AB376" s="329" t="str">
        <f>basis!$B$19</f>
        <v/>
      </c>
      <c r="AC376" s="218"/>
      <c r="AD376" s="795"/>
      <c r="AE376" s="795"/>
      <c r="AF376" s="795"/>
      <c r="AG376" s="892"/>
      <c r="AH376" s="225" t="str">
        <f t="shared" si="22"/>
        <v/>
      </c>
      <c r="AI376" s="218"/>
      <c r="AJ376" s="218"/>
      <c r="AK376" s="218"/>
      <c r="AL376" s="218"/>
      <c r="AM376" s="218"/>
      <c r="AN376" s="218"/>
      <c r="AO376" s="218"/>
      <c r="AP376" s="218"/>
      <c r="AQ376" s="218"/>
      <c r="AR376" s="48"/>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row>
    <row r="377" spans="1:138" s="260" customFormat="1" ht="3.6" customHeight="1" x14ac:dyDescent="0.2">
      <c r="A377" s="248"/>
      <c r="B377" s="249"/>
      <c r="C377" s="250"/>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2"/>
      <c r="AA377" s="253"/>
      <c r="AB377" s="254"/>
      <c r="AC377" s="255"/>
      <c r="AD377" s="254"/>
      <c r="AE377" s="255"/>
      <c r="AF377" s="254"/>
      <c r="AG377" s="253"/>
      <c r="AH377" s="256"/>
      <c r="AI377" s="257"/>
      <c r="AJ377" s="255"/>
      <c r="AK377" s="255"/>
      <c r="AL377" s="255"/>
      <c r="AM377" s="255"/>
      <c r="AN377" s="255"/>
      <c r="AO377" s="255"/>
      <c r="AP377" s="258"/>
      <c r="AQ377" s="259"/>
      <c r="AR377" s="48"/>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row>
    <row r="378" spans="1:138" x14ac:dyDescent="0.2">
      <c r="C378" s="149"/>
      <c r="D378" s="149"/>
      <c r="E378" s="149"/>
      <c r="F378" s="149"/>
      <c r="G378" s="149"/>
      <c r="H378" s="149"/>
      <c r="I378" s="149"/>
      <c r="J378" s="149"/>
      <c r="K378" s="845"/>
      <c r="L378" s="149"/>
      <c r="M378" s="149"/>
      <c r="N378" s="149"/>
      <c r="O378" s="149"/>
      <c r="P378" s="149"/>
      <c r="Q378" s="149"/>
      <c r="R378" s="149"/>
      <c r="AC378" s="154"/>
      <c r="AD378" s="69"/>
      <c r="AE378" s="154"/>
      <c r="AH378" s="226"/>
      <c r="AI378" s="69"/>
      <c r="AJ378" s="69"/>
      <c r="AK378" s="69"/>
      <c r="AL378" s="69"/>
      <c r="AM378" s="69"/>
      <c r="AN378" s="69"/>
      <c r="AO378" s="69"/>
      <c r="AP378" s="69"/>
      <c r="AR378" s="48"/>
    </row>
    <row r="379" spans="1:138" x14ac:dyDescent="0.2">
      <c r="C379" s="149"/>
      <c r="D379" s="149"/>
      <c r="E379" s="149"/>
      <c r="F379" s="149"/>
      <c r="G379" s="149"/>
      <c r="H379" s="149"/>
      <c r="I379" s="149"/>
      <c r="J379" s="149"/>
      <c r="K379" s="845"/>
      <c r="L379" s="149"/>
      <c r="M379" s="149"/>
      <c r="N379" s="149"/>
      <c r="O379" s="149"/>
      <c r="P379" s="149"/>
      <c r="Q379" s="149"/>
      <c r="R379" s="149"/>
      <c r="AC379" s="154"/>
      <c r="AD379" s="69"/>
      <c r="AE379" s="154"/>
      <c r="AI379" s="69"/>
      <c r="AJ379" s="69"/>
      <c r="AK379" s="69"/>
      <c r="AL379" s="69"/>
      <c r="AM379" s="69"/>
      <c r="AN379" s="69"/>
      <c r="AO379" s="69"/>
      <c r="AP379" s="69"/>
      <c r="AR379" s="48"/>
    </row>
    <row r="380" spans="1:138" s="158" customFormat="1" x14ac:dyDescent="0.2">
      <c r="A380" s="537" t="s">
        <v>154</v>
      </c>
      <c r="B380" s="157"/>
      <c r="C380" s="537"/>
      <c r="D380" s="545">
        <f>MIN(D11:D376)</f>
        <v>0</v>
      </c>
      <c r="E380" s="545">
        <f t="shared" ref="E380:AQ380" si="24">MIN(E11:E376)</f>
        <v>0</v>
      </c>
      <c r="F380" s="545">
        <f t="shared" si="24"/>
        <v>0</v>
      </c>
      <c r="G380" s="545">
        <f t="shared" si="24"/>
        <v>0</v>
      </c>
      <c r="H380" s="545">
        <f t="shared" si="24"/>
        <v>0</v>
      </c>
      <c r="I380" s="545">
        <f t="shared" si="24"/>
        <v>0</v>
      </c>
      <c r="J380" s="545">
        <f t="shared" si="24"/>
        <v>0</v>
      </c>
      <c r="K380" s="545">
        <f t="shared" si="24"/>
        <v>0</v>
      </c>
      <c r="L380" s="545">
        <f t="shared" si="24"/>
        <v>0</v>
      </c>
      <c r="M380" s="545">
        <f t="shared" si="24"/>
        <v>0</v>
      </c>
      <c r="N380" s="545">
        <f t="shared" si="24"/>
        <v>0</v>
      </c>
      <c r="O380" s="545">
        <f t="shared" si="24"/>
        <v>0</v>
      </c>
      <c r="P380" s="545">
        <f t="shared" si="24"/>
        <v>0</v>
      </c>
      <c r="Q380" s="545">
        <f t="shared" si="24"/>
        <v>0</v>
      </c>
      <c r="R380" s="545">
        <f t="shared" si="24"/>
        <v>0</v>
      </c>
      <c r="S380" s="545">
        <f t="shared" si="24"/>
        <v>0</v>
      </c>
      <c r="T380" s="545">
        <f t="shared" si="24"/>
        <v>0</v>
      </c>
      <c r="U380" s="545">
        <f t="shared" si="24"/>
        <v>0</v>
      </c>
      <c r="V380" s="545">
        <f t="shared" si="24"/>
        <v>0</v>
      </c>
      <c r="W380" s="545">
        <f t="shared" si="24"/>
        <v>0</v>
      </c>
      <c r="X380" s="545">
        <f t="shared" si="24"/>
        <v>0</v>
      </c>
      <c r="Y380" s="545">
        <f t="shared" si="24"/>
        <v>0</v>
      </c>
      <c r="Z380" s="545">
        <f t="shared" si="24"/>
        <v>0</v>
      </c>
      <c r="AA380" s="545">
        <f t="shared" si="24"/>
        <v>0</v>
      </c>
      <c r="AB380" s="545">
        <f t="shared" si="24"/>
        <v>0</v>
      </c>
      <c r="AC380" s="545">
        <f t="shared" si="24"/>
        <v>0</v>
      </c>
      <c r="AD380" s="545">
        <f t="shared" si="24"/>
        <v>0</v>
      </c>
      <c r="AE380" s="545">
        <f t="shared" si="24"/>
        <v>0</v>
      </c>
      <c r="AF380" s="545">
        <f t="shared" si="24"/>
        <v>0</v>
      </c>
      <c r="AG380" s="545">
        <f t="shared" si="24"/>
        <v>0</v>
      </c>
      <c r="AH380" s="545">
        <f t="shared" si="24"/>
        <v>0</v>
      </c>
      <c r="AI380" s="545">
        <f t="shared" si="24"/>
        <v>0</v>
      </c>
      <c r="AJ380" s="545">
        <f t="shared" si="24"/>
        <v>0</v>
      </c>
      <c r="AK380" s="545">
        <f t="shared" si="24"/>
        <v>0</v>
      </c>
      <c r="AL380" s="545">
        <f t="shared" si="24"/>
        <v>0</v>
      </c>
      <c r="AM380" s="545">
        <f t="shared" si="24"/>
        <v>0</v>
      </c>
      <c r="AN380" s="545">
        <f t="shared" si="24"/>
        <v>0</v>
      </c>
      <c r="AO380" s="545">
        <f t="shared" si="24"/>
        <v>0</v>
      </c>
      <c r="AP380" s="545">
        <f t="shared" si="24"/>
        <v>0</v>
      </c>
      <c r="AQ380" s="545">
        <f t="shared" si="24"/>
        <v>0</v>
      </c>
      <c r="AR380" s="48"/>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c r="BP380" s="151"/>
      <c r="BQ380" s="151"/>
      <c r="BR380" s="151"/>
      <c r="BS380" s="151"/>
      <c r="BT380" s="151"/>
      <c r="BU380" s="151"/>
      <c r="BV380" s="151"/>
      <c r="BW380" s="151"/>
      <c r="BX380" s="151"/>
      <c r="BY380" s="151"/>
      <c r="BZ380" s="151"/>
      <c r="CA380" s="151"/>
      <c r="CB380" s="151"/>
      <c r="CC380" s="151"/>
      <c r="CD380" s="151"/>
      <c r="CE380" s="151"/>
      <c r="CF380" s="151"/>
      <c r="CG380" s="151"/>
      <c r="CH380" s="151"/>
      <c r="CI380" s="151"/>
      <c r="CJ380" s="151"/>
      <c r="CK380" s="151"/>
      <c r="CL380" s="151"/>
      <c r="CM380" s="151"/>
      <c r="CN380" s="151"/>
      <c r="CO380" s="151"/>
      <c r="CP380" s="151"/>
      <c r="CQ380" s="151"/>
      <c r="CR380" s="151"/>
      <c r="CS380" s="151"/>
      <c r="CT380" s="151"/>
      <c r="CU380" s="151"/>
      <c r="CV380" s="151"/>
      <c r="CW380" s="151"/>
      <c r="CX380" s="151"/>
      <c r="CY380" s="151"/>
      <c r="CZ380" s="151"/>
      <c r="DA380" s="151"/>
      <c r="DB380" s="151"/>
      <c r="DC380" s="151"/>
      <c r="DD380" s="151"/>
      <c r="DE380" s="151"/>
      <c r="DF380" s="151"/>
      <c r="DG380" s="151"/>
      <c r="DH380" s="151"/>
      <c r="DI380" s="151"/>
      <c r="DJ380" s="151"/>
      <c r="DK380" s="151"/>
      <c r="DL380" s="151"/>
      <c r="DM380" s="151"/>
      <c r="DN380" s="151"/>
      <c r="DO380" s="151"/>
      <c r="DP380" s="151"/>
      <c r="DQ380" s="151"/>
      <c r="DR380" s="151"/>
      <c r="DS380" s="151"/>
      <c r="DT380" s="151"/>
      <c r="DU380" s="151"/>
      <c r="DV380" s="151"/>
      <c r="DW380" s="151"/>
      <c r="DX380" s="151"/>
      <c r="DY380" s="151"/>
      <c r="DZ380" s="151"/>
      <c r="EA380" s="151"/>
      <c r="EB380" s="151"/>
      <c r="EC380" s="151"/>
      <c r="ED380" s="151"/>
      <c r="EE380" s="151"/>
      <c r="EF380" s="151"/>
      <c r="EG380" s="151"/>
      <c r="EH380" s="151"/>
    </row>
    <row r="381" spans="1:138" s="93" customFormat="1" x14ac:dyDescent="0.2">
      <c r="A381" s="538" t="s">
        <v>155</v>
      </c>
      <c r="B381" s="159"/>
      <c r="C381" s="538"/>
      <c r="D381" s="546">
        <f>MAX(D11:D376)</f>
        <v>0</v>
      </c>
      <c r="E381" s="546">
        <f t="shared" ref="E381:AQ381" si="25">MAX(E11:E376)</f>
        <v>0</v>
      </c>
      <c r="F381" s="546">
        <f t="shared" si="25"/>
        <v>0</v>
      </c>
      <c r="G381" s="546">
        <f t="shared" si="25"/>
        <v>0</v>
      </c>
      <c r="H381" s="546">
        <f t="shared" si="25"/>
        <v>0</v>
      </c>
      <c r="I381" s="546">
        <f t="shared" si="25"/>
        <v>0</v>
      </c>
      <c r="J381" s="546">
        <f t="shared" si="25"/>
        <v>0</v>
      </c>
      <c r="K381" s="546">
        <f t="shared" si="25"/>
        <v>0</v>
      </c>
      <c r="L381" s="546">
        <f t="shared" si="25"/>
        <v>0</v>
      </c>
      <c r="M381" s="546">
        <f t="shared" si="25"/>
        <v>0</v>
      </c>
      <c r="N381" s="546">
        <f t="shared" si="25"/>
        <v>0</v>
      </c>
      <c r="O381" s="546">
        <f t="shared" si="25"/>
        <v>0</v>
      </c>
      <c r="P381" s="546">
        <f t="shared" si="25"/>
        <v>0</v>
      </c>
      <c r="Q381" s="546">
        <f t="shared" si="25"/>
        <v>0</v>
      </c>
      <c r="R381" s="546">
        <f t="shared" si="25"/>
        <v>0</v>
      </c>
      <c r="S381" s="546">
        <f t="shared" si="25"/>
        <v>0</v>
      </c>
      <c r="T381" s="546">
        <f t="shared" si="25"/>
        <v>0</v>
      </c>
      <c r="U381" s="546">
        <f t="shared" si="25"/>
        <v>0</v>
      </c>
      <c r="V381" s="546">
        <f t="shared" si="25"/>
        <v>0</v>
      </c>
      <c r="W381" s="546">
        <f t="shared" si="25"/>
        <v>0</v>
      </c>
      <c r="X381" s="546">
        <f t="shared" si="25"/>
        <v>0</v>
      </c>
      <c r="Y381" s="546">
        <f t="shared" si="25"/>
        <v>0</v>
      </c>
      <c r="Z381" s="546">
        <f t="shared" si="25"/>
        <v>0</v>
      </c>
      <c r="AA381" s="546">
        <f t="shared" si="25"/>
        <v>0</v>
      </c>
      <c r="AB381" s="546">
        <f t="shared" si="25"/>
        <v>0</v>
      </c>
      <c r="AC381" s="546">
        <f t="shared" si="25"/>
        <v>0</v>
      </c>
      <c r="AD381" s="546">
        <f t="shared" si="25"/>
        <v>0</v>
      </c>
      <c r="AE381" s="546">
        <f t="shared" si="25"/>
        <v>0</v>
      </c>
      <c r="AF381" s="546">
        <f t="shared" si="25"/>
        <v>0</v>
      </c>
      <c r="AG381" s="546">
        <f t="shared" si="25"/>
        <v>0</v>
      </c>
      <c r="AH381" s="546">
        <f t="shared" si="25"/>
        <v>0</v>
      </c>
      <c r="AI381" s="546">
        <f t="shared" si="25"/>
        <v>0</v>
      </c>
      <c r="AJ381" s="546">
        <f t="shared" si="25"/>
        <v>0</v>
      </c>
      <c r="AK381" s="546">
        <f t="shared" si="25"/>
        <v>0</v>
      </c>
      <c r="AL381" s="546">
        <f t="shared" si="25"/>
        <v>0</v>
      </c>
      <c r="AM381" s="546">
        <f t="shared" si="25"/>
        <v>0</v>
      </c>
      <c r="AN381" s="546">
        <f t="shared" si="25"/>
        <v>0</v>
      </c>
      <c r="AO381" s="546">
        <f t="shared" si="25"/>
        <v>0</v>
      </c>
      <c r="AP381" s="546">
        <f t="shared" si="25"/>
        <v>0</v>
      </c>
      <c r="AQ381" s="546">
        <f t="shared" si="25"/>
        <v>0</v>
      </c>
      <c r="AR381" s="48"/>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151"/>
      <c r="BN381" s="151"/>
      <c r="BO381" s="151"/>
      <c r="BP381" s="151"/>
      <c r="BQ381" s="151"/>
      <c r="BR381" s="151"/>
      <c r="BS381" s="151"/>
      <c r="BT381" s="151"/>
      <c r="BU381" s="151"/>
      <c r="BV381" s="151"/>
      <c r="BW381" s="151"/>
      <c r="BX381" s="151"/>
      <c r="BY381" s="151"/>
      <c r="BZ381" s="151"/>
      <c r="CA381" s="151"/>
      <c r="CB381" s="151"/>
      <c r="CC381" s="151"/>
      <c r="CD381" s="151"/>
      <c r="CE381" s="151"/>
      <c r="CF381" s="151"/>
      <c r="CG381" s="151"/>
      <c r="CH381" s="151"/>
      <c r="CI381" s="151"/>
      <c r="CJ381" s="151"/>
      <c r="CK381" s="151"/>
      <c r="CL381" s="151"/>
      <c r="CM381" s="151"/>
      <c r="CN381" s="151"/>
      <c r="CO381" s="151"/>
      <c r="CP381" s="151"/>
      <c r="CQ381" s="151"/>
      <c r="CR381" s="151"/>
      <c r="CS381" s="151"/>
      <c r="CT381" s="151"/>
      <c r="CU381" s="151"/>
      <c r="CV381" s="151"/>
      <c r="CW381" s="151"/>
      <c r="CX381" s="151"/>
      <c r="CY381" s="151"/>
      <c r="CZ381" s="151"/>
      <c r="DA381" s="151"/>
      <c r="DB381" s="151"/>
      <c r="DC381" s="151"/>
      <c r="DD381" s="151"/>
      <c r="DE381" s="151"/>
      <c r="DF381" s="151"/>
      <c r="DG381" s="151"/>
      <c r="DH381" s="151"/>
      <c r="DI381" s="151"/>
      <c r="DJ381" s="151"/>
      <c r="DK381" s="151"/>
      <c r="DL381" s="151"/>
      <c r="DM381" s="151"/>
      <c r="DN381" s="151"/>
      <c r="DO381" s="151"/>
      <c r="DP381" s="151"/>
      <c r="DQ381" s="151"/>
      <c r="DR381" s="151"/>
      <c r="DS381" s="151"/>
      <c r="DT381" s="151"/>
      <c r="DU381" s="151"/>
      <c r="DV381" s="151"/>
      <c r="DW381" s="151"/>
      <c r="DX381" s="151"/>
      <c r="DY381" s="151"/>
      <c r="DZ381" s="151"/>
      <c r="EA381" s="151"/>
      <c r="EB381" s="151"/>
      <c r="EC381" s="151"/>
      <c r="ED381" s="151"/>
      <c r="EE381" s="151"/>
      <c r="EF381" s="151"/>
      <c r="EG381" s="151"/>
      <c r="EH381" s="151"/>
    </row>
    <row r="382" spans="1:138" s="31" customFormat="1" x14ac:dyDescent="0.2">
      <c r="A382" s="539" t="s">
        <v>341</v>
      </c>
      <c r="B382" s="30"/>
      <c r="C382" s="539"/>
      <c r="D382" s="547" t="e">
        <f>AVERAGE(D11:D376)</f>
        <v>#DIV/0!</v>
      </c>
      <c r="E382" s="547" t="e">
        <f>AVERAGE(E11:E376)</f>
        <v>#DIV/0!</v>
      </c>
      <c r="F382" s="547" t="e">
        <f t="shared" ref="F382:AQ382" si="26">AVERAGE(F11:F376)</f>
        <v>#DIV/0!</v>
      </c>
      <c r="G382" s="547" t="e">
        <f>AVERAGE(G11:G376)</f>
        <v>#DIV/0!</v>
      </c>
      <c r="H382" s="547" t="e">
        <f t="shared" si="26"/>
        <v>#DIV/0!</v>
      </c>
      <c r="I382" s="547" t="e">
        <f t="shared" si="26"/>
        <v>#DIV/0!</v>
      </c>
      <c r="J382" s="547" t="e">
        <f t="shared" si="26"/>
        <v>#DIV/0!</v>
      </c>
      <c r="K382" s="547" t="e">
        <f t="shared" si="26"/>
        <v>#DIV/0!</v>
      </c>
      <c r="L382" s="547" t="e">
        <f t="shared" si="26"/>
        <v>#DIV/0!</v>
      </c>
      <c r="M382" s="547" t="e">
        <f t="shared" si="26"/>
        <v>#DIV/0!</v>
      </c>
      <c r="N382" s="547" t="e">
        <f t="shared" si="26"/>
        <v>#DIV/0!</v>
      </c>
      <c r="O382" s="547" t="e">
        <f t="shared" si="26"/>
        <v>#DIV/0!</v>
      </c>
      <c r="P382" s="547" t="e">
        <f t="shared" si="26"/>
        <v>#DIV/0!</v>
      </c>
      <c r="Q382" s="547" t="e">
        <f t="shared" si="26"/>
        <v>#DIV/0!</v>
      </c>
      <c r="R382" s="547" t="e">
        <f t="shared" si="26"/>
        <v>#DIV/0!</v>
      </c>
      <c r="S382" s="547" t="e">
        <f t="shared" si="26"/>
        <v>#DIV/0!</v>
      </c>
      <c r="T382" s="547" t="e">
        <f t="shared" si="26"/>
        <v>#DIV/0!</v>
      </c>
      <c r="U382" s="547" t="e">
        <f t="shared" si="26"/>
        <v>#DIV/0!</v>
      </c>
      <c r="V382" s="547" t="e">
        <f t="shared" si="26"/>
        <v>#DIV/0!</v>
      </c>
      <c r="W382" s="547" t="e">
        <f t="shared" si="26"/>
        <v>#DIV/0!</v>
      </c>
      <c r="X382" s="547" t="e">
        <f t="shared" si="26"/>
        <v>#DIV/0!</v>
      </c>
      <c r="Y382" s="547" t="e">
        <f t="shared" si="26"/>
        <v>#DIV/0!</v>
      </c>
      <c r="Z382" s="547" t="e">
        <f t="shared" si="26"/>
        <v>#DIV/0!</v>
      </c>
      <c r="AA382" s="547" t="e">
        <f t="shared" si="26"/>
        <v>#DIV/0!</v>
      </c>
      <c r="AB382" s="547" t="e">
        <f t="shared" si="26"/>
        <v>#DIV/0!</v>
      </c>
      <c r="AC382" s="547" t="e">
        <f t="shared" si="26"/>
        <v>#DIV/0!</v>
      </c>
      <c r="AD382" s="547" t="e">
        <f t="shared" si="26"/>
        <v>#DIV/0!</v>
      </c>
      <c r="AE382" s="547" t="e">
        <f t="shared" si="26"/>
        <v>#DIV/0!</v>
      </c>
      <c r="AF382" s="547" t="e">
        <f t="shared" si="26"/>
        <v>#DIV/0!</v>
      </c>
      <c r="AG382" s="547" t="e">
        <f t="shared" si="26"/>
        <v>#DIV/0!</v>
      </c>
      <c r="AH382" s="547" t="e">
        <f t="shared" si="26"/>
        <v>#DIV/0!</v>
      </c>
      <c r="AI382" s="547" t="e">
        <f t="shared" si="26"/>
        <v>#DIV/0!</v>
      </c>
      <c r="AJ382" s="547" t="e">
        <f t="shared" si="26"/>
        <v>#DIV/0!</v>
      </c>
      <c r="AK382" s="547" t="e">
        <f t="shared" si="26"/>
        <v>#DIV/0!</v>
      </c>
      <c r="AL382" s="547" t="e">
        <f t="shared" si="26"/>
        <v>#DIV/0!</v>
      </c>
      <c r="AM382" s="547" t="e">
        <f t="shared" si="26"/>
        <v>#DIV/0!</v>
      </c>
      <c r="AN382" s="547" t="e">
        <f t="shared" si="26"/>
        <v>#DIV/0!</v>
      </c>
      <c r="AO382" s="547" t="e">
        <f t="shared" si="26"/>
        <v>#DIV/0!</v>
      </c>
      <c r="AP382" s="547" t="e">
        <f t="shared" si="26"/>
        <v>#DIV/0!</v>
      </c>
      <c r="AQ382" s="547" t="e">
        <f t="shared" si="26"/>
        <v>#DIV/0!</v>
      </c>
      <c r="AR382" s="48"/>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row>
    <row r="383" spans="1:138" s="54" customFormat="1" x14ac:dyDescent="0.2">
      <c r="A383" s="540" t="s">
        <v>342</v>
      </c>
      <c r="C383" s="540"/>
      <c r="D383" s="553">
        <f>COUNT(D11:D376)</f>
        <v>0</v>
      </c>
      <c r="E383" s="553">
        <f t="shared" ref="E383:AQ383" si="27">COUNT(E11:E376)</f>
        <v>0</v>
      </c>
      <c r="F383" s="553">
        <f t="shared" si="27"/>
        <v>0</v>
      </c>
      <c r="G383" s="553">
        <f t="shared" si="27"/>
        <v>0</v>
      </c>
      <c r="H383" s="553">
        <f t="shared" si="27"/>
        <v>0</v>
      </c>
      <c r="I383" s="553">
        <f t="shared" si="27"/>
        <v>0</v>
      </c>
      <c r="J383" s="553">
        <f t="shared" si="27"/>
        <v>0</v>
      </c>
      <c r="K383" s="553">
        <f t="shared" si="27"/>
        <v>0</v>
      </c>
      <c r="L383" s="553">
        <f t="shared" si="27"/>
        <v>0</v>
      </c>
      <c r="M383" s="553">
        <f t="shared" si="27"/>
        <v>0</v>
      </c>
      <c r="N383" s="553">
        <f t="shared" si="27"/>
        <v>0</v>
      </c>
      <c r="O383" s="553">
        <f t="shared" si="27"/>
        <v>0</v>
      </c>
      <c r="P383" s="553">
        <f t="shared" si="27"/>
        <v>0</v>
      </c>
      <c r="Q383" s="553">
        <f t="shared" si="27"/>
        <v>0</v>
      </c>
      <c r="R383" s="553">
        <f t="shared" si="27"/>
        <v>0</v>
      </c>
      <c r="S383" s="553">
        <f t="shared" si="27"/>
        <v>0</v>
      </c>
      <c r="T383" s="553">
        <f t="shared" si="27"/>
        <v>0</v>
      </c>
      <c r="U383" s="553">
        <f t="shared" si="27"/>
        <v>0</v>
      </c>
      <c r="V383" s="553">
        <f t="shared" si="27"/>
        <v>0</v>
      </c>
      <c r="W383" s="553">
        <f t="shared" si="27"/>
        <v>0</v>
      </c>
      <c r="X383" s="553">
        <f t="shared" si="27"/>
        <v>0</v>
      </c>
      <c r="Y383" s="553">
        <f t="shared" si="27"/>
        <v>0</v>
      </c>
      <c r="Z383" s="553">
        <f t="shared" si="27"/>
        <v>0</v>
      </c>
      <c r="AA383" s="553">
        <f t="shared" si="27"/>
        <v>0</v>
      </c>
      <c r="AB383" s="553">
        <f t="shared" si="27"/>
        <v>0</v>
      </c>
      <c r="AC383" s="553">
        <f t="shared" si="27"/>
        <v>0</v>
      </c>
      <c r="AD383" s="553">
        <f t="shared" si="27"/>
        <v>0</v>
      </c>
      <c r="AE383" s="553">
        <f t="shared" si="27"/>
        <v>0</v>
      </c>
      <c r="AF383" s="553">
        <f t="shared" si="27"/>
        <v>0</v>
      </c>
      <c r="AG383" s="553">
        <f t="shared" si="27"/>
        <v>0</v>
      </c>
      <c r="AH383" s="553">
        <f t="shared" si="27"/>
        <v>0</v>
      </c>
      <c r="AI383" s="553">
        <f t="shared" si="27"/>
        <v>0</v>
      </c>
      <c r="AJ383" s="553">
        <f t="shared" si="27"/>
        <v>0</v>
      </c>
      <c r="AK383" s="553">
        <f t="shared" si="27"/>
        <v>0</v>
      </c>
      <c r="AL383" s="553">
        <f t="shared" si="27"/>
        <v>0</v>
      </c>
      <c r="AM383" s="553">
        <f t="shared" si="27"/>
        <v>0</v>
      </c>
      <c r="AN383" s="553">
        <f t="shared" si="27"/>
        <v>0</v>
      </c>
      <c r="AO383" s="553">
        <f t="shared" si="27"/>
        <v>0</v>
      </c>
      <c r="AP383" s="553">
        <f t="shared" si="27"/>
        <v>0</v>
      </c>
      <c r="AQ383" s="553">
        <f t="shared" si="27"/>
        <v>0</v>
      </c>
      <c r="AR383" s="48"/>
      <c r="AS383" s="168"/>
      <c r="AT383" s="168"/>
      <c r="AU383" s="168"/>
      <c r="AV383" s="168"/>
      <c r="AW383" s="168"/>
      <c r="AX383" s="168"/>
      <c r="AY383" s="168"/>
      <c r="AZ383" s="168"/>
      <c r="BA383" s="168"/>
      <c r="BB383" s="168"/>
      <c r="BC383" s="168"/>
      <c r="BD383" s="168"/>
      <c r="BE383" s="168"/>
      <c r="BF383" s="168"/>
      <c r="BG383" s="168"/>
      <c r="BH383" s="168"/>
      <c r="BI383" s="168"/>
      <c r="BJ383" s="168"/>
      <c r="BK383" s="168"/>
      <c r="BL383" s="168"/>
      <c r="BM383" s="168"/>
      <c r="BN383" s="168"/>
      <c r="BO383" s="168"/>
      <c r="BP383" s="168"/>
      <c r="BQ383" s="168"/>
      <c r="BR383" s="168"/>
      <c r="BS383" s="168"/>
      <c r="BT383" s="168"/>
      <c r="BU383" s="168"/>
      <c r="BV383" s="168"/>
      <c r="BW383" s="168"/>
      <c r="BX383" s="168"/>
      <c r="BY383" s="168"/>
      <c r="BZ383" s="168"/>
      <c r="CA383" s="168"/>
      <c r="CB383" s="168"/>
      <c r="CC383" s="168"/>
      <c r="CD383" s="168"/>
      <c r="CE383" s="168"/>
      <c r="CF383" s="168"/>
      <c r="CG383" s="168"/>
      <c r="CH383" s="168"/>
      <c r="CI383" s="168"/>
      <c r="CJ383" s="168"/>
      <c r="CK383" s="168"/>
      <c r="CL383" s="168"/>
      <c r="CM383" s="168"/>
      <c r="CN383" s="168"/>
      <c r="CO383" s="168"/>
      <c r="CP383" s="168"/>
      <c r="CQ383" s="168"/>
      <c r="CR383" s="168"/>
      <c r="CS383" s="168"/>
      <c r="CT383" s="168"/>
      <c r="CU383" s="168"/>
      <c r="CV383" s="168"/>
      <c r="CW383" s="168"/>
      <c r="CX383" s="168"/>
      <c r="CY383" s="168"/>
      <c r="CZ383" s="168"/>
      <c r="DA383" s="168"/>
      <c r="DB383" s="168"/>
      <c r="DC383" s="168"/>
      <c r="DD383" s="168"/>
      <c r="DE383" s="168"/>
      <c r="DF383" s="168"/>
      <c r="DG383" s="168"/>
      <c r="DH383" s="168"/>
      <c r="DI383" s="168"/>
      <c r="DJ383" s="168"/>
      <c r="DK383" s="168"/>
      <c r="DL383" s="168"/>
      <c r="DM383" s="168"/>
      <c r="DN383" s="168"/>
      <c r="DO383" s="168"/>
      <c r="DP383" s="168"/>
      <c r="DQ383" s="168"/>
      <c r="DR383" s="168"/>
      <c r="DS383" s="168"/>
      <c r="DT383" s="168"/>
      <c r="DU383" s="168"/>
      <c r="DV383" s="168"/>
      <c r="DW383" s="168"/>
      <c r="DX383" s="168"/>
      <c r="DY383" s="168"/>
      <c r="DZ383" s="168"/>
      <c r="EA383" s="168"/>
      <c r="EB383" s="168"/>
      <c r="EC383" s="168"/>
      <c r="ED383" s="168"/>
      <c r="EE383" s="168"/>
      <c r="EF383" s="168"/>
      <c r="EG383" s="168"/>
      <c r="EH383" s="168"/>
    </row>
    <row r="384" spans="1:138" s="31" customFormat="1" x14ac:dyDescent="0.2">
      <c r="A384" s="541" t="s">
        <v>343</v>
      </c>
      <c r="B384" s="30"/>
      <c r="C384" s="541"/>
      <c r="D384" s="548">
        <f>SUM(D11:D376)</f>
        <v>0</v>
      </c>
      <c r="E384" s="548">
        <f t="shared" ref="E384:AQ384" si="28">SUM(E11:E376)</f>
        <v>0</v>
      </c>
      <c r="F384" s="548">
        <f t="shared" si="28"/>
        <v>0</v>
      </c>
      <c r="G384" s="548">
        <f t="shared" si="28"/>
        <v>0</v>
      </c>
      <c r="H384" s="548">
        <f t="shared" si="28"/>
        <v>0</v>
      </c>
      <c r="I384" s="548">
        <f t="shared" si="28"/>
        <v>0</v>
      </c>
      <c r="J384" s="548">
        <f t="shared" si="28"/>
        <v>0</v>
      </c>
      <c r="K384" s="548">
        <f t="shared" si="28"/>
        <v>0</v>
      </c>
      <c r="L384" s="548">
        <f t="shared" si="28"/>
        <v>0</v>
      </c>
      <c r="M384" s="548">
        <f t="shared" si="28"/>
        <v>0</v>
      </c>
      <c r="N384" s="548">
        <f t="shared" si="28"/>
        <v>0</v>
      </c>
      <c r="O384" s="548">
        <f t="shared" si="28"/>
        <v>0</v>
      </c>
      <c r="P384" s="548">
        <f t="shared" si="28"/>
        <v>0</v>
      </c>
      <c r="Q384" s="548">
        <f t="shared" si="28"/>
        <v>0</v>
      </c>
      <c r="R384" s="548">
        <f t="shared" si="28"/>
        <v>0</v>
      </c>
      <c r="S384" s="548">
        <f t="shared" si="28"/>
        <v>0</v>
      </c>
      <c r="T384" s="548">
        <f t="shared" si="28"/>
        <v>0</v>
      </c>
      <c r="U384" s="548">
        <f t="shared" si="28"/>
        <v>0</v>
      </c>
      <c r="V384" s="548">
        <f t="shared" si="28"/>
        <v>0</v>
      </c>
      <c r="W384" s="548">
        <f t="shared" si="28"/>
        <v>0</v>
      </c>
      <c r="X384" s="548">
        <f t="shared" si="28"/>
        <v>0</v>
      </c>
      <c r="Y384" s="548">
        <f t="shared" si="28"/>
        <v>0</v>
      </c>
      <c r="Z384" s="548">
        <f t="shared" si="28"/>
        <v>0</v>
      </c>
      <c r="AA384" s="548">
        <f t="shared" si="28"/>
        <v>0</v>
      </c>
      <c r="AB384" s="548">
        <f t="shared" si="28"/>
        <v>0</v>
      </c>
      <c r="AC384" s="548">
        <f t="shared" si="28"/>
        <v>0</v>
      </c>
      <c r="AD384" s="548">
        <f t="shared" si="28"/>
        <v>0</v>
      </c>
      <c r="AE384" s="548">
        <f t="shared" si="28"/>
        <v>0</v>
      </c>
      <c r="AF384" s="548">
        <f t="shared" si="28"/>
        <v>0</v>
      </c>
      <c r="AG384" s="548">
        <f t="shared" si="28"/>
        <v>0</v>
      </c>
      <c r="AH384" s="548">
        <f t="shared" si="28"/>
        <v>0</v>
      </c>
      <c r="AI384" s="548">
        <f t="shared" si="28"/>
        <v>0</v>
      </c>
      <c r="AJ384" s="548">
        <f t="shared" si="28"/>
        <v>0</v>
      </c>
      <c r="AK384" s="548">
        <f t="shared" si="28"/>
        <v>0</v>
      </c>
      <c r="AL384" s="548">
        <f t="shared" si="28"/>
        <v>0</v>
      </c>
      <c r="AM384" s="548">
        <f t="shared" si="28"/>
        <v>0</v>
      </c>
      <c r="AN384" s="548">
        <f t="shared" si="28"/>
        <v>0</v>
      </c>
      <c r="AO384" s="548">
        <f t="shared" si="28"/>
        <v>0</v>
      </c>
      <c r="AP384" s="548">
        <f t="shared" si="28"/>
        <v>0</v>
      </c>
      <c r="AQ384" s="548">
        <f t="shared" si="28"/>
        <v>0</v>
      </c>
      <c r="AR384" s="48"/>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row>
    <row r="385" spans="1:138" s="24" customFormat="1" x14ac:dyDescent="0.2">
      <c r="A385" s="59" t="s">
        <v>168</v>
      </c>
      <c r="B385" s="177"/>
      <c r="C385" s="59"/>
      <c r="D385" s="549" t="e">
        <f>PERCENTILE(D11:D376,0.2)</f>
        <v>#NUM!</v>
      </c>
      <c r="E385" s="549" t="e">
        <f t="shared" ref="E385:AQ385" si="29">PERCENTILE(E11:E376,0.2)</f>
        <v>#NUM!</v>
      </c>
      <c r="F385" s="549" t="e">
        <f t="shared" si="29"/>
        <v>#NUM!</v>
      </c>
      <c r="G385" s="549" t="e">
        <f t="shared" si="29"/>
        <v>#NUM!</v>
      </c>
      <c r="H385" s="549" t="e">
        <f t="shared" si="29"/>
        <v>#NUM!</v>
      </c>
      <c r="I385" s="549" t="e">
        <f t="shared" si="29"/>
        <v>#NUM!</v>
      </c>
      <c r="J385" s="549" t="e">
        <f t="shared" si="29"/>
        <v>#NUM!</v>
      </c>
      <c r="K385" s="549" t="e">
        <f t="shared" si="29"/>
        <v>#NUM!</v>
      </c>
      <c r="L385" s="549" t="e">
        <f t="shared" si="29"/>
        <v>#NUM!</v>
      </c>
      <c r="M385" s="549" t="e">
        <f t="shared" si="29"/>
        <v>#NUM!</v>
      </c>
      <c r="N385" s="549" t="e">
        <f t="shared" si="29"/>
        <v>#NUM!</v>
      </c>
      <c r="O385" s="549" t="e">
        <f t="shared" si="29"/>
        <v>#NUM!</v>
      </c>
      <c r="P385" s="549" t="e">
        <f t="shared" si="29"/>
        <v>#NUM!</v>
      </c>
      <c r="Q385" s="549" t="e">
        <f t="shared" si="29"/>
        <v>#NUM!</v>
      </c>
      <c r="R385" s="549" t="e">
        <f t="shared" si="29"/>
        <v>#NUM!</v>
      </c>
      <c r="S385" s="549" t="e">
        <f t="shared" si="29"/>
        <v>#NUM!</v>
      </c>
      <c r="T385" s="549" t="e">
        <f t="shared" si="29"/>
        <v>#NUM!</v>
      </c>
      <c r="U385" s="549" t="e">
        <f t="shared" si="29"/>
        <v>#NUM!</v>
      </c>
      <c r="V385" s="549" t="e">
        <f t="shared" si="29"/>
        <v>#NUM!</v>
      </c>
      <c r="W385" s="549" t="e">
        <f t="shared" si="29"/>
        <v>#NUM!</v>
      </c>
      <c r="X385" s="549" t="e">
        <f t="shared" si="29"/>
        <v>#NUM!</v>
      </c>
      <c r="Y385" s="549" t="e">
        <f t="shared" si="29"/>
        <v>#NUM!</v>
      </c>
      <c r="Z385" s="549" t="e">
        <f t="shared" si="29"/>
        <v>#NUM!</v>
      </c>
      <c r="AA385" s="549" t="e">
        <f t="shared" si="29"/>
        <v>#NUM!</v>
      </c>
      <c r="AB385" s="549" t="e">
        <f t="shared" si="29"/>
        <v>#NUM!</v>
      </c>
      <c r="AC385" s="549" t="e">
        <f t="shared" si="29"/>
        <v>#NUM!</v>
      </c>
      <c r="AD385" s="549" t="e">
        <f t="shared" si="29"/>
        <v>#NUM!</v>
      </c>
      <c r="AE385" s="549" t="e">
        <f t="shared" si="29"/>
        <v>#NUM!</v>
      </c>
      <c r="AF385" s="549" t="e">
        <f t="shared" si="29"/>
        <v>#NUM!</v>
      </c>
      <c r="AG385" s="549" t="e">
        <f t="shared" si="29"/>
        <v>#NUM!</v>
      </c>
      <c r="AH385" s="549" t="e">
        <f t="shared" si="29"/>
        <v>#NUM!</v>
      </c>
      <c r="AI385" s="549" t="e">
        <f t="shared" si="29"/>
        <v>#NUM!</v>
      </c>
      <c r="AJ385" s="549" t="e">
        <f t="shared" si="29"/>
        <v>#NUM!</v>
      </c>
      <c r="AK385" s="549" t="e">
        <f t="shared" si="29"/>
        <v>#NUM!</v>
      </c>
      <c r="AL385" s="549" t="e">
        <f t="shared" si="29"/>
        <v>#NUM!</v>
      </c>
      <c r="AM385" s="549" t="e">
        <f t="shared" si="29"/>
        <v>#NUM!</v>
      </c>
      <c r="AN385" s="549" t="e">
        <f t="shared" si="29"/>
        <v>#NUM!</v>
      </c>
      <c r="AO385" s="549" t="e">
        <f t="shared" si="29"/>
        <v>#NUM!</v>
      </c>
      <c r="AP385" s="549" t="e">
        <f t="shared" si="29"/>
        <v>#NUM!</v>
      </c>
      <c r="AQ385" s="549" t="e">
        <f t="shared" si="29"/>
        <v>#NUM!</v>
      </c>
      <c r="AR385" s="48"/>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row>
    <row r="386" spans="1:138" s="24" customFormat="1" x14ac:dyDescent="0.2">
      <c r="A386" s="542" t="s">
        <v>162</v>
      </c>
      <c r="B386" s="261"/>
      <c r="C386" s="542"/>
      <c r="D386" s="550" t="e">
        <f>PERCENTILE(D11:D376,0.5)</f>
        <v>#NUM!</v>
      </c>
      <c r="E386" s="550" t="e">
        <f t="shared" ref="E386:AQ386" si="30">PERCENTILE(E11:E376,0.5)</f>
        <v>#NUM!</v>
      </c>
      <c r="F386" s="550" t="e">
        <f t="shared" si="30"/>
        <v>#NUM!</v>
      </c>
      <c r="G386" s="550" t="e">
        <f t="shared" si="30"/>
        <v>#NUM!</v>
      </c>
      <c r="H386" s="550" t="e">
        <f t="shared" si="30"/>
        <v>#NUM!</v>
      </c>
      <c r="I386" s="550" t="e">
        <f t="shared" si="30"/>
        <v>#NUM!</v>
      </c>
      <c r="J386" s="550" t="e">
        <f t="shared" si="30"/>
        <v>#NUM!</v>
      </c>
      <c r="K386" s="550" t="e">
        <f t="shared" si="30"/>
        <v>#NUM!</v>
      </c>
      <c r="L386" s="550" t="e">
        <f t="shared" si="30"/>
        <v>#NUM!</v>
      </c>
      <c r="M386" s="550" t="e">
        <f t="shared" si="30"/>
        <v>#NUM!</v>
      </c>
      <c r="N386" s="550" t="e">
        <f t="shared" si="30"/>
        <v>#NUM!</v>
      </c>
      <c r="O386" s="550" t="e">
        <f t="shared" si="30"/>
        <v>#NUM!</v>
      </c>
      <c r="P386" s="550" t="e">
        <f t="shared" si="30"/>
        <v>#NUM!</v>
      </c>
      <c r="Q386" s="550" t="e">
        <f t="shared" si="30"/>
        <v>#NUM!</v>
      </c>
      <c r="R386" s="550" t="e">
        <f t="shared" si="30"/>
        <v>#NUM!</v>
      </c>
      <c r="S386" s="550" t="e">
        <f t="shared" si="30"/>
        <v>#NUM!</v>
      </c>
      <c r="T386" s="550" t="e">
        <f t="shared" si="30"/>
        <v>#NUM!</v>
      </c>
      <c r="U386" s="550" t="e">
        <f t="shared" si="30"/>
        <v>#NUM!</v>
      </c>
      <c r="V386" s="550" t="e">
        <f t="shared" si="30"/>
        <v>#NUM!</v>
      </c>
      <c r="W386" s="550" t="e">
        <f t="shared" si="30"/>
        <v>#NUM!</v>
      </c>
      <c r="X386" s="550" t="e">
        <f t="shared" si="30"/>
        <v>#NUM!</v>
      </c>
      <c r="Y386" s="550" t="e">
        <f t="shared" si="30"/>
        <v>#NUM!</v>
      </c>
      <c r="Z386" s="550" t="e">
        <f t="shared" si="30"/>
        <v>#NUM!</v>
      </c>
      <c r="AA386" s="550" t="e">
        <f t="shared" si="30"/>
        <v>#NUM!</v>
      </c>
      <c r="AB386" s="550" t="e">
        <f t="shared" si="30"/>
        <v>#NUM!</v>
      </c>
      <c r="AC386" s="550" t="e">
        <f t="shared" si="30"/>
        <v>#NUM!</v>
      </c>
      <c r="AD386" s="550" t="e">
        <f t="shared" si="30"/>
        <v>#NUM!</v>
      </c>
      <c r="AE386" s="550" t="e">
        <f t="shared" si="30"/>
        <v>#NUM!</v>
      </c>
      <c r="AF386" s="550" t="e">
        <f t="shared" si="30"/>
        <v>#NUM!</v>
      </c>
      <c r="AG386" s="550" t="e">
        <f t="shared" si="30"/>
        <v>#NUM!</v>
      </c>
      <c r="AH386" s="550" t="e">
        <f t="shared" si="30"/>
        <v>#NUM!</v>
      </c>
      <c r="AI386" s="550" t="e">
        <f t="shared" si="30"/>
        <v>#NUM!</v>
      </c>
      <c r="AJ386" s="550" t="e">
        <f t="shared" si="30"/>
        <v>#NUM!</v>
      </c>
      <c r="AK386" s="550" t="e">
        <f t="shared" si="30"/>
        <v>#NUM!</v>
      </c>
      <c r="AL386" s="550" t="e">
        <f t="shared" si="30"/>
        <v>#NUM!</v>
      </c>
      <c r="AM386" s="550" t="e">
        <f t="shared" si="30"/>
        <v>#NUM!</v>
      </c>
      <c r="AN386" s="550" t="e">
        <f t="shared" si="30"/>
        <v>#NUM!</v>
      </c>
      <c r="AO386" s="550" t="e">
        <f t="shared" si="30"/>
        <v>#NUM!</v>
      </c>
      <c r="AP386" s="550" t="e">
        <f t="shared" si="30"/>
        <v>#NUM!</v>
      </c>
      <c r="AQ386" s="550" t="e">
        <f t="shared" si="30"/>
        <v>#NUM!</v>
      </c>
      <c r="AR386" s="48"/>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row>
    <row r="387" spans="1:138" s="24" customFormat="1" x14ac:dyDescent="0.2">
      <c r="A387" s="59" t="s">
        <v>163</v>
      </c>
      <c r="B387" s="149"/>
      <c r="C387" s="59"/>
      <c r="D387" s="549" t="e">
        <f>PERCENTILE(D11:D376,0.85)</f>
        <v>#NUM!</v>
      </c>
      <c r="E387" s="549" t="e">
        <f t="shared" ref="E387:AQ387" si="31">PERCENTILE(E11:E376,0.85)</f>
        <v>#NUM!</v>
      </c>
      <c r="F387" s="549" t="e">
        <f t="shared" si="31"/>
        <v>#NUM!</v>
      </c>
      <c r="G387" s="549" t="e">
        <f t="shared" si="31"/>
        <v>#NUM!</v>
      </c>
      <c r="H387" s="549" t="e">
        <f t="shared" si="31"/>
        <v>#NUM!</v>
      </c>
      <c r="I387" s="549" t="e">
        <f t="shared" si="31"/>
        <v>#NUM!</v>
      </c>
      <c r="J387" s="549" t="e">
        <f t="shared" si="31"/>
        <v>#NUM!</v>
      </c>
      <c r="K387" s="549" t="e">
        <f t="shared" si="31"/>
        <v>#NUM!</v>
      </c>
      <c r="L387" s="549" t="e">
        <f t="shared" si="31"/>
        <v>#NUM!</v>
      </c>
      <c r="M387" s="549" t="e">
        <f t="shared" si="31"/>
        <v>#NUM!</v>
      </c>
      <c r="N387" s="549" t="e">
        <f t="shared" si="31"/>
        <v>#NUM!</v>
      </c>
      <c r="O387" s="549" t="e">
        <f t="shared" si="31"/>
        <v>#NUM!</v>
      </c>
      <c r="P387" s="549" t="e">
        <f t="shared" si="31"/>
        <v>#NUM!</v>
      </c>
      <c r="Q387" s="549" t="e">
        <f t="shared" si="31"/>
        <v>#NUM!</v>
      </c>
      <c r="R387" s="549" t="e">
        <f t="shared" si="31"/>
        <v>#NUM!</v>
      </c>
      <c r="S387" s="549" t="e">
        <f t="shared" si="31"/>
        <v>#NUM!</v>
      </c>
      <c r="T387" s="549" t="e">
        <f t="shared" si="31"/>
        <v>#NUM!</v>
      </c>
      <c r="U387" s="549" t="e">
        <f t="shared" si="31"/>
        <v>#NUM!</v>
      </c>
      <c r="V387" s="549" t="e">
        <f t="shared" si="31"/>
        <v>#NUM!</v>
      </c>
      <c r="W387" s="549" t="e">
        <f t="shared" si="31"/>
        <v>#NUM!</v>
      </c>
      <c r="X387" s="549" t="e">
        <f t="shared" si="31"/>
        <v>#NUM!</v>
      </c>
      <c r="Y387" s="549" t="e">
        <f t="shared" si="31"/>
        <v>#NUM!</v>
      </c>
      <c r="Z387" s="549" t="e">
        <f t="shared" si="31"/>
        <v>#NUM!</v>
      </c>
      <c r="AA387" s="549" t="e">
        <f t="shared" si="31"/>
        <v>#NUM!</v>
      </c>
      <c r="AB387" s="549" t="e">
        <f t="shared" si="31"/>
        <v>#NUM!</v>
      </c>
      <c r="AC387" s="549" t="e">
        <f t="shared" si="31"/>
        <v>#NUM!</v>
      </c>
      <c r="AD387" s="549" t="e">
        <f t="shared" si="31"/>
        <v>#NUM!</v>
      </c>
      <c r="AE387" s="549" t="e">
        <f t="shared" si="31"/>
        <v>#NUM!</v>
      </c>
      <c r="AF387" s="549" t="e">
        <f t="shared" si="31"/>
        <v>#NUM!</v>
      </c>
      <c r="AG387" s="549" t="e">
        <f t="shared" si="31"/>
        <v>#NUM!</v>
      </c>
      <c r="AH387" s="549" t="e">
        <f t="shared" si="31"/>
        <v>#NUM!</v>
      </c>
      <c r="AI387" s="549" t="e">
        <f t="shared" si="31"/>
        <v>#NUM!</v>
      </c>
      <c r="AJ387" s="549" t="e">
        <f t="shared" si="31"/>
        <v>#NUM!</v>
      </c>
      <c r="AK387" s="549" t="e">
        <f t="shared" si="31"/>
        <v>#NUM!</v>
      </c>
      <c r="AL387" s="549" t="e">
        <f t="shared" si="31"/>
        <v>#NUM!</v>
      </c>
      <c r="AM387" s="549" t="e">
        <f t="shared" si="31"/>
        <v>#NUM!</v>
      </c>
      <c r="AN387" s="549" t="e">
        <f t="shared" si="31"/>
        <v>#NUM!</v>
      </c>
      <c r="AO387" s="549" t="e">
        <f t="shared" si="31"/>
        <v>#NUM!</v>
      </c>
      <c r="AP387" s="549" t="e">
        <f t="shared" si="31"/>
        <v>#NUM!</v>
      </c>
      <c r="AQ387" s="549" t="e">
        <f t="shared" si="31"/>
        <v>#NUM!</v>
      </c>
      <c r="AR387" s="48"/>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row>
    <row r="388" spans="1:138" s="24" customFormat="1" x14ac:dyDescent="0.2">
      <c r="A388" s="542" t="s">
        <v>164</v>
      </c>
      <c r="B388" s="261"/>
      <c r="C388" s="542"/>
      <c r="D388" s="550" t="e">
        <f>PERCENTILE(D11:D376,0.95)</f>
        <v>#NUM!</v>
      </c>
      <c r="E388" s="550" t="e">
        <f t="shared" ref="E388:AQ388" si="32">PERCENTILE(E11:E376,0.95)</f>
        <v>#NUM!</v>
      </c>
      <c r="F388" s="550" t="e">
        <f t="shared" si="32"/>
        <v>#NUM!</v>
      </c>
      <c r="G388" s="550" t="e">
        <f t="shared" si="32"/>
        <v>#NUM!</v>
      </c>
      <c r="H388" s="550" t="e">
        <f t="shared" si="32"/>
        <v>#NUM!</v>
      </c>
      <c r="I388" s="550" t="e">
        <f t="shared" si="32"/>
        <v>#NUM!</v>
      </c>
      <c r="J388" s="550" t="e">
        <f t="shared" si="32"/>
        <v>#NUM!</v>
      </c>
      <c r="K388" s="550" t="e">
        <f t="shared" si="32"/>
        <v>#NUM!</v>
      </c>
      <c r="L388" s="550" t="e">
        <f t="shared" si="32"/>
        <v>#NUM!</v>
      </c>
      <c r="M388" s="550" t="e">
        <f t="shared" si="32"/>
        <v>#NUM!</v>
      </c>
      <c r="N388" s="550" t="e">
        <f t="shared" si="32"/>
        <v>#NUM!</v>
      </c>
      <c r="O388" s="550" t="e">
        <f t="shared" si="32"/>
        <v>#NUM!</v>
      </c>
      <c r="P388" s="550" t="e">
        <f t="shared" si="32"/>
        <v>#NUM!</v>
      </c>
      <c r="Q388" s="550" t="e">
        <f t="shared" si="32"/>
        <v>#NUM!</v>
      </c>
      <c r="R388" s="550" t="e">
        <f t="shared" si="32"/>
        <v>#NUM!</v>
      </c>
      <c r="S388" s="550" t="e">
        <f t="shared" si="32"/>
        <v>#NUM!</v>
      </c>
      <c r="T388" s="550" t="e">
        <f t="shared" si="32"/>
        <v>#NUM!</v>
      </c>
      <c r="U388" s="550" t="e">
        <f t="shared" si="32"/>
        <v>#NUM!</v>
      </c>
      <c r="V388" s="550" t="e">
        <f t="shared" si="32"/>
        <v>#NUM!</v>
      </c>
      <c r="W388" s="550" t="e">
        <f t="shared" si="32"/>
        <v>#NUM!</v>
      </c>
      <c r="X388" s="550" t="e">
        <f t="shared" si="32"/>
        <v>#NUM!</v>
      </c>
      <c r="Y388" s="550" t="e">
        <f t="shared" si="32"/>
        <v>#NUM!</v>
      </c>
      <c r="Z388" s="550" t="e">
        <f t="shared" si="32"/>
        <v>#NUM!</v>
      </c>
      <c r="AA388" s="550" t="e">
        <f t="shared" si="32"/>
        <v>#NUM!</v>
      </c>
      <c r="AB388" s="550" t="e">
        <f t="shared" si="32"/>
        <v>#NUM!</v>
      </c>
      <c r="AC388" s="550" t="e">
        <f t="shared" si="32"/>
        <v>#NUM!</v>
      </c>
      <c r="AD388" s="550" t="e">
        <f t="shared" si="32"/>
        <v>#NUM!</v>
      </c>
      <c r="AE388" s="550" t="e">
        <f t="shared" si="32"/>
        <v>#NUM!</v>
      </c>
      <c r="AF388" s="550" t="e">
        <f t="shared" si="32"/>
        <v>#NUM!</v>
      </c>
      <c r="AG388" s="550" t="e">
        <f t="shared" si="32"/>
        <v>#NUM!</v>
      </c>
      <c r="AH388" s="550" t="e">
        <f t="shared" si="32"/>
        <v>#NUM!</v>
      </c>
      <c r="AI388" s="550" t="e">
        <f t="shared" si="32"/>
        <v>#NUM!</v>
      </c>
      <c r="AJ388" s="550" t="e">
        <f t="shared" si="32"/>
        <v>#NUM!</v>
      </c>
      <c r="AK388" s="550" t="e">
        <f t="shared" si="32"/>
        <v>#NUM!</v>
      </c>
      <c r="AL388" s="550" t="e">
        <f t="shared" si="32"/>
        <v>#NUM!</v>
      </c>
      <c r="AM388" s="550" t="e">
        <f t="shared" si="32"/>
        <v>#NUM!</v>
      </c>
      <c r="AN388" s="550" t="e">
        <f t="shared" si="32"/>
        <v>#NUM!</v>
      </c>
      <c r="AO388" s="550" t="e">
        <f t="shared" si="32"/>
        <v>#NUM!</v>
      </c>
      <c r="AP388" s="550" t="e">
        <f t="shared" si="32"/>
        <v>#NUM!</v>
      </c>
      <c r="AQ388" s="550" t="e">
        <f t="shared" si="32"/>
        <v>#NUM!</v>
      </c>
      <c r="AR388" s="48"/>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row>
    <row r="389" spans="1:138" s="24" customFormat="1" x14ac:dyDescent="0.2">
      <c r="A389" s="543" t="s">
        <v>344</v>
      </c>
      <c r="B389" s="149"/>
      <c r="C389" s="543"/>
      <c r="D389" s="551" t="e">
        <f>_xlfn.VAR.S(D11:D376)</f>
        <v>#DIV/0!</v>
      </c>
      <c r="E389" s="551" t="e">
        <f t="shared" ref="E389:AQ389" si="33">_xlfn.VAR.S(E11:E376)</f>
        <v>#DIV/0!</v>
      </c>
      <c r="F389" s="551" t="e">
        <f t="shared" si="33"/>
        <v>#DIV/0!</v>
      </c>
      <c r="G389" s="551" t="e">
        <f t="shared" si="33"/>
        <v>#DIV/0!</v>
      </c>
      <c r="H389" s="551" t="e">
        <f t="shared" si="33"/>
        <v>#DIV/0!</v>
      </c>
      <c r="I389" s="551" t="e">
        <f t="shared" si="33"/>
        <v>#DIV/0!</v>
      </c>
      <c r="J389" s="551" t="e">
        <f t="shared" si="33"/>
        <v>#DIV/0!</v>
      </c>
      <c r="K389" s="551" t="e">
        <f t="shared" si="33"/>
        <v>#DIV/0!</v>
      </c>
      <c r="L389" s="551" t="e">
        <f t="shared" si="33"/>
        <v>#DIV/0!</v>
      </c>
      <c r="M389" s="551" t="e">
        <f t="shared" si="33"/>
        <v>#DIV/0!</v>
      </c>
      <c r="N389" s="551" t="e">
        <f t="shared" si="33"/>
        <v>#DIV/0!</v>
      </c>
      <c r="O389" s="551" t="e">
        <f t="shared" si="33"/>
        <v>#DIV/0!</v>
      </c>
      <c r="P389" s="551" t="e">
        <f t="shared" si="33"/>
        <v>#DIV/0!</v>
      </c>
      <c r="Q389" s="551" t="e">
        <f t="shared" si="33"/>
        <v>#DIV/0!</v>
      </c>
      <c r="R389" s="551" t="e">
        <f t="shared" si="33"/>
        <v>#DIV/0!</v>
      </c>
      <c r="S389" s="551" t="e">
        <f t="shared" si="33"/>
        <v>#DIV/0!</v>
      </c>
      <c r="T389" s="551" t="e">
        <f t="shared" si="33"/>
        <v>#DIV/0!</v>
      </c>
      <c r="U389" s="551" t="e">
        <f t="shared" si="33"/>
        <v>#DIV/0!</v>
      </c>
      <c r="V389" s="551" t="e">
        <f t="shared" si="33"/>
        <v>#DIV/0!</v>
      </c>
      <c r="W389" s="551" t="e">
        <f t="shared" si="33"/>
        <v>#DIV/0!</v>
      </c>
      <c r="X389" s="551" t="e">
        <f t="shared" si="33"/>
        <v>#DIV/0!</v>
      </c>
      <c r="Y389" s="551" t="e">
        <f t="shared" si="33"/>
        <v>#DIV/0!</v>
      </c>
      <c r="Z389" s="551" t="e">
        <f t="shared" si="33"/>
        <v>#DIV/0!</v>
      </c>
      <c r="AA389" s="551" t="e">
        <f t="shared" si="33"/>
        <v>#DIV/0!</v>
      </c>
      <c r="AB389" s="551" t="e">
        <f t="shared" si="33"/>
        <v>#DIV/0!</v>
      </c>
      <c r="AC389" s="551" t="e">
        <f t="shared" si="33"/>
        <v>#DIV/0!</v>
      </c>
      <c r="AD389" s="551" t="e">
        <f t="shared" si="33"/>
        <v>#DIV/0!</v>
      </c>
      <c r="AE389" s="551" t="e">
        <f t="shared" si="33"/>
        <v>#DIV/0!</v>
      </c>
      <c r="AF389" s="551" t="e">
        <f t="shared" si="33"/>
        <v>#DIV/0!</v>
      </c>
      <c r="AG389" s="551" t="e">
        <f t="shared" si="33"/>
        <v>#DIV/0!</v>
      </c>
      <c r="AH389" s="551" t="e">
        <f t="shared" si="33"/>
        <v>#DIV/0!</v>
      </c>
      <c r="AI389" s="551" t="e">
        <f t="shared" si="33"/>
        <v>#DIV/0!</v>
      </c>
      <c r="AJ389" s="551" t="e">
        <f t="shared" si="33"/>
        <v>#DIV/0!</v>
      </c>
      <c r="AK389" s="551" t="e">
        <f t="shared" si="33"/>
        <v>#DIV/0!</v>
      </c>
      <c r="AL389" s="551" t="e">
        <f t="shared" si="33"/>
        <v>#DIV/0!</v>
      </c>
      <c r="AM389" s="551" t="e">
        <f t="shared" si="33"/>
        <v>#DIV/0!</v>
      </c>
      <c r="AN389" s="551" t="e">
        <f t="shared" si="33"/>
        <v>#DIV/0!</v>
      </c>
      <c r="AO389" s="551" t="e">
        <f t="shared" si="33"/>
        <v>#DIV/0!</v>
      </c>
      <c r="AP389" s="551" t="e">
        <f t="shared" si="33"/>
        <v>#DIV/0!</v>
      </c>
      <c r="AQ389" s="551" t="e">
        <f t="shared" si="33"/>
        <v>#DIV/0!</v>
      </c>
      <c r="AR389" s="48"/>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row>
    <row r="390" spans="1:138" x14ac:dyDescent="0.2">
      <c r="A390" s="544" t="s">
        <v>345</v>
      </c>
      <c r="C390" s="544"/>
      <c r="D390" s="552" t="e">
        <f t="shared" ref="D390:AQ390" si="34">SQRT(D389)</f>
        <v>#DIV/0!</v>
      </c>
      <c r="E390" s="552" t="e">
        <f t="shared" si="34"/>
        <v>#DIV/0!</v>
      </c>
      <c r="F390" s="552" t="e">
        <f t="shared" si="34"/>
        <v>#DIV/0!</v>
      </c>
      <c r="G390" s="552" t="e">
        <f t="shared" si="34"/>
        <v>#DIV/0!</v>
      </c>
      <c r="H390" s="552" t="e">
        <f t="shared" si="34"/>
        <v>#DIV/0!</v>
      </c>
      <c r="I390" s="552" t="e">
        <f t="shared" si="34"/>
        <v>#DIV/0!</v>
      </c>
      <c r="J390" s="552" t="e">
        <f t="shared" si="34"/>
        <v>#DIV/0!</v>
      </c>
      <c r="K390" s="552" t="e">
        <f t="shared" si="34"/>
        <v>#DIV/0!</v>
      </c>
      <c r="L390" s="552" t="e">
        <f t="shared" si="34"/>
        <v>#DIV/0!</v>
      </c>
      <c r="M390" s="552" t="e">
        <f t="shared" si="34"/>
        <v>#DIV/0!</v>
      </c>
      <c r="N390" s="552" t="e">
        <f t="shared" si="34"/>
        <v>#DIV/0!</v>
      </c>
      <c r="O390" s="552" t="e">
        <f t="shared" si="34"/>
        <v>#DIV/0!</v>
      </c>
      <c r="P390" s="552" t="e">
        <f t="shared" si="34"/>
        <v>#DIV/0!</v>
      </c>
      <c r="Q390" s="552" t="e">
        <f t="shared" si="34"/>
        <v>#DIV/0!</v>
      </c>
      <c r="R390" s="552" t="e">
        <f t="shared" si="34"/>
        <v>#DIV/0!</v>
      </c>
      <c r="S390" s="552" t="e">
        <f t="shared" si="34"/>
        <v>#DIV/0!</v>
      </c>
      <c r="T390" s="552" t="e">
        <f t="shared" si="34"/>
        <v>#DIV/0!</v>
      </c>
      <c r="U390" s="552" t="e">
        <f t="shared" si="34"/>
        <v>#DIV/0!</v>
      </c>
      <c r="V390" s="552" t="e">
        <f t="shared" si="34"/>
        <v>#DIV/0!</v>
      </c>
      <c r="W390" s="552" t="e">
        <f t="shared" si="34"/>
        <v>#DIV/0!</v>
      </c>
      <c r="X390" s="552" t="e">
        <f t="shared" si="34"/>
        <v>#DIV/0!</v>
      </c>
      <c r="Y390" s="552" t="e">
        <f t="shared" si="34"/>
        <v>#DIV/0!</v>
      </c>
      <c r="Z390" s="552" t="e">
        <f t="shared" si="34"/>
        <v>#DIV/0!</v>
      </c>
      <c r="AA390" s="552" t="e">
        <f t="shared" si="34"/>
        <v>#DIV/0!</v>
      </c>
      <c r="AB390" s="552" t="e">
        <f t="shared" si="34"/>
        <v>#DIV/0!</v>
      </c>
      <c r="AC390" s="552" t="e">
        <f t="shared" si="34"/>
        <v>#DIV/0!</v>
      </c>
      <c r="AD390" s="552" t="e">
        <f t="shared" si="34"/>
        <v>#DIV/0!</v>
      </c>
      <c r="AE390" s="552" t="e">
        <f t="shared" si="34"/>
        <v>#DIV/0!</v>
      </c>
      <c r="AF390" s="552" t="e">
        <f t="shared" si="34"/>
        <v>#DIV/0!</v>
      </c>
      <c r="AG390" s="552" t="e">
        <f t="shared" si="34"/>
        <v>#DIV/0!</v>
      </c>
      <c r="AH390" s="552" t="e">
        <f t="shared" si="34"/>
        <v>#DIV/0!</v>
      </c>
      <c r="AI390" s="552" t="e">
        <f t="shared" si="34"/>
        <v>#DIV/0!</v>
      </c>
      <c r="AJ390" s="552" t="e">
        <f t="shared" si="34"/>
        <v>#DIV/0!</v>
      </c>
      <c r="AK390" s="552" t="e">
        <f t="shared" si="34"/>
        <v>#DIV/0!</v>
      </c>
      <c r="AL390" s="552" t="e">
        <f t="shared" si="34"/>
        <v>#DIV/0!</v>
      </c>
      <c r="AM390" s="552" t="e">
        <f t="shared" si="34"/>
        <v>#DIV/0!</v>
      </c>
      <c r="AN390" s="552" t="e">
        <f t="shared" si="34"/>
        <v>#DIV/0!</v>
      </c>
      <c r="AO390" s="552" t="e">
        <f t="shared" si="34"/>
        <v>#DIV/0!</v>
      </c>
      <c r="AP390" s="552" t="e">
        <f t="shared" si="34"/>
        <v>#DIV/0!</v>
      </c>
      <c r="AQ390" s="552" t="e">
        <f t="shared" si="34"/>
        <v>#DIV/0!</v>
      </c>
    </row>
    <row r="391" spans="1:138" x14ac:dyDescent="0.2">
      <c r="A391" s="150"/>
      <c r="I391" s="152" t="s">
        <v>12</v>
      </c>
      <c r="J391" s="152" t="s">
        <v>12</v>
      </c>
      <c r="K391" s="40"/>
      <c r="L391" s="39"/>
      <c r="M391" s="39"/>
      <c r="N391" s="153"/>
      <c r="O391" s="153"/>
      <c r="P391" s="153"/>
      <c r="AC391" s="154"/>
      <c r="AD391" s="69"/>
      <c r="AE391" s="154"/>
      <c r="AI391" s="69"/>
      <c r="AJ391" s="69"/>
      <c r="AK391" s="69"/>
      <c r="AL391" s="69"/>
      <c r="AM391" s="69"/>
      <c r="AN391" s="69"/>
      <c r="AO391" s="69"/>
      <c r="AP391" s="69"/>
    </row>
    <row r="392" spans="1:138" x14ac:dyDescent="0.2">
      <c r="A392" s="247"/>
      <c r="C392" s="247"/>
      <c r="D392" s="44">
        <f>D383</f>
        <v>0</v>
      </c>
      <c r="E392" s="44">
        <f t="shared" ref="E392:AQ392" si="35">E383</f>
        <v>0</v>
      </c>
      <c r="F392" s="44">
        <f t="shared" si="35"/>
        <v>0</v>
      </c>
      <c r="G392" s="44">
        <f t="shared" si="35"/>
        <v>0</v>
      </c>
      <c r="H392" s="44">
        <f t="shared" si="35"/>
        <v>0</v>
      </c>
      <c r="I392" s="44">
        <f t="shared" si="35"/>
        <v>0</v>
      </c>
      <c r="J392" s="44">
        <f t="shared" si="35"/>
        <v>0</v>
      </c>
      <c r="K392" s="44">
        <f t="shared" si="35"/>
        <v>0</v>
      </c>
      <c r="L392" s="44">
        <f t="shared" si="35"/>
        <v>0</v>
      </c>
      <c r="M392" s="44">
        <f t="shared" si="35"/>
        <v>0</v>
      </c>
      <c r="N392" s="44">
        <f t="shared" si="35"/>
        <v>0</v>
      </c>
      <c r="O392" s="44">
        <f t="shared" si="35"/>
        <v>0</v>
      </c>
      <c r="P392" s="44">
        <f t="shared" si="35"/>
        <v>0</v>
      </c>
      <c r="Q392" s="44">
        <f t="shared" si="35"/>
        <v>0</v>
      </c>
      <c r="R392" s="44">
        <f t="shared" si="35"/>
        <v>0</v>
      </c>
      <c r="S392" s="44">
        <f t="shared" si="35"/>
        <v>0</v>
      </c>
      <c r="T392" s="44">
        <f t="shared" si="35"/>
        <v>0</v>
      </c>
      <c r="U392" s="44">
        <f t="shared" si="35"/>
        <v>0</v>
      </c>
      <c r="V392" s="44">
        <f t="shared" si="35"/>
        <v>0</v>
      </c>
      <c r="W392" s="44">
        <f t="shared" si="35"/>
        <v>0</v>
      </c>
      <c r="X392" s="44">
        <f t="shared" si="35"/>
        <v>0</v>
      </c>
      <c r="Y392" s="44">
        <f t="shared" si="35"/>
        <v>0</v>
      </c>
      <c r="Z392" s="44">
        <f t="shared" si="35"/>
        <v>0</v>
      </c>
      <c r="AA392" s="44">
        <f t="shared" si="35"/>
        <v>0</v>
      </c>
      <c r="AB392" s="44">
        <f t="shared" si="35"/>
        <v>0</v>
      </c>
      <c r="AC392" s="44">
        <f t="shared" si="35"/>
        <v>0</v>
      </c>
      <c r="AD392" s="44">
        <f t="shared" si="35"/>
        <v>0</v>
      </c>
      <c r="AE392" s="44">
        <f t="shared" si="35"/>
        <v>0</v>
      </c>
      <c r="AF392" s="44">
        <f t="shared" si="35"/>
        <v>0</v>
      </c>
      <c r="AG392" s="44">
        <f t="shared" si="35"/>
        <v>0</v>
      </c>
      <c r="AH392" s="44">
        <f t="shared" si="35"/>
        <v>0</v>
      </c>
      <c r="AI392" s="44">
        <f t="shared" si="35"/>
        <v>0</v>
      </c>
      <c r="AJ392" s="44">
        <f t="shared" si="35"/>
        <v>0</v>
      </c>
      <c r="AK392" s="44">
        <f t="shared" si="35"/>
        <v>0</v>
      </c>
      <c r="AL392" s="44">
        <f t="shared" si="35"/>
        <v>0</v>
      </c>
      <c r="AM392" s="44">
        <f t="shared" si="35"/>
        <v>0</v>
      </c>
      <c r="AN392" s="44">
        <f t="shared" si="35"/>
        <v>0</v>
      </c>
      <c r="AO392" s="44">
        <f t="shared" si="35"/>
        <v>0</v>
      </c>
      <c r="AP392" s="44">
        <f t="shared" si="35"/>
        <v>0</v>
      </c>
      <c r="AQ392" s="44">
        <f t="shared" si="35"/>
        <v>0</v>
      </c>
    </row>
    <row r="393" spans="1:138" x14ac:dyDescent="0.2">
      <c r="I393" s="152" t="s">
        <v>12</v>
      </c>
      <c r="J393" s="152" t="s">
        <v>12</v>
      </c>
      <c r="K393" s="40"/>
      <c r="L393" s="39"/>
      <c r="M393" s="39"/>
      <c r="N393" s="153"/>
      <c r="O393" s="153"/>
      <c r="P393" s="153"/>
      <c r="AB393" s="143" t="str">
        <f>IF(Langue=1,"Ages des boues = (Volume biologie x conc. boues activées) / ((conc boues en excès x volume soutiré) + (débit traité x conc. MES/1000))","Schlammalter = (Volumen Belüftungsbecken x TS bio) / ((TS Überschussschl. x Schalmmabzug) + (Durchfluss x SS/1000))")</f>
        <v>Schlammalter = (Volumen Belüftungsbecken x TS bio) / ((TS Überschussschl. x Schalmmabzug) + (Durchfluss x SS/1000))</v>
      </c>
      <c r="AC393" s="154"/>
      <c r="AD393" s="69"/>
      <c r="AE393" s="154"/>
      <c r="AI393" s="69"/>
      <c r="AJ393" s="69"/>
      <c r="AK393" s="69"/>
      <c r="AL393" s="69"/>
      <c r="AM393" s="69"/>
      <c r="AN393" s="69"/>
      <c r="AO393" s="69"/>
      <c r="AP393" s="69"/>
    </row>
    <row r="394" spans="1:138" x14ac:dyDescent="0.2">
      <c r="I394" s="152" t="s">
        <v>12</v>
      </c>
      <c r="J394" s="152" t="s">
        <v>12</v>
      </c>
      <c r="K394" s="40"/>
      <c r="L394" s="39"/>
      <c r="M394" s="39"/>
      <c r="N394" s="153"/>
      <c r="O394" s="153"/>
      <c r="P394" s="153"/>
      <c r="AC394" s="154"/>
      <c r="AD394" s="69"/>
      <c r="AE394" s="154"/>
      <c r="AI394" s="69"/>
      <c r="AJ394" s="69"/>
      <c r="AK394" s="69"/>
      <c r="AL394" s="69"/>
      <c r="AM394" s="69"/>
      <c r="AN394" s="69"/>
      <c r="AO394" s="69"/>
      <c r="AP394" s="69"/>
    </row>
    <row r="395" spans="1:138" x14ac:dyDescent="0.2">
      <c r="I395" s="152" t="s">
        <v>12</v>
      </c>
      <c r="J395" s="152" t="s">
        <v>12</v>
      </c>
      <c r="K395" s="40"/>
      <c r="L395" s="39"/>
      <c r="M395" s="39"/>
      <c r="N395" s="153"/>
      <c r="O395" s="153"/>
      <c r="P395" s="153"/>
      <c r="AC395" s="154"/>
      <c r="AD395" s="69"/>
      <c r="AE395" s="154"/>
      <c r="AI395" s="69"/>
      <c r="AJ395" s="69"/>
      <c r="AK395" s="69"/>
      <c r="AL395" s="69"/>
      <c r="AM395" s="69"/>
      <c r="AN395" s="69"/>
      <c r="AO395" s="69"/>
      <c r="AP395" s="69"/>
    </row>
    <row r="396" spans="1:138" x14ac:dyDescent="0.2">
      <c r="I396" s="152" t="s">
        <v>12</v>
      </c>
      <c r="J396" s="152" t="s">
        <v>12</v>
      </c>
      <c r="K396" s="40"/>
      <c r="L396" s="39"/>
      <c r="M396" s="39"/>
      <c r="N396" s="153"/>
      <c r="O396" s="153"/>
      <c r="P396" s="153"/>
      <c r="AC396" s="154"/>
      <c r="AD396" s="69"/>
      <c r="AE396" s="154"/>
      <c r="AI396" s="69"/>
      <c r="AJ396" s="69"/>
      <c r="AK396" s="69"/>
      <c r="AL396" s="69"/>
      <c r="AM396" s="69"/>
      <c r="AN396" s="69"/>
      <c r="AO396" s="69"/>
      <c r="AP396" s="69"/>
    </row>
    <row r="397" spans="1:138" x14ac:dyDescent="0.2">
      <c r="I397" s="152" t="s">
        <v>12</v>
      </c>
      <c r="J397" s="152" t="s">
        <v>12</v>
      </c>
      <c r="K397" s="40"/>
      <c r="L397" s="39"/>
      <c r="M397" s="39"/>
      <c r="N397" s="153"/>
      <c r="O397" s="153"/>
      <c r="P397" s="153"/>
      <c r="AC397" s="154"/>
      <c r="AD397" s="69"/>
      <c r="AE397" s="154"/>
      <c r="AI397" s="69"/>
      <c r="AJ397" s="69"/>
      <c r="AK397" s="69"/>
      <c r="AL397" s="69"/>
      <c r="AM397" s="69"/>
      <c r="AN397" s="69"/>
      <c r="AO397" s="69"/>
      <c r="AP397" s="69"/>
    </row>
    <row r="398" spans="1:138" x14ac:dyDescent="0.2">
      <c r="I398" s="152" t="s">
        <v>12</v>
      </c>
      <c r="J398" s="152" t="s">
        <v>12</v>
      </c>
      <c r="K398" s="40"/>
      <c r="L398" s="39"/>
      <c r="M398" s="39"/>
      <c r="N398" s="153"/>
      <c r="O398" s="153"/>
      <c r="P398" s="153"/>
      <c r="AC398" s="154"/>
      <c r="AD398" s="69"/>
      <c r="AE398" s="154"/>
      <c r="AI398" s="69"/>
      <c r="AJ398" s="69"/>
      <c r="AK398" s="69"/>
      <c r="AL398" s="69"/>
      <c r="AM398" s="69"/>
      <c r="AN398" s="69"/>
      <c r="AO398" s="69"/>
      <c r="AP398" s="69"/>
    </row>
    <row r="399" spans="1:138" x14ac:dyDescent="0.2">
      <c r="I399" s="152" t="s">
        <v>12</v>
      </c>
      <c r="J399" s="152" t="s">
        <v>12</v>
      </c>
      <c r="K399" s="40"/>
      <c r="L399" s="39"/>
      <c r="M399" s="39"/>
      <c r="N399" s="153"/>
      <c r="O399" s="153"/>
      <c r="P399" s="153"/>
      <c r="AC399" s="154"/>
      <c r="AD399" s="69"/>
      <c r="AE399" s="154"/>
      <c r="AI399" s="69"/>
      <c r="AJ399" s="69"/>
      <c r="AK399" s="69"/>
      <c r="AL399" s="69"/>
      <c r="AM399" s="69"/>
      <c r="AN399" s="69"/>
      <c r="AO399" s="69"/>
      <c r="AP399" s="69"/>
    </row>
    <row r="400" spans="1:138" x14ac:dyDescent="0.2">
      <c r="I400" s="152" t="s">
        <v>12</v>
      </c>
      <c r="J400" s="152" t="s">
        <v>12</v>
      </c>
      <c r="K400" s="40"/>
      <c r="L400" s="39"/>
      <c r="M400" s="39"/>
      <c r="N400" s="153"/>
      <c r="O400" s="153"/>
      <c r="P400" s="153"/>
      <c r="AC400" s="154"/>
      <c r="AD400" s="69"/>
      <c r="AE400" s="154"/>
      <c r="AI400" s="69"/>
      <c r="AJ400" s="69"/>
      <c r="AK400" s="69"/>
      <c r="AL400" s="69"/>
      <c r="AM400" s="69"/>
      <c r="AN400" s="69"/>
      <c r="AO400" s="69"/>
      <c r="AP400" s="69"/>
    </row>
    <row r="401" spans="9:42" x14ac:dyDescent="0.2">
      <c r="I401" s="152" t="s">
        <v>12</v>
      </c>
      <c r="J401" s="152" t="s">
        <v>12</v>
      </c>
      <c r="K401" s="40"/>
      <c r="L401" s="39"/>
      <c r="M401" s="39"/>
      <c r="N401" s="153"/>
      <c r="O401" s="153"/>
      <c r="P401" s="153"/>
      <c r="AC401" s="154"/>
      <c r="AD401" s="69"/>
      <c r="AE401" s="154"/>
      <c r="AI401" s="69"/>
      <c r="AJ401" s="69"/>
      <c r="AK401" s="69"/>
      <c r="AL401" s="69"/>
      <c r="AM401" s="69"/>
      <c r="AN401" s="69"/>
      <c r="AO401" s="69"/>
      <c r="AP401" s="69"/>
    </row>
    <row r="402" spans="9:42" x14ac:dyDescent="0.2">
      <c r="I402" s="152" t="s">
        <v>12</v>
      </c>
      <c r="J402" s="152" t="s">
        <v>12</v>
      </c>
      <c r="K402" s="40"/>
      <c r="L402" s="39"/>
      <c r="M402" s="39"/>
      <c r="N402" s="153"/>
      <c r="O402" s="153"/>
      <c r="P402" s="153"/>
      <c r="AC402" s="154"/>
      <c r="AD402" s="69"/>
      <c r="AE402" s="154"/>
      <c r="AI402" s="69"/>
      <c r="AJ402" s="69"/>
      <c r="AK402" s="69"/>
      <c r="AL402" s="69"/>
      <c r="AM402" s="69"/>
      <c r="AN402" s="69"/>
      <c r="AO402" s="69"/>
      <c r="AP402" s="69"/>
    </row>
    <row r="403" spans="9:42" x14ac:dyDescent="0.2">
      <c r="I403" s="152" t="s">
        <v>12</v>
      </c>
      <c r="J403" s="152" t="s">
        <v>12</v>
      </c>
      <c r="K403" s="40"/>
      <c r="L403" s="39"/>
      <c r="M403" s="39"/>
      <c r="N403" s="153"/>
      <c r="O403" s="153"/>
      <c r="P403" s="153"/>
      <c r="AC403" s="154"/>
      <c r="AD403" s="69"/>
      <c r="AE403" s="154"/>
      <c r="AI403" s="69"/>
      <c r="AJ403" s="69"/>
      <c r="AK403" s="69"/>
      <c r="AL403" s="69"/>
      <c r="AM403" s="69"/>
      <c r="AN403" s="69"/>
      <c r="AO403" s="69"/>
      <c r="AP403" s="69"/>
    </row>
    <row r="404" spans="9:42" x14ac:dyDescent="0.2">
      <c r="I404" s="152" t="s">
        <v>12</v>
      </c>
      <c r="J404" s="152" t="s">
        <v>12</v>
      </c>
      <c r="K404" s="40"/>
      <c r="L404" s="39"/>
      <c r="M404" s="39"/>
      <c r="N404" s="153"/>
      <c r="O404" s="153"/>
      <c r="P404" s="153"/>
      <c r="AC404" s="154"/>
      <c r="AD404" s="69"/>
      <c r="AE404" s="154"/>
      <c r="AI404" s="69"/>
      <c r="AJ404" s="69"/>
      <c r="AK404" s="69"/>
      <c r="AL404" s="69"/>
      <c r="AM404" s="69"/>
      <c r="AN404" s="69"/>
      <c r="AO404" s="69"/>
      <c r="AP404" s="69"/>
    </row>
    <row r="405" spans="9:42" x14ac:dyDescent="0.2">
      <c r="I405" s="152" t="s">
        <v>12</v>
      </c>
      <c r="J405" s="152" t="s">
        <v>12</v>
      </c>
      <c r="K405" s="40"/>
      <c r="L405" s="39"/>
      <c r="M405" s="39"/>
      <c r="N405" s="153"/>
      <c r="O405" s="153"/>
      <c r="P405" s="153"/>
      <c r="AC405" s="154"/>
      <c r="AD405" s="69"/>
      <c r="AE405" s="154"/>
      <c r="AI405" s="69"/>
      <c r="AJ405" s="69"/>
      <c r="AK405" s="69"/>
      <c r="AL405" s="69"/>
      <c r="AM405" s="69"/>
      <c r="AN405" s="69"/>
      <c r="AO405" s="69"/>
      <c r="AP405" s="69"/>
    </row>
    <row r="406" spans="9:42" x14ac:dyDescent="0.2">
      <c r="I406" s="152" t="s">
        <v>12</v>
      </c>
      <c r="J406" s="152" t="s">
        <v>12</v>
      </c>
      <c r="K406" s="40"/>
      <c r="L406" s="39"/>
      <c r="M406" s="39"/>
      <c r="N406" s="153"/>
      <c r="O406" s="153"/>
      <c r="P406" s="153"/>
      <c r="AC406" s="154"/>
      <c r="AD406" s="69"/>
      <c r="AE406" s="154"/>
      <c r="AI406" s="69"/>
      <c r="AJ406" s="69"/>
      <c r="AK406" s="69"/>
      <c r="AL406" s="69"/>
      <c r="AM406" s="69"/>
      <c r="AN406" s="69"/>
      <c r="AO406" s="69"/>
      <c r="AP406" s="69"/>
    </row>
    <row r="407" spans="9:42" x14ac:dyDescent="0.2">
      <c r="I407" s="152" t="s">
        <v>12</v>
      </c>
      <c r="J407" s="152" t="s">
        <v>12</v>
      </c>
      <c r="K407" s="40"/>
      <c r="L407" s="39"/>
      <c r="M407" s="39"/>
      <c r="N407" s="153"/>
      <c r="O407" s="153"/>
      <c r="P407" s="153"/>
      <c r="AC407" s="154"/>
      <c r="AD407" s="69"/>
      <c r="AE407" s="154"/>
      <c r="AI407" s="69"/>
      <c r="AJ407" s="69"/>
      <c r="AK407" s="69"/>
      <c r="AL407" s="69"/>
      <c r="AM407" s="69"/>
      <c r="AN407" s="69"/>
      <c r="AO407" s="69"/>
      <c r="AP407" s="69"/>
    </row>
    <row r="408" spans="9:42" x14ac:dyDescent="0.2">
      <c r="I408" s="152" t="s">
        <v>12</v>
      </c>
      <c r="J408" s="152" t="s">
        <v>12</v>
      </c>
      <c r="K408" s="40"/>
      <c r="L408" s="39"/>
      <c r="M408" s="39"/>
      <c r="N408" s="153"/>
      <c r="O408" s="153"/>
      <c r="P408" s="153"/>
      <c r="AC408" s="154"/>
      <c r="AD408" s="69"/>
      <c r="AE408" s="154"/>
      <c r="AI408" s="69"/>
      <c r="AJ408" s="69"/>
      <c r="AK408" s="69"/>
      <c r="AL408" s="69"/>
      <c r="AM408" s="69"/>
      <c r="AN408" s="69"/>
      <c r="AO408" s="69"/>
      <c r="AP408" s="69"/>
    </row>
    <row r="409" spans="9:42" x14ac:dyDescent="0.2">
      <c r="I409" s="152" t="s">
        <v>12</v>
      </c>
      <c r="J409" s="152" t="s">
        <v>12</v>
      </c>
      <c r="K409" s="40"/>
      <c r="L409" s="39"/>
      <c r="M409" s="39"/>
      <c r="N409" s="153"/>
      <c r="O409" s="153"/>
      <c r="P409" s="153"/>
      <c r="AC409" s="154"/>
      <c r="AD409" s="69"/>
      <c r="AE409" s="154"/>
      <c r="AI409" s="69"/>
      <c r="AJ409" s="69"/>
      <c r="AK409" s="69"/>
      <c r="AL409" s="69"/>
      <c r="AM409" s="69"/>
      <c r="AN409" s="69"/>
      <c r="AO409" s="69"/>
      <c r="AP409" s="69"/>
    </row>
    <row r="410" spans="9:42" x14ac:dyDescent="0.2">
      <c r="I410" s="152" t="s">
        <v>12</v>
      </c>
      <c r="J410" s="152" t="s">
        <v>12</v>
      </c>
      <c r="K410" s="40"/>
      <c r="L410" s="39"/>
      <c r="M410" s="39"/>
      <c r="N410" s="153"/>
      <c r="O410" s="153"/>
      <c r="P410" s="153"/>
      <c r="AC410" s="154"/>
      <c r="AD410" s="69"/>
      <c r="AE410" s="154"/>
      <c r="AI410" s="69"/>
      <c r="AJ410" s="69"/>
      <c r="AK410" s="69"/>
      <c r="AL410" s="69"/>
      <c r="AM410" s="69"/>
      <c r="AN410" s="69"/>
      <c r="AO410" s="69"/>
      <c r="AP410" s="69"/>
    </row>
    <row r="411" spans="9:42" x14ac:dyDescent="0.2">
      <c r="I411" s="152" t="s">
        <v>12</v>
      </c>
      <c r="J411" s="152" t="s">
        <v>12</v>
      </c>
      <c r="K411" s="40"/>
      <c r="L411" s="39"/>
      <c r="M411" s="39"/>
      <c r="N411" s="153"/>
      <c r="O411" s="153"/>
      <c r="P411" s="153"/>
      <c r="AC411" s="154"/>
      <c r="AD411" s="69"/>
      <c r="AE411" s="154"/>
      <c r="AI411" s="69"/>
      <c r="AJ411" s="69"/>
      <c r="AK411" s="69"/>
      <c r="AL411" s="69"/>
      <c r="AM411" s="69"/>
      <c r="AN411" s="69"/>
      <c r="AO411" s="69"/>
      <c r="AP411" s="69"/>
    </row>
    <row r="412" spans="9:42" x14ac:dyDescent="0.2">
      <c r="I412" s="152" t="s">
        <v>12</v>
      </c>
      <c r="J412" s="152" t="s">
        <v>12</v>
      </c>
      <c r="K412" s="40"/>
      <c r="L412" s="39"/>
      <c r="M412" s="39"/>
      <c r="N412" s="153"/>
      <c r="O412" s="153"/>
      <c r="P412" s="153"/>
      <c r="AC412" s="154"/>
      <c r="AD412" s="69"/>
      <c r="AE412" s="154"/>
      <c r="AI412" s="69"/>
      <c r="AJ412" s="69"/>
      <c r="AK412" s="69"/>
      <c r="AL412" s="69"/>
      <c r="AM412" s="69"/>
      <c r="AN412" s="69"/>
      <c r="AO412" s="69"/>
      <c r="AP412" s="69"/>
    </row>
    <row r="413" spans="9:42" x14ac:dyDescent="0.2">
      <c r="I413" s="152" t="s">
        <v>12</v>
      </c>
      <c r="J413" s="152" t="s">
        <v>12</v>
      </c>
      <c r="K413" s="40"/>
      <c r="L413" s="39"/>
      <c r="M413" s="39"/>
      <c r="N413" s="153"/>
      <c r="O413" s="153"/>
      <c r="P413" s="153"/>
      <c r="AC413" s="154"/>
      <c r="AD413" s="69"/>
      <c r="AE413" s="154"/>
      <c r="AI413" s="69"/>
      <c r="AJ413" s="69"/>
      <c r="AK413" s="69"/>
      <c r="AL413" s="69"/>
      <c r="AM413" s="69"/>
      <c r="AN413" s="69"/>
      <c r="AO413" s="69"/>
      <c r="AP413" s="69"/>
    </row>
    <row r="414" spans="9:42" x14ac:dyDescent="0.2">
      <c r="I414" s="152" t="s">
        <v>12</v>
      </c>
      <c r="J414" s="152" t="s">
        <v>12</v>
      </c>
      <c r="K414" s="40"/>
      <c r="L414" s="39"/>
      <c r="M414" s="39"/>
      <c r="N414" s="153"/>
      <c r="O414" s="153"/>
      <c r="P414" s="153"/>
    </row>
    <row r="415" spans="9:42" x14ac:dyDescent="0.2">
      <c r="I415" s="152" t="s">
        <v>12</v>
      </c>
      <c r="J415" s="152" t="s">
        <v>12</v>
      </c>
      <c r="K415" s="40"/>
      <c r="L415" s="39"/>
      <c r="M415" s="39"/>
      <c r="N415" s="153"/>
      <c r="O415" s="153"/>
      <c r="P415" s="153"/>
    </row>
    <row r="416" spans="9:42" x14ac:dyDescent="0.2">
      <c r="I416" s="152" t="s">
        <v>12</v>
      </c>
      <c r="J416" s="152" t="s">
        <v>12</v>
      </c>
      <c r="K416" s="40"/>
      <c r="L416" s="39"/>
      <c r="M416" s="39"/>
      <c r="N416" s="153"/>
      <c r="O416" s="153"/>
      <c r="P416" s="153"/>
    </row>
    <row r="417" spans="9:16" x14ac:dyDescent="0.2">
      <c r="I417" s="152" t="s">
        <v>12</v>
      </c>
      <c r="J417" s="152" t="s">
        <v>12</v>
      </c>
      <c r="K417" s="40"/>
      <c r="L417" s="39"/>
      <c r="M417" s="39"/>
      <c r="N417" s="153"/>
      <c r="O417" s="153"/>
      <c r="P417" s="153"/>
    </row>
    <row r="418" spans="9:16" x14ac:dyDescent="0.2">
      <c r="I418" s="152" t="s">
        <v>12</v>
      </c>
      <c r="J418" s="152" t="s">
        <v>12</v>
      </c>
      <c r="K418" s="40"/>
      <c r="L418" s="39"/>
      <c r="M418" s="39"/>
      <c r="N418" s="153"/>
      <c r="O418" s="153"/>
      <c r="P418" s="153"/>
    </row>
    <row r="419" spans="9:16" x14ac:dyDescent="0.2">
      <c r="I419" s="152" t="s">
        <v>12</v>
      </c>
      <c r="J419" s="152" t="s">
        <v>12</v>
      </c>
      <c r="K419" s="40"/>
      <c r="L419" s="39"/>
      <c r="M419" s="39"/>
      <c r="N419" s="153"/>
      <c r="O419" s="153"/>
      <c r="P419" s="153"/>
    </row>
    <row r="420" spans="9:16" x14ac:dyDescent="0.2">
      <c r="I420" s="152" t="s">
        <v>12</v>
      </c>
      <c r="J420" s="152" t="s">
        <v>12</v>
      </c>
      <c r="K420" s="40"/>
      <c r="L420" s="39"/>
      <c r="M420" s="39"/>
      <c r="N420" s="153"/>
      <c r="O420" s="153"/>
      <c r="P420" s="153"/>
    </row>
    <row r="421" spans="9:16" x14ac:dyDescent="0.2">
      <c r="I421" s="152" t="s">
        <v>12</v>
      </c>
      <c r="J421" s="152" t="s">
        <v>12</v>
      </c>
      <c r="K421" s="40"/>
      <c r="L421" s="39"/>
      <c r="M421" s="39"/>
      <c r="N421" s="153"/>
      <c r="O421" s="153"/>
      <c r="P421" s="153"/>
    </row>
    <row r="422" spans="9:16" x14ac:dyDescent="0.2">
      <c r="I422" s="152" t="s">
        <v>12</v>
      </c>
      <c r="J422" s="152" t="s">
        <v>12</v>
      </c>
      <c r="K422" s="40"/>
      <c r="L422" s="39"/>
      <c r="M422" s="39"/>
      <c r="N422" s="153"/>
      <c r="O422" s="153"/>
      <c r="P422" s="153"/>
    </row>
    <row r="423" spans="9:16" x14ac:dyDescent="0.2">
      <c r="I423" s="152" t="s">
        <v>12</v>
      </c>
      <c r="J423" s="152" t="s">
        <v>12</v>
      </c>
      <c r="K423" s="40"/>
      <c r="L423" s="39"/>
      <c r="M423" s="39"/>
      <c r="N423" s="153"/>
      <c r="O423" s="153"/>
      <c r="P423" s="153"/>
    </row>
    <row r="424" spans="9:16" x14ac:dyDescent="0.2">
      <c r="I424" s="152" t="s">
        <v>12</v>
      </c>
      <c r="J424" s="152" t="s">
        <v>12</v>
      </c>
      <c r="K424" s="40"/>
      <c r="L424" s="39"/>
      <c r="M424" s="39"/>
      <c r="N424" s="153"/>
      <c r="O424" s="153"/>
      <c r="P424" s="153"/>
    </row>
    <row r="425" spans="9:16" x14ac:dyDescent="0.2">
      <c r="I425" s="152" t="s">
        <v>12</v>
      </c>
      <c r="J425" s="152" t="s">
        <v>12</v>
      </c>
      <c r="K425" s="40"/>
      <c r="L425" s="39"/>
      <c r="M425" s="39"/>
      <c r="N425" s="153"/>
      <c r="O425" s="153"/>
      <c r="P425" s="153"/>
    </row>
    <row r="426" spans="9:16" x14ac:dyDescent="0.2">
      <c r="I426" s="152" t="s">
        <v>12</v>
      </c>
      <c r="J426" s="152" t="s">
        <v>12</v>
      </c>
      <c r="K426" s="40"/>
      <c r="L426" s="39"/>
      <c r="M426" s="39"/>
      <c r="N426" s="153"/>
      <c r="O426" s="153"/>
      <c r="P426" s="153"/>
    </row>
    <row r="427" spans="9:16" x14ac:dyDescent="0.2">
      <c r="I427" s="152" t="s">
        <v>12</v>
      </c>
      <c r="J427" s="152" t="s">
        <v>12</v>
      </c>
      <c r="K427" s="40"/>
      <c r="L427" s="39"/>
      <c r="M427" s="39"/>
      <c r="N427" s="153"/>
      <c r="O427" s="153"/>
      <c r="P427" s="153"/>
    </row>
    <row r="428" spans="9:16" x14ac:dyDescent="0.2">
      <c r="I428" s="152" t="s">
        <v>12</v>
      </c>
      <c r="J428" s="152" t="s">
        <v>12</v>
      </c>
      <c r="K428" s="40"/>
    </row>
    <row r="429" spans="9:16" x14ac:dyDescent="0.2">
      <c r="I429" s="152" t="s">
        <v>12</v>
      </c>
      <c r="J429" s="152" t="s">
        <v>12</v>
      </c>
      <c r="K429" s="40"/>
    </row>
    <row r="430" spans="9:16" x14ac:dyDescent="0.2">
      <c r="I430" s="152" t="s">
        <v>12</v>
      </c>
      <c r="J430" s="152" t="s">
        <v>12</v>
      </c>
      <c r="K430" s="40"/>
    </row>
    <row r="431" spans="9:16" x14ac:dyDescent="0.2">
      <c r="I431" s="152" t="s">
        <v>12</v>
      </c>
      <c r="J431" s="152" t="s">
        <v>12</v>
      </c>
      <c r="K431" s="40"/>
    </row>
    <row r="432" spans="9:16" x14ac:dyDescent="0.2">
      <c r="I432" s="152" t="s">
        <v>12</v>
      </c>
      <c r="J432" s="152" t="s">
        <v>12</v>
      </c>
      <c r="K432" s="40"/>
    </row>
    <row r="433" spans="9:11" x14ac:dyDescent="0.2">
      <c r="I433" s="152" t="s">
        <v>12</v>
      </c>
      <c r="J433" s="152" t="s">
        <v>12</v>
      </c>
      <c r="K433" s="40"/>
    </row>
    <row r="434" spans="9:11" x14ac:dyDescent="0.2">
      <c r="I434" s="152" t="s">
        <v>12</v>
      </c>
      <c r="J434" s="152" t="s">
        <v>12</v>
      </c>
      <c r="K434" s="40"/>
    </row>
    <row r="435" spans="9:11" x14ac:dyDescent="0.2">
      <c r="I435" s="152" t="s">
        <v>12</v>
      </c>
      <c r="J435" s="152" t="s">
        <v>12</v>
      </c>
      <c r="K435" s="40"/>
    </row>
    <row r="436" spans="9:11" x14ac:dyDescent="0.2">
      <c r="I436" s="152" t="s">
        <v>12</v>
      </c>
      <c r="J436" s="152" t="s">
        <v>12</v>
      </c>
      <c r="K436" s="40"/>
    </row>
    <row r="437" spans="9:11" x14ac:dyDescent="0.2">
      <c r="I437" s="152" t="s">
        <v>12</v>
      </c>
      <c r="J437" s="152" t="s">
        <v>12</v>
      </c>
      <c r="K437" s="40"/>
    </row>
    <row r="438" spans="9:11" x14ac:dyDescent="0.2">
      <c r="I438" s="152" t="s">
        <v>12</v>
      </c>
      <c r="J438" s="152" t="s">
        <v>12</v>
      </c>
      <c r="K438" s="40"/>
    </row>
    <row r="439" spans="9:11" x14ac:dyDescent="0.2">
      <c r="I439" s="152" t="s">
        <v>12</v>
      </c>
      <c r="J439" s="152" t="s">
        <v>12</v>
      </c>
      <c r="K439" s="40"/>
    </row>
    <row r="440" spans="9:11" x14ac:dyDescent="0.2">
      <c r="I440" s="152" t="s">
        <v>12</v>
      </c>
      <c r="J440" s="152" t="s">
        <v>12</v>
      </c>
      <c r="K440" s="40"/>
    </row>
    <row r="441" spans="9:11" x14ac:dyDescent="0.2">
      <c r="I441" s="152" t="s">
        <v>12</v>
      </c>
      <c r="J441" s="152" t="s">
        <v>12</v>
      </c>
      <c r="K441" s="40"/>
    </row>
    <row r="442" spans="9:11" x14ac:dyDescent="0.2">
      <c r="I442" s="152" t="s">
        <v>12</v>
      </c>
      <c r="J442" s="152" t="s">
        <v>12</v>
      </c>
      <c r="K442" s="40"/>
    </row>
    <row r="443" spans="9:11" x14ac:dyDescent="0.2">
      <c r="I443" s="152" t="s">
        <v>12</v>
      </c>
      <c r="J443" s="152" t="s">
        <v>12</v>
      </c>
      <c r="K443" s="40"/>
    </row>
    <row r="444" spans="9:11" x14ac:dyDescent="0.2">
      <c r="I444" s="152" t="s">
        <v>12</v>
      </c>
      <c r="J444" s="152" t="s">
        <v>12</v>
      </c>
      <c r="K444" s="40"/>
    </row>
    <row r="445" spans="9:11" x14ac:dyDescent="0.2">
      <c r="I445" s="152" t="s">
        <v>12</v>
      </c>
      <c r="J445" s="152" t="s">
        <v>12</v>
      </c>
      <c r="K445" s="40"/>
    </row>
    <row r="446" spans="9:11" x14ac:dyDescent="0.2">
      <c r="I446" s="152" t="s">
        <v>12</v>
      </c>
      <c r="J446" s="152" t="s">
        <v>12</v>
      </c>
      <c r="K446" s="40"/>
    </row>
    <row r="447" spans="9:11" x14ac:dyDescent="0.2">
      <c r="I447" s="152" t="s">
        <v>12</v>
      </c>
      <c r="J447" s="152" t="s">
        <v>12</v>
      </c>
      <c r="K447" s="40"/>
    </row>
    <row r="448" spans="9:11" x14ac:dyDescent="0.2">
      <c r="I448" s="152" t="s">
        <v>12</v>
      </c>
      <c r="J448" s="152" t="s">
        <v>12</v>
      </c>
      <c r="K448" s="40"/>
    </row>
    <row r="449" spans="9:11" x14ac:dyDescent="0.2">
      <c r="I449" s="152" t="s">
        <v>12</v>
      </c>
      <c r="J449" s="152" t="s">
        <v>12</v>
      </c>
      <c r="K449" s="40"/>
    </row>
    <row r="450" spans="9:11" x14ac:dyDescent="0.2">
      <c r="I450" s="152" t="s">
        <v>12</v>
      </c>
      <c r="J450" s="152" t="s">
        <v>12</v>
      </c>
      <c r="K450" s="40"/>
    </row>
    <row r="451" spans="9:11" x14ac:dyDescent="0.2">
      <c r="I451" s="152" t="s">
        <v>12</v>
      </c>
      <c r="J451" s="152" t="s">
        <v>12</v>
      </c>
      <c r="K451" s="40"/>
    </row>
    <row r="452" spans="9:11" x14ac:dyDescent="0.2">
      <c r="I452" s="152" t="s">
        <v>12</v>
      </c>
      <c r="J452" s="152" t="s">
        <v>12</v>
      </c>
      <c r="K452" s="40"/>
    </row>
    <row r="453" spans="9:11" x14ac:dyDescent="0.2">
      <c r="I453" s="152" t="s">
        <v>12</v>
      </c>
      <c r="J453" s="152" t="s">
        <v>12</v>
      </c>
      <c r="K453" s="40"/>
    </row>
    <row r="454" spans="9:11" x14ac:dyDescent="0.2">
      <c r="I454" s="152" t="s">
        <v>12</v>
      </c>
      <c r="J454" s="152" t="s">
        <v>12</v>
      </c>
      <c r="K454" s="40"/>
    </row>
    <row r="455" spans="9:11" x14ac:dyDescent="0.2">
      <c r="I455" s="152" t="s">
        <v>12</v>
      </c>
      <c r="J455" s="152" t="s">
        <v>12</v>
      </c>
      <c r="K455" s="40"/>
    </row>
    <row r="456" spans="9:11" x14ac:dyDescent="0.2">
      <c r="I456" s="152" t="s">
        <v>12</v>
      </c>
      <c r="J456" s="152" t="s">
        <v>12</v>
      </c>
      <c r="K456" s="40"/>
    </row>
    <row r="457" spans="9:11" x14ac:dyDescent="0.2">
      <c r="I457" s="152" t="s">
        <v>12</v>
      </c>
      <c r="J457" s="152" t="s">
        <v>12</v>
      </c>
      <c r="K457" s="40"/>
    </row>
    <row r="458" spans="9:11" x14ac:dyDescent="0.2">
      <c r="I458" s="152" t="s">
        <v>12</v>
      </c>
      <c r="J458" s="152" t="s">
        <v>12</v>
      </c>
      <c r="K458" s="40"/>
    </row>
    <row r="459" spans="9:11" x14ac:dyDescent="0.2">
      <c r="I459" s="152" t="s">
        <v>12</v>
      </c>
      <c r="J459" s="152" t="s">
        <v>12</v>
      </c>
      <c r="K459" s="40"/>
    </row>
    <row r="460" spans="9:11" x14ac:dyDescent="0.2">
      <c r="I460" s="152" t="s">
        <v>12</v>
      </c>
      <c r="J460" s="152" t="s">
        <v>12</v>
      </c>
      <c r="K460" s="40"/>
    </row>
    <row r="461" spans="9:11" x14ac:dyDescent="0.2">
      <c r="I461" s="152" t="s">
        <v>12</v>
      </c>
      <c r="J461" s="152" t="s">
        <v>12</v>
      </c>
      <c r="K461" s="40"/>
    </row>
    <row r="462" spans="9:11" x14ac:dyDescent="0.2">
      <c r="I462" s="152" t="s">
        <v>12</v>
      </c>
      <c r="J462" s="152" t="s">
        <v>12</v>
      </c>
      <c r="K462" s="40"/>
    </row>
    <row r="463" spans="9:11" x14ac:dyDescent="0.2">
      <c r="I463" s="152" t="s">
        <v>12</v>
      </c>
      <c r="J463" s="152" t="s">
        <v>12</v>
      </c>
      <c r="K463" s="40"/>
    </row>
    <row r="464" spans="9:11" x14ac:dyDescent="0.2">
      <c r="I464" s="155"/>
      <c r="J464" s="155"/>
      <c r="K464" s="40"/>
    </row>
    <row r="465" spans="9:11" x14ac:dyDescent="0.2">
      <c r="I465" s="155"/>
      <c r="J465" s="155"/>
      <c r="K465" s="40"/>
    </row>
    <row r="466" spans="9:11" x14ac:dyDescent="0.2">
      <c r="I466" s="155"/>
      <c r="J466" s="155"/>
      <c r="K466" s="40"/>
    </row>
  </sheetData>
  <sheetProtection formatCells="0"/>
  <mergeCells count="19">
    <mergeCell ref="Z5:AA5"/>
    <mergeCell ref="D4:D5"/>
    <mergeCell ref="K4:P4"/>
    <mergeCell ref="A1:F1"/>
    <mergeCell ref="E4:J4"/>
    <mergeCell ref="A4:C4"/>
    <mergeCell ref="Q4:Y4"/>
    <mergeCell ref="Z4:AA4"/>
    <mergeCell ref="A5:C5"/>
    <mergeCell ref="AO4:AO5"/>
    <mergeCell ref="AF5:AH5"/>
    <mergeCell ref="AM4:AN4"/>
    <mergeCell ref="AD5:AE5"/>
    <mergeCell ref="AI4:AJ4"/>
    <mergeCell ref="AK4:AL4"/>
    <mergeCell ref="AK5:AK6"/>
    <mergeCell ref="AL5:AL6"/>
    <mergeCell ref="AF4:AH4"/>
    <mergeCell ref="AB4:AE4"/>
  </mergeCells>
  <phoneticPr fontId="5" type="noConversion"/>
  <printOptions gridLines="1"/>
  <pageMargins left="0.31496062992125984" right="0.35433070866141736" top="0.78740157480314965" bottom="0.59055118110236227" header="0.51181102362204722" footer="0.31496062992125984"/>
  <pageSetup paperSize="9" scale="26" fitToWidth="2" fitToHeight="0" pageOrder="overThenDown" orientation="landscape" cellComments="asDisplayed" r:id="rId1"/>
  <headerFooter alignWithMargins="0">
    <oddFooter>&amp;R&amp;A,  &amp;P/&amp;N</oddFooter>
  </headerFooter>
  <legacy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analyses!AA11:AA376</xm:f>
              <xm:sqref>AA2</xm:sqref>
            </x14:sparkline>
            <x14:sparkline>
              <xm:f>analyses!AB11:AB376</xm:f>
              <xm:sqref>AB2</xm:sqref>
            </x14:sparkline>
            <x14:sparkline>
              <xm:f>analyses!AC11:AC376</xm:f>
              <xm:sqref>AC2</xm:sqref>
            </x14:sparkline>
            <x14:sparkline>
              <xm:f>analyses!AD11:AD376</xm:f>
              <xm:sqref>AD2</xm:sqref>
            </x14:sparkline>
            <x14:sparkline>
              <xm:f>analyses!AE11:AE376</xm:f>
              <xm:sqref>AE2</xm:sqref>
            </x14:sparkline>
            <x14:sparkline>
              <xm:f>analyses!AF11:AF376</xm:f>
              <xm:sqref>AF2</xm:sqref>
            </x14:sparkline>
            <x14:sparkline>
              <xm:f>analyses!AG11:AG376</xm:f>
              <xm:sqref>AG2</xm:sqref>
            </x14:sparkline>
            <x14:sparkline>
              <xm:f>analyses!AH11:AH376</xm:f>
              <xm:sqref>AH2</xm:sqref>
            </x14:sparkline>
            <x14:sparkline>
              <xm:f>analyses!AI11:AI376</xm:f>
              <xm:sqref>AI2</xm:sqref>
            </x14:sparkline>
            <x14:sparkline>
              <xm:f>analyses!AJ11:AJ376</xm:f>
              <xm:sqref>AJ2</xm:sqref>
            </x14:sparkline>
            <x14:sparkline>
              <xm:f>analyses!AK11:AK376</xm:f>
              <xm:sqref>AK2</xm:sqref>
            </x14:sparkline>
            <x14:sparkline>
              <xm:f>analyses!AL11:AL376</xm:f>
              <xm:sqref>AL2</xm:sqref>
            </x14:sparkline>
            <x14:sparkline>
              <xm:f>analyses!AM11:AM376</xm:f>
              <xm:sqref>AM2</xm:sqref>
            </x14:sparkline>
            <x14:sparkline>
              <xm:f>analyses!AN11:AN376</xm:f>
              <xm:sqref>AN2</xm:sqref>
            </x14:sparkline>
            <x14:sparkline>
              <xm:f>analyses!AO11:AO376</xm:f>
              <xm:sqref>AO2</xm:sqref>
            </x14:sparkline>
            <x14:sparkline>
              <xm:f>analyses!AP11:AP376</xm:f>
              <xm:sqref>AP2</xm:sqref>
            </x14:sparkline>
            <x14:sparkline>
              <xm:f>analyses!AQ11:AQ376</xm:f>
              <xm:sqref>AQ2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analyses!Z11:Z376</xm:f>
              <xm:sqref>Z2</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analyses!D11:D376</xm:f>
              <xm:sqref>D2</xm:sqref>
            </x14:sparkline>
            <x14:sparkline>
              <xm:f>analyses!E11:E376</xm:f>
              <xm:sqref>E2</xm:sqref>
            </x14:sparkline>
            <x14:sparkline>
              <xm:f>analyses!F11:F376</xm:f>
              <xm:sqref>F2</xm:sqref>
            </x14:sparkline>
            <x14:sparkline>
              <xm:f>analyses!G11:G376</xm:f>
              <xm:sqref>G2</xm:sqref>
            </x14:sparkline>
            <x14:sparkline>
              <xm:f>analyses!H11:H376</xm:f>
              <xm:sqref>H2</xm:sqref>
            </x14:sparkline>
            <x14:sparkline>
              <xm:f>analyses!I11:I376</xm:f>
              <xm:sqref>I2</xm:sqref>
            </x14:sparkline>
            <x14:sparkline>
              <xm:f>analyses!J11:J376</xm:f>
              <xm:sqref>J2</xm:sqref>
            </x14:sparkline>
            <x14:sparkline>
              <xm:f>analyses!K11:K376</xm:f>
              <xm:sqref>K2</xm:sqref>
            </x14:sparkline>
            <x14:sparkline>
              <xm:f>analyses!L11:L376</xm:f>
              <xm:sqref>L2</xm:sqref>
            </x14:sparkline>
            <x14:sparkline>
              <xm:f>analyses!M11:M376</xm:f>
              <xm:sqref>M2</xm:sqref>
            </x14:sparkline>
            <x14:sparkline>
              <xm:f>analyses!N11:N376</xm:f>
              <xm:sqref>N2</xm:sqref>
            </x14:sparkline>
            <x14:sparkline>
              <xm:f>analyses!O11:O376</xm:f>
              <xm:sqref>O2</xm:sqref>
            </x14:sparkline>
            <x14:sparkline>
              <xm:f>analyses!P11:P376</xm:f>
              <xm:sqref>P2</xm:sqref>
            </x14:sparkline>
            <x14:sparkline>
              <xm:f>analyses!Q11:Q376</xm:f>
              <xm:sqref>Q2</xm:sqref>
            </x14:sparkline>
            <x14:sparkline>
              <xm:f>analyses!R11:R376</xm:f>
              <xm:sqref>R2</xm:sqref>
            </x14:sparkline>
            <x14:sparkline>
              <xm:f>analyses!S11:S376</xm:f>
              <xm:sqref>S2</xm:sqref>
            </x14:sparkline>
            <x14:sparkline>
              <xm:f>analyses!T11:T376</xm:f>
              <xm:sqref>T2</xm:sqref>
            </x14:sparkline>
            <x14:sparkline>
              <xm:f>analyses!U11:U376</xm:f>
              <xm:sqref>U2</xm:sqref>
            </x14:sparkline>
            <x14:sparkline>
              <xm:f>analyses!V11:V376</xm:f>
              <xm:sqref>V2</xm:sqref>
            </x14:sparkline>
            <x14:sparkline>
              <xm:f>analyses!W11:W376</xm:f>
              <xm:sqref>W2</xm:sqref>
            </x14:sparkline>
            <x14:sparkline>
              <xm:f>analyses!X11:X376</xm:f>
              <xm:sqref>X2</xm:sqref>
            </x14:sparkline>
            <x14:sparkline>
              <xm:f>analyses!Y11:Y376</xm:f>
              <xm:sqref>Y2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tabColor rgb="FFCCFFCC"/>
  </sheetPr>
  <dimension ref="A1:L29"/>
  <sheetViews>
    <sheetView zoomScale="115" zoomScaleNormal="115" zoomScaleSheetLayoutView="115" workbookViewId="0"/>
  </sheetViews>
  <sheetFormatPr baseColWidth="10" defaultColWidth="11.42578125" defaultRowHeight="12.75" x14ac:dyDescent="0.2"/>
  <cols>
    <col min="1" max="1" width="2.5703125" style="24" customWidth="1"/>
    <col min="2" max="2" width="21.28515625" style="24" customWidth="1"/>
    <col min="3" max="3" width="10" style="24" customWidth="1"/>
    <col min="4" max="4" width="15.140625" style="24" customWidth="1"/>
    <col min="5" max="5" width="13.7109375" style="24" customWidth="1"/>
    <col min="6" max="6" width="3.140625" style="24" customWidth="1"/>
    <col min="7" max="12" width="15.140625" style="24" hidden="1" customWidth="1"/>
    <col min="13" max="16384" width="11.42578125" style="24"/>
  </cols>
  <sheetData>
    <row r="1" spans="1:4" s="27" customFormat="1" ht="13.9" customHeight="1" x14ac:dyDescent="0.2">
      <c r="A1" s="76" t="str">
        <f>basis!A1</f>
        <v>ARA Ausserbinn</v>
      </c>
      <c r="C1" s="75"/>
    </row>
    <row r="2" spans="1:4" s="27" customFormat="1" ht="3.6" customHeight="1" x14ac:dyDescent="0.2">
      <c r="A2" s="71"/>
      <c r="C2" s="75"/>
    </row>
    <row r="3" spans="1:4" s="27" customFormat="1" ht="13.9" customHeight="1" x14ac:dyDescent="0.2">
      <c r="A3" s="76" t="str">
        <f>IF(Langue=1,"Analyse annuelle de qualité des boues (seulement STEP ≥ 2000 EH)","Jährliche Klärschlammanalyse (nur ARA ≥2000 EW)")</f>
        <v>Jährliche Klärschlammanalyse (nur ARA ≥2000 EW)</v>
      </c>
      <c r="C3" s="75"/>
    </row>
    <row r="4" spans="1:4" ht="27" customHeight="1" x14ac:dyDescent="0.2">
      <c r="B4" s="321" t="str">
        <f>IF(Langue=1,"Date du prélèvement","Datum der Probe")</f>
        <v>Datum der Probe</v>
      </c>
      <c r="C4" s="322"/>
      <c r="D4" s="331" t="str">
        <f>IF(Langue=1,"Boues d’épuration prélevées en sortie de digesteur ou de stockeur","Ablauf Faulturm oder falls keine Faulung, vom Schlammstapel")</f>
        <v>Ablauf Faulturm oder falls keine Faulung, vom Schlammstapel</v>
      </c>
    </row>
    <row r="5" spans="1:4" ht="27" customHeight="1" x14ac:dyDescent="0.2">
      <c r="B5" s="332" t="str">
        <f>IF(Langue=1,"Teneur en matière sèche (%MF)","Trockensubstanz bzw. Trockenmasse (%FM)")</f>
        <v>Trockensubstanz bzw. Trockenmasse (%FM)</v>
      </c>
      <c r="C5" s="273"/>
    </row>
    <row r="6" spans="1:4" ht="27" customHeight="1" x14ac:dyDescent="0.2">
      <c r="B6" s="332" t="str">
        <f>IF(Langue=1,"Teneur en matière organique (%MS)","organische Trockensubstanz (%TS)")</f>
        <v>organische Trockensubstanz (%TS)</v>
      </c>
      <c r="C6" s="273"/>
    </row>
    <row r="7" spans="1:4" ht="27" customHeight="1" x14ac:dyDescent="0.2">
      <c r="B7" s="333" t="s">
        <v>188</v>
      </c>
      <c r="C7" s="273"/>
    </row>
    <row r="8" spans="1:4" ht="13.9" customHeight="1" x14ac:dyDescent="0.2">
      <c r="B8" s="334"/>
      <c r="C8" s="335"/>
    </row>
    <row r="9" spans="1:4" ht="13.9" customHeight="1" x14ac:dyDescent="0.2">
      <c r="A9" s="336" t="str">
        <f>IF(Langue=1,"Eléments fertilisants (kg/t MS)","Nährstoffe (kg/t TS)")</f>
        <v>Nährstoffe (kg/t TS)</v>
      </c>
      <c r="C9" s="337"/>
    </row>
    <row r="10" spans="1:4" ht="24" customHeight="1" x14ac:dyDescent="0.2">
      <c r="B10" s="338" t="str">
        <f>IF(Langue=1,"Ntot","Nges")</f>
        <v>Nges</v>
      </c>
      <c r="C10" s="274"/>
    </row>
    <row r="11" spans="1:4" ht="24" customHeight="1" x14ac:dyDescent="0.2">
      <c r="B11" s="338" t="s">
        <v>0</v>
      </c>
      <c r="C11" s="274"/>
    </row>
    <row r="12" spans="1:4" ht="24" customHeight="1" x14ac:dyDescent="0.2">
      <c r="B12" s="338" t="s">
        <v>200</v>
      </c>
      <c r="C12" s="274"/>
    </row>
    <row r="13" spans="1:4" ht="24" customHeight="1" x14ac:dyDescent="0.2">
      <c r="B13" s="338" t="s">
        <v>201</v>
      </c>
      <c r="C13" s="274"/>
    </row>
    <row r="14" spans="1:4" ht="24" customHeight="1" x14ac:dyDescent="0.2">
      <c r="B14" s="338" t="s">
        <v>202</v>
      </c>
      <c r="C14" s="274"/>
    </row>
    <row r="15" spans="1:4" ht="24" customHeight="1" x14ac:dyDescent="0.2">
      <c r="B15" s="338" t="s">
        <v>203</v>
      </c>
      <c r="C15" s="274"/>
    </row>
    <row r="16" spans="1:4" ht="13.9" customHeight="1" x14ac:dyDescent="0.2">
      <c r="B16" s="334"/>
      <c r="C16" s="339"/>
    </row>
    <row r="17" spans="1:12" ht="29.25" customHeight="1" x14ac:dyDescent="0.2">
      <c r="A17" s="336" t="str">
        <f>IF(Langue=1,"Métaux lourds (g/t MS)","Schwermetalle (g/t TS)")</f>
        <v>Schwermetalle (g/t TS)</v>
      </c>
      <c r="C17" s="339"/>
      <c r="D17" s="1007" t="str">
        <f>IF(Langue=1,"Valeurs limites selon ORRChim (g/t MS)","Grenzwert gemäss ChemRRV (g/t TS)")</f>
        <v>Grenzwert gemäss ChemRRV (g/t TS)</v>
      </c>
      <c r="E17" s="1008"/>
    </row>
    <row r="18" spans="1:12" ht="24.6" customHeight="1" x14ac:dyDescent="0.2">
      <c r="B18" s="338" t="s">
        <v>204</v>
      </c>
      <c r="C18" s="274"/>
      <c r="D18" s="340">
        <v>5</v>
      </c>
      <c r="E18" s="341"/>
    </row>
    <row r="19" spans="1:12" ht="24.6" customHeight="1" x14ac:dyDescent="0.2">
      <c r="B19" s="338" t="s">
        <v>191</v>
      </c>
      <c r="C19" s="274"/>
      <c r="D19" s="340">
        <v>60</v>
      </c>
      <c r="E19" s="341"/>
    </row>
    <row r="20" spans="1:12" ht="24.6" customHeight="1" x14ac:dyDescent="0.2">
      <c r="B20" s="338" t="s">
        <v>192</v>
      </c>
      <c r="C20" s="274"/>
      <c r="D20" s="340">
        <v>500</v>
      </c>
      <c r="E20" s="341"/>
    </row>
    <row r="21" spans="1:12" ht="24.6" customHeight="1" x14ac:dyDescent="0.2">
      <c r="B21" s="338" t="s">
        <v>193</v>
      </c>
      <c r="C21" s="274"/>
      <c r="D21" s="340">
        <v>600</v>
      </c>
      <c r="E21" s="341"/>
    </row>
    <row r="22" spans="1:12" ht="24.6" customHeight="1" x14ac:dyDescent="0.2">
      <c r="B22" s="338" t="s">
        <v>194</v>
      </c>
      <c r="C22" s="274"/>
      <c r="D22" s="340">
        <v>5</v>
      </c>
      <c r="E22" s="341"/>
    </row>
    <row r="23" spans="1:12" ht="24.6" customHeight="1" x14ac:dyDescent="0.2">
      <c r="B23" s="338" t="s">
        <v>195</v>
      </c>
      <c r="C23" s="274"/>
      <c r="D23" s="340">
        <v>20</v>
      </c>
      <c r="E23" s="341"/>
      <c r="L23" s="342"/>
    </row>
    <row r="24" spans="1:12" ht="24.6" customHeight="1" x14ac:dyDescent="0.2">
      <c r="B24" s="338" t="s">
        <v>196</v>
      </c>
      <c r="C24" s="274"/>
      <c r="D24" s="340">
        <v>80</v>
      </c>
      <c r="E24" s="341"/>
    </row>
    <row r="25" spans="1:12" ht="24.6" customHeight="1" x14ac:dyDescent="0.2">
      <c r="B25" s="338" t="s">
        <v>197</v>
      </c>
      <c r="C25" s="274"/>
      <c r="D25" s="340">
        <v>500</v>
      </c>
      <c r="E25" s="341"/>
    </row>
    <row r="26" spans="1:12" ht="24.6" customHeight="1" x14ac:dyDescent="0.2">
      <c r="B26" s="338" t="s">
        <v>198</v>
      </c>
      <c r="C26" s="274"/>
      <c r="D26" s="340">
        <v>2000</v>
      </c>
      <c r="E26" s="341"/>
    </row>
    <row r="27" spans="1:12" ht="24.6" customHeight="1" x14ac:dyDescent="0.2">
      <c r="B27" s="338" t="s">
        <v>199</v>
      </c>
      <c r="C27" s="274"/>
      <c r="D27" s="340">
        <v>500</v>
      </c>
      <c r="E27" s="341"/>
    </row>
    <row r="28" spans="1:12" ht="13.9" customHeight="1" x14ac:dyDescent="0.2">
      <c r="B28" s="343"/>
      <c r="C28" s="343"/>
    </row>
    <row r="29" spans="1:12" x14ac:dyDescent="0.2">
      <c r="L29" s="342"/>
    </row>
  </sheetData>
  <mergeCells count="1">
    <mergeCell ref="D17:E17"/>
  </mergeCells>
  <phoneticPr fontId="5" type="noConversion"/>
  <conditionalFormatting sqref="C18:C27">
    <cfRule type="expression" dxfId="73" priority="1" stopIfTrue="1">
      <formula>$C18&gt;$D18</formula>
    </cfRule>
  </conditionalFormatting>
  <pageMargins left="0.78740157480314965" right="0.78740157480314965" top="0.98425196850393704" bottom="0.98425196850393704" header="0.51181102362204722" footer="0.51181102362204722"/>
  <pageSetup paperSize="9" orientation="portrait" r:id="rId1"/>
  <headerFooter alignWithMargins="0">
    <oddFooter>&amp;L&amp;7&amp;Z&amp;F</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indexed="10"/>
    <pageSetUpPr fitToPage="1"/>
  </sheetPr>
  <dimension ref="A1:IS109"/>
  <sheetViews>
    <sheetView zoomScale="115" zoomScaleNormal="115" workbookViewId="0">
      <pane xSplit="1" ySplit="1" topLeftCell="DJ44" activePane="bottomRight" state="frozen"/>
      <selection activeCell="M40" sqref="M40"/>
      <selection pane="topRight" activeCell="M40" sqref="M40"/>
      <selection pane="bottomLeft" activeCell="M40" sqref="M40"/>
      <selection pane="bottomRight" activeCell="A71" sqref="A71"/>
    </sheetView>
  </sheetViews>
  <sheetFormatPr baseColWidth="10" defaultColWidth="11.42578125" defaultRowHeight="12.75" x14ac:dyDescent="0.2"/>
  <cols>
    <col min="1" max="1" width="26" style="12" customWidth="1"/>
    <col min="2" max="2" width="7.5703125" style="17" customWidth="1"/>
    <col min="3" max="4" width="14.28515625" style="17" customWidth="1"/>
    <col min="5" max="5" width="9.85546875" style="15" customWidth="1"/>
    <col min="6" max="6" width="9.28515625" style="17" customWidth="1"/>
    <col min="7" max="7" width="8.85546875" style="17" customWidth="1"/>
    <col min="8" max="9" width="12.5703125" style="17" customWidth="1"/>
    <col min="10" max="10" width="13.28515625" style="17" customWidth="1"/>
    <col min="11" max="11" width="19.140625" style="17" customWidth="1"/>
    <col min="12" max="12" width="13.140625" style="17" customWidth="1"/>
    <col min="13" max="14" width="11.42578125" style="17" customWidth="1"/>
    <col min="15" max="15" width="12.140625" style="17" customWidth="1"/>
    <col min="16" max="27" width="11.42578125" style="17" customWidth="1"/>
    <col min="28" max="28" width="17.28515625" style="17" customWidth="1"/>
    <col min="29" max="29" width="11.42578125" style="17" customWidth="1"/>
    <col min="30" max="33" width="17.28515625" style="17" customWidth="1"/>
    <col min="34" max="52" width="11.42578125" style="17" customWidth="1"/>
    <col min="53" max="53" width="14.42578125" style="17" customWidth="1"/>
    <col min="54" max="54" width="11.42578125" style="17" customWidth="1"/>
    <col min="55" max="55" width="49.85546875" style="77" customWidth="1"/>
    <col min="56" max="62" width="19.140625" style="67" customWidth="1"/>
    <col min="63" max="63" width="21.28515625" style="67" customWidth="1"/>
    <col min="64" max="81" width="13.28515625" style="67" customWidth="1"/>
    <col min="82" max="82" width="18.28515625" style="67" customWidth="1"/>
    <col min="83" max="84" width="22.28515625" style="67" customWidth="1"/>
    <col min="85" max="85" width="21.28515625" style="77" customWidth="1"/>
    <col min="86" max="86" width="25.28515625" style="17" customWidth="1"/>
    <col min="87" max="87" width="17.28515625" style="67" customWidth="1"/>
    <col min="88" max="88" width="18.28515625" style="17" customWidth="1"/>
    <col min="89" max="89" width="25.28515625" style="17" customWidth="1"/>
    <col min="90" max="90" width="11.5703125" style="766" customWidth="1"/>
    <col min="91" max="114" width="11.42578125" style="12" customWidth="1"/>
    <col min="115" max="115" width="1.85546875" style="136" customWidth="1"/>
    <col min="116" max="116" width="11.42578125" style="766"/>
    <col min="117" max="117" width="19" style="766" customWidth="1"/>
    <col min="118" max="118" width="24" style="766" customWidth="1"/>
    <col min="119" max="253" width="11.42578125" style="766"/>
    <col min="254" max="16384" width="11.42578125" style="12"/>
  </cols>
  <sheetData>
    <row r="1" spans="1:253" s="777" customFormat="1" ht="39" customHeight="1" thickBot="1" x14ac:dyDescent="0.25">
      <c r="A1" s="767" t="s">
        <v>7</v>
      </c>
      <c r="B1" s="768" t="s">
        <v>380</v>
      </c>
      <c r="C1" s="768" t="s">
        <v>381</v>
      </c>
      <c r="D1" s="768" t="s">
        <v>382</v>
      </c>
      <c r="E1" s="769" t="s">
        <v>383</v>
      </c>
      <c r="F1" s="768" t="s">
        <v>384</v>
      </c>
      <c r="G1" s="768" t="s">
        <v>385</v>
      </c>
      <c r="H1" s="768" t="s">
        <v>386</v>
      </c>
      <c r="I1" s="768" t="s">
        <v>387</v>
      </c>
      <c r="J1" s="768" t="s">
        <v>388</v>
      </c>
      <c r="K1" s="768" t="s">
        <v>389</v>
      </c>
      <c r="L1" s="768" t="s">
        <v>390</v>
      </c>
      <c r="M1" s="768" t="s">
        <v>391</v>
      </c>
      <c r="N1" s="768" t="s">
        <v>392</v>
      </c>
      <c r="O1" s="768" t="s">
        <v>393</v>
      </c>
      <c r="P1" s="768" t="s">
        <v>394</v>
      </c>
      <c r="Q1" s="768" t="s">
        <v>395</v>
      </c>
      <c r="R1" s="768" t="s">
        <v>396</v>
      </c>
      <c r="S1" s="768" t="s">
        <v>397</v>
      </c>
      <c r="T1" s="768" t="s">
        <v>398</v>
      </c>
      <c r="U1" s="768" t="s">
        <v>399</v>
      </c>
      <c r="V1" s="768" t="s">
        <v>400</v>
      </c>
      <c r="W1" s="768" t="s">
        <v>401</v>
      </c>
      <c r="X1" s="768" t="s">
        <v>402</v>
      </c>
      <c r="Y1" s="768" t="s">
        <v>403</v>
      </c>
      <c r="Z1" s="768" t="s">
        <v>404</v>
      </c>
      <c r="AA1" s="768" t="s">
        <v>405</v>
      </c>
      <c r="AB1" s="768" t="s">
        <v>406</v>
      </c>
      <c r="AC1" s="768" t="s">
        <v>407</v>
      </c>
      <c r="AD1" s="768" t="s">
        <v>408</v>
      </c>
      <c r="AE1" s="768" t="s">
        <v>406</v>
      </c>
      <c r="AF1" s="768" t="s">
        <v>409</v>
      </c>
      <c r="AG1" s="79" t="s">
        <v>410</v>
      </c>
      <c r="AH1" s="79" t="s">
        <v>411</v>
      </c>
      <c r="AI1" s="79" t="s">
        <v>412</v>
      </c>
      <c r="AJ1" s="79" t="s">
        <v>413</v>
      </c>
      <c r="AK1" s="79" t="s">
        <v>414</v>
      </c>
      <c r="AL1" s="79" t="s">
        <v>415</v>
      </c>
      <c r="AM1" s="79" t="s">
        <v>416</v>
      </c>
      <c r="AN1" s="79" t="s">
        <v>417</v>
      </c>
      <c r="AO1" s="79" t="s">
        <v>418</v>
      </c>
      <c r="AP1" s="79" t="s">
        <v>419</v>
      </c>
      <c r="AQ1" s="79" t="s">
        <v>420</v>
      </c>
      <c r="AR1" s="79" t="s">
        <v>421</v>
      </c>
      <c r="AS1" s="79" t="s">
        <v>422</v>
      </c>
      <c r="AT1" s="79" t="s">
        <v>423</v>
      </c>
      <c r="AU1" s="79" t="s">
        <v>424</v>
      </c>
      <c r="AV1" s="79" t="s">
        <v>425</v>
      </c>
      <c r="AW1" s="79" t="s">
        <v>426</v>
      </c>
      <c r="AX1" s="79" t="s">
        <v>427</v>
      </c>
      <c r="AY1" s="79" t="s">
        <v>428</v>
      </c>
      <c r="AZ1" s="79" t="s">
        <v>429</v>
      </c>
      <c r="BA1" s="79" t="s">
        <v>173</v>
      </c>
      <c r="BB1" s="79" t="s">
        <v>430</v>
      </c>
      <c r="BC1" s="770" t="s">
        <v>167</v>
      </c>
      <c r="BD1" s="771" t="s">
        <v>206</v>
      </c>
      <c r="BE1" s="771" t="s">
        <v>207</v>
      </c>
      <c r="BF1" s="771" t="s">
        <v>208</v>
      </c>
      <c r="BG1" s="771" t="s">
        <v>209</v>
      </c>
      <c r="BH1" s="771" t="s">
        <v>210</v>
      </c>
      <c r="BI1" s="771" t="s">
        <v>177</v>
      </c>
      <c r="BJ1" s="771" t="s">
        <v>183</v>
      </c>
      <c r="BK1" s="79" t="s">
        <v>211</v>
      </c>
      <c r="BL1" s="79" t="s">
        <v>212</v>
      </c>
      <c r="BM1" s="79" t="s">
        <v>213</v>
      </c>
      <c r="BN1" s="79" t="s">
        <v>214</v>
      </c>
      <c r="BO1" s="79" t="s">
        <v>215</v>
      </c>
      <c r="BP1" s="79" t="s">
        <v>216</v>
      </c>
      <c r="BQ1" s="79" t="s">
        <v>217</v>
      </c>
      <c r="BR1" s="771" t="s">
        <v>178</v>
      </c>
      <c r="BS1" s="771" t="s">
        <v>179</v>
      </c>
      <c r="BT1" s="771" t="s">
        <v>180</v>
      </c>
      <c r="BU1" s="771" t="s">
        <v>181</v>
      </c>
      <c r="BV1" s="771" t="s">
        <v>182</v>
      </c>
      <c r="BW1" s="771" t="s">
        <v>183</v>
      </c>
      <c r="BX1" s="772" t="s">
        <v>179</v>
      </c>
      <c r="BY1" s="772" t="s">
        <v>218</v>
      </c>
      <c r="BZ1" s="772" t="s">
        <v>219</v>
      </c>
      <c r="CA1" s="773" t="s">
        <v>183</v>
      </c>
      <c r="CB1" s="79" t="s">
        <v>169</v>
      </c>
      <c r="CC1" s="79" t="s">
        <v>170</v>
      </c>
      <c r="CD1" s="79" t="s">
        <v>171</v>
      </c>
      <c r="CE1" s="79" t="s">
        <v>172</v>
      </c>
      <c r="CF1" s="79" t="s">
        <v>431</v>
      </c>
      <c r="CG1" s="770" t="s">
        <v>174</v>
      </c>
      <c r="CH1" s="79" t="s">
        <v>175</v>
      </c>
      <c r="CI1" s="79" t="s">
        <v>186</v>
      </c>
      <c r="CJ1" s="79" t="s">
        <v>176</v>
      </c>
      <c r="CK1" s="79" t="s">
        <v>184</v>
      </c>
      <c r="CL1" s="774" t="s">
        <v>187</v>
      </c>
      <c r="CM1" s="774" t="s">
        <v>185</v>
      </c>
      <c r="CN1" s="774" t="s">
        <v>432</v>
      </c>
      <c r="CO1" s="774" t="s">
        <v>433</v>
      </c>
      <c r="CP1" s="774" t="s">
        <v>434</v>
      </c>
      <c r="CQ1" s="774" t="s">
        <v>435</v>
      </c>
      <c r="CR1" s="774" t="s">
        <v>436</v>
      </c>
      <c r="CS1" s="774" t="s">
        <v>437</v>
      </c>
      <c r="CT1" s="79" t="s">
        <v>300</v>
      </c>
      <c r="CU1" s="775"/>
      <c r="CV1" s="775"/>
      <c r="CW1" s="775"/>
      <c r="CX1" s="775"/>
      <c r="CY1" s="775"/>
      <c r="CZ1" s="775"/>
      <c r="DA1" s="775"/>
      <c r="DB1" s="775"/>
      <c r="DC1" s="775"/>
      <c r="DD1" s="775"/>
      <c r="DE1" s="775"/>
      <c r="DF1" s="775"/>
      <c r="DG1" s="775"/>
      <c r="DH1" s="775"/>
      <c r="DI1" s="775"/>
      <c r="DJ1" s="775"/>
      <c r="DK1" s="776"/>
      <c r="DL1" s="766"/>
      <c r="DM1" s="766"/>
      <c r="DN1" s="766"/>
      <c r="DO1" s="766"/>
      <c r="DP1" s="766"/>
      <c r="DQ1" s="766"/>
      <c r="DR1" s="766"/>
      <c r="DS1" s="766"/>
      <c r="DT1" s="766"/>
      <c r="DU1" s="766"/>
      <c r="DV1" s="766"/>
      <c r="DW1" s="766"/>
      <c r="DX1" s="766"/>
      <c r="DY1" s="766"/>
      <c r="DZ1" s="766"/>
      <c r="EA1" s="766"/>
      <c r="EB1" s="766"/>
      <c r="EC1" s="766"/>
      <c r="ED1" s="766"/>
      <c r="EE1" s="766"/>
      <c r="EF1" s="766"/>
      <c r="EG1" s="766"/>
      <c r="EH1" s="766"/>
      <c r="EI1" s="766"/>
      <c r="EJ1" s="766"/>
      <c r="EK1" s="766"/>
      <c r="EL1" s="766"/>
      <c r="EM1" s="766"/>
      <c r="EN1" s="766"/>
      <c r="EO1" s="766"/>
      <c r="EP1" s="766"/>
      <c r="EQ1" s="766"/>
      <c r="ER1" s="766"/>
      <c r="ES1" s="766"/>
      <c r="ET1" s="766"/>
      <c r="EU1" s="766"/>
      <c r="EV1" s="766"/>
      <c r="EW1" s="766"/>
      <c r="EX1" s="766"/>
      <c r="EY1" s="766"/>
      <c r="EZ1" s="766"/>
      <c r="FA1" s="766"/>
      <c r="FB1" s="766"/>
      <c r="FC1" s="766"/>
      <c r="FD1" s="766"/>
      <c r="FE1" s="766"/>
      <c r="FF1" s="766"/>
      <c r="FG1" s="766"/>
      <c r="FH1" s="766"/>
      <c r="FI1" s="766"/>
      <c r="FJ1" s="766"/>
      <c r="FK1" s="766"/>
      <c r="FL1" s="766"/>
      <c r="FM1" s="766"/>
      <c r="FN1" s="766"/>
      <c r="FO1" s="766"/>
      <c r="FP1" s="766"/>
      <c r="FQ1" s="766"/>
      <c r="FR1" s="766"/>
      <c r="FS1" s="766"/>
      <c r="FT1" s="766"/>
      <c r="FU1" s="766"/>
      <c r="FV1" s="766"/>
      <c r="FW1" s="766"/>
      <c r="FX1" s="766"/>
      <c r="FY1" s="766"/>
      <c r="FZ1" s="766"/>
      <c r="GA1" s="766"/>
      <c r="GB1" s="766"/>
      <c r="GC1" s="766"/>
      <c r="GD1" s="766"/>
      <c r="GE1" s="766"/>
      <c r="GF1" s="766"/>
      <c r="GG1" s="766"/>
      <c r="GH1" s="766"/>
      <c r="GI1" s="766"/>
      <c r="GJ1" s="766"/>
      <c r="GK1" s="766"/>
      <c r="GL1" s="766"/>
      <c r="GM1" s="766"/>
      <c r="GN1" s="766"/>
      <c r="GO1" s="766"/>
      <c r="GP1" s="766"/>
      <c r="GQ1" s="766"/>
      <c r="GR1" s="766"/>
      <c r="GS1" s="766"/>
      <c r="GT1" s="766"/>
      <c r="GU1" s="766"/>
      <c r="GV1" s="766"/>
      <c r="GW1" s="766"/>
      <c r="GX1" s="766"/>
      <c r="GY1" s="766"/>
      <c r="GZ1" s="766"/>
      <c r="HA1" s="766"/>
      <c r="HB1" s="766"/>
      <c r="HC1" s="766"/>
      <c r="HD1" s="766"/>
      <c r="HE1" s="766"/>
      <c r="HF1" s="766"/>
      <c r="HG1" s="766"/>
      <c r="HH1" s="766"/>
      <c r="HI1" s="766"/>
      <c r="HJ1" s="766"/>
      <c r="HK1" s="766"/>
      <c r="HL1" s="766"/>
      <c r="HM1" s="766"/>
      <c r="HN1" s="766"/>
      <c r="HO1" s="766"/>
      <c r="HP1" s="766"/>
      <c r="HQ1" s="766"/>
      <c r="HR1" s="766"/>
      <c r="HS1" s="766"/>
      <c r="HT1" s="766"/>
      <c r="HU1" s="766"/>
      <c r="HV1" s="766"/>
      <c r="HW1" s="766"/>
      <c r="HX1" s="766"/>
      <c r="HY1" s="766"/>
      <c r="HZ1" s="766"/>
      <c r="IA1" s="766"/>
      <c r="IB1" s="766"/>
      <c r="IC1" s="766"/>
      <c r="ID1" s="766"/>
      <c r="IE1" s="766"/>
      <c r="IF1" s="766"/>
      <c r="IG1" s="766"/>
      <c r="IH1" s="766"/>
      <c r="II1" s="766"/>
      <c r="IJ1" s="766"/>
      <c r="IK1" s="766"/>
      <c r="IL1" s="766"/>
      <c r="IM1" s="766"/>
      <c r="IN1" s="766"/>
      <c r="IO1" s="766"/>
      <c r="IP1" s="766"/>
      <c r="IQ1" s="766"/>
      <c r="IR1" s="766"/>
      <c r="IS1" s="766"/>
    </row>
    <row r="2" spans="1:253" s="787" customFormat="1" ht="83.25" customHeight="1" x14ac:dyDescent="0.2">
      <c r="A2" s="778"/>
      <c r="B2" s="779"/>
      <c r="C2" s="779"/>
      <c r="D2" s="779"/>
      <c r="E2" s="780"/>
      <c r="F2" s="779"/>
      <c r="G2" s="779"/>
      <c r="H2" s="779"/>
      <c r="I2" s="779"/>
      <c r="J2" s="779"/>
      <c r="K2" s="779"/>
      <c r="L2" s="779"/>
      <c r="M2" s="779"/>
      <c r="N2" s="779"/>
      <c r="O2" s="779"/>
      <c r="P2" s="779"/>
      <c r="Q2" s="779"/>
      <c r="R2" s="779"/>
      <c r="S2" s="779"/>
      <c r="T2" s="779"/>
      <c r="U2" s="779"/>
      <c r="V2" s="779"/>
      <c r="W2" s="779"/>
      <c r="X2" s="779"/>
      <c r="Y2" s="779"/>
      <c r="Z2" s="779"/>
      <c r="AA2" s="779"/>
      <c r="AB2" s="779"/>
      <c r="AC2" s="779"/>
      <c r="AD2" s="779"/>
      <c r="AE2" s="779"/>
      <c r="AF2" s="779"/>
      <c r="AG2" s="781"/>
      <c r="AH2" s="781"/>
      <c r="AI2" s="781"/>
      <c r="AJ2" s="781"/>
      <c r="AK2" s="781"/>
      <c r="AL2" s="781"/>
      <c r="AM2" s="781"/>
      <c r="AN2" s="781"/>
      <c r="AO2" s="781"/>
      <c r="AP2" s="781"/>
      <c r="AQ2" s="781"/>
      <c r="AR2" s="781"/>
      <c r="AS2" s="781"/>
      <c r="AT2" s="781"/>
      <c r="AU2" s="781"/>
      <c r="AV2" s="781"/>
      <c r="AW2" s="781"/>
      <c r="AX2" s="83" t="s">
        <v>438</v>
      </c>
      <c r="AY2" s="781"/>
      <c r="AZ2" s="781"/>
      <c r="BA2" s="781" t="s">
        <v>439</v>
      </c>
      <c r="BB2" s="781"/>
      <c r="BC2" s="782"/>
      <c r="BD2" s="83" t="s">
        <v>440</v>
      </c>
      <c r="BE2" s="83" t="s">
        <v>440</v>
      </c>
      <c r="BF2" s="83" t="s">
        <v>440</v>
      </c>
      <c r="BG2" s="83" t="s">
        <v>440</v>
      </c>
      <c r="BH2" s="83" t="s">
        <v>440</v>
      </c>
      <c r="BI2" s="83" t="s">
        <v>440</v>
      </c>
      <c r="BJ2" s="83" t="s">
        <v>440</v>
      </c>
      <c r="BK2" s="83" t="s">
        <v>236</v>
      </c>
      <c r="BL2" s="83" t="s">
        <v>441</v>
      </c>
      <c r="BM2" s="83" t="s">
        <v>442</v>
      </c>
      <c r="BN2" s="83" t="s">
        <v>442</v>
      </c>
      <c r="BO2" s="83" t="s">
        <v>442</v>
      </c>
      <c r="BP2" s="83" t="s">
        <v>442</v>
      </c>
      <c r="BQ2" s="83" t="s">
        <v>442</v>
      </c>
      <c r="BR2" s="83" t="s">
        <v>443</v>
      </c>
      <c r="BS2" s="83" t="s">
        <v>444</v>
      </c>
      <c r="BT2" s="83" t="s">
        <v>445</v>
      </c>
      <c r="BU2" s="83" t="s">
        <v>446</v>
      </c>
      <c r="BV2" s="83" t="s">
        <v>447</v>
      </c>
      <c r="BW2" s="83" t="s">
        <v>448</v>
      </c>
      <c r="BX2" s="783" t="s">
        <v>449</v>
      </c>
      <c r="BY2" s="783" t="s">
        <v>450</v>
      </c>
      <c r="BZ2" s="783" t="s">
        <v>451</v>
      </c>
      <c r="CA2" s="783" t="s">
        <v>452</v>
      </c>
      <c r="CB2" s="781" t="s">
        <v>453</v>
      </c>
      <c r="CC2" s="781" t="s">
        <v>454</v>
      </c>
      <c r="CD2" s="781" t="s">
        <v>455</v>
      </c>
      <c r="CE2" s="781" t="s">
        <v>456</v>
      </c>
      <c r="CF2" s="781"/>
      <c r="CG2" s="782"/>
      <c r="CH2" s="781" t="s">
        <v>457</v>
      </c>
      <c r="CI2" s="781" t="s">
        <v>458</v>
      </c>
      <c r="CJ2" s="781" t="s">
        <v>459</v>
      </c>
      <c r="CK2" s="781" t="s">
        <v>460</v>
      </c>
      <c r="CL2" s="83" t="s">
        <v>442</v>
      </c>
      <c r="CM2" s="83" t="s">
        <v>442</v>
      </c>
      <c r="CN2" s="83" t="s">
        <v>461</v>
      </c>
      <c r="CO2" s="83" t="s">
        <v>461</v>
      </c>
      <c r="CP2" s="83"/>
      <c r="CQ2" s="83"/>
      <c r="CR2" s="83"/>
      <c r="CS2" s="83"/>
      <c r="CT2" s="83" t="s">
        <v>461</v>
      </c>
      <c r="CU2" s="784"/>
      <c r="CV2" s="784"/>
      <c r="CW2" s="784"/>
      <c r="CX2" s="784"/>
      <c r="CY2" s="784"/>
      <c r="CZ2" s="784"/>
      <c r="DA2" s="784"/>
      <c r="DB2" s="784"/>
      <c r="DC2" s="784"/>
      <c r="DD2" s="784"/>
      <c r="DE2" s="784"/>
      <c r="DF2" s="784"/>
      <c r="DG2" s="784"/>
      <c r="DH2" s="784"/>
      <c r="DI2" s="784"/>
      <c r="DJ2" s="785"/>
      <c r="DK2" s="786"/>
      <c r="DL2" s="766"/>
      <c r="DM2" s="870" t="s">
        <v>683</v>
      </c>
      <c r="DN2" s="870" t="s">
        <v>684</v>
      </c>
      <c r="DO2" s="766"/>
      <c r="DP2" s="766"/>
      <c r="DQ2" s="766"/>
      <c r="DR2" s="766"/>
      <c r="DS2" s="766"/>
      <c r="DT2" s="766"/>
      <c r="DU2" s="766"/>
      <c r="DV2" s="766"/>
      <c r="DW2" s="766"/>
      <c r="DX2" s="766"/>
      <c r="DY2" s="766"/>
      <c r="DZ2" s="766"/>
      <c r="EA2" s="766"/>
      <c r="EB2" s="766"/>
      <c r="EC2" s="766"/>
      <c r="ED2" s="766"/>
      <c r="EE2" s="766"/>
      <c r="EF2" s="766"/>
      <c r="EG2" s="766"/>
      <c r="EH2" s="766"/>
      <c r="EI2" s="766"/>
      <c r="EJ2" s="766"/>
      <c r="EK2" s="766"/>
      <c r="EL2" s="766"/>
      <c r="EM2" s="766"/>
      <c r="EN2" s="766"/>
      <c r="EO2" s="766"/>
      <c r="EP2" s="766"/>
      <c r="EQ2" s="766"/>
      <c r="ER2" s="766"/>
      <c r="ES2" s="766"/>
      <c r="ET2" s="766"/>
      <c r="EU2" s="766"/>
      <c r="EV2" s="766"/>
      <c r="EW2" s="766"/>
      <c r="EX2" s="766"/>
      <c r="EY2" s="766"/>
      <c r="EZ2" s="766"/>
      <c r="FA2" s="766"/>
      <c r="FB2" s="766"/>
      <c r="FC2" s="766"/>
      <c r="FD2" s="766"/>
      <c r="FE2" s="766"/>
      <c r="FF2" s="766"/>
      <c r="FG2" s="766"/>
      <c r="FH2" s="766"/>
      <c r="FI2" s="766"/>
      <c r="FJ2" s="766"/>
      <c r="FK2" s="766"/>
      <c r="FL2" s="766"/>
      <c r="FM2" s="766"/>
      <c r="FN2" s="766"/>
      <c r="FO2" s="766"/>
      <c r="FP2" s="766"/>
      <c r="FQ2" s="766"/>
      <c r="FR2" s="766"/>
      <c r="FS2" s="766"/>
      <c r="FT2" s="766"/>
      <c r="FU2" s="766"/>
      <c r="FV2" s="766"/>
      <c r="FW2" s="766"/>
      <c r="FX2" s="766"/>
      <c r="FY2" s="766"/>
      <c r="FZ2" s="766"/>
      <c r="GA2" s="766"/>
      <c r="GB2" s="766"/>
      <c r="GC2" s="766"/>
      <c r="GD2" s="766"/>
      <c r="GE2" s="766"/>
      <c r="GF2" s="766"/>
      <c r="GG2" s="766"/>
      <c r="GH2" s="766"/>
      <c r="GI2" s="766"/>
      <c r="GJ2" s="766"/>
      <c r="GK2" s="766"/>
      <c r="GL2" s="766"/>
      <c r="GM2" s="766"/>
      <c r="GN2" s="766"/>
      <c r="GO2" s="766"/>
      <c r="GP2" s="766"/>
      <c r="GQ2" s="766"/>
      <c r="GR2" s="766"/>
      <c r="GS2" s="766"/>
      <c r="GT2" s="766"/>
      <c r="GU2" s="766"/>
      <c r="GV2" s="766"/>
      <c r="GW2" s="766"/>
      <c r="GX2" s="766"/>
      <c r="GY2" s="766"/>
      <c r="GZ2" s="766"/>
      <c r="HA2" s="766"/>
      <c r="HB2" s="766"/>
      <c r="HC2" s="766"/>
      <c r="HD2" s="766"/>
      <c r="HE2" s="766"/>
      <c r="HF2" s="766"/>
      <c r="HG2" s="766"/>
      <c r="HH2" s="766"/>
      <c r="HI2" s="766"/>
      <c r="HJ2" s="766"/>
      <c r="HK2" s="766"/>
      <c r="HL2" s="766"/>
      <c r="HM2" s="766"/>
      <c r="HN2" s="766"/>
      <c r="HO2" s="766"/>
      <c r="HP2" s="766"/>
      <c r="HQ2" s="766"/>
      <c r="HR2" s="766"/>
      <c r="HS2" s="766"/>
      <c r="HT2" s="766"/>
      <c r="HU2" s="766"/>
      <c r="HV2" s="766"/>
      <c r="HW2" s="766"/>
      <c r="HX2" s="766"/>
      <c r="HY2" s="766"/>
      <c r="HZ2" s="766"/>
      <c r="IA2" s="766"/>
      <c r="IB2" s="766"/>
      <c r="IC2" s="766"/>
      <c r="ID2" s="766"/>
      <c r="IE2" s="766"/>
      <c r="IF2" s="766"/>
      <c r="IG2" s="766"/>
      <c r="IH2" s="766"/>
      <c r="II2" s="766"/>
      <c r="IJ2" s="766"/>
      <c r="IK2" s="766"/>
      <c r="IL2" s="766"/>
      <c r="IM2" s="766"/>
      <c r="IN2" s="766"/>
      <c r="IO2" s="766"/>
      <c r="IP2" s="766"/>
      <c r="IQ2" s="766"/>
      <c r="IR2" s="766"/>
      <c r="IS2" s="766"/>
    </row>
    <row r="3" spans="1:253" s="92" customFormat="1" x14ac:dyDescent="0.2">
      <c r="A3" s="817" t="s">
        <v>462</v>
      </c>
      <c r="B3" s="817" t="s">
        <v>463</v>
      </c>
      <c r="C3" s="817"/>
      <c r="D3" s="817"/>
      <c r="E3" s="817">
        <v>100</v>
      </c>
      <c r="F3" s="817">
        <v>2001</v>
      </c>
      <c r="G3" s="817">
        <v>0</v>
      </c>
      <c r="H3" s="817">
        <v>2654512</v>
      </c>
      <c r="I3" s="817">
        <v>1136920</v>
      </c>
      <c r="J3" s="817">
        <v>1264</v>
      </c>
      <c r="K3" s="817" t="s">
        <v>464</v>
      </c>
      <c r="L3" s="817" t="s">
        <v>465</v>
      </c>
      <c r="M3" s="817">
        <v>2654503</v>
      </c>
      <c r="N3" s="817">
        <v>1136918</v>
      </c>
      <c r="O3" s="817">
        <v>1259</v>
      </c>
      <c r="P3" s="817">
        <v>17</v>
      </c>
      <c r="Q3" s="817"/>
      <c r="R3" s="817"/>
      <c r="S3" s="817"/>
      <c r="T3" s="817"/>
      <c r="U3" s="817"/>
      <c r="V3" s="817"/>
      <c r="W3" s="817"/>
      <c r="X3" s="817"/>
      <c r="Y3" s="817"/>
      <c r="Z3" s="817"/>
      <c r="AA3" s="817"/>
      <c r="AB3" s="817"/>
      <c r="AC3" s="817">
        <v>29</v>
      </c>
      <c r="AD3" s="817">
        <v>16</v>
      </c>
      <c r="AE3" s="817"/>
      <c r="AF3" s="817" t="s">
        <v>466</v>
      </c>
      <c r="AG3" s="817">
        <v>0</v>
      </c>
      <c r="AH3" s="817">
        <v>0</v>
      </c>
      <c r="AI3" s="817">
        <v>0</v>
      </c>
      <c r="AJ3" s="817">
        <v>0</v>
      </c>
      <c r="AK3" s="817">
        <v>0</v>
      </c>
      <c r="AL3" s="817">
        <v>0</v>
      </c>
      <c r="AM3" s="817">
        <v>0</v>
      </c>
      <c r="AN3" s="817">
        <v>0</v>
      </c>
      <c r="AO3" s="817">
        <v>0</v>
      </c>
      <c r="AP3" s="817">
        <v>0</v>
      </c>
      <c r="AQ3" s="817">
        <v>0</v>
      </c>
      <c r="AR3" s="817">
        <v>0</v>
      </c>
      <c r="AS3" s="817">
        <v>0</v>
      </c>
      <c r="AT3" s="817">
        <v>0</v>
      </c>
      <c r="AU3" s="817">
        <v>0</v>
      </c>
      <c r="AV3" s="817">
        <v>0</v>
      </c>
      <c r="AW3" s="817">
        <v>0</v>
      </c>
      <c r="AX3" s="817">
        <f t="shared" ref="AX3:AX66" si="0">IF(E3&lt;2000,0,1)</f>
        <v>0</v>
      </c>
      <c r="AY3" s="817">
        <v>2</v>
      </c>
      <c r="AZ3" s="817" t="s">
        <v>770</v>
      </c>
      <c r="BA3" s="817">
        <v>1</v>
      </c>
      <c r="BB3" s="817">
        <v>0</v>
      </c>
      <c r="BC3" s="817"/>
      <c r="BD3" s="817">
        <v>1</v>
      </c>
      <c r="BE3" s="817">
        <v>1</v>
      </c>
      <c r="BF3" s="817">
        <v>1</v>
      </c>
      <c r="BG3" s="817">
        <v>1</v>
      </c>
      <c r="BH3" s="817">
        <v>1</v>
      </c>
      <c r="BI3" s="817">
        <v>1</v>
      </c>
      <c r="BJ3" s="817">
        <v>1</v>
      </c>
      <c r="BK3" s="817">
        <v>4</v>
      </c>
      <c r="BL3" s="817"/>
      <c r="BM3" s="817">
        <v>1</v>
      </c>
      <c r="BN3" s="817">
        <v>2</v>
      </c>
      <c r="BO3" s="817">
        <v>1</v>
      </c>
      <c r="BP3" s="817">
        <v>1</v>
      </c>
      <c r="BQ3" s="817">
        <v>1</v>
      </c>
      <c r="BR3" s="817">
        <v>1</v>
      </c>
      <c r="BS3" s="817">
        <v>1</v>
      </c>
      <c r="BT3" s="817">
        <v>1</v>
      </c>
      <c r="BU3" s="817">
        <v>1</v>
      </c>
      <c r="BV3" s="817">
        <v>1</v>
      </c>
      <c r="BW3" s="817">
        <v>1</v>
      </c>
      <c r="BX3" s="817">
        <v>1</v>
      </c>
      <c r="BY3" s="817">
        <v>1</v>
      </c>
      <c r="BZ3" s="817">
        <v>1</v>
      </c>
      <c r="CA3" s="817">
        <v>1</v>
      </c>
      <c r="CB3" s="817"/>
      <c r="CC3" s="817">
        <v>1</v>
      </c>
      <c r="CD3" s="817">
        <v>1</v>
      </c>
      <c r="CE3" s="817">
        <v>1</v>
      </c>
      <c r="CF3" s="817"/>
      <c r="CG3" s="817"/>
      <c r="CH3" s="817"/>
      <c r="CI3" s="817">
        <v>5</v>
      </c>
      <c r="CJ3" s="817">
        <v>5</v>
      </c>
      <c r="CK3" s="817"/>
      <c r="CL3" s="817">
        <v>1</v>
      </c>
      <c r="CM3" s="817">
        <v>1</v>
      </c>
      <c r="CN3" s="817">
        <v>1</v>
      </c>
      <c r="CO3" s="817">
        <v>1</v>
      </c>
      <c r="CP3" s="817"/>
      <c r="CQ3" s="817"/>
      <c r="CR3" s="817">
        <v>0</v>
      </c>
      <c r="CS3" s="817">
        <v>0</v>
      </c>
      <c r="CT3" s="817">
        <v>0</v>
      </c>
      <c r="CU3" s="160"/>
      <c r="CV3" s="160"/>
      <c r="CW3" s="160"/>
      <c r="CX3" s="160"/>
      <c r="CY3" s="160"/>
      <c r="CZ3" s="160"/>
      <c r="DA3" s="160"/>
      <c r="DB3" s="160"/>
      <c r="DC3" s="160"/>
      <c r="DD3" s="160"/>
      <c r="DE3" s="160"/>
      <c r="DF3" s="160"/>
      <c r="DG3" s="160"/>
      <c r="DH3" s="160"/>
      <c r="DI3" s="160"/>
      <c r="DJ3" s="160"/>
      <c r="DK3" s="167"/>
      <c r="DL3" s="766"/>
      <c r="DM3" s="871" t="s">
        <v>462</v>
      </c>
      <c r="DN3" s="871"/>
      <c r="DO3" s="766"/>
      <c r="DP3" s="766"/>
      <c r="DQ3" s="766"/>
      <c r="DR3" s="766"/>
      <c r="DS3" s="766"/>
      <c r="DT3" s="766"/>
      <c r="DU3" s="766"/>
      <c r="DV3" s="766"/>
      <c r="DW3" s="766"/>
      <c r="DX3" s="766"/>
      <c r="DY3" s="766"/>
      <c r="DZ3" s="766"/>
      <c r="EA3" s="766"/>
      <c r="EB3" s="766"/>
      <c r="EC3" s="766"/>
      <c r="ED3" s="766"/>
      <c r="EE3" s="766"/>
      <c r="EF3" s="766"/>
      <c r="EG3" s="766"/>
      <c r="EH3" s="766"/>
      <c r="EI3" s="766"/>
      <c r="EJ3" s="766"/>
      <c r="EK3" s="766"/>
      <c r="EL3" s="766"/>
      <c r="EM3" s="766"/>
      <c r="EN3" s="766"/>
      <c r="EO3" s="766"/>
      <c r="EP3" s="766"/>
      <c r="EQ3" s="766"/>
      <c r="ER3" s="766"/>
      <c r="ES3" s="766"/>
      <c r="ET3" s="766"/>
      <c r="EU3" s="766"/>
      <c r="EV3" s="766"/>
      <c r="EW3" s="766"/>
      <c r="EX3" s="766"/>
      <c r="EY3" s="766"/>
      <c r="EZ3" s="766"/>
      <c r="FA3" s="766"/>
      <c r="FB3" s="766"/>
      <c r="FC3" s="766"/>
      <c r="FD3" s="766"/>
      <c r="FE3" s="766"/>
      <c r="FF3" s="766"/>
      <c r="FG3" s="766"/>
      <c r="FH3" s="766"/>
      <c r="FI3" s="766"/>
      <c r="FJ3" s="766"/>
      <c r="FK3" s="766"/>
      <c r="FL3" s="766"/>
      <c r="FM3" s="766"/>
      <c r="FN3" s="766"/>
      <c r="FO3" s="766"/>
      <c r="FP3" s="766"/>
      <c r="FQ3" s="766"/>
      <c r="FR3" s="766"/>
      <c r="FS3" s="766"/>
      <c r="FT3" s="766"/>
      <c r="FU3" s="766"/>
      <c r="FV3" s="766"/>
      <c r="FW3" s="766"/>
      <c r="FX3" s="766"/>
      <c r="FY3" s="766"/>
      <c r="FZ3" s="766"/>
      <c r="GA3" s="766"/>
      <c r="GB3" s="766"/>
      <c r="GC3" s="766"/>
      <c r="GD3" s="766"/>
      <c r="GE3" s="766"/>
      <c r="GF3" s="766"/>
      <c r="GG3" s="766"/>
      <c r="GH3" s="766"/>
      <c r="GI3" s="766"/>
      <c r="GJ3" s="766"/>
      <c r="GK3" s="766"/>
      <c r="GL3" s="766"/>
      <c r="GM3" s="766"/>
      <c r="GN3" s="766"/>
      <c r="GO3" s="766"/>
      <c r="GP3" s="766"/>
      <c r="GQ3" s="766"/>
      <c r="GR3" s="766"/>
      <c r="GS3" s="766"/>
      <c r="GT3" s="766"/>
      <c r="GU3" s="766"/>
      <c r="GV3" s="766"/>
      <c r="GW3" s="766"/>
      <c r="GX3" s="766"/>
      <c r="GY3" s="766"/>
      <c r="GZ3" s="766"/>
      <c r="HA3" s="766"/>
      <c r="HB3" s="766"/>
      <c r="HC3" s="766"/>
      <c r="HD3" s="766"/>
      <c r="HE3" s="766"/>
      <c r="HF3" s="766"/>
      <c r="HG3" s="766"/>
      <c r="HH3" s="766"/>
      <c r="HI3" s="766"/>
      <c r="HJ3" s="766"/>
      <c r="HK3" s="766"/>
      <c r="HL3" s="766"/>
      <c r="HM3" s="766"/>
      <c r="HN3" s="766"/>
      <c r="HO3" s="766"/>
      <c r="HP3" s="766"/>
      <c r="HQ3" s="766"/>
      <c r="HR3" s="766"/>
      <c r="HS3" s="766"/>
      <c r="HT3" s="766"/>
      <c r="HU3" s="766"/>
      <c r="HV3" s="766"/>
      <c r="HW3" s="766"/>
      <c r="HX3" s="766"/>
      <c r="HY3" s="766"/>
      <c r="HZ3" s="766"/>
      <c r="IA3" s="766"/>
      <c r="IB3" s="766"/>
      <c r="IC3" s="766"/>
      <c r="ID3" s="766"/>
      <c r="IE3" s="766"/>
      <c r="IF3" s="766"/>
      <c r="IG3" s="766"/>
      <c r="IH3" s="766"/>
      <c r="II3" s="766"/>
      <c r="IJ3" s="766"/>
      <c r="IK3" s="766"/>
      <c r="IL3" s="766"/>
      <c r="IM3" s="766"/>
      <c r="IN3" s="766"/>
      <c r="IO3" s="766"/>
      <c r="IP3" s="766"/>
      <c r="IQ3" s="766"/>
      <c r="IR3" s="766"/>
      <c r="IS3" s="766"/>
    </row>
    <row r="4" spans="1:253" s="92" customFormat="1" x14ac:dyDescent="0.2">
      <c r="A4" s="817" t="s">
        <v>82</v>
      </c>
      <c r="B4" s="817" t="s">
        <v>13</v>
      </c>
      <c r="C4" s="817" t="s">
        <v>467</v>
      </c>
      <c r="D4" s="817" t="s">
        <v>468</v>
      </c>
      <c r="E4" s="817">
        <v>11250</v>
      </c>
      <c r="F4" s="817">
        <v>1995</v>
      </c>
      <c r="G4" s="817">
        <v>0</v>
      </c>
      <c r="H4" s="817">
        <v>2597920</v>
      </c>
      <c r="I4" s="817">
        <v>1123270</v>
      </c>
      <c r="J4" s="817">
        <v>518</v>
      </c>
      <c r="K4" s="817" t="s">
        <v>469</v>
      </c>
      <c r="L4" s="817" t="s">
        <v>465</v>
      </c>
      <c r="M4" s="817">
        <v>2597960</v>
      </c>
      <c r="N4" s="817">
        <v>1122920</v>
      </c>
      <c r="O4" s="817">
        <v>516</v>
      </c>
      <c r="P4" s="817">
        <v>5400</v>
      </c>
      <c r="Q4" s="817"/>
      <c r="R4" s="817"/>
      <c r="S4" s="817"/>
      <c r="T4" s="817">
        <v>10</v>
      </c>
      <c r="U4" s="817">
        <v>85</v>
      </c>
      <c r="V4" s="817">
        <v>0.8</v>
      </c>
      <c r="W4" s="817">
        <v>90</v>
      </c>
      <c r="X4" s="817"/>
      <c r="Y4" s="817"/>
      <c r="Z4" s="817">
        <v>0.3</v>
      </c>
      <c r="AA4" s="817">
        <v>15</v>
      </c>
      <c r="AB4" s="817"/>
      <c r="AC4" s="817">
        <v>3800</v>
      </c>
      <c r="AD4" s="817">
        <v>8500</v>
      </c>
      <c r="AE4" s="817"/>
      <c r="AF4" s="817" t="s">
        <v>237</v>
      </c>
      <c r="AG4" s="817">
        <v>0</v>
      </c>
      <c r="AH4" s="817">
        <v>0</v>
      </c>
      <c r="AI4" s="817">
        <v>12</v>
      </c>
      <c r="AJ4" s="817">
        <v>0</v>
      </c>
      <c r="AK4" s="817">
        <v>0</v>
      </c>
      <c r="AL4" s="817">
        <v>12</v>
      </c>
      <c r="AM4" s="817">
        <v>52</v>
      </c>
      <c r="AN4" s="817">
        <v>52</v>
      </c>
      <c r="AO4" s="817">
        <v>24</v>
      </c>
      <c r="AP4" s="817">
        <v>0</v>
      </c>
      <c r="AQ4" s="817">
        <v>0</v>
      </c>
      <c r="AR4" s="817">
        <v>12</v>
      </c>
      <c r="AS4" s="817">
        <v>104</v>
      </c>
      <c r="AT4" s="817">
        <v>104</v>
      </c>
      <c r="AU4" s="817">
        <v>0</v>
      </c>
      <c r="AV4" s="817">
        <v>52</v>
      </c>
      <c r="AW4" s="817">
        <v>52</v>
      </c>
      <c r="AX4" s="817">
        <f t="shared" si="0"/>
        <v>1</v>
      </c>
      <c r="AY4" s="817">
        <v>1</v>
      </c>
      <c r="AZ4" s="817" t="s">
        <v>658</v>
      </c>
      <c r="BA4" s="817">
        <v>1</v>
      </c>
      <c r="BB4" s="817">
        <v>0</v>
      </c>
      <c r="BC4" s="817" t="s">
        <v>771</v>
      </c>
      <c r="BD4" s="817">
        <v>1</v>
      </c>
      <c r="BE4" s="817">
        <v>2</v>
      </c>
      <c r="BF4" s="817">
        <v>2</v>
      </c>
      <c r="BG4" s="817">
        <v>2</v>
      </c>
      <c r="BH4" s="817">
        <v>1</v>
      </c>
      <c r="BI4" s="817">
        <v>1</v>
      </c>
      <c r="BJ4" s="817">
        <v>2</v>
      </c>
      <c r="BK4" s="817">
        <v>1</v>
      </c>
      <c r="BL4" s="817"/>
      <c r="BM4" s="817">
        <v>1</v>
      </c>
      <c r="BN4" s="817">
        <v>1</v>
      </c>
      <c r="BO4" s="817">
        <v>1</v>
      </c>
      <c r="BP4" s="817">
        <v>2</v>
      </c>
      <c r="BQ4" s="817">
        <v>1</v>
      </c>
      <c r="BR4" s="817">
        <v>1</v>
      </c>
      <c r="BS4" s="817">
        <v>1</v>
      </c>
      <c r="BT4" s="817">
        <v>2</v>
      </c>
      <c r="BU4" s="817">
        <v>1</v>
      </c>
      <c r="BV4" s="817">
        <v>1</v>
      </c>
      <c r="BW4" s="817">
        <v>1</v>
      </c>
      <c r="BX4" s="817">
        <v>1</v>
      </c>
      <c r="BY4" s="817">
        <v>1</v>
      </c>
      <c r="BZ4" s="817">
        <v>1</v>
      </c>
      <c r="CA4" s="817">
        <v>1</v>
      </c>
      <c r="CB4" s="817">
        <v>1</v>
      </c>
      <c r="CC4" s="817">
        <v>1</v>
      </c>
      <c r="CD4" s="817">
        <v>1</v>
      </c>
      <c r="CE4" s="817">
        <v>1</v>
      </c>
      <c r="CF4" s="817" t="s">
        <v>470</v>
      </c>
      <c r="CG4" s="817" t="s">
        <v>471</v>
      </c>
      <c r="CH4" s="817">
        <v>1</v>
      </c>
      <c r="CI4" s="817">
        <v>1</v>
      </c>
      <c r="CJ4" s="817">
        <v>1</v>
      </c>
      <c r="CK4" s="817">
        <v>2</v>
      </c>
      <c r="CL4" s="817">
        <v>1</v>
      </c>
      <c r="CM4" s="817">
        <v>1</v>
      </c>
      <c r="CN4" s="817">
        <v>1</v>
      </c>
      <c r="CO4" s="817">
        <v>1</v>
      </c>
      <c r="CP4" s="817">
        <v>45</v>
      </c>
      <c r="CQ4" s="817">
        <v>85</v>
      </c>
      <c r="CR4" s="817">
        <v>52</v>
      </c>
      <c r="CS4" s="817">
        <v>52</v>
      </c>
      <c r="CT4" s="817">
        <v>1</v>
      </c>
      <c r="CU4" s="160"/>
      <c r="CV4" s="160"/>
      <c r="CW4" s="160"/>
      <c r="CX4" s="160"/>
      <c r="CY4" s="160"/>
      <c r="CZ4" s="160"/>
      <c r="DA4" s="160"/>
      <c r="DB4" s="160"/>
      <c r="DC4" s="160"/>
      <c r="DD4" s="160"/>
      <c r="DE4" s="160"/>
      <c r="DF4" s="160"/>
      <c r="DG4" s="160"/>
      <c r="DH4" s="160"/>
      <c r="DI4" s="160"/>
      <c r="DJ4" s="160"/>
      <c r="DK4" s="167"/>
      <c r="DL4" s="766"/>
      <c r="DM4" s="871" t="s">
        <v>82</v>
      </c>
      <c r="DN4" s="871" t="s">
        <v>685</v>
      </c>
      <c r="DO4" s="766"/>
      <c r="DP4" s="766"/>
      <c r="DQ4" s="766"/>
      <c r="DR4" s="766"/>
      <c r="DS4" s="766"/>
      <c r="DT4" s="766"/>
      <c r="DU4" s="766"/>
      <c r="DV4" s="766"/>
      <c r="DW4" s="766"/>
      <c r="DX4" s="766"/>
      <c r="DY4" s="766"/>
      <c r="DZ4" s="766"/>
      <c r="EA4" s="766"/>
      <c r="EB4" s="766"/>
      <c r="EC4" s="766"/>
      <c r="ED4" s="766"/>
      <c r="EE4" s="766"/>
      <c r="EF4" s="766"/>
      <c r="EG4" s="766"/>
      <c r="EH4" s="766"/>
      <c r="EI4" s="766"/>
      <c r="EJ4" s="766"/>
      <c r="EK4" s="766"/>
      <c r="EL4" s="766"/>
      <c r="EM4" s="766"/>
      <c r="EN4" s="766"/>
      <c r="EO4" s="766"/>
      <c r="EP4" s="766"/>
      <c r="EQ4" s="766"/>
      <c r="ER4" s="766"/>
      <c r="ES4" s="766"/>
      <c r="ET4" s="766"/>
      <c r="EU4" s="766"/>
      <c r="EV4" s="766"/>
      <c r="EW4" s="766"/>
      <c r="EX4" s="766"/>
      <c r="EY4" s="766"/>
      <c r="EZ4" s="766"/>
      <c r="FA4" s="766"/>
      <c r="FB4" s="766"/>
      <c r="FC4" s="766"/>
      <c r="FD4" s="766"/>
      <c r="FE4" s="766"/>
      <c r="FF4" s="766"/>
      <c r="FG4" s="766"/>
      <c r="FH4" s="766"/>
      <c r="FI4" s="766"/>
      <c r="FJ4" s="766"/>
      <c r="FK4" s="766"/>
      <c r="FL4" s="766"/>
      <c r="FM4" s="766"/>
      <c r="FN4" s="766"/>
      <c r="FO4" s="766"/>
      <c r="FP4" s="766"/>
      <c r="FQ4" s="766"/>
      <c r="FR4" s="766"/>
      <c r="FS4" s="766"/>
      <c r="FT4" s="766"/>
      <c r="FU4" s="766"/>
      <c r="FV4" s="766"/>
      <c r="FW4" s="766"/>
      <c r="FX4" s="766"/>
      <c r="FY4" s="766"/>
      <c r="FZ4" s="766"/>
      <c r="GA4" s="766"/>
      <c r="GB4" s="766"/>
      <c r="GC4" s="766"/>
      <c r="GD4" s="766"/>
      <c r="GE4" s="766"/>
      <c r="GF4" s="766"/>
      <c r="GG4" s="766"/>
      <c r="GH4" s="766"/>
      <c r="GI4" s="766"/>
      <c r="GJ4" s="766"/>
      <c r="GK4" s="766"/>
      <c r="GL4" s="766"/>
      <c r="GM4" s="766"/>
      <c r="GN4" s="766"/>
      <c r="GO4" s="766"/>
      <c r="GP4" s="766"/>
      <c r="GQ4" s="766"/>
      <c r="GR4" s="766"/>
      <c r="GS4" s="766"/>
      <c r="GT4" s="766"/>
      <c r="GU4" s="766"/>
      <c r="GV4" s="766"/>
      <c r="GW4" s="766"/>
      <c r="GX4" s="766"/>
      <c r="GY4" s="766"/>
      <c r="GZ4" s="766"/>
      <c r="HA4" s="766"/>
      <c r="HB4" s="766"/>
      <c r="HC4" s="766"/>
      <c r="HD4" s="766"/>
      <c r="HE4" s="766"/>
      <c r="HF4" s="766"/>
      <c r="HG4" s="766"/>
      <c r="HH4" s="766"/>
      <c r="HI4" s="766"/>
      <c r="HJ4" s="766"/>
      <c r="HK4" s="766"/>
      <c r="HL4" s="766"/>
      <c r="HM4" s="766"/>
      <c r="HN4" s="766"/>
      <c r="HO4" s="766"/>
      <c r="HP4" s="766"/>
      <c r="HQ4" s="766"/>
      <c r="HR4" s="766"/>
      <c r="HS4" s="766"/>
      <c r="HT4" s="766"/>
      <c r="HU4" s="766"/>
      <c r="HV4" s="766"/>
      <c r="HW4" s="766"/>
      <c r="HX4" s="766"/>
      <c r="HY4" s="766"/>
      <c r="HZ4" s="766"/>
      <c r="IA4" s="766"/>
      <c r="IB4" s="766"/>
      <c r="IC4" s="766"/>
      <c r="ID4" s="766"/>
      <c r="IE4" s="766"/>
      <c r="IF4" s="766"/>
      <c r="IG4" s="766"/>
      <c r="IH4" s="766"/>
      <c r="II4" s="766"/>
      <c r="IJ4" s="766"/>
      <c r="IK4" s="766"/>
      <c r="IL4" s="766"/>
      <c r="IM4" s="766"/>
      <c r="IN4" s="766"/>
      <c r="IO4" s="766"/>
      <c r="IP4" s="766"/>
      <c r="IQ4" s="766"/>
      <c r="IR4" s="766"/>
      <c r="IS4" s="766"/>
    </row>
    <row r="5" spans="1:253" s="92" customFormat="1" x14ac:dyDescent="0.2">
      <c r="A5" s="817" t="s">
        <v>242</v>
      </c>
      <c r="B5" s="817" t="s">
        <v>14</v>
      </c>
      <c r="C5" s="817" t="s">
        <v>472</v>
      </c>
      <c r="D5" s="817" t="s">
        <v>473</v>
      </c>
      <c r="E5" s="817">
        <v>59120</v>
      </c>
      <c r="F5" s="817">
        <v>1993</v>
      </c>
      <c r="G5" s="817">
        <v>2014</v>
      </c>
      <c r="H5" s="817">
        <v>2581750</v>
      </c>
      <c r="I5" s="817">
        <v>1103500</v>
      </c>
      <c r="J5" s="817">
        <v>860</v>
      </c>
      <c r="K5" s="817" t="s">
        <v>474</v>
      </c>
      <c r="L5" s="817" t="s">
        <v>475</v>
      </c>
      <c r="M5" s="817">
        <v>2581700</v>
      </c>
      <c r="N5" s="817">
        <v>1103550</v>
      </c>
      <c r="O5" s="817">
        <v>855</v>
      </c>
      <c r="P5" s="817">
        <v>10950</v>
      </c>
      <c r="Q5" s="817"/>
      <c r="R5" s="817"/>
      <c r="S5" s="817"/>
      <c r="T5" s="817">
        <v>10</v>
      </c>
      <c r="U5" s="817">
        <v>85</v>
      </c>
      <c r="V5" s="817">
        <v>0.3</v>
      </c>
      <c r="W5" s="817">
        <v>90</v>
      </c>
      <c r="X5" s="817">
        <v>2</v>
      </c>
      <c r="Y5" s="817">
        <v>90</v>
      </c>
      <c r="Z5" s="817">
        <v>0.3</v>
      </c>
      <c r="AA5" s="817">
        <v>15</v>
      </c>
      <c r="AB5" s="817"/>
      <c r="AC5" s="817">
        <v>0</v>
      </c>
      <c r="AD5" s="817">
        <v>40477</v>
      </c>
      <c r="AE5" s="817"/>
      <c r="AF5" s="817" t="s">
        <v>237</v>
      </c>
      <c r="AG5" s="817">
        <v>0</v>
      </c>
      <c r="AH5" s="817">
        <v>0</v>
      </c>
      <c r="AI5" s="817">
        <v>12</v>
      </c>
      <c r="AJ5" s="817">
        <v>0</v>
      </c>
      <c r="AK5" s="817">
        <v>0</v>
      </c>
      <c r="AL5" s="817">
        <v>12</v>
      </c>
      <c r="AM5" s="817">
        <v>104</v>
      </c>
      <c r="AN5" s="817">
        <v>104</v>
      </c>
      <c r="AO5" s="817">
        <v>24</v>
      </c>
      <c r="AP5" s="817">
        <v>0</v>
      </c>
      <c r="AQ5" s="817">
        <v>0</v>
      </c>
      <c r="AR5" s="817">
        <v>12</v>
      </c>
      <c r="AS5" s="817">
        <v>104</v>
      </c>
      <c r="AT5" s="817">
        <v>104</v>
      </c>
      <c r="AU5" s="817">
        <v>0</v>
      </c>
      <c r="AV5" s="817">
        <v>52</v>
      </c>
      <c r="AW5" s="817">
        <v>52</v>
      </c>
      <c r="AX5" s="817">
        <f t="shared" si="0"/>
        <v>1</v>
      </c>
      <c r="AY5" s="817">
        <v>1</v>
      </c>
      <c r="AZ5" s="817" t="s">
        <v>658</v>
      </c>
      <c r="BA5" s="817">
        <v>1</v>
      </c>
      <c r="BB5" s="817">
        <v>0</v>
      </c>
      <c r="BC5" s="817" t="s">
        <v>772</v>
      </c>
      <c r="BD5" s="817">
        <v>1</v>
      </c>
      <c r="BE5" s="817">
        <v>2</v>
      </c>
      <c r="BF5" s="817">
        <v>2</v>
      </c>
      <c r="BG5" s="817">
        <v>2</v>
      </c>
      <c r="BH5" s="817">
        <v>2</v>
      </c>
      <c r="BI5" s="817">
        <v>1</v>
      </c>
      <c r="BJ5" s="817">
        <v>1</v>
      </c>
      <c r="BK5" s="817">
        <v>2</v>
      </c>
      <c r="BL5" s="817"/>
      <c r="BM5" s="817">
        <v>1</v>
      </c>
      <c r="BN5" s="817">
        <v>1</v>
      </c>
      <c r="BO5" s="817">
        <v>2</v>
      </c>
      <c r="BP5" s="817">
        <v>1</v>
      </c>
      <c r="BQ5" s="817">
        <v>1</v>
      </c>
      <c r="BR5" s="817">
        <v>1</v>
      </c>
      <c r="BS5" s="817">
        <v>1</v>
      </c>
      <c r="BT5" s="817">
        <v>1</v>
      </c>
      <c r="BU5" s="817">
        <v>1</v>
      </c>
      <c r="BV5" s="817">
        <v>1</v>
      </c>
      <c r="BW5" s="817">
        <v>1</v>
      </c>
      <c r="BX5" s="817">
        <v>2</v>
      </c>
      <c r="BY5" s="817">
        <v>1</v>
      </c>
      <c r="BZ5" s="817">
        <v>1</v>
      </c>
      <c r="CA5" s="817">
        <v>1</v>
      </c>
      <c r="CB5" s="817">
        <v>1</v>
      </c>
      <c r="CC5" s="817">
        <v>1</v>
      </c>
      <c r="CD5" s="817">
        <v>1</v>
      </c>
      <c r="CE5" s="817">
        <v>1</v>
      </c>
      <c r="CF5" s="817" t="s">
        <v>476</v>
      </c>
      <c r="CG5" s="817" t="s">
        <v>477</v>
      </c>
      <c r="CH5" s="817">
        <v>2</v>
      </c>
      <c r="CI5" s="817">
        <v>1</v>
      </c>
      <c r="CJ5" s="817">
        <v>2</v>
      </c>
      <c r="CK5" s="817">
        <v>4</v>
      </c>
      <c r="CL5" s="817">
        <v>1</v>
      </c>
      <c r="CM5" s="817">
        <v>1</v>
      </c>
      <c r="CN5" s="817">
        <v>1</v>
      </c>
      <c r="CO5" s="817">
        <v>1</v>
      </c>
      <c r="CP5" s="817">
        <v>45</v>
      </c>
      <c r="CQ5" s="817">
        <v>85</v>
      </c>
      <c r="CR5" s="817">
        <v>52</v>
      </c>
      <c r="CS5" s="817">
        <v>52</v>
      </c>
      <c r="CT5" s="817">
        <v>1</v>
      </c>
      <c r="CU5" s="160"/>
      <c r="CV5" s="160"/>
      <c r="CW5" s="160"/>
      <c r="CX5" s="160"/>
      <c r="CY5" s="160"/>
      <c r="CZ5" s="160"/>
      <c r="DA5" s="160"/>
      <c r="DB5" s="160"/>
      <c r="DC5" s="160"/>
      <c r="DD5" s="160"/>
      <c r="DE5" s="160"/>
      <c r="DF5" s="160"/>
      <c r="DG5" s="160"/>
      <c r="DH5" s="160"/>
      <c r="DI5" s="160"/>
      <c r="DJ5" s="160"/>
      <c r="DK5" s="167"/>
      <c r="DL5" s="766"/>
      <c r="DM5" s="871" t="s">
        <v>686</v>
      </c>
      <c r="DN5" s="871" t="s">
        <v>687</v>
      </c>
      <c r="DO5" s="766"/>
      <c r="DP5" s="766"/>
      <c r="DQ5" s="766"/>
      <c r="DR5" s="766"/>
      <c r="DS5" s="766"/>
      <c r="DT5" s="766"/>
      <c r="DU5" s="766"/>
      <c r="DV5" s="766"/>
      <c r="DW5" s="766"/>
      <c r="DX5" s="766"/>
      <c r="DY5" s="766"/>
      <c r="DZ5" s="766"/>
      <c r="EA5" s="766"/>
      <c r="EB5" s="766"/>
      <c r="EC5" s="766"/>
      <c r="ED5" s="766"/>
      <c r="EE5" s="766"/>
      <c r="EF5" s="766"/>
      <c r="EG5" s="766"/>
      <c r="EH5" s="766"/>
      <c r="EI5" s="766"/>
      <c r="EJ5" s="766"/>
      <c r="EK5" s="766"/>
      <c r="EL5" s="766"/>
      <c r="EM5" s="766"/>
      <c r="EN5" s="766"/>
      <c r="EO5" s="766"/>
      <c r="EP5" s="766"/>
      <c r="EQ5" s="766"/>
      <c r="ER5" s="766"/>
      <c r="ES5" s="766"/>
      <c r="ET5" s="766"/>
      <c r="EU5" s="766"/>
      <c r="EV5" s="766"/>
      <c r="EW5" s="766"/>
      <c r="EX5" s="766"/>
      <c r="EY5" s="766"/>
      <c r="EZ5" s="766"/>
      <c r="FA5" s="766"/>
      <c r="FB5" s="766"/>
      <c r="FC5" s="766"/>
      <c r="FD5" s="766"/>
      <c r="FE5" s="766"/>
      <c r="FF5" s="766"/>
      <c r="FG5" s="766"/>
      <c r="FH5" s="766"/>
      <c r="FI5" s="766"/>
      <c r="FJ5" s="766"/>
      <c r="FK5" s="766"/>
      <c r="FL5" s="766"/>
      <c r="FM5" s="766"/>
      <c r="FN5" s="766"/>
      <c r="FO5" s="766"/>
      <c r="FP5" s="766"/>
      <c r="FQ5" s="766"/>
      <c r="FR5" s="766"/>
      <c r="FS5" s="766"/>
      <c r="FT5" s="766"/>
      <c r="FU5" s="766"/>
      <c r="FV5" s="766"/>
      <c r="FW5" s="766"/>
      <c r="FX5" s="766"/>
      <c r="FY5" s="766"/>
      <c r="FZ5" s="766"/>
      <c r="GA5" s="766"/>
      <c r="GB5" s="766"/>
      <c r="GC5" s="766"/>
      <c r="GD5" s="766"/>
      <c r="GE5" s="766"/>
      <c r="GF5" s="766"/>
      <c r="GG5" s="766"/>
      <c r="GH5" s="766"/>
      <c r="GI5" s="766"/>
      <c r="GJ5" s="766"/>
      <c r="GK5" s="766"/>
      <c r="GL5" s="766"/>
      <c r="GM5" s="766"/>
      <c r="GN5" s="766"/>
      <c r="GO5" s="766"/>
      <c r="GP5" s="766"/>
      <c r="GQ5" s="766"/>
      <c r="GR5" s="766"/>
      <c r="GS5" s="766"/>
      <c r="GT5" s="766"/>
      <c r="GU5" s="766"/>
      <c r="GV5" s="766"/>
      <c r="GW5" s="766"/>
      <c r="GX5" s="766"/>
      <c r="GY5" s="766"/>
      <c r="GZ5" s="766"/>
      <c r="HA5" s="766"/>
      <c r="HB5" s="766"/>
      <c r="HC5" s="766"/>
      <c r="HD5" s="766"/>
      <c r="HE5" s="766"/>
      <c r="HF5" s="766"/>
      <c r="HG5" s="766"/>
      <c r="HH5" s="766"/>
      <c r="HI5" s="766"/>
      <c r="HJ5" s="766"/>
      <c r="HK5" s="766"/>
      <c r="HL5" s="766"/>
      <c r="HM5" s="766"/>
      <c r="HN5" s="766"/>
      <c r="HO5" s="766"/>
      <c r="HP5" s="766"/>
      <c r="HQ5" s="766"/>
      <c r="HR5" s="766"/>
      <c r="HS5" s="766"/>
      <c r="HT5" s="766"/>
      <c r="HU5" s="766"/>
      <c r="HV5" s="766"/>
      <c r="HW5" s="766"/>
      <c r="HX5" s="766"/>
      <c r="HY5" s="766"/>
      <c r="HZ5" s="766"/>
      <c r="IA5" s="766"/>
      <c r="IB5" s="766"/>
      <c r="IC5" s="766"/>
      <c r="ID5" s="766"/>
      <c r="IE5" s="766"/>
      <c r="IF5" s="766"/>
      <c r="IG5" s="766"/>
      <c r="IH5" s="766"/>
      <c r="II5" s="766"/>
      <c r="IJ5" s="766"/>
      <c r="IK5" s="766"/>
      <c r="IL5" s="766"/>
      <c r="IM5" s="766"/>
      <c r="IN5" s="766"/>
      <c r="IO5" s="766"/>
      <c r="IP5" s="766"/>
      <c r="IQ5" s="766"/>
      <c r="IR5" s="766"/>
      <c r="IS5" s="766"/>
    </row>
    <row r="6" spans="1:253" s="92" customFormat="1" x14ac:dyDescent="0.2">
      <c r="A6" s="817" t="s">
        <v>109</v>
      </c>
      <c r="B6" s="817" t="s">
        <v>15</v>
      </c>
      <c r="C6" s="817" t="s">
        <v>478</v>
      </c>
      <c r="D6" s="817" t="s">
        <v>233</v>
      </c>
      <c r="E6" s="817">
        <v>450</v>
      </c>
      <c r="F6" s="817">
        <v>2002</v>
      </c>
      <c r="G6" s="817">
        <v>0</v>
      </c>
      <c r="H6" s="817">
        <v>2657082</v>
      </c>
      <c r="I6" s="817">
        <v>1134947</v>
      </c>
      <c r="J6" s="817">
        <v>1387</v>
      </c>
      <c r="K6" s="817" t="s">
        <v>464</v>
      </c>
      <c r="L6" s="817" t="s">
        <v>465</v>
      </c>
      <c r="M6" s="817">
        <v>2657079</v>
      </c>
      <c r="N6" s="817">
        <v>1134965</v>
      </c>
      <c r="O6" s="817">
        <v>1378</v>
      </c>
      <c r="P6" s="817">
        <v>195</v>
      </c>
      <c r="Q6" s="817"/>
      <c r="R6" s="817"/>
      <c r="S6" s="817"/>
      <c r="T6" s="817"/>
      <c r="U6" s="817"/>
      <c r="V6" s="817">
        <v>0.8</v>
      </c>
      <c r="W6" s="817">
        <v>80</v>
      </c>
      <c r="X6" s="817"/>
      <c r="Y6" s="817"/>
      <c r="Z6" s="817">
        <v>0.3</v>
      </c>
      <c r="AA6" s="817">
        <v>20</v>
      </c>
      <c r="AB6" s="817"/>
      <c r="AC6" s="817">
        <v>118</v>
      </c>
      <c r="AD6" s="817">
        <v>444</v>
      </c>
      <c r="AE6" s="817"/>
      <c r="AF6" s="817" t="s">
        <v>479</v>
      </c>
      <c r="AG6" s="817">
        <v>0</v>
      </c>
      <c r="AH6" s="817">
        <v>0</v>
      </c>
      <c r="AI6" s="817">
        <v>0</v>
      </c>
      <c r="AJ6" s="817">
        <v>0</v>
      </c>
      <c r="AK6" s="817">
        <v>0</v>
      </c>
      <c r="AL6" s="817">
        <v>0</v>
      </c>
      <c r="AM6" s="817">
        <v>0</v>
      </c>
      <c r="AN6" s="817">
        <v>12</v>
      </c>
      <c r="AO6" s="817">
        <v>12</v>
      </c>
      <c r="AP6" s="817">
        <v>0</v>
      </c>
      <c r="AQ6" s="817">
        <v>0</v>
      </c>
      <c r="AR6" s="817">
        <v>12</v>
      </c>
      <c r="AS6" s="817">
        <v>12</v>
      </c>
      <c r="AT6" s="817">
        <v>12</v>
      </c>
      <c r="AU6" s="817">
        <v>0</v>
      </c>
      <c r="AV6" s="817">
        <v>12</v>
      </c>
      <c r="AW6" s="817">
        <v>12</v>
      </c>
      <c r="AX6" s="817">
        <f t="shared" si="0"/>
        <v>0</v>
      </c>
      <c r="AY6" s="817">
        <v>2</v>
      </c>
      <c r="AZ6" s="817" t="s">
        <v>770</v>
      </c>
      <c r="BA6" s="817">
        <v>1</v>
      </c>
      <c r="BB6" s="817">
        <v>0</v>
      </c>
      <c r="BC6" s="817"/>
      <c r="BD6" s="817">
        <v>1</v>
      </c>
      <c r="BE6" s="817">
        <v>2</v>
      </c>
      <c r="BF6" s="817">
        <v>1</v>
      </c>
      <c r="BG6" s="817">
        <v>1</v>
      </c>
      <c r="BH6" s="817">
        <v>2</v>
      </c>
      <c r="BI6" s="817">
        <v>1</v>
      </c>
      <c r="BJ6" s="817">
        <v>1</v>
      </c>
      <c r="BK6" s="817">
        <v>1</v>
      </c>
      <c r="BL6" s="817"/>
      <c r="BM6" s="817">
        <v>1</v>
      </c>
      <c r="BN6" s="817">
        <v>1</v>
      </c>
      <c r="BO6" s="817">
        <v>1</v>
      </c>
      <c r="BP6" s="817">
        <v>2</v>
      </c>
      <c r="BQ6" s="817">
        <v>1</v>
      </c>
      <c r="BR6" s="817">
        <v>2</v>
      </c>
      <c r="BS6" s="817">
        <v>1</v>
      </c>
      <c r="BT6" s="817">
        <v>1</v>
      </c>
      <c r="BU6" s="817">
        <v>1</v>
      </c>
      <c r="BV6" s="817">
        <v>1</v>
      </c>
      <c r="BW6" s="817">
        <v>1</v>
      </c>
      <c r="BX6" s="817">
        <v>1</v>
      </c>
      <c r="BY6" s="817">
        <v>1</v>
      </c>
      <c r="BZ6" s="817">
        <v>1</v>
      </c>
      <c r="CA6" s="817">
        <v>1</v>
      </c>
      <c r="CB6" s="817"/>
      <c r="CC6" s="817">
        <v>1</v>
      </c>
      <c r="CD6" s="817">
        <v>1</v>
      </c>
      <c r="CE6" s="817">
        <v>1</v>
      </c>
      <c r="CF6" s="817"/>
      <c r="CG6" s="817"/>
      <c r="CH6" s="817">
        <v>1</v>
      </c>
      <c r="CI6" s="817">
        <v>5</v>
      </c>
      <c r="CJ6" s="817">
        <v>5</v>
      </c>
      <c r="CK6" s="817"/>
      <c r="CL6" s="817">
        <v>1</v>
      </c>
      <c r="CM6" s="817">
        <v>1</v>
      </c>
      <c r="CN6" s="817">
        <v>1</v>
      </c>
      <c r="CO6" s="817">
        <v>1</v>
      </c>
      <c r="CP6" s="817">
        <v>60</v>
      </c>
      <c r="CQ6" s="817">
        <v>80</v>
      </c>
      <c r="CR6" s="817">
        <v>12</v>
      </c>
      <c r="CS6" s="817">
        <v>12</v>
      </c>
      <c r="CT6" s="817">
        <v>1</v>
      </c>
      <c r="CU6" s="160"/>
      <c r="CV6" s="160"/>
      <c r="CW6" s="160"/>
      <c r="CX6" s="160"/>
      <c r="CY6" s="160"/>
      <c r="CZ6" s="160"/>
      <c r="DA6" s="160"/>
      <c r="DB6" s="160"/>
      <c r="DC6" s="160"/>
      <c r="DD6" s="160"/>
      <c r="DE6" s="160"/>
      <c r="DF6" s="160"/>
      <c r="DG6" s="160"/>
      <c r="DH6" s="160"/>
      <c r="DI6" s="160"/>
      <c r="DJ6" s="160"/>
      <c r="DK6" s="167"/>
      <c r="DL6" s="766"/>
      <c r="DM6" s="872" t="s">
        <v>109</v>
      </c>
      <c r="DN6" s="871" t="s">
        <v>688</v>
      </c>
      <c r="DO6" s="766"/>
      <c r="DP6" s="766"/>
      <c r="DQ6" s="766"/>
      <c r="DR6" s="766"/>
      <c r="DS6" s="766"/>
      <c r="DT6" s="766"/>
      <c r="DU6" s="766"/>
      <c r="DV6" s="766"/>
      <c r="DW6" s="766"/>
      <c r="DX6" s="766"/>
      <c r="DY6" s="766"/>
      <c r="DZ6" s="766"/>
      <c r="EA6" s="766"/>
      <c r="EB6" s="766"/>
      <c r="EC6" s="766"/>
      <c r="ED6" s="766"/>
      <c r="EE6" s="766"/>
      <c r="EF6" s="766"/>
      <c r="EG6" s="766"/>
      <c r="EH6" s="766"/>
      <c r="EI6" s="766"/>
      <c r="EJ6" s="766"/>
      <c r="EK6" s="766"/>
      <c r="EL6" s="766"/>
      <c r="EM6" s="766"/>
      <c r="EN6" s="766"/>
      <c r="EO6" s="766"/>
      <c r="EP6" s="766"/>
      <c r="EQ6" s="766"/>
      <c r="ER6" s="766"/>
      <c r="ES6" s="766"/>
      <c r="ET6" s="766"/>
      <c r="EU6" s="766"/>
      <c r="EV6" s="766"/>
      <c r="EW6" s="766"/>
      <c r="EX6" s="766"/>
      <c r="EY6" s="766"/>
      <c r="EZ6" s="766"/>
      <c r="FA6" s="766"/>
      <c r="FB6" s="766"/>
      <c r="FC6" s="766"/>
      <c r="FD6" s="766"/>
      <c r="FE6" s="766"/>
      <c r="FF6" s="766"/>
      <c r="FG6" s="766"/>
      <c r="FH6" s="766"/>
      <c r="FI6" s="766"/>
      <c r="FJ6" s="766"/>
      <c r="FK6" s="766"/>
      <c r="FL6" s="766"/>
      <c r="FM6" s="766"/>
      <c r="FN6" s="766"/>
      <c r="FO6" s="766"/>
      <c r="FP6" s="766"/>
      <c r="FQ6" s="766"/>
      <c r="FR6" s="766"/>
      <c r="FS6" s="766"/>
      <c r="FT6" s="766"/>
      <c r="FU6" s="766"/>
      <c r="FV6" s="766"/>
      <c r="FW6" s="766"/>
      <c r="FX6" s="766"/>
      <c r="FY6" s="766"/>
      <c r="FZ6" s="766"/>
      <c r="GA6" s="766"/>
      <c r="GB6" s="766"/>
      <c r="GC6" s="766"/>
      <c r="GD6" s="766"/>
      <c r="GE6" s="766"/>
      <c r="GF6" s="766"/>
      <c r="GG6" s="766"/>
      <c r="GH6" s="766"/>
      <c r="GI6" s="766"/>
      <c r="GJ6" s="766"/>
      <c r="GK6" s="766"/>
      <c r="GL6" s="766"/>
      <c r="GM6" s="766"/>
      <c r="GN6" s="766"/>
      <c r="GO6" s="766"/>
      <c r="GP6" s="766"/>
      <c r="GQ6" s="766"/>
      <c r="GR6" s="766"/>
      <c r="GS6" s="766"/>
      <c r="GT6" s="766"/>
      <c r="GU6" s="766"/>
      <c r="GV6" s="766"/>
      <c r="GW6" s="766"/>
      <c r="GX6" s="766"/>
      <c r="GY6" s="766"/>
      <c r="GZ6" s="766"/>
      <c r="HA6" s="766"/>
      <c r="HB6" s="766"/>
      <c r="HC6" s="766"/>
      <c r="HD6" s="766"/>
      <c r="HE6" s="766"/>
      <c r="HF6" s="766"/>
      <c r="HG6" s="766"/>
      <c r="HH6" s="766"/>
      <c r="HI6" s="766"/>
      <c r="HJ6" s="766"/>
      <c r="HK6" s="766"/>
      <c r="HL6" s="766"/>
      <c r="HM6" s="766"/>
      <c r="HN6" s="766"/>
      <c r="HO6" s="766"/>
      <c r="HP6" s="766"/>
      <c r="HQ6" s="766"/>
      <c r="HR6" s="766"/>
      <c r="HS6" s="766"/>
      <c r="HT6" s="766"/>
      <c r="HU6" s="766"/>
      <c r="HV6" s="766"/>
      <c r="HW6" s="766"/>
      <c r="HX6" s="766"/>
      <c r="HY6" s="766"/>
      <c r="HZ6" s="766"/>
      <c r="IA6" s="766"/>
      <c r="IB6" s="766"/>
      <c r="IC6" s="766"/>
      <c r="ID6" s="766"/>
      <c r="IE6" s="766"/>
      <c r="IF6" s="766"/>
      <c r="IG6" s="766"/>
      <c r="IH6" s="766"/>
      <c r="II6" s="766"/>
      <c r="IJ6" s="766"/>
      <c r="IK6" s="766"/>
      <c r="IL6" s="766"/>
      <c r="IM6" s="766"/>
      <c r="IN6" s="766"/>
      <c r="IO6" s="766"/>
      <c r="IP6" s="766"/>
      <c r="IQ6" s="766"/>
      <c r="IR6" s="766"/>
      <c r="IS6" s="766"/>
    </row>
    <row r="7" spans="1:253" s="92" customFormat="1" x14ac:dyDescent="0.2">
      <c r="A7" s="817" t="s">
        <v>234</v>
      </c>
      <c r="B7" s="817" t="s">
        <v>235</v>
      </c>
      <c r="C7" s="817" t="s">
        <v>478</v>
      </c>
      <c r="D7" s="817" t="s">
        <v>233</v>
      </c>
      <c r="E7" s="817">
        <v>200</v>
      </c>
      <c r="F7" s="817">
        <v>2011</v>
      </c>
      <c r="G7" s="817">
        <v>0</v>
      </c>
      <c r="H7" s="817">
        <v>2658364</v>
      </c>
      <c r="I7" s="817">
        <v>1135454</v>
      </c>
      <c r="J7" s="817">
        <v>1450</v>
      </c>
      <c r="K7" s="817" t="s">
        <v>464</v>
      </c>
      <c r="L7" s="817" t="s">
        <v>465</v>
      </c>
      <c r="M7" s="817">
        <v>2658357</v>
      </c>
      <c r="N7" s="817">
        <v>1135462</v>
      </c>
      <c r="O7" s="817">
        <v>1450</v>
      </c>
      <c r="P7" s="817">
        <v>34</v>
      </c>
      <c r="Q7" s="817">
        <v>25</v>
      </c>
      <c r="R7" s="817"/>
      <c r="S7" s="817"/>
      <c r="T7" s="817"/>
      <c r="U7" s="817"/>
      <c r="V7" s="817">
        <v>0.8</v>
      </c>
      <c r="W7" s="817">
        <v>80</v>
      </c>
      <c r="X7" s="817"/>
      <c r="Y7" s="817"/>
      <c r="Z7" s="817">
        <v>0.3</v>
      </c>
      <c r="AA7" s="817">
        <v>20</v>
      </c>
      <c r="AB7" s="817"/>
      <c r="AC7" s="817">
        <v>4</v>
      </c>
      <c r="AD7" s="817">
        <v>417</v>
      </c>
      <c r="AE7" s="817"/>
      <c r="AF7" s="817" t="s">
        <v>479</v>
      </c>
      <c r="AG7" s="817">
        <v>0</v>
      </c>
      <c r="AH7" s="817">
        <v>0</v>
      </c>
      <c r="AI7" s="817">
        <v>0</v>
      </c>
      <c r="AJ7" s="817">
        <v>0</v>
      </c>
      <c r="AK7" s="817">
        <v>0</v>
      </c>
      <c r="AL7" s="817">
        <v>0</v>
      </c>
      <c r="AM7" s="817">
        <v>0</v>
      </c>
      <c r="AN7" s="817">
        <v>4</v>
      </c>
      <c r="AO7" s="817">
        <v>4</v>
      </c>
      <c r="AP7" s="817">
        <v>0</v>
      </c>
      <c r="AQ7" s="817">
        <v>0</v>
      </c>
      <c r="AR7" s="817">
        <v>4</v>
      </c>
      <c r="AS7" s="817">
        <v>4</v>
      </c>
      <c r="AT7" s="817">
        <v>4</v>
      </c>
      <c r="AU7" s="817">
        <v>0</v>
      </c>
      <c r="AV7" s="817">
        <v>4</v>
      </c>
      <c r="AW7" s="817">
        <v>4</v>
      </c>
      <c r="AX7" s="817">
        <f t="shared" si="0"/>
        <v>0</v>
      </c>
      <c r="AY7" s="817">
        <v>2</v>
      </c>
      <c r="AZ7" s="817" t="s">
        <v>770</v>
      </c>
      <c r="BA7" s="817">
        <v>1</v>
      </c>
      <c r="BB7" s="817">
        <v>0</v>
      </c>
      <c r="BC7" s="817" t="s">
        <v>772</v>
      </c>
      <c r="BD7" s="817">
        <v>1</v>
      </c>
      <c r="BE7" s="817">
        <v>1</v>
      </c>
      <c r="BF7" s="817">
        <v>1</v>
      </c>
      <c r="BG7" s="817">
        <v>1</v>
      </c>
      <c r="BH7" s="817">
        <v>1</v>
      </c>
      <c r="BI7" s="817">
        <v>1</v>
      </c>
      <c r="BJ7" s="817">
        <v>1</v>
      </c>
      <c r="BK7" s="817">
        <v>1</v>
      </c>
      <c r="BL7" s="817">
        <v>1</v>
      </c>
      <c r="BM7" s="817">
        <v>1</v>
      </c>
      <c r="BN7" s="817">
        <v>1</v>
      </c>
      <c r="BO7" s="817">
        <v>1</v>
      </c>
      <c r="BP7" s="817">
        <v>1</v>
      </c>
      <c r="BQ7" s="817">
        <v>1</v>
      </c>
      <c r="BR7" s="817">
        <v>1</v>
      </c>
      <c r="BS7" s="817">
        <v>1</v>
      </c>
      <c r="BT7" s="817">
        <v>1</v>
      </c>
      <c r="BU7" s="817">
        <v>1</v>
      </c>
      <c r="BV7" s="817">
        <v>1</v>
      </c>
      <c r="BW7" s="817">
        <v>2</v>
      </c>
      <c r="BX7" s="817">
        <v>1</v>
      </c>
      <c r="BY7" s="817">
        <v>1</v>
      </c>
      <c r="BZ7" s="817">
        <v>1</v>
      </c>
      <c r="CA7" s="817">
        <v>1</v>
      </c>
      <c r="CB7" s="817"/>
      <c r="CC7" s="817">
        <v>1</v>
      </c>
      <c r="CD7" s="817">
        <v>1</v>
      </c>
      <c r="CE7" s="817">
        <v>1</v>
      </c>
      <c r="CF7" s="817"/>
      <c r="CG7" s="817"/>
      <c r="CH7" s="817">
        <v>7</v>
      </c>
      <c r="CI7" s="817">
        <v>5</v>
      </c>
      <c r="CJ7" s="817">
        <v>5</v>
      </c>
      <c r="CK7" s="817"/>
      <c r="CL7" s="817">
        <v>1</v>
      </c>
      <c r="CM7" s="817">
        <v>1</v>
      </c>
      <c r="CN7" s="817">
        <v>1</v>
      </c>
      <c r="CO7" s="817">
        <v>1</v>
      </c>
      <c r="CP7" s="817">
        <v>60</v>
      </c>
      <c r="CQ7" s="817">
        <v>80</v>
      </c>
      <c r="CR7" s="817">
        <v>4</v>
      </c>
      <c r="CS7" s="817">
        <v>4</v>
      </c>
      <c r="CT7" s="817">
        <v>1</v>
      </c>
      <c r="CU7" s="160"/>
      <c r="CV7" s="160"/>
      <c r="CW7" s="160"/>
      <c r="CX7" s="160"/>
      <c r="CY7" s="160"/>
      <c r="CZ7" s="160"/>
      <c r="DA7" s="160"/>
      <c r="DB7" s="160"/>
      <c r="DC7" s="160"/>
      <c r="DD7" s="160"/>
      <c r="DE7" s="160"/>
      <c r="DF7" s="160"/>
      <c r="DG7" s="160"/>
      <c r="DH7" s="160"/>
      <c r="DI7" s="160"/>
      <c r="DJ7" s="160"/>
      <c r="DK7" s="167"/>
      <c r="DL7" s="766"/>
      <c r="DM7" s="872" t="s">
        <v>234</v>
      </c>
      <c r="DN7" s="871" t="s">
        <v>689</v>
      </c>
      <c r="DO7" s="766"/>
      <c r="DP7" s="766"/>
      <c r="DQ7" s="766"/>
      <c r="DR7" s="766"/>
      <c r="DS7" s="766"/>
      <c r="DT7" s="766"/>
      <c r="DU7" s="766"/>
      <c r="DV7" s="766"/>
      <c r="DW7" s="766"/>
      <c r="DX7" s="766"/>
      <c r="DY7" s="766"/>
      <c r="DZ7" s="766"/>
      <c r="EA7" s="766"/>
      <c r="EB7" s="766"/>
      <c r="EC7" s="766"/>
      <c r="ED7" s="766"/>
      <c r="EE7" s="766"/>
      <c r="EF7" s="766"/>
      <c r="EG7" s="766"/>
      <c r="EH7" s="766"/>
      <c r="EI7" s="766"/>
      <c r="EJ7" s="766"/>
      <c r="EK7" s="766"/>
      <c r="EL7" s="766"/>
      <c r="EM7" s="766"/>
      <c r="EN7" s="766"/>
      <c r="EO7" s="766"/>
      <c r="EP7" s="766"/>
      <c r="EQ7" s="766"/>
      <c r="ER7" s="766"/>
      <c r="ES7" s="766"/>
      <c r="ET7" s="766"/>
      <c r="EU7" s="766"/>
      <c r="EV7" s="766"/>
      <c r="EW7" s="766"/>
      <c r="EX7" s="766"/>
      <c r="EY7" s="766"/>
      <c r="EZ7" s="766"/>
      <c r="FA7" s="766"/>
      <c r="FB7" s="766"/>
      <c r="FC7" s="766"/>
      <c r="FD7" s="766"/>
      <c r="FE7" s="766"/>
      <c r="FF7" s="766"/>
      <c r="FG7" s="766"/>
      <c r="FH7" s="766"/>
      <c r="FI7" s="766"/>
      <c r="FJ7" s="766"/>
      <c r="FK7" s="766"/>
      <c r="FL7" s="766"/>
      <c r="FM7" s="766"/>
      <c r="FN7" s="766"/>
      <c r="FO7" s="766"/>
      <c r="FP7" s="766"/>
      <c r="FQ7" s="766"/>
      <c r="FR7" s="766"/>
      <c r="FS7" s="766"/>
      <c r="FT7" s="766"/>
      <c r="FU7" s="766"/>
      <c r="FV7" s="766"/>
      <c r="FW7" s="766"/>
      <c r="FX7" s="766"/>
      <c r="FY7" s="766"/>
      <c r="FZ7" s="766"/>
      <c r="GA7" s="766"/>
      <c r="GB7" s="766"/>
      <c r="GC7" s="766"/>
      <c r="GD7" s="766"/>
      <c r="GE7" s="766"/>
      <c r="GF7" s="766"/>
      <c r="GG7" s="766"/>
      <c r="GH7" s="766"/>
      <c r="GI7" s="766"/>
      <c r="GJ7" s="766"/>
      <c r="GK7" s="766"/>
      <c r="GL7" s="766"/>
      <c r="GM7" s="766"/>
      <c r="GN7" s="766"/>
      <c r="GO7" s="766"/>
      <c r="GP7" s="766"/>
      <c r="GQ7" s="766"/>
      <c r="GR7" s="766"/>
      <c r="GS7" s="766"/>
      <c r="GT7" s="766"/>
      <c r="GU7" s="766"/>
      <c r="GV7" s="766"/>
      <c r="GW7" s="766"/>
      <c r="GX7" s="766"/>
      <c r="GY7" s="766"/>
      <c r="GZ7" s="766"/>
      <c r="HA7" s="766"/>
      <c r="HB7" s="766"/>
      <c r="HC7" s="766"/>
      <c r="HD7" s="766"/>
      <c r="HE7" s="766"/>
      <c r="HF7" s="766"/>
      <c r="HG7" s="766"/>
      <c r="HH7" s="766"/>
      <c r="HI7" s="766"/>
      <c r="HJ7" s="766"/>
      <c r="HK7" s="766"/>
      <c r="HL7" s="766"/>
      <c r="HM7" s="766"/>
      <c r="HN7" s="766"/>
      <c r="HO7" s="766"/>
      <c r="HP7" s="766"/>
      <c r="HQ7" s="766"/>
      <c r="HR7" s="766"/>
      <c r="HS7" s="766"/>
      <c r="HT7" s="766"/>
      <c r="HU7" s="766"/>
      <c r="HV7" s="766"/>
      <c r="HW7" s="766"/>
      <c r="HX7" s="766"/>
      <c r="HY7" s="766"/>
      <c r="HZ7" s="766"/>
      <c r="IA7" s="766"/>
      <c r="IB7" s="766"/>
      <c r="IC7" s="766"/>
      <c r="ID7" s="766"/>
      <c r="IE7" s="766"/>
      <c r="IF7" s="766"/>
      <c r="IG7" s="766"/>
      <c r="IH7" s="766"/>
      <c r="II7" s="766"/>
      <c r="IJ7" s="766"/>
      <c r="IK7" s="766"/>
      <c r="IL7" s="766"/>
      <c r="IM7" s="766"/>
      <c r="IN7" s="766"/>
      <c r="IO7" s="766"/>
      <c r="IP7" s="766"/>
      <c r="IQ7" s="766"/>
      <c r="IR7" s="766"/>
      <c r="IS7" s="766"/>
    </row>
    <row r="8" spans="1:253" s="92" customFormat="1" x14ac:dyDescent="0.2">
      <c r="A8" s="817" t="s">
        <v>102</v>
      </c>
      <c r="B8" s="817" t="s">
        <v>16</v>
      </c>
      <c r="C8" s="817" t="s">
        <v>265</v>
      </c>
      <c r="D8" s="817" t="s">
        <v>266</v>
      </c>
      <c r="E8" s="817">
        <v>1200</v>
      </c>
      <c r="F8" s="817">
        <v>2000</v>
      </c>
      <c r="G8" s="817">
        <v>0</v>
      </c>
      <c r="H8" s="817">
        <v>2627865</v>
      </c>
      <c r="I8" s="817">
        <v>1140100</v>
      </c>
      <c r="J8" s="817">
        <v>1450</v>
      </c>
      <c r="K8" s="817" t="s">
        <v>480</v>
      </c>
      <c r="L8" s="817" t="s">
        <v>465</v>
      </c>
      <c r="M8" s="817">
        <v>2627845</v>
      </c>
      <c r="N8" s="817">
        <v>1139920</v>
      </c>
      <c r="O8" s="817">
        <v>1432</v>
      </c>
      <c r="P8" s="817">
        <v>420</v>
      </c>
      <c r="Q8" s="817"/>
      <c r="R8" s="817"/>
      <c r="S8" s="817"/>
      <c r="T8" s="817"/>
      <c r="U8" s="817"/>
      <c r="V8" s="817">
        <v>0.8</v>
      </c>
      <c r="W8" s="817">
        <v>80</v>
      </c>
      <c r="X8" s="817"/>
      <c r="Y8" s="817"/>
      <c r="Z8" s="817">
        <v>0.3</v>
      </c>
      <c r="AA8" s="817">
        <v>20</v>
      </c>
      <c r="AB8" s="817"/>
      <c r="AC8" s="817">
        <v>306</v>
      </c>
      <c r="AD8" s="817">
        <v>440</v>
      </c>
      <c r="AE8" s="817"/>
      <c r="AF8" s="817" t="s">
        <v>479</v>
      </c>
      <c r="AG8" s="817">
        <v>0</v>
      </c>
      <c r="AH8" s="817">
        <v>0</v>
      </c>
      <c r="AI8" s="817">
        <v>0</v>
      </c>
      <c r="AJ8" s="817">
        <v>0</v>
      </c>
      <c r="AK8" s="817">
        <v>0</v>
      </c>
      <c r="AL8" s="817">
        <v>0</v>
      </c>
      <c r="AM8" s="817">
        <v>0</v>
      </c>
      <c r="AN8" s="817">
        <v>12</v>
      </c>
      <c r="AO8" s="817">
        <v>12</v>
      </c>
      <c r="AP8" s="817">
        <v>0</v>
      </c>
      <c r="AQ8" s="817">
        <v>0</v>
      </c>
      <c r="AR8" s="817">
        <v>12</v>
      </c>
      <c r="AS8" s="817">
        <v>12</v>
      </c>
      <c r="AT8" s="817">
        <v>12</v>
      </c>
      <c r="AU8" s="817">
        <v>0</v>
      </c>
      <c r="AV8" s="817">
        <v>12</v>
      </c>
      <c r="AW8" s="817">
        <v>12</v>
      </c>
      <c r="AX8" s="817">
        <f t="shared" si="0"/>
        <v>0</v>
      </c>
      <c r="AY8" s="817">
        <v>2</v>
      </c>
      <c r="AZ8" s="817" t="s">
        <v>770</v>
      </c>
      <c r="BA8" s="817">
        <v>1</v>
      </c>
      <c r="BB8" s="817">
        <v>0</v>
      </c>
      <c r="BC8" s="817" t="s">
        <v>773</v>
      </c>
      <c r="BD8" s="817">
        <v>1</v>
      </c>
      <c r="BE8" s="817">
        <v>2</v>
      </c>
      <c r="BF8" s="817">
        <v>2</v>
      </c>
      <c r="BG8" s="817">
        <v>2</v>
      </c>
      <c r="BH8" s="817">
        <v>2</v>
      </c>
      <c r="BI8" s="817">
        <v>1</v>
      </c>
      <c r="BJ8" s="817">
        <v>1</v>
      </c>
      <c r="BK8" s="817">
        <v>1</v>
      </c>
      <c r="BL8" s="817"/>
      <c r="BM8" s="817">
        <v>1</v>
      </c>
      <c r="BN8" s="817">
        <v>1</v>
      </c>
      <c r="BO8" s="817">
        <v>1</v>
      </c>
      <c r="BP8" s="817">
        <v>2</v>
      </c>
      <c r="BQ8" s="817">
        <v>1</v>
      </c>
      <c r="BR8" s="817">
        <v>1</v>
      </c>
      <c r="BS8" s="817">
        <v>1</v>
      </c>
      <c r="BT8" s="817">
        <v>2</v>
      </c>
      <c r="BU8" s="817">
        <v>1</v>
      </c>
      <c r="BV8" s="817">
        <v>1</v>
      </c>
      <c r="BW8" s="817">
        <v>1</v>
      </c>
      <c r="BX8" s="817">
        <v>1</v>
      </c>
      <c r="BY8" s="817">
        <v>1</v>
      </c>
      <c r="BZ8" s="817">
        <v>1</v>
      </c>
      <c r="CA8" s="817">
        <v>1</v>
      </c>
      <c r="CB8" s="817">
        <v>0</v>
      </c>
      <c r="CC8" s="817">
        <v>1</v>
      </c>
      <c r="CD8" s="817">
        <v>1</v>
      </c>
      <c r="CE8" s="817">
        <v>1</v>
      </c>
      <c r="CF8" s="817" t="s">
        <v>481</v>
      </c>
      <c r="CG8" s="817" t="s">
        <v>482</v>
      </c>
      <c r="CH8" s="817">
        <v>1</v>
      </c>
      <c r="CI8" s="817">
        <v>5</v>
      </c>
      <c r="CJ8" s="817">
        <v>5</v>
      </c>
      <c r="CK8" s="817"/>
      <c r="CL8" s="817">
        <v>1</v>
      </c>
      <c r="CM8" s="817">
        <v>1</v>
      </c>
      <c r="CN8" s="817">
        <v>1</v>
      </c>
      <c r="CO8" s="817">
        <v>1</v>
      </c>
      <c r="CP8" s="817">
        <v>60</v>
      </c>
      <c r="CQ8" s="817">
        <v>80</v>
      </c>
      <c r="CR8" s="817">
        <v>12</v>
      </c>
      <c r="CS8" s="817">
        <v>12</v>
      </c>
      <c r="CT8" s="817">
        <v>1</v>
      </c>
      <c r="CU8" s="160"/>
      <c r="CV8" s="160"/>
      <c r="CW8" s="160"/>
      <c r="CX8" s="160"/>
      <c r="CY8" s="160"/>
      <c r="CZ8" s="160"/>
      <c r="DA8" s="160"/>
      <c r="DB8" s="160"/>
      <c r="DC8" s="160"/>
      <c r="DD8" s="160"/>
      <c r="DE8" s="160"/>
      <c r="DF8" s="160"/>
      <c r="DG8" s="160"/>
      <c r="DH8" s="160"/>
      <c r="DI8" s="160"/>
      <c r="DJ8" s="160"/>
      <c r="DK8" s="167"/>
      <c r="DL8" s="766"/>
      <c r="DM8" s="871" t="s">
        <v>102</v>
      </c>
      <c r="DN8" s="871" t="s">
        <v>690</v>
      </c>
      <c r="DO8" s="766"/>
      <c r="DP8" s="766"/>
      <c r="DQ8" s="766"/>
      <c r="DR8" s="766"/>
      <c r="DS8" s="766"/>
      <c r="DT8" s="766"/>
      <c r="DU8" s="766"/>
      <c r="DV8" s="766"/>
      <c r="DW8" s="766"/>
      <c r="DX8" s="766"/>
      <c r="DY8" s="766"/>
      <c r="DZ8" s="766"/>
      <c r="EA8" s="766"/>
      <c r="EB8" s="766"/>
      <c r="EC8" s="766"/>
      <c r="ED8" s="766"/>
      <c r="EE8" s="766"/>
      <c r="EF8" s="766"/>
      <c r="EG8" s="766"/>
      <c r="EH8" s="766"/>
      <c r="EI8" s="766"/>
      <c r="EJ8" s="766"/>
      <c r="EK8" s="766"/>
      <c r="EL8" s="766"/>
      <c r="EM8" s="766"/>
      <c r="EN8" s="766"/>
      <c r="EO8" s="766"/>
      <c r="EP8" s="766"/>
      <c r="EQ8" s="766"/>
      <c r="ER8" s="766"/>
      <c r="ES8" s="766"/>
      <c r="ET8" s="766"/>
      <c r="EU8" s="766"/>
      <c r="EV8" s="766"/>
      <c r="EW8" s="766"/>
      <c r="EX8" s="766"/>
      <c r="EY8" s="766"/>
      <c r="EZ8" s="766"/>
      <c r="FA8" s="766"/>
      <c r="FB8" s="766"/>
      <c r="FC8" s="766"/>
      <c r="FD8" s="766"/>
      <c r="FE8" s="766"/>
      <c r="FF8" s="766"/>
      <c r="FG8" s="766"/>
      <c r="FH8" s="766"/>
      <c r="FI8" s="766"/>
      <c r="FJ8" s="766"/>
      <c r="FK8" s="766"/>
      <c r="FL8" s="766"/>
      <c r="FM8" s="766"/>
      <c r="FN8" s="766"/>
      <c r="FO8" s="766"/>
      <c r="FP8" s="766"/>
      <c r="FQ8" s="766"/>
      <c r="FR8" s="766"/>
      <c r="FS8" s="766"/>
      <c r="FT8" s="766"/>
      <c r="FU8" s="766"/>
      <c r="FV8" s="766"/>
      <c r="FW8" s="766"/>
      <c r="FX8" s="766"/>
      <c r="FY8" s="766"/>
      <c r="FZ8" s="766"/>
      <c r="GA8" s="766"/>
      <c r="GB8" s="766"/>
      <c r="GC8" s="766"/>
      <c r="GD8" s="766"/>
      <c r="GE8" s="766"/>
      <c r="GF8" s="766"/>
      <c r="GG8" s="766"/>
      <c r="GH8" s="766"/>
      <c r="GI8" s="766"/>
      <c r="GJ8" s="766"/>
      <c r="GK8" s="766"/>
      <c r="GL8" s="766"/>
      <c r="GM8" s="766"/>
      <c r="GN8" s="766"/>
      <c r="GO8" s="766"/>
      <c r="GP8" s="766"/>
      <c r="GQ8" s="766"/>
      <c r="GR8" s="766"/>
      <c r="GS8" s="766"/>
      <c r="GT8" s="766"/>
      <c r="GU8" s="766"/>
      <c r="GV8" s="766"/>
      <c r="GW8" s="766"/>
      <c r="GX8" s="766"/>
      <c r="GY8" s="766"/>
      <c r="GZ8" s="766"/>
      <c r="HA8" s="766"/>
      <c r="HB8" s="766"/>
      <c r="HC8" s="766"/>
      <c r="HD8" s="766"/>
      <c r="HE8" s="766"/>
      <c r="HF8" s="766"/>
      <c r="HG8" s="766"/>
      <c r="HH8" s="766"/>
      <c r="HI8" s="766"/>
      <c r="HJ8" s="766"/>
      <c r="HK8" s="766"/>
      <c r="HL8" s="766"/>
      <c r="HM8" s="766"/>
      <c r="HN8" s="766"/>
      <c r="HO8" s="766"/>
      <c r="HP8" s="766"/>
      <c r="HQ8" s="766"/>
      <c r="HR8" s="766"/>
      <c r="HS8" s="766"/>
      <c r="HT8" s="766"/>
      <c r="HU8" s="766"/>
      <c r="HV8" s="766"/>
      <c r="HW8" s="766"/>
      <c r="HX8" s="766"/>
      <c r="HY8" s="766"/>
      <c r="HZ8" s="766"/>
      <c r="IA8" s="766"/>
      <c r="IB8" s="766"/>
      <c r="IC8" s="766"/>
      <c r="ID8" s="766"/>
      <c r="IE8" s="766"/>
      <c r="IF8" s="766"/>
      <c r="IG8" s="766"/>
      <c r="IH8" s="766"/>
      <c r="II8" s="766"/>
      <c r="IJ8" s="766"/>
      <c r="IK8" s="766"/>
      <c r="IL8" s="766"/>
      <c r="IM8" s="766"/>
      <c r="IN8" s="766"/>
      <c r="IO8" s="766"/>
      <c r="IP8" s="766"/>
      <c r="IQ8" s="766"/>
      <c r="IR8" s="766"/>
      <c r="IS8" s="766"/>
    </row>
    <row r="9" spans="1:253" s="92" customFormat="1" x14ac:dyDescent="0.2">
      <c r="A9" s="817" t="s">
        <v>243</v>
      </c>
      <c r="B9" s="817" t="s">
        <v>17</v>
      </c>
      <c r="C9" s="817" t="s">
        <v>774</v>
      </c>
      <c r="D9" s="817" t="s">
        <v>483</v>
      </c>
      <c r="E9" s="817">
        <v>400</v>
      </c>
      <c r="F9" s="817">
        <v>2009</v>
      </c>
      <c r="G9" s="817">
        <v>0</v>
      </c>
      <c r="H9" s="817">
        <v>2582050</v>
      </c>
      <c r="I9" s="817">
        <v>1089650</v>
      </c>
      <c r="J9" s="817">
        <v>1575</v>
      </c>
      <c r="K9" s="817" t="s">
        <v>484</v>
      </c>
      <c r="L9" s="817" t="s">
        <v>475</v>
      </c>
      <c r="M9" s="817">
        <v>2581922</v>
      </c>
      <c r="N9" s="817">
        <v>1089773</v>
      </c>
      <c r="O9" s="817">
        <v>1520</v>
      </c>
      <c r="P9" s="817">
        <v>120</v>
      </c>
      <c r="Q9" s="817"/>
      <c r="R9" s="817"/>
      <c r="S9" s="817"/>
      <c r="T9" s="817"/>
      <c r="U9" s="817"/>
      <c r="V9" s="817">
        <v>0.8</v>
      </c>
      <c r="W9" s="817">
        <v>80</v>
      </c>
      <c r="X9" s="817"/>
      <c r="Y9" s="817"/>
      <c r="Z9" s="817">
        <v>0.3</v>
      </c>
      <c r="AA9" s="817">
        <v>20</v>
      </c>
      <c r="AB9" s="817"/>
      <c r="AC9" s="817">
        <v>181</v>
      </c>
      <c r="AD9" s="817">
        <v>520</v>
      </c>
      <c r="AE9" s="817"/>
      <c r="AF9" s="817" t="s">
        <v>479</v>
      </c>
      <c r="AG9" s="817">
        <v>0</v>
      </c>
      <c r="AH9" s="817">
        <v>0</v>
      </c>
      <c r="AI9" s="817">
        <v>0</v>
      </c>
      <c r="AJ9" s="817">
        <v>0</v>
      </c>
      <c r="AK9" s="817">
        <v>0</v>
      </c>
      <c r="AL9" s="817">
        <v>0</v>
      </c>
      <c r="AM9" s="817">
        <v>0</v>
      </c>
      <c r="AN9" s="817">
        <v>12</v>
      </c>
      <c r="AO9" s="817">
        <v>12</v>
      </c>
      <c r="AP9" s="817">
        <v>0</v>
      </c>
      <c r="AQ9" s="817">
        <v>0</v>
      </c>
      <c r="AR9" s="817">
        <v>12</v>
      </c>
      <c r="AS9" s="817">
        <v>12</v>
      </c>
      <c r="AT9" s="817">
        <v>12</v>
      </c>
      <c r="AU9" s="817">
        <v>0</v>
      </c>
      <c r="AV9" s="817">
        <v>12</v>
      </c>
      <c r="AW9" s="817">
        <v>12</v>
      </c>
      <c r="AX9" s="817">
        <f t="shared" si="0"/>
        <v>0</v>
      </c>
      <c r="AY9" s="817">
        <v>1</v>
      </c>
      <c r="AZ9" s="817" t="s">
        <v>284</v>
      </c>
      <c r="BA9" s="817">
        <v>1</v>
      </c>
      <c r="BB9" s="817">
        <v>0</v>
      </c>
      <c r="BC9" s="817" t="s">
        <v>773</v>
      </c>
      <c r="BD9" s="817">
        <v>1</v>
      </c>
      <c r="BE9" s="817">
        <v>1</v>
      </c>
      <c r="BF9" s="817">
        <v>1</v>
      </c>
      <c r="BG9" s="817">
        <v>1</v>
      </c>
      <c r="BH9" s="817">
        <v>2</v>
      </c>
      <c r="BI9" s="817">
        <v>1</v>
      </c>
      <c r="BJ9" s="817">
        <v>1</v>
      </c>
      <c r="BK9" s="817">
        <v>1</v>
      </c>
      <c r="BL9" s="817"/>
      <c r="BM9" s="817">
        <v>1</v>
      </c>
      <c r="BN9" s="817">
        <v>1</v>
      </c>
      <c r="BO9" s="817">
        <v>1</v>
      </c>
      <c r="BP9" s="817">
        <v>2</v>
      </c>
      <c r="BQ9" s="817">
        <v>1</v>
      </c>
      <c r="BR9" s="817">
        <v>1</v>
      </c>
      <c r="BS9" s="817">
        <v>1</v>
      </c>
      <c r="BT9" s="817">
        <v>2</v>
      </c>
      <c r="BU9" s="817">
        <v>1</v>
      </c>
      <c r="BV9" s="817">
        <v>1</v>
      </c>
      <c r="BW9" s="817">
        <v>1</v>
      </c>
      <c r="BX9" s="817">
        <v>1</v>
      </c>
      <c r="BY9" s="817">
        <v>1</v>
      </c>
      <c r="BZ9" s="817">
        <v>1</v>
      </c>
      <c r="CA9" s="817">
        <v>1</v>
      </c>
      <c r="CB9" s="817">
        <v>1</v>
      </c>
      <c r="CC9" s="817">
        <v>1</v>
      </c>
      <c r="CD9" s="817">
        <v>1</v>
      </c>
      <c r="CE9" s="817">
        <v>1</v>
      </c>
      <c r="CF9" s="817" t="s">
        <v>476</v>
      </c>
      <c r="CG9" s="817" t="s">
        <v>477</v>
      </c>
      <c r="CH9" s="817">
        <v>1</v>
      </c>
      <c r="CI9" s="817">
        <v>5</v>
      </c>
      <c r="CJ9" s="817">
        <v>5</v>
      </c>
      <c r="CK9" s="817">
        <v>1</v>
      </c>
      <c r="CL9" s="817">
        <v>1</v>
      </c>
      <c r="CM9" s="817">
        <v>1</v>
      </c>
      <c r="CN9" s="817">
        <v>1</v>
      </c>
      <c r="CO9" s="817">
        <v>1</v>
      </c>
      <c r="CP9" s="817">
        <v>60</v>
      </c>
      <c r="CQ9" s="817">
        <v>80</v>
      </c>
      <c r="CR9" s="817">
        <v>12</v>
      </c>
      <c r="CS9" s="817">
        <v>12</v>
      </c>
      <c r="CT9" s="817">
        <v>1</v>
      </c>
      <c r="CU9" s="160"/>
      <c r="CV9" s="160"/>
      <c r="CW9" s="160"/>
      <c r="CX9" s="160"/>
      <c r="CY9" s="160"/>
      <c r="CZ9" s="160"/>
      <c r="DA9" s="160"/>
      <c r="DB9" s="160"/>
      <c r="DC9" s="160"/>
      <c r="DD9" s="160"/>
      <c r="DE9" s="160"/>
      <c r="DF9" s="160"/>
      <c r="DG9" s="160"/>
      <c r="DH9" s="160"/>
      <c r="DI9" s="160"/>
      <c r="DJ9" s="160"/>
      <c r="DK9" s="167"/>
      <c r="DL9" s="766"/>
      <c r="DM9" s="871" t="s">
        <v>243</v>
      </c>
      <c r="DN9" s="871" t="s">
        <v>691</v>
      </c>
      <c r="DO9" s="766"/>
      <c r="DP9" s="766"/>
      <c r="DQ9" s="766"/>
      <c r="DR9" s="766"/>
      <c r="DS9" s="766"/>
      <c r="DT9" s="766"/>
      <c r="DU9" s="766"/>
      <c r="DV9" s="766"/>
      <c r="DW9" s="766"/>
      <c r="DX9" s="766"/>
      <c r="DY9" s="766"/>
      <c r="DZ9" s="766"/>
      <c r="EA9" s="766"/>
      <c r="EB9" s="766"/>
      <c r="EC9" s="766"/>
      <c r="ED9" s="766"/>
      <c r="EE9" s="766"/>
      <c r="EF9" s="766"/>
      <c r="EG9" s="766"/>
      <c r="EH9" s="766"/>
      <c r="EI9" s="766"/>
      <c r="EJ9" s="766"/>
      <c r="EK9" s="766"/>
      <c r="EL9" s="766"/>
      <c r="EM9" s="766"/>
      <c r="EN9" s="766"/>
      <c r="EO9" s="766"/>
      <c r="EP9" s="766"/>
      <c r="EQ9" s="766"/>
      <c r="ER9" s="766"/>
      <c r="ES9" s="766"/>
      <c r="ET9" s="766"/>
      <c r="EU9" s="766"/>
      <c r="EV9" s="766"/>
      <c r="EW9" s="766"/>
      <c r="EX9" s="766"/>
      <c r="EY9" s="766"/>
      <c r="EZ9" s="766"/>
      <c r="FA9" s="766"/>
      <c r="FB9" s="766"/>
      <c r="FC9" s="766"/>
      <c r="FD9" s="766"/>
      <c r="FE9" s="766"/>
      <c r="FF9" s="766"/>
      <c r="FG9" s="766"/>
      <c r="FH9" s="766"/>
      <c r="FI9" s="766"/>
      <c r="FJ9" s="766"/>
      <c r="FK9" s="766"/>
      <c r="FL9" s="766"/>
      <c r="FM9" s="766"/>
      <c r="FN9" s="766"/>
      <c r="FO9" s="766"/>
      <c r="FP9" s="766"/>
      <c r="FQ9" s="766"/>
      <c r="FR9" s="766"/>
      <c r="FS9" s="766"/>
      <c r="FT9" s="766"/>
      <c r="FU9" s="766"/>
      <c r="FV9" s="766"/>
      <c r="FW9" s="766"/>
      <c r="FX9" s="766"/>
      <c r="FY9" s="766"/>
      <c r="FZ9" s="766"/>
      <c r="GA9" s="766"/>
      <c r="GB9" s="766"/>
      <c r="GC9" s="766"/>
      <c r="GD9" s="766"/>
      <c r="GE9" s="766"/>
      <c r="GF9" s="766"/>
      <c r="GG9" s="766"/>
      <c r="GH9" s="766"/>
      <c r="GI9" s="766"/>
      <c r="GJ9" s="766"/>
      <c r="GK9" s="766"/>
      <c r="GL9" s="766"/>
      <c r="GM9" s="766"/>
      <c r="GN9" s="766"/>
      <c r="GO9" s="766"/>
      <c r="GP9" s="766"/>
      <c r="GQ9" s="766"/>
      <c r="GR9" s="766"/>
      <c r="GS9" s="766"/>
      <c r="GT9" s="766"/>
      <c r="GU9" s="766"/>
      <c r="GV9" s="766"/>
      <c r="GW9" s="766"/>
      <c r="GX9" s="766"/>
      <c r="GY9" s="766"/>
      <c r="GZ9" s="766"/>
      <c r="HA9" s="766"/>
      <c r="HB9" s="766"/>
      <c r="HC9" s="766"/>
      <c r="HD9" s="766"/>
      <c r="HE9" s="766"/>
      <c r="HF9" s="766"/>
      <c r="HG9" s="766"/>
      <c r="HH9" s="766"/>
      <c r="HI9" s="766"/>
      <c r="HJ9" s="766"/>
      <c r="HK9" s="766"/>
      <c r="HL9" s="766"/>
      <c r="HM9" s="766"/>
      <c r="HN9" s="766"/>
      <c r="HO9" s="766"/>
      <c r="HP9" s="766"/>
      <c r="HQ9" s="766"/>
      <c r="HR9" s="766"/>
      <c r="HS9" s="766"/>
      <c r="HT9" s="766"/>
      <c r="HU9" s="766"/>
      <c r="HV9" s="766"/>
      <c r="HW9" s="766"/>
      <c r="HX9" s="766"/>
      <c r="HY9" s="766"/>
      <c r="HZ9" s="766"/>
      <c r="IA9" s="766"/>
      <c r="IB9" s="766"/>
      <c r="IC9" s="766"/>
      <c r="ID9" s="766"/>
      <c r="IE9" s="766"/>
      <c r="IF9" s="766"/>
      <c r="IG9" s="766"/>
      <c r="IH9" s="766"/>
      <c r="II9" s="766"/>
      <c r="IJ9" s="766"/>
      <c r="IK9" s="766"/>
      <c r="IL9" s="766"/>
      <c r="IM9" s="766"/>
      <c r="IN9" s="766"/>
      <c r="IO9" s="766"/>
      <c r="IP9" s="766"/>
      <c r="IQ9" s="766"/>
      <c r="IR9" s="766"/>
      <c r="IS9" s="766"/>
    </row>
    <row r="10" spans="1:253" s="92" customFormat="1" x14ac:dyDescent="0.2">
      <c r="A10" s="817" t="s">
        <v>310</v>
      </c>
      <c r="B10" s="817" t="s">
        <v>44</v>
      </c>
      <c r="C10" s="817" t="s">
        <v>485</v>
      </c>
      <c r="D10" s="817" t="s">
        <v>486</v>
      </c>
      <c r="E10" s="817">
        <v>6000</v>
      </c>
      <c r="F10" s="817">
        <v>1981</v>
      </c>
      <c r="G10" s="817">
        <v>0</v>
      </c>
      <c r="H10" s="817">
        <v>2626410</v>
      </c>
      <c r="I10" s="817">
        <v>1105530</v>
      </c>
      <c r="J10" s="817">
        <v>1400</v>
      </c>
      <c r="K10" s="817" t="s">
        <v>487</v>
      </c>
      <c r="L10" s="817" t="s">
        <v>488</v>
      </c>
      <c r="M10" s="817">
        <v>2626379</v>
      </c>
      <c r="N10" s="817">
        <v>1105577</v>
      </c>
      <c r="O10" s="817">
        <v>1410</v>
      </c>
      <c r="P10" s="817">
        <v>2000</v>
      </c>
      <c r="Q10" s="817">
        <v>245</v>
      </c>
      <c r="R10" s="817"/>
      <c r="S10" s="817"/>
      <c r="T10" s="817">
        <v>10</v>
      </c>
      <c r="U10" s="817">
        <v>85</v>
      </c>
      <c r="V10" s="817">
        <v>0.8</v>
      </c>
      <c r="W10" s="817">
        <v>85</v>
      </c>
      <c r="X10" s="817"/>
      <c r="Y10" s="817"/>
      <c r="Z10" s="817">
        <v>0.3</v>
      </c>
      <c r="AA10" s="817">
        <v>20</v>
      </c>
      <c r="AB10" s="817"/>
      <c r="AC10" s="817">
        <v>1601</v>
      </c>
      <c r="AD10" s="817">
        <v>1983</v>
      </c>
      <c r="AE10" s="817"/>
      <c r="AF10" s="817" t="s">
        <v>237</v>
      </c>
      <c r="AG10" s="817">
        <v>0</v>
      </c>
      <c r="AH10" s="817">
        <v>0</v>
      </c>
      <c r="AI10" s="817">
        <v>12</v>
      </c>
      <c r="AJ10" s="817">
        <v>0</v>
      </c>
      <c r="AK10" s="817">
        <v>0</v>
      </c>
      <c r="AL10" s="817">
        <v>12</v>
      </c>
      <c r="AM10" s="817">
        <v>52</v>
      </c>
      <c r="AN10" s="817">
        <v>52</v>
      </c>
      <c r="AO10" s="817">
        <v>24</v>
      </c>
      <c r="AP10" s="817">
        <v>0</v>
      </c>
      <c r="AQ10" s="817">
        <v>0</v>
      </c>
      <c r="AR10" s="817">
        <v>12</v>
      </c>
      <c r="AS10" s="817">
        <v>52</v>
      </c>
      <c r="AT10" s="817">
        <v>52</v>
      </c>
      <c r="AU10" s="817">
        <v>0</v>
      </c>
      <c r="AV10" s="817">
        <v>52</v>
      </c>
      <c r="AW10" s="817">
        <v>52</v>
      </c>
      <c r="AX10" s="817">
        <f t="shared" si="0"/>
        <v>1</v>
      </c>
      <c r="AY10" s="817">
        <v>2</v>
      </c>
      <c r="AZ10" s="817" t="s">
        <v>166</v>
      </c>
      <c r="BA10" s="817">
        <v>1</v>
      </c>
      <c r="BB10" s="817">
        <v>0</v>
      </c>
      <c r="BC10" s="817"/>
      <c r="BD10" s="817">
        <v>2</v>
      </c>
      <c r="BE10" s="817">
        <v>1</v>
      </c>
      <c r="BF10" s="817">
        <v>2</v>
      </c>
      <c r="BG10" s="817">
        <v>2</v>
      </c>
      <c r="BH10" s="817">
        <v>2</v>
      </c>
      <c r="BI10" s="817">
        <v>1</v>
      </c>
      <c r="BJ10" s="817">
        <v>1</v>
      </c>
      <c r="BK10" s="817">
        <v>1</v>
      </c>
      <c r="BL10" s="817">
        <v>2</v>
      </c>
      <c r="BM10" s="817">
        <v>1</v>
      </c>
      <c r="BN10" s="817">
        <v>1</v>
      </c>
      <c r="BO10" s="817">
        <v>1</v>
      </c>
      <c r="BP10" s="817">
        <v>1</v>
      </c>
      <c r="BQ10" s="817">
        <v>1</v>
      </c>
      <c r="BR10" s="817">
        <v>2</v>
      </c>
      <c r="BS10" s="817">
        <v>1</v>
      </c>
      <c r="BT10" s="817">
        <v>1</v>
      </c>
      <c r="BU10" s="817">
        <v>1</v>
      </c>
      <c r="BV10" s="817">
        <v>1</v>
      </c>
      <c r="BW10" s="817">
        <v>1</v>
      </c>
      <c r="BX10" s="817">
        <v>1</v>
      </c>
      <c r="BY10" s="817">
        <v>1</v>
      </c>
      <c r="BZ10" s="817">
        <v>1</v>
      </c>
      <c r="CA10" s="817">
        <v>1</v>
      </c>
      <c r="CB10" s="817">
        <v>5</v>
      </c>
      <c r="CC10" s="817">
        <v>1</v>
      </c>
      <c r="CD10" s="817">
        <v>1</v>
      </c>
      <c r="CE10" s="817">
        <v>1</v>
      </c>
      <c r="CF10" s="817" t="s">
        <v>489</v>
      </c>
      <c r="CG10" s="817" t="s">
        <v>490</v>
      </c>
      <c r="CH10" s="817">
        <v>1</v>
      </c>
      <c r="CI10" s="817">
        <v>1</v>
      </c>
      <c r="CJ10" s="817">
        <v>1</v>
      </c>
      <c r="CK10" s="817">
        <v>3</v>
      </c>
      <c r="CL10" s="817">
        <v>1</v>
      </c>
      <c r="CM10" s="817">
        <v>1</v>
      </c>
      <c r="CN10" s="817">
        <v>1</v>
      </c>
      <c r="CO10" s="817">
        <v>1</v>
      </c>
      <c r="CP10" s="817">
        <v>60</v>
      </c>
      <c r="CQ10" s="817">
        <v>80</v>
      </c>
      <c r="CR10" s="817">
        <v>52</v>
      </c>
      <c r="CS10" s="817">
        <v>52</v>
      </c>
      <c r="CT10" s="817">
        <v>1</v>
      </c>
      <c r="CU10" s="160"/>
      <c r="CV10" s="160"/>
      <c r="CW10" s="160"/>
      <c r="CX10" s="160"/>
      <c r="CY10" s="160"/>
      <c r="CZ10" s="160"/>
      <c r="DA10" s="160"/>
      <c r="DB10" s="160"/>
      <c r="DC10" s="160"/>
      <c r="DD10" s="160"/>
      <c r="DE10" s="160"/>
      <c r="DF10" s="160"/>
      <c r="DG10" s="160"/>
      <c r="DH10" s="160"/>
      <c r="DI10" s="160"/>
      <c r="DJ10" s="160"/>
      <c r="DK10" s="167"/>
      <c r="DL10" s="766"/>
      <c r="DM10" s="871" t="s">
        <v>692</v>
      </c>
      <c r="DN10" s="871" t="s">
        <v>693</v>
      </c>
      <c r="DO10" s="766"/>
      <c r="DP10" s="766"/>
      <c r="DQ10" s="766"/>
      <c r="DR10" s="766"/>
      <c r="DS10" s="766"/>
      <c r="DT10" s="766"/>
      <c r="DU10" s="766"/>
      <c r="DV10" s="766"/>
      <c r="DW10" s="766"/>
      <c r="DX10" s="766"/>
      <c r="DY10" s="766"/>
      <c r="DZ10" s="766"/>
      <c r="EA10" s="766"/>
      <c r="EB10" s="766"/>
      <c r="EC10" s="766"/>
      <c r="ED10" s="766"/>
      <c r="EE10" s="766"/>
      <c r="EF10" s="766"/>
      <c r="EG10" s="766"/>
      <c r="EH10" s="766"/>
      <c r="EI10" s="766"/>
      <c r="EJ10" s="766"/>
      <c r="EK10" s="766"/>
      <c r="EL10" s="766"/>
      <c r="EM10" s="766"/>
      <c r="EN10" s="766"/>
      <c r="EO10" s="766"/>
      <c r="EP10" s="766"/>
      <c r="EQ10" s="766"/>
      <c r="ER10" s="766"/>
      <c r="ES10" s="766"/>
      <c r="ET10" s="766"/>
      <c r="EU10" s="766"/>
      <c r="EV10" s="766"/>
      <c r="EW10" s="766"/>
      <c r="EX10" s="766"/>
      <c r="EY10" s="766"/>
      <c r="EZ10" s="766"/>
      <c r="FA10" s="766"/>
      <c r="FB10" s="766"/>
      <c r="FC10" s="766"/>
      <c r="FD10" s="766"/>
      <c r="FE10" s="766"/>
      <c r="FF10" s="766"/>
      <c r="FG10" s="766"/>
      <c r="FH10" s="766"/>
      <c r="FI10" s="766"/>
      <c r="FJ10" s="766"/>
      <c r="FK10" s="766"/>
      <c r="FL10" s="766"/>
      <c r="FM10" s="766"/>
      <c r="FN10" s="766"/>
      <c r="FO10" s="766"/>
      <c r="FP10" s="766"/>
      <c r="FQ10" s="766"/>
      <c r="FR10" s="766"/>
      <c r="FS10" s="766"/>
      <c r="FT10" s="766"/>
      <c r="FU10" s="766"/>
      <c r="FV10" s="766"/>
      <c r="FW10" s="766"/>
      <c r="FX10" s="766"/>
      <c r="FY10" s="766"/>
      <c r="FZ10" s="766"/>
      <c r="GA10" s="766"/>
      <c r="GB10" s="766"/>
      <c r="GC10" s="766"/>
      <c r="GD10" s="766"/>
      <c r="GE10" s="766"/>
      <c r="GF10" s="766"/>
      <c r="GG10" s="766"/>
      <c r="GH10" s="766"/>
      <c r="GI10" s="766"/>
      <c r="GJ10" s="766"/>
      <c r="GK10" s="766"/>
      <c r="GL10" s="766"/>
      <c r="GM10" s="766"/>
      <c r="GN10" s="766"/>
      <c r="GO10" s="766"/>
      <c r="GP10" s="766"/>
      <c r="GQ10" s="766"/>
      <c r="GR10" s="766"/>
      <c r="GS10" s="766"/>
      <c r="GT10" s="766"/>
      <c r="GU10" s="766"/>
      <c r="GV10" s="766"/>
      <c r="GW10" s="766"/>
      <c r="GX10" s="766"/>
      <c r="GY10" s="766"/>
      <c r="GZ10" s="766"/>
      <c r="HA10" s="766"/>
      <c r="HB10" s="766"/>
      <c r="HC10" s="766"/>
      <c r="HD10" s="766"/>
      <c r="HE10" s="766"/>
      <c r="HF10" s="766"/>
      <c r="HG10" s="766"/>
      <c r="HH10" s="766"/>
      <c r="HI10" s="766"/>
      <c r="HJ10" s="766"/>
      <c r="HK10" s="766"/>
      <c r="HL10" s="766"/>
      <c r="HM10" s="766"/>
      <c r="HN10" s="766"/>
      <c r="HO10" s="766"/>
      <c r="HP10" s="766"/>
      <c r="HQ10" s="766"/>
      <c r="HR10" s="766"/>
      <c r="HS10" s="766"/>
      <c r="HT10" s="766"/>
      <c r="HU10" s="766"/>
      <c r="HV10" s="766"/>
      <c r="HW10" s="766"/>
      <c r="HX10" s="766"/>
      <c r="HY10" s="766"/>
      <c r="HZ10" s="766"/>
      <c r="IA10" s="766"/>
      <c r="IB10" s="766"/>
      <c r="IC10" s="766"/>
      <c r="ID10" s="766"/>
      <c r="IE10" s="766"/>
      <c r="IF10" s="766"/>
      <c r="IG10" s="766"/>
      <c r="IH10" s="766"/>
      <c r="II10" s="766"/>
      <c r="IJ10" s="766"/>
      <c r="IK10" s="766"/>
      <c r="IL10" s="766"/>
      <c r="IM10" s="766"/>
      <c r="IN10" s="766"/>
      <c r="IO10" s="766"/>
      <c r="IP10" s="766"/>
      <c r="IQ10" s="766"/>
      <c r="IR10" s="766"/>
      <c r="IS10" s="766"/>
    </row>
    <row r="11" spans="1:253" s="92" customFormat="1" x14ac:dyDescent="0.2">
      <c r="A11" s="817" t="s">
        <v>71</v>
      </c>
      <c r="B11" s="817" t="s">
        <v>18</v>
      </c>
      <c r="C11" s="817" t="s">
        <v>491</v>
      </c>
      <c r="D11" s="817" t="s">
        <v>492</v>
      </c>
      <c r="E11" s="817">
        <v>55000</v>
      </c>
      <c r="F11" s="817">
        <v>1984</v>
      </c>
      <c r="G11" s="817">
        <v>0</v>
      </c>
      <c r="H11" s="817">
        <v>2639520</v>
      </c>
      <c r="I11" s="817">
        <v>1128550</v>
      </c>
      <c r="J11" s="817">
        <v>660</v>
      </c>
      <c r="K11" s="817" t="s">
        <v>493</v>
      </c>
      <c r="L11" s="817" t="s">
        <v>465</v>
      </c>
      <c r="M11" s="817">
        <v>2639470</v>
      </c>
      <c r="N11" s="817">
        <v>1128470</v>
      </c>
      <c r="O11" s="817">
        <v>655</v>
      </c>
      <c r="P11" s="817">
        <v>20000</v>
      </c>
      <c r="Q11" s="817">
        <v>3628</v>
      </c>
      <c r="R11" s="817">
        <v>15</v>
      </c>
      <c r="S11" s="817">
        <v>90</v>
      </c>
      <c r="T11" s="817">
        <v>10</v>
      </c>
      <c r="U11" s="817">
        <v>85</v>
      </c>
      <c r="V11" s="817">
        <v>0.8</v>
      </c>
      <c r="W11" s="817">
        <v>90</v>
      </c>
      <c r="X11" s="817"/>
      <c r="Y11" s="817"/>
      <c r="Z11" s="817">
        <v>0.3</v>
      </c>
      <c r="AA11" s="817">
        <v>15</v>
      </c>
      <c r="AB11" s="817"/>
      <c r="AC11" s="817">
        <v>27263</v>
      </c>
      <c r="AD11" s="817">
        <v>21962</v>
      </c>
      <c r="AE11" s="817"/>
      <c r="AF11" s="817" t="s">
        <v>237</v>
      </c>
      <c r="AG11" s="817">
        <v>12</v>
      </c>
      <c r="AH11" s="817">
        <v>12</v>
      </c>
      <c r="AI11" s="817">
        <v>12</v>
      </c>
      <c r="AJ11" s="817">
        <v>0</v>
      </c>
      <c r="AK11" s="817">
        <v>0</v>
      </c>
      <c r="AL11" s="817">
        <v>12</v>
      </c>
      <c r="AM11" s="817">
        <v>104</v>
      </c>
      <c r="AN11" s="817">
        <v>104</v>
      </c>
      <c r="AO11" s="817">
        <v>24</v>
      </c>
      <c r="AP11" s="817">
        <v>0</v>
      </c>
      <c r="AQ11" s="817">
        <v>0</v>
      </c>
      <c r="AR11" s="817">
        <v>12</v>
      </c>
      <c r="AS11" s="817">
        <v>104</v>
      </c>
      <c r="AT11" s="817">
        <v>104</v>
      </c>
      <c r="AU11" s="817">
        <v>0</v>
      </c>
      <c r="AV11" s="817">
        <v>52</v>
      </c>
      <c r="AW11" s="817">
        <v>52</v>
      </c>
      <c r="AX11" s="817">
        <f t="shared" si="0"/>
        <v>1</v>
      </c>
      <c r="AY11" s="817">
        <v>2</v>
      </c>
      <c r="AZ11" s="817" t="s">
        <v>166</v>
      </c>
      <c r="BA11" s="817">
        <v>1</v>
      </c>
      <c r="BB11" s="817">
        <v>0</v>
      </c>
      <c r="BC11" s="817" t="s">
        <v>773</v>
      </c>
      <c r="BD11" s="817">
        <v>2</v>
      </c>
      <c r="BE11" s="817">
        <v>2</v>
      </c>
      <c r="BF11" s="817">
        <v>2</v>
      </c>
      <c r="BG11" s="817">
        <v>1</v>
      </c>
      <c r="BH11" s="817">
        <v>2</v>
      </c>
      <c r="BI11" s="817">
        <v>1</v>
      </c>
      <c r="BJ11" s="817">
        <v>1</v>
      </c>
      <c r="BK11" s="817">
        <v>1</v>
      </c>
      <c r="BL11" s="817">
        <v>3</v>
      </c>
      <c r="BM11" s="817">
        <v>1</v>
      </c>
      <c r="BN11" s="817">
        <v>1</v>
      </c>
      <c r="BO11" s="817">
        <v>1</v>
      </c>
      <c r="BP11" s="817">
        <v>1</v>
      </c>
      <c r="BQ11" s="817">
        <v>1</v>
      </c>
      <c r="BR11" s="817">
        <v>2</v>
      </c>
      <c r="BS11" s="817">
        <v>1</v>
      </c>
      <c r="BT11" s="817">
        <v>1</v>
      </c>
      <c r="BU11" s="817">
        <v>1</v>
      </c>
      <c r="BV11" s="817">
        <v>1</v>
      </c>
      <c r="BW11" s="817">
        <v>1</v>
      </c>
      <c r="BX11" s="817">
        <v>1</v>
      </c>
      <c r="BY11" s="817">
        <v>1</v>
      </c>
      <c r="BZ11" s="817">
        <v>1</v>
      </c>
      <c r="CA11" s="817">
        <v>1</v>
      </c>
      <c r="CB11" s="817">
        <v>1</v>
      </c>
      <c r="CC11" s="817">
        <v>1</v>
      </c>
      <c r="CD11" s="817">
        <v>1</v>
      </c>
      <c r="CE11" s="817">
        <v>1</v>
      </c>
      <c r="CF11" s="817" t="s">
        <v>494</v>
      </c>
      <c r="CG11" s="817" t="s">
        <v>495</v>
      </c>
      <c r="CH11" s="817">
        <v>1</v>
      </c>
      <c r="CI11" s="817">
        <v>1</v>
      </c>
      <c r="CJ11" s="817">
        <v>2</v>
      </c>
      <c r="CK11" s="817">
        <v>5</v>
      </c>
      <c r="CL11" s="817">
        <v>1</v>
      </c>
      <c r="CM11" s="817">
        <v>1</v>
      </c>
      <c r="CN11" s="817">
        <v>1</v>
      </c>
      <c r="CO11" s="817">
        <v>1</v>
      </c>
      <c r="CP11" s="817">
        <v>45</v>
      </c>
      <c r="CQ11" s="817">
        <v>85</v>
      </c>
      <c r="CR11" s="817">
        <v>52</v>
      </c>
      <c r="CS11" s="817">
        <v>52</v>
      </c>
      <c r="CT11" s="817">
        <v>1</v>
      </c>
      <c r="CU11" s="160"/>
      <c r="CV11" s="160"/>
      <c r="CW11" s="160"/>
      <c r="CX11" s="160"/>
      <c r="CY11" s="160"/>
      <c r="CZ11" s="160"/>
      <c r="DA11" s="160"/>
      <c r="DB11" s="160"/>
      <c r="DC11" s="160"/>
      <c r="DD11" s="160"/>
      <c r="DE11" s="160"/>
      <c r="DF11" s="160"/>
      <c r="DG11" s="160"/>
      <c r="DH11" s="160"/>
      <c r="DI11" s="160"/>
      <c r="DJ11" s="160"/>
      <c r="DK11" s="167"/>
      <c r="DL11" s="766"/>
      <c r="DM11" s="871" t="s">
        <v>71</v>
      </c>
      <c r="DN11" s="871" t="s">
        <v>694</v>
      </c>
      <c r="DO11" s="766"/>
      <c r="DP11" s="766"/>
      <c r="DQ11" s="766"/>
      <c r="DR11" s="766"/>
      <c r="DS11" s="766"/>
      <c r="DT11" s="766"/>
      <c r="DU11" s="766"/>
      <c r="DV11" s="766"/>
      <c r="DW11" s="766"/>
      <c r="DX11" s="766"/>
      <c r="DY11" s="766"/>
      <c r="DZ11" s="766"/>
      <c r="EA11" s="766"/>
      <c r="EB11" s="766"/>
      <c r="EC11" s="766"/>
      <c r="ED11" s="766"/>
      <c r="EE11" s="766"/>
      <c r="EF11" s="766"/>
      <c r="EG11" s="766"/>
      <c r="EH11" s="766"/>
      <c r="EI11" s="766"/>
      <c r="EJ11" s="766"/>
      <c r="EK11" s="766"/>
      <c r="EL11" s="766"/>
      <c r="EM11" s="766"/>
      <c r="EN11" s="766"/>
      <c r="EO11" s="766"/>
      <c r="EP11" s="766"/>
      <c r="EQ11" s="766"/>
      <c r="ER11" s="766"/>
      <c r="ES11" s="766"/>
      <c r="ET11" s="766"/>
      <c r="EU11" s="766"/>
      <c r="EV11" s="766"/>
      <c r="EW11" s="766"/>
      <c r="EX11" s="766"/>
      <c r="EY11" s="766"/>
      <c r="EZ11" s="766"/>
      <c r="FA11" s="766"/>
      <c r="FB11" s="766"/>
      <c r="FC11" s="766"/>
      <c r="FD11" s="766"/>
      <c r="FE11" s="766"/>
      <c r="FF11" s="766"/>
      <c r="FG11" s="766"/>
      <c r="FH11" s="766"/>
      <c r="FI11" s="766"/>
      <c r="FJ11" s="766"/>
      <c r="FK11" s="766"/>
      <c r="FL11" s="766"/>
      <c r="FM11" s="766"/>
      <c r="FN11" s="766"/>
      <c r="FO11" s="766"/>
      <c r="FP11" s="766"/>
      <c r="FQ11" s="766"/>
      <c r="FR11" s="766"/>
      <c r="FS11" s="766"/>
      <c r="FT11" s="766"/>
      <c r="FU11" s="766"/>
      <c r="FV11" s="766"/>
      <c r="FW11" s="766"/>
      <c r="FX11" s="766"/>
      <c r="FY11" s="766"/>
      <c r="FZ11" s="766"/>
      <c r="GA11" s="766"/>
      <c r="GB11" s="766"/>
      <c r="GC11" s="766"/>
      <c r="GD11" s="766"/>
      <c r="GE11" s="766"/>
      <c r="GF11" s="766"/>
      <c r="GG11" s="766"/>
      <c r="GH11" s="766"/>
      <c r="GI11" s="766"/>
      <c r="GJ11" s="766"/>
      <c r="GK11" s="766"/>
      <c r="GL11" s="766"/>
      <c r="GM11" s="766"/>
      <c r="GN11" s="766"/>
      <c r="GO11" s="766"/>
      <c r="GP11" s="766"/>
      <c r="GQ11" s="766"/>
      <c r="GR11" s="766"/>
      <c r="GS11" s="766"/>
      <c r="GT11" s="766"/>
      <c r="GU11" s="766"/>
      <c r="GV11" s="766"/>
      <c r="GW11" s="766"/>
      <c r="GX11" s="766"/>
      <c r="GY11" s="766"/>
      <c r="GZ11" s="766"/>
      <c r="HA11" s="766"/>
      <c r="HB11" s="766"/>
      <c r="HC11" s="766"/>
      <c r="HD11" s="766"/>
      <c r="HE11" s="766"/>
      <c r="HF11" s="766"/>
      <c r="HG11" s="766"/>
      <c r="HH11" s="766"/>
      <c r="HI11" s="766"/>
      <c r="HJ11" s="766"/>
      <c r="HK11" s="766"/>
      <c r="HL11" s="766"/>
      <c r="HM11" s="766"/>
      <c r="HN11" s="766"/>
      <c r="HO11" s="766"/>
      <c r="HP11" s="766"/>
      <c r="HQ11" s="766"/>
      <c r="HR11" s="766"/>
      <c r="HS11" s="766"/>
      <c r="HT11" s="766"/>
      <c r="HU11" s="766"/>
      <c r="HV11" s="766"/>
      <c r="HW11" s="766"/>
      <c r="HX11" s="766"/>
      <c r="HY11" s="766"/>
      <c r="HZ11" s="766"/>
      <c r="IA11" s="766"/>
      <c r="IB11" s="766"/>
      <c r="IC11" s="766"/>
      <c r="ID11" s="766"/>
      <c r="IE11" s="766"/>
      <c r="IF11" s="766"/>
      <c r="IG11" s="766"/>
      <c r="IH11" s="766"/>
      <c r="II11" s="766"/>
      <c r="IJ11" s="766"/>
      <c r="IK11" s="766"/>
      <c r="IL11" s="766"/>
      <c r="IM11" s="766"/>
      <c r="IN11" s="766"/>
      <c r="IO11" s="766"/>
      <c r="IP11" s="766"/>
      <c r="IQ11" s="766"/>
      <c r="IR11" s="766"/>
      <c r="IS11" s="766"/>
    </row>
    <row r="12" spans="1:253" s="92" customFormat="1" x14ac:dyDescent="0.2">
      <c r="A12" s="817" t="s">
        <v>83</v>
      </c>
      <c r="B12" s="817" t="s">
        <v>19</v>
      </c>
      <c r="C12" s="817" t="s">
        <v>232</v>
      </c>
      <c r="D12" s="817" t="s">
        <v>261</v>
      </c>
      <c r="E12" s="817">
        <v>5000</v>
      </c>
      <c r="F12" s="817">
        <v>1978</v>
      </c>
      <c r="G12" s="817">
        <v>2001</v>
      </c>
      <c r="H12" s="817">
        <v>2584900</v>
      </c>
      <c r="I12" s="817">
        <v>1115100</v>
      </c>
      <c r="J12" s="817">
        <v>474</v>
      </c>
      <c r="K12" s="817" t="s">
        <v>465</v>
      </c>
      <c r="L12" s="817" t="s">
        <v>465</v>
      </c>
      <c r="M12" s="817">
        <v>2585260</v>
      </c>
      <c r="N12" s="817">
        <v>1114690</v>
      </c>
      <c r="O12" s="817">
        <v>472</v>
      </c>
      <c r="P12" s="817">
        <v>2500</v>
      </c>
      <c r="Q12" s="817">
        <v>343</v>
      </c>
      <c r="R12" s="817"/>
      <c r="S12" s="817"/>
      <c r="T12" s="817">
        <v>10</v>
      </c>
      <c r="U12" s="817">
        <v>85</v>
      </c>
      <c r="V12" s="817">
        <v>0.8</v>
      </c>
      <c r="W12" s="817">
        <v>90</v>
      </c>
      <c r="X12" s="817"/>
      <c r="Y12" s="817"/>
      <c r="Z12" s="817">
        <v>0.3</v>
      </c>
      <c r="AA12" s="817">
        <v>15</v>
      </c>
      <c r="AB12" s="817"/>
      <c r="AC12" s="817">
        <v>3287</v>
      </c>
      <c r="AD12" s="817">
        <v>2342</v>
      </c>
      <c r="AE12" s="817"/>
      <c r="AF12" s="817" t="s">
        <v>237</v>
      </c>
      <c r="AG12" s="817">
        <v>0</v>
      </c>
      <c r="AH12" s="817">
        <v>0</v>
      </c>
      <c r="AI12" s="817">
        <v>12</v>
      </c>
      <c r="AJ12" s="817">
        <v>0</v>
      </c>
      <c r="AK12" s="817">
        <v>0</v>
      </c>
      <c r="AL12" s="817">
        <v>12</v>
      </c>
      <c r="AM12" s="817">
        <v>52</v>
      </c>
      <c r="AN12" s="817">
        <v>52</v>
      </c>
      <c r="AO12" s="817">
        <v>24</v>
      </c>
      <c r="AP12" s="817">
        <v>0</v>
      </c>
      <c r="AQ12" s="817">
        <v>0</v>
      </c>
      <c r="AR12" s="817">
        <v>12</v>
      </c>
      <c r="AS12" s="817">
        <v>52</v>
      </c>
      <c r="AT12" s="817">
        <v>52</v>
      </c>
      <c r="AU12" s="817">
        <v>0</v>
      </c>
      <c r="AV12" s="817">
        <v>52</v>
      </c>
      <c r="AW12" s="817">
        <v>52</v>
      </c>
      <c r="AX12" s="817">
        <f t="shared" si="0"/>
        <v>1</v>
      </c>
      <c r="AY12" s="817">
        <v>1</v>
      </c>
      <c r="AZ12" s="817" t="s">
        <v>658</v>
      </c>
      <c r="BA12" s="817">
        <v>1</v>
      </c>
      <c r="BB12" s="817">
        <v>0</v>
      </c>
      <c r="BC12" s="817" t="s">
        <v>496</v>
      </c>
      <c r="BD12" s="817">
        <v>1</v>
      </c>
      <c r="BE12" s="817">
        <v>1</v>
      </c>
      <c r="BF12" s="817">
        <v>2</v>
      </c>
      <c r="BG12" s="817">
        <v>2</v>
      </c>
      <c r="BH12" s="817">
        <v>2</v>
      </c>
      <c r="BI12" s="817">
        <v>1</v>
      </c>
      <c r="BJ12" s="817">
        <v>1</v>
      </c>
      <c r="BK12" s="817">
        <v>1</v>
      </c>
      <c r="BL12" s="817">
        <v>2</v>
      </c>
      <c r="BM12" s="817">
        <v>2</v>
      </c>
      <c r="BN12" s="817">
        <v>1</v>
      </c>
      <c r="BO12" s="817">
        <v>1</v>
      </c>
      <c r="BP12" s="817">
        <v>1</v>
      </c>
      <c r="BQ12" s="817">
        <v>1</v>
      </c>
      <c r="BR12" s="817">
        <v>2</v>
      </c>
      <c r="BS12" s="817">
        <v>1</v>
      </c>
      <c r="BT12" s="817">
        <v>1</v>
      </c>
      <c r="BU12" s="817">
        <v>1</v>
      </c>
      <c r="BV12" s="817">
        <v>1</v>
      </c>
      <c r="BW12" s="817">
        <v>1</v>
      </c>
      <c r="BX12" s="817">
        <v>1</v>
      </c>
      <c r="BY12" s="817">
        <v>1</v>
      </c>
      <c r="BZ12" s="817">
        <v>1</v>
      </c>
      <c r="CA12" s="817">
        <v>1</v>
      </c>
      <c r="CB12" s="817">
        <v>0</v>
      </c>
      <c r="CC12" s="817">
        <v>1</v>
      </c>
      <c r="CD12" s="817">
        <v>3</v>
      </c>
      <c r="CE12" s="817">
        <v>1</v>
      </c>
      <c r="CF12" s="817" t="s">
        <v>497</v>
      </c>
      <c r="CG12" s="817" t="s">
        <v>498</v>
      </c>
      <c r="CH12" s="817">
        <v>2</v>
      </c>
      <c r="CI12" s="817">
        <v>5</v>
      </c>
      <c r="CJ12" s="817">
        <v>5</v>
      </c>
      <c r="CK12" s="817">
        <v>5</v>
      </c>
      <c r="CL12" s="817">
        <v>1</v>
      </c>
      <c r="CM12" s="817">
        <v>1</v>
      </c>
      <c r="CN12" s="817">
        <v>1</v>
      </c>
      <c r="CO12" s="817">
        <v>1</v>
      </c>
      <c r="CP12" s="817">
        <v>45</v>
      </c>
      <c r="CQ12" s="817">
        <v>85</v>
      </c>
      <c r="CR12" s="817">
        <v>52</v>
      </c>
      <c r="CS12" s="817">
        <v>52</v>
      </c>
      <c r="CT12" s="817">
        <v>1</v>
      </c>
      <c r="CU12" s="160"/>
      <c r="CV12" s="160"/>
      <c r="CW12" s="160"/>
      <c r="CX12" s="160"/>
      <c r="CY12" s="160"/>
      <c r="CZ12" s="160"/>
      <c r="DA12" s="160"/>
      <c r="DB12" s="160"/>
      <c r="DC12" s="160"/>
      <c r="DD12" s="160"/>
      <c r="DE12" s="160"/>
      <c r="DF12" s="160"/>
      <c r="DG12" s="160"/>
      <c r="DH12" s="160"/>
      <c r="DI12" s="160"/>
      <c r="DJ12" s="160"/>
      <c r="DK12" s="167"/>
      <c r="DL12" s="766"/>
      <c r="DM12" s="871" t="s">
        <v>83</v>
      </c>
      <c r="DN12" s="871" t="s">
        <v>695</v>
      </c>
      <c r="DO12" s="766"/>
      <c r="DP12" s="766"/>
      <c r="DQ12" s="766"/>
      <c r="DR12" s="766"/>
      <c r="DS12" s="766"/>
      <c r="DT12" s="766"/>
      <c r="DU12" s="766"/>
      <c r="DV12" s="766"/>
      <c r="DW12" s="766"/>
      <c r="DX12" s="766"/>
      <c r="DY12" s="766"/>
      <c r="DZ12" s="766"/>
      <c r="EA12" s="766"/>
      <c r="EB12" s="766"/>
      <c r="EC12" s="766"/>
      <c r="ED12" s="766"/>
      <c r="EE12" s="766"/>
      <c r="EF12" s="766"/>
      <c r="EG12" s="766"/>
      <c r="EH12" s="766"/>
      <c r="EI12" s="766"/>
      <c r="EJ12" s="766"/>
      <c r="EK12" s="766"/>
      <c r="EL12" s="766"/>
      <c r="EM12" s="766"/>
      <c r="EN12" s="766"/>
      <c r="EO12" s="766"/>
      <c r="EP12" s="766"/>
      <c r="EQ12" s="766"/>
      <c r="ER12" s="766"/>
      <c r="ES12" s="766"/>
      <c r="ET12" s="766"/>
      <c r="EU12" s="766"/>
      <c r="EV12" s="766"/>
      <c r="EW12" s="766"/>
      <c r="EX12" s="766"/>
      <c r="EY12" s="766"/>
      <c r="EZ12" s="766"/>
      <c r="FA12" s="766"/>
      <c r="FB12" s="766"/>
      <c r="FC12" s="766"/>
      <c r="FD12" s="766"/>
      <c r="FE12" s="766"/>
      <c r="FF12" s="766"/>
      <c r="FG12" s="766"/>
      <c r="FH12" s="766"/>
      <c r="FI12" s="766"/>
      <c r="FJ12" s="766"/>
      <c r="FK12" s="766"/>
      <c r="FL12" s="766"/>
      <c r="FM12" s="766"/>
      <c r="FN12" s="766"/>
      <c r="FO12" s="766"/>
      <c r="FP12" s="766"/>
      <c r="FQ12" s="766"/>
      <c r="FR12" s="766"/>
      <c r="FS12" s="766"/>
      <c r="FT12" s="766"/>
      <c r="FU12" s="766"/>
      <c r="FV12" s="766"/>
      <c r="FW12" s="766"/>
      <c r="FX12" s="766"/>
      <c r="FY12" s="766"/>
      <c r="FZ12" s="766"/>
      <c r="GA12" s="766"/>
      <c r="GB12" s="766"/>
      <c r="GC12" s="766"/>
      <c r="GD12" s="766"/>
      <c r="GE12" s="766"/>
      <c r="GF12" s="766"/>
      <c r="GG12" s="766"/>
      <c r="GH12" s="766"/>
      <c r="GI12" s="766"/>
      <c r="GJ12" s="766"/>
      <c r="GK12" s="766"/>
      <c r="GL12" s="766"/>
      <c r="GM12" s="766"/>
      <c r="GN12" s="766"/>
      <c r="GO12" s="766"/>
      <c r="GP12" s="766"/>
      <c r="GQ12" s="766"/>
      <c r="GR12" s="766"/>
      <c r="GS12" s="766"/>
      <c r="GT12" s="766"/>
      <c r="GU12" s="766"/>
      <c r="GV12" s="766"/>
      <c r="GW12" s="766"/>
      <c r="GX12" s="766"/>
      <c r="GY12" s="766"/>
      <c r="GZ12" s="766"/>
      <c r="HA12" s="766"/>
      <c r="HB12" s="766"/>
      <c r="HC12" s="766"/>
      <c r="HD12" s="766"/>
      <c r="HE12" s="766"/>
      <c r="HF12" s="766"/>
      <c r="HG12" s="766"/>
      <c r="HH12" s="766"/>
      <c r="HI12" s="766"/>
      <c r="HJ12" s="766"/>
      <c r="HK12" s="766"/>
      <c r="HL12" s="766"/>
      <c r="HM12" s="766"/>
      <c r="HN12" s="766"/>
      <c r="HO12" s="766"/>
      <c r="HP12" s="766"/>
      <c r="HQ12" s="766"/>
      <c r="HR12" s="766"/>
      <c r="HS12" s="766"/>
      <c r="HT12" s="766"/>
      <c r="HU12" s="766"/>
      <c r="HV12" s="766"/>
      <c r="HW12" s="766"/>
      <c r="HX12" s="766"/>
      <c r="HY12" s="766"/>
      <c r="HZ12" s="766"/>
      <c r="IA12" s="766"/>
      <c r="IB12" s="766"/>
      <c r="IC12" s="766"/>
      <c r="ID12" s="766"/>
      <c r="IE12" s="766"/>
      <c r="IF12" s="766"/>
      <c r="IG12" s="766"/>
      <c r="IH12" s="766"/>
      <c r="II12" s="766"/>
      <c r="IJ12" s="766"/>
      <c r="IK12" s="766"/>
      <c r="IL12" s="766"/>
      <c r="IM12" s="766"/>
      <c r="IN12" s="766"/>
      <c r="IO12" s="766"/>
      <c r="IP12" s="766"/>
      <c r="IQ12" s="766"/>
      <c r="IR12" s="766"/>
      <c r="IS12" s="766"/>
    </row>
    <row r="13" spans="1:253" s="92" customFormat="1" ht="13.9" customHeight="1" x14ac:dyDescent="0.2">
      <c r="A13" s="817" t="s">
        <v>244</v>
      </c>
      <c r="B13" s="817" t="s">
        <v>20</v>
      </c>
      <c r="C13" s="817" t="s">
        <v>221</v>
      </c>
      <c r="D13" s="817" t="s">
        <v>222</v>
      </c>
      <c r="E13" s="817">
        <v>3750</v>
      </c>
      <c r="F13" s="817">
        <v>1975</v>
      </c>
      <c r="G13" s="817">
        <v>0</v>
      </c>
      <c r="H13" s="817">
        <v>2556500</v>
      </c>
      <c r="I13" s="817">
        <v>1113950</v>
      </c>
      <c r="J13" s="817">
        <v>925</v>
      </c>
      <c r="K13" s="817" t="s">
        <v>499</v>
      </c>
      <c r="L13" s="817" t="s">
        <v>465</v>
      </c>
      <c r="M13" s="817">
        <v>2556540</v>
      </c>
      <c r="N13" s="817">
        <v>1113950</v>
      </c>
      <c r="O13" s="817">
        <v>920</v>
      </c>
      <c r="P13" s="817">
        <v>1200</v>
      </c>
      <c r="Q13" s="817">
        <v>500</v>
      </c>
      <c r="R13" s="817"/>
      <c r="S13" s="817"/>
      <c r="T13" s="817">
        <v>10</v>
      </c>
      <c r="U13" s="817">
        <v>85</v>
      </c>
      <c r="V13" s="817">
        <v>0.8</v>
      </c>
      <c r="W13" s="817">
        <v>85</v>
      </c>
      <c r="X13" s="817"/>
      <c r="Y13" s="817"/>
      <c r="Z13" s="817">
        <v>0.3</v>
      </c>
      <c r="AA13" s="817">
        <v>20</v>
      </c>
      <c r="AB13" s="817"/>
      <c r="AC13" s="817">
        <v>1162</v>
      </c>
      <c r="AD13" s="817">
        <v>7004</v>
      </c>
      <c r="AE13" s="817"/>
      <c r="AF13" s="817" t="s">
        <v>237</v>
      </c>
      <c r="AG13" s="817">
        <v>0</v>
      </c>
      <c r="AH13" s="817">
        <v>0</v>
      </c>
      <c r="AI13" s="817">
        <v>12</v>
      </c>
      <c r="AJ13" s="817">
        <v>0</v>
      </c>
      <c r="AK13" s="817">
        <v>0</v>
      </c>
      <c r="AL13" s="817">
        <v>12</v>
      </c>
      <c r="AM13" s="817">
        <v>24</v>
      </c>
      <c r="AN13" s="817">
        <v>24</v>
      </c>
      <c r="AO13" s="817">
        <v>24</v>
      </c>
      <c r="AP13" s="817">
        <v>0</v>
      </c>
      <c r="AQ13" s="817">
        <v>0</v>
      </c>
      <c r="AR13" s="817">
        <v>12</v>
      </c>
      <c r="AS13" s="817">
        <v>24</v>
      </c>
      <c r="AT13" s="817">
        <v>24</v>
      </c>
      <c r="AU13" s="817">
        <v>0</v>
      </c>
      <c r="AV13" s="817">
        <v>24</v>
      </c>
      <c r="AW13" s="817">
        <v>52</v>
      </c>
      <c r="AX13" s="817">
        <f t="shared" si="0"/>
        <v>1</v>
      </c>
      <c r="AY13" s="817">
        <v>1</v>
      </c>
      <c r="AZ13" s="817" t="s">
        <v>284</v>
      </c>
      <c r="BA13" s="817">
        <v>1</v>
      </c>
      <c r="BB13" s="817">
        <v>0</v>
      </c>
      <c r="BC13" s="817" t="s">
        <v>500</v>
      </c>
      <c r="BD13" s="817">
        <v>1</v>
      </c>
      <c r="BE13" s="817">
        <v>1</v>
      </c>
      <c r="BF13" s="817">
        <v>2</v>
      </c>
      <c r="BG13" s="817">
        <v>1</v>
      </c>
      <c r="BH13" s="817">
        <v>2</v>
      </c>
      <c r="BI13" s="817">
        <v>1</v>
      </c>
      <c r="BJ13" s="817">
        <v>1</v>
      </c>
      <c r="BK13" s="817">
        <v>4</v>
      </c>
      <c r="BL13" s="817">
        <v>2</v>
      </c>
      <c r="BM13" s="817">
        <v>2</v>
      </c>
      <c r="BN13" s="817">
        <v>1</v>
      </c>
      <c r="BO13" s="817">
        <v>1</v>
      </c>
      <c r="BP13" s="817">
        <v>1</v>
      </c>
      <c r="BQ13" s="817">
        <v>1</v>
      </c>
      <c r="BR13" s="817">
        <v>2</v>
      </c>
      <c r="BS13" s="817">
        <v>1</v>
      </c>
      <c r="BT13" s="817">
        <v>1</v>
      </c>
      <c r="BU13" s="817">
        <v>1</v>
      </c>
      <c r="BV13" s="817">
        <v>1</v>
      </c>
      <c r="BW13" s="817">
        <v>1</v>
      </c>
      <c r="BX13" s="817">
        <v>1</v>
      </c>
      <c r="BY13" s="817">
        <v>1</v>
      </c>
      <c r="BZ13" s="817">
        <v>1</v>
      </c>
      <c r="CA13" s="817">
        <v>1</v>
      </c>
      <c r="CB13" s="817">
        <v>2</v>
      </c>
      <c r="CC13" s="817">
        <v>1</v>
      </c>
      <c r="CD13" s="817">
        <v>1</v>
      </c>
      <c r="CE13" s="817">
        <v>1</v>
      </c>
      <c r="CF13" s="817" t="s">
        <v>501</v>
      </c>
      <c r="CG13" s="817" t="s">
        <v>502</v>
      </c>
      <c r="CH13" s="817">
        <v>1</v>
      </c>
      <c r="CI13" s="817">
        <v>5</v>
      </c>
      <c r="CJ13" s="817">
        <v>5</v>
      </c>
      <c r="CK13" s="817">
        <v>4</v>
      </c>
      <c r="CL13" s="817">
        <v>1</v>
      </c>
      <c r="CM13" s="817">
        <v>1</v>
      </c>
      <c r="CN13" s="817">
        <v>1</v>
      </c>
      <c r="CO13" s="817">
        <v>1</v>
      </c>
      <c r="CP13" s="817">
        <v>60</v>
      </c>
      <c r="CQ13" s="817">
        <v>80</v>
      </c>
      <c r="CR13" s="817">
        <v>24</v>
      </c>
      <c r="CS13" s="817">
        <v>24</v>
      </c>
      <c r="CT13" s="817">
        <v>1</v>
      </c>
      <c r="CU13" s="160"/>
      <c r="CV13" s="160"/>
      <c r="CW13" s="160"/>
      <c r="CX13" s="160"/>
      <c r="CY13" s="160"/>
      <c r="CZ13" s="160"/>
      <c r="DA13" s="160"/>
      <c r="DB13" s="160"/>
      <c r="DC13" s="160"/>
      <c r="DD13" s="160"/>
      <c r="DE13" s="160"/>
      <c r="DF13" s="160"/>
      <c r="DG13" s="160"/>
      <c r="DH13" s="160"/>
      <c r="DI13" s="160"/>
      <c r="DJ13" s="160"/>
      <c r="DK13" s="167"/>
      <c r="DL13" s="766"/>
      <c r="DM13" s="871" t="s">
        <v>696</v>
      </c>
      <c r="DN13" s="871" t="s">
        <v>697</v>
      </c>
      <c r="DO13" s="766"/>
      <c r="DP13" s="766"/>
      <c r="DQ13" s="766"/>
      <c r="DR13" s="766"/>
      <c r="DS13" s="766"/>
      <c r="DT13" s="766"/>
      <c r="DU13" s="766"/>
      <c r="DV13" s="766"/>
      <c r="DW13" s="766"/>
      <c r="DX13" s="766"/>
      <c r="DY13" s="766"/>
      <c r="DZ13" s="766"/>
      <c r="EA13" s="766"/>
      <c r="EB13" s="766"/>
      <c r="EC13" s="766"/>
      <c r="ED13" s="766"/>
      <c r="EE13" s="766"/>
      <c r="EF13" s="766"/>
      <c r="EG13" s="766"/>
      <c r="EH13" s="766"/>
      <c r="EI13" s="766"/>
      <c r="EJ13" s="766"/>
      <c r="EK13" s="766"/>
      <c r="EL13" s="766"/>
      <c r="EM13" s="766"/>
      <c r="EN13" s="766"/>
      <c r="EO13" s="766"/>
      <c r="EP13" s="766"/>
      <c r="EQ13" s="766"/>
      <c r="ER13" s="766"/>
      <c r="ES13" s="766"/>
      <c r="ET13" s="766"/>
      <c r="EU13" s="766"/>
      <c r="EV13" s="766"/>
      <c r="EW13" s="766"/>
      <c r="EX13" s="766"/>
      <c r="EY13" s="766"/>
      <c r="EZ13" s="766"/>
      <c r="FA13" s="766"/>
      <c r="FB13" s="766"/>
      <c r="FC13" s="766"/>
      <c r="FD13" s="766"/>
      <c r="FE13" s="766"/>
      <c r="FF13" s="766"/>
      <c r="FG13" s="766"/>
      <c r="FH13" s="766"/>
      <c r="FI13" s="766"/>
      <c r="FJ13" s="766"/>
      <c r="FK13" s="766"/>
      <c r="FL13" s="766"/>
      <c r="FM13" s="766"/>
      <c r="FN13" s="766"/>
      <c r="FO13" s="766"/>
      <c r="FP13" s="766"/>
      <c r="FQ13" s="766"/>
      <c r="FR13" s="766"/>
      <c r="FS13" s="766"/>
      <c r="FT13" s="766"/>
      <c r="FU13" s="766"/>
      <c r="FV13" s="766"/>
      <c r="FW13" s="766"/>
      <c r="FX13" s="766"/>
      <c r="FY13" s="766"/>
      <c r="FZ13" s="766"/>
      <c r="GA13" s="766"/>
      <c r="GB13" s="766"/>
      <c r="GC13" s="766"/>
      <c r="GD13" s="766"/>
      <c r="GE13" s="766"/>
      <c r="GF13" s="766"/>
      <c r="GG13" s="766"/>
      <c r="GH13" s="766"/>
      <c r="GI13" s="766"/>
      <c r="GJ13" s="766"/>
      <c r="GK13" s="766"/>
      <c r="GL13" s="766"/>
      <c r="GM13" s="766"/>
      <c r="GN13" s="766"/>
      <c r="GO13" s="766"/>
      <c r="GP13" s="766"/>
      <c r="GQ13" s="766"/>
      <c r="GR13" s="766"/>
      <c r="GS13" s="766"/>
      <c r="GT13" s="766"/>
      <c r="GU13" s="766"/>
      <c r="GV13" s="766"/>
      <c r="GW13" s="766"/>
      <c r="GX13" s="766"/>
      <c r="GY13" s="766"/>
      <c r="GZ13" s="766"/>
      <c r="HA13" s="766"/>
      <c r="HB13" s="766"/>
      <c r="HC13" s="766"/>
      <c r="HD13" s="766"/>
      <c r="HE13" s="766"/>
      <c r="HF13" s="766"/>
      <c r="HG13" s="766"/>
      <c r="HH13" s="766"/>
      <c r="HI13" s="766"/>
      <c r="HJ13" s="766"/>
      <c r="HK13" s="766"/>
      <c r="HL13" s="766"/>
      <c r="HM13" s="766"/>
      <c r="HN13" s="766"/>
      <c r="HO13" s="766"/>
      <c r="HP13" s="766"/>
      <c r="HQ13" s="766"/>
      <c r="HR13" s="766"/>
      <c r="HS13" s="766"/>
      <c r="HT13" s="766"/>
      <c r="HU13" s="766"/>
      <c r="HV13" s="766"/>
      <c r="HW13" s="766"/>
      <c r="HX13" s="766"/>
      <c r="HY13" s="766"/>
      <c r="HZ13" s="766"/>
      <c r="IA13" s="766"/>
      <c r="IB13" s="766"/>
      <c r="IC13" s="766"/>
      <c r="ID13" s="766"/>
      <c r="IE13" s="766"/>
      <c r="IF13" s="766"/>
      <c r="IG13" s="766"/>
      <c r="IH13" s="766"/>
      <c r="II13" s="766"/>
      <c r="IJ13" s="766"/>
      <c r="IK13" s="766"/>
      <c r="IL13" s="766"/>
      <c r="IM13" s="766"/>
      <c r="IN13" s="766"/>
      <c r="IO13" s="766"/>
      <c r="IP13" s="766"/>
      <c r="IQ13" s="766"/>
      <c r="IR13" s="766"/>
      <c r="IS13" s="766"/>
    </row>
    <row r="14" spans="1:253" s="92" customFormat="1" x14ac:dyDescent="0.2">
      <c r="A14" s="817" t="s">
        <v>301</v>
      </c>
      <c r="B14" s="817" t="s">
        <v>302</v>
      </c>
      <c r="C14" s="817"/>
      <c r="D14" s="817"/>
      <c r="E14" s="817">
        <v>2125</v>
      </c>
      <c r="F14" s="817">
        <v>1977</v>
      </c>
      <c r="G14" s="817">
        <v>0</v>
      </c>
      <c r="H14" s="817">
        <v>2575975</v>
      </c>
      <c r="I14" s="817">
        <v>1108550</v>
      </c>
      <c r="J14" s="817">
        <v>459</v>
      </c>
      <c r="K14" s="817" t="s">
        <v>503</v>
      </c>
      <c r="L14" s="817" t="s">
        <v>465</v>
      </c>
      <c r="M14" s="817">
        <v>2575975</v>
      </c>
      <c r="N14" s="817">
        <v>1108525</v>
      </c>
      <c r="O14" s="817">
        <v>459</v>
      </c>
      <c r="P14" s="817">
        <v>680</v>
      </c>
      <c r="Q14" s="817"/>
      <c r="R14" s="817"/>
      <c r="S14" s="817"/>
      <c r="T14" s="817">
        <v>10</v>
      </c>
      <c r="U14" s="817">
        <v>85</v>
      </c>
      <c r="V14" s="817">
        <v>0.8</v>
      </c>
      <c r="W14" s="817">
        <v>85</v>
      </c>
      <c r="X14" s="817"/>
      <c r="Y14" s="817"/>
      <c r="Z14" s="817">
        <v>0.3</v>
      </c>
      <c r="AA14" s="817">
        <v>20</v>
      </c>
      <c r="AB14" s="817"/>
      <c r="AC14" s="817">
        <v>0</v>
      </c>
      <c r="AD14" s="817">
        <v>0</v>
      </c>
      <c r="AE14" s="817"/>
      <c r="AF14" s="817" t="s">
        <v>237</v>
      </c>
      <c r="AG14" s="817">
        <v>0</v>
      </c>
      <c r="AH14" s="817">
        <v>0</v>
      </c>
      <c r="AI14" s="817">
        <v>12</v>
      </c>
      <c r="AJ14" s="817">
        <v>0</v>
      </c>
      <c r="AK14" s="817">
        <v>0</v>
      </c>
      <c r="AL14" s="817">
        <v>12</v>
      </c>
      <c r="AM14" s="817">
        <v>24</v>
      </c>
      <c r="AN14" s="817">
        <v>24</v>
      </c>
      <c r="AO14" s="817">
        <v>24</v>
      </c>
      <c r="AP14" s="817">
        <v>0</v>
      </c>
      <c r="AQ14" s="817">
        <v>0</v>
      </c>
      <c r="AR14" s="817">
        <v>12</v>
      </c>
      <c r="AS14" s="817">
        <v>24</v>
      </c>
      <c r="AT14" s="817">
        <v>24</v>
      </c>
      <c r="AU14" s="817">
        <v>0</v>
      </c>
      <c r="AV14" s="817">
        <v>24</v>
      </c>
      <c r="AW14" s="817">
        <v>52</v>
      </c>
      <c r="AX14" s="817">
        <f t="shared" si="0"/>
        <v>1</v>
      </c>
      <c r="AY14" s="817">
        <v>1</v>
      </c>
      <c r="AZ14" s="817" t="s">
        <v>284</v>
      </c>
      <c r="BA14" s="817">
        <v>1</v>
      </c>
      <c r="BB14" s="817">
        <v>0</v>
      </c>
      <c r="BC14" s="817"/>
      <c r="BD14" s="817">
        <v>1</v>
      </c>
      <c r="BE14" s="817">
        <v>1</v>
      </c>
      <c r="BF14" s="817">
        <v>1</v>
      </c>
      <c r="BG14" s="817">
        <v>1</v>
      </c>
      <c r="BH14" s="817">
        <v>1</v>
      </c>
      <c r="BI14" s="817">
        <v>1</v>
      </c>
      <c r="BJ14" s="817">
        <v>1</v>
      </c>
      <c r="BK14" s="817">
        <v>4</v>
      </c>
      <c r="BL14" s="817"/>
      <c r="BM14" s="817">
        <v>1</v>
      </c>
      <c r="BN14" s="817">
        <v>1</v>
      </c>
      <c r="BO14" s="817">
        <v>1</v>
      </c>
      <c r="BP14" s="817">
        <v>1</v>
      </c>
      <c r="BQ14" s="817">
        <v>1</v>
      </c>
      <c r="BR14" s="817">
        <v>1</v>
      </c>
      <c r="BS14" s="817">
        <v>1</v>
      </c>
      <c r="BT14" s="817">
        <v>1</v>
      </c>
      <c r="BU14" s="817">
        <v>1</v>
      </c>
      <c r="BV14" s="817">
        <v>1</v>
      </c>
      <c r="BW14" s="817">
        <v>1</v>
      </c>
      <c r="BX14" s="817">
        <v>1</v>
      </c>
      <c r="BY14" s="817">
        <v>1</v>
      </c>
      <c r="BZ14" s="817">
        <v>1</v>
      </c>
      <c r="CA14" s="817">
        <v>1</v>
      </c>
      <c r="CB14" s="817"/>
      <c r="CC14" s="817">
        <v>1</v>
      </c>
      <c r="CD14" s="817">
        <v>1</v>
      </c>
      <c r="CE14" s="817">
        <v>1</v>
      </c>
      <c r="CF14" s="817"/>
      <c r="CG14" s="817"/>
      <c r="CH14" s="817"/>
      <c r="CI14" s="817">
        <v>5</v>
      </c>
      <c r="CJ14" s="817">
        <v>5</v>
      </c>
      <c r="CK14" s="817"/>
      <c r="CL14" s="817">
        <v>1</v>
      </c>
      <c r="CM14" s="817">
        <v>1</v>
      </c>
      <c r="CN14" s="817">
        <v>0</v>
      </c>
      <c r="CO14" s="817">
        <v>1</v>
      </c>
      <c r="CP14" s="817"/>
      <c r="CQ14" s="817"/>
      <c r="CR14" s="817">
        <v>24</v>
      </c>
      <c r="CS14" s="817">
        <v>24</v>
      </c>
      <c r="CT14" s="817">
        <v>0</v>
      </c>
      <c r="CU14" s="160"/>
      <c r="CV14" s="160"/>
      <c r="CW14" s="160"/>
      <c r="CX14" s="160"/>
      <c r="CY14" s="160"/>
      <c r="CZ14" s="160"/>
      <c r="DA14" s="160"/>
      <c r="DB14" s="160"/>
      <c r="DC14" s="160"/>
      <c r="DD14" s="160"/>
      <c r="DE14" s="160"/>
      <c r="DF14" s="160"/>
      <c r="DG14" s="160"/>
      <c r="DH14" s="160"/>
      <c r="DI14" s="160"/>
      <c r="DJ14" s="160"/>
      <c r="DK14" s="167"/>
      <c r="DL14" s="95"/>
      <c r="DM14" s="871" t="s">
        <v>301</v>
      </c>
      <c r="DN14" s="871"/>
      <c r="DO14" s="766"/>
      <c r="DP14" s="766"/>
      <c r="DQ14" s="766"/>
      <c r="DR14" s="766"/>
      <c r="DS14" s="766"/>
      <c r="DT14" s="766"/>
      <c r="DU14" s="766"/>
      <c r="DV14" s="766"/>
      <c r="DW14" s="766"/>
      <c r="DX14" s="766"/>
      <c r="DY14" s="766"/>
      <c r="DZ14" s="766"/>
      <c r="EA14" s="766"/>
      <c r="EB14" s="766"/>
      <c r="EC14" s="766"/>
      <c r="ED14" s="766"/>
      <c r="EE14" s="766"/>
      <c r="EF14" s="766"/>
      <c r="EG14" s="766"/>
      <c r="EH14" s="766"/>
      <c r="EI14" s="766"/>
      <c r="EJ14" s="766"/>
      <c r="EK14" s="766"/>
      <c r="EL14" s="766"/>
      <c r="EM14" s="766"/>
      <c r="EN14" s="766"/>
      <c r="EO14" s="766"/>
      <c r="EP14" s="766"/>
      <c r="EQ14" s="766"/>
      <c r="ER14" s="766"/>
      <c r="ES14" s="766"/>
      <c r="ET14" s="766"/>
      <c r="EU14" s="766"/>
      <c r="EV14" s="766"/>
      <c r="EW14" s="766"/>
      <c r="EX14" s="766"/>
      <c r="EY14" s="766"/>
      <c r="EZ14" s="766"/>
      <c r="FA14" s="766"/>
      <c r="FB14" s="766"/>
      <c r="FC14" s="766"/>
      <c r="FD14" s="766"/>
      <c r="FE14" s="766"/>
      <c r="FF14" s="766"/>
      <c r="FG14" s="766"/>
      <c r="FH14" s="766"/>
      <c r="FI14" s="766"/>
      <c r="FJ14" s="766"/>
      <c r="FK14" s="766"/>
      <c r="FL14" s="766"/>
      <c r="FM14" s="766"/>
      <c r="FN14" s="766"/>
      <c r="FO14" s="766"/>
      <c r="FP14" s="766"/>
      <c r="FQ14" s="766"/>
      <c r="FR14" s="766"/>
      <c r="FS14" s="766"/>
      <c r="FT14" s="766"/>
      <c r="FU14" s="766"/>
      <c r="FV14" s="766"/>
      <c r="FW14" s="766"/>
      <c r="FX14" s="766"/>
      <c r="FY14" s="766"/>
      <c r="FZ14" s="766"/>
      <c r="GA14" s="766"/>
      <c r="GB14" s="766"/>
      <c r="GC14" s="766"/>
      <c r="GD14" s="766"/>
      <c r="GE14" s="766"/>
      <c r="GF14" s="766"/>
      <c r="GG14" s="766"/>
      <c r="GH14" s="766"/>
      <c r="GI14" s="766"/>
      <c r="GJ14" s="766"/>
      <c r="GK14" s="766"/>
      <c r="GL14" s="766"/>
      <c r="GM14" s="766"/>
      <c r="GN14" s="766"/>
      <c r="GO14" s="766"/>
      <c r="GP14" s="766"/>
      <c r="GQ14" s="766"/>
      <c r="GR14" s="766"/>
      <c r="GS14" s="766"/>
      <c r="GT14" s="766"/>
      <c r="GU14" s="766"/>
      <c r="GV14" s="766"/>
      <c r="GW14" s="766"/>
      <c r="GX14" s="766"/>
      <c r="GY14" s="766"/>
      <c r="GZ14" s="766"/>
      <c r="HA14" s="766"/>
      <c r="HB14" s="766"/>
      <c r="HC14" s="766"/>
      <c r="HD14" s="766"/>
      <c r="HE14" s="766"/>
      <c r="HF14" s="766"/>
      <c r="HG14" s="766"/>
      <c r="HH14" s="766"/>
      <c r="HI14" s="766"/>
      <c r="HJ14" s="766"/>
      <c r="HK14" s="766"/>
      <c r="HL14" s="766"/>
      <c r="HM14" s="766"/>
      <c r="HN14" s="766"/>
      <c r="HO14" s="766"/>
      <c r="HP14" s="766"/>
      <c r="HQ14" s="766"/>
      <c r="HR14" s="766"/>
      <c r="HS14" s="766"/>
      <c r="HT14" s="766"/>
      <c r="HU14" s="766"/>
      <c r="HV14" s="766"/>
      <c r="HW14" s="766"/>
      <c r="HX14" s="766"/>
      <c r="HY14" s="766"/>
      <c r="HZ14" s="766"/>
      <c r="IA14" s="766"/>
      <c r="IB14" s="766"/>
      <c r="IC14" s="766"/>
      <c r="ID14" s="766"/>
      <c r="IE14" s="766"/>
      <c r="IF14" s="766"/>
      <c r="IG14" s="766"/>
      <c r="IH14" s="766"/>
      <c r="II14" s="766"/>
      <c r="IJ14" s="766"/>
      <c r="IK14" s="766"/>
      <c r="IL14" s="766"/>
      <c r="IM14" s="766"/>
      <c r="IN14" s="766"/>
      <c r="IO14" s="766"/>
      <c r="IP14" s="766"/>
      <c r="IQ14" s="766"/>
      <c r="IR14" s="766"/>
      <c r="IS14" s="766"/>
    </row>
    <row r="15" spans="1:253" s="92" customFormat="1" x14ac:dyDescent="0.2">
      <c r="A15" s="817" t="s">
        <v>245</v>
      </c>
      <c r="B15" s="817" t="s">
        <v>28</v>
      </c>
      <c r="C15" s="817" t="s">
        <v>774</v>
      </c>
      <c r="D15" s="817" t="s">
        <v>483</v>
      </c>
      <c r="E15" s="817">
        <v>355</v>
      </c>
      <c r="F15" s="817">
        <v>1981</v>
      </c>
      <c r="G15" s="817">
        <v>0</v>
      </c>
      <c r="H15" s="817">
        <v>2579390</v>
      </c>
      <c r="I15" s="817">
        <v>1079740</v>
      </c>
      <c r="J15" s="817">
        <v>2450</v>
      </c>
      <c r="K15" s="817" t="s">
        <v>484</v>
      </c>
      <c r="L15" s="817" t="s">
        <v>475</v>
      </c>
      <c r="M15" s="817">
        <v>2579415</v>
      </c>
      <c r="N15" s="817">
        <v>1079740</v>
      </c>
      <c r="O15" s="817">
        <v>2430</v>
      </c>
      <c r="P15" s="817">
        <v>50</v>
      </c>
      <c r="Q15" s="817"/>
      <c r="R15" s="817"/>
      <c r="S15" s="817"/>
      <c r="T15" s="817"/>
      <c r="U15" s="817"/>
      <c r="V15" s="817">
        <v>0.8</v>
      </c>
      <c r="W15" s="817">
        <v>80</v>
      </c>
      <c r="X15" s="817"/>
      <c r="Y15" s="817"/>
      <c r="Z15" s="817">
        <v>0.3</v>
      </c>
      <c r="AA15" s="817">
        <v>20</v>
      </c>
      <c r="AB15" s="817"/>
      <c r="AC15" s="817">
        <v>23</v>
      </c>
      <c r="AD15" s="817">
        <v>200</v>
      </c>
      <c r="AE15" s="817"/>
      <c r="AF15" s="817" t="s">
        <v>479</v>
      </c>
      <c r="AG15" s="817">
        <v>0</v>
      </c>
      <c r="AH15" s="817">
        <v>0</v>
      </c>
      <c r="AI15" s="817">
        <v>0</v>
      </c>
      <c r="AJ15" s="817">
        <v>0</v>
      </c>
      <c r="AK15" s="817">
        <v>0</v>
      </c>
      <c r="AL15" s="817">
        <v>0</v>
      </c>
      <c r="AM15" s="817">
        <v>0</v>
      </c>
      <c r="AN15" s="817">
        <v>4</v>
      </c>
      <c r="AO15" s="817">
        <v>4</v>
      </c>
      <c r="AP15" s="817">
        <v>0</v>
      </c>
      <c r="AQ15" s="817">
        <v>0</v>
      </c>
      <c r="AR15" s="817">
        <v>4</v>
      </c>
      <c r="AS15" s="817">
        <v>4</v>
      </c>
      <c r="AT15" s="817">
        <v>4</v>
      </c>
      <c r="AU15" s="817">
        <v>0</v>
      </c>
      <c r="AV15" s="817">
        <v>4</v>
      </c>
      <c r="AW15" s="817">
        <v>4</v>
      </c>
      <c r="AX15" s="817">
        <f t="shared" si="0"/>
        <v>0</v>
      </c>
      <c r="AY15" s="817">
        <v>1</v>
      </c>
      <c r="AZ15" s="817" t="s">
        <v>284</v>
      </c>
      <c r="BA15" s="817">
        <v>1</v>
      </c>
      <c r="BB15" s="817">
        <v>0</v>
      </c>
      <c r="BC15" s="817" t="s">
        <v>504</v>
      </c>
      <c r="BD15" s="817">
        <v>1</v>
      </c>
      <c r="BE15" s="817">
        <v>1</v>
      </c>
      <c r="BF15" s="817">
        <v>1</v>
      </c>
      <c r="BG15" s="817">
        <v>1</v>
      </c>
      <c r="BH15" s="817">
        <v>1</v>
      </c>
      <c r="BI15" s="817">
        <v>1</v>
      </c>
      <c r="BJ15" s="817">
        <v>1</v>
      </c>
      <c r="BK15" s="817">
        <v>1</v>
      </c>
      <c r="BL15" s="817"/>
      <c r="BM15" s="817">
        <v>1</v>
      </c>
      <c r="BN15" s="817">
        <v>1</v>
      </c>
      <c r="BO15" s="817">
        <v>1</v>
      </c>
      <c r="BP15" s="817">
        <v>1</v>
      </c>
      <c r="BQ15" s="817">
        <v>1</v>
      </c>
      <c r="BR15" s="817">
        <v>1</v>
      </c>
      <c r="BS15" s="817">
        <v>1</v>
      </c>
      <c r="BT15" s="817">
        <v>1</v>
      </c>
      <c r="BU15" s="817">
        <v>1</v>
      </c>
      <c r="BV15" s="817">
        <v>1</v>
      </c>
      <c r="BW15" s="817">
        <v>1</v>
      </c>
      <c r="BX15" s="817">
        <v>1</v>
      </c>
      <c r="BY15" s="817">
        <v>1</v>
      </c>
      <c r="BZ15" s="817">
        <v>1</v>
      </c>
      <c r="CA15" s="817">
        <v>1</v>
      </c>
      <c r="CB15" s="817">
        <v>1</v>
      </c>
      <c r="CC15" s="817">
        <v>1</v>
      </c>
      <c r="CD15" s="817">
        <v>1</v>
      </c>
      <c r="CE15" s="817">
        <v>1</v>
      </c>
      <c r="CF15" s="817" t="s">
        <v>476</v>
      </c>
      <c r="CG15" s="817" t="s">
        <v>477</v>
      </c>
      <c r="CH15" s="817"/>
      <c r="CI15" s="817">
        <v>5</v>
      </c>
      <c r="CJ15" s="817">
        <v>5</v>
      </c>
      <c r="CK15" s="817"/>
      <c r="CL15" s="817">
        <v>1</v>
      </c>
      <c r="CM15" s="817">
        <v>1</v>
      </c>
      <c r="CN15" s="817">
        <v>1</v>
      </c>
      <c r="CO15" s="817">
        <v>1</v>
      </c>
      <c r="CP15" s="817">
        <v>60</v>
      </c>
      <c r="CQ15" s="817">
        <v>80</v>
      </c>
      <c r="CR15" s="817">
        <v>4</v>
      </c>
      <c r="CS15" s="817">
        <v>4</v>
      </c>
      <c r="CT15" s="817">
        <v>0</v>
      </c>
      <c r="CU15" s="160"/>
      <c r="CV15" s="160"/>
      <c r="CW15" s="160"/>
      <c r="CX15" s="160"/>
      <c r="CY15" s="160"/>
      <c r="CZ15" s="160"/>
      <c r="DA15" s="160"/>
      <c r="DB15" s="160"/>
      <c r="DC15" s="160"/>
      <c r="DD15" s="160"/>
      <c r="DE15" s="160"/>
      <c r="DF15" s="160"/>
      <c r="DG15" s="160"/>
      <c r="DH15" s="160"/>
      <c r="DI15" s="160"/>
      <c r="DJ15" s="160"/>
      <c r="DK15" s="167"/>
      <c r="DL15" s="766"/>
      <c r="DM15" s="871" t="s">
        <v>245</v>
      </c>
      <c r="DN15" s="871" t="s">
        <v>698</v>
      </c>
      <c r="DO15" s="766"/>
      <c r="DP15" s="766"/>
      <c r="DQ15" s="766"/>
      <c r="DR15" s="766"/>
      <c r="DS15" s="766"/>
      <c r="DT15" s="766"/>
      <c r="DU15" s="766"/>
      <c r="DV15" s="766"/>
      <c r="DW15" s="766"/>
      <c r="DX15" s="766"/>
      <c r="DY15" s="766"/>
      <c r="DZ15" s="766"/>
      <c r="EA15" s="766"/>
      <c r="EB15" s="766"/>
      <c r="EC15" s="766"/>
      <c r="ED15" s="766"/>
      <c r="EE15" s="766"/>
      <c r="EF15" s="766"/>
      <c r="EG15" s="766"/>
      <c r="EH15" s="766"/>
      <c r="EI15" s="766"/>
      <c r="EJ15" s="766"/>
      <c r="EK15" s="766"/>
      <c r="EL15" s="766"/>
      <c r="EM15" s="766"/>
      <c r="EN15" s="766"/>
      <c r="EO15" s="766"/>
      <c r="EP15" s="766"/>
      <c r="EQ15" s="766"/>
      <c r="ER15" s="766"/>
      <c r="ES15" s="766"/>
      <c r="ET15" s="766"/>
      <c r="EU15" s="766"/>
      <c r="EV15" s="766"/>
      <c r="EW15" s="766"/>
      <c r="EX15" s="766"/>
      <c r="EY15" s="766"/>
      <c r="EZ15" s="766"/>
      <c r="FA15" s="766"/>
      <c r="FB15" s="766"/>
      <c r="FC15" s="766"/>
      <c r="FD15" s="766"/>
      <c r="FE15" s="766"/>
      <c r="FF15" s="766"/>
      <c r="FG15" s="766"/>
      <c r="FH15" s="766"/>
      <c r="FI15" s="766"/>
      <c r="FJ15" s="766"/>
      <c r="FK15" s="766"/>
      <c r="FL15" s="766"/>
      <c r="FM15" s="766"/>
      <c r="FN15" s="766"/>
      <c r="FO15" s="766"/>
      <c r="FP15" s="766"/>
      <c r="FQ15" s="766"/>
      <c r="FR15" s="766"/>
      <c r="FS15" s="766"/>
      <c r="FT15" s="766"/>
      <c r="FU15" s="766"/>
      <c r="FV15" s="766"/>
      <c r="FW15" s="766"/>
      <c r="FX15" s="766"/>
      <c r="FY15" s="766"/>
      <c r="FZ15" s="766"/>
      <c r="GA15" s="766"/>
      <c r="GB15" s="766"/>
      <c r="GC15" s="766"/>
      <c r="GD15" s="766"/>
      <c r="GE15" s="766"/>
      <c r="GF15" s="766"/>
      <c r="GG15" s="766"/>
      <c r="GH15" s="766"/>
      <c r="GI15" s="766"/>
      <c r="GJ15" s="766"/>
      <c r="GK15" s="766"/>
      <c r="GL15" s="766"/>
      <c r="GM15" s="766"/>
      <c r="GN15" s="766"/>
      <c r="GO15" s="766"/>
      <c r="GP15" s="766"/>
      <c r="GQ15" s="766"/>
      <c r="GR15" s="766"/>
      <c r="GS15" s="766"/>
      <c r="GT15" s="766"/>
      <c r="GU15" s="766"/>
      <c r="GV15" s="766"/>
      <c r="GW15" s="766"/>
      <c r="GX15" s="766"/>
      <c r="GY15" s="766"/>
      <c r="GZ15" s="766"/>
      <c r="HA15" s="766"/>
      <c r="HB15" s="766"/>
      <c r="HC15" s="766"/>
      <c r="HD15" s="766"/>
      <c r="HE15" s="766"/>
      <c r="HF15" s="766"/>
      <c r="HG15" s="766"/>
      <c r="HH15" s="766"/>
      <c r="HI15" s="766"/>
      <c r="HJ15" s="766"/>
      <c r="HK15" s="766"/>
      <c r="HL15" s="766"/>
      <c r="HM15" s="766"/>
      <c r="HN15" s="766"/>
      <c r="HO15" s="766"/>
      <c r="HP15" s="766"/>
      <c r="HQ15" s="766"/>
      <c r="HR15" s="766"/>
      <c r="HS15" s="766"/>
      <c r="HT15" s="766"/>
      <c r="HU15" s="766"/>
      <c r="HV15" s="766"/>
      <c r="HW15" s="766"/>
      <c r="HX15" s="766"/>
      <c r="HY15" s="766"/>
      <c r="HZ15" s="766"/>
      <c r="IA15" s="766"/>
      <c r="IB15" s="766"/>
      <c r="IC15" s="766"/>
      <c r="ID15" s="766"/>
      <c r="IE15" s="766"/>
      <c r="IF15" s="766"/>
      <c r="IG15" s="766"/>
      <c r="IH15" s="766"/>
      <c r="II15" s="766"/>
      <c r="IJ15" s="766"/>
      <c r="IK15" s="766"/>
      <c r="IL15" s="766"/>
      <c r="IM15" s="766"/>
      <c r="IN15" s="766"/>
      <c r="IO15" s="766"/>
      <c r="IP15" s="766"/>
      <c r="IQ15" s="766"/>
      <c r="IR15" s="766"/>
      <c r="IS15" s="766"/>
    </row>
    <row r="16" spans="1:253" s="92" customFormat="1" x14ac:dyDescent="0.2">
      <c r="A16" s="817" t="s">
        <v>505</v>
      </c>
      <c r="B16" s="817" t="s">
        <v>506</v>
      </c>
      <c r="C16" s="817" t="s">
        <v>507</v>
      </c>
      <c r="D16" s="817" t="s">
        <v>508</v>
      </c>
      <c r="E16" s="817">
        <v>500</v>
      </c>
      <c r="F16" s="817">
        <v>0</v>
      </c>
      <c r="G16" s="817">
        <v>0</v>
      </c>
      <c r="H16" s="817">
        <v>2560750</v>
      </c>
      <c r="I16" s="817">
        <v>1129250</v>
      </c>
      <c r="J16" s="817">
        <v>384</v>
      </c>
      <c r="K16" s="817" t="s">
        <v>509</v>
      </c>
      <c r="L16" s="817" t="s">
        <v>510</v>
      </c>
      <c r="M16" s="817">
        <v>2560725</v>
      </c>
      <c r="N16" s="817">
        <v>1129275</v>
      </c>
      <c r="O16" s="817">
        <v>383</v>
      </c>
      <c r="P16" s="817">
        <v>150</v>
      </c>
      <c r="Q16" s="817">
        <v>48</v>
      </c>
      <c r="R16" s="817"/>
      <c r="S16" s="817"/>
      <c r="T16" s="817"/>
      <c r="U16" s="817"/>
      <c r="V16" s="817">
        <v>0.8</v>
      </c>
      <c r="W16" s="817">
        <v>80</v>
      </c>
      <c r="X16" s="817">
        <v>2</v>
      </c>
      <c r="Y16" s="817">
        <v>90</v>
      </c>
      <c r="Z16" s="817">
        <v>0.3</v>
      </c>
      <c r="AA16" s="817">
        <v>20</v>
      </c>
      <c r="AB16" s="817"/>
      <c r="AC16" s="817">
        <v>0</v>
      </c>
      <c r="AD16" s="817">
        <v>0</v>
      </c>
      <c r="AE16" s="817"/>
      <c r="AF16" s="817" t="s">
        <v>479</v>
      </c>
      <c r="AG16" s="817">
        <v>0</v>
      </c>
      <c r="AH16" s="817">
        <v>0</v>
      </c>
      <c r="AI16" s="817">
        <v>0</v>
      </c>
      <c r="AJ16" s="817">
        <v>0</v>
      </c>
      <c r="AK16" s="817">
        <v>0</v>
      </c>
      <c r="AL16" s="817">
        <v>0</v>
      </c>
      <c r="AM16" s="817">
        <v>0</v>
      </c>
      <c r="AN16" s="817">
        <v>12</v>
      </c>
      <c r="AO16" s="817">
        <v>12</v>
      </c>
      <c r="AP16" s="817">
        <v>0</v>
      </c>
      <c r="AQ16" s="817">
        <v>0</v>
      </c>
      <c r="AR16" s="817">
        <v>12</v>
      </c>
      <c r="AS16" s="817">
        <v>12</v>
      </c>
      <c r="AT16" s="817">
        <v>12</v>
      </c>
      <c r="AU16" s="817">
        <v>0</v>
      </c>
      <c r="AV16" s="817">
        <v>12</v>
      </c>
      <c r="AW16" s="817">
        <v>12</v>
      </c>
      <c r="AX16" s="817">
        <f t="shared" si="0"/>
        <v>0</v>
      </c>
      <c r="AY16" s="817">
        <v>1</v>
      </c>
      <c r="AZ16" s="817" t="s">
        <v>284</v>
      </c>
      <c r="BA16" s="817">
        <v>1</v>
      </c>
      <c r="BB16" s="817">
        <v>0</v>
      </c>
      <c r="BC16" s="817"/>
      <c r="BD16" s="817">
        <v>2</v>
      </c>
      <c r="BE16" s="817">
        <v>1</v>
      </c>
      <c r="BF16" s="817">
        <v>2</v>
      </c>
      <c r="BG16" s="817">
        <v>2</v>
      </c>
      <c r="BH16" s="817">
        <v>2</v>
      </c>
      <c r="BI16" s="817">
        <v>1</v>
      </c>
      <c r="BJ16" s="817">
        <v>1</v>
      </c>
      <c r="BK16" s="817">
        <v>1</v>
      </c>
      <c r="BL16" s="817">
        <v>1</v>
      </c>
      <c r="BM16" s="817">
        <v>1</v>
      </c>
      <c r="BN16" s="817">
        <v>1</v>
      </c>
      <c r="BO16" s="817">
        <v>1</v>
      </c>
      <c r="BP16" s="817">
        <v>1</v>
      </c>
      <c r="BQ16" s="817">
        <v>1</v>
      </c>
      <c r="BR16" s="817">
        <v>2</v>
      </c>
      <c r="BS16" s="817">
        <v>1</v>
      </c>
      <c r="BT16" s="817">
        <v>1</v>
      </c>
      <c r="BU16" s="817">
        <v>1</v>
      </c>
      <c r="BV16" s="817">
        <v>1</v>
      </c>
      <c r="BW16" s="817">
        <v>1</v>
      </c>
      <c r="BX16" s="817">
        <v>1</v>
      </c>
      <c r="BY16" s="817">
        <v>1</v>
      </c>
      <c r="BZ16" s="817">
        <v>1</v>
      </c>
      <c r="CA16" s="817">
        <v>1</v>
      </c>
      <c r="CB16" s="817">
        <v>2</v>
      </c>
      <c r="CC16" s="817">
        <v>1</v>
      </c>
      <c r="CD16" s="817">
        <v>1</v>
      </c>
      <c r="CE16" s="817">
        <v>1</v>
      </c>
      <c r="CF16" s="817" t="s">
        <v>511</v>
      </c>
      <c r="CG16" s="817" t="s">
        <v>512</v>
      </c>
      <c r="CH16" s="817">
        <v>1</v>
      </c>
      <c r="CI16" s="817">
        <v>5</v>
      </c>
      <c r="CJ16" s="817">
        <v>5</v>
      </c>
      <c r="CK16" s="817"/>
      <c r="CL16" s="817">
        <v>1</v>
      </c>
      <c r="CM16" s="817">
        <v>1</v>
      </c>
      <c r="CN16" s="817">
        <v>0</v>
      </c>
      <c r="CO16" s="817">
        <v>1</v>
      </c>
      <c r="CP16" s="817"/>
      <c r="CQ16" s="817"/>
      <c r="CR16" s="817">
        <v>12</v>
      </c>
      <c r="CS16" s="817">
        <v>12</v>
      </c>
      <c r="CT16" s="817">
        <v>0</v>
      </c>
      <c r="CU16" s="160"/>
      <c r="CV16" s="160"/>
      <c r="CW16" s="160"/>
      <c r="CX16" s="160"/>
      <c r="CY16" s="160"/>
      <c r="CZ16" s="160"/>
      <c r="DA16" s="160"/>
      <c r="DB16" s="160"/>
      <c r="DC16" s="160"/>
      <c r="DD16" s="160"/>
      <c r="DE16" s="160"/>
      <c r="DF16" s="160"/>
      <c r="DG16" s="160"/>
      <c r="DH16" s="160"/>
      <c r="DI16" s="160"/>
      <c r="DJ16" s="160"/>
      <c r="DK16" s="167"/>
      <c r="DL16" s="766"/>
      <c r="DM16" s="871" t="s">
        <v>505</v>
      </c>
      <c r="DN16" s="871"/>
      <c r="DO16" s="766"/>
      <c r="DP16" s="766"/>
      <c r="DQ16" s="766"/>
      <c r="DR16" s="766"/>
      <c r="DS16" s="766"/>
      <c r="DT16" s="766"/>
      <c r="DU16" s="766"/>
      <c r="DV16" s="766"/>
      <c r="DW16" s="766"/>
      <c r="DX16" s="766"/>
      <c r="DY16" s="766"/>
      <c r="DZ16" s="766"/>
      <c r="EA16" s="766"/>
      <c r="EB16" s="766"/>
      <c r="EC16" s="766"/>
      <c r="ED16" s="766"/>
      <c r="EE16" s="766"/>
      <c r="EF16" s="766"/>
      <c r="EG16" s="766"/>
      <c r="EH16" s="766"/>
      <c r="EI16" s="766"/>
      <c r="EJ16" s="766"/>
      <c r="EK16" s="766"/>
      <c r="EL16" s="766"/>
      <c r="EM16" s="766"/>
      <c r="EN16" s="766"/>
      <c r="EO16" s="766"/>
      <c r="EP16" s="766"/>
      <c r="EQ16" s="766"/>
      <c r="ER16" s="766"/>
      <c r="ES16" s="766"/>
      <c r="ET16" s="766"/>
      <c r="EU16" s="766"/>
      <c r="EV16" s="766"/>
      <c r="EW16" s="766"/>
      <c r="EX16" s="766"/>
      <c r="EY16" s="766"/>
      <c r="EZ16" s="766"/>
      <c r="FA16" s="766"/>
      <c r="FB16" s="766"/>
      <c r="FC16" s="766"/>
      <c r="FD16" s="766"/>
      <c r="FE16" s="766"/>
      <c r="FF16" s="766"/>
      <c r="FG16" s="766"/>
      <c r="FH16" s="766"/>
      <c r="FI16" s="766"/>
      <c r="FJ16" s="766"/>
      <c r="FK16" s="766"/>
      <c r="FL16" s="766"/>
      <c r="FM16" s="766"/>
      <c r="FN16" s="766"/>
      <c r="FO16" s="766"/>
      <c r="FP16" s="766"/>
      <c r="FQ16" s="766"/>
      <c r="FR16" s="766"/>
      <c r="FS16" s="766"/>
      <c r="FT16" s="766"/>
      <c r="FU16" s="766"/>
      <c r="FV16" s="766"/>
      <c r="FW16" s="766"/>
      <c r="FX16" s="766"/>
      <c r="FY16" s="766"/>
      <c r="FZ16" s="766"/>
      <c r="GA16" s="766"/>
      <c r="GB16" s="766"/>
      <c r="GC16" s="766"/>
      <c r="GD16" s="766"/>
      <c r="GE16" s="766"/>
      <c r="GF16" s="766"/>
      <c r="GG16" s="766"/>
      <c r="GH16" s="766"/>
      <c r="GI16" s="766"/>
      <c r="GJ16" s="766"/>
      <c r="GK16" s="766"/>
      <c r="GL16" s="766"/>
      <c r="GM16" s="766"/>
      <c r="GN16" s="766"/>
      <c r="GO16" s="766"/>
      <c r="GP16" s="766"/>
      <c r="GQ16" s="766"/>
      <c r="GR16" s="766"/>
      <c r="GS16" s="766"/>
      <c r="GT16" s="766"/>
      <c r="GU16" s="766"/>
      <c r="GV16" s="766"/>
      <c r="GW16" s="766"/>
      <c r="GX16" s="766"/>
      <c r="GY16" s="766"/>
      <c r="GZ16" s="766"/>
      <c r="HA16" s="766"/>
      <c r="HB16" s="766"/>
      <c r="HC16" s="766"/>
      <c r="HD16" s="766"/>
      <c r="HE16" s="766"/>
      <c r="HF16" s="766"/>
      <c r="HG16" s="766"/>
      <c r="HH16" s="766"/>
      <c r="HI16" s="766"/>
      <c r="HJ16" s="766"/>
      <c r="HK16" s="766"/>
      <c r="HL16" s="766"/>
      <c r="HM16" s="766"/>
      <c r="HN16" s="766"/>
      <c r="HO16" s="766"/>
      <c r="HP16" s="766"/>
      <c r="HQ16" s="766"/>
      <c r="HR16" s="766"/>
      <c r="HS16" s="766"/>
      <c r="HT16" s="766"/>
      <c r="HU16" s="766"/>
      <c r="HV16" s="766"/>
      <c r="HW16" s="766"/>
      <c r="HX16" s="766"/>
      <c r="HY16" s="766"/>
      <c r="HZ16" s="766"/>
      <c r="IA16" s="766"/>
      <c r="IB16" s="766"/>
      <c r="IC16" s="766"/>
      <c r="ID16" s="766"/>
      <c r="IE16" s="766"/>
      <c r="IF16" s="766"/>
      <c r="IG16" s="766"/>
      <c r="IH16" s="766"/>
      <c r="II16" s="766"/>
      <c r="IJ16" s="766"/>
      <c r="IK16" s="766"/>
      <c r="IL16" s="766"/>
      <c r="IM16" s="766"/>
      <c r="IN16" s="766"/>
      <c r="IO16" s="766"/>
      <c r="IP16" s="766"/>
      <c r="IQ16" s="766"/>
      <c r="IR16" s="766"/>
      <c r="IS16" s="766"/>
    </row>
    <row r="17" spans="1:253" s="92" customFormat="1" x14ac:dyDescent="0.2">
      <c r="A17" s="817" t="s">
        <v>87</v>
      </c>
      <c r="B17" s="817" t="s">
        <v>21</v>
      </c>
      <c r="C17" s="817" t="s">
        <v>507</v>
      </c>
      <c r="D17" s="817" t="s">
        <v>508</v>
      </c>
      <c r="E17" s="817">
        <v>15000</v>
      </c>
      <c r="F17" s="817">
        <v>1978</v>
      </c>
      <c r="G17" s="817">
        <v>1997</v>
      </c>
      <c r="H17" s="817">
        <v>2561700</v>
      </c>
      <c r="I17" s="817">
        <v>1126200</v>
      </c>
      <c r="J17" s="817">
        <v>386</v>
      </c>
      <c r="K17" s="817" t="s">
        <v>513</v>
      </c>
      <c r="L17" s="817" t="s">
        <v>510</v>
      </c>
      <c r="M17" s="817">
        <v>2561725</v>
      </c>
      <c r="N17" s="817">
        <v>1126270</v>
      </c>
      <c r="O17" s="817">
        <v>385</v>
      </c>
      <c r="P17" s="817">
        <v>2600</v>
      </c>
      <c r="Q17" s="817">
        <v>1142</v>
      </c>
      <c r="R17" s="817"/>
      <c r="S17" s="817"/>
      <c r="T17" s="817">
        <v>10</v>
      </c>
      <c r="U17" s="817">
        <v>85</v>
      </c>
      <c r="V17" s="817">
        <v>0.8</v>
      </c>
      <c r="W17" s="817">
        <v>85</v>
      </c>
      <c r="X17" s="817">
        <v>3.5</v>
      </c>
      <c r="Y17" s="817">
        <v>90</v>
      </c>
      <c r="Z17" s="817">
        <v>0.3</v>
      </c>
      <c r="AA17" s="817">
        <v>20</v>
      </c>
      <c r="AB17" s="817"/>
      <c r="AC17" s="817">
        <v>7310</v>
      </c>
      <c r="AD17" s="817">
        <v>21</v>
      </c>
      <c r="AE17" s="817"/>
      <c r="AF17" s="817" t="s">
        <v>237</v>
      </c>
      <c r="AG17" s="817">
        <v>0</v>
      </c>
      <c r="AH17" s="817">
        <v>0</v>
      </c>
      <c r="AI17" s="817">
        <v>12</v>
      </c>
      <c r="AJ17" s="817">
        <v>0</v>
      </c>
      <c r="AK17" s="817">
        <v>0</v>
      </c>
      <c r="AL17" s="817">
        <v>12</v>
      </c>
      <c r="AM17" s="817">
        <v>52</v>
      </c>
      <c r="AN17" s="817">
        <v>52</v>
      </c>
      <c r="AO17" s="817">
        <v>24</v>
      </c>
      <c r="AP17" s="817">
        <v>0</v>
      </c>
      <c r="AQ17" s="817">
        <v>0</v>
      </c>
      <c r="AR17" s="817">
        <v>12</v>
      </c>
      <c r="AS17" s="817">
        <v>104</v>
      </c>
      <c r="AT17" s="817">
        <v>104</v>
      </c>
      <c r="AU17" s="817">
        <v>0</v>
      </c>
      <c r="AV17" s="817">
        <v>52</v>
      </c>
      <c r="AW17" s="817">
        <v>52</v>
      </c>
      <c r="AX17" s="817">
        <f t="shared" si="0"/>
        <v>1</v>
      </c>
      <c r="AY17" s="817">
        <v>1</v>
      </c>
      <c r="AZ17" s="817" t="s">
        <v>658</v>
      </c>
      <c r="BA17" s="817">
        <v>1</v>
      </c>
      <c r="BB17" s="817">
        <v>0</v>
      </c>
      <c r="BC17" s="817" t="s">
        <v>514</v>
      </c>
      <c r="BD17" s="817">
        <v>2</v>
      </c>
      <c r="BE17" s="817">
        <v>2</v>
      </c>
      <c r="BF17" s="817">
        <v>2</v>
      </c>
      <c r="BG17" s="817">
        <v>2</v>
      </c>
      <c r="BH17" s="817">
        <v>2</v>
      </c>
      <c r="BI17" s="817">
        <v>1</v>
      </c>
      <c r="BJ17" s="817">
        <v>1</v>
      </c>
      <c r="BK17" s="817">
        <v>1</v>
      </c>
      <c r="BL17" s="817">
        <v>1</v>
      </c>
      <c r="BM17" s="817">
        <v>1</v>
      </c>
      <c r="BN17" s="817">
        <v>1</v>
      </c>
      <c r="BO17" s="817">
        <v>1</v>
      </c>
      <c r="BP17" s="817">
        <v>1</v>
      </c>
      <c r="BQ17" s="817">
        <v>1</v>
      </c>
      <c r="BR17" s="817">
        <v>2</v>
      </c>
      <c r="BS17" s="817">
        <v>1</v>
      </c>
      <c r="BT17" s="817">
        <v>1</v>
      </c>
      <c r="BU17" s="817">
        <v>1</v>
      </c>
      <c r="BV17" s="817">
        <v>1</v>
      </c>
      <c r="BW17" s="817">
        <v>1</v>
      </c>
      <c r="BX17" s="817">
        <v>1</v>
      </c>
      <c r="BY17" s="817">
        <v>1</v>
      </c>
      <c r="BZ17" s="817">
        <v>1</v>
      </c>
      <c r="CA17" s="817">
        <v>1</v>
      </c>
      <c r="CB17" s="817">
        <v>2</v>
      </c>
      <c r="CC17" s="817">
        <v>1</v>
      </c>
      <c r="CD17" s="817">
        <v>1</v>
      </c>
      <c r="CE17" s="817">
        <v>1</v>
      </c>
      <c r="CF17" s="817" t="s">
        <v>511</v>
      </c>
      <c r="CG17" s="817" t="s">
        <v>512</v>
      </c>
      <c r="CH17" s="817">
        <v>1</v>
      </c>
      <c r="CI17" s="817">
        <v>1</v>
      </c>
      <c r="CJ17" s="817">
        <v>1</v>
      </c>
      <c r="CK17" s="817">
        <v>3</v>
      </c>
      <c r="CL17" s="817">
        <v>1</v>
      </c>
      <c r="CM17" s="817">
        <v>1</v>
      </c>
      <c r="CN17" s="817">
        <v>1</v>
      </c>
      <c r="CO17" s="817">
        <v>1</v>
      </c>
      <c r="CP17" s="817">
        <v>60</v>
      </c>
      <c r="CQ17" s="817">
        <v>80</v>
      </c>
      <c r="CR17" s="817">
        <v>52</v>
      </c>
      <c r="CS17" s="817">
        <v>52</v>
      </c>
      <c r="CT17" s="817">
        <v>1</v>
      </c>
      <c r="CU17" s="160"/>
      <c r="CV17" s="160"/>
      <c r="CW17" s="160"/>
      <c r="CX17" s="160"/>
      <c r="CY17" s="160"/>
      <c r="CZ17" s="160"/>
      <c r="DA17" s="160"/>
      <c r="DB17" s="160"/>
      <c r="DC17" s="160"/>
      <c r="DD17" s="160"/>
      <c r="DE17" s="160"/>
      <c r="DF17" s="160"/>
      <c r="DG17" s="160"/>
      <c r="DH17" s="160"/>
      <c r="DI17" s="160"/>
      <c r="DJ17" s="160"/>
      <c r="DK17" s="167"/>
      <c r="DL17" s="766"/>
      <c r="DM17" s="871" t="s">
        <v>87</v>
      </c>
      <c r="DN17" s="871" t="s">
        <v>699</v>
      </c>
      <c r="DO17" s="766"/>
      <c r="DP17" s="766"/>
      <c r="DQ17" s="766"/>
      <c r="DR17" s="766"/>
      <c r="DS17" s="766"/>
      <c r="DT17" s="766"/>
      <c r="DU17" s="766"/>
      <c r="DV17" s="766"/>
      <c r="DW17" s="766"/>
      <c r="DX17" s="766"/>
      <c r="DY17" s="766"/>
      <c r="DZ17" s="766"/>
      <c r="EA17" s="766"/>
      <c r="EB17" s="766"/>
      <c r="EC17" s="766"/>
      <c r="ED17" s="766"/>
      <c r="EE17" s="766"/>
      <c r="EF17" s="766"/>
      <c r="EG17" s="766"/>
      <c r="EH17" s="766"/>
      <c r="EI17" s="766"/>
      <c r="EJ17" s="766"/>
      <c r="EK17" s="766"/>
      <c r="EL17" s="766"/>
      <c r="EM17" s="766"/>
      <c r="EN17" s="766"/>
      <c r="EO17" s="766"/>
      <c r="EP17" s="766"/>
      <c r="EQ17" s="766"/>
      <c r="ER17" s="766"/>
      <c r="ES17" s="766"/>
      <c r="ET17" s="766"/>
      <c r="EU17" s="766"/>
      <c r="EV17" s="766"/>
      <c r="EW17" s="766"/>
      <c r="EX17" s="766"/>
      <c r="EY17" s="766"/>
      <c r="EZ17" s="766"/>
      <c r="FA17" s="766"/>
      <c r="FB17" s="766"/>
      <c r="FC17" s="766"/>
      <c r="FD17" s="766"/>
      <c r="FE17" s="766"/>
      <c r="FF17" s="766"/>
      <c r="FG17" s="766"/>
      <c r="FH17" s="766"/>
      <c r="FI17" s="766"/>
      <c r="FJ17" s="766"/>
      <c r="FK17" s="766"/>
      <c r="FL17" s="766"/>
      <c r="FM17" s="766"/>
      <c r="FN17" s="766"/>
      <c r="FO17" s="766"/>
      <c r="FP17" s="766"/>
      <c r="FQ17" s="766"/>
      <c r="FR17" s="766"/>
      <c r="FS17" s="766"/>
      <c r="FT17" s="766"/>
      <c r="FU17" s="766"/>
      <c r="FV17" s="766"/>
      <c r="FW17" s="766"/>
      <c r="FX17" s="766"/>
      <c r="FY17" s="766"/>
      <c r="FZ17" s="766"/>
      <c r="GA17" s="766"/>
      <c r="GB17" s="766"/>
      <c r="GC17" s="766"/>
      <c r="GD17" s="766"/>
      <c r="GE17" s="766"/>
      <c r="GF17" s="766"/>
      <c r="GG17" s="766"/>
      <c r="GH17" s="766"/>
      <c r="GI17" s="766"/>
      <c r="GJ17" s="766"/>
      <c r="GK17" s="766"/>
      <c r="GL17" s="766"/>
      <c r="GM17" s="766"/>
      <c r="GN17" s="766"/>
      <c r="GO17" s="766"/>
      <c r="GP17" s="766"/>
      <c r="GQ17" s="766"/>
      <c r="GR17" s="766"/>
      <c r="GS17" s="766"/>
      <c r="GT17" s="766"/>
      <c r="GU17" s="766"/>
      <c r="GV17" s="766"/>
      <c r="GW17" s="766"/>
      <c r="GX17" s="766"/>
      <c r="GY17" s="766"/>
      <c r="GZ17" s="766"/>
      <c r="HA17" s="766"/>
      <c r="HB17" s="766"/>
      <c r="HC17" s="766"/>
      <c r="HD17" s="766"/>
      <c r="HE17" s="766"/>
      <c r="HF17" s="766"/>
      <c r="HG17" s="766"/>
      <c r="HH17" s="766"/>
      <c r="HI17" s="766"/>
      <c r="HJ17" s="766"/>
      <c r="HK17" s="766"/>
      <c r="HL17" s="766"/>
      <c r="HM17" s="766"/>
      <c r="HN17" s="766"/>
      <c r="HO17" s="766"/>
      <c r="HP17" s="766"/>
      <c r="HQ17" s="766"/>
      <c r="HR17" s="766"/>
      <c r="HS17" s="766"/>
      <c r="HT17" s="766"/>
      <c r="HU17" s="766"/>
      <c r="HV17" s="766"/>
      <c r="HW17" s="766"/>
      <c r="HX17" s="766"/>
      <c r="HY17" s="766"/>
      <c r="HZ17" s="766"/>
      <c r="IA17" s="766"/>
      <c r="IB17" s="766"/>
      <c r="IC17" s="766"/>
      <c r="ID17" s="766"/>
      <c r="IE17" s="766"/>
      <c r="IF17" s="766"/>
      <c r="IG17" s="766"/>
      <c r="IH17" s="766"/>
      <c r="II17" s="766"/>
      <c r="IJ17" s="766"/>
      <c r="IK17" s="766"/>
      <c r="IL17" s="766"/>
      <c r="IM17" s="766"/>
      <c r="IN17" s="766"/>
      <c r="IO17" s="766"/>
      <c r="IP17" s="766"/>
      <c r="IQ17" s="766"/>
      <c r="IR17" s="766"/>
      <c r="IS17" s="766"/>
    </row>
    <row r="18" spans="1:253" s="92" customFormat="1" x14ac:dyDescent="0.2">
      <c r="A18" s="817" t="s">
        <v>99</v>
      </c>
      <c r="B18" s="817" t="s">
        <v>22</v>
      </c>
      <c r="C18" s="817" t="s">
        <v>230</v>
      </c>
      <c r="D18" s="817" t="s">
        <v>297</v>
      </c>
      <c r="E18" s="817">
        <v>2625</v>
      </c>
      <c r="F18" s="817">
        <v>1973</v>
      </c>
      <c r="G18" s="817">
        <v>1994</v>
      </c>
      <c r="H18" s="817">
        <v>2588520</v>
      </c>
      <c r="I18" s="817">
        <v>1120400</v>
      </c>
      <c r="J18" s="817">
        <v>720</v>
      </c>
      <c r="K18" s="817" t="s">
        <v>517</v>
      </c>
      <c r="L18" s="817" t="s">
        <v>518</v>
      </c>
      <c r="M18" s="817">
        <v>2588450</v>
      </c>
      <c r="N18" s="817">
        <v>1120350</v>
      </c>
      <c r="O18" s="817">
        <v>705</v>
      </c>
      <c r="P18" s="817">
        <v>900</v>
      </c>
      <c r="Q18" s="817">
        <v>150</v>
      </c>
      <c r="R18" s="817"/>
      <c r="S18" s="817"/>
      <c r="T18" s="817">
        <v>10</v>
      </c>
      <c r="U18" s="817">
        <v>85</v>
      </c>
      <c r="V18" s="817">
        <v>0.8</v>
      </c>
      <c r="W18" s="817">
        <v>85</v>
      </c>
      <c r="X18" s="817"/>
      <c r="Y18" s="817"/>
      <c r="Z18" s="817">
        <v>0.3</v>
      </c>
      <c r="AA18" s="817">
        <v>20</v>
      </c>
      <c r="AB18" s="817"/>
      <c r="AC18" s="817">
        <v>1734</v>
      </c>
      <c r="AD18" s="817">
        <v>324</v>
      </c>
      <c r="AE18" s="817"/>
      <c r="AF18" s="817" t="s">
        <v>237</v>
      </c>
      <c r="AG18" s="817">
        <v>0</v>
      </c>
      <c r="AH18" s="817">
        <v>0</v>
      </c>
      <c r="AI18" s="817">
        <v>12</v>
      </c>
      <c r="AJ18" s="817">
        <v>0</v>
      </c>
      <c r="AK18" s="817">
        <v>0</v>
      </c>
      <c r="AL18" s="817">
        <v>12</v>
      </c>
      <c r="AM18" s="817">
        <v>24</v>
      </c>
      <c r="AN18" s="817">
        <v>24</v>
      </c>
      <c r="AO18" s="817">
        <v>24</v>
      </c>
      <c r="AP18" s="817">
        <v>0</v>
      </c>
      <c r="AQ18" s="817">
        <v>0</v>
      </c>
      <c r="AR18" s="817">
        <v>12</v>
      </c>
      <c r="AS18" s="817">
        <v>24</v>
      </c>
      <c r="AT18" s="817">
        <v>24</v>
      </c>
      <c r="AU18" s="817">
        <v>0</v>
      </c>
      <c r="AV18" s="817">
        <v>24</v>
      </c>
      <c r="AW18" s="817">
        <v>52</v>
      </c>
      <c r="AX18" s="817">
        <f t="shared" si="0"/>
        <v>1</v>
      </c>
      <c r="AY18" s="817">
        <v>1</v>
      </c>
      <c r="AZ18" s="817" t="s">
        <v>284</v>
      </c>
      <c r="BA18" s="817">
        <v>1</v>
      </c>
      <c r="BB18" s="817">
        <v>0</v>
      </c>
      <c r="BC18" s="817" t="s">
        <v>519</v>
      </c>
      <c r="BD18" s="817">
        <v>2</v>
      </c>
      <c r="BE18" s="817">
        <v>2</v>
      </c>
      <c r="BF18" s="817">
        <v>2</v>
      </c>
      <c r="BG18" s="817">
        <v>2</v>
      </c>
      <c r="BH18" s="817">
        <v>2</v>
      </c>
      <c r="BI18" s="817">
        <v>1</v>
      </c>
      <c r="BJ18" s="817">
        <v>1</v>
      </c>
      <c r="BK18" s="817">
        <v>4</v>
      </c>
      <c r="BL18" s="817">
        <v>2</v>
      </c>
      <c r="BM18" s="817">
        <v>1</v>
      </c>
      <c r="BN18" s="817">
        <v>1</v>
      </c>
      <c r="BO18" s="817">
        <v>1</v>
      </c>
      <c r="BP18" s="817">
        <v>1</v>
      </c>
      <c r="BQ18" s="817">
        <v>1</v>
      </c>
      <c r="BR18" s="817">
        <v>2</v>
      </c>
      <c r="BS18" s="817">
        <v>1</v>
      </c>
      <c r="BT18" s="817">
        <v>1</v>
      </c>
      <c r="BU18" s="817">
        <v>1</v>
      </c>
      <c r="BV18" s="817">
        <v>1</v>
      </c>
      <c r="BW18" s="817">
        <v>1</v>
      </c>
      <c r="BX18" s="817">
        <v>1</v>
      </c>
      <c r="BY18" s="817">
        <v>1</v>
      </c>
      <c r="BZ18" s="817">
        <v>1</v>
      </c>
      <c r="CA18" s="817">
        <v>1</v>
      </c>
      <c r="CB18" s="817">
        <v>2</v>
      </c>
      <c r="CC18" s="817">
        <v>1</v>
      </c>
      <c r="CD18" s="817">
        <v>1</v>
      </c>
      <c r="CE18" s="817">
        <v>1</v>
      </c>
      <c r="CF18" s="817" t="s">
        <v>520</v>
      </c>
      <c r="CG18" s="817" t="s">
        <v>521</v>
      </c>
      <c r="CH18" s="817"/>
      <c r="CI18" s="817">
        <v>3</v>
      </c>
      <c r="CJ18" s="817">
        <v>5</v>
      </c>
      <c r="CK18" s="817"/>
      <c r="CL18" s="817">
        <v>1</v>
      </c>
      <c r="CM18" s="817">
        <v>1</v>
      </c>
      <c r="CN18" s="817">
        <v>1</v>
      </c>
      <c r="CO18" s="817">
        <v>1</v>
      </c>
      <c r="CP18" s="817">
        <v>60</v>
      </c>
      <c r="CQ18" s="817">
        <v>80</v>
      </c>
      <c r="CR18" s="817">
        <v>24</v>
      </c>
      <c r="CS18" s="817">
        <v>24</v>
      </c>
      <c r="CT18" s="817">
        <v>1</v>
      </c>
      <c r="CU18" s="160"/>
      <c r="CV18" s="160"/>
      <c r="CW18" s="160"/>
      <c r="CX18" s="160"/>
      <c r="CY18" s="160"/>
      <c r="CZ18" s="160"/>
      <c r="DA18" s="160"/>
      <c r="DB18" s="160"/>
      <c r="DC18" s="160"/>
      <c r="DD18" s="160"/>
      <c r="DE18" s="160"/>
      <c r="DF18" s="160"/>
      <c r="DG18" s="160"/>
      <c r="DH18" s="160"/>
      <c r="DI18" s="160"/>
      <c r="DJ18" s="160"/>
      <c r="DK18" s="167"/>
      <c r="DL18" s="766"/>
      <c r="DM18" s="871" t="s">
        <v>99</v>
      </c>
      <c r="DN18" s="871" t="s">
        <v>700</v>
      </c>
      <c r="DO18" s="766"/>
      <c r="DP18" s="766"/>
      <c r="DQ18" s="766"/>
      <c r="DR18" s="766"/>
      <c r="DS18" s="766"/>
      <c r="DT18" s="766"/>
      <c r="DU18" s="766"/>
      <c r="DV18" s="766"/>
      <c r="DW18" s="766"/>
      <c r="DX18" s="766"/>
      <c r="DY18" s="766"/>
      <c r="DZ18" s="766"/>
      <c r="EA18" s="766"/>
      <c r="EB18" s="766"/>
      <c r="EC18" s="766"/>
      <c r="ED18" s="766"/>
      <c r="EE18" s="766"/>
      <c r="EF18" s="766"/>
      <c r="EG18" s="766"/>
      <c r="EH18" s="766"/>
      <c r="EI18" s="766"/>
      <c r="EJ18" s="766"/>
      <c r="EK18" s="766"/>
      <c r="EL18" s="766"/>
      <c r="EM18" s="766"/>
      <c r="EN18" s="766"/>
      <c r="EO18" s="766"/>
      <c r="EP18" s="766"/>
      <c r="EQ18" s="766"/>
      <c r="ER18" s="766"/>
      <c r="ES18" s="766"/>
      <c r="ET18" s="766"/>
      <c r="EU18" s="766"/>
      <c r="EV18" s="766"/>
      <c r="EW18" s="766"/>
      <c r="EX18" s="766"/>
      <c r="EY18" s="766"/>
      <c r="EZ18" s="766"/>
      <c r="FA18" s="766"/>
      <c r="FB18" s="766"/>
      <c r="FC18" s="766"/>
      <c r="FD18" s="766"/>
      <c r="FE18" s="766"/>
      <c r="FF18" s="766"/>
      <c r="FG18" s="766"/>
      <c r="FH18" s="766"/>
      <c r="FI18" s="766"/>
      <c r="FJ18" s="766"/>
      <c r="FK18" s="766"/>
      <c r="FL18" s="766"/>
      <c r="FM18" s="766"/>
      <c r="FN18" s="766"/>
      <c r="FO18" s="766"/>
      <c r="FP18" s="766"/>
      <c r="FQ18" s="766"/>
      <c r="FR18" s="766"/>
      <c r="FS18" s="766"/>
      <c r="FT18" s="766"/>
      <c r="FU18" s="766"/>
      <c r="FV18" s="766"/>
      <c r="FW18" s="766"/>
      <c r="FX18" s="766"/>
      <c r="FY18" s="766"/>
      <c r="FZ18" s="766"/>
      <c r="GA18" s="766"/>
      <c r="GB18" s="766"/>
      <c r="GC18" s="766"/>
      <c r="GD18" s="766"/>
      <c r="GE18" s="766"/>
      <c r="GF18" s="766"/>
      <c r="GG18" s="766"/>
      <c r="GH18" s="766"/>
      <c r="GI18" s="766"/>
      <c r="GJ18" s="766"/>
      <c r="GK18" s="766"/>
      <c r="GL18" s="766"/>
      <c r="GM18" s="766"/>
      <c r="GN18" s="766"/>
      <c r="GO18" s="766"/>
      <c r="GP18" s="766"/>
      <c r="GQ18" s="766"/>
      <c r="GR18" s="766"/>
      <c r="GS18" s="766"/>
      <c r="GT18" s="766"/>
      <c r="GU18" s="766"/>
      <c r="GV18" s="766"/>
      <c r="GW18" s="766"/>
      <c r="GX18" s="766"/>
      <c r="GY18" s="766"/>
      <c r="GZ18" s="766"/>
      <c r="HA18" s="766"/>
      <c r="HB18" s="766"/>
      <c r="HC18" s="766"/>
      <c r="HD18" s="766"/>
      <c r="HE18" s="766"/>
      <c r="HF18" s="766"/>
      <c r="HG18" s="766"/>
      <c r="HH18" s="766"/>
      <c r="HI18" s="766"/>
      <c r="HJ18" s="766"/>
      <c r="HK18" s="766"/>
      <c r="HL18" s="766"/>
      <c r="HM18" s="766"/>
      <c r="HN18" s="766"/>
      <c r="HO18" s="766"/>
      <c r="HP18" s="766"/>
      <c r="HQ18" s="766"/>
      <c r="HR18" s="766"/>
      <c r="HS18" s="766"/>
      <c r="HT18" s="766"/>
      <c r="HU18" s="766"/>
      <c r="HV18" s="766"/>
      <c r="HW18" s="766"/>
      <c r="HX18" s="766"/>
      <c r="HY18" s="766"/>
      <c r="HZ18" s="766"/>
      <c r="IA18" s="766"/>
      <c r="IB18" s="766"/>
      <c r="IC18" s="766"/>
      <c r="ID18" s="766"/>
      <c r="IE18" s="766"/>
      <c r="IF18" s="766"/>
      <c r="IG18" s="766"/>
      <c r="IH18" s="766"/>
      <c r="II18" s="766"/>
      <c r="IJ18" s="766"/>
      <c r="IK18" s="766"/>
      <c r="IL18" s="766"/>
      <c r="IM18" s="766"/>
      <c r="IN18" s="766"/>
      <c r="IO18" s="766"/>
      <c r="IP18" s="766"/>
      <c r="IQ18" s="766"/>
      <c r="IR18" s="766"/>
      <c r="IS18" s="766"/>
    </row>
    <row r="19" spans="1:253" s="92" customFormat="1" x14ac:dyDescent="0.2">
      <c r="A19" s="817" t="s">
        <v>112</v>
      </c>
      <c r="B19" s="817" t="s">
        <v>23</v>
      </c>
      <c r="C19" s="817"/>
      <c r="D19" s="817" t="s">
        <v>311</v>
      </c>
      <c r="E19" s="817">
        <v>400</v>
      </c>
      <c r="F19" s="817">
        <v>2003</v>
      </c>
      <c r="G19" s="817">
        <v>0</v>
      </c>
      <c r="H19" s="817">
        <v>2635080</v>
      </c>
      <c r="I19" s="817">
        <v>1116765</v>
      </c>
      <c r="J19" s="817">
        <v>1090</v>
      </c>
      <c r="K19" s="817" t="s">
        <v>522</v>
      </c>
      <c r="L19" s="817" t="s">
        <v>488</v>
      </c>
      <c r="M19" s="817">
        <v>2635004</v>
      </c>
      <c r="N19" s="817">
        <v>1116843</v>
      </c>
      <c r="O19" s="817">
        <v>1080</v>
      </c>
      <c r="P19" s="817">
        <v>40</v>
      </c>
      <c r="Q19" s="817"/>
      <c r="R19" s="817"/>
      <c r="S19" s="817"/>
      <c r="T19" s="817"/>
      <c r="U19" s="817"/>
      <c r="V19" s="817"/>
      <c r="W19" s="817"/>
      <c r="X19" s="817"/>
      <c r="Y19" s="817"/>
      <c r="Z19" s="817">
        <v>0.3</v>
      </c>
      <c r="AA19" s="817">
        <v>20</v>
      </c>
      <c r="AB19" s="817"/>
      <c r="AC19" s="817">
        <v>122</v>
      </c>
      <c r="AD19" s="817">
        <v>211</v>
      </c>
      <c r="AE19" s="817"/>
      <c r="AF19" s="817" t="s">
        <v>479</v>
      </c>
      <c r="AG19" s="817">
        <v>0</v>
      </c>
      <c r="AH19" s="817">
        <v>0</v>
      </c>
      <c r="AI19" s="817">
        <v>0</v>
      </c>
      <c r="AJ19" s="817">
        <v>0</v>
      </c>
      <c r="AK19" s="817">
        <v>0</v>
      </c>
      <c r="AL19" s="817">
        <v>0</v>
      </c>
      <c r="AM19" s="817">
        <v>0</v>
      </c>
      <c r="AN19" s="817">
        <v>12</v>
      </c>
      <c r="AO19" s="817">
        <v>12</v>
      </c>
      <c r="AP19" s="817">
        <v>0</v>
      </c>
      <c r="AQ19" s="817">
        <v>0</v>
      </c>
      <c r="AR19" s="817">
        <v>12</v>
      </c>
      <c r="AS19" s="817">
        <v>12</v>
      </c>
      <c r="AT19" s="817">
        <v>12</v>
      </c>
      <c r="AU19" s="817">
        <v>0</v>
      </c>
      <c r="AV19" s="817">
        <v>12</v>
      </c>
      <c r="AW19" s="817">
        <v>12</v>
      </c>
      <c r="AX19" s="817">
        <f t="shared" si="0"/>
        <v>0</v>
      </c>
      <c r="AY19" s="817">
        <v>2</v>
      </c>
      <c r="AZ19" s="817" t="s">
        <v>770</v>
      </c>
      <c r="BA19" s="817">
        <v>1</v>
      </c>
      <c r="BB19" s="817">
        <v>0</v>
      </c>
      <c r="BC19" s="817"/>
      <c r="BD19" s="817">
        <v>1</v>
      </c>
      <c r="BE19" s="817">
        <v>2</v>
      </c>
      <c r="BF19" s="817">
        <v>1</v>
      </c>
      <c r="BG19" s="817">
        <v>1</v>
      </c>
      <c r="BH19" s="817">
        <v>2</v>
      </c>
      <c r="BI19" s="817">
        <v>1</v>
      </c>
      <c r="BJ19" s="817">
        <v>2</v>
      </c>
      <c r="BK19" s="817">
        <v>1</v>
      </c>
      <c r="BL19" s="817"/>
      <c r="BM19" s="817">
        <v>1</v>
      </c>
      <c r="BN19" s="817">
        <v>1</v>
      </c>
      <c r="BO19" s="817">
        <v>1</v>
      </c>
      <c r="BP19" s="817">
        <v>1</v>
      </c>
      <c r="BQ19" s="817">
        <v>2</v>
      </c>
      <c r="BR19" s="817">
        <v>1</v>
      </c>
      <c r="BS19" s="817">
        <v>1</v>
      </c>
      <c r="BT19" s="817">
        <v>1</v>
      </c>
      <c r="BU19" s="817">
        <v>1</v>
      </c>
      <c r="BV19" s="817">
        <v>1</v>
      </c>
      <c r="BW19" s="817">
        <v>1</v>
      </c>
      <c r="BX19" s="817">
        <v>1</v>
      </c>
      <c r="BY19" s="817">
        <v>1</v>
      </c>
      <c r="BZ19" s="817">
        <v>1</v>
      </c>
      <c r="CA19" s="817">
        <v>1</v>
      </c>
      <c r="CB19" s="817">
        <v>0</v>
      </c>
      <c r="CC19" s="817">
        <v>1</v>
      </c>
      <c r="CD19" s="817">
        <v>1</v>
      </c>
      <c r="CE19" s="817">
        <v>1</v>
      </c>
      <c r="CF19" s="817" t="s">
        <v>523</v>
      </c>
      <c r="CG19" s="817" t="s">
        <v>524</v>
      </c>
      <c r="CH19" s="817">
        <v>1</v>
      </c>
      <c r="CI19" s="817">
        <v>5</v>
      </c>
      <c r="CJ19" s="817">
        <v>5</v>
      </c>
      <c r="CK19" s="817"/>
      <c r="CL19" s="817">
        <v>1</v>
      </c>
      <c r="CM19" s="817">
        <v>1</v>
      </c>
      <c r="CN19" s="817">
        <v>1</v>
      </c>
      <c r="CO19" s="817">
        <v>1</v>
      </c>
      <c r="CP19" s="817">
        <v>60</v>
      </c>
      <c r="CQ19" s="817">
        <v>80</v>
      </c>
      <c r="CR19" s="817">
        <v>12</v>
      </c>
      <c r="CS19" s="817">
        <v>12</v>
      </c>
      <c r="CT19" s="817">
        <v>1</v>
      </c>
      <c r="CU19" s="160"/>
      <c r="CV19" s="160"/>
      <c r="CW19" s="160"/>
      <c r="CX19" s="160"/>
      <c r="CY19" s="160"/>
      <c r="CZ19" s="160"/>
      <c r="DA19" s="160"/>
      <c r="DB19" s="160"/>
      <c r="DC19" s="160"/>
      <c r="DD19" s="160"/>
      <c r="DE19" s="160"/>
      <c r="DF19" s="160"/>
      <c r="DG19" s="160"/>
      <c r="DH19" s="160"/>
      <c r="DI19" s="160"/>
      <c r="DJ19" s="160"/>
      <c r="DK19" s="167"/>
      <c r="DL19" s="766"/>
      <c r="DM19" s="871" t="s">
        <v>112</v>
      </c>
      <c r="DN19" s="871" t="s">
        <v>701</v>
      </c>
      <c r="DO19" s="766"/>
      <c r="DP19" s="766"/>
      <c r="DQ19" s="766"/>
      <c r="DR19" s="766"/>
      <c r="DS19" s="766"/>
      <c r="DT19" s="766"/>
      <c r="DU19" s="766"/>
      <c r="DV19" s="766"/>
      <c r="DW19" s="766"/>
      <c r="DX19" s="766"/>
      <c r="DY19" s="766"/>
      <c r="DZ19" s="766"/>
      <c r="EA19" s="766"/>
      <c r="EB19" s="766"/>
      <c r="EC19" s="766"/>
      <c r="ED19" s="766"/>
      <c r="EE19" s="766"/>
      <c r="EF19" s="766"/>
      <c r="EG19" s="766"/>
      <c r="EH19" s="766"/>
      <c r="EI19" s="766"/>
      <c r="EJ19" s="766"/>
      <c r="EK19" s="766"/>
      <c r="EL19" s="766"/>
      <c r="EM19" s="766"/>
      <c r="EN19" s="766"/>
      <c r="EO19" s="766"/>
      <c r="EP19" s="766"/>
      <c r="EQ19" s="766"/>
      <c r="ER19" s="766"/>
      <c r="ES19" s="766"/>
      <c r="ET19" s="766"/>
      <c r="EU19" s="766"/>
      <c r="EV19" s="766"/>
      <c r="EW19" s="766"/>
      <c r="EX19" s="766"/>
      <c r="EY19" s="766"/>
      <c r="EZ19" s="766"/>
      <c r="FA19" s="766"/>
      <c r="FB19" s="766"/>
      <c r="FC19" s="766"/>
      <c r="FD19" s="766"/>
      <c r="FE19" s="766"/>
      <c r="FF19" s="766"/>
      <c r="FG19" s="766"/>
      <c r="FH19" s="766"/>
      <c r="FI19" s="766"/>
      <c r="FJ19" s="766"/>
      <c r="FK19" s="766"/>
      <c r="FL19" s="766"/>
      <c r="FM19" s="766"/>
      <c r="FN19" s="766"/>
      <c r="FO19" s="766"/>
      <c r="FP19" s="766"/>
      <c r="FQ19" s="766"/>
      <c r="FR19" s="766"/>
      <c r="FS19" s="766"/>
      <c r="FT19" s="766"/>
      <c r="FU19" s="766"/>
      <c r="FV19" s="766"/>
      <c r="FW19" s="766"/>
      <c r="FX19" s="766"/>
      <c r="FY19" s="766"/>
      <c r="FZ19" s="766"/>
      <c r="GA19" s="766"/>
      <c r="GB19" s="766"/>
      <c r="GC19" s="766"/>
      <c r="GD19" s="766"/>
      <c r="GE19" s="766"/>
      <c r="GF19" s="766"/>
      <c r="GG19" s="766"/>
      <c r="GH19" s="766"/>
      <c r="GI19" s="766"/>
      <c r="GJ19" s="766"/>
      <c r="GK19" s="766"/>
      <c r="GL19" s="766"/>
      <c r="GM19" s="766"/>
      <c r="GN19" s="766"/>
      <c r="GO19" s="766"/>
      <c r="GP19" s="766"/>
      <c r="GQ19" s="766"/>
      <c r="GR19" s="766"/>
      <c r="GS19" s="766"/>
      <c r="GT19" s="766"/>
      <c r="GU19" s="766"/>
      <c r="GV19" s="766"/>
      <c r="GW19" s="766"/>
      <c r="GX19" s="766"/>
      <c r="GY19" s="766"/>
      <c r="GZ19" s="766"/>
      <c r="HA19" s="766"/>
      <c r="HB19" s="766"/>
      <c r="HC19" s="766"/>
      <c r="HD19" s="766"/>
      <c r="HE19" s="766"/>
      <c r="HF19" s="766"/>
      <c r="HG19" s="766"/>
      <c r="HH19" s="766"/>
      <c r="HI19" s="766"/>
      <c r="HJ19" s="766"/>
      <c r="HK19" s="766"/>
      <c r="HL19" s="766"/>
      <c r="HM19" s="766"/>
      <c r="HN19" s="766"/>
      <c r="HO19" s="766"/>
      <c r="HP19" s="766"/>
      <c r="HQ19" s="766"/>
      <c r="HR19" s="766"/>
      <c r="HS19" s="766"/>
      <c r="HT19" s="766"/>
      <c r="HU19" s="766"/>
      <c r="HV19" s="766"/>
      <c r="HW19" s="766"/>
      <c r="HX19" s="766"/>
      <c r="HY19" s="766"/>
      <c r="HZ19" s="766"/>
      <c r="IA19" s="766"/>
      <c r="IB19" s="766"/>
      <c r="IC19" s="766"/>
      <c r="ID19" s="766"/>
      <c r="IE19" s="766"/>
      <c r="IF19" s="766"/>
      <c r="IG19" s="766"/>
      <c r="IH19" s="766"/>
      <c r="II19" s="766"/>
      <c r="IJ19" s="766"/>
      <c r="IK19" s="766"/>
      <c r="IL19" s="766"/>
      <c r="IM19" s="766"/>
      <c r="IN19" s="766"/>
      <c r="IO19" s="766"/>
      <c r="IP19" s="766"/>
      <c r="IQ19" s="766"/>
      <c r="IR19" s="766"/>
      <c r="IS19" s="766"/>
    </row>
    <row r="20" spans="1:253" s="92" customFormat="1" x14ac:dyDescent="0.2">
      <c r="A20" s="817" t="s">
        <v>108</v>
      </c>
      <c r="B20" s="817" t="s">
        <v>24</v>
      </c>
      <c r="C20" s="817" t="s">
        <v>247</v>
      </c>
      <c r="D20" s="817" t="s">
        <v>246</v>
      </c>
      <c r="E20" s="817">
        <v>600</v>
      </c>
      <c r="F20" s="817">
        <v>1998</v>
      </c>
      <c r="G20" s="817">
        <v>0</v>
      </c>
      <c r="H20" s="817">
        <v>2631080</v>
      </c>
      <c r="I20" s="817">
        <v>1118480</v>
      </c>
      <c r="J20" s="817">
        <v>858</v>
      </c>
      <c r="K20" s="817" t="s">
        <v>487</v>
      </c>
      <c r="L20" s="817" t="s">
        <v>488</v>
      </c>
      <c r="M20" s="817">
        <v>2631110</v>
      </c>
      <c r="N20" s="817">
        <v>1118460</v>
      </c>
      <c r="O20" s="817">
        <v>850</v>
      </c>
      <c r="P20" s="817">
        <v>192.5</v>
      </c>
      <c r="Q20" s="817"/>
      <c r="R20" s="817"/>
      <c r="S20" s="817"/>
      <c r="T20" s="817"/>
      <c r="U20" s="817"/>
      <c r="V20" s="817">
        <v>0.8</v>
      </c>
      <c r="W20" s="817">
        <v>80</v>
      </c>
      <c r="X20" s="817"/>
      <c r="Y20" s="817"/>
      <c r="Z20" s="817">
        <v>0.3</v>
      </c>
      <c r="AA20" s="817">
        <v>20</v>
      </c>
      <c r="AB20" s="817"/>
      <c r="AC20" s="817">
        <v>310</v>
      </c>
      <c r="AD20" s="817">
        <v>54</v>
      </c>
      <c r="AE20" s="817"/>
      <c r="AF20" s="817" t="s">
        <v>479</v>
      </c>
      <c r="AG20" s="817">
        <v>0</v>
      </c>
      <c r="AH20" s="817">
        <v>0</v>
      </c>
      <c r="AI20" s="817">
        <v>0</v>
      </c>
      <c r="AJ20" s="817">
        <v>0</v>
      </c>
      <c r="AK20" s="817">
        <v>0</v>
      </c>
      <c r="AL20" s="817">
        <v>0</v>
      </c>
      <c r="AM20" s="817">
        <v>0</v>
      </c>
      <c r="AN20" s="817">
        <v>12</v>
      </c>
      <c r="AO20" s="817">
        <v>12</v>
      </c>
      <c r="AP20" s="817">
        <v>0</v>
      </c>
      <c r="AQ20" s="817">
        <v>0</v>
      </c>
      <c r="AR20" s="817">
        <v>12</v>
      </c>
      <c r="AS20" s="817">
        <v>12</v>
      </c>
      <c r="AT20" s="817">
        <v>12</v>
      </c>
      <c r="AU20" s="817">
        <v>0</v>
      </c>
      <c r="AV20" s="817">
        <v>12</v>
      </c>
      <c r="AW20" s="817">
        <v>12</v>
      </c>
      <c r="AX20" s="817">
        <f t="shared" si="0"/>
        <v>0</v>
      </c>
      <c r="AY20" s="817">
        <v>2</v>
      </c>
      <c r="AZ20" s="817" t="s">
        <v>770</v>
      </c>
      <c r="BA20" s="817">
        <v>1</v>
      </c>
      <c r="BB20" s="817">
        <v>0</v>
      </c>
      <c r="BC20" s="817" t="s">
        <v>773</v>
      </c>
      <c r="BD20" s="817">
        <v>1</v>
      </c>
      <c r="BE20" s="817">
        <v>2</v>
      </c>
      <c r="BF20" s="817">
        <v>2</v>
      </c>
      <c r="BG20" s="817">
        <v>2</v>
      </c>
      <c r="BH20" s="817">
        <v>2</v>
      </c>
      <c r="BI20" s="817">
        <v>1</v>
      </c>
      <c r="BJ20" s="817">
        <v>2</v>
      </c>
      <c r="BK20" s="817">
        <v>1</v>
      </c>
      <c r="BL20" s="817"/>
      <c r="BM20" s="817">
        <v>1</v>
      </c>
      <c r="BN20" s="817">
        <v>1</v>
      </c>
      <c r="BO20" s="817">
        <v>1</v>
      </c>
      <c r="BP20" s="817">
        <v>2</v>
      </c>
      <c r="BQ20" s="817">
        <v>1</v>
      </c>
      <c r="BR20" s="817">
        <v>2</v>
      </c>
      <c r="BS20" s="817">
        <v>1</v>
      </c>
      <c r="BT20" s="817">
        <v>1</v>
      </c>
      <c r="BU20" s="817">
        <v>1</v>
      </c>
      <c r="BV20" s="817">
        <v>1</v>
      </c>
      <c r="BW20" s="817">
        <v>1</v>
      </c>
      <c r="BX20" s="817">
        <v>1</v>
      </c>
      <c r="BY20" s="817">
        <v>1</v>
      </c>
      <c r="BZ20" s="817">
        <v>1</v>
      </c>
      <c r="CA20" s="817">
        <v>1</v>
      </c>
      <c r="CB20" s="817">
        <v>1</v>
      </c>
      <c r="CC20" s="817">
        <v>1</v>
      </c>
      <c r="CD20" s="817">
        <v>1</v>
      </c>
      <c r="CE20" s="817">
        <v>1</v>
      </c>
      <c r="CF20" s="817" t="s">
        <v>525</v>
      </c>
      <c r="CG20" s="817" t="s">
        <v>526</v>
      </c>
      <c r="CH20" s="817">
        <v>1</v>
      </c>
      <c r="CI20" s="817">
        <v>5</v>
      </c>
      <c r="CJ20" s="817">
        <v>5</v>
      </c>
      <c r="CK20" s="817"/>
      <c r="CL20" s="817">
        <v>1</v>
      </c>
      <c r="CM20" s="817">
        <v>1</v>
      </c>
      <c r="CN20" s="817">
        <v>1</v>
      </c>
      <c r="CO20" s="817">
        <v>1</v>
      </c>
      <c r="CP20" s="817">
        <v>60</v>
      </c>
      <c r="CQ20" s="817">
        <v>80</v>
      </c>
      <c r="CR20" s="817">
        <v>12</v>
      </c>
      <c r="CS20" s="817">
        <v>12</v>
      </c>
      <c r="CT20" s="817">
        <v>1</v>
      </c>
      <c r="CU20" s="160"/>
      <c r="CV20" s="160"/>
      <c r="CW20" s="160"/>
      <c r="CX20" s="160"/>
      <c r="CY20" s="160"/>
      <c r="CZ20" s="160"/>
      <c r="DA20" s="160"/>
      <c r="DB20" s="160"/>
      <c r="DC20" s="160"/>
      <c r="DD20" s="160"/>
      <c r="DE20" s="160"/>
      <c r="DF20" s="160"/>
      <c r="DG20" s="160"/>
      <c r="DH20" s="160"/>
      <c r="DI20" s="160"/>
      <c r="DJ20" s="160"/>
      <c r="DK20" s="167"/>
      <c r="DL20" s="766"/>
      <c r="DM20" s="871" t="s">
        <v>108</v>
      </c>
      <c r="DN20" s="871" t="s">
        <v>702</v>
      </c>
      <c r="DO20" s="766"/>
      <c r="DP20" s="766"/>
      <c r="DQ20" s="766"/>
      <c r="DR20" s="766"/>
      <c r="DS20" s="766"/>
      <c r="DT20" s="766"/>
      <c r="DU20" s="766"/>
      <c r="DV20" s="766"/>
      <c r="DW20" s="766"/>
      <c r="DX20" s="766"/>
      <c r="DY20" s="766"/>
      <c r="DZ20" s="766"/>
      <c r="EA20" s="766"/>
      <c r="EB20" s="766"/>
      <c r="EC20" s="766"/>
      <c r="ED20" s="766"/>
      <c r="EE20" s="766"/>
      <c r="EF20" s="766"/>
      <c r="EG20" s="766"/>
      <c r="EH20" s="766"/>
      <c r="EI20" s="766"/>
      <c r="EJ20" s="766"/>
      <c r="EK20" s="766"/>
      <c r="EL20" s="766"/>
      <c r="EM20" s="766"/>
      <c r="EN20" s="766"/>
      <c r="EO20" s="766"/>
      <c r="EP20" s="766"/>
      <c r="EQ20" s="766"/>
      <c r="ER20" s="766"/>
      <c r="ES20" s="766"/>
      <c r="ET20" s="766"/>
      <c r="EU20" s="766"/>
      <c r="EV20" s="766"/>
      <c r="EW20" s="766"/>
      <c r="EX20" s="766"/>
      <c r="EY20" s="766"/>
      <c r="EZ20" s="766"/>
      <c r="FA20" s="766"/>
      <c r="FB20" s="766"/>
      <c r="FC20" s="766"/>
      <c r="FD20" s="766"/>
      <c r="FE20" s="766"/>
      <c r="FF20" s="766"/>
      <c r="FG20" s="766"/>
      <c r="FH20" s="766"/>
      <c r="FI20" s="766"/>
      <c r="FJ20" s="766"/>
      <c r="FK20" s="766"/>
      <c r="FL20" s="766"/>
      <c r="FM20" s="766"/>
      <c r="FN20" s="766"/>
      <c r="FO20" s="766"/>
      <c r="FP20" s="766"/>
      <c r="FQ20" s="766"/>
      <c r="FR20" s="766"/>
      <c r="FS20" s="766"/>
      <c r="FT20" s="766"/>
      <c r="FU20" s="766"/>
      <c r="FV20" s="766"/>
      <c r="FW20" s="766"/>
      <c r="FX20" s="766"/>
      <c r="FY20" s="766"/>
      <c r="FZ20" s="766"/>
      <c r="GA20" s="766"/>
      <c r="GB20" s="766"/>
      <c r="GC20" s="766"/>
      <c r="GD20" s="766"/>
      <c r="GE20" s="766"/>
      <c r="GF20" s="766"/>
      <c r="GG20" s="766"/>
      <c r="GH20" s="766"/>
      <c r="GI20" s="766"/>
      <c r="GJ20" s="766"/>
      <c r="GK20" s="766"/>
      <c r="GL20" s="766"/>
      <c r="GM20" s="766"/>
      <c r="GN20" s="766"/>
      <c r="GO20" s="766"/>
      <c r="GP20" s="766"/>
      <c r="GQ20" s="766"/>
      <c r="GR20" s="766"/>
      <c r="GS20" s="766"/>
      <c r="GT20" s="766"/>
      <c r="GU20" s="766"/>
      <c r="GV20" s="766"/>
      <c r="GW20" s="766"/>
      <c r="GX20" s="766"/>
      <c r="GY20" s="766"/>
      <c r="GZ20" s="766"/>
      <c r="HA20" s="766"/>
      <c r="HB20" s="766"/>
      <c r="HC20" s="766"/>
      <c r="HD20" s="766"/>
      <c r="HE20" s="766"/>
      <c r="HF20" s="766"/>
      <c r="HG20" s="766"/>
      <c r="HH20" s="766"/>
      <c r="HI20" s="766"/>
      <c r="HJ20" s="766"/>
      <c r="HK20" s="766"/>
      <c r="HL20" s="766"/>
      <c r="HM20" s="766"/>
      <c r="HN20" s="766"/>
      <c r="HO20" s="766"/>
      <c r="HP20" s="766"/>
      <c r="HQ20" s="766"/>
      <c r="HR20" s="766"/>
      <c r="HS20" s="766"/>
      <c r="HT20" s="766"/>
      <c r="HU20" s="766"/>
      <c r="HV20" s="766"/>
      <c r="HW20" s="766"/>
      <c r="HX20" s="766"/>
      <c r="HY20" s="766"/>
      <c r="HZ20" s="766"/>
      <c r="IA20" s="766"/>
      <c r="IB20" s="766"/>
      <c r="IC20" s="766"/>
      <c r="ID20" s="766"/>
      <c r="IE20" s="766"/>
      <c r="IF20" s="766"/>
      <c r="IG20" s="766"/>
      <c r="IH20" s="766"/>
      <c r="II20" s="766"/>
      <c r="IJ20" s="766"/>
      <c r="IK20" s="766"/>
      <c r="IL20" s="766"/>
      <c r="IM20" s="766"/>
      <c r="IN20" s="766"/>
      <c r="IO20" s="766"/>
      <c r="IP20" s="766"/>
      <c r="IQ20" s="766"/>
      <c r="IR20" s="766"/>
      <c r="IS20" s="766"/>
    </row>
    <row r="21" spans="1:253" s="92" customFormat="1" x14ac:dyDescent="0.2">
      <c r="A21" s="817" t="s">
        <v>89</v>
      </c>
      <c r="B21" s="817" t="s">
        <v>25</v>
      </c>
      <c r="C21" s="817" t="s">
        <v>221</v>
      </c>
      <c r="D21" s="817" t="s">
        <v>527</v>
      </c>
      <c r="E21" s="817">
        <v>9000</v>
      </c>
      <c r="F21" s="817">
        <v>1989</v>
      </c>
      <c r="G21" s="817">
        <v>2010</v>
      </c>
      <c r="H21" s="817">
        <v>2568090</v>
      </c>
      <c r="I21" s="817">
        <v>1113830</v>
      </c>
      <c r="J21" s="817">
        <v>450</v>
      </c>
      <c r="K21" s="817" t="s">
        <v>465</v>
      </c>
      <c r="L21" s="817" t="s">
        <v>465</v>
      </c>
      <c r="M21" s="817">
        <v>2568205</v>
      </c>
      <c r="N21" s="817">
        <v>1113958</v>
      </c>
      <c r="O21" s="817">
        <v>448</v>
      </c>
      <c r="P21" s="817">
        <v>3600</v>
      </c>
      <c r="Q21" s="817">
        <v>1212</v>
      </c>
      <c r="R21" s="817"/>
      <c r="S21" s="817"/>
      <c r="T21" s="817">
        <v>10</v>
      </c>
      <c r="U21" s="817">
        <v>85</v>
      </c>
      <c r="V21" s="817">
        <v>0.8</v>
      </c>
      <c r="W21" s="817">
        <v>85</v>
      </c>
      <c r="X21" s="817">
        <v>2</v>
      </c>
      <c r="Y21" s="817">
        <v>90</v>
      </c>
      <c r="Z21" s="817">
        <v>0.3</v>
      </c>
      <c r="AA21" s="817">
        <v>20</v>
      </c>
      <c r="AB21" s="817"/>
      <c r="AC21" s="817">
        <v>6185</v>
      </c>
      <c r="AD21" s="817">
        <v>2445</v>
      </c>
      <c r="AE21" s="817"/>
      <c r="AF21" s="817" t="s">
        <v>237</v>
      </c>
      <c r="AG21" s="817">
        <v>0</v>
      </c>
      <c r="AH21" s="817">
        <v>0</v>
      </c>
      <c r="AI21" s="817">
        <v>12</v>
      </c>
      <c r="AJ21" s="817">
        <v>0</v>
      </c>
      <c r="AK21" s="817">
        <v>0</v>
      </c>
      <c r="AL21" s="817">
        <v>12</v>
      </c>
      <c r="AM21" s="817">
        <v>52</v>
      </c>
      <c r="AN21" s="817">
        <v>52</v>
      </c>
      <c r="AO21" s="817">
        <v>24</v>
      </c>
      <c r="AP21" s="817">
        <v>0</v>
      </c>
      <c r="AQ21" s="817">
        <v>0</v>
      </c>
      <c r="AR21" s="817">
        <v>12</v>
      </c>
      <c r="AS21" s="817">
        <v>52</v>
      </c>
      <c r="AT21" s="817">
        <v>52</v>
      </c>
      <c r="AU21" s="817">
        <v>0</v>
      </c>
      <c r="AV21" s="817">
        <v>52</v>
      </c>
      <c r="AW21" s="817">
        <v>52</v>
      </c>
      <c r="AX21" s="817">
        <f t="shared" si="0"/>
        <v>1</v>
      </c>
      <c r="AY21" s="817">
        <v>1</v>
      </c>
      <c r="AZ21" s="817" t="s">
        <v>658</v>
      </c>
      <c r="BA21" s="817">
        <v>1</v>
      </c>
      <c r="BB21" s="817">
        <v>0</v>
      </c>
      <c r="BC21" s="817" t="s">
        <v>773</v>
      </c>
      <c r="BD21" s="817">
        <v>2</v>
      </c>
      <c r="BE21" s="817">
        <v>1</v>
      </c>
      <c r="BF21" s="817">
        <v>2</v>
      </c>
      <c r="BG21" s="817">
        <v>2</v>
      </c>
      <c r="BH21" s="817">
        <v>2</v>
      </c>
      <c r="BI21" s="817">
        <v>1</v>
      </c>
      <c r="BJ21" s="817">
        <v>1</v>
      </c>
      <c r="BK21" s="817">
        <v>4</v>
      </c>
      <c r="BL21" s="817">
        <v>1</v>
      </c>
      <c r="BM21" s="817">
        <v>1</v>
      </c>
      <c r="BN21" s="817">
        <v>1</v>
      </c>
      <c r="BO21" s="817">
        <v>1</v>
      </c>
      <c r="BP21" s="817">
        <v>1</v>
      </c>
      <c r="BQ21" s="817">
        <v>1</v>
      </c>
      <c r="BR21" s="817">
        <v>2</v>
      </c>
      <c r="BS21" s="817">
        <v>1</v>
      </c>
      <c r="BT21" s="817">
        <v>1</v>
      </c>
      <c r="BU21" s="817">
        <v>1</v>
      </c>
      <c r="BV21" s="817">
        <v>1</v>
      </c>
      <c r="BW21" s="817">
        <v>1</v>
      </c>
      <c r="BX21" s="817">
        <v>1</v>
      </c>
      <c r="BY21" s="817">
        <v>1</v>
      </c>
      <c r="BZ21" s="817">
        <v>1</v>
      </c>
      <c r="CA21" s="817">
        <v>1</v>
      </c>
      <c r="CB21" s="817">
        <v>1</v>
      </c>
      <c r="CC21" s="817">
        <v>2</v>
      </c>
      <c r="CD21" s="817">
        <v>1</v>
      </c>
      <c r="CE21" s="817">
        <v>1</v>
      </c>
      <c r="CF21" s="817" t="s">
        <v>528</v>
      </c>
      <c r="CG21" s="817" t="s">
        <v>529</v>
      </c>
      <c r="CH21" s="817">
        <v>2</v>
      </c>
      <c r="CI21" s="817">
        <v>1</v>
      </c>
      <c r="CJ21" s="817">
        <v>2</v>
      </c>
      <c r="CK21" s="817">
        <v>4</v>
      </c>
      <c r="CL21" s="817">
        <v>1</v>
      </c>
      <c r="CM21" s="817">
        <v>1</v>
      </c>
      <c r="CN21" s="817">
        <v>1</v>
      </c>
      <c r="CO21" s="817">
        <v>1</v>
      </c>
      <c r="CP21" s="817">
        <v>60</v>
      </c>
      <c r="CQ21" s="817">
        <v>80</v>
      </c>
      <c r="CR21" s="817">
        <v>52</v>
      </c>
      <c r="CS21" s="817">
        <v>52</v>
      </c>
      <c r="CT21" s="817">
        <v>1</v>
      </c>
      <c r="CU21" s="160"/>
      <c r="CV21" s="160"/>
      <c r="CW21" s="160"/>
      <c r="CX21" s="160"/>
      <c r="CY21" s="160"/>
      <c r="CZ21" s="160"/>
      <c r="DA21" s="160"/>
      <c r="DB21" s="160"/>
      <c r="DC21" s="160"/>
      <c r="DD21" s="160"/>
      <c r="DE21" s="160"/>
      <c r="DF21" s="160"/>
      <c r="DG21" s="160"/>
      <c r="DH21" s="160"/>
      <c r="DI21" s="160"/>
      <c r="DJ21" s="160"/>
      <c r="DK21" s="167"/>
      <c r="DL21" s="766"/>
      <c r="DM21" s="871" t="s">
        <v>89</v>
      </c>
      <c r="DN21" s="871" t="s">
        <v>703</v>
      </c>
      <c r="DO21" s="766"/>
      <c r="DP21" s="766"/>
      <c r="DQ21" s="766"/>
      <c r="DR21" s="766"/>
      <c r="DS21" s="766"/>
      <c r="DT21" s="766"/>
      <c r="DU21" s="766"/>
      <c r="DV21" s="766"/>
      <c r="DW21" s="766"/>
      <c r="DX21" s="766"/>
      <c r="DY21" s="766"/>
      <c r="DZ21" s="766"/>
      <c r="EA21" s="766"/>
      <c r="EB21" s="766"/>
      <c r="EC21" s="766"/>
      <c r="ED21" s="766"/>
      <c r="EE21" s="766"/>
      <c r="EF21" s="766"/>
      <c r="EG21" s="766"/>
      <c r="EH21" s="766"/>
      <c r="EI21" s="766"/>
      <c r="EJ21" s="766"/>
      <c r="EK21" s="766"/>
      <c r="EL21" s="766"/>
      <c r="EM21" s="766"/>
      <c r="EN21" s="766"/>
      <c r="EO21" s="766"/>
      <c r="EP21" s="766"/>
      <c r="EQ21" s="766"/>
      <c r="ER21" s="766"/>
      <c r="ES21" s="766"/>
      <c r="ET21" s="766"/>
      <c r="EU21" s="766"/>
      <c r="EV21" s="766"/>
      <c r="EW21" s="766"/>
      <c r="EX21" s="766"/>
      <c r="EY21" s="766"/>
      <c r="EZ21" s="766"/>
      <c r="FA21" s="766"/>
      <c r="FB21" s="766"/>
      <c r="FC21" s="766"/>
      <c r="FD21" s="766"/>
      <c r="FE21" s="766"/>
      <c r="FF21" s="766"/>
      <c r="FG21" s="766"/>
      <c r="FH21" s="766"/>
      <c r="FI21" s="766"/>
      <c r="FJ21" s="766"/>
      <c r="FK21" s="766"/>
      <c r="FL21" s="766"/>
      <c r="FM21" s="766"/>
      <c r="FN21" s="766"/>
      <c r="FO21" s="766"/>
      <c r="FP21" s="766"/>
      <c r="FQ21" s="766"/>
      <c r="FR21" s="766"/>
      <c r="FS21" s="766"/>
      <c r="FT21" s="766"/>
      <c r="FU21" s="766"/>
      <c r="FV21" s="766"/>
      <c r="FW21" s="766"/>
      <c r="FX21" s="766"/>
      <c r="FY21" s="766"/>
      <c r="FZ21" s="766"/>
      <c r="GA21" s="766"/>
      <c r="GB21" s="766"/>
      <c r="GC21" s="766"/>
      <c r="GD21" s="766"/>
      <c r="GE21" s="766"/>
      <c r="GF21" s="766"/>
      <c r="GG21" s="766"/>
      <c r="GH21" s="766"/>
      <c r="GI21" s="766"/>
      <c r="GJ21" s="766"/>
      <c r="GK21" s="766"/>
      <c r="GL21" s="766"/>
      <c r="GM21" s="766"/>
      <c r="GN21" s="766"/>
      <c r="GO21" s="766"/>
      <c r="GP21" s="766"/>
      <c r="GQ21" s="766"/>
      <c r="GR21" s="766"/>
      <c r="GS21" s="766"/>
      <c r="GT21" s="766"/>
      <c r="GU21" s="766"/>
      <c r="GV21" s="766"/>
      <c r="GW21" s="766"/>
      <c r="GX21" s="766"/>
      <c r="GY21" s="766"/>
      <c r="GZ21" s="766"/>
      <c r="HA21" s="766"/>
      <c r="HB21" s="766"/>
      <c r="HC21" s="766"/>
      <c r="HD21" s="766"/>
      <c r="HE21" s="766"/>
      <c r="HF21" s="766"/>
      <c r="HG21" s="766"/>
      <c r="HH21" s="766"/>
      <c r="HI21" s="766"/>
      <c r="HJ21" s="766"/>
      <c r="HK21" s="766"/>
      <c r="HL21" s="766"/>
      <c r="HM21" s="766"/>
      <c r="HN21" s="766"/>
      <c r="HO21" s="766"/>
      <c r="HP21" s="766"/>
      <c r="HQ21" s="766"/>
      <c r="HR21" s="766"/>
      <c r="HS21" s="766"/>
      <c r="HT21" s="766"/>
      <c r="HU21" s="766"/>
      <c r="HV21" s="766"/>
      <c r="HW21" s="766"/>
      <c r="HX21" s="766"/>
      <c r="HY21" s="766"/>
      <c r="HZ21" s="766"/>
      <c r="IA21" s="766"/>
      <c r="IB21" s="766"/>
      <c r="IC21" s="766"/>
      <c r="ID21" s="766"/>
      <c r="IE21" s="766"/>
      <c r="IF21" s="766"/>
      <c r="IG21" s="766"/>
      <c r="IH21" s="766"/>
      <c r="II21" s="766"/>
      <c r="IJ21" s="766"/>
      <c r="IK21" s="766"/>
      <c r="IL21" s="766"/>
      <c r="IM21" s="766"/>
      <c r="IN21" s="766"/>
      <c r="IO21" s="766"/>
      <c r="IP21" s="766"/>
      <c r="IQ21" s="766"/>
      <c r="IR21" s="766"/>
      <c r="IS21" s="766"/>
    </row>
    <row r="22" spans="1:253" s="92" customFormat="1" x14ac:dyDescent="0.2">
      <c r="A22" s="817" t="s">
        <v>262</v>
      </c>
      <c r="B22" s="817" t="s">
        <v>26</v>
      </c>
      <c r="C22" s="817" t="s">
        <v>530</v>
      </c>
      <c r="D22" s="817" t="s">
        <v>531</v>
      </c>
      <c r="E22" s="817">
        <v>84600</v>
      </c>
      <c r="F22" s="817">
        <v>1988</v>
      </c>
      <c r="G22" s="817">
        <v>2003</v>
      </c>
      <c r="H22" s="817">
        <v>2568080</v>
      </c>
      <c r="I22" s="817">
        <v>1113800</v>
      </c>
      <c r="J22" s="817">
        <v>450</v>
      </c>
      <c r="K22" s="817" t="s">
        <v>465</v>
      </c>
      <c r="L22" s="817" t="s">
        <v>465</v>
      </c>
      <c r="M22" s="817">
        <v>2568200</v>
      </c>
      <c r="N22" s="817">
        <v>1113916</v>
      </c>
      <c r="O22" s="817">
        <v>448</v>
      </c>
      <c r="P22" s="817">
        <v>300</v>
      </c>
      <c r="Q22" s="817">
        <v>1600</v>
      </c>
      <c r="R22" s="817">
        <v>15</v>
      </c>
      <c r="S22" s="817">
        <v>95</v>
      </c>
      <c r="T22" s="817">
        <v>70</v>
      </c>
      <c r="U22" s="817">
        <v>90</v>
      </c>
      <c r="V22" s="817">
        <v>4</v>
      </c>
      <c r="W22" s="817"/>
      <c r="X22" s="817">
        <v>75</v>
      </c>
      <c r="Y22" s="817"/>
      <c r="Z22" s="817">
        <v>0.3</v>
      </c>
      <c r="AA22" s="817">
        <v>40</v>
      </c>
      <c r="AB22" s="817"/>
      <c r="AC22" s="817">
        <v>0</v>
      </c>
      <c r="AD22" s="817">
        <v>0</v>
      </c>
      <c r="AE22" s="817"/>
      <c r="AF22" s="817" t="s">
        <v>237</v>
      </c>
      <c r="AG22" s="817">
        <v>24</v>
      </c>
      <c r="AH22" s="817">
        <v>24</v>
      </c>
      <c r="AI22" s="817">
        <v>156</v>
      </c>
      <c r="AJ22" s="817">
        <v>0</v>
      </c>
      <c r="AK22" s="817">
        <v>0</v>
      </c>
      <c r="AL22" s="817">
        <v>156</v>
      </c>
      <c r="AM22" s="817">
        <v>156</v>
      </c>
      <c r="AN22" s="817">
        <v>156</v>
      </c>
      <c r="AO22" s="817">
        <v>156</v>
      </c>
      <c r="AP22" s="817">
        <v>0</v>
      </c>
      <c r="AQ22" s="817">
        <v>0</v>
      </c>
      <c r="AR22" s="817">
        <v>156</v>
      </c>
      <c r="AS22" s="817">
        <v>156</v>
      </c>
      <c r="AT22" s="817">
        <v>156</v>
      </c>
      <c r="AU22" s="817">
        <v>0</v>
      </c>
      <c r="AV22" s="817">
        <v>104</v>
      </c>
      <c r="AW22" s="817">
        <v>52</v>
      </c>
      <c r="AX22" s="817">
        <f t="shared" si="0"/>
        <v>1</v>
      </c>
      <c r="AY22" s="817">
        <v>1</v>
      </c>
      <c r="AZ22" s="817" t="s">
        <v>658</v>
      </c>
      <c r="BA22" s="817">
        <v>2</v>
      </c>
      <c r="BB22" s="817">
        <v>84600</v>
      </c>
      <c r="BC22" s="817" t="s">
        <v>532</v>
      </c>
      <c r="BD22" s="817">
        <v>1</v>
      </c>
      <c r="BE22" s="817">
        <v>1</v>
      </c>
      <c r="BF22" s="817">
        <v>1</v>
      </c>
      <c r="BG22" s="817">
        <v>1</v>
      </c>
      <c r="BH22" s="817">
        <v>1</v>
      </c>
      <c r="BI22" s="817">
        <v>1</v>
      </c>
      <c r="BJ22" s="817">
        <v>1</v>
      </c>
      <c r="BK22" s="817">
        <v>4</v>
      </c>
      <c r="BL22" s="817">
        <v>2</v>
      </c>
      <c r="BM22" s="817">
        <v>1</v>
      </c>
      <c r="BN22" s="817">
        <v>1</v>
      </c>
      <c r="BO22" s="817">
        <v>1</v>
      </c>
      <c r="BP22" s="817">
        <v>1</v>
      </c>
      <c r="BQ22" s="817">
        <v>1</v>
      </c>
      <c r="BR22" s="817">
        <v>1</v>
      </c>
      <c r="BS22" s="817">
        <v>1</v>
      </c>
      <c r="BT22" s="817">
        <v>1</v>
      </c>
      <c r="BU22" s="817">
        <v>1</v>
      </c>
      <c r="BV22" s="817">
        <v>2</v>
      </c>
      <c r="BW22" s="817">
        <v>1</v>
      </c>
      <c r="BX22" s="817">
        <v>2</v>
      </c>
      <c r="BY22" s="817">
        <v>1</v>
      </c>
      <c r="BZ22" s="817">
        <v>2</v>
      </c>
      <c r="CA22" s="817">
        <v>1</v>
      </c>
      <c r="CB22" s="817">
        <v>1</v>
      </c>
      <c r="CC22" s="817">
        <v>1</v>
      </c>
      <c r="CD22" s="817">
        <v>1</v>
      </c>
      <c r="CE22" s="817">
        <v>1</v>
      </c>
      <c r="CF22" s="817" t="s">
        <v>533</v>
      </c>
      <c r="CG22" s="817" t="s">
        <v>534</v>
      </c>
      <c r="CH22" s="817"/>
      <c r="CI22" s="817">
        <v>3</v>
      </c>
      <c r="CJ22" s="817">
        <v>5</v>
      </c>
      <c r="CK22" s="817"/>
      <c r="CL22" s="817">
        <v>1</v>
      </c>
      <c r="CM22" s="817">
        <v>1</v>
      </c>
      <c r="CN22" s="817">
        <v>1</v>
      </c>
      <c r="CO22" s="817">
        <v>1</v>
      </c>
      <c r="CP22" s="817"/>
      <c r="CQ22" s="817"/>
      <c r="CR22" s="817">
        <v>156</v>
      </c>
      <c r="CS22" s="817">
        <v>156</v>
      </c>
      <c r="CT22" s="817">
        <v>1</v>
      </c>
      <c r="CU22" s="160"/>
      <c r="CV22" s="160"/>
      <c r="CW22" s="160"/>
      <c r="CX22" s="160"/>
      <c r="CY22" s="160"/>
      <c r="CZ22" s="160"/>
      <c r="DA22" s="160"/>
      <c r="DB22" s="160"/>
      <c r="DC22" s="160"/>
      <c r="DD22" s="160"/>
      <c r="DE22" s="160"/>
      <c r="DF22" s="160"/>
      <c r="DG22" s="160"/>
      <c r="DH22" s="160"/>
      <c r="DI22" s="160"/>
      <c r="DJ22" s="160"/>
      <c r="DK22" s="167"/>
      <c r="DL22" s="766"/>
      <c r="DM22" s="871" t="s">
        <v>262</v>
      </c>
      <c r="DN22" s="871" t="s">
        <v>704</v>
      </c>
      <c r="DO22" s="766"/>
      <c r="DP22" s="766"/>
      <c r="DQ22" s="766"/>
      <c r="DR22" s="766"/>
      <c r="DS22" s="766"/>
      <c r="DT22" s="766"/>
      <c r="DU22" s="766"/>
      <c r="DV22" s="766"/>
      <c r="DW22" s="766"/>
      <c r="DX22" s="766"/>
      <c r="DY22" s="766"/>
      <c r="DZ22" s="766"/>
      <c r="EA22" s="766"/>
      <c r="EB22" s="766"/>
      <c r="EC22" s="766"/>
      <c r="ED22" s="766"/>
      <c r="EE22" s="766"/>
      <c r="EF22" s="766"/>
      <c r="EG22" s="766"/>
      <c r="EH22" s="766"/>
      <c r="EI22" s="766"/>
      <c r="EJ22" s="766"/>
      <c r="EK22" s="766"/>
      <c r="EL22" s="766"/>
      <c r="EM22" s="766"/>
      <c r="EN22" s="766"/>
      <c r="EO22" s="766"/>
      <c r="EP22" s="766"/>
      <c r="EQ22" s="766"/>
      <c r="ER22" s="766"/>
      <c r="ES22" s="766"/>
      <c r="ET22" s="766"/>
      <c r="EU22" s="766"/>
      <c r="EV22" s="766"/>
      <c r="EW22" s="766"/>
      <c r="EX22" s="766"/>
      <c r="EY22" s="766"/>
      <c r="EZ22" s="766"/>
      <c r="FA22" s="766"/>
      <c r="FB22" s="766"/>
      <c r="FC22" s="766"/>
      <c r="FD22" s="766"/>
      <c r="FE22" s="766"/>
      <c r="FF22" s="766"/>
      <c r="FG22" s="766"/>
      <c r="FH22" s="766"/>
      <c r="FI22" s="766"/>
      <c r="FJ22" s="766"/>
      <c r="FK22" s="766"/>
      <c r="FL22" s="766"/>
      <c r="FM22" s="766"/>
      <c r="FN22" s="766"/>
      <c r="FO22" s="766"/>
      <c r="FP22" s="766"/>
      <c r="FQ22" s="766"/>
      <c r="FR22" s="766"/>
      <c r="FS22" s="766"/>
      <c r="FT22" s="766"/>
      <c r="FU22" s="766"/>
      <c r="FV22" s="766"/>
      <c r="FW22" s="766"/>
      <c r="FX22" s="766"/>
      <c r="FY22" s="766"/>
      <c r="FZ22" s="766"/>
      <c r="GA22" s="766"/>
      <c r="GB22" s="766"/>
      <c r="GC22" s="766"/>
      <c r="GD22" s="766"/>
      <c r="GE22" s="766"/>
      <c r="GF22" s="766"/>
      <c r="GG22" s="766"/>
      <c r="GH22" s="766"/>
      <c r="GI22" s="766"/>
      <c r="GJ22" s="766"/>
      <c r="GK22" s="766"/>
      <c r="GL22" s="766"/>
      <c r="GM22" s="766"/>
      <c r="GN22" s="766"/>
      <c r="GO22" s="766"/>
      <c r="GP22" s="766"/>
      <c r="GQ22" s="766"/>
      <c r="GR22" s="766"/>
      <c r="GS22" s="766"/>
      <c r="GT22" s="766"/>
      <c r="GU22" s="766"/>
      <c r="GV22" s="766"/>
      <c r="GW22" s="766"/>
      <c r="GX22" s="766"/>
      <c r="GY22" s="766"/>
      <c r="GZ22" s="766"/>
      <c r="HA22" s="766"/>
      <c r="HB22" s="766"/>
      <c r="HC22" s="766"/>
      <c r="HD22" s="766"/>
      <c r="HE22" s="766"/>
      <c r="HF22" s="766"/>
      <c r="HG22" s="766"/>
      <c r="HH22" s="766"/>
      <c r="HI22" s="766"/>
      <c r="HJ22" s="766"/>
      <c r="HK22" s="766"/>
      <c r="HL22" s="766"/>
      <c r="HM22" s="766"/>
      <c r="HN22" s="766"/>
      <c r="HO22" s="766"/>
      <c r="HP22" s="766"/>
      <c r="HQ22" s="766"/>
      <c r="HR22" s="766"/>
      <c r="HS22" s="766"/>
      <c r="HT22" s="766"/>
      <c r="HU22" s="766"/>
      <c r="HV22" s="766"/>
      <c r="HW22" s="766"/>
      <c r="HX22" s="766"/>
      <c r="HY22" s="766"/>
      <c r="HZ22" s="766"/>
      <c r="IA22" s="766"/>
      <c r="IB22" s="766"/>
      <c r="IC22" s="766"/>
      <c r="ID22" s="766"/>
      <c r="IE22" s="766"/>
      <c r="IF22" s="766"/>
      <c r="IG22" s="766"/>
      <c r="IH22" s="766"/>
      <c r="II22" s="766"/>
      <c r="IJ22" s="766"/>
      <c r="IK22" s="766"/>
      <c r="IL22" s="766"/>
      <c r="IM22" s="766"/>
      <c r="IN22" s="766"/>
      <c r="IO22" s="766"/>
      <c r="IP22" s="766"/>
      <c r="IQ22" s="766"/>
      <c r="IR22" s="766"/>
      <c r="IS22" s="766"/>
    </row>
    <row r="23" spans="1:253" s="92" customFormat="1" x14ac:dyDescent="0.2">
      <c r="A23" s="817" t="s">
        <v>158</v>
      </c>
      <c r="B23" s="817" t="s">
        <v>159</v>
      </c>
      <c r="C23" s="817" t="s">
        <v>535</v>
      </c>
      <c r="D23" s="817" t="s">
        <v>536</v>
      </c>
      <c r="E23" s="817">
        <v>6000</v>
      </c>
      <c r="F23" s="817">
        <v>2010</v>
      </c>
      <c r="G23" s="817">
        <v>0</v>
      </c>
      <c r="H23" s="817">
        <v>2604076</v>
      </c>
      <c r="I23" s="817">
        <v>1106880</v>
      </c>
      <c r="J23" s="817">
        <v>1340</v>
      </c>
      <c r="K23" s="817" t="s">
        <v>537</v>
      </c>
      <c r="L23" s="817" t="s">
        <v>465</v>
      </c>
      <c r="M23" s="817">
        <v>2604070</v>
      </c>
      <c r="N23" s="817">
        <v>1106870</v>
      </c>
      <c r="O23" s="817">
        <v>1305</v>
      </c>
      <c r="P23" s="817">
        <v>1800</v>
      </c>
      <c r="Q23" s="817">
        <v>255</v>
      </c>
      <c r="R23" s="817"/>
      <c r="S23" s="817"/>
      <c r="T23" s="817">
        <v>10</v>
      </c>
      <c r="U23" s="817">
        <v>85</v>
      </c>
      <c r="V23" s="817">
        <v>0.8</v>
      </c>
      <c r="W23" s="817">
        <v>80</v>
      </c>
      <c r="X23" s="817">
        <v>2</v>
      </c>
      <c r="Y23" s="817">
        <v>90</v>
      </c>
      <c r="Z23" s="817">
        <v>0.3</v>
      </c>
      <c r="AA23" s="817">
        <v>20</v>
      </c>
      <c r="AB23" s="817"/>
      <c r="AC23" s="817">
        <v>1598</v>
      </c>
      <c r="AD23" s="817">
        <v>3371</v>
      </c>
      <c r="AE23" s="817"/>
      <c r="AF23" s="817" t="s">
        <v>237</v>
      </c>
      <c r="AG23" s="817">
        <v>0</v>
      </c>
      <c r="AH23" s="817">
        <v>0</v>
      </c>
      <c r="AI23" s="817">
        <v>12</v>
      </c>
      <c r="AJ23" s="817">
        <v>0</v>
      </c>
      <c r="AK23" s="817">
        <v>0</v>
      </c>
      <c r="AL23" s="817">
        <v>12</v>
      </c>
      <c r="AM23" s="817">
        <v>52</v>
      </c>
      <c r="AN23" s="817">
        <v>52</v>
      </c>
      <c r="AO23" s="817">
        <v>24</v>
      </c>
      <c r="AP23" s="817">
        <v>0</v>
      </c>
      <c r="AQ23" s="817">
        <v>0</v>
      </c>
      <c r="AR23" s="817">
        <v>12</v>
      </c>
      <c r="AS23" s="817">
        <v>52</v>
      </c>
      <c r="AT23" s="817">
        <v>52</v>
      </c>
      <c r="AU23" s="817">
        <v>0</v>
      </c>
      <c r="AV23" s="817">
        <v>52</v>
      </c>
      <c r="AW23" s="817">
        <v>52</v>
      </c>
      <c r="AX23" s="817">
        <f t="shared" si="0"/>
        <v>1</v>
      </c>
      <c r="AY23" s="817">
        <v>1</v>
      </c>
      <c r="AZ23" s="817" t="s">
        <v>658</v>
      </c>
      <c r="BA23" s="817">
        <v>1</v>
      </c>
      <c r="BB23" s="817">
        <v>0</v>
      </c>
      <c r="BC23" s="817"/>
      <c r="BD23" s="817">
        <v>1</v>
      </c>
      <c r="BE23" s="817">
        <v>1</v>
      </c>
      <c r="BF23" s="817">
        <v>2</v>
      </c>
      <c r="BG23" s="817">
        <v>2</v>
      </c>
      <c r="BH23" s="817">
        <v>2</v>
      </c>
      <c r="BI23" s="817">
        <v>1</v>
      </c>
      <c r="BJ23" s="817">
        <v>1</v>
      </c>
      <c r="BK23" s="817">
        <v>2</v>
      </c>
      <c r="BL23" s="817">
        <v>5</v>
      </c>
      <c r="BM23" s="817">
        <v>1</v>
      </c>
      <c r="BN23" s="817">
        <v>1</v>
      </c>
      <c r="BO23" s="817">
        <v>1</v>
      </c>
      <c r="BP23" s="817">
        <v>1</v>
      </c>
      <c r="BQ23" s="817">
        <v>1</v>
      </c>
      <c r="BR23" s="817">
        <v>2</v>
      </c>
      <c r="BS23" s="817">
        <v>1</v>
      </c>
      <c r="BT23" s="817">
        <v>1</v>
      </c>
      <c r="BU23" s="817">
        <v>1</v>
      </c>
      <c r="BV23" s="817">
        <v>1</v>
      </c>
      <c r="BW23" s="817">
        <v>1</v>
      </c>
      <c r="BX23" s="817">
        <v>1</v>
      </c>
      <c r="BY23" s="817">
        <v>1</v>
      </c>
      <c r="BZ23" s="817">
        <v>1</v>
      </c>
      <c r="CA23" s="817">
        <v>1</v>
      </c>
      <c r="CB23" s="817">
        <v>1</v>
      </c>
      <c r="CC23" s="817">
        <v>1</v>
      </c>
      <c r="CD23" s="817">
        <v>1</v>
      </c>
      <c r="CE23" s="817">
        <v>1</v>
      </c>
      <c r="CF23" s="817" t="s">
        <v>538</v>
      </c>
      <c r="CG23" s="817" t="s">
        <v>539</v>
      </c>
      <c r="CH23" s="817">
        <v>2</v>
      </c>
      <c r="CI23" s="817">
        <v>1</v>
      </c>
      <c r="CJ23" s="817">
        <v>2</v>
      </c>
      <c r="CK23" s="817">
        <v>4</v>
      </c>
      <c r="CL23" s="817">
        <v>1</v>
      </c>
      <c r="CM23" s="817">
        <v>1</v>
      </c>
      <c r="CN23" s="817">
        <v>1</v>
      </c>
      <c r="CO23" s="817">
        <v>1</v>
      </c>
      <c r="CP23" s="817">
        <v>60</v>
      </c>
      <c r="CQ23" s="817">
        <v>80</v>
      </c>
      <c r="CR23" s="817">
        <v>52</v>
      </c>
      <c r="CS23" s="817">
        <v>52</v>
      </c>
      <c r="CT23" s="817">
        <v>1</v>
      </c>
      <c r="CU23" s="160"/>
      <c r="CV23" s="160"/>
      <c r="CW23" s="160"/>
      <c r="CX23" s="160"/>
      <c r="CY23" s="160"/>
      <c r="CZ23" s="160"/>
      <c r="DA23" s="160"/>
      <c r="DB23" s="160"/>
      <c r="DC23" s="160"/>
      <c r="DD23" s="160"/>
      <c r="DE23" s="160"/>
      <c r="DF23" s="160"/>
      <c r="DG23" s="160"/>
      <c r="DH23" s="160"/>
      <c r="DI23" s="160"/>
      <c r="DJ23" s="160"/>
      <c r="DK23" s="167"/>
      <c r="DL23" s="766"/>
      <c r="DM23" s="871" t="s">
        <v>705</v>
      </c>
      <c r="DN23" s="871" t="s">
        <v>706</v>
      </c>
      <c r="DO23" s="766"/>
      <c r="DP23" s="766"/>
      <c r="DQ23" s="766"/>
      <c r="DR23" s="766"/>
      <c r="DS23" s="766"/>
      <c r="DT23" s="766"/>
      <c r="DU23" s="766"/>
      <c r="DV23" s="766"/>
      <c r="DW23" s="766"/>
      <c r="DX23" s="766"/>
      <c r="DY23" s="766"/>
      <c r="DZ23" s="766"/>
      <c r="EA23" s="766"/>
      <c r="EB23" s="766"/>
      <c r="EC23" s="766"/>
      <c r="ED23" s="766"/>
      <c r="EE23" s="766"/>
      <c r="EF23" s="766"/>
      <c r="EG23" s="766"/>
      <c r="EH23" s="766"/>
      <c r="EI23" s="766"/>
      <c r="EJ23" s="766"/>
      <c r="EK23" s="766"/>
      <c r="EL23" s="766"/>
      <c r="EM23" s="766"/>
      <c r="EN23" s="766"/>
      <c r="EO23" s="766"/>
      <c r="EP23" s="766"/>
      <c r="EQ23" s="766"/>
      <c r="ER23" s="766"/>
      <c r="ES23" s="766"/>
      <c r="ET23" s="766"/>
      <c r="EU23" s="766"/>
      <c r="EV23" s="766"/>
      <c r="EW23" s="766"/>
      <c r="EX23" s="766"/>
      <c r="EY23" s="766"/>
      <c r="EZ23" s="766"/>
      <c r="FA23" s="766"/>
      <c r="FB23" s="766"/>
      <c r="FC23" s="766"/>
      <c r="FD23" s="766"/>
      <c r="FE23" s="766"/>
      <c r="FF23" s="766"/>
      <c r="FG23" s="766"/>
      <c r="FH23" s="766"/>
      <c r="FI23" s="766"/>
      <c r="FJ23" s="766"/>
      <c r="FK23" s="766"/>
      <c r="FL23" s="766"/>
      <c r="FM23" s="766"/>
      <c r="FN23" s="766"/>
      <c r="FO23" s="766"/>
      <c r="FP23" s="766"/>
      <c r="FQ23" s="766"/>
      <c r="FR23" s="766"/>
      <c r="FS23" s="766"/>
      <c r="FT23" s="766"/>
      <c r="FU23" s="766"/>
      <c r="FV23" s="766"/>
      <c r="FW23" s="766"/>
      <c r="FX23" s="766"/>
      <c r="FY23" s="766"/>
      <c r="FZ23" s="766"/>
      <c r="GA23" s="766"/>
      <c r="GB23" s="766"/>
      <c r="GC23" s="766"/>
      <c r="GD23" s="766"/>
      <c r="GE23" s="766"/>
      <c r="GF23" s="766"/>
      <c r="GG23" s="766"/>
      <c r="GH23" s="766"/>
      <c r="GI23" s="766"/>
      <c r="GJ23" s="766"/>
      <c r="GK23" s="766"/>
      <c r="GL23" s="766"/>
      <c r="GM23" s="766"/>
      <c r="GN23" s="766"/>
      <c r="GO23" s="766"/>
      <c r="GP23" s="766"/>
      <c r="GQ23" s="766"/>
      <c r="GR23" s="766"/>
      <c r="GS23" s="766"/>
      <c r="GT23" s="766"/>
      <c r="GU23" s="766"/>
      <c r="GV23" s="766"/>
      <c r="GW23" s="766"/>
      <c r="GX23" s="766"/>
      <c r="GY23" s="766"/>
      <c r="GZ23" s="766"/>
      <c r="HA23" s="766"/>
      <c r="HB23" s="766"/>
      <c r="HC23" s="766"/>
      <c r="HD23" s="766"/>
      <c r="HE23" s="766"/>
      <c r="HF23" s="766"/>
      <c r="HG23" s="766"/>
      <c r="HH23" s="766"/>
      <c r="HI23" s="766"/>
      <c r="HJ23" s="766"/>
      <c r="HK23" s="766"/>
      <c r="HL23" s="766"/>
      <c r="HM23" s="766"/>
      <c r="HN23" s="766"/>
      <c r="HO23" s="766"/>
      <c r="HP23" s="766"/>
      <c r="HQ23" s="766"/>
      <c r="HR23" s="766"/>
      <c r="HS23" s="766"/>
      <c r="HT23" s="766"/>
      <c r="HU23" s="766"/>
      <c r="HV23" s="766"/>
      <c r="HW23" s="766"/>
      <c r="HX23" s="766"/>
      <c r="HY23" s="766"/>
      <c r="HZ23" s="766"/>
      <c r="IA23" s="766"/>
      <c r="IB23" s="766"/>
      <c r="IC23" s="766"/>
      <c r="ID23" s="766"/>
      <c r="IE23" s="766"/>
      <c r="IF23" s="766"/>
      <c r="IG23" s="766"/>
      <c r="IH23" s="766"/>
      <c r="II23" s="766"/>
      <c r="IJ23" s="766"/>
      <c r="IK23" s="766"/>
      <c r="IL23" s="766"/>
      <c r="IM23" s="766"/>
      <c r="IN23" s="766"/>
      <c r="IO23" s="766"/>
      <c r="IP23" s="766"/>
      <c r="IQ23" s="766"/>
      <c r="IR23" s="766"/>
      <c r="IS23" s="766"/>
    </row>
    <row r="24" spans="1:253" s="92" customFormat="1" x14ac:dyDescent="0.2">
      <c r="A24" s="817" t="s">
        <v>111</v>
      </c>
      <c r="B24" s="817" t="s">
        <v>27</v>
      </c>
      <c r="C24" s="817" t="s">
        <v>228</v>
      </c>
      <c r="D24" s="817" t="s">
        <v>570</v>
      </c>
      <c r="E24" s="817">
        <v>500</v>
      </c>
      <c r="F24" s="817">
        <v>2004</v>
      </c>
      <c r="G24" s="817">
        <v>0</v>
      </c>
      <c r="H24" s="817">
        <v>2624260</v>
      </c>
      <c r="I24" s="817">
        <v>1137200</v>
      </c>
      <c r="J24" s="817">
        <v>1350</v>
      </c>
      <c r="K24" s="817" t="s">
        <v>480</v>
      </c>
      <c r="L24" s="817" t="s">
        <v>465</v>
      </c>
      <c r="M24" s="817">
        <v>2624360</v>
      </c>
      <c r="N24" s="817">
        <v>1137210</v>
      </c>
      <c r="O24" s="817">
        <v>1310</v>
      </c>
      <c r="P24" s="817">
        <v>150</v>
      </c>
      <c r="Q24" s="817"/>
      <c r="R24" s="817"/>
      <c r="S24" s="817"/>
      <c r="T24" s="817"/>
      <c r="U24" s="817"/>
      <c r="V24" s="817">
        <v>0.8</v>
      </c>
      <c r="W24" s="817">
        <v>80</v>
      </c>
      <c r="X24" s="817"/>
      <c r="Y24" s="817"/>
      <c r="Z24" s="817">
        <v>0.3</v>
      </c>
      <c r="AA24" s="817">
        <v>20</v>
      </c>
      <c r="AB24" s="817"/>
      <c r="AC24" s="817">
        <v>244</v>
      </c>
      <c r="AD24" s="817">
        <v>193</v>
      </c>
      <c r="AE24" s="817"/>
      <c r="AF24" s="817" t="s">
        <v>479</v>
      </c>
      <c r="AG24" s="817">
        <v>0</v>
      </c>
      <c r="AH24" s="817">
        <v>0</v>
      </c>
      <c r="AI24" s="817">
        <v>0</v>
      </c>
      <c r="AJ24" s="817">
        <v>0</v>
      </c>
      <c r="AK24" s="817">
        <v>0</v>
      </c>
      <c r="AL24" s="817">
        <v>0</v>
      </c>
      <c r="AM24" s="817">
        <v>0</v>
      </c>
      <c r="AN24" s="817">
        <v>12</v>
      </c>
      <c r="AO24" s="817">
        <v>12</v>
      </c>
      <c r="AP24" s="817">
        <v>0</v>
      </c>
      <c r="AQ24" s="817">
        <v>0</v>
      </c>
      <c r="AR24" s="817">
        <v>12</v>
      </c>
      <c r="AS24" s="817">
        <v>12</v>
      </c>
      <c r="AT24" s="817">
        <v>12</v>
      </c>
      <c r="AU24" s="817">
        <v>0</v>
      </c>
      <c r="AV24" s="817">
        <v>12</v>
      </c>
      <c r="AW24" s="817">
        <v>12</v>
      </c>
      <c r="AX24" s="817">
        <f t="shared" si="0"/>
        <v>0</v>
      </c>
      <c r="AY24" s="817">
        <v>2</v>
      </c>
      <c r="AZ24" s="817" t="s">
        <v>770</v>
      </c>
      <c r="BA24" s="817">
        <v>1</v>
      </c>
      <c r="BB24" s="817">
        <v>0</v>
      </c>
      <c r="BC24" s="817"/>
      <c r="BD24" s="817">
        <v>2</v>
      </c>
      <c r="BE24" s="817">
        <v>2</v>
      </c>
      <c r="BF24" s="817">
        <v>1</v>
      </c>
      <c r="BG24" s="817">
        <v>1</v>
      </c>
      <c r="BH24" s="817">
        <v>2</v>
      </c>
      <c r="BI24" s="817">
        <v>1</v>
      </c>
      <c r="BJ24" s="817">
        <v>2</v>
      </c>
      <c r="BK24" s="817">
        <v>1</v>
      </c>
      <c r="BL24" s="817"/>
      <c r="BM24" s="817">
        <v>1</v>
      </c>
      <c r="BN24" s="817">
        <v>1</v>
      </c>
      <c r="BO24" s="817">
        <v>1</v>
      </c>
      <c r="BP24" s="817">
        <v>1</v>
      </c>
      <c r="BQ24" s="817">
        <v>2</v>
      </c>
      <c r="BR24" s="817">
        <v>1</v>
      </c>
      <c r="BS24" s="817">
        <v>1</v>
      </c>
      <c r="BT24" s="817">
        <v>1</v>
      </c>
      <c r="BU24" s="817">
        <v>1</v>
      </c>
      <c r="BV24" s="817">
        <v>1</v>
      </c>
      <c r="BW24" s="817">
        <v>1</v>
      </c>
      <c r="BX24" s="817">
        <v>1</v>
      </c>
      <c r="BY24" s="817">
        <v>1</v>
      </c>
      <c r="BZ24" s="817">
        <v>1</v>
      </c>
      <c r="CA24" s="817">
        <v>1</v>
      </c>
      <c r="CB24" s="817">
        <v>0</v>
      </c>
      <c r="CC24" s="817">
        <v>1</v>
      </c>
      <c r="CD24" s="817">
        <v>1</v>
      </c>
      <c r="CE24" s="817">
        <v>1</v>
      </c>
      <c r="CF24" s="817" t="s">
        <v>481</v>
      </c>
      <c r="CG24" s="817" t="s">
        <v>482</v>
      </c>
      <c r="CH24" s="817"/>
      <c r="CI24" s="817">
        <v>4</v>
      </c>
      <c r="CJ24" s="817">
        <v>5</v>
      </c>
      <c r="CK24" s="817"/>
      <c r="CL24" s="817">
        <v>1</v>
      </c>
      <c r="CM24" s="817">
        <v>1</v>
      </c>
      <c r="CN24" s="817">
        <v>1</v>
      </c>
      <c r="CO24" s="817">
        <v>1</v>
      </c>
      <c r="CP24" s="817">
        <v>60</v>
      </c>
      <c r="CQ24" s="817">
        <v>80</v>
      </c>
      <c r="CR24" s="817">
        <v>12</v>
      </c>
      <c r="CS24" s="817">
        <v>12</v>
      </c>
      <c r="CT24" s="817">
        <v>1</v>
      </c>
      <c r="CU24" s="160"/>
      <c r="CV24" s="160"/>
      <c r="CW24" s="160"/>
      <c r="CX24" s="160"/>
      <c r="CY24" s="160"/>
      <c r="CZ24" s="160"/>
      <c r="DA24" s="160"/>
      <c r="DB24" s="160"/>
      <c r="DC24" s="160"/>
      <c r="DD24" s="160"/>
      <c r="DE24" s="160"/>
      <c r="DF24" s="160"/>
      <c r="DG24" s="160"/>
      <c r="DH24" s="160"/>
      <c r="DI24" s="160"/>
      <c r="DJ24" s="160"/>
      <c r="DK24" s="167"/>
      <c r="DL24" s="766"/>
      <c r="DM24" s="871" t="s">
        <v>111</v>
      </c>
      <c r="DN24" s="871" t="s">
        <v>707</v>
      </c>
      <c r="DO24" s="766"/>
      <c r="DP24" s="766"/>
      <c r="DQ24" s="766"/>
      <c r="DR24" s="766"/>
      <c r="DS24" s="766"/>
      <c r="DT24" s="766"/>
      <c r="DU24" s="766"/>
      <c r="DV24" s="766"/>
      <c r="DW24" s="766"/>
      <c r="DX24" s="766"/>
      <c r="DY24" s="766"/>
      <c r="DZ24" s="766"/>
      <c r="EA24" s="766"/>
      <c r="EB24" s="766"/>
      <c r="EC24" s="766"/>
      <c r="ED24" s="766"/>
      <c r="EE24" s="766"/>
      <c r="EF24" s="766"/>
      <c r="EG24" s="766"/>
      <c r="EH24" s="766"/>
      <c r="EI24" s="766"/>
      <c r="EJ24" s="766"/>
      <c r="EK24" s="766"/>
      <c r="EL24" s="766"/>
      <c r="EM24" s="766"/>
      <c r="EN24" s="766"/>
      <c r="EO24" s="766"/>
      <c r="EP24" s="766"/>
      <c r="EQ24" s="766"/>
      <c r="ER24" s="766"/>
      <c r="ES24" s="766"/>
      <c r="ET24" s="766"/>
      <c r="EU24" s="766"/>
      <c r="EV24" s="766"/>
      <c r="EW24" s="766"/>
      <c r="EX24" s="766"/>
      <c r="EY24" s="766"/>
      <c r="EZ24" s="766"/>
      <c r="FA24" s="766"/>
      <c r="FB24" s="766"/>
      <c r="FC24" s="766"/>
      <c r="FD24" s="766"/>
      <c r="FE24" s="766"/>
      <c r="FF24" s="766"/>
      <c r="FG24" s="766"/>
      <c r="FH24" s="766"/>
      <c r="FI24" s="766"/>
      <c r="FJ24" s="766"/>
      <c r="FK24" s="766"/>
      <c r="FL24" s="766"/>
      <c r="FM24" s="766"/>
      <c r="FN24" s="766"/>
      <c r="FO24" s="766"/>
      <c r="FP24" s="766"/>
      <c r="FQ24" s="766"/>
      <c r="FR24" s="766"/>
      <c r="FS24" s="766"/>
      <c r="FT24" s="766"/>
      <c r="FU24" s="766"/>
      <c r="FV24" s="766"/>
      <c r="FW24" s="766"/>
      <c r="FX24" s="766"/>
      <c r="FY24" s="766"/>
      <c r="FZ24" s="766"/>
      <c r="GA24" s="766"/>
      <c r="GB24" s="766"/>
      <c r="GC24" s="766"/>
      <c r="GD24" s="766"/>
      <c r="GE24" s="766"/>
      <c r="GF24" s="766"/>
      <c r="GG24" s="766"/>
      <c r="GH24" s="766"/>
      <c r="GI24" s="766"/>
      <c r="GJ24" s="766"/>
      <c r="GK24" s="766"/>
      <c r="GL24" s="766"/>
      <c r="GM24" s="766"/>
      <c r="GN24" s="766"/>
      <c r="GO24" s="766"/>
      <c r="GP24" s="766"/>
      <c r="GQ24" s="766"/>
      <c r="GR24" s="766"/>
      <c r="GS24" s="766"/>
      <c r="GT24" s="766"/>
      <c r="GU24" s="766"/>
      <c r="GV24" s="766"/>
      <c r="GW24" s="766"/>
      <c r="GX24" s="766"/>
      <c r="GY24" s="766"/>
      <c r="GZ24" s="766"/>
      <c r="HA24" s="766"/>
      <c r="HB24" s="766"/>
      <c r="HC24" s="766"/>
      <c r="HD24" s="766"/>
      <c r="HE24" s="766"/>
      <c r="HF24" s="766"/>
      <c r="HG24" s="766"/>
      <c r="HH24" s="766"/>
      <c r="HI24" s="766"/>
      <c r="HJ24" s="766"/>
      <c r="HK24" s="766"/>
      <c r="HL24" s="766"/>
      <c r="HM24" s="766"/>
      <c r="HN24" s="766"/>
      <c r="HO24" s="766"/>
      <c r="HP24" s="766"/>
      <c r="HQ24" s="766"/>
      <c r="HR24" s="766"/>
      <c r="HS24" s="766"/>
      <c r="HT24" s="766"/>
      <c r="HU24" s="766"/>
      <c r="HV24" s="766"/>
      <c r="HW24" s="766"/>
      <c r="HX24" s="766"/>
      <c r="HY24" s="766"/>
      <c r="HZ24" s="766"/>
      <c r="IA24" s="766"/>
      <c r="IB24" s="766"/>
      <c r="IC24" s="766"/>
      <c r="ID24" s="766"/>
      <c r="IE24" s="766"/>
      <c r="IF24" s="766"/>
      <c r="IG24" s="766"/>
      <c r="IH24" s="766"/>
      <c r="II24" s="766"/>
      <c r="IJ24" s="766"/>
      <c r="IK24" s="766"/>
      <c r="IL24" s="766"/>
      <c r="IM24" s="766"/>
      <c r="IN24" s="766"/>
      <c r="IO24" s="766"/>
      <c r="IP24" s="766"/>
      <c r="IQ24" s="766"/>
      <c r="IR24" s="766"/>
      <c r="IS24" s="766"/>
    </row>
    <row r="25" spans="1:253" s="92" customFormat="1" x14ac:dyDescent="0.2">
      <c r="A25" s="817" t="s">
        <v>285</v>
      </c>
      <c r="B25" s="817" t="s">
        <v>29</v>
      </c>
      <c r="C25" s="817" t="s">
        <v>540</v>
      </c>
      <c r="D25" s="817" t="s">
        <v>541</v>
      </c>
      <c r="E25" s="817">
        <v>36167</v>
      </c>
      <c r="F25" s="817">
        <v>1981</v>
      </c>
      <c r="G25" s="817">
        <v>2001</v>
      </c>
      <c r="H25" s="817">
        <v>2652900</v>
      </c>
      <c r="I25" s="817">
        <v>1138180</v>
      </c>
      <c r="J25" s="817">
        <v>982</v>
      </c>
      <c r="K25" s="817" t="s">
        <v>542</v>
      </c>
      <c r="L25" s="817" t="s">
        <v>465</v>
      </c>
      <c r="M25" s="817">
        <v>2652930</v>
      </c>
      <c r="N25" s="817">
        <v>1138130</v>
      </c>
      <c r="O25" s="817">
        <v>978</v>
      </c>
      <c r="P25" s="817">
        <v>10800</v>
      </c>
      <c r="Q25" s="817">
        <v>2192</v>
      </c>
      <c r="R25" s="817"/>
      <c r="S25" s="817"/>
      <c r="T25" s="817">
        <v>10</v>
      </c>
      <c r="U25" s="817">
        <v>85</v>
      </c>
      <c r="V25" s="817">
        <v>0.8</v>
      </c>
      <c r="W25" s="817">
        <v>90</v>
      </c>
      <c r="X25" s="817"/>
      <c r="Y25" s="817"/>
      <c r="Z25" s="817">
        <v>0.3</v>
      </c>
      <c r="AA25" s="817">
        <v>15</v>
      </c>
      <c r="AB25" s="817"/>
      <c r="AC25" s="817">
        <v>4454</v>
      </c>
      <c r="AD25" s="817">
        <v>22855</v>
      </c>
      <c r="AE25" s="817"/>
      <c r="AF25" s="817" t="s">
        <v>237</v>
      </c>
      <c r="AG25" s="817">
        <v>0</v>
      </c>
      <c r="AH25" s="817">
        <v>0</v>
      </c>
      <c r="AI25" s="817">
        <v>12</v>
      </c>
      <c r="AJ25" s="817">
        <v>0</v>
      </c>
      <c r="AK25" s="817">
        <v>0</v>
      </c>
      <c r="AL25" s="817">
        <v>12</v>
      </c>
      <c r="AM25" s="817">
        <v>52</v>
      </c>
      <c r="AN25" s="817">
        <v>52</v>
      </c>
      <c r="AO25" s="817">
        <v>24</v>
      </c>
      <c r="AP25" s="817">
        <v>0</v>
      </c>
      <c r="AQ25" s="817">
        <v>0</v>
      </c>
      <c r="AR25" s="817">
        <v>12</v>
      </c>
      <c r="AS25" s="817">
        <v>104</v>
      </c>
      <c r="AT25" s="817">
        <v>104</v>
      </c>
      <c r="AU25" s="817">
        <v>0</v>
      </c>
      <c r="AV25" s="817">
        <v>52</v>
      </c>
      <c r="AW25" s="817">
        <v>52</v>
      </c>
      <c r="AX25" s="817">
        <f t="shared" si="0"/>
        <v>1</v>
      </c>
      <c r="AY25" s="817">
        <v>2</v>
      </c>
      <c r="AZ25" s="817" t="s">
        <v>166</v>
      </c>
      <c r="BA25" s="817">
        <v>1</v>
      </c>
      <c r="BB25" s="817">
        <v>0</v>
      </c>
      <c r="BC25" s="817" t="s">
        <v>543</v>
      </c>
      <c r="BD25" s="817">
        <v>1</v>
      </c>
      <c r="BE25" s="817">
        <v>1</v>
      </c>
      <c r="BF25" s="817">
        <v>2</v>
      </c>
      <c r="BG25" s="817">
        <v>2</v>
      </c>
      <c r="BH25" s="817">
        <v>2</v>
      </c>
      <c r="BI25" s="817">
        <v>1</v>
      </c>
      <c r="BJ25" s="817">
        <v>1</v>
      </c>
      <c r="BK25" s="817">
        <v>1</v>
      </c>
      <c r="BL25" s="817">
        <v>2</v>
      </c>
      <c r="BM25" s="817">
        <v>1</v>
      </c>
      <c r="BN25" s="817">
        <v>1</v>
      </c>
      <c r="BO25" s="817">
        <v>1</v>
      </c>
      <c r="BP25" s="817">
        <v>1</v>
      </c>
      <c r="BQ25" s="817">
        <v>1</v>
      </c>
      <c r="BR25" s="817">
        <v>2</v>
      </c>
      <c r="BS25" s="817">
        <v>1</v>
      </c>
      <c r="BT25" s="817">
        <v>1</v>
      </c>
      <c r="BU25" s="817">
        <v>1</v>
      </c>
      <c r="BV25" s="817">
        <v>1</v>
      </c>
      <c r="BW25" s="817">
        <v>1</v>
      </c>
      <c r="BX25" s="817">
        <v>1</v>
      </c>
      <c r="BY25" s="817">
        <v>1</v>
      </c>
      <c r="BZ25" s="817">
        <v>1</v>
      </c>
      <c r="CA25" s="817">
        <v>1</v>
      </c>
      <c r="CB25" s="817">
        <v>2</v>
      </c>
      <c r="CC25" s="817">
        <v>1</v>
      </c>
      <c r="CD25" s="817">
        <v>1</v>
      </c>
      <c r="CE25" s="817">
        <v>1</v>
      </c>
      <c r="CF25" s="817" t="s">
        <v>544</v>
      </c>
      <c r="CG25" s="817" t="s">
        <v>545</v>
      </c>
      <c r="CH25" s="817">
        <v>1</v>
      </c>
      <c r="CI25" s="817">
        <v>1</v>
      </c>
      <c r="CJ25" s="817">
        <v>2</v>
      </c>
      <c r="CK25" s="817">
        <v>5</v>
      </c>
      <c r="CL25" s="817">
        <v>1</v>
      </c>
      <c r="CM25" s="817">
        <v>1</v>
      </c>
      <c r="CN25" s="817">
        <v>1</v>
      </c>
      <c r="CO25" s="817">
        <v>1</v>
      </c>
      <c r="CP25" s="817">
        <v>45</v>
      </c>
      <c r="CQ25" s="817">
        <v>85</v>
      </c>
      <c r="CR25" s="817">
        <v>52</v>
      </c>
      <c r="CS25" s="817">
        <v>52</v>
      </c>
      <c r="CT25" s="817">
        <v>1</v>
      </c>
      <c r="CU25" s="160"/>
      <c r="CV25" s="160"/>
      <c r="CW25" s="160"/>
      <c r="CX25" s="160"/>
      <c r="CY25" s="160"/>
      <c r="CZ25" s="160"/>
      <c r="DA25" s="160"/>
      <c r="DB25" s="160"/>
      <c r="DC25" s="160"/>
      <c r="DD25" s="160"/>
      <c r="DE25" s="160"/>
      <c r="DF25" s="160"/>
      <c r="DG25" s="160"/>
      <c r="DH25" s="160"/>
      <c r="DI25" s="160"/>
      <c r="DJ25" s="160"/>
      <c r="DK25" s="167"/>
      <c r="DL25" s="766"/>
      <c r="DM25" s="871" t="s">
        <v>285</v>
      </c>
      <c r="DN25" s="871" t="s">
        <v>708</v>
      </c>
      <c r="DO25" s="766"/>
      <c r="DP25" s="766"/>
      <c r="DQ25" s="766"/>
      <c r="DR25" s="766"/>
      <c r="DS25" s="766"/>
      <c r="DT25" s="766"/>
      <c r="DU25" s="766"/>
      <c r="DV25" s="766"/>
      <c r="DW25" s="766"/>
      <c r="DX25" s="766"/>
      <c r="DY25" s="766"/>
      <c r="DZ25" s="766"/>
      <c r="EA25" s="766"/>
      <c r="EB25" s="766"/>
      <c r="EC25" s="766"/>
      <c r="ED25" s="766"/>
      <c r="EE25" s="766"/>
      <c r="EF25" s="766"/>
      <c r="EG25" s="766"/>
      <c r="EH25" s="766"/>
      <c r="EI25" s="766"/>
      <c r="EJ25" s="766"/>
      <c r="EK25" s="766"/>
      <c r="EL25" s="766"/>
      <c r="EM25" s="766"/>
      <c r="EN25" s="766"/>
      <c r="EO25" s="766"/>
      <c r="EP25" s="766"/>
      <c r="EQ25" s="766"/>
      <c r="ER25" s="766"/>
      <c r="ES25" s="766"/>
      <c r="ET25" s="766"/>
      <c r="EU25" s="766"/>
      <c r="EV25" s="766"/>
      <c r="EW25" s="766"/>
      <c r="EX25" s="766"/>
      <c r="EY25" s="766"/>
      <c r="EZ25" s="766"/>
      <c r="FA25" s="766"/>
      <c r="FB25" s="766"/>
      <c r="FC25" s="766"/>
      <c r="FD25" s="766"/>
      <c r="FE25" s="766"/>
      <c r="FF25" s="766"/>
      <c r="FG25" s="766"/>
      <c r="FH25" s="766"/>
      <c r="FI25" s="766"/>
      <c r="FJ25" s="766"/>
      <c r="FK25" s="766"/>
      <c r="FL25" s="766"/>
      <c r="FM25" s="766"/>
      <c r="FN25" s="766"/>
      <c r="FO25" s="766"/>
      <c r="FP25" s="766"/>
      <c r="FQ25" s="766"/>
      <c r="FR25" s="766"/>
      <c r="FS25" s="766"/>
      <c r="FT25" s="766"/>
      <c r="FU25" s="766"/>
      <c r="FV25" s="766"/>
      <c r="FW25" s="766"/>
      <c r="FX25" s="766"/>
      <c r="FY25" s="766"/>
      <c r="FZ25" s="766"/>
      <c r="GA25" s="766"/>
      <c r="GB25" s="766"/>
      <c r="GC25" s="766"/>
      <c r="GD25" s="766"/>
      <c r="GE25" s="766"/>
      <c r="GF25" s="766"/>
      <c r="GG25" s="766"/>
      <c r="GH25" s="766"/>
      <c r="GI25" s="766"/>
      <c r="GJ25" s="766"/>
      <c r="GK25" s="766"/>
      <c r="GL25" s="766"/>
      <c r="GM25" s="766"/>
      <c r="GN25" s="766"/>
      <c r="GO25" s="766"/>
      <c r="GP25" s="766"/>
      <c r="GQ25" s="766"/>
      <c r="GR25" s="766"/>
      <c r="GS25" s="766"/>
      <c r="GT25" s="766"/>
      <c r="GU25" s="766"/>
      <c r="GV25" s="766"/>
      <c r="GW25" s="766"/>
      <c r="GX25" s="766"/>
      <c r="GY25" s="766"/>
      <c r="GZ25" s="766"/>
      <c r="HA25" s="766"/>
      <c r="HB25" s="766"/>
      <c r="HC25" s="766"/>
      <c r="HD25" s="766"/>
      <c r="HE25" s="766"/>
      <c r="HF25" s="766"/>
      <c r="HG25" s="766"/>
      <c r="HH25" s="766"/>
      <c r="HI25" s="766"/>
      <c r="HJ25" s="766"/>
      <c r="HK25" s="766"/>
      <c r="HL25" s="766"/>
      <c r="HM25" s="766"/>
      <c r="HN25" s="766"/>
      <c r="HO25" s="766"/>
      <c r="HP25" s="766"/>
      <c r="HQ25" s="766"/>
      <c r="HR25" s="766"/>
      <c r="HS25" s="766"/>
      <c r="HT25" s="766"/>
      <c r="HU25" s="766"/>
      <c r="HV25" s="766"/>
      <c r="HW25" s="766"/>
      <c r="HX25" s="766"/>
      <c r="HY25" s="766"/>
      <c r="HZ25" s="766"/>
      <c r="IA25" s="766"/>
      <c r="IB25" s="766"/>
      <c r="IC25" s="766"/>
      <c r="ID25" s="766"/>
      <c r="IE25" s="766"/>
      <c r="IF25" s="766"/>
      <c r="IG25" s="766"/>
      <c r="IH25" s="766"/>
      <c r="II25" s="766"/>
      <c r="IJ25" s="766"/>
      <c r="IK25" s="766"/>
      <c r="IL25" s="766"/>
      <c r="IM25" s="766"/>
      <c r="IN25" s="766"/>
      <c r="IO25" s="766"/>
      <c r="IP25" s="766"/>
      <c r="IQ25" s="766"/>
      <c r="IR25" s="766"/>
      <c r="IS25" s="766"/>
    </row>
    <row r="26" spans="1:253" s="92" customFormat="1" x14ac:dyDescent="0.2">
      <c r="A26" s="817" t="s">
        <v>81</v>
      </c>
      <c r="B26" s="817" t="s">
        <v>30</v>
      </c>
      <c r="C26" s="817" t="s">
        <v>546</v>
      </c>
      <c r="D26" s="817" t="s">
        <v>547</v>
      </c>
      <c r="E26" s="817">
        <v>15750</v>
      </c>
      <c r="F26" s="817">
        <v>1991</v>
      </c>
      <c r="G26" s="817">
        <v>0</v>
      </c>
      <c r="H26" s="817">
        <v>2630180</v>
      </c>
      <c r="I26" s="817">
        <v>1116120</v>
      </c>
      <c r="J26" s="817">
        <v>1400</v>
      </c>
      <c r="K26" s="817" t="s">
        <v>548</v>
      </c>
      <c r="L26" s="817" t="s">
        <v>487</v>
      </c>
      <c r="M26" s="817">
        <v>2629816</v>
      </c>
      <c r="N26" s="817">
        <v>1116803</v>
      </c>
      <c r="O26" s="817">
        <v>1020</v>
      </c>
      <c r="P26" s="817">
        <v>3840</v>
      </c>
      <c r="Q26" s="817"/>
      <c r="R26" s="817"/>
      <c r="S26" s="817"/>
      <c r="T26" s="817">
        <v>10</v>
      </c>
      <c r="U26" s="817">
        <v>85</v>
      </c>
      <c r="V26" s="817">
        <v>0.8</v>
      </c>
      <c r="W26" s="817">
        <v>90</v>
      </c>
      <c r="X26" s="817"/>
      <c r="Y26" s="817"/>
      <c r="Z26" s="817">
        <v>0.3</v>
      </c>
      <c r="AA26" s="817">
        <v>15</v>
      </c>
      <c r="AB26" s="817"/>
      <c r="AC26" s="817">
        <v>1268</v>
      </c>
      <c r="AD26" s="817">
        <v>6879</v>
      </c>
      <c r="AE26" s="817"/>
      <c r="AF26" s="817" t="s">
        <v>237</v>
      </c>
      <c r="AG26" s="817">
        <v>0</v>
      </c>
      <c r="AH26" s="817">
        <v>0</v>
      </c>
      <c r="AI26" s="817">
        <v>12</v>
      </c>
      <c r="AJ26" s="817">
        <v>0</v>
      </c>
      <c r="AK26" s="817">
        <v>0</v>
      </c>
      <c r="AL26" s="817">
        <v>12</v>
      </c>
      <c r="AM26" s="817">
        <v>52</v>
      </c>
      <c r="AN26" s="817">
        <v>52</v>
      </c>
      <c r="AO26" s="817">
        <v>24</v>
      </c>
      <c r="AP26" s="817">
        <v>0</v>
      </c>
      <c r="AQ26" s="817">
        <v>0</v>
      </c>
      <c r="AR26" s="817">
        <v>12</v>
      </c>
      <c r="AS26" s="817">
        <v>104</v>
      </c>
      <c r="AT26" s="817">
        <v>104</v>
      </c>
      <c r="AU26" s="817">
        <v>0</v>
      </c>
      <c r="AV26" s="817">
        <v>52</v>
      </c>
      <c r="AW26" s="817">
        <v>52</v>
      </c>
      <c r="AX26" s="817">
        <f t="shared" si="0"/>
        <v>1</v>
      </c>
      <c r="AY26" s="817">
        <v>2</v>
      </c>
      <c r="AZ26" s="817" t="s">
        <v>166</v>
      </c>
      <c r="BA26" s="817">
        <v>1</v>
      </c>
      <c r="BB26" s="817">
        <v>0</v>
      </c>
      <c r="BC26" s="817" t="s">
        <v>773</v>
      </c>
      <c r="BD26" s="817">
        <v>1</v>
      </c>
      <c r="BE26" s="817">
        <v>1</v>
      </c>
      <c r="BF26" s="817">
        <v>2</v>
      </c>
      <c r="BG26" s="817">
        <v>2</v>
      </c>
      <c r="BH26" s="817">
        <v>2</v>
      </c>
      <c r="BI26" s="817">
        <v>1</v>
      </c>
      <c r="BJ26" s="817">
        <v>1</v>
      </c>
      <c r="BK26" s="817">
        <v>1</v>
      </c>
      <c r="BL26" s="817"/>
      <c r="BM26" s="817">
        <v>1</v>
      </c>
      <c r="BN26" s="817">
        <v>2</v>
      </c>
      <c r="BO26" s="817">
        <v>1</v>
      </c>
      <c r="BP26" s="817">
        <v>1</v>
      </c>
      <c r="BQ26" s="817">
        <v>1</v>
      </c>
      <c r="BR26" s="817">
        <v>1</v>
      </c>
      <c r="BS26" s="817">
        <v>1</v>
      </c>
      <c r="BT26" s="817">
        <v>2</v>
      </c>
      <c r="BU26" s="817">
        <v>1</v>
      </c>
      <c r="BV26" s="817">
        <v>1</v>
      </c>
      <c r="BW26" s="817">
        <v>1</v>
      </c>
      <c r="BX26" s="817">
        <v>1</v>
      </c>
      <c r="BY26" s="817">
        <v>1</v>
      </c>
      <c r="BZ26" s="817">
        <v>1</v>
      </c>
      <c r="CA26" s="817">
        <v>1</v>
      </c>
      <c r="CB26" s="817">
        <v>1</v>
      </c>
      <c r="CC26" s="817">
        <v>1</v>
      </c>
      <c r="CD26" s="817">
        <v>1</v>
      </c>
      <c r="CE26" s="817">
        <v>1</v>
      </c>
      <c r="CF26" s="817" t="s">
        <v>549</v>
      </c>
      <c r="CG26" s="817" t="s">
        <v>550</v>
      </c>
      <c r="CH26" s="817">
        <v>1</v>
      </c>
      <c r="CI26" s="817">
        <v>2</v>
      </c>
      <c r="CJ26" s="817">
        <v>5</v>
      </c>
      <c r="CK26" s="817">
        <v>6</v>
      </c>
      <c r="CL26" s="817">
        <v>1</v>
      </c>
      <c r="CM26" s="817">
        <v>1</v>
      </c>
      <c r="CN26" s="817">
        <v>1</v>
      </c>
      <c r="CO26" s="817">
        <v>1</v>
      </c>
      <c r="CP26" s="817">
        <v>45</v>
      </c>
      <c r="CQ26" s="817">
        <v>85</v>
      </c>
      <c r="CR26" s="817">
        <v>52</v>
      </c>
      <c r="CS26" s="817">
        <v>52</v>
      </c>
      <c r="CT26" s="817">
        <v>1</v>
      </c>
      <c r="CU26" s="160"/>
      <c r="CV26" s="160"/>
      <c r="CW26" s="160"/>
      <c r="CX26" s="160"/>
      <c r="CY26" s="160"/>
      <c r="CZ26" s="160"/>
      <c r="DA26" s="160"/>
      <c r="DB26" s="160"/>
      <c r="DC26" s="160"/>
      <c r="DD26" s="160"/>
      <c r="DE26" s="160"/>
      <c r="DF26" s="160"/>
      <c r="DG26" s="160"/>
      <c r="DH26" s="160"/>
      <c r="DI26" s="160"/>
      <c r="DJ26" s="160"/>
      <c r="DK26" s="167"/>
      <c r="DL26" s="766"/>
      <c r="DM26" s="871" t="s">
        <v>81</v>
      </c>
      <c r="DN26" s="871" t="s">
        <v>709</v>
      </c>
      <c r="DO26" s="766"/>
      <c r="DP26" s="766"/>
      <c r="DQ26" s="766"/>
      <c r="DR26" s="766"/>
      <c r="DS26" s="766"/>
      <c r="DT26" s="766"/>
      <c r="DU26" s="766"/>
      <c r="DV26" s="766"/>
      <c r="DW26" s="766"/>
      <c r="DX26" s="766"/>
      <c r="DY26" s="766"/>
      <c r="DZ26" s="766"/>
      <c r="EA26" s="766"/>
      <c r="EB26" s="766"/>
      <c r="EC26" s="766"/>
      <c r="ED26" s="766"/>
      <c r="EE26" s="766"/>
      <c r="EF26" s="766"/>
      <c r="EG26" s="766"/>
      <c r="EH26" s="766"/>
      <c r="EI26" s="766"/>
      <c r="EJ26" s="766"/>
      <c r="EK26" s="766"/>
      <c r="EL26" s="766"/>
      <c r="EM26" s="766"/>
      <c r="EN26" s="766"/>
      <c r="EO26" s="766"/>
      <c r="EP26" s="766"/>
      <c r="EQ26" s="766"/>
      <c r="ER26" s="766"/>
      <c r="ES26" s="766"/>
      <c r="ET26" s="766"/>
      <c r="EU26" s="766"/>
      <c r="EV26" s="766"/>
      <c r="EW26" s="766"/>
      <c r="EX26" s="766"/>
      <c r="EY26" s="766"/>
      <c r="EZ26" s="766"/>
      <c r="FA26" s="766"/>
      <c r="FB26" s="766"/>
      <c r="FC26" s="766"/>
      <c r="FD26" s="766"/>
      <c r="FE26" s="766"/>
      <c r="FF26" s="766"/>
      <c r="FG26" s="766"/>
      <c r="FH26" s="766"/>
      <c r="FI26" s="766"/>
      <c r="FJ26" s="766"/>
      <c r="FK26" s="766"/>
      <c r="FL26" s="766"/>
      <c r="FM26" s="766"/>
      <c r="FN26" s="766"/>
      <c r="FO26" s="766"/>
      <c r="FP26" s="766"/>
      <c r="FQ26" s="766"/>
      <c r="FR26" s="766"/>
      <c r="FS26" s="766"/>
      <c r="FT26" s="766"/>
      <c r="FU26" s="766"/>
      <c r="FV26" s="766"/>
      <c r="FW26" s="766"/>
      <c r="FX26" s="766"/>
      <c r="FY26" s="766"/>
      <c r="FZ26" s="766"/>
      <c r="GA26" s="766"/>
      <c r="GB26" s="766"/>
      <c r="GC26" s="766"/>
      <c r="GD26" s="766"/>
      <c r="GE26" s="766"/>
      <c r="GF26" s="766"/>
      <c r="GG26" s="766"/>
      <c r="GH26" s="766"/>
      <c r="GI26" s="766"/>
      <c r="GJ26" s="766"/>
      <c r="GK26" s="766"/>
      <c r="GL26" s="766"/>
      <c r="GM26" s="766"/>
      <c r="GN26" s="766"/>
      <c r="GO26" s="766"/>
      <c r="GP26" s="766"/>
      <c r="GQ26" s="766"/>
      <c r="GR26" s="766"/>
      <c r="GS26" s="766"/>
      <c r="GT26" s="766"/>
      <c r="GU26" s="766"/>
      <c r="GV26" s="766"/>
      <c r="GW26" s="766"/>
      <c r="GX26" s="766"/>
      <c r="GY26" s="766"/>
      <c r="GZ26" s="766"/>
      <c r="HA26" s="766"/>
      <c r="HB26" s="766"/>
      <c r="HC26" s="766"/>
      <c r="HD26" s="766"/>
      <c r="HE26" s="766"/>
      <c r="HF26" s="766"/>
      <c r="HG26" s="766"/>
      <c r="HH26" s="766"/>
      <c r="HI26" s="766"/>
      <c r="HJ26" s="766"/>
      <c r="HK26" s="766"/>
      <c r="HL26" s="766"/>
      <c r="HM26" s="766"/>
      <c r="HN26" s="766"/>
      <c r="HO26" s="766"/>
      <c r="HP26" s="766"/>
      <c r="HQ26" s="766"/>
      <c r="HR26" s="766"/>
      <c r="HS26" s="766"/>
      <c r="HT26" s="766"/>
      <c r="HU26" s="766"/>
      <c r="HV26" s="766"/>
      <c r="HW26" s="766"/>
      <c r="HX26" s="766"/>
      <c r="HY26" s="766"/>
      <c r="HZ26" s="766"/>
      <c r="IA26" s="766"/>
      <c r="IB26" s="766"/>
      <c r="IC26" s="766"/>
      <c r="ID26" s="766"/>
      <c r="IE26" s="766"/>
      <c r="IF26" s="766"/>
      <c r="IG26" s="766"/>
      <c r="IH26" s="766"/>
      <c r="II26" s="766"/>
      <c r="IJ26" s="766"/>
      <c r="IK26" s="766"/>
      <c r="IL26" s="766"/>
      <c r="IM26" s="766"/>
      <c r="IN26" s="766"/>
      <c r="IO26" s="766"/>
      <c r="IP26" s="766"/>
      <c r="IQ26" s="766"/>
      <c r="IR26" s="766"/>
      <c r="IS26" s="766"/>
    </row>
    <row r="27" spans="1:253" s="92" customFormat="1" x14ac:dyDescent="0.2">
      <c r="A27" s="817" t="s">
        <v>105</v>
      </c>
      <c r="B27" s="817" t="s">
        <v>31</v>
      </c>
      <c r="C27" s="817" t="s">
        <v>223</v>
      </c>
      <c r="D27" s="817" t="s">
        <v>224</v>
      </c>
      <c r="E27" s="817">
        <v>1000</v>
      </c>
      <c r="F27" s="817">
        <v>1973</v>
      </c>
      <c r="G27" s="817">
        <v>2001</v>
      </c>
      <c r="H27" s="817">
        <v>2617390</v>
      </c>
      <c r="I27" s="817">
        <v>1129720</v>
      </c>
      <c r="J27" s="817">
        <v>1073</v>
      </c>
      <c r="K27" s="817" t="s">
        <v>551</v>
      </c>
      <c r="L27" s="817" t="s">
        <v>465</v>
      </c>
      <c r="M27" s="817">
        <v>2617965</v>
      </c>
      <c r="N27" s="817">
        <v>1128904</v>
      </c>
      <c r="O27" s="817">
        <v>778</v>
      </c>
      <c r="P27" s="817">
        <v>320</v>
      </c>
      <c r="Q27" s="817">
        <v>271</v>
      </c>
      <c r="R27" s="817"/>
      <c r="S27" s="817"/>
      <c r="T27" s="817"/>
      <c r="U27" s="817"/>
      <c r="V27" s="817">
        <v>0.8</v>
      </c>
      <c r="W27" s="817">
        <v>80</v>
      </c>
      <c r="X27" s="817"/>
      <c r="Y27" s="817"/>
      <c r="Z27" s="817">
        <v>0.3</v>
      </c>
      <c r="AA27" s="817">
        <v>20</v>
      </c>
      <c r="AB27" s="817"/>
      <c r="AC27" s="817">
        <v>428</v>
      </c>
      <c r="AD27" s="817">
        <v>650</v>
      </c>
      <c r="AE27" s="817"/>
      <c r="AF27" s="817" t="s">
        <v>479</v>
      </c>
      <c r="AG27" s="817">
        <v>0</v>
      </c>
      <c r="AH27" s="817">
        <v>0</v>
      </c>
      <c r="AI27" s="817">
        <v>0</v>
      </c>
      <c r="AJ27" s="817">
        <v>0</v>
      </c>
      <c r="AK27" s="817">
        <v>0</v>
      </c>
      <c r="AL27" s="817">
        <v>0</v>
      </c>
      <c r="AM27" s="817">
        <v>0</v>
      </c>
      <c r="AN27" s="817">
        <v>12</v>
      </c>
      <c r="AO27" s="817">
        <v>12</v>
      </c>
      <c r="AP27" s="817">
        <v>0</v>
      </c>
      <c r="AQ27" s="817">
        <v>0</v>
      </c>
      <c r="AR27" s="817">
        <v>12</v>
      </c>
      <c r="AS27" s="817">
        <v>12</v>
      </c>
      <c r="AT27" s="817">
        <v>12</v>
      </c>
      <c r="AU27" s="817">
        <v>0</v>
      </c>
      <c r="AV27" s="817">
        <v>12</v>
      </c>
      <c r="AW27" s="817">
        <v>12</v>
      </c>
      <c r="AX27" s="817">
        <f t="shared" si="0"/>
        <v>0</v>
      </c>
      <c r="AY27" s="817">
        <v>2</v>
      </c>
      <c r="AZ27" s="817" t="s">
        <v>770</v>
      </c>
      <c r="BA27" s="817">
        <v>1</v>
      </c>
      <c r="BB27" s="817">
        <v>0</v>
      </c>
      <c r="BC27" s="817" t="s">
        <v>552</v>
      </c>
      <c r="BD27" s="817">
        <v>1</v>
      </c>
      <c r="BE27" s="817">
        <v>2</v>
      </c>
      <c r="BF27" s="817">
        <v>1</v>
      </c>
      <c r="BG27" s="817">
        <v>2</v>
      </c>
      <c r="BH27" s="817">
        <v>2</v>
      </c>
      <c r="BI27" s="817">
        <v>1</v>
      </c>
      <c r="BJ27" s="817">
        <v>1</v>
      </c>
      <c r="BK27" s="817">
        <v>1</v>
      </c>
      <c r="BL27" s="817">
        <v>2</v>
      </c>
      <c r="BM27" s="817">
        <v>1</v>
      </c>
      <c r="BN27" s="817">
        <v>1</v>
      </c>
      <c r="BO27" s="817">
        <v>1</v>
      </c>
      <c r="BP27" s="817">
        <v>1</v>
      </c>
      <c r="BQ27" s="817">
        <v>1</v>
      </c>
      <c r="BR27" s="817">
        <v>2</v>
      </c>
      <c r="BS27" s="817">
        <v>1</v>
      </c>
      <c r="BT27" s="817">
        <v>1</v>
      </c>
      <c r="BU27" s="817">
        <v>1</v>
      </c>
      <c r="BV27" s="817">
        <v>1</v>
      </c>
      <c r="BW27" s="817">
        <v>1</v>
      </c>
      <c r="BX27" s="817">
        <v>1</v>
      </c>
      <c r="BY27" s="817">
        <v>1</v>
      </c>
      <c r="BZ27" s="817">
        <v>1</v>
      </c>
      <c r="CA27" s="817">
        <v>1</v>
      </c>
      <c r="CB27" s="817">
        <v>1</v>
      </c>
      <c r="CC27" s="817">
        <v>1</v>
      </c>
      <c r="CD27" s="817">
        <v>1</v>
      </c>
      <c r="CE27" s="817">
        <v>1</v>
      </c>
      <c r="CF27" s="817" t="s">
        <v>553</v>
      </c>
      <c r="CG27" s="817" t="s">
        <v>554</v>
      </c>
      <c r="CH27" s="817">
        <v>1</v>
      </c>
      <c r="CI27" s="817">
        <v>5</v>
      </c>
      <c r="CJ27" s="817">
        <v>5</v>
      </c>
      <c r="CK27" s="817">
        <v>1</v>
      </c>
      <c r="CL27" s="817">
        <v>1</v>
      </c>
      <c r="CM27" s="817">
        <v>1</v>
      </c>
      <c r="CN27" s="817">
        <v>1</v>
      </c>
      <c r="CO27" s="817">
        <v>1</v>
      </c>
      <c r="CP27" s="817">
        <v>60</v>
      </c>
      <c r="CQ27" s="817">
        <v>80</v>
      </c>
      <c r="CR27" s="817">
        <v>12</v>
      </c>
      <c r="CS27" s="817">
        <v>12</v>
      </c>
      <c r="CT27" s="817">
        <v>1</v>
      </c>
      <c r="CU27" s="160"/>
      <c r="CV27" s="160"/>
      <c r="CW27" s="160"/>
      <c r="CX27" s="160"/>
      <c r="CY27" s="160"/>
      <c r="CZ27" s="160"/>
      <c r="DA27" s="160"/>
      <c r="DB27" s="160"/>
      <c r="DC27" s="160"/>
      <c r="DD27" s="160"/>
      <c r="DE27" s="160"/>
      <c r="DF27" s="160"/>
      <c r="DG27" s="160"/>
      <c r="DH27" s="160"/>
      <c r="DI27" s="160"/>
      <c r="DJ27" s="160"/>
      <c r="DK27" s="167"/>
      <c r="DL27" s="766"/>
      <c r="DM27" s="871" t="s">
        <v>105</v>
      </c>
      <c r="DN27" s="871" t="s">
        <v>710</v>
      </c>
      <c r="DO27" s="766"/>
      <c r="DP27" s="766"/>
      <c r="DQ27" s="766"/>
      <c r="DR27" s="766"/>
      <c r="DS27" s="766"/>
      <c r="DT27" s="766"/>
      <c r="DU27" s="766"/>
      <c r="DV27" s="766"/>
      <c r="DW27" s="766"/>
      <c r="DX27" s="766"/>
      <c r="DY27" s="766"/>
      <c r="DZ27" s="766"/>
      <c r="EA27" s="766"/>
      <c r="EB27" s="766"/>
      <c r="EC27" s="766"/>
      <c r="ED27" s="766"/>
      <c r="EE27" s="766"/>
      <c r="EF27" s="766"/>
      <c r="EG27" s="766"/>
      <c r="EH27" s="766"/>
      <c r="EI27" s="766"/>
      <c r="EJ27" s="766"/>
      <c r="EK27" s="766"/>
      <c r="EL27" s="766"/>
      <c r="EM27" s="766"/>
      <c r="EN27" s="766"/>
      <c r="EO27" s="766"/>
      <c r="EP27" s="766"/>
      <c r="EQ27" s="766"/>
      <c r="ER27" s="766"/>
      <c r="ES27" s="766"/>
      <c r="ET27" s="766"/>
      <c r="EU27" s="766"/>
      <c r="EV27" s="766"/>
      <c r="EW27" s="766"/>
      <c r="EX27" s="766"/>
      <c r="EY27" s="766"/>
      <c r="EZ27" s="766"/>
      <c r="FA27" s="766"/>
      <c r="FB27" s="766"/>
      <c r="FC27" s="766"/>
      <c r="FD27" s="766"/>
      <c r="FE27" s="766"/>
      <c r="FF27" s="766"/>
      <c r="FG27" s="766"/>
      <c r="FH27" s="766"/>
      <c r="FI27" s="766"/>
      <c r="FJ27" s="766"/>
      <c r="FK27" s="766"/>
      <c r="FL27" s="766"/>
      <c r="FM27" s="766"/>
      <c r="FN27" s="766"/>
      <c r="FO27" s="766"/>
      <c r="FP27" s="766"/>
      <c r="FQ27" s="766"/>
      <c r="FR27" s="766"/>
      <c r="FS27" s="766"/>
      <c r="FT27" s="766"/>
      <c r="FU27" s="766"/>
      <c r="FV27" s="766"/>
      <c r="FW27" s="766"/>
      <c r="FX27" s="766"/>
      <c r="FY27" s="766"/>
      <c r="FZ27" s="766"/>
      <c r="GA27" s="766"/>
      <c r="GB27" s="766"/>
      <c r="GC27" s="766"/>
      <c r="GD27" s="766"/>
      <c r="GE27" s="766"/>
      <c r="GF27" s="766"/>
      <c r="GG27" s="766"/>
      <c r="GH27" s="766"/>
      <c r="GI27" s="766"/>
      <c r="GJ27" s="766"/>
      <c r="GK27" s="766"/>
      <c r="GL27" s="766"/>
      <c r="GM27" s="766"/>
      <c r="GN27" s="766"/>
      <c r="GO27" s="766"/>
      <c r="GP27" s="766"/>
      <c r="GQ27" s="766"/>
      <c r="GR27" s="766"/>
      <c r="GS27" s="766"/>
      <c r="GT27" s="766"/>
      <c r="GU27" s="766"/>
      <c r="GV27" s="766"/>
      <c r="GW27" s="766"/>
      <c r="GX27" s="766"/>
      <c r="GY27" s="766"/>
      <c r="GZ27" s="766"/>
      <c r="HA27" s="766"/>
      <c r="HB27" s="766"/>
      <c r="HC27" s="766"/>
      <c r="HD27" s="766"/>
      <c r="HE27" s="766"/>
      <c r="HF27" s="766"/>
      <c r="HG27" s="766"/>
      <c r="HH27" s="766"/>
      <c r="HI27" s="766"/>
      <c r="HJ27" s="766"/>
      <c r="HK27" s="766"/>
      <c r="HL27" s="766"/>
      <c r="HM27" s="766"/>
      <c r="HN27" s="766"/>
      <c r="HO27" s="766"/>
      <c r="HP27" s="766"/>
      <c r="HQ27" s="766"/>
      <c r="HR27" s="766"/>
      <c r="HS27" s="766"/>
      <c r="HT27" s="766"/>
      <c r="HU27" s="766"/>
      <c r="HV27" s="766"/>
      <c r="HW27" s="766"/>
      <c r="HX27" s="766"/>
      <c r="HY27" s="766"/>
      <c r="HZ27" s="766"/>
      <c r="IA27" s="766"/>
      <c r="IB27" s="766"/>
      <c r="IC27" s="766"/>
      <c r="ID27" s="766"/>
      <c r="IE27" s="766"/>
      <c r="IF27" s="766"/>
      <c r="IG27" s="766"/>
      <c r="IH27" s="766"/>
      <c r="II27" s="766"/>
      <c r="IJ27" s="766"/>
      <c r="IK27" s="766"/>
      <c r="IL27" s="766"/>
      <c r="IM27" s="766"/>
      <c r="IN27" s="766"/>
      <c r="IO27" s="766"/>
      <c r="IP27" s="766"/>
      <c r="IQ27" s="766"/>
      <c r="IR27" s="766"/>
      <c r="IS27" s="766"/>
    </row>
    <row r="28" spans="1:253" s="92" customFormat="1" x14ac:dyDescent="0.2">
      <c r="A28" s="817" t="s">
        <v>94</v>
      </c>
      <c r="B28" s="817" t="s">
        <v>165</v>
      </c>
      <c r="C28" s="817" t="s">
        <v>225</v>
      </c>
      <c r="D28" s="817" t="s">
        <v>226</v>
      </c>
      <c r="E28" s="817">
        <v>3334</v>
      </c>
      <c r="F28" s="817">
        <v>1996</v>
      </c>
      <c r="G28" s="817">
        <v>0</v>
      </c>
      <c r="H28" s="817">
        <v>2598375</v>
      </c>
      <c r="I28" s="817">
        <v>1114400</v>
      </c>
      <c r="J28" s="817">
        <v>720</v>
      </c>
      <c r="K28" s="817" t="s">
        <v>537</v>
      </c>
      <c r="L28" s="817" t="s">
        <v>465</v>
      </c>
      <c r="M28" s="817">
        <v>2598400</v>
      </c>
      <c r="N28" s="817">
        <v>1114430</v>
      </c>
      <c r="O28" s="817">
        <v>710</v>
      </c>
      <c r="P28" s="817">
        <v>2000</v>
      </c>
      <c r="Q28" s="817"/>
      <c r="R28" s="817"/>
      <c r="S28" s="817"/>
      <c r="T28" s="817">
        <v>10</v>
      </c>
      <c r="U28" s="817">
        <v>85</v>
      </c>
      <c r="V28" s="817">
        <v>0.8</v>
      </c>
      <c r="W28" s="817">
        <v>85</v>
      </c>
      <c r="X28" s="817">
        <v>2.5</v>
      </c>
      <c r="Y28" s="817">
        <v>90</v>
      </c>
      <c r="Z28" s="817">
        <v>0.3</v>
      </c>
      <c r="AA28" s="817">
        <v>20</v>
      </c>
      <c r="AB28" s="817"/>
      <c r="AC28" s="817">
        <v>1000</v>
      </c>
      <c r="AD28" s="817">
        <v>3683</v>
      </c>
      <c r="AE28" s="817"/>
      <c r="AF28" s="817" t="s">
        <v>237</v>
      </c>
      <c r="AG28" s="817">
        <v>0</v>
      </c>
      <c r="AH28" s="817">
        <v>0</v>
      </c>
      <c r="AI28" s="817">
        <v>12</v>
      </c>
      <c r="AJ28" s="817">
        <v>0</v>
      </c>
      <c r="AK28" s="817">
        <v>0</v>
      </c>
      <c r="AL28" s="817">
        <v>12</v>
      </c>
      <c r="AM28" s="817">
        <v>24</v>
      </c>
      <c r="AN28" s="817">
        <v>24</v>
      </c>
      <c r="AO28" s="817">
        <v>24</v>
      </c>
      <c r="AP28" s="817">
        <v>0</v>
      </c>
      <c r="AQ28" s="817">
        <v>0</v>
      </c>
      <c r="AR28" s="817">
        <v>12</v>
      </c>
      <c r="AS28" s="817">
        <v>24</v>
      </c>
      <c r="AT28" s="817">
        <v>24</v>
      </c>
      <c r="AU28" s="817">
        <v>0</v>
      </c>
      <c r="AV28" s="817">
        <v>24</v>
      </c>
      <c r="AW28" s="817">
        <v>52</v>
      </c>
      <c r="AX28" s="817">
        <f t="shared" si="0"/>
        <v>1</v>
      </c>
      <c r="AY28" s="817">
        <v>1</v>
      </c>
      <c r="AZ28" s="817" t="s">
        <v>284</v>
      </c>
      <c r="BA28" s="817">
        <v>1</v>
      </c>
      <c r="BB28" s="817">
        <v>0</v>
      </c>
      <c r="BC28" s="817" t="s">
        <v>555</v>
      </c>
      <c r="BD28" s="817">
        <v>1</v>
      </c>
      <c r="BE28" s="817">
        <v>2</v>
      </c>
      <c r="BF28" s="817">
        <v>2</v>
      </c>
      <c r="BG28" s="817">
        <v>2</v>
      </c>
      <c r="BH28" s="817">
        <v>2</v>
      </c>
      <c r="BI28" s="817">
        <v>1</v>
      </c>
      <c r="BJ28" s="817">
        <v>1</v>
      </c>
      <c r="BK28" s="817">
        <v>1</v>
      </c>
      <c r="BL28" s="817">
        <v>1</v>
      </c>
      <c r="BM28" s="817">
        <v>1</v>
      </c>
      <c r="BN28" s="817">
        <v>1</v>
      </c>
      <c r="BO28" s="817">
        <v>1</v>
      </c>
      <c r="BP28" s="817">
        <v>1</v>
      </c>
      <c r="BQ28" s="817">
        <v>1</v>
      </c>
      <c r="BR28" s="817">
        <v>2</v>
      </c>
      <c r="BS28" s="817">
        <v>1</v>
      </c>
      <c r="BT28" s="817">
        <v>1</v>
      </c>
      <c r="BU28" s="817">
        <v>1</v>
      </c>
      <c r="BV28" s="817">
        <v>1</v>
      </c>
      <c r="BW28" s="817">
        <v>1</v>
      </c>
      <c r="BX28" s="817">
        <v>1</v>
      </c>
      <c r="BY28" s="817">
        <v>1</v>
      </c>
      <c r="BZ28" s="817">
        <v>1</v>
      </c>
      <c r="CA28" s="817">
        <v>1</v>
      </c>
      <c r="CB28" s="817">
        <v>0</v>
      </c>
      <c r="CC28" s="817">
        <v>2</v>
      </c>
      <c r="CD28" s="817">
        <v>1</v>
      </c>
      <c r="CE28" s="817">
        <v>1</v>
      </c>
      <c r="CF28" s="817" t="s">
        <v>556</v>
      </c>
      <c r="CG28" s="817" t="s">
        <v>557</v>
      </c>
      <c r="CH28" s="817">
        <v>1</v>
      </c>
      <c r="CI28" s="817">
        <v>5</v>
      </c>
      <c r="CJ28" s="817">
        <v>5</v>
      </c>
      <c r="CK28" s="817">
        <v>3</v>
      </c>
      <c r="CL28" s="817">
        <v>1</v>
      </c>
      <c r="CM28" s="817">
        <v>1</v>
      </c>
      <c r="CN28" s="817">
        <v>1</v>
      </c>
      <c r="CO28" s="817">
        <v>1</v>
      </c>
      <c r="CP28" s="817">
        <v>60</v>
      </c>
      <c r="CQ28" s="817">
        <v>80</v>
      </c>
      <c r="CR28" s="817">
        <v>24</v>
      </c>
      <c r="CS28" s="817">
        <v>24</v>
      </c>
      <c r="CT28" s="817">
        <v>1</v>
      </c>
      <c r="CU28" s="160"/>
      <c r="CV28" s="160"/>
      <c r="CW28" s="160"/>
      <c r="CX28" s="160"/>
      <c r="CY28" s="160"/>
      <c r="CZ28" s="160"/>
      <c r="DA28" s="160"/>
      <c r="DB28" s="160"/>
      <c r="DC28" s="160"/>
      <c r="DD28" s="160"/>
      <c r="DE28" s="160"/>
      <c r="DF28" s="160"/>
      <c r="DG28" s="160"/>
      <c r="DH28" s="160"/>
      <c r="DI28" s="160"/>
      <c r="DJ28" s="160"/>
      <c r="DK28" s="167"/>
      <c r="DL28" s="766"/>
      <c r="DM28" s="871" t="s">
        <v>711</v>
      </c>
      <c r="DN28" s="871" t="s">
        <v>712</v>
      </c>
      <c r="DO28" s="766"/>
      <c r="DP28" s="766"/>
      <c r="DQ28" s="766"/>
      <c r="DR28" s="766"/>
      <c r="DS28" s="766"/>
      <c r="DT28" s="766"/>
      <c r="DU28" s="766"/>
      <c r="DV28" s="766"/>
      <c r="DW28" s="766"/>
      <c r="DX28" s="766"/>
      <c r="DY28" s="766"/>
      <c r="DZ28" s="766"/>
      <c r="EA28" s="766"/>
      <c r="EB28" s="766"/>
      <c r="EC28" s="766"/>
      <c r="ED28" s="766"/>
      <c r="EE28" s="766"/>
      <c r="EF28" s="766"/>
      <c r="EG28" s="766"/>
      <c r="EH28" s="766"/>
      <c r="EI28" s="766"/>
      <c r="EJ28" s="766"/>
      <c r="EK28" s="766"/>
      <c r="EL28" s="766"/>
      <c r="EM28" s="766"/>
      <c r="EN28" s="766"/>
      <c r="EO28" s="766"/>
      <c r="EP28" s="766"/>
      <c r="EQ28" s="766"/>
      <c r="ER28" s="766"/>
      <c r="ES28" s="766"/>
      <c r="ET28" s="766"/>
      <c r="EU28" s="766"/>
      <c r="EV28" s="766"/>
      <c r="EW28" s="766"/>
      <c r="EX28" s="766"/>
      <c r="EY28" s="766"/>
      <c r="EZ28" s="766"/>
      <c r="FA28" s="766"/>
      <c r="FB28" s="766"/>
      <c r="FC28" s="766"/>
      <c r="FD28" s="766"/>
      <c r="FE28" s="766"/>
      <c r="FF28" s="766"/>
      <c r="FG28" s="766"/>
      <c r="FH28" s="766"/>
      <c r="FI28" s="766"/>
      <c r="FJ28" s="766"/>
      <c r="FK28" s="766"/>
      <c r="FL28" s="766"/>
      <c r="FM28" s="766"/>
      <c r="FN28" s="766"/>
      <c r="FO28" s="766"/>
      <c r="FP28" s="766"/>
      <c r="FQ28" s="766"/>
      <c r="FR28" s="766"/>
      <c r="FS28" s="766"/>
      <c r="FT28" s="766"/>
      <c r="FU28" s="766"/>
      <c r="FV28" s="766"/>
      <c r="FW28" s="766"/>
      <c r="FX28" s="766"/>
      <c r="FY28" s="766"/>
      <c r="FZ28" s="766"/>
      <c r="GA28" s="766"/>
      <c r="GB28" s="766"/>
      <c r="GC28" s="766"/>
      <c r="GD28" s="766"/>
      <c r="GE28" s="766"/>
      <c r="GF28" s="766"/>
      <c r="GG28" s="766"/>
      <c r="GH28" s="766"/>
      <c r="GI28" s="766"/>
      <c r="GJ28" s="766"/>
      <c r="GK28" s="766"/>
      <c r="GL28" s="766"/>
      <c r="GM28" s="766"/>
      <c r="GN28" s="766"/>
      <c r="GO28" s="766"/>
      <c r="GP28" s="766"/>
      <c r="GQ28" s="766"/>
      <c r="GR28" s="766"/>
      <c r="GS28" s="766"/>
      <c r="GT28" s="766"/>
      <c r="GU28" s="766"/>
      <c r="GV28" s="766"/>
      <c r="GW28" s="766"/>
      <c r="GX28" s="766"/>
      <c r="GY28" s="766"/>
      <c r="GZ28" s="766"/>
      <c r="HA28" s="766"/>
      <c r="HB28" s="766"/>
      <c r="HC28" s="766"/>
      <c r="HD28" s="766"/>
      <c r="HE28" s="766"/>
      <c r="HF28" s="766"/>
      <c r="HG28" s="766"/>
      <c r="HH28" s="766"/>
      <c r="HI28" s="766"/>
      <c r="HJ28" s="766"/>
      <c r="HK28" s="766"/>
      <c r="HL28" s="766"/>
      <c r="HM28" s="766"/>
      <c r="HN28" s="766"/>
      <c r="HO28" s="766"/>
      <c r="HP28" s="766"/>
      <c r="HQ28" s="766"/>
      <c r="HR28" s="766"/>
      <c r="HS28" s="766"/>
      <c r="HT28" s="766"/>
      <c r="HU28" s="766"/>
      <c r="HV28" s="766"/>
      <c r="HW28" s="766"/>
      <c r="HX28" s="766"/>
      <c r="HY28" s="766"/>
      <c r="HZ28" s="766"/>
      <c r="IA28" s="766"/>
      <c r="IB28" s="766"/>
      <c r="IC28" s="766"/>
      <c r="ID28" s="766"/>
      <c r="IE28" s="766"/>
      <c r="IF28" s="766"/>
      <c r="IG28" s="766"/>
      <c r="IH28" s="766"/>
      <c r="II28" s="766"/>
      <c r="IJ28" s="766"/>
      <c r="IK28" s="766"/>
      <c r="IL28" s="766"/>
      <c r="IM28" s="766"/>
      <c r="IN28" s="766"/>
      <c r="IO28" s="766"/>
      <c r="IP28" s="766"/>
      <c r="IQ28" s="766"/>
      <c r="IR28" s="766"/>
      <c r="IS28" s="766"/>
    </row>
    <row r="29" spans="1:253" s="92" customFormat="1" x14ac:dyDescent="0.2">
      <c r="A29" s="817" t="s">
        <v>248</v>
      </c>
      <c r="B29" s="817" t="s">
        <v>249</v>
      </c>
      <c r="C29" s="817" t="s">
        <v>764</v>
      </c>
      <c r="D29" s="817" t="s">
        <v>775</v>
      </c>
      <c r="E29" s="817">
        <v>250</v>
      </c>
      <c r="F29" s="817">
        <v>1996</v>
      </c>
      <c r="G29" s="817">
        <v>2015</v>
      </c>
      <c r="H29" s="817">
        <v>2597165</v>
      </c>
      <c r="I29" s="817">
        <v>1103767</v>
      </c>
      <c r="J29" s="817">
        <v>2100</v>
      </c>
      <c r="K29" s="817" t="s">
        <v>558</v>
      </c>
      <c r="L29" s="817" t="s">
        <v>465</v>
      </c>
      <c r="M29" s="817">
        <v>2597122</v>
      </c>
      <c r="N29" s="817">
        <v>1103795</v>
      </c>
      <c r="O29" s="817">
        <v>2090</v>
      </c>
      <c r="P29" s="817">
        <v>83</v>
      </c>
      <c r="Q29" s="817">
        <v>41</v>
      </c>
      <c r="R29" s="817"/>
      <c r="S29" s="817"/>
      <c r="T29" s="817"/>
      <c r="U29" s="817"/>
      <c r="V29" s="817">
        <v>0.8</v>
      </c>
      <c r="W29" s="817">
        <v>80</v>
      </c>
      <c r="X29" s="817"/>
      <c r="Y29" s="817"/>
      <c r="Z29" s="817">
        <v>0.3</v>
      </c>
      <c r="AA29" s="817">
        <v>20</v>
      </c>
      <c r="AB29" s="817"/>
      <c r="AC29" s="817">
        <v>0</v>
      </c>
      <c r="AD29" s="817">
        <v>150</v>
      </c>
      <c r="AE29" s="817"/>
      <c r="AF29" s="817" t="s">
        <v>479</v>
      </c>
      <c r="AG29" s="817">
        <v>0</v>
      </c>
      <c r="AH29" s="817">
        <v>0</v>
      </c>
      <c r="AI29" s="817">
        <v>0</v>
      </c>
      <c r="AJ29" s="817">
        <v>0</v>
      </c>
      <c r="AK29" s="817">
        <v>0</v>
      </c>
      <c r="AL29" s="817">
        <v>0</v>
      </c>
      <c r="AM29" s="817">
        <v>0</v>
      </c>
      <c r="AN29" s="817">
        <v>5</v>
      </c>
      <c r="AO29" s="817">
        <v>5</v>
      </c>
      <c r="AP29" s="817">
        <v>0</v>
      </c>
      <c r="AQ29" s="817">
        <v>0</v>
      </c>
      <c r="AR29" s="817">
        <v>5</v>
      </c>
      <c r="AS29" s="817">
        <v>5</v>
      </c>
      <c r="AT29" s="817">
        <v>5</v>
      </c>
      <c r="AU29" s="817">
        <v>0</v>
      </c>
      <c r="AV29" s="817">
        <v>5</v>
      </c>
      <c r="AW29" s="817">
        <v>5</v>
      </c>
      <c r="AX29" s="817">
        <f t="shared" si="0"/>
        <v>0</v>
      </c>
      <c r="AY29" s="817">
        <v>1</v>
      </c>
      <c r="AZ29" s="817" t="s">
        <v>284</v>
      </c>
      <c r="BA29" s="817">
        <v>4</v>
      </c>
      <c r="BB29" s="817">
        <v>0</v>
      </c>
      <c r="BC29" s="817" t="s">
        <v>559</v>
      </c>
      <c r="BD29" s="817">
        <v>1</v>
      </c>
      <c r="BE29" s="817">
        <v>1</v>
      </c>
      <c r="BF29" s="817">
        <v>1</v>
      </c>
      <c r="BG29" s="817">
        <v>1</v>
      </c>
      <c r="BH29" s="817">
        <v>2</v>
      </c>
      <c r="BI29" s="817">
        <v>1</v>
      </c>
      <c r="BJ29" s="817">
        <v>1</v>
      </c>
      <c r="BK29" s="817">
        <v>4</v>
      </c>
      <c r="BL29" s="817">
        <v>2</v>
      </c>
      <c r="BM29" s="817">
        <v>1</v>
      </c>
      <c r="BN29" s="817">
        <v>1</v>
      </c>
      <c r="BO29" s="817">
        <v>1</v>
      </c>
      <c r="BP29" s="817">
        <v>1</v>
      </c>
      <c r="BQ29" s="817">
        <v>1</v>
      </c>
      <c r="BR29" s="817">
        <v>2</v>
      </c>
      <c r="BS29" s="817">
        <v>1</v>
      </c>
      <c r="BT29" s="817">
        <v>1</v>
      </c>
      <c r="BU29" s="817">
        <v>1</v>
      </c>
      <c r="BV29" s="817">
        <v>1</v>
      </c>
      <c r="BW29" s="817">
        <v>1</v>
      </c>
      <c r="BX29" s="817">
        <v>1</v>
      </c>
      <c r="BY29" s="817">
        <v>1</v>
      </c>
      <c r="BZ29" s="817">
        <v>1</v>
      </c>
      <c r="CA29" s="817">
        <v>1</v>
      </c>
      <c r="CB29" s="817"/>
      <c r="CC29" s="817">
        <v>1</v>
      </c>
      <c r="CD29" s="817">
        <v>1</v>
      </c>
      <c r="CE29" s="817">
        <v>1</v>
      </c>
      <c r="CF29" s="817" t="s">
        <v>556</v>
      </c>
      <c r="CG29" s="817" t="s">
        <v>557</v>
      </c>
      <c r="CH29" s="817">
        <v>1</v>
      </c>
      <c r="CI29" s="817">
        <v>5</v>
      </c>
      <c r="CJ29" s="817">
        <v>5</v>
      </c>
      <c r="CK29" s="817"/>
      <c r="CL29" s="817">
        <v>1</v>
      </c>
      <c r="CM29" s="817">
        <v>1</v>
      </c>
      <c r="CN29" s="817">
        <v>1</v>
      </c>
      <c r="CO29" s="817">
        <v>1</v>
      </c>
      <c r="CP29" s="817">
        <v>60</v>
      </c>
      <c r="CQ29" s="817">
        <v>80</v>
      </c>
      <c r="CR29" s="817">
        <v>5</v>
      </c>
      <c r="CS29" s="817">
        <v>5</v>
      </c>
      <c r="CT29" s="817">
        <v>1</v>
      </c>
      <c r="CU29" s="160"/>
      <c r="CV29" s="160"/>
      <c r="CW29" s="160"/>
      <c r="CX29" s="160"/>
      <c r="CY29" s="160"/>
      <c r="CZ29" s="160"/>
      <c r="DA29" s="160"/>
      <c r="DB29" s="160"/>
      <c r="DC29" s="160"/>
      <c r="DD29" s="160"/>
      <c r="DE29" s="160"/>
      <c r="DF29" s="160"/>
      <c r="DG29" s="160"/>
      <c r="DH29" s="160"/>
      <c r="DI29" s="160"/>
      <c r="DJ29" s="160"/>
      <c r="DK29" s="167"/>
      <c r="DL29" s="766"/>
      <c r="DM29" s="871" t="s">
        <v>713</v>
      </c>
      <c r="DN29" s="871" t="s">
        <v>714</v>
      </c>
      <c r="DO29" s="766"/>
      <c r="DP29" s="766"/>
      <c r="DQ29" s="766"/>
      <c r="DR29" s="766"/>
      <c r="DS29" s="766"/>
      <c r="DT29" s="766"/>
      <c r="DU29" s="766"/>
      <c r="DV29" s="766"/>
      <c r="DW29" s="766"/>
      <c r="DX29" s="766"/>
      <c r="DY29" s="766"/>
      <c r="DZ29" s="766"/>
      <c r="EA29" s="766"/>
      <c r="EB29" s="766"/>
      <c r="EC29" s="766"/>
      <c r="ED29" s="766"/>
      <c r="EE29" s="766"/>
      <c r="EF29" s="766"/>
      <c r="EG29" s="766"/>
      <c r="EH29" s="766"/>
      <c r="EI29" s="766"/>
      <c r="EJ29" s="766"/>
      <c r="EK29" s="766"/>
      <c r="EL29" s="766"/>
      <c r="EM29" s="766"/>
      <c r="EN29" s="766"/>
      <c r="EO29" s="766"/>
      <c r="EP29" s="766"/>
      <c r="EQ29" s="766"/>
      <c r="ER29" s="766"/>
      <c r="ES29" s="766"/>
      <c r="ET29" s="766"/>
      <c r="EU29" s="766"/>
      <c r="EV29" s="766"/>
      <c r="EW29" s="766"/>
      <c r="EX29" s="766"/>
      <c r="EY29" s="766"/>
      <c r="EZ29" s="766"/>
      <c r="FA29" s="766"/>
      <c r="FB29" s="766"/>
      <c r="FC29" s="766"/>
      <c r="FD29" s="766"/>
      <c r="FE29" s="766"/>
      <c r="FF29" s="766"/>
      <c r="FG29" s="766"/>
      <c r="FH29" s="766"/>
      <c r="FI29" s="766"/>
      <c r="FJ29" s="766"/>
      <c r="FK29" s="766"/>
      <c r="FL29" s="766"/>
      <c r="FM29" s="766"/>
      <c r="FN29" s="766"/>
      <c r="FO29" s="766"/>
      <c r="FP29" s="766"/>
      <c r="FQ29" s="766"/>
      <c r="FR29" s="766"/>
      <c r="FS29" s="766"/>
      <c r="FT29" s="766"/>
      <c r="FU29" s="766"/>
      <c r="FV29" s="766"/>
      <c r="FW29" s="766"/>
      <c r="FX29" s="766"/>
      <c r="FY29" s="766"/>
      <c r="FZ29" s="766"/>
      <c r="GA29" s="766"/>
      <c r="GB29" s="766"/>
      <c r="GC29" s="766"/>
      <c r="GD29" s="766"/>
      <c r="GE29" s="766"/>
      <c r="GF29" s="766"/>
      <c r="GG29" s="766"/>
      <c r="GH29" s="766"/>
      <c r="GI29" s="766"/>
      <c r="GJ29" s="766"/>
      <c r="GK29" s="766"/>
      <c r="GL29" s="766"/>
      <c r="GM29" s="766"/>
      <c r="GN29" s="766"/>
      <c r="GO29" s="766"/>
      <c r="GP29" s="766"/>
      <c r="GQ29" s="766"/>
      <c r="GR29" s="766"/>
      <c r="GS29" s="766"/>
      <c r="GT29" s="766"/>
      <c r="GU29" s="766"/>
      <c r="GV29" s="766"/>
      <c r="GW29" s="766"/>
      <c r="GX29" s="766"/>
      <c r="GY29" s="766"/>
      <c r="GZ29" s="766"/>
      <c r="HA29" s="766"/>
      <c r="HB29" s="766"/>
      <c r="HC29" s="766"/>
      <c r="HD29" s="766"/>
      <c r="HE29" s="766"/>
      <c r="HF29" s="766"/>
      <c r="HG29" s="766"/>
      <c r="HH29" s="766"/>
      <c r="HI29" s="766"/>
      <c r="HJ29" s="766"/>
      <c r="HK29" s="766"/>
      <c r="HL29" s="766"/>
      <c r="HM29" s="766"/>
      <c r="HN29" s="766"/>
      <c r="HO29" s="766"/>
      <c r="HP29" s="766"/>
      <c r="HQ29" s="766"/>
      <c r="HR29" s="766"/>
      <c r="HS29" s="766"/>
      <c r="HT29" s="766"/>
      <c r="HU29" s="766"/>
      <c r="HV29" s="766"/>
      <c r="HW29" s="766"/>
      <c r="HX29" s="766"/>
      <c r="HY29" s="766"/>
      <c r="HZ29" s="766"/>
      <c r="IA29" s="766"/>
      <c r="IB29" s="766"/>
      <c r="IC29" s="766"/>
      <c r="ID29" s="766"/>
      <c r="IE29" s="766"/>
      <c r="IF29" s="766"/>
      <c r="IG29" s="766"/>
      <c r="IH29" s="766"/>
      <c r="II29" s="766"/>
      <c r="IJ29" s="766"/>
      <c r="IK29" s="766"/>
      <c r="IL29" s="766"/>
      <c r="IM29" s="766"/>
      <c r="IN29" s="766"/>
      <c r="IO29" s="766"/>
      <c r="IP29" s="766"/>
      <c r="IQ29" s="766"/>
      <c r="IR29" s="766"/>
      <c r="IS29" s="766"/>
    </row>
    <row r="30" spans="1:253" s="92" customFormat="1" x14ac:dyDescent="0.2">
      <c r="A30" s="817" t="s">
        <v>238</v>
      </c>
      <c r="B30" s="817" t="s">
        <v>239</v>
      </c>
      <c r="C30" s="817" t="s">
        <v>225</v>
      </c>
      <c r="D30" s="817" t="s">
        <v>226</v>
      </c>
      <c r="E30" s="817">
        <v>350</v>
      </c>
      <c r="F30" s="817">
        <v>2012</v>
      </c>
      <c r="G30" s="817">
        <v>0</v>
      </c>
      <c r="H30" s="817">
        <v>2596530</v>
      </c>
      <c r="I30" s="817">
        <v>1111450</v>
      </c>
      <c r="J30" s="817">
        <v>1225</v>
      </c>
      <c r="K30" s="817" t="s">
        <v>558</v>
      </c>
      <c r="L30" s="817" t="s">
        <v>465</v>
      </c>
      <c r="M30" s="817">
        <v>2596593</v>
      </c>
      <c r="N30" s="817">
        <v>1111428</v>
      </c>
      <c r="O30" s="817">
        <v>1220</v>
      </c>
      <c r="P30" s="817">
        <v>90</v>
      </c>
      <c r="Q30" s="817">
        <v>200</v>
      </c>
      <c r="R30" s="817"/>
      <c r="S30" s="817"/>
      <c r="T30" s="817">
        <v>10</v>
      </c>
      <c r="U30" s="817">
        <v>85</v>
      </c>
      <c r="V30" s="817">
        <v>0.8</v>
      </c>
      <c r="W30" s="817">
        <v>80</v>
      </c>
      <c r="X30" s="817">
        <v>2</v>
      </c>
      <c r="Y30" s="817">
        <v>90</v>
      </c>
      <c r="Z30" s="817">
        <v>0.3</v>
      </c>
      <c r="AA30" s="817">
        <v>15</v>
      </c>
      <c r="AB30" s="817"/>
      <c r="AC30" s="817">
        <v>128</v>
      </c>
      <c r="AD30" s="817">
        <v>149</v>
      </c>
      <c r="AE30" s="817"/>
      <c r="AF30" s="817" t="s">
        <v>479</v>
      </c>
      <c r="AG30" s="817">
        <v>0</v>
      </c>
      <c r="AH30" s="817">
        <v>0</v>
      </c>
      <c r="AI30" s="817">
        <v>0</v>
      </c>
      <c r="AJ30" s="817">
        <v>0</v>
      </c>
      <c r="AK30" s="817">
        <v>0</v>
      </c>
      <c r="AL30" s="817">
        <v>0</v>
      </c>
      <c r="AM30" s="817">
        <v>0</v>
      </c>
      <c r="AN30" s="817">
        <v>12</v>
      </c>
      <c r="AO30" s="817">
        <v>12</v>
      </c>
      <c r="AP30" s="817">
        <v>0</v>
      </c>
      <c r="AQ30" s="817">
        <v>0</v>
      </c>
      <c r="AR30" s="817">
        <v>12</v>
      </c>
      <c r="AS30" s="817">
        <v>12</v>
      </c>
      <c r="AT30" s="817">
        <v>12</v>
      </c>
      <c r="AU30" s="817">
        <v>0</v>
      </c>
      <c r="AV30" s="817">
        <v>12</v>
      </c>
      <c r="AW30" s="817">
        <v>12</v>
      </c>
      <c r="AX30" s="817">
        <f t="shared" si="0"/>
        <v>0</v>
      </c>
      <c r="AY30" s="817">
        <v>1</v>
      </c>
      <c r="AZ30" s="817" t="s">
        <v>284</v>
      </c>
      <c r="BA30" s="817">
        <v>1</v>
      </c>
      <c r="BB30" s="817">
        <v>0</v>
      </c>
      <c r="BC30" s="817" t="s">
        <v>773</v>
      </c>
      <c r="BD30" s="817">
        <v>1</v>
      </c>
      <c r="BE30" s="817">
        <v>1</v>
      </c>
      <c r="BF30" s="817">
        <v>1</v>
      </c>
      <c r="BG30" s="817">
        <v>1</v>
      </c>
      <c r="BH30" s="817">
        <v>2</v>
      </c>
      <c r="BI30" s="817">
        <v>1</v>
      </c>
      <c r="BJ30" s="817">
        <v>1</v>
      </c>
      <c r="BK30" s="817">
        <v>4</v>
      </c>
      <c r="BL30" s="817"/>
      <c r="BM30" s="817">
        <v>1</v>
      </c>
      <c r="BN30" s="817">
        <v>1</v>
      </c>
      <c r="BO30" s="817">
        <v>1</v>
      </c>
      <c r="BP30" s="817">
        <v>1</v>
      </c>
      <c r="BQ30" s="817">
        <v>1</v>
      </c>
      <c r="BR30" s="817">
        <v>1</v>
      </c>
      <c r="BS30" s="817">
        <v>1</v>
      </c>
      <c r="BT30" s="817">
        <v>1</v>
      </c>
      <c r="BU30" s="817">
        <v>1</v>
      </c>
      <c r="BV30" s="817">
        <v>1</v>
      </c>
      <c r="BW30" s="817">
        <v>1</v>
      </c>
      <c r="BX30" s="817">
        <v>1</v>
      </c>
      <c r="BY30" s="817">
        <v>1</v>
      </c>
      <c r="BZ30" s="817">
        <v>1</v>
      </c>
      <c r="CA30" s="817">
        <v>1</v>
      </c>
      <c r="CB30" s="817">
        <v>0</v>
      </c>
      <c r="CC30" s="817">
        <v>1</v>
      </c>
      <c r="CD30" s="817">
        <v>1</v>
      </c>
      <c r="CE30" s="817">
        <v>1</v>
      </c>
      <c r="CF30" s="817" t="s">
        <v>556</v>
      </c>
      <c r="CG30" s="817" t="s">
        <v>557</v>
      </c>
      <c r="CH30" s="817">
        <v>2</v>
      </c>
      <c r="CI30" s="817">
        <v>5</v>
      </c>
      <c r="CJ30" s="817">
        <v>5</v>
      </c>
      <c r="CK30" s="817"/>
      <c r="CL30" s="817">
        <v>1</v>
      </c>
      <c r="CM30" s="817">
        <v>1</v>
      </c>
      <c r="CN30" s="817">
        <v>1</v>
      </c>
      <c r="CO30" s="817">
        <v>1</v>
      </c>
      <c r="CP30" s="817">
        <v>60</v>
      </c>
      <c r="CQ30" s="817">
        <v>80</v>
      </c>
      <c r="CR30" s="817">
        <v>12</v>
      </c>
      <c r="CS30" s="817">
        <v>12</v>
      </c>
      <c r="CT30" s="817">
        <v>1</v>
      </c>
      <c r="CU30" s="160"/>
      <c r="CV30" s="160"/>
      <c r="CW30" s="160"/>
      <c r="CX30" s="160"/>
      <c r="CY30" s="160"/>
      <c r="CZ30" s="160"/>
      <c r="DA30" s="160"/>
      <c r="DB30" s="160"/>
      <c r="DC30" s="160"/>
      <c r="DD30" s="160"/>
      <c r="DE30" s="160"/>
      <c r="DF30" s="160"/>
      <c r="DG30" s="160"/>
      <c r="DH30" s="160"/>
      <c r="DI30" s="160"/>
      <c r="DJ30" s="160"/>
      <c r="DK30" s="167"/>
      <c r="DL30" s="766"/>
      <c r="DM30" s="871" t="s">
        <v>715</v>
      </c>
      <c r="DN30" s="871" t="s">
        <v>716</v>
      </c>
      <c r="DO30" s="766"/>
      <c r="DP30" s="766"/>
      <c r="DQ30" s="766"/>
      <c r="DR30" s="766"/>
      <c r="DS30" s="766"/>
      <c r="DT30" s="766"/>
      <c r="DU30" s="766"/>
      <c r="DV30" s="766"/>
      <c r="DW30" s="766"/>
      <c r="DX30" s="766"/>
      <c r="DY30" s="766"/>
      <c r="DZ30" s="766"/>
      <c r="EA30" s="766"/>
      <c r="EB30" s="766"/>
      <c r="EC30" s="766"/>
      <c r="ED30" s="766"/>
      <c r="EE30" s="766"/>
      <c r="EF30" s="766"/>
      <c r="EG30" s="766"/>
      <c r="EH30" s="766"/>
      <c r="EI30" s="766"/>
      <c r="EJ30" s="766"/>
      <c r="EK30" s="766"/>
      <c r="EL30" s="766"/>
      <c r="EM30" s="766"/>
      <c r="EN30" s="766"/>
      <c r="EO30" s="766"/>
      <c r="EP30" s="766"/>
      <c r="EQ30" s="766"/>
      <c r="ER30" s="766"/>
      <c r="ES30" s="766"/>
      <c r="ET30" s="766"/>
      <c r="EU30" s="766"/>
      <c r="EV30" s="766"/>
      <c r="EW30" s="766"/>
      <c r="EX30" s="766"/>
      <c r="EY30" s="766"/>
      <c r="EZ30" s="766"/>
      <c r="FA30" s="766"/>
      <c r="FB30" s="766"/>
      <c r="FC30" s="766"/>
      <c r="FD30" s="766"/>
      <c r="FE30" s="766"/>
      <c r="FF30" s="766"/>
      <c r="FG30" s="766"/>
      <c r="FH30" s="766"/>
      <c r="FI30" s="766"/>
      <c r="FJ30" s="766"/>
      <c r="FK30" s="766"/>
      <c r="FL30" s="766"/>
      <c r="FM30" s="766"/>
      <c r="FN30" s="766"/>
      <c r="FO30" s="766"/>
      <c r="FP30" s="766"/>
      <c r="FQ30" s="766"/>
      <c r="FR30" s="766"/>
      <c r="FS30" s="766"/>
      <c r="FT30" s="766"/>
      <c r="FU30" s="766"/>
      <c r="FV30" s="766"/>
      <c r="FW30" s="766"/>
      <c r="FX30" s="766"/>
      <c r="FY30" s="766"/>
      <c r="FZ30" s="766"/>
      <c r="GA30" s="766"/>
      <c r="GB30" s="766"/>
      <c r="GC30" s="766"/>
      <c r="GD30" s="766"/>
      <c r="GE30" s="766"/>
      <c r="GF30" s="766"/>
      <c r="GG30" s="766"/>
      <c r="GH30" s="766"/>
      <c r="GI30" s="766"/>
      <c r="GJ30" s="766"/>
      <c r="GK30" s="766"/>
      <c r="GL30" s="766"/>
      <c r="GM30" s="766"/>
      <c r="GN30" s="766"/>
      <c r="GO30" s="766"/>
      <c r="GP30" s="766"/>
      <c r="GQ30" s="766"/>
      <c r="GR30" s="766"/>
      <c r="GS30" s="766"/>
      <c r="GT30" s="766"/>
      <c r="GU30" s="766"/>
      <c r="GV30" s="766"/>
      <c r="GW30" s="766"/>
      <c r="GX30" s="766"/>
      <c r="GY30" s="766"/>
      <c r="GZ30" s="766"/>
      <c r="HA30" s="766"/>
      <c r="HB30" s="766"/>
      <c r="HC30" s="766"/>
      <c r="HD30" s="766"/>
      <c r="HE30" s="766"/>
      <c r="HF30" s="766"/>
      <c r="HG30" s="766"/>
      <c r="HH30" s="766"/>
      <c r="HI30" s="766"/>
      <c r="HJ30" s="766"/>
      <c r="HK30" s="766"/>
      <c r="HL30" s="766"/>
      <c r="HM30" s="766"/>
      <c r="HN30" s="766"/>
      <c r="HO30" s="766"/>
      <c r="HP30" s="766"/>
      <c r="HQ30" s="766"/>
      <c r="HR30" s="766"/>
      <c r="HS30" s="766"/>
      <c r="HT30" s="766"/>
      <c r="HU30" s="766"/>
      <c r="HV30" s="766"/>
      <c r="HW30" s="766"/>
      <c r="HX30" s="766"/>
      <c r="HY30" s="766"/>
      <c r="HZ30" s="766"/>
      <c r="IA30" s="766"/>
      <c r="IB30" s="766"/>
      <c r="IC30" s="766"/>
      <c r="ID30" s="766"/>
      <c r="IE30" s="766"/>
      <c r="IF30" s="766"/>
      <c r="IG30" s="766"/>
      <c r="IH30" s="766"/>
      <c r="II30" s="766"/>
      <c r="IJ30" s="766"/>
      <c r="IK30" s="766"/>
      <c r="IL30" s="766"/>
      <c r="IM30" s="766"/>
      <c r="IN30" s="766"/>
      <c r="IO30" s="766"/>
      <c r="IP30" s="766"/>
      <c r="IQ30" s="766"/>
      <c r="IR30" s="766"/>
      <c r="IS30" s="766"/>
    </row>
    <row r="31" spans="1:253" s="92" customFormat="1" x14ac:dyDescent="0.2">
      <c r="A31" s="817" t="s">
        <v>104</v>
      </c>
      <c r="B31" s="817" t="s">
        <v>32</v>
      </c>
      <c r="C31" s="817" t="s">
        <v>312</v>
      </c>
      <c r="D31" s="817" t="s">
        <v>231</v>
      </c>
      <c r="E31" s="817">
        <v>1300</v>
      </c>
      <c r="F31" s="817">
        <v>1980</v>
      </c>
      <c r="G31" s="817">
        <v>2004</v>
      </c>
      <c r="H31" s="817">
        <v>2599375</v>
      </c>
      <c r="I31" s="817">
        <v>1126025</v>
      </c>
      <c r="J31" s="817">
        <v>835</v>
      </c>
      <c r="K31" s="817" t="s">
        <v>469</v>
      </c>
      <c r="L31" s="817" t="s">
        <v>465</v>
      </c>
      <c r="M31" s="817">
        <v>2599238</v>
      </c>
      <c r="N31" s="817">
        <v>1125998</v>
      </c>
      <c r="O31" s="817">
        <v>735</v>
      </c>
      <c r="P31" s="817">
        <v>1040</v>
      </c>
      <c r="Q31" s="817">
        <v>210</v>
      </c>
      <c r="R31" s="817"/>
      <c r="S31" s="817"/>
      <c r="T31" s="817"/>
      <c r="U31" s="817"/>
      <c r="V31" s="817">
        <v>0.8</v>
      </c>
      <c r="W31" s="817">
        <v>80</v>
      </c>
      <c r="X31" s="817"/>
      <c r="Y31" s="817"/>
      <c r="Z31" s="817">
        <v>0.3</v>
      </c>
      <c r="AA31" s="817">
        <v>20</v>
      </c>
      <c r="AB31" s="817"/>
      <c r="AC31" s="817">
        <v>542</v>
      </c>
      <c r="AD31" s="817">
        <v>1239</v>
      </c>
      <c r="AE31" s="817"/>
      <c r="AF31" s="817" t="s">
        <v>479</v>
      </c>
      <c r="AG31" s="817">
        <v>0</v>
      </c>
      <c r="AH31" s="817">
        <v>0</v>
      </c>
      <c r="AI31" s="817">
        <v>0</v>
      </c>
      <c r="AJ31" s="817">
        <v>0</v>
      </c>
      <c r="AK31" s="817">
        <v>0</v>
      </c>
      <c r="AL31" s="817">
        <v>0</v>
      </c>
      <c r="AM31" s="817">
        <v>0</v>
      </c>
      <c r="AN31" s="817">
        <v>12</v>
      </c>
      <c r="AO31" s="817">
        <v>12</v>
      </c>
      <c r="AP31" s="817">
        <v>0</v>
      </c>
      <c r="AQ31" s="817">
        <v>0</v>
      </c>
      <c r="AR31" s="817">
        <v>12</v>
      </c>
      <c r="AS31" s="817">
        <v>12</v>
      </c>
      <c r="AT31" s="817">
        <v>12</v>
      </c>
      <c r="AU31" s="817">
        <v>0</v>
      </c>
      <c r="AV31" s="817">
        <v>12</v>
      </c>
      <c r="AW31" s="817">
        <v>12</v>
      </c>
      <c r="AX31" s="817">
        <f t="shared" si="0"/>
        <v>0</v>
      </c>
      <c r="AY31" s="817">
        <v>1</v>
      </c>
      <c r="AZ31" s="817" t="s">
        <v>284</v>
      </c>
      <c r="BA31" s="817">
        <v>1</v>
      </c>
      <c r="BB31" s="817">
        <v>0</v>
      </c>
      <c r="BC31" s="817"/>
      <c r="BD31" s="817">
        <v>1</v>
      </c>
      <c r="BE31" s="817">
        <v>1</v>
      </c>
      <c r="BF31" s="817">
        <v>2</v>
      </c>
      <c r="BG31" s="817">
        <v>2</v>
      </c>
      <c r="BH31" s="817">
        <v>2</v>
      </c>
      <c r="BI31" s="817">
        <v>1</v>
      </c>
      <c r="BJ31" s="817">
        <v>1</v>
      </c>
      <c r="BK31" s="817">
        <v>4</v>
      </c>
      <c r="BL31" s="817">
        <v>1</v>
      </c>
      <c r="BM31" s="817">
        <v>1</v>
      </c>
      <c r="BN31" s="817">
        <v>1</v>
      </c>
      <c r="BO31" s="817">
        <v>1</v>
      </c>
      <c r="BP31" s="817">
        <v>1</v>
      </c>
      <c r="BQ31" s="817">
        <v>1</v>
      </c>
      <c r="BR31" s="817">
        <v>2</v>
      </c>
      <c r="BS31" s="817">
        <v>1</v>
      </c>
      <c r="BT31" s="817">
        <v>1</v>
      </c>
      <c r="BU31" s="817">
        <v>1</v>
      </c>
      <c r="BV31" s="817">
        <v>1</v>
      </c>
      <c r="BW31" s="817">
        <v>1</v>
      </c>
      <c r="BX31" s="817">
        <v>1</v>
      </c>
      <c r="BY31" s="817">
        <v>1</v>
      </c>
      <c r="BZ31" s="817">
        <v>1</v>
      </c>
      <c r="CA31" s="817">
        <v>1</v>
      </c>
      <c r="CB31" s="817">
        <v>2</v>
      </c>
      <c r="CC31" s="817">
        <v>1</v>
      </c>
      <c r="CD31" s="817">
        <v>1</v>
      </c>
      <c r="CE31" s="817">
        <v>1</v>
      </c>
      <c r="CF31" s="817" t="s">
        <v>560</v>
      </c>
      <c r="CG31" s="817" t="s">
        <v>561</v>
      </c>
      <c r="CH31" s="817">
        <v>1</v>
      </c>
      <c r="CI31" s="817">
        <v>3</v>
      </c>
      <c r="CJ31" s="817">
        <v>5</v>
      </c>
      <c r="CK31" s="817"/>
      <c r="CL31" s="817">
        <v>1</v>
      </c>
      <c r="CM31" s="817">
        <v>1</v>
      </c>
      <c r="CN31" s="817">
        <v>1</v>
      </c>
      <c r="CO31" s="817">
        <v>1</v>
      </c>
      <c r="CP31" s="817">
        <v>60</v>
      </c>
      <c r="CQ31" s="817">
        <v>80</v>
      </c>
      <c r="CR31" s="817">
        <v>12</v>
      </c>
      <c r="CS31" s="817">
        <v>12</v>
      </c>
      <c r="CT31" s="817">
        <v>1</v>
      </c>
      <c r="CU31" s="160"/>
      <c r="CV31" s="160"/>
      <c r="CW31" s="160"/>
      <c r="CX31" s="160"/>
      <c r="CY31" s="160"/>
      <c r="CZ31" s="160"/>
      <c r="DA31" s="160"/>
      <c r="DB31" s="160"/>
      <c r="DC31" s="160"/>
      <c r="DD31" s="160"/>
      <c r="DE31" s="160"/>
      <c r="DF31" s="160"/>
      <c r="DG31" s="160"/>
      <c r="DH31" s="160"/>
      <c r="DI31" s="160"/>
      <c r="DJ31" s="160"/>
      <c r="DK31" s="167"/>
      <c r="DL31" s="766"/>
      <c r="DM31" s="871" t="s">
        <v>104</v>
      </c>
      <c r="DN31" s="871" t="s">
        <v>717</v>
      </c>
      <c r="DO31" s="766"/>
      <c r="DP31" s="766"/>
      <c r="DQ31" s="766"/>
      <c r="DR31" s="766"/>
      <c r="DS31" s="766"/>
      <c r="DT31" s="766"/>
      <c r="DU31" s="766"/>
      <c r="DV31" s="766"/>
      <c r="DW31" s="766"/>
      <c r="DX31" s="766"/>
      <c r="DY31" s="766"/>
      <c r="DZ31" s="766"/>
      <c r="EA31" s="766"/>
      <c r="EB31" s="766"/>
      <c r="EC31" s="766"/>
      <c r="ED31" s="766"/>
      <c r="EE31" s="766"/>
      <c r="EF31" s="766"/>
      <c r="EG31" s="766"/>
      <c r="EH31" s="766"/>
      <c r="EI31" s="766"/>
      <c r="EJ31" s="766"/>
      <c r="EK31" s="766"/>
      <c r="EL31" s="766"/>
      <c r="EM31" s="766"/>
      <c r="EN31" s="766"/>
      <c r="EO31" s="766"/>
      <c r="EP31" s="766"/>
      <c r="EQ31" s="766"/>
      <c r="ER31" s="766"/>
      <c r="ES31" s="766"/>
      <c r="ET31" s="766"/>
      <c r="EU31" s="766"/>
      <c r="EV31" s="766"/>
      <c r="EW31" s="766"/>
      <c r="EX31" s="766"/>
      <c r="EY31" s="766"/>
      <c r="EZ31" s="766"/>
      <c r="FA31" s="766"/>
      <c r="FB31" s="766"/>
      <c r="FC31" s="766"/>
      <c r="FD31" s="766"/>
      <c r="FE31" s="766"/>
      <c r="FF31" s="766"/>
      <c r="FG31" s="766"/>
      <c r="FH31" s="766"/>
      <c r="FI31" s="766"/>
      <c r="FJ31" s="766"/>
      <c r="FK31" s="766"/>
      <c r="FL31" s="766"/>
      <c r="FM31" s="766"/>
      <c r="FN31" s="766"/>
      <c r="FO31" s="766"/>
      <c r="FP31" s="766"/>
      <c r="FQ31" s="766"/>
      <c r="FR31" s="766"/>
      <c r="FS31" s="766"/>
      <c r="FT31" s="766"/>
      <c r="FU31" s="766"/>
      <c r="FV31" s="766"/>
      <c r="FW31" s="766"/>
      <c r="FX31" s="766"/>
      <c r="FY31" s="766"/>
      <c r="FZ31" s="766"/>
      <c r="GA31" s="766"/>
      <c r="GB31" s="766"/>
      <c r="GC31" s="766"/>
      <c r="GD31" s="766"/>
      <c r="GE31" s="766"/>
      <c r="GF31" s="766"/>
      <c r="GG31" s="766"/>
      <c r="GH31" s="766"/>
      <c r="GI31" s="766"/>
      <c r="GJ31" s="766"/>
      <c r="GK31" s="766"/>
      <c r="GL31" s="766"/>
      <c r="GM31" s="766"/>
      <c r="GN31" s="766"/>
      <c r="GO31" s="766"/>
      <c r="GP31" s="766"/>
      <c r="GQ31" s="766"/>
      <c r="GR31" s="766"/>
      <c r="GS31" s="766"/>
      <c r="GT31" s="766"/>
      <c r="GU31" s="766"/>
      <c r="GV31" s="766"/>
      <c r="GW31" s="766"/>
      <c r="GX31" s="766"/>
      <c r="GY31" s="766"/>
      <c r="GZ31" s="766"/>
      <c r="HA31" s="766"/>
      <c r="HB31" s="766"/>
      <c r="HC31" s="766"/>
      <c r="HD31" s="766"/>
      <c r="HE31" s="766"/>
      <c r="HF31" s="766"/>
      <c r="HG31" s="766"/>
      <c r="HH31" s="766"/>
      <c r="HI31" s="766"/>
      <c r="HJ31" s="766"/>
      <c r="HK31" s="766"/>
      <c r="HL31" s="766"/>
      <c r="HM31" s="766"/>
      <c r="HN31" s="766"/>
      <c r="HO31" s="766"/>
      <c r="HP31" s="766"/>
      <c r="HQ31" s="766"/>
      <c r="HR31" s="766"/>
      <c r="HS31" s="766"/>
      <c r="HT31" s="766"/>
      <c r="HU31" s="766"/>
      <c r="HV31" s="766"/>
      <c r="HW31" s="766"/>
      <c r="HX31" s="766"/>
      <c r="HY31" s="766"/>
      <c r="HZ31" s="766"/>
      <c r="IA31" s="766"/>
      <c r="IB31" s="766"/>
      <c r="IC31" s="766"/>
      <c r="ID31" s="766"/>
      <c r="IE31" s="766"/>
      <c r="IF31" s="766"/>
      <c r="IG31" s="766"/>
      <c r="IH31" s="766"/>
      <c r="II31" s="766"/>
      <c r="IJ31" s="766"/>
      <c r="IK31" s="766"/>
      <c r="IL31" s="766"/>
      <c r="IM31" s="766"/>
      <c r="IN31" s="766"/>
      <c r="IO31" s="766"/>
      <c r="IP31" s="766"/>
      <c r="IQ31" s="766"/>
      <c r="IR31" s="766"/>
      <c r="IS31" s="766"/>
    </row>
    <row r="32" spans="1:253" s="92" customFormat="1" x14ac:dyDescent="0.2">
      <c r="A32" s="817" t="s">
        <v>110</v>
      </c>
      <c r="B32" s="817" t="s">
        <v>33</v>
      </c>
      <c r="C32" s="817" t="s">
        <v>286</v>
      </c>
      <c r="D32" s="817" t="s">
        <v>287</v>
      </c>
      <c r="E32" s="817">
        <v>563</v>
      </c>
      <c r="F32" s="817">
        <v>1996</v>
      </c>
      <c r="G32" s="817">
        <v>0</v>
      </c>
      <c r="H32" s="817">
        <v>2614190</v>
      </c>
      <c r="I32" s="817">
        <v>1131520</v>
      </c>
      <c r="J32" s="817">
        <v>915</v>
      </c>
      <c r="K32" s="817" t="s">
        <v>562</v>
      </c>
      <c r="L32" s="817" t="s">
        <v>465</v>
      </c>
      <c r="M32" s="817">
        <v>2614300</v>
      </c>
      <c r="N32" s="817">
        <v>1131465</v>
      </c>
      <c r="O32" s="817">
        <v>850</v>
      </c>
      <c r="P32" s="817">
        <v>158</v>
      </c>
      <c r="Q32" s="817"/>
      <c r="R32" s="817"/>
      <c r="S32" s="817"/>
      <c r="T32" s="817"/>
      <c r="U32" s="817"/>
      <c r="V32" s="817">
        <v>0.8</v>
      </c>
      <c r="W32" s="817">
        <v>80</v>
      </c>
      <c r="X32" s="817"/>
      <c r="Y32" s="817"/>
      <c r="Z32" s="817">
        <v>0.3</v>
      </c>
      <c r="AA32" s="817">
        <v>20</v>
      </c>
      <c r="AB32" s="817"/>
      <c r="AC32" s="817">
        <v>120</v>
      </c>
      <c r="AD32" s="817">
        <v>154</v>
      </c>
      <c r="AE32" s="817"/>
      <c r="AF32" s="817" t="s">
        <v>479</v>
      </c>
      <c r="AG32" s="817">
        <v>0</v>
      </c>
      <c r="AH32" s="817">
        <v>0</v>
      </c>
      <c r="AI32" s="817">
        <v>0</v>
      </c>
      <c r="AJ32" s="817">
        <v>0</v>
      </c>
      <c r="AK32" s="817">
        <v>0</v>
      </c>
      <c r="AL32" s="817">
        <v>0</v>
      </c>
      <c r="AM32" s="817">
        <v>0</v>
      </c>
      <c r="AN32" s="817">
        <v>12</v>
      </c>
      <c r="AO32" s="817">
        <v>12</v>
      </c>
      <c r="AP32" s="817">
        <v>0</v>
      </c>
      <c r="AQ32" s="817">
        <v>0</v>
      </c>
      <c r="AR32" s="817">
        <v>12</v>
      </c>
      <c r="AS32" s="817">
        <v>12</v>
      </c>
      <c r="AT32" s="817">
        <v>12</v>
      </c>
      <c r="AU32" s="817">
        <v>0</v>
      </c>
      <c r="AV32" s="817">
        <v>12</v>
      </c>
      <c r="AW32" s="817">
        <v>12</v>
      </c>
      <c r="AX32" s="817">
        <f t="shared" si="0"/>
        <v>0</v>
      </c>
      <c r="AY32" s="817">
        <v>2</v>
      </c>
      <c r="AZ32" s="817" t="s">
        <v>770</v>
      </c>
      <c r="BA32" s="817">
        <v>1</v>
      </c>
      <c r="BB32" s="817">
        <v>0</v>
      </c>
      <c r="BC32" s="817" t="s">
        <v>563</v>
      </c>
      <c r="BD32" s="817">
        <v>1</v>
      </c>
      <c r="BE32" s="817">
        <v>2</v>
      </c>
      <c r="BF32" s="817">
        <v>2</v>
      </c>
      <c r="BG32" s="817">
        <v>2</v>
      </c>
      <c r="BH32" s="817">
        <v>2</v>
      </c>
      <c r="BI32" s="817">
        <v>1</v>
      </c>
      <c r="BJ32" s="817">
        <v>1</v>
      </c>
      <c r="BK32" s="817">
        <v>1</v>
      </c>
      <c r="BL32" s="817"/>
      <c r="BM32" s="817">
        <v>1</v>
      </c>
      <c r="BN32" s="817">
        <v>1</v>
      </c>
      <c r="BO32" s="817">
        <v>1</v>
      </c>
      <c r="BP32" s="817">
        <v>2</v>
      </c>
      <c r="BQ32" s="817">
        <v>1</v>
      </c>
      <c r="BR32" s="817">
        <v>1</v>
      </c>
      <c r="BS32" s="817">
        <v>1</v>
      </c>
      <c r="BT32" s="817">
        <v>2</v>
      </c>
      <c r="BU32" s="817">
        <v>1</v>
      </c>
      <c r="BV32" s="817">
        <v>1</v>
      </c>
      <c r="BW32" s="817">
        <v>1</v>
      </c>
      <c r="BX32" s="817">
        <v>1</v>
      </c>
      <c r="BY32" s="817">
        <v>1</v>
      </c>
      <c r="BZ32" s="817">
        <v>1</v>
      </c>
      <c r="CA32" s="817">
        <v>1</v>
      </c>
      <c r="CB32" s="817">
        <v>1</v>
      </c>
      <c r="CC32" s="817">
        <v>1</v>
      </c>
      <c r="CD32" s="817">
        <v>1</v>
      </c>
      <c r="CE32" s="817">
        <v>1</v>
      </c>
      <c r="CF32" s="817" t="s">
        <v>564</v>
      </c>
      <c r="CG32" s="817" t="s">
        <v>565</v>
      </c>
      <c r="CH32" s="817">
        <v>1</v>
      </c>
      <c r="CI32" s="817">
        <v>5</v>
      </c>
      <c r="CJ32" s="817">
        <v>5</v>
      </c>
      <c r="CK32" s="817"/>
      <c r="CL32" s="817">
        <v>1</v>
      </c>
      <c r="CM32" s="817">
        <v>1</v>
      </c>
      <c r="CN32" s="817">
        <v>1</v>
      </c>
      <c r="CO32" s="817">
        <v>1</v>
      </c>
      <c r="CP32" s="817">
        <v>60</v>
      </c>
      <c r="CQ32" s="817">
        <v>80</v>
      </c>
      <c r="CR32" s="817">
        <v>12</v>
      </c>
      <c r="CS32" s="817">
        <v>12</v>
      </c>
      <c r="CT32" s="817">
        <v>1</v>
      </c>
      <c r="CU32" s="160"/>
      <c r="CV32" s="160"/>
      <c r="CW32" s="160"/>
      <c r="CX32" s="160"/>
      <c r="CY32" s="160"/>
      <c r="CZ32" s="160"/>
      <c r="DA32" s="160"/>
      <c r="DB32" s="160"/>
      <c r="DC32" s="160"/>
      <c r="DD32" s="160"/>
      <c r="DE32" s="160"/>
      <c r="DF32" s="160"/>
      <c r="DG32" s="160"/>
      <c r="DH32" s="160"/>
      <c r="DI32" s="160"/>
      <c r="DJ32" s="160"/>
      <c r="DK32" s="167"/>
      <c r="DL32" s="766"/>
      <c r="DM32" s="871" t="s">
        <v>110</v>
      </c>
      <c r="DN32" s="871" t="s">
        <v>718</v>
      </c>
      <c r="DO32" s="766"/>
      <c r="DP32" s="766"/>
      <c r="DQ32" s="766"/>
      <c r="DR32" s="766"/>
      <c r="DS32" s="766"/>
      <c r="DT32" s="766"/>
      <c r="DU32" s="766"/>
      <c r="DV32" s="766"/>
      <c r="DW32" s="766"/>
      <c r="DX32" s="766"/>
      <c r="DY32" s="766"/>
      <c r="DZ32" s="766"/>
      <c r="EA32" s="766"/>
      <c r="EB32" s="766"/>
      <c r="EC32" s="766"/>
      <c r="ED32" s="766"/>
      <c r="EE32" s="766"/>
      <c r="EF32" s="766"/>
      <c r="EG32" s="766"/>
      <c r="EH32" s="766"/>
      <c r="EI32" s="766"/>
      <c r="EJ32" s="766"/>
      <c r="EK32" s="766"/>
      <c r="EL32" s="766"/>
      <c r="EM32" s="766"/>
      <c r="EN32" s="766"/>
      <c r="EO32" s="766"/>
      <c r="EP32" s="766"/>
      <c r="EQ32" s="766"/>
      <c r="ER32" s="766"/>
      <c r="ES32" s="766"/>
      <c r="ET32" s="766"/>
      <c r="EU32" s="766"/>
      <c r="EV32" s="766"/>
      <c r="EW32" s="766"/>
      <c r="EX32" s="766"/>
      <c r="EY32" s="766"/>
      <c r="EZ32" s="766"/>
      <c r="FA32" s="766"/>
      <c r="FB32" s="766"/>
      <c r="FC32" s="766"/>
      <c r="FD32" s="766"/>
      <c r="FE32" s="766"/>
      <c r="FF32" s="766"/>
      <c r="FG32" s="766"/>
      <c r="FH32" s="766"/>
      <c r="FI32" s="766"/>
      <c r="FJ32" s="766"/>
      <c r="FK32" s="766"/>
      <c r="FL32" s="766"/>
      <c r="FM32" s="766"/>
      <c r="FN32" s="766"/>
      <c r="FO32" s="766"/>
      <c r="FP32" s="766"/>
      <c r="FQ32" s="766"/>
      <c r="FR32" s="766"/>
      <c r="FS32" s="766"/>
      <c r="FT32" s="766"/>
      <c r="FU32" s="766"/>
      <c r="FV32" s="766"/>
      <c r="FW32" s="766"/>
      <c r="FX32" s="766"/>
      <c r="FY32" s="766"/>
      <c r="FZ32" s="766"/>
      <c r="GA32" s="766"/>
      <c r="GB32" s="766"/>
      <c r="GC32" s="766"/>
      <c r="GD32" s="766"/>
      <c r="GE32" s="766"/>
      <c r="GF32" s="766"/>
      <c r="GG32" s="766"/>
      <c r="GH32" s="766"/>
      <c r="GI32" s="766"/>
      <c r="GJ32" s="766"/>
      <c r="GK32" s="766"/>
      <c r="GL32" s="766"/>
      <c r="GM32" s="766"/>
      <c r="GN32" s="766"/>
      <c r="GO32" s="766"/>
      <c r="GP32" s="766"/>
      <c r="GQ32" s="766"/>
      <c r="GR32" s="766"/>
      <c r="GS32" s="766"/>
      <c r="GT32" s="766"/>
      <c r="GU32" s="766"/>
      <c r="GV32" s="766"/>
      <c r="GW32" s="766"/>
      <c r="GX32" s="766"/>
      <c r="GY32" s="766"/>
      <c r="GZ32" s="766"/>
      <c r="HA32" s="766"/>
      <c r="HB32" s="766"/>
      <c r="HC32" s="766"/>
      <c r="HD32" s="766"/>
      <c r="HE32" s="766"/>
      <c r="HF32" s="766"/>
      <c r="HG32" s="766"/>
      <c r="HH32" s="766"/>
      <c r="HI32" s="766"/>
      <c r="HJ32" s="766"/>
      <c r="HK32" s="766"/>
      <c r="HL32" s="766"/>
      <c r="HM32" s="766"/>
      <c r="HN32" s="766"/>
      <c r="HO32" s="766"/>
      <c r="HP32" s="766"/>
      <c r="HQ32" s="766"/>
      <c r="HR32" s="766"/>
      <c r="HS32" s="766"/>
      <c r="HT32" s="766"/>
      <c r="HU32" s="766"/>
      <c r="HV32" s="766"/>
      <c r="HW32" s="766"/>
      <c r="HX32" s="766"/>
      <c r="HY32" s="766"/>
      <c r="HZ32" s="766"/>
      <c r="IA32" s="766"/>
      <c r="IB32" s="766"/>
      <c r="IC32" s="766"/>
      <c r="ID32" s="766"/>
      <c r="IE32" s="766"/>
      <c r="IF32" s="766"/>
      <c r="IG32" s="766"/>
      <c r="IH32" s="766"/>
      <c r="II32" s="766"/>
      <c r="IJ32" s="766"/>
      <c r="IK32" s="766"/>
      <c r="IL32" s="766"/>
      <c r="IM32" s="766"/>
      <c r="IN32" s="766"/>
      <c r="IO32" s="766"/>
      <c r="IP32" s="766"/>
      <c r="IQ32" s="766"/>
      <c r="IR32" s="766"/>
      <c r="IS32" s="766"/>
    </row>
    <row r="33" spans="1:253" s="92" customFormat="1" x14ac:dyDescent="0.2">
      <c r="A33" s="817" t="s">
        <v>250</v>
      </c>
      <c r="B33" s="817" t="s">
        <v>34</v>
      </c>
      <c r="C33" s="817" t="s">
        <v>307</v>
      </c>
      <c r="D33" s="817" t="s">
        <v>313</v>
      </c>
      <c r="E33" s="817">
        <v>2500</v>
      </c>
      <c r="F33" s="817">
        <v>1976</v>
      </c>
      <c r="G33" s="817">
        <v>2003</v>
      </c>
      <c r="H33" s="817">
        <v>2584865</v>
      </c>
      <c r="I33" s="817">
        <v>1112085</v>
      </c>
      <c r="J33" s="817">
        <v>955</v>
      </c>
      <c r="K33" s="817" t="s">
        <v>566</v>
      </c>
      <c r="L33" s="817" t="s">
        <v>465</v>
      </c>
      <c r="M33" s="817">
        <v>2584830</v>
      </c>
      <c r="N33" s="817">
        <v>1112090</v>
      </c>
      <c r="O33" s="817">
        <v>950</v>
      </c>
      <c r="P33" s="817">
        <v>800</v>
      </c>
      <c r="Q33" s="817"/>
      <c r="R33" s="817"/>
      <c r="S33" s="817"/>
      <c r="T33" s="817">
        <v>10</v>
      </c>
      <c r="U33" s="817">
        <v>85</v>
      </c>
      <c r="V33" s="817">
        <v>0.8</v>
      </c>
      <c r="W33" s="817">
        <v>85</v>
      </c>
      <c r="X33" s="817"/>
      <c r="Y33" s="817"/>
      <c r="Z33" s="817">
        <v>0.3</v>
      </c>
      <c r="AA33" s="817">
        <v>20</v>
      </c>
      <c r="AB33" s="817"/>
      <c r="AC33" s="817">
        <v>835</v>
      </c>
      <c r="AD33" s="817">
        <v>493</v>
      </c>
      <c r="AE33" s="817"/>
      <c r="AF33" s="817" t="s">
        <v>237</v>
      </c>
      <c r="AG33" s="817">
        <v>0</v>
      </c>
      <c r="AH33" s="817">
        <v>0</v>
      </c>
      <c r="AI33" s="817">
        <v>12</v>
      </c>
      <c r="AJ33" s="817">
        <v>0</v>
      </c>
      <c r="AK33" s="817">
        <v>0</v>
      </c>
      <c r="AL33" s="817">
        <v>12</v>
      </c>
      <c r="AM33" s="817">
        <v>24</v>
      </c>
      <c r="AN33" s="817">
        <v>24</v>
      </c>
      <c r="AO33" s="817">
        <v>24</v>
      </c>
      <c r="AP33" s="817">
        <v>0</v>
      </c>
      <c r="AQ33" s="817">
        <v>0</v>
      </c>
      <c r="AR33" s="817">
        <v>12</v>
      </c>
      <c r="AS33" s="817">
        <v>24</v>
      </c>
      <c r="AT33" s="817">
        <v>24</v>
      </c>
      <c r="AU33" s="817">
        <v>0</v>
      </c>
      <c r="AV33" s="817">
        <v>24</v>
      </c>
      <c r="AW33" s="817">
        <v>52</v>
      </c>
      <c r="AX33" s="817">
        <f t="shared" si="0"/>
        <v>1</v>
      </c>
      <c r="AY33" s="817">
        <v>1</v>
      </c>
      <c r="AZ33" s="817" t="s">
        <v>284</v>
      </c>
      <c r="BA33" s="817">
        <v>1</v>
      </c>
      <c r="BB33" s="817">
        <v>0</v>
      </c>
      <c r="BC33" s="817" t="s">
        <v>567</v>
      </c>
      <c r="BD33" s="817">
        <v>1</v>
      </c>
      <c r="BE33" s="817">
        <v>1</v>
      </c>
      <c r="BF33" s="817">
        <v>2</v>
      </c>
      <c r="BG33" s="817">
        <v>2</v>
      </c>
      <c r="BH33" s="817">
        <v>2</v>
      </c>
      <c r="BI33" s="817">
        <v>1</v>
      </c>
      <c r="BJ33" s="817">
        <v>1</v>
      </c>
      <c r="BK33" s="817">
        <v>1</v>
      </c>
      <c r="BL33" s="817"/>
      <c r="BM33" s="817">
        <v>1</v>
      </c>
      <c r="BN33" s="817">
        <v>2</v>
      </c>
      <c r="BO33" s="817">
        <v>1</v>
      </c>
      <c r="BP33" s="817">
        <v>1</v>
      </c>
      <c r="BQ33" s="817">
        <v>1</v>
      </c>
      <c r="BR33" s="817">
        <v>2</v>
      </c>
      <c r="BS33" s="817">
        <v>1</v>
      </c>
      <c r="BT33" s="817">
        <v>1</v>
      </c>
      <c r="BU33" s="817">
        <v>1</v>
      </c>
      <c r="BV33" s="817">
        <v>1</v>
      </c>
      <c r="BW33" s="817">
        <v>1</v>
      </c>
      <c r="BX33" s="817">
        <v>1</v>
      </c>
      <c r="BY33" s="817">
        <v>1</v>
      </c>
      <c r="BZ33" s="817">
        <v>1</v>
      </c>
      <c r="CA33" s="817">
        <v>1</v>
      </c>
      <c r="CB33" s="817">
        <v>0</v>
      </c>
      <c r="CC33" s="817">
        <v>1</v>
      </c>
      <c r="CD33" s="817">
        <v>1</v>
      </c>
      <c r="CE33" s="817">
        <v>1</v>
      </c>
      <c r="CF33" s="817" t="s">
        <v>596</v>
      </c>
      <c r="CG33" s="817" t="s">
        <v>597</v>
      </c>
      <c r="CH33" s="817">
        <v>1</v>
      </c>
      <c r="CI33" s="817">
        <v>5</v>
      </c>
      <c r="CJ33" s="817">
        <v>5</v>
      </c>
      <c r="CK33" s="817">
        <v>4</v>
      </c>
      <c r="CL33" s="817">
        <v>1</v>
      </c>
      <c r="CM33" s="817">
        <v>1</v>
      </c>
      <c r="CN33" s="817">
        <v>1</v>
      </c>
      <c r="CO33" s="817">
        <v>1</v>
      </c>
      <c r="CP33" s="817">
        <v>60</v>
      </c>
      <c r="CQ33" s="817">
        <v>80</v>
      </c>
      <c r="CR33" s="817">
        <v>24</v>
      </c>
      <c r="CS33" s="817">
        <v>24</v>
      </c>
      <c r="CT33" s="817">
        <v>1</v>
      </c>
      <c r="CU33" s="160"/>
      <c r="CV33" s="160"/>
      <c r="CW33" s="160"/>
      <c r="CX33" s="160"/>
      <c r="CY33" s="160"/>
      <c r="CZ33" s="160"/>
      <c r="DA33" s="160"/>
      <c r="DB33" s="160"/>
      <c r="DC33" s="160"/>
      <c r="DD33" s="160"/>
      <c r="DE33" s="160"/>
      <c r="DF33" s="160"/>
      <c r="DG33" s="160"/>
      <c r="DH33" s="160"/>
      <c r="DI33" s="160"/>
      <c r="DJ33" s="160"/>
      <c r="DK33" s="167"/>
      <c r="DL33" s="766"/>
      <c r="DM33" s="871" t="s">
        <v>719</v>
      </c>
      <c r="DN33" s="871" t="s">
        <v>720</v>
      </c>
      <c r="DO33" s="766"/>
      <c r="DP33" s="766"/>
      <c r="DQ33" s="766"/>
      <c r="DR33" s="766"/>
      <c r="DS33" s="766"/>
      <c r="DT33" s="766"/>
      <c r="DU33" s="766"/>
      <c r="DV33" s="766"/>
      <c r="DW33" s="766"/>
      <c r="DX33" s="766"/>
      <c r="DY33" s="766"/>
      <c r="DZ33" s="766"/>
      <c r="EA33" s="766"/>
      <c r="EB33" s="766"/>
      <c r="EC33" s="766"/>
      <c r="ED33" s="766"/>
      <c r="EE33" s="766"/>
      <c r="EF33" s="766"/>
      <c r="EG33" s="766"/>
      <c r="EH33" s="766"/>
      <c r="EI33" s="766"/>
      <c r="EJ33" s="766"/>
      <c r="EK33" s="766"/>
      <c r="EL33" s="766"/>
      <c r="EM33" s="766"/>
      <c r="EN33" s="766"/>
      <c r="EO33" s="766"/>
      <c r="EP33" s="766"/>
      <c r="EQ33" s="766"/>
      <c r="ER33" s="766"/>
      <c r="ES33" s="766"/>
      <c r="ET33" s="766"/>
      <c r="EU33" s="766"/>
      <c r="EV33" s="766"/>
      <c r="EW33" s="766"/>
      <c r="EX33" s="766"/>
      <c r="EY33" s="766"/>
      <c r="EZ33" s="766"/>
      <c r="FA33" s="766"/>
      <c r="FB33" s="766"/>
      <c r="FC33" s="766"/>
      <c r="FD33" s="766"/>
      <c r="FE33" s="766"/>
      <c r="FF33" s="766"/>
      <c r="FG33" s="766"/>
      <c r="FH33" s="766"/>
      <c r="FI33" s="766"/>
      <c r="FJ33" s="766"/>
      <c r="FK33" s="766"/>
      <c r="FL33" s="766"/>
      <c r="FM33" s="766"/>
      <c r="FN33" s="766"/>
      <c r="FO33" s="766"/>
      <c r="FP33" s="766"/>
      <c r="FQ33" s="766"/>
      <c r="FR33" s="766"/>
      <c r="FS33" s="766"/>
      <c r="FT33" s="766"/>
      <c r="FU33" s="766"/>
      <c r="FV33" s="766"/>
      <c r="FW33" s="766"/>
      <c r="FX33" s="766"/>
      <c r="FY33" s="766"/>
      <c r="FZ33" s="766"/>
      <c r="GA33" s="766"/>
      <c r="GB33" s="766"/>
      <c r="GC33" s="766"/>
      <c r="GD33" s="766"/>
      <c r="GE33" s="766"/>
      <c r="GF33" s="766"/>
      <c r="GG33" s="766"/>
      <c r="GH33" s="766"/>
      <c r="GI33" s="766"/>
      <c r="GJ33" s="766"/>
      <c r="GK33" s="766"/>
      <c r="GL33" s="766"/>
      <c r="GM33" s="766"/>
      <c r="GN33" s="766"/>
      <c r="GO33" s="766"/>
      <c r="GP33" s="766"/>
      <c r="GQ33" s="766"/>
      <c r="GR33" s="766"/>
      <c r="GS33" s="766"/>
      <c r="GT33" s="766"/>
      <c r="GU33" s="766"/>
      <c r="GV33" s="766"/>
      <c r="GW33" s="766"/>
      <c r="GX33" s="766"/>
      <c r="GY33" s="766"/>
      <c r="GZ33" s="766"/>
      <c r="HA33" s="766"/>
      <c r="HB33" s="766"/>
      <c r="HC33" s="766"/>
      <c r="HD33" s="766"/>
      <c r="HE33" s="766"/>
      <c r="HF33" s="766"/>
      <c r="HG33" s="766"/>
      <c r="HH33" s="766"/>
      <c r="HI33" s="766"/>
      <c r="HJ33" s="766"/>
      <c r="HK33" s="766"/>
      <c r="HL33" s="766"/>
      <c r="HM33" s="766"/>
      <c r="HN33" s="766"/>
      <c r="HO33" s="766"/>
      <c r="HP33" s="766"/>
      <c r="HQ33" s="766"/>
      <c r="HR33" s="766"/>
      <c r="HS33" s="766"/>
      <c r="HT33" s="766"/>
      <c r="HU33" s="766"/>
      <c r="HV33" s="766"/>
      <c r="HW33" s="766"/>
      <c r="HX33" s="766"/>
      <c r="HY33" s="766"/>
      <c r="HZ33" s="766"/>
      <c r="IA33" s="766"/>
      <c r="IB33" s="766"/>
      <c r="IC33" s="766"/>
      <c r="ID33" s="766"/>
      <c r="IE33" s="766"/>
      <c r="IF33" s="766"/>
      <c r="IG33" s="766"/>
      <c r="IH33" s="766"/>
      <c r="II33" s="766"/>
      <c r="IJ33" s="766"/>
      <c r="IK33" s="766"/>
      <c r="IL33" s="766"/>
      <c r="IM33" s="766"/>
      <c r="IN33" s="766"/>
      <c r="IO33" s="766"/>
      <c r="IP33" s="766"/>
      <c r="IQ33" s="766"/>
      <c r="IR33" s="766"/>
      <c r="IS33" s="766"/>
    </row>
    <row r="34" spans="1:253" s="92" customFormat="1" x14ac:dyDescent="0.2">
      <c r="A34" s="817" t="s">
        <v>571</v>
      </c>
      <c r="B34" s="817" t="s">
        <v>572</v>
      </c>
      <c r="C34" s="817" t="s">
        <v>304</v>
      </c>
      <c r="D34" s="817" t="s">
        <v>305</v>
      </c>
      <c r="E34" s="817">
        <v>10000</v>
      </c>
      <c r="F34" s="817">
        <v>0</v>
      </c>
      <c r="G34" s="817">
        <v>0</v>
      </c>
      <c r="H34" s="817">
        <v>0</v>
      </c>
      <c r="I34" s="817">
        <v>0</v>
      </c>
      <c r="J34" s="817">
        <v>0</v>
      </c>
      <c r="K34" s="817"/>
      <c r="L34" s="817" t="s">
        <v>465</v>
      </c>
      <c r="M34" s="817">
        <v>0</v>
      </c>
      <c r="N34" s="817">
        <v>0</v>
      </c>
      <c r="O34" s="817">
        <v>0</v>
      </c>
      <c r="P34" s="817">
        <v>0</v>
      </c>
      <c r="Q34" s="817"/>
      <c r="R34" s="817"/>
      <c r="S34" s="817"/>
      <c r="T34" s="817"/>
      <c r="U34" s="817"/>
      <c r="V34" s="817"/>
      <c r="W34" s="817"/>
      <c r="X34" s="817"/>
      <c r="Y34" s="817"/>
      <c r="Z34" s="817"/>
      <c r="AA34" s="817"/>
      <c r="AB34" s="817"/>
      <c r="AC34" s="817">
        <v>5025</v>
      </c>
      <c r="AD34" s="817">
        <v>459</v>
      </c>
      <c r="AE34" s="817"/>
      <c r="AF34" s="817" t="s">
        <v>237</v>
      </c>
      <c r="AG34" s="817">
        <v>0</v>
      </c>
      <c r="AH34" s="817">
        <v>0</v>
      </c>
      <c r="AI34" s="817">
        <v>12</v>
      </c>
      <c r="AJ34" s="817">
        <v>0</v>
      </c>
      <c r="AK34" s="817">
        <v>0</v>
      </c>
      <c r="AL34" s="817">
        <v>12</v>
      </c>
      <c r="AM34" s="817">
        <v>52</v>
      </c>
      <c r="AN34" s="817">
        <v>52</v>
      </c>
      <c r="AO34" s="817">
        <v>24</v>
      </c>
      <c r="AP34" s="817">
        <v>0</v>
      </c>
      <c r="AQ34" s="817">
        <v>0</v>
      </c>
      <c r="AR34" s="817">
        <v>12</v>
      </c>
      <c r="AS34" s="817">
        <v>104</v>
      </c>
      <c r="AT34" s="817">
        <v>104</v>
      </c>
      <c r="AU34" s="817">
        <v>0</v>
      </c>
      <c r="AV34" s="817">
        <v>52</v>
      </c>
      <c r="AW34" s="817">
        <v>52</v>
      </c>
      <c r="AX34" s="817">
        <f t="shared" si="0"/>
        <v>1</v>
      </c>
      <c r="AY34" s="817">
        <v>1</v>
      </c>
      <c r="AZ34" s="817" t="s">
        <v>658</v>
      </c>
      <c r="BA34" s="817">
        <v>1</v>
      </c>
      <c r="BB34" s="817">
        <v>0</v>
      </c>
      <c r="BC34" s="817"/>
      <c r="BD34" s="817">
        <v>2</v>
      </c>
      <c r="BE34" s="817">
        <v>1</v>
      </c>
      <c r="BF34" s="817">
        <v>2</v>
      </c>
      <c r="BG34" s="817">
        <v>1</v>
      </c>
      <c r="BH34" s="817">
        <v>2</v>
      </c>
      <c r="BI34" s="817">
        <v>1</v>
      </c>
      <c r="BJ34" s="817">
        <v>1</v>
      </c>
      <c r="BK34" s="817">
        <v>1</v>
      </c>
      <c r="BL34" s="817">
        <v>2</v>
      </c>
      <c r="BM34" s="817">
        <v>1</v>
      </c>
      <c r="BN34" s="817">
        <v>1</v>
      </c>
      <c r="BO34" s="817">
        <v>1</v>
      </c>
      <c r="BP34" s="817">
        <v>1</v>
      </c>
      <c r="BQ34" s="817">
        <v>1</v>
      </c>
      <c r="BR34" s="817">
        <v>2</v>
      </c>
      <c r="BS34" s="817">
        <v>1</v>
      </c>
      <c r="BT34" s="817">
        <v>1</v>
      </c>
      <c r="BU34" s="817">
        <v>1</v>
      </c>
      <c r="BV34" s="817">
        <v>1</v>
      </c>
      <c r="BW34" s="817">
        <v>1</v>
      </c>
      <c r="BX34" s="817">
        <v>1</v>
      </c>
      <c r="BY34" s="817">
        <v>1</v>
      </c>
      <c r="BZ34" s="817">
        <v>1</v>
      </c>
      <c r="CA34" s="817">
        <v>1</v>
      </c>
      <c r="CB34" s="817"/>
      <c r="CC34" s="817">
        <v>1</v>
      </c>
      <c r="CD34" s="817">
        <v>1</v>
      </c>
      <c r="CE34" s="817">
        <v>1</v>
      </c>
      <c r="CF34" s="817"/>
      <c r="CG34" s="817"/>
      <c r="CH34" s="817"/>
      <c r="CI34" s="817">
        <v>1</v>
      </c>
      <c r="CJ34" s="817">
        <v>5</v>
      </c>
      <c r="CK34" s="817">
        <v>2</v>
      </c>
      <c r="CL34" s="817">
        <v>1</v>
      </c>
      <c r="CM34" s="817">
        <v>1</v>
      </c>
      <c r="CN34" s="817">
        <v>1</v>
      </c>
      <c r="CO34" s="817">
        <v>0</v>
      </c>
      <c r="CP34" s="817"/>
      <c r="CQ34" s="817"/>
      <c r="CR34" s="817">
        <v>52</v>
      </c>
      <c r="CS34" s="817">
        <v>52</v>
      </c>
      <c r="CT34" s="817">
        <v>0</v>
      </c>
      <c r="CU34" s="160"/>
      <c r="CV34" s="160"/>
      <c r="CW34" s="160"/>
      <c r="CX34" s="160"/>
      <c r="CY34" s="160"/>
      <c r="CZ34" s="160"/>
      <c r="DA34" s="160"/>
      <c r="DB34" s="160"/>
      <c r="DC34" s="160"/>
      <c r="DD34" s="160"/>
      <c r="DE34" s="160"/>
      <c r="DF34" s="160"/>
      <c r="DG34" s="160"/>
      <c r="DH34" s="160"/>
      <c r="DI34" s="160"/>
      <c r="DJ34" s="160"/>
      <c r="DK34" s="167"/>
      <c r="DL34" s="817"/>
      <c r="DM34" s="871" t="s">
        <v>571</v>
      </c>
      <c r="DN34" s="871"/>
      <c r="DO34" s="817"/>
      <c r="DP34" s="817"/>
      <c r="DQ34" s="817"/>
      <c r="DR34" s="817"/>
      <c r="DS34" s="817"/>
      <c r="DT34" s="817"/>
      <c r="DU34" s="817"/>
      <c r="DV34" s="817"/>
      <c r="DW34" s="817"/>
      <c r="DX34" s="817"/>
      <c r="DY34" s="817"/>
      <c r="DZ34" s="817"/>
      <c r="EA34" s="817"/>
      <c r="EB34" s="817"/>
      <c r="EC34" s="817"/>
      <c r="ED34" s="817"/>
      <c r="EE34" s="817"/>
      <c r="EF34" s="817"/>
      <c r="EG34" s="817"/>
      <c r="EH34" s="817"/>
      <c r="EI34" s="817"/>
      <c r="EJ34" s="817"/>
      <c r="EK34" s="817"/>
      <c r="EL34" s="817"/>
      <c r="EM34" s="817"/>
      <c r="EN34" s="817"/>
      <c r="EO34" s="817"/>
      <c r="EP34" s="817"/>
      <c r="EQ34" s="817"/>
      <c r="ER34" s="817"/>
      <c r="ES34" s="817"/>
      <c r="ET34" s="817"/>
      <c r="EU34" s="817"/>
      <c r="EV34" s="817"/>
      <c r="EW34" s="817"/>
      <c r="EX34" s="817"/>
      <c r="EY34" s="817"/>
      <c r="EZ34" s="817"/>
      <c r="FA34" s="817"/>
      <c r="FB34" s="817"/>
      <c r="FC34" s="817"/>
      <c r="FD34" s="817"/>
      <c r="FE34" s="817"/>
      <c r="FF34" s="817"/>
      <c r="FG34" s="817"/>
      <c r="FH34" s="817"/>
      <c r="FI34" s="817"/>
      <c r="FJ34" s="817"/>
      <c r="FK34" s="817"/>
      <c r="FL34" s="817"/>
      <c r="FM34" s="817"/>
      <c r="FN34" s="817"/>
      <c r="FO34" s="817"/>
      <c r="FP34" s="817"/>
      <c r="FQ34" s="817"/>
      <c r="FR34" s="817"/>
      <c r="FS34" s="817"/>
      <c r="FT34" s="817"/>
      <c r="FU34" s="817"/>
      <c r="FV34" s="817"/>
      <c r="FW34" s="817"/>
      <c r="FX34" s="817"/>
      <c r="FY34" s="817"/>
      <c r="FZ34" s="817"/>
      <c r="GA34" s="817"/>
      <c r="GB34" s="817"/>
      <c r="GC34" s="817"/>
      <c r="GD34" s="817"/>
      <c r="GE34" s="817"/>
      <c r="GF34" s="817"/>
      <c r="GG34" s="817"/>
      <c r="GH34" s="817"/>
      <c r="GI34" s="817"/>
      <c r="GJ34" s="817"/>
      <c r="GK34" s="817"/>
      <c r="GL34" s="817"/>
      <c r="GM34" s="817"/>
      <c r="GN34" s="817"/>
      <c r="GO34" s="817"/>
      <c r="GP34" s="817"/>
      <c r="GQ34" s="817"/>
      <c r="GR34" s="817"/>
      <c r="GS34" s="817"/>
      <c r="GT34" s="817"/>
      <c r="GU34" s="817"/>
      <c r="GV34" s="817"/>
      <c r="GW34" s="817"/>
      <c r="GX34" s="817"/>
      <c r="GY34" s="817"/>
      <c r="GZ34" s="817"/>
      <c r="HA34" s="817"/>
      <c r="HB34" s="817"/>
      <c r="HC34" s="817"/>
      <c r="HD34" s="817"/>
      <c r="HE34" s="817"/>
      <c r="HF34" s="817"/>
      <c r="HG34" s="817"/>
      <c r="HH34" s="817"/>
      <c r="HI34" s="817"/>
      <c r="HJ34" s="817"/>
      <c r="HK34" s="817"/>
      <c r="HL34" s="817"/>
      <c r="HM34" s="817"/>
      <c r="HN34" s="817"/>
      <c r="HO34" s="817"/>
      <c r="HP34" s="817"/>
      <c r="HQ34" s="817"/>
      <c r="HR34" s="817"/>
      <c r="HS34" s="817"/>
      <c r="HT34" s="817"/>
      <c r="HU34" s="817"/>
      <c r="HV34" s="817"/>
      <c r="HW34" s="817"/>
      <c r="HX34" s="817"/>
      <c r="HY34" s="817"/>
      <c r="HZ34" s="817"/>
      <c r="IA34" s="817"/>
      <c r="IB34" s="817"/>
      <c r="IC34" s="817"/>
      <c r="ID34" s="817"/>
      <c r="IE34" s="817"/>
      <c r="IF34" s="817"/>
      <c r="IG34" s="817"/>
      <c r="IH34" s="817"/>
      <c r="II34" s="817"/>
      <c r="IJ34" s="817"/>
      <c r="IK34" s="817"/>
      <c r="IL34" s="817"/>
      <c r="IM34" s="817"/>
      <c r="IN34" s="817"/>
      <c r="IO34" s="817"/>
      <c r="IP34" s="817"/>
      <c r="IQ34" s="817"/>
      <c r="IR34" s="817"/>
      <c r="IS34" s="817"/>
    </row>
    <row r="35" spans="1:253" s="92" customFormat="1" x14ac:dyDescent="0.2">
      <c r="A35" s="817" t="s">
        <v>80</v>
      </c>
      <c r="B35" s="817" t="s">
        <v>37</v>
      </c>
      <c r="C35" s="817" t="s">
        <v>573</v>
      </c>
      <c r="D35" s="817" t="s">
        <v>574</v>
      </c>
      <c r="E35" s="817">
        <v>13750</v>
      </c>
      <c r="F35" s="817">
        <v>1979</v>
      </c>
      <c r="G35" s="817">
        <v>0</v>
      </c>
      <c r="H35" s="817">
        <v>2614080</v>
      </c>
      <c r="I35" s="817">
        <v>1135140</v>
      </c>
      <c r="J35" s="817">
        <v>1290</v>
      </c>
      <c r="K35" s="817" t="s">
        <v>562</v>
      </c>
      <c r="L35" s="817" t="s">
        <v>465</v>
      </c>
      <c r="M35" s="817">
        <v>2614090</v>
      </c>
      <c r="N35" s="817">
        <v>1135045</v>
      </c>
      <c r="O35" s="817">
        <v>1280</v>
      </c>
      <c r="P35" s="817">
        <v>5600</v>
      </c>
      <c r="Q35" s="817">
        <v>700</v>
      </c>
      <c r="R35" s="817"/>
      <c r="S35" s="817"/>
      <c r="T35" s="817">
        <v>10</v>
      </c>
      <c r="U35" s="817">
        <v>85</v>
      </c>
      <c r="V35" s="817">
        <v>0.8</v>
      </c>
      <c r="W35" s="817">
        <v>90</v>
      </c>
      <c r="X35" s="817"/>
      <c r="Y35" s="817"/>
      <c r="Z35" s="817">
        <v>0.3</v>
      </c>
      <c r="AA35" s="817">
        <v>20</v>
      </c>
      <c r="AB35" s="817"/>
      <c r="AC35" s="817">
        <v>1679</v>
      </c>
      <c r="AD35" s="817">
        <v>8748</v>
      </c>
      <c r="AE35" s="817"/>
      <c r="AF35" s="817" t="s">
        <v>237</v>
      </c>
      <c r="AG35" s="817">
        <v>0</v>
      </c>
      <c r="AH35" s="817">
        <v>0</v>
      </c>
      <c r="AI35" s="817">
        <v>12</v>
      </c>
      <c r="AJ35" s="817">
        <v>0</v>
      </c>
      <c r="AK35" s="817">
        <v>0</v>
      </c>
      <c r="AL35" s="817">
        <v>12</v>
      </c>
      <c r="AM35" s="817">
        <v>52</v>
      </c>
      <c r="AN35" s="817">
        <v>52</v>
      </c>
      <c r="AO35" s="817">
        <v>24</v>
      </c>
      <c r="AP35" s="817">
        <v>0</v>
      </c>
      <c r="AQ35" s="817">
        <v>0</v>
      </c>
      <c r="AR35" s="817">
        <v>12</v>
      </c>
      <c r="AS35" s="817">
        <v>104</v>
      </c>
      <c r="AT35" s="817">
        <v>104</v>
      </c>
      <c r="AU35" s="817">
        <v>0</v>
      </c>
      <c r="AV35" s="817">
        <v>52</v>
      </c>
      <c r="AW35" s="817">
        <v>52</v>
      </c>
      <c r="AX35" s="817">
        <f t="shared" si="0"/>
        <v>1</v>
      </c>
      <c r="AY35" s="817">
        <v>2</v>
      </c>
      <c r="AZ35" s="817" t="s">
        <v>166</v>
      </c>
      <c r="BA35" s="817">
        <v>1</v>
      </c>
      <c r="BB35" s="817">
        <v>0</v>
      </c>
      <c r="BC35" s="817" t="s">
        <v>575</v>
      </c>
      <c r="BD35" s="817">
        <v>1</v>
      </c>
      <c r="BE35" s="817">
        <v>2</v>
      </c>
      <c r="BF35" s="817">
        <v>2</v>
      </c>
      <c r="BG35" s="817">
        <v>2</v>
      </c>
      <c r="BH35" s="817">
        <v>2</v>
      </c>
      <c r="BI35" s="817">
        <v>1</v>
      </c>
      <c r="BJ35" s="817">
        <v>1</v>
      </c>
      <c r="BK35" s="817">
        <v>1</v>
      </c>
      <c r="BL35" s="817">
        <v>1</v>
      </c>
      <c r="BM35" s="817">
        <v>1</v>
      </c>
      <c r="BN35" s="817">
        <v>1</v>
      </c>
      <c r="BO35" s="817">
        <v>1</v>
      </c>
      <c r="BP35" s="817">
        <v>1</v>
      </c>
      <c r="BQ35" s="817">
        <v>1</v>
      </c>
      <c r="BR35" s="817">
        <v>2</v>
      </c>
      <c r="BS35" s="817">
        <v>1</v>
      </c>
      <c r="BT35" s="817">
        <v>1</v>
      </c>
      <c r="BU35" s="817">
        <v>1</v>
      </c>
      <c r="BV35" s="817">
        <v>1</v>
      </c>
      <c r="BW35" s="817">
        <v>1</v>
      </c>
      <c r="BX35" s="817">
        <v>1</v>
      </c>
      <c r="BY35" s="817">
        <v>1</v>
      </c>
      <c r="BZ35" s="817">
        <v>1</v>
      </c>
      <c r="CA35" s="817">
        <v>1</v>
      </c>
      <c r="CB35" s="817">
        <v>1</v>
      </c>
      <c r="CC35" s="817">
        <v>1</v>
      </c>
      <c r="CD35" s="817">
        <v>1</v>
      </c>
      <c r="CE35" s="817">
        <v>1</v>
      </c>
      <c r="CF35" s="817" t="s">
        <v>564</v>
      </c>
      <c r="CG35" s="817" t="s">
        <v>565</v>
      </c>
      <c r="CH35" s="817">
        <v>2</v>
      </c>
      <c r="CI35" s="817">
        <v>1</v>
      </c>
      <c r="CJ35" s="817">
        <v>1</v>
      </c>
      <c r="CK35" s="817">
        <v>5</v>
      </c>
      <c r="CL35" s="817">
        <v>1</v>
      </c>
      <c r="CM35" s="817">
        <v>1</v>
      </c>
      <c r="CN35" s="817">
        <v>1</v>
      </c>
      <c r="CO35" s="817">
        <v>1</v>
      </c>
      <c r="CP35" s="817">
        <v>45</v>
      </c>
      <c r="CQ35" s="817">
        <v>85</v>
      </c>
      <c r="CR35" s="817">
        <v>52</v>
      </c>
      <c r="CS35" s="817">
        <v>52</v>
      </c>
      <c r="CT35" s="817">
        <v>1</v>
      </c>
      <c r="CU35" s="160"/>
      <c r="CV35" s="160"/>
      <c r="CW35" s="160"/>
      <c r="CX35" s="160"/>
      <c r="CY35" s="160"/>
      <c r="CZ35" s="160"/>
      <c r="DA35" s="160"/>
      <c r="DB35" s="160"/>
      <c r="DC35" s="160"/>
      <c r="DD35" s="160"/>
      <c r="DE35" s="160"/>
      <c r="DF35" s="160"/>
      <c r="DG35" s="160"/>
      <c r="DH35" s="160"/>
      <c r="DI35" s="160"/>
      <c r="DJ35" s="160"/>
      <c r="DK35" s="167"/>
      <c r="DL35" s="817"/>
      <c r="DM35" s="871" t="s">
        <v>80</v>
      </c>
      <c r="DN35" s="871" t="s">
        <v>721</v>
      </c>
      <c r="DO35" s="817"/>
      <c r="DP35" s="817"/>
      <c r="DQ35" s="817"/>
      <c r="DR35" s="817"/>
      <c r="DS35" s="817"/>
      <c r="DT35" s="817"/>
      <c r="DU35" s="817"/>
      <c r="DV35" s="817"/>
      <c r="DW35" s="817"/>
      <c r="DX35" s="817"/>
      <c r="DY35" s="817"/>
      <c r="DZ35" s="817"/>
      <c r="EA35" s="817"/>
      <c r="EB35" s="817"/>
      <c r="EC35" s="817"/>
      <c r="ED35" s="817"/>
      <c r="EE35" s="817"/>
      <c r="EF35" s="817"/>
      <c r="EG35" s="817"/>
      <c r="EH35" s="817"/>
      <c r="EI35" s="817"/>
      <c r="EJ35" s="817"/>
      <c r="EK35" s="817"/>
      <c r="EL35" s="817"/>
      <c r="EM35" s="817"/>
      <c r="EN35" s="817"/>
      <c r="EO35" s="817"/>
      <c r="EP35" s="817"/>
      <c r="EQ35" s="817"/>
      <c r="ER35" s="817"/>
      <c r="ES35" s="817"/>
      <c r="ET35" s="817"/>
      <c r="EU35" s="817"/>
      <c r="EV35" s="817"/>
      <c r="EW35" s="817"/>
      <c r="EX35" s="817"/>
      <c r="EY35" s="817"/>
      <c r="EZ35" s="817"/>
      <c r="FA35" s="817"/>
      <c r="FB35" s="817"/>
      <c r="FC35" s="817"/>
      <c r="FD35" s="817"/>
      <c r="FE35" s="817"/>
      <c r="FF35" s="817"/>
      <c r="FG35" s="817"/>
      <c r="FH35" s="817"/>
      <c r="FI35" s="817"/>
      <c r="FJ35" s="817"/>
      <c r="FK35" s="817"/>
      <c r="FL35" s="817"/>
      <c r="FM35" s="817"/>
      <c r="FN35" s="817"/>
      <c r="FO35" s="817"/>
      <c r="FP35" s="817"/>
      <c r="FQ35" s="817"/>
      <c r="FR35" s="817"/>
      <c r="FS35" s="817"/>
      <c r="FT35" s="817"/>
      <c r="FU35" s="817"/>
      <c r="FV35" s="817"/>
      <c r="FW35" s="817"/>
      <c r="FX35" s="817"/>
      <c r="FY35" s="817"/>
      <c r="FZ35" s="817"/>
      <c r="GA35" s="817"/>
      <c r="GB35" s="817"/>
      <c r="GC35" s="817"/>
      <c r="GD35" s="817"/>
      <c r="GE35" s="817"/>
      <c r="GF35" s="817"/>
      <c r="GG35" s="817"/>
      <c r="GH35" s="817"/>
      <c r="GI35" s="817"/>
      <c r="GJ35" s="817"/>
      <c r="GK35" s="817"/>
      <c r="GL35" s="817"/>
      <c r="GM35" s="817"/>
      <c r="GN35" s="817"/>
      <c r="GO35" s="817"/>
      <c r="GP35" s="817"/>
      <c r="GQ35" s="817"/>
      <c r="GR35" s="817"/>
      <c r="GS35" s="817"/>
      <c r="GT35" s="817"/>
      <c r="GU35" s="817"/>
      <c r="GV35" s="817"/>
      <c r="GW35" s="817"/>
      <c r="GX35" s="817"/>
      <c r="GY35" s="817"/>
      <c r="GZ35" s="817"/>
      <c r="HA35" s="817"/>
      <c r="HB35" s="817"/>
      <c r="HC35" s="817"/>
      <c r="HD35" s="817"/>
      <c r="HE35" s="817"/>
      <c r="HF35" s="817"/>
      <c r="HG35" s="817"/>
      <c r="HH35" s="817"/>
      <c r="HI35" s="817"/>
      <c r="HJ35" s="817"/>
      <c r="HK35" s="817"/>
      <c r="HL35" s="817"/>
      <c r="HM35" s="817"/>
      <c r="HN35" s="817"/>
      <c r="HO35" s="817"/>
      <c r="HP35" s="817"/>
      <c r="HQ35" s="817"/>
      <c r="HR35" s="817"/>
      <c r="HS35" s="817"/>
      <c r="HT35" s="817"/>
      <c r="HU35" s="817"/>
      <c r="HV35" s="817"/>
      <c r="HW35" s="817"/>
      <c r="HX35" s="817"/>
      <c r="HY35" s="817"/>
      <c r="HZ35" s="817"/>
      <c r="IA35" s="817"/>
      <c r="IB35" s="817"/>
      <c r="IC35" s="817"/>
      <c r="ID35" s="817"/>
      <c r="IE35" s="817"/>
      <c r="IF35" s="817"/>
      <c r="IG35" s="817"/>
      <c r="IH35" s="817"/>
      <c r="II35" s="817"/>
      <c r="IJ35" s="817"/>
      <c r="IK35" s="817"/>
      <c r="IL35" s="817"/>
      <c r="IM35" s="817"/>
      <c r="IN35" s="817"/>
      <c r="IO35" s="817"/>
      <c r="IP35" s="817"/>
      <c r="IQ35" s="817"/>
      <c r="IR35" s="817"/>
      <c r="IS35" s="817"/>
    </row>
    <row r="36" spans="1:253" s="92" customFormat="1" x14ac:dyDescent="0.2">
      <c r="A36" s="817" t="s">
        <v>76</v>
      </c>
      <c r="B36" s="817" t="s">
        <v>36</v>
      </c>
      <c r="C36" s="817" t="s">
        <v>576</v>
      </c>
      <c r="D36" s="817" t="s">
        <v>577</v>
      </c>
      <c r="E36" s="817">
        <v>30500</v>
      </c>
      <c r="F36" s="817">
        <v>1995</v>
      </c>
      <c r="G36" s="817">
        <v>0</v>
      </c>
      <c r="H36" s="817">
        <v>2619060</v>
      </c>
      <c r="I36" s="817">
        <v>1128720</v>
      </c>
      <c r="J36" s="817">
        <v>620</v>
      </c>
      <c r="K36" s="817" t="s">
        <v>465</v>
      </c>
      <c r="L36" s="817" t="s">
        <v>465</v>
      </c>
      <c r="M36" s="817">
        <v>2619200</v>
      </c>
      <c r="N36" s="817">
        <v>1128550</v>
      </c>
      <c r="O36" s="817">
        <v>618</v>
      </c>
      <c r="P36" s="817">
        <v>9766</v>
      </c>
      <c r="Q36" s="817">
        <v>2710</v>
      </c>
      <c r="R36" s="817">
        <v>15</v>
      </c>
      <c r="S36" s="817">
        <v>90</v>
      </c>
      <c r="T36" s="817">
        <v>10</v>
      </c>
      <c r="U36" s="817">
        <v>85</v>
      </c>
      <c r="V36" s="817">
        <v>0.8</v>
      </c>
      <c r="W36" s="817">
        <v>90</v>
      </c>
      <c r="X36" s="817"/>
      <c r="Y36" s="817"/>
      <c r="Z36" s="817">
        <v>0.3</v>
      </c>
      <c r="AA36" s="817">
        <v>15</v>
      </c>
      <c r="AB36" s="817"/>
      <c r="AC36" s="817">
        <v>13209</v>
      </c>
      <c r="AD36" s="817">
        <v>10998</v>
      </c>
      <c r="AE36" s="817"/>
      <c r="AF36" s="817" t="s">
        <v>237</v>
      </c>
      <c r="AG36" s="817">
        <v>12</v>
      </c>
      <c r="AH36" s="817">
        <v>12</v>
      </c>
      <c r="AI36" s="817">
        <v>12</v>
      </c>
      <c r="AJ36" s="817">
        <v>0</v>
      </c>
      <c r="AK36" s="817">
        <v>0</v>
      </c>
      <c r="AL36" s="817">
        <v>12</v>
      </c>
      <c r="AM36" s="817">
        <v>52</v>
      </c>
      <c r="AN36" s="817">
        <v>52</v>
      </c>
      <c r="AO36" s="817">
        <v>24</v>
      </c>
      <c r="AP36" s="817">
        <v>0</v>
      </c>
      <c r="AQ36" s="817">
        <v>0</v>
      </c>
      <c r="AR36" s="817">
        <v>12</v>
      </c>
      <c r="AS36" s="817">
        <v>104</v>
      </c>
      <c r="AT36" s="817">
        <v>104</v>
      </c>
      <c r="AU36" s="817">
        <v>0</v>
      </c>
      <c r="AV36" s="817">
        <v>52</v>
      </c>
      <c r="AW36" s="817">
        <v>52</v>
      </c>
      <c r="AX36" s="817">
        <f t="shared" si="0"/>
        <v>1</v>
      </c>
      <c r="AY36" s="817">
        <v>2</v>
      </c>
      <c r="AZ36" s="817" t="s">
        <v>166</v>
      </c>
      <c r="BA36" s="817">
        <v>1</v>
      </c>
      <c r="BB36" s="817">
        <v>0</v>
      </c>
      <c r="BC36" s="817"/>
      <c r="BD36" s="817">
        <v>2</v>
      </c>
      <c r="BE36" s="817">
        <v>2</v>
      </c>
      <c r="BF36" s="817">
        <v>2</v>
      </c>
      <c r="BG36" s="817">
        <v>2</v>
      </c>
      <c r="BH36" s="817">
        <v>2</v>
      </c>
      <c r="BI36" s="817">
        <v>1</v>
      </c>
      <c r="BJ36" s="817">
        <v>1</v>
      </c>
      <c r="BK36" s="817">
        <v>1</v>
      </c>
      <c r="BL36" s="817">
        <v>2</v>
      </c>
      <c r="BM36" s="817">
        <v>1</v>
      </c>
      <c r="BN36" s="817">
        <v>1</v>
      </c>
      <c r="BO36" s="817">
        <v>1</v>
      </c>
      <c r="BP36" s="817">
        <v>1</v>
      </c>
      <c r="BQ36" s="817">
        <v>1</v>
      </c>
      <c r="BR36" s="817">
        <v>2</v>
      </c>
      <c r="BS36" s="817">
        <v>1</v>
      </c>
      <c r="BT36" s="817">
        <v>1</v>
      </c>
      <c r="BU36" s="817">
        <v>1</v>
      </c>
      <c r="BV36" s="817">
        <v>1</v>
      </c>
      <c r="BW36" s="817">
        <v>1</v>
      </c>
      <c r="BX36" s="817">
        <v>1</v>
      </c>
      <c r="BY36" s="817">
        <v>1</v>
      </c>
      <c r="BZ36" s="817">
        <v>1</v>
      </c>
      <c r="CA36" s="817">
        <v>1</v>
      </c>
      <c r="CB36" s="817">
        <v>0</v>
      </c>
      <c r="CC36" s="817">
        <v>1</v>
      </c>
      <c r="CD36" s="817">
        <v>1</v>
      </c>
      <c r="CE36" s="817">
        <v>1</v>
      </c>
      <c r="CF36" s="817" t="s">
        <v>578</v>
      </c>
      <c r="CG36" s="817" t="s">
        <v>579</v>
      </c>
      <c r="CH36" s="817">
        <v>1</v>
      </c>
      <c r="CI36" s="817">
        <v>1</v>
      </c>
      <c r="CJ36" s="817">
        <v>2</v>
      </c>
      <c r="CK36" s="817">
        <v>5</v>
      </c>
      <c r="CL36" s="817">
        <v>1</v>
      </c>
      <c r="CM36" s="817">
        <v>1</v>
      </c>
      <c r="CN36" s="817">
        <v>1</v>
      </c>
      <c r="CO36" s="817">
        <v>1</v>
      </c>
      <c r="CP36" s="817">
        <v>45</v>
      </c>
      <c r="CQ36" s="817">
        <v>85</v>
      </c>
      <c r="CR36" s="817">
        <v>52</v>
      </c>
      <c r="CS36" s="817">
        <v>52</v>
      </c>
      <c r="CT36" s="817">
        <v>1</v>
      </c>
      <c r="CU36" s="160"/>
      <c r="CV36" s="160"/>
      <c r="CW36" s="160"/>
      <c r="CX36" s="160"/>
      <c r="CY36" s="160"/>
      <c r="CZ36" s="160"/>
      <c r="DA36" s="160"/>
      <c r="DB36" s="160"/>
      <c r="DC36" s="160"/>
      <c r="DD36" s="160"/>
      <c r="DE36" s="160"/>
      <c r="DF36" s="160"/>
      <c r="DG36" s="160"/>
      <c r="DH36" s="160"/>
      <c r="DI36" s="160"/>
      <c r="DJ36" s="160"/>
      <c r="DK36" s="167"/>
      <c r="DL36" s="817"/>
      <c r="DM36" s="871" t="s">
        <v>76</v>
      </c>
      <c r="DN36" s="871" t="s">
        <v>722</v>
      </c>
      <c r="DO36" s="817"/>
      <c r="DP36" s="817"/>
      <c r="DQ36" s="817"/>
      <c r="DR36" s="817"/>
      <c r="DS36" s="817"/>
      <c r="DT36" s="817"/>
      <c r="DU36" s="817"/>
      <c r="DV36" s="817"/>
      <c r="DW36" s="817"/>
      <c r="DX36" s="817"/>
      <c r="DY36" s="817"/>
      <c r="DZ36" s="817"/>
      <c r="EA36" s="817"/>
      <c r="EB36" s="817"/>
      <c r="EC36" s="817"/>
      <c r="ED36" s="817"/>
      <c r="EE36" s="817"/>
      <c r="EF36" s="817"/>
      <c r="EG36" s="817"/>
      <c r="EH36" s="817"/>
      <c r="EI36" s="817"/>
      <c r="EJ36" s="817"/>
      <c r="EK36" s="817"/>
      <c r="EL36" s="817"/>
      <c r="EM36" s="817"/>
      <c r="EN36" s="817"/>
      <c r="EO36" s="817"/>
      <c r="EP36" s="817"/>
      <c r="EQ36" s="817"/>
      <c r="ER36" s="817"/>
      <c r="ES36" s="817"/>
      <c r="ET36" s="817"/>
      <c r="EU36" s="817"/>
      <c r="EV36" s="817"/>
      <c r="EW36" s="817"/>
      <c r="EX36" s="817"/>
      <c r="EY36" s="817"/>
      <c r="EZ36" s="817"/>
      <c r="FA36" s="817"/>
      <c r="FB36" s="817"/>
      <c r="FC36" s="817"/>
      <c r="FD36" s="817"/>
      <c r="FE36" s="817"/>
      <c r="FF36" s="817"/>
      <c r="FG36" s="817"/>
      <c r="FH36" s="817"/>
      <c r="FI36" s="817"/>
      <c r="FJ36" s="817"/>
      <c r="FK36" s="817"/>
      <c r="FL36" s="817"/>
      <c r="FM36" s="817"/>
      <c r="FN36" s="817"/>
      <c r="FO36" s="817"/>
      <c r="FP36" s="817"/>
      <c r="FQ36" s="817"/>
      <c r="FR36" s="817"/>
      <c r="FS36" s="817"/>
      <c r="FT36" s="817"/>
      <c r="FU36" s="817"/>
      <c r="FV36" s="817"/>
      <c r="FW36" s="817"/>
      <c r="FX36" s="817"/>
      <c r="FY36" s="817"/>
      <c r="FZ36" s="817"/>
      <c r="GA36" s="817"/>
      <c r="GB36" s="817"/>
      <c r="GC36" s="817"/>
      <c r="GD36" s="817"/>
      <c r="GE36" s="817"/>
      <c r="GF36" s="817"/>
      <c r="GG36" s="817"/>
      <c r="GH36" s="817"/>
      <c r="GI36" s="817"/>
      <c r="GJ36" s="817"/>
      <c r="GK36" s="817"/>
      <c r="GL36" s="817"/>
      <c r="GM36" s="817"/>
      <c r="GN36" s="817"/>
      <c r="GO36" s="817"/>
      <c r="GP36" s="817"/>
      <c r="GQ36" s="817"/>
      <c r="GR36" s="817"/>
      <c r="GS36" s="817"/>
      <c r="GT36" s="817"/>
      <c r="GU36" s="817"/>
      <c r="GV36" s="817"/>
      <c r="GW36" s="817"/>
      <c r="GX36" s="817"/>
      <c r="GY36" s="817"/>
      <c r="GZ36" s="817"/>
      <c r="HA36" s="817"/>
      <c r="HB36" s="817"/>
      <c r="HC36" s="817"/>
      <c r="HD36" s="817"/>
      <c r="HE36" s="817"/>
      <c r="HF36" s="817"/>
      <c r="HG36" s="817"/>
      <c r="HH36" s="817"/>
      <c r="HI36" s="817"/>
      <c r="HJ36" s="817"/>
      <c r="HK36" s="817"/>
      <c r="HL36" s="817"/>
      <c r="HM36" s="817"/>
      <c r="HN36" s="817"/>
      <c r="HO36" s="817"/>
      <c r="HP36" s="817"/>
      <c r="HQ36" s="817"/>
      <c r="HR36" s="817"/>
      <c r="HS36" s="817"/>
      <c r="HT36" s="817"/>
      <c r="HU36" s="817"/>
      <c r="HV36" s="817"/>
      <c r="HW36" s="817"/>
      <c r="HX36" s="817"/>
      <c r="HY36" s="817"/>
      <c r="HZ36" s="817"/>
      <c r="IA36" s="817"/>
      <c r="IB36" s="817"/>
      <c r="IC36" s="817"/>
      <c r="ID36" s="817"/>
      <c r="IE36" s="817"/>
      <c r="IF36" s="817"/>
      <c r="IG36" s="817"/>
      <c r="IH36" s="817"/>
      <c r="II36" s="817"/>
      <c r="IJ36" s="817"/>
      <c r="IK36" s="817"/>
      <c r="IL36" s="817"/>
      <c r="IM36" s="817"/>
      <c r="IN36" s="817"/>
      <c r="IO36" s="817"/>
      <c r="IP36" s="817"/>
      <c r="IQ36" s="817"/>
      <c r="IR36" s="817"/>
      <c r="IS36" s="817"/>
    </row>
    <row r="37" spans="1:253" s="92" customFormat="1" x14ac:dyDescent="0.2">
      <c r="A37" s="817" t="s">
        <v>88</v>
      </c>
      <c r="B37" s="817" t="s">
        <v>38</v>
      </c>
      <c r="C37" s="817" t="s">
        <v>580</v>
      </c>
      <c r="D37" s="817" t="s">
        <v>581</v>
      </c>
      <c r="E37" s="817">
        <v>7500</v>
      </c>
      <c r="F37" s="817">
        <v>1978</v>
      </c>
      <c r="G37" s="817">
        <v>1996</v>
      </c>
      <c r="H37" s="817">
        <v>2581800</v>
      </c>
      <c r="I37" s="817">
        <v>1114300</v>
      </c>
      <c r="J37" s="817">
        <v>475</v>
      </c>
      <c r="K37" s="817" t="s">
        <v>465</v>
      </c>
      <c r="L37" s="817" t="s">
        <v>465</v>
      </c>
      <c r="M37" s="817">
        <v>2582000</v>
      </c>
      <c r="N37" s="817">
        <v>1114000</v>
      </c>
      <c r="O37" s="817">
        <v>473</v>
      </c>
      <c r="P37" s="817">
        <v>2400</v>
      </c>
      <c r="Q37" s="817">
        <v>1000</v>
      </c>
      <c r="R37" s="817"/>
      <c r="S37" s="817"/>
      <c r="T37" s="817">
        <v>10</v>
      </c>
      <c r="U37" s="817">
        <v>85</v>
      </c>
      <c r="V37" s="817">
        <v>0.8</v>
      </c>
      <c r="W37" s="817">
        <v>85</v>
      </c>
      <c r="X37" s="817"/>
      <c r="Y37" s="817"/>
      <c r="Z37" s="817">
        <v>0.3</v>
      </c>
      <c r="AA37" s="817">
        <v>20</v>
      </c>
      <c r="AB37" s="817"/>
      <c r="AC37" s="817">
        <v>2957</v>
      </c>
      <c r="AD37" s="817">
        <v>10399</v>
      </c>
      <c r="AE37" s="817"/>
      <c r="AF37" s="817" t="s">
        <v>237</v>
      </c>
      <c r="AG37" s="817">
        <v>0</v>
      </c>
      <c r="AH37" s="817">
        <v>0</v>
      </c>
      <c r="AI37" s="817">
        <v>12</v>
      </c>
      <c r="AJ37" s="817">
        <v>0</v>
      </c>
      <c r="AK37" s="817">
        <v>0</v>
      </c>
      <c r="AL37" s="817">
        <v>12</v>
      </c>
      <c r="AM37" s="817">
        <v>52</v>
      </c>
      <c r="AN37" s="817">
        <v>52</v>
      </c>
      <c r="AO37" s="817">
        <v>24</v>
      </c>
      <c r="AP37" s="817">
        <v>0</v>
      </c>
      <c r="AQ37" s="817">
        <v>0</v>
      </c>
      <c r="AR37" s="817">
        <v>12</v>
      </c>
      <c r="AS37" s="817">
        <v>52</v>
      </c>
      <c r="AT37" s="817">
        <v>52</v>
      </c>
      <c r="AU37" s="817">
        <v>0</v>
      </c>
      <c r="AV37" s="817">
        <v>52</v>
      </c>
      <c r="AW37" s="817">
        <v>52</v>
      </c>
      <c r="AX37" s="817">
        <f t="shared" si="0"/>
        <v>1</v>
      </c>
      <c r="AY37" s="817">
        <v>1</v>
      </c>
      <c r="AZ37" s="817" t="s">
        <v>658</v>
      </c>
      <c r="BA37" s="817">
        <v>1</v>
      </c>
      <c r="BB37" s="817">
        <v>0</v>
      </c>
      <c r="BC37" s="817" t="s">
        <v>582</v>
      </c>
      <c r="BD37" s="817">
        <v>2</v>
      </c>
      <c r="BE37" s="817">
        <v>2</v>
      </c>
      <c r="BF37" s="817">
        <v>2</v>
      </c>
      <c r="BG37" s="817">
        <v>2</v>
      </c>
      <c r="BH37" s="817">
        <v>2</v>
      </c>
      <c r="BI37" s="817">
        <v>1</v>
      </c>
      <c r="BJ37" s="817">
        <v>1</v>
      </c>
      <c r="BK37" s="817">
        <v>2</v>
      </c>
      <c r="BL37" s="817">
        <v>2</v>
      </c>
      <c r="BM37" s="817">
        <v>2</v>
      </c>
      <c r="BN37" s="817">
        <v>1</v>
      </c>
      <c r="BO37" s="817">
        <v>1</v>
      </c>
      <c r="BP37" s="817">
        <v>1</v>
      </c>
      <c r="BQ37" s="817">
        <v>1</v>
      </c>
      <c r="BR37" s="817">
        <v>2</v>
      </c>
      <c r="BS37" s="817">
        <v>1</v>
      </c>
      <c r="BT37" s="817">
        <v>1</v>
      </c>
      <c r="BU37" s="817">
        <v>1</v>
      </c>
      <c r="BV37" s="817">
        <v>1</v>
      </c>
      <c r="BW37" s="817">
        <v>1</v>
      </c>
      <c r="BX37" s="817">
        <v>1</v>
      </c>
      <c r="BY37" s="817">
        <v>1</v>
      </c>
      <c r="BZ37" s="817">
        <v>1</v>
      </c>
      <c r="CA37" s="817">
        <v>1</v>
      </c>
      <c r="CB37" s="817">
        <v>2</v>
      </c>
      <c r="CC37" s="817">
        <v>1</v>
      </c>
      <c r="CD37" s="817">
        <v>1</v>
      </c>
      <c r="CE37" s="817">
        <v>1</v>
      </c>
      <c r="CF37" s="817" t="s">
        <v>583</v>
      </c>
      <c r="CG37" s="817" t="s">
        <v>584</v>
      </c>
      <c r="CH37" s="817">
        <v>7</v>
      </c>
      <c r="CI37" s="817">
        <v>3</v>
      </c>
      <c r="CJ37" s="817">
        <v>5</v>
      </c>
      <c r="CK37" s="817"/>
      <c r="CL37" s="817">
        <v>1</v>
      </c>
      <c r="CM37" s="817">
        <v>1</v>
      </c>
      <c r="CN37" s="817">
        <v>1</v>
      </c>
      <c r="CO37" s="817">
        <v>1</v>
      </c>
      <c r="CP37" s="817">
        <v>60</v>
      </c>
      <c r="CQ37" s="817">
        <v>80</v>
      </c>
      <c r="CR37" s="817">
        <v>52</v>
      </c>
      <c r="CS37" s="817">
        <v>52</v>
      </c>
      <c r="CT37" s="817">
        <v>1</v>
      </c>
      <c r="CU37" s="160"/>
      <c r="CV37" s="160"/>
      <c r="CW37" s="160"/>
      <c r="CX37" s="160"/>
      <c r="CY37" s="160"/>
      <c r="CZ37" s="160"/>
      <c r="DA37" s="160"/>
      <c r="DB37" s="160"/>
      <c r="DC37" s="160"/>
      <c r="DD37" s="160"/>
      <c r="DE37" s="160"/>
      <c r="DF37" s="160"/>
      <c r="DG37" s="160"/>
      <c r="DH37" s="160"/>
      <c r="DI37" s="160"/>
      <c r="DJ37" s="160"/>
      <c r="DK37" s="167"/>
      <c r="DL37" s="817"/>
      <c r="DM37" s="871" t="s">
        <v>88</v>
      </c>
      <c r="DN37" s="871" t="s">
        <v>723</v>
      </c>
      <c r="DO37" s="817"/>
      <c r="DP37" s="817"/>
      <c r="DQ37" s="817"/>
      <c r="DR37" s="817"/>
      <c r="DS37" s="817"/>
      <c r="DT37" s="817"/>
      <c r="DU37" s="817"/>
      <c r="DV37" s="817"/>
      <c r="DW37" s="817"/>
      <c r="DX37" s="817"/>
      <c r="DY37" s="817"/>
      <c r="DZ37" s="817"/>
      <c r="EA37" s="817"/>
      <c r="EB37" s="817"/>
      <c r="EC37" s="817"/>
      <c r="ED37" s="817"/>
      <c r="EE37" s="817"/>
      <c r="EF37" s="817"/>
      <c r="EG37" s="817"/>
      <c r="EH37" s="817"/>
      <c r="EI37" s="817"/>
      <c r="EJ37" s="817"/>
      <c r="EK37" s="817"/>
      <c r="EL37" s="817"/>
      <c r="EM37" s="817"/>
      <c r="EN37" s="817"/>
      <c r="EO37" s="817"/>
      <c r="EP37" s="817"/>
      <c r="EQ37" s="817"/>
      <c r="ER37" s="817"/>
      <c r="ES37" s="817"/>
      <c r="ET37" s="817"/>
      <c r="EU37" s="817"/>
      <c r="EV37" s="817"/>
      <c r="EW37" s="817"/>
      <c r="EX37" s="817"/>
      <c r="EY37" s="817"/>
      <c r="EZ37" s="817"/>
      <c r="FA37" s="817"/>
      <c r="FB37" s="817"/>
      <c r="FC37" s="817"/>
      <c r="FD37" s="817"/>
      <c r="FE37" s="817"/>
      <c r="FF37" s="817"/>
      <c r="FG37" s="817"/>
      <c r="FH37" s="817"/>
      <c r="FI37" s="817"/>
      <c r="FJ37" s="817"/>
      <c r="FK37" s="817"/>
      <c r="FL37" s="817"/>
      <c r="FM37" s="817"/>
      <c r="FN37" s="817"/>
      <c r="FO37" s="817"/>
      <c r="FP37" s="817"/>
      <c r="FQ37" s="817"/>
      <c r="FR37" s="817"/>
      <c r="FS37" s="817"/>
      <c r="FT37" s="817"/>
      <c r="FU37" s="817"/>
      <c r="FV37" s="817"/>
      <c r="FW37" s="817"/>
      <c r="FX37" s="817"/>
      <c r="FY37" s="817"/>
      <c r="FZ37" s="817"/>
      <c r="GA37" s="817"/>
      <c r="GB37" s="817"/>
      <c r="GC37" s="817"/>
      <c r="GD37" s="817"/>
      <c r="GE37" s="817"/>
      <c r="GF37" s="817"/>
      <c r="GG37" s="817"/>
      <c r="GH37" s="817"/>
      <c r="GI37" s="817"/>
      <c r="GJ37" s="817"/>
      <c r="GK37" s="817"/>
      <c r="GL37" s="817"/>
      <c r="GM37" s="817"/>
      <c r="GN37" s="817"/>
      <c r="GO37" s="817"/>
      <c r="GP37" s="817"/>
      <c r="GQ37" s="817"/>
      <c r="GR37" s="817"/>
      <c r="GS37" s="817"/>
      <c r="GT37" s="817"/>
      <c r="GU37" s="817"/>
      <c r="GV37" s="817"/>
      <c r="GW37" s="817"/>
      <c r="GX37" s="817"/>
      <c r="GY37" s="817"/>
      <c r="GZ37" s="817"/>
      <c r="HA37" s="817"/>
      <c r="HB37" s="817"/>
      <c r="HC37" s="817"/>
      <c r="HD37" s="817"/>
      <c r="HE37" s="817"/>
      <c r="HF37" s="817"/>
      <c r="HG37" s="817"/>
      <c r="HH37" s="817"/>
      <c r="HI37" s="817"/>
      <c r="HJ37" s="817"/>
      <c r="HK37" s="817"/>
      <c r="HL37" s="817"/>
      <c r="HM37" s="817"/>
      <c r="HN37" s="817"/>
      <c r="HO37" s="817"/>
      <c r="HP37" s="817"/>
      <c r="HQ37" s="817"/>
      <c r="HR37" s="817"/>
      <c r="HS37" s="817"/>
      <c r="HT37" s="817"/>
      <c r="HU37" s="817"/>
      <c r="HV37" s="817"/>
      <c r="HW37" s="817"/>
      <c r="HX37" s="817"/>
      <c r="HY37" s="817"/>
      <c r="HZ37" s="817"/>
      <c r="IA37" s="817"/>
      <c r="IB37" s="817"/>
      <c r="IC37" s="817"/>
      <c r="ID37" s="817"/>
      <c r="IE37" s="817"/>
      <c r="IF37" s="817"/>
      <c r="IG37" s="817"/>
      <c r="IH37" s="817"/>
      <c r="II37" s="817"/>
      <c r="IJ37" s="817"/>
      <c r="IK37" s="817"/>
      <c r="IL37" s="817"/>
      <c r="IM37" s="817"/>
      <c r="IN37" s="817"/>
      <c r="IO37" s="817"/>
      <c r="IP37" s="817"/>
      <c r="IQ37" s="817"/>
      <c r="IR37" s="817"/>
      <c r="IS37" s="817"/>
    </row>
    <row r="38" spans="1:253" s="92" customFormat="1" x14ac:dyDescent="0.2">
      <c r="A38" s="817" t="s">
        <v>72</v>
      </c>
      <c r="B38" s="817" t="s">
        <v>39</v>
      </c>
      <c r="C38" s="817" t="s">
        <v>776</v>
      </c>
      <c r="D38" s="817" t="s">
        <v>777</v>
      </c>
      <c r="E38" s="817">
        <v>64700</v>
      </c>
      <c r="F38" s="817">
        <v>1975</v>
      </c>
      <c r="G38" s="817">
        <v>2014</v>
      </c>
      <c r="H38" s="817">
        <v>2572550</v>
      </c>
      <c r="I38" s="817">
        <v>1107110</v>
      </c>
      <c r="J38" s="817">
        <v>460</v>
      </c>
      <c r="K38" s="817" t="s">
        <v>503</v>
      </c>
      <c r="L38" s="817" t="s">
        <v>465</v>
      </c>
      <c r="M38" s="817">
        <v>2572303</v>
      </c>
      <c r="N38" s="817">
        <v>1107774</v>
      </c>
      <c r="O38" s="817">
        <v>455</v>
      </c>
      <c r="P38" s="817">
        <v>20253</v>
      </c>
      <c r="Q38" s="817">
        <v>1200</v>
      </c>
      <c r="R38" s="817"/>
      <c r="S38" s="817"/>
      <c r="T38" s="817">
        <v>10</v>
      </c>
      <c r="U38" s="817">
        <v>85</v>
      </c>
      <c r="V38" s="817">
        <v>0.3</v>
      </c>
      <c r="W38" s="817">
        <v>90</v>
      </c>
      <c r="X38" s="817">
        <v>2</v>
      </c>
      <c r="Y38" s="817">
        <v>90</v>
      </c>
      <c r="Z38" s="817">
        <v>0.3</v>
      </c>
      <c r="AA38" s="817">
        <v>10</v>
      </c>
      <c r="AB38" s="817"/>
      <c r="AC38" s="817">
        <v>15926</v>
      </c>
      <c r="AD38" s="817">
        <v>10737</v>
      </c>
      <c r="AE38" s="817"/>
      <c r="AF38" s="817" t="s">
        <v>237</v>
      </c>
      <c r="AG38" s="817">
        <v>0</v>
      </c>
      <c r="AH38" s="817">
        <v>0</v>
      </c>
      <c r="AI38" s="817">
        <v>12</v>
      </c>
      <c r="AJ38" s="817">
        <v>0</v>
      </c>
      <c r="AK38" s="817">
        <v>0</v>
      </c>
      <c r="AL38" s="817">
        <v>12</v>
      </c>
      <c r="AM38" s="817">
        <v>104</v>
      </c>
      <c r="AN38" s="817">
        <v>104</v>
      </c>
      <c r="AO38" s="817">
        <v>24</v>
      </c>
      <c r="AP38" s="817">
        <v>0</v>
      </c>
      <c r="AQ38" s="817">
        <v>0</v>
      </c>
      <c r="AR38" s="817">
        <v>12</v>
      </c>
      <c r="AS38" s="817">
        <v>104</v>
      </c>
      <c r="AT38" s="817">
        <v>104</v>
      </c>
      <c r="AU38" s="817">
        <v>0</v>
      </c>
      <c r="AV38" s="817">
        <v>52</v>
      </c>
      <c r="AW38" s="817">
        <v>52</v>
      </c>
      <c r="AX38" s="817">
        <f t="shared" si="0"/>
        <v>1</v>
      </c>
      <c r="AY38" s="817">
        <v>1</v>
      </c>
      <c r="AZ38" s="817" t="s">
        <v>658</v>
      </c>
      <c r="BA38" s="817">
        <v>1</v>
      </c>
      <c r="BB38" s="817">
        <v>0</v>
      </c>
      <c r="BC38" s="817" t="s">
        <v>585</v>
      </c>
      <c r="BD38" s="817">
        <v>2</v>
      </c>
      <c r="BE38" s="817">
        <v>2</v>
      </c>
      <c r="BF38" s="817">
        <v>2</v>
      </c>
      <c r="BG38" s="817">
        <v>2</v>
      </c>
      <c r="BH38" s="817">
        <v>2</v>
      </c>
      <c r="BI38" s="817">
        <v>1</v>
      </c>
      <c r="BJ38" s="817">
        <v>1</v>
      </c>
      <c r="BK38" s="817">
        <v>1</v>
      </c>
      <c r="BL38" s="817">
        <v>3</v>
      </c>
      <c r="BM38" s="817">
        <v>1</v>
      </c>
      <c r="BN38" s="817">
        <v>1</v>
      </c>
      <c r="BO38" s="817">
        <v>1</v>
      </c>
      <c r="BP38" s="817">
        <v>1</v>
      </c>
      <c r="BQ38" s="817">
        <v>1</v>
      </c>
      <c r="BR38" s="817">
        <v>1</v>
      </c>
      <c r="BS38" s="817">
        <v>1</v>
      </c>
      <c r="BT38" s="817">
        <v>1</v>
      </c>
      <c r="BU38" s="817">
        <v>1</v>
      </c>
      <c r="BV38" s="817">
        <v>1</v>
      </c>
      <c r="BW38" s="817">
        <v>1</v>
      </c>
      <c r="BX38" s="817">
        <v>1</v>
      </c>
      <c r="BY38" s="817">
        <v>1</v>
      </c>
      <c r="BZ38" s="817">
        <v>1</v>
      </c>
      <c r="CA38" s="817">
        <v>1</v>
      </c>
      <c r="CB38" s="817">
        <v>0</v>
      </c>
      <c r="CC38" s="817">
        <v>1</v>
      </c>
      <c r="CD38" s="817">
        <v>1</v>
      </c>
      <c r="CE38" s="817">
        <v>1</v>
      </c>
      <c r="CF38" s="817" t="s">
        <v>586</v>
      </c>
      <c r="CG38" s="817" t="s">
        <v>587</v>
      </c>
      <c r="CH38" s="817">
        <v>2</v>
      </c>
      <c r="CI38" s="817">
        <v>1</v>
      </c>
      <c r="CJ38" s="817">
        <v>3</v>
      </c>
      <c r="CK38" s="817">
        <v>4</v>
      </c>
      <c r="CL38" s="817">
        <v>1</v>
      </c>
      <c r="CM38" s="817">
        <v>1</v>
      </c>
      <c r="CN38" s="817">
        <v>1</v>
      </c>
      <c r="CO38" s="817">
        <v>1</v>
      </c>
      <c r="CP38" s="817">
        <v>45</v>
      </c>
      <c r="CQ38" s="817">
        <v>85</v>
      </c>
      <c r="CR38" s="817">
        <v>52</v>
      </c>
      <c r="CS38" s="817">
        <v>52</v>
      </c>
      <c r="CT38" s="817">
        <v>1</v>
      </c>
      <c r="CU38" s="160"/>
      <c r="CV38" s="160"/>
      <c r="CW38" s="160"/>
      <c r="CX38" s="160"/>
      <c r="CY38" s="160"/>
      <c r="CZ38" s="160"/>
      <c r="DA38" s="160"/>
      <c r="DB38" s="160"/>
      <c r="DC38" s="160"/>
      <c r="DD38" s="160"/>
      <c r="DE38" s="160"/>
      <c r="DF38" s="160"/>
      <c r="DG38" s="160"/>
      <c r="DH38" s="160"/>
      <c r="DI38" s="160"/>
      <c r="DJ38" s="160"/>
      <c r="DK38" s="167"/>
      <c r="DL38" s="817"/>
      <c r="DM38" s="871" t="s">
        <v>72</v>
      </c>
      <c r="DN38" s="871" t="s">
        <v>724</v>
      </c>
      <c r="DO38" s="817"/>
      <c r="DP38" s="817"/>
      <c r="DQ38" s="817"/>
      <c r="DR38" s="817"/>
      <c r="DS38" s="817"/>
      <c r="DT38" s="817"/>
      <c r="DU38" s="817"/>
      <c r="DV38" s="817"/>
      <c r="DW38" s="817"/>
      <c r="DX38" s="817"/>
      <c r="DY38" s="817"/>
      <c r="DZ38" s="817"/>
      <c r="EA38" s="817"/>
      <c r="EB38" s="817"/>
      <c r="EC38" s="817"/>
      <c r="ED38" s="817"/>
      <c r="EE38" s="817"/>
      <c r="EF38" s="817"/>
      <c r="EG38" s="817"/>
      <c r="EH38" s="817"/>
      <c r="EI38" s="817"/>
      <c r="EJ38" s="817"/>
      <c r="EK38" s="817"/>
      <c r="EL38" s="817"/>
      <c r="EM38" s="817"/>
      <c r="EN38" s="817"/>
      <c r="EO38" s="817"/>
      <c r="EP38" s="817"/>
      <c r="EQ38" s="817"/>
      <c r="ER38" s="817"/>
      <c r="ES38" s="817"/>
      <c r="ET38" s="817"/>
      <c r="EU38" s="817"/>
      <c r="EV38" s="817"/>
      <c r="EW38" s="817"/>
      <c r="EX38" s="817"/>
      <c r="EY38" s="817"/>
      <c r="EZ38" s="817"/>
      <c r="FA38" s="817"/>
      <c r="FB38" s="817"/>
      <c r="FC38" s="817"/>
      <c r="FD38" s="817"/>
      <c r="FE38" s="817"/>
      <c r="FF38" s="817"/>
      <c r="FG38" s="817"/>
      <c r="FH38" s="817"/>
      <c r="FI38" s="817"/>
      <c r="FJ38" s="817"/>
      <c r="FK38" s="817"/>
      <c r="FL38" s="817"/>
      <c r="FM38" s="817"/>
      <c r="FN38" s="817"/>
      <c r="FO38" s="817"/>
      <c r="FP38" s="817"/>
      <c r="FQ38" s="817"/>
      <c r="FR38" s="817"/>
      <c r="FS38" s="817"/>
      <c r="FT38" s="817"/>
      <c r="FU38" s="817"/>
      <c r="FV38" s="817"/>
      <c r="FW38" s="817"/>
      <c r="FX38" s="817"/>
      <c r="FY38" s="817"/>
      <c r="FZ38" s="817"/>
      <c r="GA38" s="817"/>
      <c r="GB38" s="817"/>
      <c r="GC38" s="817"/>
      <c r="GD38" s="817"/>
      <c r="GE38" s="817"/>
      <c r="GF38" s="817"/>
      <c r="GG38" s="817"/>
      <c r="GH38" s="817"/>
      <c r="GI38" s="817"/>
      <c r="GJ38" s="817"/>
      <c r="GK38" s="817"/>
      <c r="GL38" s="817"/>
      <c r="GM38" s="817"/>
      <c r="GN38" s="817"/>
      <c r="GO38" s="817"/>
      <c r="GP38" s="817"/>
      <c r="GQ38" s="817"/>
      <c r="GR38" s="817"/>
      <c r="GS38" s="817"/>
      <c r="GT38" s="817"/>
      <c r="GU38" s="817"/>
      <c r="GV38" s="817"/>
      <c r="GW38" s="817"/>
      <c r="GX38" s="817"/>
      <c r="GY38" s="817"/>
      <c r="GZ38" s="817"/>
      <c r="HA38" s="817"/>
      <c r="HB38" s="817"/>
      <c r="HC38" s="817"/>
      <c r="HD38" s="817"/>
      <c r="HE38" s="817"/>
      <c r="HF38" s="817"/>
      <c r="HG38" s="817"/>
      <c r="HH38" s="817"/>
      <c r="HI38" s="817"/>
      <c r="HJ38" s="817"/>
      <c r="HK38" s="817"/>
      <c r="HL38" s="817"/>
      <c r="HM38" s="817"/>
      <c r="HN38" s="817"/>
      <c r="HO38" s="817"/>
      <c r="HP38" s="817"/>
      <c r="HQ38" s="817"/>
      <c r="HR38" s="817"/>
      <c r="HS38" s="817"/>
      <c r="HT38" s="817"/>
      <c r="HU38" s="817"/>
      <c r="HV38" s="817"/>
      <c r="HW38" s="817"/>
      <c r="HX38" s="817"/>
      <c r="HY38" s="817"/>
      <c r="HZ38" s="817"/>
      <c r="IA38" s="817"/>
      <c r="IB38" s="817"/>
      <c r="IC38" s="817"/>
      <c r="ID38" s="817"/>
      <c r="IE38" s="817"/>
      <c r="IF38" s="817"/>
      <c r="IG38" s="817"/>
      <c r="IH38" s="817"/>
      <c r="II38" s="817"/>
      <c r="IJ38" s="817"/>
      <c r="IK38" s="817"/>
      <c r="IL38" s="817"/>
      <c r="IM38" s="817"/>
      <c r="IN38" s="817"/>
      <c r="IO38" s="817"/>
      <c r="IP38" s="817"/>
      <c r="IQ38" s="817"/>
      <c r="IR38" s="817"/>
      <c r="IS38" s="817"/>
    </row>
    <row r="39" spans="1:253" s="92" customFormat="1" x14ac:dyDescent="0.2">
      <c r="A39" s="817" t="s">
        <v>107</v>
      </c>
      <c r="B39" s="817" t="s">
        <v>40</v>
      </c>
      <c r="C39" s="817" t="s">
        <v>228</v>
      </c>
      <c r="D39" s="817" t="s">
        <v>229</v>
      </c>
      <c r="E39" s="817">
        <v>867</v>
      </c>
      <c r="F39" s="817">
        <v>1980</v>
      </c>
      <c r="G39" s="817">
        <v>2012</v>
      </c>
      <c r="H39" s="817">
        <v>2599340</v>
      </c>
      <c r="I39" s="817">
        <v>1115625</v>
      </c>
      <c r="J39" s="817">
        <v>1270</v>
      </c>
      <c r="K39" s="817" t="s">
        <v>588</v>
      </c>
      <c r="L39" s="817" t="s">
        <v>589</v>
      </c>
      <c r="M39" s="817">
        <v>2599490</v>
      </c>
      <c r="N39" s="817">
        <v>1115560</v>
      </c>
      <c r="O39" s="817">
        <v>1210</v>
      </c>
      <c r="P39" s="817">
        <v>280</v>
      </c>
      <c r="Q39" s="817"/>
      <c r="R39" s="817"/>
      <c r="S39" s="817"/>
      <c r="T39" s="817"/>
      <c r="U39" s="817"/>
      <c r="V39" s="817">
        <v>0.8</v>
      </c>
      <c r="W39" s="817">
        <v>80</v>
      </c>
      <c r="X39" s="817"/>
      <c r="Y39" s="817"/>
      <c r="Z39" s="817">
        <v>0.3</v>
      </c>
      <c r="AA39" s="817">
        <v>20</v>
      </c>
      <c r="AB39" s="817"/>
      <c r="AC39" s="817">
        <v>230</v>
      </c>
      <c r="AD39" s="817">
        <v>961</v>
      </c>
      <c r="AE39" s="817"/>
      <c r="AF39" s="817" t="s">
        <v>479</v>
      </c>
      <c r="AG39" s="817">
        <v>0</v>
      </c>
      <c r="AH39" s="817">
        <v>0</v>
      </c>
      <c r="AI39" s="817">
        <v>0</v>
      </c>
      <c r="AJ39" s="817">
        <v>0</v>
      </c>
      <c r="AK39" s="817">
        <v>0</v>
      </c>
      <c r="AL39" s="817">
        <v>0</v>
      </c>
      <c r="AM39" s="817">
        <v>0</v>
      </c>
      <c r="AN39" s="817">
        <v>12</v>
      </c>
      <c r="AO39" s="817">
        <v>12</v>
      </c>
      <c r="AP39" s="817">
        <v>0</v>
      </c>
      <c r="AQ39" s="817">
        <v>0</v>
      </c>
      <c r="AR39" s="817">
        <v>12</v>
      </c>
      <c r="AS39" s="817">
        <v>12</v>
      </c>
      <c r="AT39" s="817">
        <v>12</v>
      </c>
      <c r="AU39" s="817">
        <v>0</v>
      </c>
      <c r="AV39" s="817">
        <v>12</v>
      </c>
      <c r="AW39" s="817">
        <v>12</v>
      </c>
      <c r="AX39" s="817">
        <f t="shared" si="0"/>
        <v>0</v>
      </c>
      <c r="AY39" s="817">
        <v>1</v>
      </c>
      <c r="AZ39" s="817" t="s">
        <v>284</v>
      </c>
      <c r="BA39" s="817">
        <v>1</v>
      </c>
      <c r="BB39" s="817">
        <v>0</v>
      </c>
      <c r="BC39" s="817"/>
      <c r="BD39" s="817">
        <v>1</v>
      </c>
      <c r="BE39" s="817">
        <v>1</v>
      </c>
      <c r="BF39" s="817">
        <v>2</v>
      </c>
      <c r="BG39" s="817">
        <v>2</v>
      </c>
      <c r="BH39" s="817">
        <v>2</v>
      </c>
      <c r="BI39" s="817">
        <v>1</v>
      </c>
      <c r="BJ39" s="817">
        <v>1</v>
      </c>
      <c r="BK39" s="817">
        <v>4</v>
      </c>
      <c r="BL39" s="817"/>
      <c r="BM39" s="817">
        <v>1</v>
      </c>
      <c r="BN39" s="817">
        <v>2</v>
      </c>
      <c r="BO39" s="817">
        <v>1</v>
      </c>
      <c r="BP39" s="817">
        <v>1</v>
      </c>
      <c r="BQ39" s="817">
        <v>1</v>
      </c>
      <c r="BR39" s="817">
        <v>2</v>
      </c>
      <c r="BS39" s="817">
        <v>1</v>
      </c>
      <c r="BT39" s="817">
        <v>1</v>
      </c>
      <c r="BU39" s="817">
        <v>1</v>
      </c>
      <c r="BV39" s="817">
        <v>1</v>
      </c>
      <c r="BW39" s="817">
        <v>1</v>
      </c>
      <c r="BX39" s="817">
        <v>1</v>
      </c>
      <c r="BY39" s="817">
        <v>1</v>
      </c>
      <c r="BZ39" s="817">
        <v>1</v>
      </c>
      <c r="CA39" s="817">
        <v>1</v>
      </c>
      <c r="CB39" s="817">
        <v>2</v>
      </c>
      <c r="CC39" s="817">
        <v>1</v>
      </c>
      <c r="CD39" s="817">
        <v>1</v>
      </c>
      <c r="CE39" s="817">
        <v>1</v>
      </c>
      <c r="CF39" s="817" t="s">
        <v>590</v>
      </c>
      <c r="CG39" s="817" t="s">
        <v>591</v>
      </c>
      <c r="CH39" s="817">
        <v>1</v>
      </c>
      <c r="CI39" s="817">
        <v>5</v>
      </c>
      <c r="CJ39" s="817">
        <v>5</v>
      </c>
      <c r="CK39" s="817"/>
      <c r="CL39" s="817">
        <v>1</v>
      </c>
      <c r="CM39" s="817">
        <v>1</v>
      </c>
      <c r="CN39" s="817">
        <v>1</v>
      </c>
      <c r="CO39" s="817">
        <v>1</v>
      </c>
      <c r="CP39" s="817">
        <v>60</v>
      </c>
      <c r="CQ39" s="817">
        <v>80</v>
      </c>
      <c r="CR39" s="817">
        <v>12</v>
      </c>
      <c r="CS39" s="817">
        <v>12</v>
      </c>
      <c r="CT39" s="817">
        <v>1</v>
      </c>
      <c r="CU39" s="160"/>
      <c r="CV39" s="160"/>
      <c r="CW39" s="160"/>
      <c r="CX39" s="160"/>
      <c r="CY39" s="160"/>
      <c r="CZ39" s="160"/>
      <c r="DA39" s="160"/>
      <c r="DB39" s="160"/>
      <c r="DC39" s="160"/>
      <c r="DD39" s="160"/>
      <c r="DE39" s="160"/>
      <c r="DF39" s="160"/>
      <c r="DG39" s="160"/>
      <c r="DH39" s="160"/>
      <c r="DI39" s="160"/>
      <c r="DJ39" s="160"/>
      <c r="DK39" s="167"/>
      <c r="DL39" s="817"/>
      <c r="DM39" s="871" t="s">
        <v>107</v>
      </c>
      <c r="DN39" s="871" t="s">
        <v>725</v>
      </c>
      <c r="DO39" s="817"/>
      <c r="DP39" s="817"/>
      <c r="DQ39" s="817"/>
      <c r="DR39" s="817"/>
      <c r="DS39" s="817"/>
      <c r="DT39" s="817"/>
      <c r="DU39" s="817"/>
      <c r="DV39" s="817"/>
      <c r="DW39" s="817"/>
      <c r="DX39" s="817"/>
      <c r="DY39" s="817"/>
      <c r="DZ39" s="817"/>
      <c r="EA39" s="817"/>
      <c r="EB39" s="817"/>
      <c r="EC39" s="817"/>
      <c r="ED39" s="817"/>
      <c r="EE39" s="817"/>
      <c r="EF39" s="817"/>
      <c r="EG39" s="817"/>
      <c r="EH39" s="817"/>
      <c r="EI39" s="817"/>
      <c r="EJ39" s="817"/>
      <c r="EK39" s="817"/>
      <c r="EL39" s="817"/>
      <c r="EM39" s="817"/>
      <c r="EN39" s="817"/>
      <c r="EO39" s="817"/>
      <c r="EP39" s="817"/>
      <c r="EQ39" s="817"/>
      <c r="ER39" s="817"/>
      <c r="ES39" s="817"/>
      <c r="ET39" s="817"/>
      <c r="EU39" s="817"/>
      <c r="EV39" s="817"/>
      <c r="EW39" s="817"/>
      <c r="EX39" s="817"/>
      <c r="EY39" s="817"/>
      <c r="EZ39" s="817"/>
      <c r="FA39" s="817"/>
      <c r="FB39" s="817"/>
      <c r="FC39" s="817"/>
      <c r="FD39" s="817"/>
      <c r="FE39" s="817"/>
      <c r="FF39" s="817"/>
      <c r="FG39" s="817"/>
      <c r="FH39" s="817"/>
      <c r="FI39" s="817"/>
      <c r="FJ39" s="817"/>
      <c r="FK39" s="817"/>
      <c r="FL39" s="817"/>
      <c r="FM39" s="817"/>
      <c r="FN39" s="817"/>
      <c r="FO39" s="817"/>
      <c r="FP39" s="817"/>
      <c r="FQ39" s="817"/>
      <c r="FR39" s="817"/>
      <c r="FS39" s="817"/>
      <c r="FT39" s="817"/>
      <c r="FU39" s="817"/>
      <c r="FV39" s="817"/>
      <c r="FW39" s="817"/>
      <c r="FX39" s="817"/>
      <c r="FY39" s="817"/>
      <c r="FZ39" s="817"/>
      <c r="GA39" s="817"/>
      <c r="GB39" s="817"/>
      <c r="GC39" s="817"/>
      <c r="GD39" s="817"/>
      <c r="GE39" s="817"/>
      <c r="GF39" s="817"/>
      <c r="GG39" s="817"/>
      <c r="GH39" s="817"/>
      <c r="GI39" s="817"/>
      <c r="GJ39" s="817"/>
      <c r="GK39" s="817"/>
      <c r="GL39" s="817"/>
      <c r="GM39" s="817"/>
      <c r="GN39" s="817"/>
      <c r="GO39" s="817"/>
      <c r="GP39" s="817"/>
      <c r="GQ39" s="817"/>
      <c r="GR39" s="817"/>
      <c r="GS39" s="817"/>
      <c r="GT39" s="817"/>
      <c r="GU39" s="817"/>
      <c r="GV39" s="817"/>
      <c r="GW39" s="817"/>
      <c r="GX39" s="817"/>
      <c r="GY39" s="817"/>
      <c r="GZ39" s="817"/>
      <c r="HA39" s="817"/>
      <c r="HB39" s="817"/>
      <c r="HC39" s="817"/>
      <c r="HD39" s="817"/>
      <c r="HE39" s="817"/>
      <c r="HF39" s="817"/>
      <c r="HG39" s="817"/>
      <c r="HH39" s="817"/>
      <c r="HI39" s="817"/>
      <c r="HJ39" s="817"/>
      <c r="HK39" s="817"/>
      <c r="HL39" s="817"/>
      <c r="HM39" s="817"/>
      <c r="HN39" s="817"/>
      <c r="HO39" s="817"/>
      <c r="HP39" s="817"/>
      <c r="HQ39" s="817"/>
      <c r="HR39" s="817"/>
      <c r="HS39" s="817"/>
      <c r="HT39" s="817"/>
      <c r="HU39" s="817"/>
      <c r="HV39" s="817"/>
      <c r="HW39" s="817"/>
      <c r="HX39" s="817"/>
      <c r="HY39" s="817"/>
      <c r="HZ39" s="817"/>
      <c r="IA39" s="817"/>
      <c r="IB39" s="817"/>
      <c r="IC39" s="817"/>
      <c r="ID39" s="817"/>
      <c r="IE39" s="817"/>
      <c r="IF39" s="817"/>
      <c r="IG39" s="817"/>
      <c r="IH39" s="817"/>
      <c r="II39" s="817"/>
      <c r="IJ39" s="817"/>
      <c r="IK39" s="817"/>
      <c r="IL39" s="817"/>
      <c r="IM39" s="817"/>
      <c r="IN39" s="817"/>
      <c r="IO39" s="817"/>
      <c r="IP39" s="817"/>
      <c r="IQ39" s="817"/>
      <c r="IR39" s="817"/>
      <c r="IS39" s="817"/>
    </row>
    <row r="40" spans="1:253" s="92" customFormat="1" x14ac:dyDescent="0.2">
      <c r="A40" s="817" t="s">
        <v>70</v>
      </c>
      <c r="B40" s="817" t="s">
        <v>41</v>
      </c>
      <c r="C40" s="817" t="s">
        <v>592</v>
      </c>
      <c r="D40" s="817" t="s">
        <v>593</v>
      </c>
      <c r="E40" s="817">
        <v>360000</v>
      </c>
      <c r="F40" s="817">
        <v>1972</v>
      </c>
      <c r="G40" s="817">
        <v>1994</v>
      </c>
      <c r="H40" s="817">
        <v>2564150</v>
      </c>
      <c r="I40" s="817">
        <v>1123270</v>
      </c>
      <c r="J40" s="817">
        <v>395</v>
      </c>
      <c r="K40" s="817" t="s">
        <v>465</v>
      </c>
      <c r="L40" s="817" t="s">
        <v>465</v>
      </c>
      <c r="M40" s="817">
        <v>2564105</v>
      </c>
      <c r="N40" s="817">
        <v>1123430</v>
      </c>
      <c r="O40" s="817">
        <v>394</v>
      </c>
      <c r="P40" s="817">
        <v>20000</v>
      </c>
      <c r="Q40" s="817">
        <v>18500</v>
      </c>
      <c r="R40" s="817">
        <v>15</v>
      </c>
      <c r="S40" s="817">
        <v>95</v>
      </c>
      <c r="T40" s="817">
        <v>80</v>
      </c>
      <c r="U40" s="817">
        <v>90</v>
      </c>
      <c r="V40" s="817">
        <v>0.6</v>
      </c>
      <c r="W40" s="817">
        <v>90</v>
      </c>
      <c r="X40" s="817">
        <v>20</v>
      </c>
      <c r="Y40" s="817"/>
      <c r="Z40" s="817"/>
      <c r="AA40" s="817">
        <v>40</v>
      </c>
      <c r="AB40" s="817"/>
      <c r="AC40" s="817">
        <v>19168</v>
      </c>
      <c r="AD40" s="817">
        <v>596</v>
      </c>
      <c r="AE40" s="817"/>
      <c r="AF40" s="817" t="s">
        <v>237</v>
      </c>
      <c r="AG40" s="817">
        <v>52</v>
      </c>
      <c r="AH40" s="817">
        <v>52</v>
      </c>
      <c r="AI40" s="817">
        <v>156</v>
      </c>
      <c r="AJ40" s="817">
        <v>0</v>
      </c>
      <c r="AK40" s="817">
        <v>0</v>
      </c>
      <c r="AL40" s="817">
        <v>156</v>
      </c>
      <c r="AM40" s="817">
        <v>0</v>
      </c>
      <c r="AN40" s="817">
        <v>156</v>
      </c>
      <c r="AO40" s="817">
        <v>52</v>
      </c>
      <c r="AP40" s="817">
        <v>0</v>
      </c>
      <c r="AQ40" s="817">
        <v>0</v>
      </c>
      <c r="AR40" s="817">
        <v>52</v>
      </c>
      <c r="AS40" s="817">
        <v>156</v>
      </c>
      <c r="AT40" s="817">
        <v>156</v>
      </c>
      <c r="AU40" s="817">
        <v>0</v>
      </c>
      <c r="AV40" s="817">
        <v>156</v>
      </c>
      <c r="AW40" s="817">
        <v>52</v>
      </c>
      <c r="AX40" s="817">
        <f t="shared" si="0"/>
        <v>1</v>
      </c>
      <c r="AY40" s="817">
        <v>1</v>
      </c>
      <c r="AZ40" s="817" t="s">
        <v>658</v>
      </c>
      <c r="BA40" s="817">
        <v>3</v>
      </c>
      <c r="BB40" s="817">
        <v>335000</v>
      </c>
      <c r="BC40" s="817" t="s">
        <v>778</v>
      </c>
      <c r="BD40" s="817">
        <v>2</v>
      </c>
      <c r="BE40" s="817">
        <v>2</v>
      </c>
      <c r="BF40" s="817">
        <v>2</v>
      </c>
      <c r="BG40" s="817">
        <v>2</v>
      </c>
      <c r="BH40" s="817">
        <v>2</v>
      </c>
      <c r="BI40" s="817">
        <v>1</v>
      </c>
      <c r="BJ40" s="817">
        <v>1</v>
      </c>
      <c r="BK40" s="817">
        <v>1</v>
      </c>
      <c r="BL40" s="817">
        <v>2</v>
      </c>
      <c r="BM40" s="817">
        <v>1</v>
      </c>
      <c r="BN40" s="817">
        <v>1</v>
      </c>
      <c r="BO40" s="817">
        <v>1</v>
      </c>
      <c r="BP40" s="817">
        <v>1</v>
      </c>
      <c r="BQ40" s="817">
        <v>1</v>
      </c>
      <c r="BR40" s="817">
        <v>2</v>
      </c>
      <c r="BS40" s="817">
        <v>1</v>
      </c>
      <c r="BT40" s="817">
        <v>1</v>
      </c>
      <c r="BU40" s="817">
        <v>1</v>
      </c>
      <c r="BV40" s="817">
        <v>1</v>
      </c>
      <c r="BW40" s="817">
        <v>1</v>
      </c>
      <c r="BX40" s="817">
        <v>2</v>
      </c>
      <c r="BY40" s="817">
        <v>1</v>
      </c>
      <c r="BZ40" s="817">
        <v>1</v>
      </c>
      <c r="CA40" s="817">
        <v>1</v>
      </c>
      <c r="CB40" s="817">
        <v>0</v>
      </c>
      <c r="CC40" s="817">
        <v>1</v>
      </c>
      <c r="CD40" s="817">
        <v>1</v>
      </c>
      <c r="CE40" s="817">
        <v>2</v>
      </c>
      <c r="CF40" s="817" t="s">
        <v>515</v>
      </c>
      <c r="CG40" s="817" t="s">
        <v>516</v>
      </c>
      <c r="CH40" s="817">
        <v>1</v>
      </c>
      <c r="CI40" s="817">
        <v>5</v>
      </c>
      <c r="CJ40" s="817">
        <v>5</v>
      </c>
      <c r="CK40" s="817">
        <v>4</v>
      </c>
      <c r="CL40" s="817">
        <v>1</v>
      </c>
      <c r="CM40" s="817">
        <v>2</v>
      </c>
      <c r="CN40" s="817">
        <v>1</v>
      </c>
      <c r="CO40" s="817">
        <v>1</v>
      </c>
      <c r="CP40" s="817">
        <v>200</v>
      </c>
      <c r="CQ40" s="817">
        <v>90</v>
      </c>
      <c r="CR40" s="817">
        <v>156</v>
      </c>
      <c r="CS40" s="817">
        <v>156</v>
      </c>
      <c r="CT40" s="817">
        <v>1</v>
      </c>
      <c r="CU40" s="160"/>
      <c r="CV40" s="160"/>
      <c r="CW40" s="160"/>
      <c r="CX40" s="160"/>
      <c r="CY40" s="160"/>
      <c r="CZ40" s="160"/>
      <c r="DA40" s="160"/>
      <c r="DB40" s="160"/>
      <c r="DC40" s="160"/>
      <c r="DD40" s="160"/>
      <c r="DE40" s="160"/>
      <c r="DF40" s="160"/>
      <c r="DG40" s="160"/>
      <c r="DH40" s="160"/>
      <c r="DI40" s="160"/>
      <c r="DJ40" s="160"/>
      <c r="DK40" s="167"/>
      <c r="DL40" s="817"/>
      <c r="DM40" s="178" t="s">
        <v>70</v>
      </c>
      <c r="DN40" s="871" t="s">
        <v>726</v>
      </c>
      <c r="DO40" s="817"/>
      <c r="DP40" s="817"/>
      <c r="DQ40" s="817"/>
      <c r="DR40" s="817"/>
      <c r="DS40" s="817"/>
      <c r="DT40" s="817"/>
      <c r="DU40" s="817"/>
      <c r="DV40" s="817"/>
      <c r="DW40" s="817"/>
      <c r="DX40" s="817"/>
      <c r="DY40" s="817"/>
      <c r="DZ40" s="817"/>
      <c r="EA40" s="817"/>
      <c r="EB40" s="817"/>
      <c r="EC40" s="817"/>
      <c r="ED40" s="817"/>
      <c r="EE40" s="817"/>
      <c r="EF40" s="817"/>
      <c r="EG40" s="817"/>
      <c r="EH40" s="817"/>
      <c r="EI40" s="817"/>
      <c r="EJ40" s="817"/>
      <c r="EK40" s="817"/>
      <c r="EL40" s="817"/>
      <c r="EM40" s="817"/>
      <c r="EN40" s="817"/>
      <c r="EO40" s="817"/>
      <c r="EP40" s="817"/>
      <c r="EQ40" s="817"/>
      <c r="ER40" s="817"/>
      <c r="ES40" s="817"/>
      <c r="ET40" s="817"/>
      <c r="EU40" s="817"/>
      <c r="EV40" s="817"/>
      <c r="EW40" s="817"/>
      <c r="EX40" s="817"/>
      <c r="EY40" s="817"/>
      <c r="EZ40" s="817"/>
      <c r="FA40" s="817"/>
      <c r="FB40" s="817"/>
      <c r="FC40" s="817"/>
      <c r="FD40" s="817"/>
      <c r="FE40" s="817"/>
      <c r="FF40" s="817"/>
      <c r="FG40" s="817"/>
      <c r="FH40" s="817"/>
      <c r="FI40" s="817"/>
      <c r="FJ40" s="817"/>
      <c r="FK40" s="817"/>
      <c r="FL40" s="817"/>
      <c r="FM40" s="817"/>
      <c r="FN40" s="817"/>
      <c r="FO40" s="817"/>
      <c r="FP40" s="817"/>
      <c r="FQ40" s="817"/>
      <c r="FR40" s="817"/>
      <c r="FS40" s="817"/>
      <c r="FT40" s="817"/>
      <c r="FU40" s="817"/>
      <c r="FV40" s="817"/>
      <c r="FW40" s="817"/>
      <c r="FX40" s="817"/>
      <c r="FY40" s="817"/>
      <c r="FZ40" s="817"/>
      <c r="GA40" s="817"/>
      <c r="GB40" s="817"/>
      <c r="GC40" s="817"/>
      <c r="GD40" s="817"/>
      <c r="GE40" s="817"/>
      <c r="GF40" s="817"/>
      <c r="GG40" s="817"/>
      <c r="GH40" s="817"/>
      <c r="GI40" s="817"/>
      <c r="GJ40" s="817"/>
      <c r="GK40" s="817"/>
      <c r="GL40" s="817"/>
      <c r="GM40" s="817"/>
      <c r="GN40" s="817"/>
      <c r="GO40" s="817"/>
      <c r="GP40" s="817"/>
      <c r="GQ40" s="817"/>
      <c r="GR40" s="817"/>
      <c r="GS40" s="817"/>
      <c r="GT40" s="817"/>
      <c r="GU40" s="817"/>
      <c r="GV40" s="817"/>
      <c r="GW40" s="817"/>
      <c r="GX40" s="817"/>
      <c r="GY40" s="817"/>
      <c r="GZ40" s="817"/>
      <c r="HA40" s="817"/>
      <c r="HB40" s="817"/>
      <c r="HC40" s="817"/>
      <c r="HD40" s="817"/>
      <c r="HE40" s="817"/>
      <c r="HF40" s="817"/>
      <c r="HG40" s="817"/>
      <c r="HH40" s="817"/>
      <c r="HI40" s="817"/>
      <c r="HJ40" s="817"/>
      <c r="HK40" s="817"/>
      <c r="HL40" s="817"/>
      <c r="HM40" s="817"/>
      <c r="HN40" s="817"/>
      <c r="HO40" s="817"/>
      <c r="HP40" s="817"/>
      <c r="HQ40" s="817"/>
      <c r="HR40" s="817"/>
      <c r="HS40" s="817"/>
      <c r="HT40" s="817"/>
      <c r="HU40" s="817"/>
      <c r="HV40" s="817"/>
      <c r="HW40" s="817"/>
      <c r="HX40" s="817"/>
      <c r="HY40" s="817"/>
      <c r="HZ40" s="817"/>
      <c r="IA40" s="817"/>
      <c r="IB40" s="817"/>
      <c r="IC40" s="817"/>
      <c r="ID40" s="817"/>
      <c r="IE40" s="817"/>
      <c r="IF40" s="817"/>
      <c r="IG40" s="817"/>
      <c r="IH40" s="817"/>
      <c r="II40" s="817"/>
      <c r="IJ40" s="817"/>
      <c r="IK40" s="817"/>
      <c r="IL40" s="817"/>
      <c r="IM40" s="817"/>
      <c r="IN40" s="817"/>
      <c r="IO40" s="817"/>
      <c r="IP40" s="817"/>
      <c r="IQ40" s="817"/>
      <c r="IR40" s="817"/>
      <c r="IS40" s="817"/>
    </row>
    <row r="41" spans="1:253" s="92" customFormat="1" x14ac:dyDescent="0.2">
      <c r="A41" s="817" t="s">
        <v>73</v>
      </c>
      <c r="B41" s="817" t="s">
        <v>42</v>
      </c>
      <c r="C41" s="817" t="s">
        <v>303</v>
      </c>
      <c r="D41" s="817" t="s">
        <v>779</v>
      </c>
      <c r="E41" s="817">
        <v>40500</v>
      </c>
      <c r="F41" s="817">
        <v>1982</v>
      </c>
      <c r="G41" s="817">
        <v>2006</v>
      </c>
      <c r="H41" s="817">
        <v>2586250</v>
      </c>
      <c r="I41" s="817">
        <v>1115250</v>
      </c>
      <c r="J41" s="817">
        <v>478</v>
      </c>
      <c r="K41" s="817" t="s">
        <v>465</v>
      </c>
      <c r="L41" s="817" t="s">
        <v>465</v>
      </c>
      <c r="M41" s="817">
        <v>2586130</v>
      </c>
      <c r="N41" s="817">
        <v>1115210</v>
      </c>
      <c r="O41" s="817">
        <v>477</v>
      </c>
      <c r="P41" s="817">
        <v>17700</v>
      </c>
      <c r="Q41" s="817">
        <v>1512</v>
      </c>
      <c r="R41" s="817">
        <v>15</v>
      </c>
      <c r="S41" s="817">
        <v>90</v>
      </c>
      <c r="T41" s="817">
        <v>10</v>
      </c>
      <c r="U41" s="817">
        <v>85</v>
      </c>
      <c r="V41" s="817">
        <v>0.3</v>
      </c>
      <c r="W41" s="817">
        <v>90</v>
      </c>
      <c r="X41" s="817"/>
      <c r="Y41" s="817"/>
      <c r="Z41" s="817">
        <v>0.3</v>
      </c>
      <c r="AA41" s="817">
        <v>15</v>
      </c>
      <c r="AB41" s="817"/>
      <c r="AC41" s="817">
        <v>9410</v>
      </c>
      <c r="AD41" s="817">
        <v>24770</v>
      </c>
      <c r="AE41" s="817"/>
      <c r="AF41" s="817" t="s">
        <v>237</v>
      </c>
      <c r="AG41" s="817">
        <v>12</v>
      </c>
      <c r="AH41" s="817">
        <v>12</v>
      </c>
      <c r="AI41" s="817">
        <v>12</v>
      </c>
      <c r="AJ41" s="817">
        <v>0</v>
      </c>
      <c r="AK41" s="817">
        <v>0</v>
      </c>
      <c r="AL41" s="817">
        <v>12</v>
      </c>
      <c r="AM41" s="817">
        <v>52</v>
      </c>
      <c r="AN41" s="817">
        <v>52</v>
      </c>
      <c r="AO41" s="817">
        <v>24</v>
      </c>
      <c r="AP41" s="817">
        <v>0</v>
      </c>
      <c r="AQ41" s="817">
        <v>0</v>
      </c>
      <c r="AR41" s="817">
        <v>12</v>
      </c>
      <c r="AS41" s="817">
        <v>104</v>
      </c>
      <c r="AT41" s="817">
        <v>104</v>
      </c>
      <c r="AU41" s="817">
        <v>0</v>
      </c>
      <c r="AV41" s="817">
        <v>52</v>
      </c>
      <c r="AW41" s="817">
        <v>52</v>
      </c>
      <c r="AX41" s="817">
        <f t="shared" si="0"/>
        <v>1</v>
      </c>
      <c r="AY41" s="817">
        <v>1</v>
      </c>
      <c r="AZ41" s="817" t="s">
        <v>658</v>
      </c>
      <c r="BA41" s="817">
        <v>1</v>
      </c>
      <c r="BB41" s="817">
        <v>8000</v>
      </c>
      <c r="BC41" s="817" t="s">
        <v>595</v>
      </c>
      <c r="BD41" s="817">
        <v>1</v>
      </c>
      <c r="BE41" s="817">
        <v>1</v>
      </c>
      <c r="BF41" s="817">
        <v>2</v>
      </c>
      <c r="BG41" s="817">
        <v>1</v>
      </c>
      <c r="BH41" s="817">
        <v>2</v>
      </c>
      <c r="BI41" s="817">
        <v>1</v>
      </c>
      <c r="BJ41" s="817">
        <v>1</v>
      </c>
      <c r="BK41" s="817">
        <v>1</v>
      </c>
      <c r="BL41" s="817">
        <v>2</v>
      </c>
      <c r="BM41" s="817">
        <v>1</v>
      </c>
      <c r="BN41" s="817">
        <v>1</v>
      </c>
      <c r="BO41" s="817">
        <v>1</v>
      </c>
      <c r="BP41" s="817">
        <v>1</v>
      </c>
      <c r="BQ41" s="817">
        <v>1</v>
      </c>
      <c r="BR41" s="817">
        <v>2</v>
      </c>
      <c r="BS41" s="817">
        <v>1</v>
      </c>
      <c r="BT41" s="817">
        <v>1</v>
      </c>
      <c r="BU41" s="817">
        <v>1</v>
      </c>
      <c r="BV41" s="817">
        <v>1</v>
      </c>
      <c r="BW41" s="817">
        <v>1</v>
      </c>
      <c r="BX41" s="817">
        <v>1</v>
      </c>
      <c r="BY41" s="817">
        <v>1</v>
      </c>
      <c r="BZ41" s="817">
        <v>1</v>
      </c>
      <c r="CA41" s="817">
        <v>1</v>
      </c>
      <c r="CB41" s="817">
        <v>1</v>
      </c>
      <c r="CC41" s="817">
        <v>1</v>
      </c>
      <c r="CD41" s="817">
        <v>1</v>
      </c>
      <c r="CE41" s="817">
        <v>1</v>
      </c>
      <c r="CF41" s="817" t="s">
        <v>596</v>
      </c>
      <c r="CG41" s="817" t="s">
        <v>597</v>
      </c>
      <c r="CH41" s="817">
        <v>2</v>
      </c>
      <c r="CI41" s="817">
        <v>1</v>
      </c>
      <c r="CJ41" s="817">
        <v>2</v>
      </c>
      <c r="CK41" s="817">
        <v>4</v>
      </c>
      <c r="CL41" s="817">
        <v>1</v>
      </c>
      <c r="CM41" s="817">
        <v>1</v>
      </c>
      <c r="CN41" s="817">
        <v>1</v>
      </c>
      <c r="CO41" s="817">
        <v>1</v>
      </c>
      <c r="CP41" s="817">
        <v>45</v>
      </c>
      <c r="CQ41" s="817">
        <v>85</v>
      </c>
      <c r="CR41" s="817">
        <v>52</v>
      </c>
      <c r="CS41" s="817">
        <v>52</v>
      </c>
      <c r="CT41" s="817">
        <v>1</v>
      </c>
      <c r="CU41" s="160"/>
      <c r="CV41" s="160"/>
      <c r="CW41" s="160"/>
      <c r="CX41" s="160"/>
      <c r="CY41" s="160"/>
      <c r="CZ41" s="160"/>
      <c r="DA41" s="160"/>
      <c r="DB41" s="160"/>
      <c r="DC41" s="160"/>
      <c r="DD41" s="160"/>
      <c r="DE41" s="160"/>
      <c r="DF41" s="160"/>
      <c r="DG41" s="160"/>
      <c r="DH41" s="160"/>
      <c r="DI41" s="160"/>
      <c r="DJ41" s="160"/>
      <c r="DK41" s="167"/>
      <c r="DL41" s="817"/>
      <c r="DM41" s="871" t="s">
        <v>73</v>
      </c>
      <c r="DN41" s="871" t="s">
        <v>727</v>
      </c>
      <c r="DO41" s="817"/>
      <c r="DP41" s="817"/>
      <c r="DQ41" s="817"/>
      <c r="DR41" s="817"/>
      <c r="DS41" s="817"/>
      <c r="DT41" s="817"/>
      <c r="DU41" s="817"/>
      <c r="DV41" s="817"/>
      <c r="DW41" s="817"/>
      <c r="DX41" s="817"/>
      <c r="DY41" s="817"/>
      <c r="DZ41" s="817"/>
      <c r="EA41" s="817"/>
      <c r="EB41" s="817"/>
      <c r="EC41" s="817"/>
      <c r="ED41" s="817"/>
      <c r="EE41" s="817"/>
      <c r="EF41" s="817"/>
      <c r="EG41" s="817"/>
      <c r="EH41" s="817"/>
      <c r="EI41" s="817"/>
      <c r="EJ41" s="817"/>
      <c r="EK41" s="817"/>
      <c r="EL41" s="817"/>
      <c r="EM41" s="817"/>
      <c r="EN41" s="817"/>
      <c r="EO41" s="817"/>
      <c r="EP41" s="817"/>
      <c r="EQ41" s="817"/>
      <c r="ER41" s="817"/>
      <c r="ES41" s="817"/>
      <c r="ET41" s="817"/>
      <c r="EU41" s="817"/>
      <c r="EV41" s="817"/>
      <c r="EW41" s="817"/>
      <c r="EX41" s="817"/>
      <c r="EY41" s="817"/>
      <c r="EZ41" s="817"/>
      <c r="FA41" s="817"/>
      <c r="FB41" s="817"/>
      <c r="FC41" s="817"/>
      <c r="FD41" s="817"/>
      <c r="FE41" s="817"/>
      <c r="FF41" s="817"/>
      <c r="FG41" s="817"/>
      <c r="FH41" s="817"/>
      <c r="FI41" s="817"/>
      <c r="FJ41" s="817"/>
      <c r="FK41" s="817"/>
      <c r="FL41" s="817"/>
      <c r="FM41" s="817"/>
      <c r="FN41" s="817"/>
      <c r="FO41" s="817"/>
      <c r="FP41" s="817"/>
      <c r="FQ41" s="817"/>
      <c r="FR41" s="817"/>
      <c r="FS41" s="817"/>
      <c r="FT41" s="817"/>
      <c r="FU41" s="817"/>
      <c r="FV41" s="817"/>
      <c r="FW41" s="817"/>
      <c r="FX41" s="817"/>
      <c r="FY41" s="817"/>
      <c r="FZ41" s="817"/>
      <c r="GA41" s="817"/>
      <c r="GB41" s="817"/>
      <c r="GC41" s="817"/>
      <c r="GD41" s="817"/>
      <c r="GE41" s="817"/>
      <c r="GF41" s="817"/>
      <c r="GG41" s="817"/>
      <c r="GH41" s="817"/>
      <c r="GI41" s="817"/>
      <c r="GJ41" s="817"/>
      <c r="GK41" s="817"/>
      <c r="GL41" s="817"/>
      <c r="GM41" s="817"/>
      <c r="GN41" s="817"/>
      <c r="GO41" s="817"/>
      <c r="GP41" s="817"/>
      <c r="GQ41" s="817"/>
      <c r="GR41" s="817"/>
      <c r="GS41" s="817"/>
      <c r="GT41" s="817"/>
      <c r="GU41" s="817"/>
      <c r="GV41" s="817"/>
      <c r="GW41" s="817"/>
      <c r="GX41" s="817"/>
      <c r="GY41" s="817"/>
      <c r="GZ41" s="817"/>
      <c r="HA41" s="817"/>
      <c r="HB41" s="817"/>
      <c r="HC41" s="817"/>
      <c r="HD41" s="817"/>
      <c r="HE41" s="817"/>
      <c r="HF41" s="817"/>
      <c r="HG41" s="817"/>
      <c r="HH41" s="817"/>
      <c r="HI41" s="817"/>
      <c r="HJ41" s="817"/>
      <c r="HK41" s="817"/>
      <c r="HL41" s="817"/>
      <c r="HM41" s="817"/>
      <c r="HN41" s="817"/>
      <c r="HO41" s="817"/>
      <c r="HP41" s="817"/>
      <c r="HQ41" s="817"/>
      <c r="HR41" s="817"/>
      <c r="HS41" s="817"/>
      <c r="HT41" s="817"/>
      <c r="HU41" s="817"/>
      <c r="HV41" s="817"/>
      <c r="HW41" s="817"/>
      <c r="HX41" s="817"/>
      <c r="HY41" s="817"/>
      <c r="HZ41" s="817"/>
      <c r="IA41" s="817"/>
      <c r="IB41" s="817"/>
      <c r="IC41" s="817"/>
      <c r="ID41" s="817"/>
      <c r="IE41" s="817"/>
      <c r="IF41" s="817"/>
      <c r="IG41" s="817"/>
      <c r="IH41" s="817"/>
      <c r="II41" s="817"/>
      <c r="IJ41" s="817"/>
      <c r="IK41" s="817"/>
      <c r="IL41" s="817"/>
      <c r="IM41" s="817"/>
      <c r="IN41" s="817"/>
      <c r="IO41" s="817"/>
      <c r="IP41" s="817"/>
      <c r="IQ41" s="817"/>
      <c r="IR41" s="817"/>
      <c r="IS41" s="817"/>
    </row>
    <row r="42" spans="1:253" s="92" customFormat="1" x14ac:dyDescent="0.2">
      <c r="A42" s="817" t="s">
        <v>86</v>
      </c>
      <c r="B42" s="817" t="s">
        <v>43</v>
      </c>
      <c r="C42" s="817" t="s">
        <v>230</v>
      </c>
      <c r="D42" s="817" t="s">
        <v>598</v>
      </c>
      <c r="E42" s="817">
        <v>7700</v>
      </c>
      <c r="F42" s="817">
        <v>1979</v>
      </c>
      <c r="G42" s="817">
        <v>2007</v>
      </c>
      <c r="H42" s="817">
        <v>2556335</v>
      </c>
      <c r="I42" s="817">
        <v>1136170</v>
      </c>
      <c r="J42" s="817">
        <v>374</v>
      </c>
      <c r="K42" s="817" t="s">
        <v>510</v>
      </c>
      <c r="L42" s="817" t="s">
        <v>599</v>
      </c>
      <c r="M42" s="817">
        <v>2556315</v>
      </c>
      <c r="N42" s="817">
        <v>1136220</v>
      </c>
      <c r="O42" s="817">
        <v>373</v>
      </c>
      <c r="P42" s="817">
        <v>2695</v>
      </c>
      <c r="Q42" s="817">
        <v>1540</v>
      </c>
      <c r="R42" s="817"/>
      <c r="S42" s="817"/>
      <c r="T42" s="817">
        <v>10</v>
      </c>
      <c r="U42" s="817">
        <v>85</v>
      </c>
      <c r="V42" s="817">
        <v>0.8</v>
      </c>
      <c r="W42" s="817">
        <v>85</v>
      </c>
      <c r="X42" s="817">
        <v>2</v>
      </c>
      <c r="Y42" s="817">
        <v>90</v>
      </c>
      <c r="Z42" s="817">
        <v>0.3</v>
      </c>
      <c r="AA42" s="817">
        <v>20</v>
      </c>
      <c r="AB42" s="817"/>
      <c r="AC42" s="817">
        <v>3430</v>
      </c>
      <c r="AD42" s="817">
        <v>1977</v>
      </c>
      <c r="AE42" s="817"/>
      <c r="AF42" s="817" t="s">
        <v>237</v>
      </c>
      <c r="AG42" s="817">
        <v>0</v>
      </c>
      <c r="AH42" s="817">
        <v>0</v>
      </c>
      <c r="AI42" s="817">
        <v>12</v>
      </c>
      <c r="AJ42" s="817">
        <v>0</v>
      </c>
      <c r="AK42" s="817">
        <v>0</v>
      </c>
      <c r="AL42" s="817">
        <v>12</v>
      </c>
      <c r="AM42" s="817">
        <v>52</v>
      </c>
      <c r="AN42" s="817">
        <v>52</v>
      </c>
      <c r="AO42" s="817">
        <v>24</v>
      </c>
      <c r="AP42" s="817">
        <v>0</v>
      </c>
      <c r="AQ42" s="817">
        <v>0</v>
      </c>
      <c r="AR42" s="817">
        <v>12</v>
      </c>
      <c r="AS42" s="817">
        <v>52</v>
      </c>
      <c r="AT42" s="817">
        <v>52</v>
      </c>
      <c r="AU42" s="817">
        <v>0</v>
      </c>
      <c r="AV42" s="817">
        <v>52</v>
      </c>
      <c r="AW42" s="817">
        <v>52</v>
      </c>
      <c r="AX42" s="817">
        <f t="shared" si="0"/>
        <v>1</v>
      </c>
      <c r="AY42" s="817">
        <v>1</v>
      </c>
      <c r="AZ42" s="817" t="s">
        <v>658</v>
      </c>
      <c r="BA42" s="817">
        <v>1</v>
      </c>
      <c r="BB42" s="817">
        <v>0</v>
      </c>
      <c r="BC42" s="817"/>
      <c r="BD42" s="817">
        <v>2</v>
      </c>
      <c r="BE42" s="817">
        <v>2</v>
      </c>
      <c r="BF42" s="817">
        <v>2</v>
      </c>
      <c r="BG42" s="817">
        <v>2</v>
      </c>
      <c r="BH42" s="817">
        <v>2</v>
      </c>
      <c r="BI42" s="817">
        <v>1</v>
      </c>
      <c r="BJ42" s="817">
        <v>1</v>
      </c>
      <c r="BK42" s="817">
        <v>4</v>
      </c>
      <c r="BL42" s="817"/>
      <c r="BM42" s="817">
        <v>2</v>
      </c>
      <c r="BN42" s="817">
        <v>1</v>
      </c>
      <c r="BO42" s="817">
        <v>1</v>
      </c>
      <c r="BP42" s="817">
        <v>1</v>
      </c>
      <c r="BQ42" s="817">
        <v>1</v>
      </c>
      <c r="BR42" s="817">
        <v>1</v>
      </c>
      <c r="BS42" s="817">
        <v>1</v>
      </c>
      <c r="BT42" s="817">
        <v>1</v>
      </c>
      <c r="BU42" s="817">
        <v>1</v>
      </c>
      <c r="BV42" s="817">
        <v>1</v>
      </c>
      <c r="BW42" s="817">
        <v>1</v>
      </c>
      <c r="BX42" s="817">
        <v>1</v>
      </c>
      <c r="BY42" s="817">
        <v>1</v>
      </c>
      <c r="BZ42" s="817">
        <v>1</v>
      </c>
      <c r="CA42" s="817">
        <v>1</v>
      </c>
      <c r="CB42" s="817">
        <v>2</v>
      </c>
      <c r="CC42" s="817">
        <v>1</v>
      </c>
      <c r="CD42" s="817">
        <v>1</v>
      </c>
      <c r="CE42" s="817">
        <v>1</v>
      </c>
      <c r="CF42" s="817" t="s">
        <v>511</v>
      </c>
      <c r="CG42" s="817" t="s">
        <v>512</v>
      </c>
      <c r="CH42" s="817">
        <v>2</v>
      </c>
      <c r="CI42" s="817">
        <v>1</v>
      </c>
      <c r="CJ42" s="817">
        <v>2</v>
      </c>
      <c r="CK42" s="817">
        <v>4</v>
      </c>
      <c r="CL42" s="817">
        <v>1</v>
      </c>
      <c r="CM42" s="817">
        <v>1</v>
      </c>
      <c r="CN42" s="817">
        <v>1</v>
      </c>
      <c r="CO42" s="817">
        <v>1</v>
      </c>
      <c r="CP42" s="817">
        <v>60</v>
      </c>
      <c r="CQ42" s="817">
        <v>80</v>
      </c>
      <c r="CR42" s="817">
        <v>52</v>
      </c>
      <c r="CS42" s="817">
        <v>52</v>
      </c>
      <c r="CT42" s="817">
        <v>1</v>
      </c>
      <c r="CU42" s="160"/>
      <c r="CV42" s="160"/>
      <c r="CW42" s="160"/>
      <c r="CX42" s="160"/>
      <c r="CY42" s="160"/>
      <c r="CZ42" s="160"/>
      <c r="DA42" s="160"/>
      <c r="DB42" s="160"/>
      <c r="DC42" s="160"/>
      <c r="DD42" s="160"/>
      <c r="DE42" s="160"/>
      <c r="DF42" s="160"/>
      <c r="DG42" s="160"/>
      <c r="DH42" s="160"/>
      <c r="DI42" s="160"/>
      <c r="DJ42" s="160"/>
      <c r="DK42" s="167"/>
      <c r="DL42" s="817"/>
      <c r="DM42" s="873" t="s">
        <v>86</v>
      </c>
      <c r="DN42" s="871" t="s">
        <v>728</v>
      </c>
      <c r="DO42" s="817"/>
      <c r="DP42" s="817"/>
      <c r="DQ42" s="817"/>
      <c r="DR42" s="817"/>
      <c r="DS42" s="817"/>
      <c r="DT42" s="817"/>
      <c r="DU42" s="817"/>
      <c r="DV42" s="817"/>
      <c r="DW42" s="817"/>
      <c r="DX42" s="817"/>
      <c r="DY42" s="817"/>
      <c r="DZ42" s="817"/>
      <c r="EA42" s="817"/>
      <c r="EB42" s="817"/>
      <c r="EC42" s="817"/>
      <c r="ED42" s="817"/>
      <c r="EE42" s="817"/>
      <c r="EF42" s="817"/>
      <c r="EG42" s="817"/>
      <c r="EH42" s="817"/>
      <c r="EI42" s="817"/>
      <c r="EJ42" s="817"/>
      <c r="EK42" s="817"/>
      <c r="EL42" s="817"/>
      <c r="EM42" s="817"/>
      <c r="EN42" s="817"/>
      <c r="EO42" s="817"/>
      <c r="EP42" s="817"/>
      <c r="EQ42" s="817"/>
      <c r="ER42" s="817"/>
      <c r="ES42" s="817"/>
      <c r="ET42" s="817"/>
      <c r="EU42" s="817"/>
      <c r="EV42" s="817"/>
      <c r="EW42" s="817"/>
      <c r="EX42" s="817"/>
      <c r="EY42" s="817"/>
      <c r="EZ42" s="817"/>
      <c r="FA42" s="817"/>
      <c r="FB42" s="817"/>
      <c r="FC42" s="817"/>
      <c r="FD42" s="817"/>
      <c r="FE42" s="817"/>
      <c r="FF42" s="817"/>
      <c r="FG42" s="817"/>
      <c r="FH42" s="817"/>
      <c r="FI42" s="817"/>
      <c r="FJ42" s="817"/>
      <c r="FK42" s="817"/>
      <c r="FL42" s="817"/>
      <c r="FM42" s="817"/>
      <c r="FN42" s="817"/>
      <c r="FO42" s="817"/>
      <c r="FP42" s="817"/>
      <c r="FQ42" s="817"/>
      <c r="FR42" s="817"/>
      <c r="FS42" s="817"/>
      <c r="FT42" s="817"/>
      <c r="FU42" s="817"/>
      <c r="FV42" s="817"/>
      <c r="FW42" s="817"/>
      <c r="FX42" s="817"/>
      <c r="FY42" s="817"/>
      <c r="FZ42" s="817"/>
      <c r="GA42" s="817"/>
      <c r="GB42" s="817"/>
      <c r="GC42" s="817"/>
      <c r="GD42" s="817"/>
      <c r="GE42" s="817"/>
      <c r="GF42" s="817"/>
      <c r="GG42" s="817"/>
      <c r="GH42" s="817"/>
      <c r="GI42" s="817"/>
      <c r="GJ42" s="817"/>
      <c r="GK42" s="817"/>
      <c r="GL42" s="817"/>
      <c r="GM42" s="817"/>
      <c r="GN42" s="817"/>
      <c r="GO42" s="817"/>
      <c r="GP42" s="817"/>
      <c r="GQ42" s="817"/>
      <c r="GR42" s="817"/>
      <c r="GS42" s="817"/>
      <c r="GT42" s="817"/>
      <c r="GU42" s="817"/>
      <c r="GV42" s="817"/>
      <c r="GW42" s="817"/>
      <c r="GX42" s="817"/>
      <c r="GY42" s="817"/>
      <c r="GZ42" s="817"/>
      <c r="HA42" s="817"/>
      <c r="HB42" s="817"/>
      <c r="HC42" s="817"/>
      <c r="HD42" s="817"/>
      <c r="HE42" s="817"/>
      <c r="HF42" s="817"/>
      <c r="HG42" s="817"/>
      <c r="HH42" s="817"/>
      <c r="HI42" s="817"/>
      <c r="HJ42" s="817"/>
      <c r="HK42" s="817"/>
      <c r="HL42" s="817"/>
      <c r="HM42" s="817"/>
      <c r="HN42" s="817"/>
      <c r="HO42" s="817"/>
      <c r="HP42" s="817"/>
      <c r="HQ42" s="817"/>
      <c r="HR42" s="817"/>
      <c r="HS42" s="817"/>
      <c r="HT42" s="817"/>
      <c r="HU42" s="817"/>
      <c r="HV42" s="817"/>
      <c r="HW42" s="817"/>
      <c r="HX42" s="817"/>
      <c r="HY42" s="817"/>
      <c r="HZ42" s="817"/>
      <c r="IA42" s="817"/>
      <c r="IB42" s="817"/>
      <c r="IC42" s="817"/>
      <c r="ID42" s="817"/>
      <c r="IE42" s="817"/>
      <c r="IF42" s="817"/>
      <c r="IG42" s="817"/>
      <c r="IH42" s="817"/>
      <c r="II42" s="817"/>
      <c r="IJ42" s="817"/>
      <c r="IK42" s="817"/>
      <c r="IL42" s="817"/>
      <c r="IM42" s="817"/>
      <c r="IN42" s="817"/>
      <c r="IO42" s="817"/>
      <c r="IP42" s="817"/>
      <c r="IQ42" s="817"/>
      <c r="IR42" s="817"/>
      <c r="IS42" s="817"/>
    </row>
    <row r="43" spans="1:253" s="92" customFormat="1" ht="21.75" customHeight="1" x14ac:dyDescent="0.2">
      <c r="A43" s="817" t="s">
        <v>306</v>
      </c>
      <c r="B43" s="817" t="s">
        <v>65</v>
      </c>
      <c r="C43" s="817" t="s">
        <v>780</v>
      </c>
      <c r="D43" s="817" t="s">
        <v>781</v>
      </c>
      <c r="E43" s="817">
        <v>388833</v>
      </c>
      <c r="F43" s="817">
        <v>1976</v>
      </c>
      <c r="G43" s="817">
        <v>1990</v>
      </c>
      <c r="H43" s="817">
        <v>2632400</v>
      </c>
      <c r="I43" s="817">
        <v>1127750</v>
      </c>
      <c r="J43" s="817">
        <v>643</v>
      </c>
      <c r="K43" s="817" t="s">
        <v>600</v>
      </c>
      <c r="L43" s="817" t="s">
        <v>465</v>
      </c>
      <c r="M43" s="817">
        <v>2632290</v>
      </c>
      <c r="N43" s="817">
        <v>1127800</v>
      </c>
      <c r="O43" s="817">
        <v>640</v>
      </c>
      <c r="P43" s="817">
        <v>28650</v>
      </c>
      <c r="Q43" s="817">
        <v>11200</v>
      </c>
      <c r="R43" s="817">
        <v>15</v>
      </c>
      <c r="S43" s="817">
        <v>95</v>
      </c>
      <c r="T43" s="817">
        <v>80</v>
      </c>
      <c r="U43" s="817">
        <v>90</v>
      </c>
      <c r="V43" s="817">
        <v>0.8</v>
      </c>
      <c r="W43" s="817"/>
      <c r="X43" s="817">
        <v>20</v>
      </c>
      <c r="Y43" s="817">
        <v>80</v>
      </c>
      <c r="Z43" s="817">
        <v>0.3</v>
      </c>
      <c r="AA43" s="817">
        <v>40</v>
      </c>
      <c r="AB43" s="817"/>
      <c r="AC43" s="817">
        <v>11995</v>
      </c>
      <c r="AD43" s="817">
        <v>3138</v>
      </c>
      <c r="AE43" s="817"/>
      <c r="AF43" s="817" t="s">
        <v>237</v>
      </c>
      <c r="AG43" s="817">
        <v>26</v>
      </c>
      <c r="AH43" s="817">
        <v>26</v>
      </c>
      <c r="AI43" s="817">
        <v>156</v>
      </c>
      <c r="AJ43" s="817">
        <v>0</v>
      </c>
      <c r="AK43" s="817">
        <v>0</v>
      </c>
      <c r="AL43" s="817">
        <v>156</v>
      </c>
      <c r="AM43" s="817">
        <v>156</v>
      </c>
      <c r="AN43" s="817">
        <v>156</v>
      </c>
      <c r="AO43" s="817">
        <v>156</v>
      </c>
      <c r="AP43" s="817">
        <v>0</v>
      </c>
      <c r="AQ43" s="817">
        <v>0</v>
      </c>
      <c r="AR43" s="817">
        <v>156</v>
      </c>
      <c r="AS43" s="817">
        <v>156</v>
      </c>
      <c r="AT43" s="817">
        <v>156</v>
      </c>
      <c r="AU43" s="817">
        <v>0</v>
      </c>
      <c r="AV43" s="817">
        <v>156</v>
      </c>
      <c r="AW43" s="817">
        <v>52</v>
      </c>
      <c r="AX43" s="817">
        <f t="shared" si="0"/>
        <v>1</v>
      </c>
      <c r="AY43" s="817">
        <v>2</v>
      </c>
      <c r="AZ43" s="817" t="s">
        <v>166</v>
      </c>
      <c r="BA43" s="817">
        <v>3</v>
      </c>
      <c r="BB43" s="817">
        <v>357800</v>
      </c>
      <c r="BC43" s="817" t="s">
        <v>782</v>
      </c>
      <c r="BD43" s="817">
        <v>2</v>
      </c>
      <c r="BE43" s="817">
        <v>1</v>
      </c>
      <c r="BF43" s="817">
        <v>2</v>
      </c>
      <c r="BG43" s="817">
        <v>2</v>
      </c>
      <c r="BH43" s="817">
        <v>2</v>
      </c>
      <c r="BI43" s="817">
        <v>1</v>
      </c>
      <c r="BJ43" s="817">
        <v>1</v>
      </c>
      <c r="BK43" s="817">
        <v>3</v>
      </c>
      <c r="BL43" s="817">
        <v>2</v>
      </c>
      <c r="BM43" s="817">
        <v>1</v>
      </c>
      <c r="BN43" s="817">
        <v>1</v>
      </c>
      <c r="BO43" s="817">
        <v>1</v>
      </c>
      <c r="BP43" s="817">
        <v>1</v>
      </c>
      <c r="BQ43" s="817">
        <v>1</v>
      </c>
      <c r="BR43" s="817">
        <v>1</v>
      </c>
      <c r="BS43" s="817">
        <v>1</v>
      </c>
      <c r="BT43" s="817">
        <v>1</v>
      </c>
      <c r="BU43" s="817">
        <v>1</v>
      </c>
      <c r="BV43" s="817">
        <v>2</v>
      </c>
      <c r="BW43" s="817">
        <v>1</v>
      </c>
      <c r="BX43" s="817">
        <v>1</v>
      </c>
      <c r="BY43" s="817">
        <v>1</v>
      </c>
      <c r="BZ43" s="817">
        <v>1</v>
      </c>
      <c r="CA43" s="817">
        <v>1</v>
      </c>
      <c r="CB43" s="817">
        <v>1</v>
      </c>
      <c r="CC43" s="817">
        <v>1</v>
      </c>
      <c r="CD43" s="817">
        <v>1</v>
      </c>
      <c r="CE43" s="817">
        <v>1</v>
      </c>
      <c r="CF43" s="817" t="s">
        <v>601</v>
      </c>
      <c r="CG43" s="817" t="s">
        <v>602</v>
      </c>
      <c r="CH43" s="817">
        <v>1</v>
      </c>
      <c r="CI43" s="817">
        <v>3</v>
      </c>
      <c r="CJ43" s="817">
        <v>5</v>
      </c>
      <c r="CK43" s="817">
        <v>4</v>
      </c>
      <c r="CL43" s="817">
        <v>2</v>
      </c>
      <c r="CM43" s="817">
        <v>2</v>
      </c>
      <c r="CN43" s="817">
        <v>1</v>
      </c>
      <c r="CO43" s="817">
        <v>1</v>
      </c>
      <c r="CP43" s="817"/>
      <c r="CQ43" s="817"/>
      <c r="CR43" s="817">
        <v>26</v>
      </c>
      <c r="CS43" s="817">
        <v>26</v>
      </c>
      <c r="CT43" s="817">
        <v>1</v>
      </c>
      <c r="CU43" s="160"/>
      <c r="CV43" s="160"/>
      <c r="CW43" s="160"/>
      <c r="CX43" s="160"/>
      <c r="CY43" s="160"/>
      <c r="CZ43" s="160"/>
      <c r="DA43" s="160"/>
      <c r="DB43" s="160"/>
      <c r="DC43" s="160"/>
      <c r="DD43" s="160"/>
      <c r="DE43" s="160"/>
      <c r="DF43" s="160"/>
      <c r="DG43" s="160"/>
      <c r="DH43" s="160"/>
      <c r="DI43" s="160"/>
      <c r="DJ43" s="160"/>
      <c r="DK43" s="167"/>
      <c r="DL43" s="817"/>
      <c r="DM43" s="873" t="s">
        <v>757</v>
      </c>
      <c r="DN43" s="871" t="s">
        <v>758</v>
      </c>
      <c r="DO43" s="817"/>
      <c r="DP43" s="817"/>
      <c r="DQ43" s="817"/>
      <c r="DR43" s="817"/>
      <c r="DS43" s="817"/>
      <c r="DT43" s="817"/>
      <c r="DU43" s="817"/>
      <c r="DV43" s="817"/>
      <c r="DW43" s="817"/>
      <c r="DX43" s="817"/>
      <c r="DY43" s="817"/>
      <c r="DZ43" s="817"/>
      <c r="EA43" s="817"/>
      <c r="EB43" s="817"/>
      <c r="EC43" s="817"/>
      <c r="ED43" s="817"/>
      <c r="EE43" s="817"/>
      <c r="EF43" s="817"/>
      <c r="EG43" s="817"/>
      <c r="EH43" s="817"/>
      <c r="EI43" s="817"/>
      <c r="EJ43" s="817"/>
      <c r="EK43" s="817"/>
      <c r="EL43" s="817"/>
      <c r="EM43" s="817"/>
      <c r="EN43" s="817"/>
      <c r="EO43" s="817"/>
      <c r="EP43" s="817"/>
      <c r="EQ43" s="817"/>
      <c r="ER43" s="817"/>
      <c r="ES43" s="817"/>
      <c r="ET43" s="817"/>
      <c r="EU43" s="817"/>
      <c r="EV43" s="817"/>
      <c r="EW43" s="817"/>
      <c r="EX43" s="817"/>
      <c r="EY43" s="817"/>
      <c r="EZ43" s="817"/>
      <c r="FA43" s="817"/>
      <c r="FB43" s="817"/>
      <c r="FC43" s="817"/>
      <c r="FD43" s="817"/>
      <c r="FE43" s="817"/>
      <c r="FF43" s="817"/>
      <c r="FG43" s="817"/>
      <c r="FH43" s="817"/>
      <c r="FI43" s="817"/>
      <c r="FJ43" s="817"/>
      <c r="FK43" s="817"/>
      <c r="FL43" s="817"/>
      <c r="FM43" s="817"/>
      <c r="FN43" s="817"/>
      <c r="FO43" s="817"/>
      <c r="FP43" s="817"/>
      <c r="FQ43" s="817"/>
      <c r="FR43" s="817"/>
      <c r="FS43" s="817"/>
      <c r="FT43" s="817"/>
      <c r="FU43" s="817"/>
      <c r="FV43" s="817"/>
      <c r="FW43" s="817"/>
      <c r="FX43" s="817"/>
      <c r="FY43" s="817"/>
      <c r="FZ43" s="817"/>
      <c r="GA43" s="817"/>
      <c r="GB43" s="817"/>
      <c r="GC43" s="817"/>
      <c r="GD43" s="817"/>
      <c r="GE43" s="817"/>
      <c r="GF43" s="817"/>
      <c r="GG43" s="817"/>
      <c r="GH43" s="817"/>
      <c r="GI43" s="817"/>
      <c r="GJ43" s="817"/>
      <c r="GK43" s="817"/>
      <c r="GL43" s="817"/>
      <c r="GM43" s="817"/>
      <c r="GN43" s="817"/>
      <c r="GO43" s="817"/>
      <c r="GP43" s="817"/>
      <c r="GQ43" s="817"/>
      <c r="GR43" s="817"/>
      <c r="GS43" s="817"/>
      <c r="GT43" s="817"/>
      <c r="GU43" s="817"/>
      <c r="GV43" s="817"/>
      <c r="GW43" s="817"/>
      <c r="GX43" s="817"/>
      <c r="GY43" s="817"/>
      <c r="GZ43" s="817"/>
      <c r="HA43" s="817"/>
      <c r="HB43" s="817"/>
      <c r="HC43" s="817"/>
      <c r="HD43" s="817"/>
      <c r="HE43" s="817"/>
      <c r="HF43" s="817"/>
      <c r="HG43" s="817"/>
      <c r="HH43" s="817"/>
      <c r="HI43" s="817"/>
      <c r="HJ43" s="817"/>
      <c r="HK43" s="817"/>
      <c r="HL43" s="817"/>
      <c r="HM43" s="817"/>
      <c r="HN43" s="817"/>
      <c r="HO43" s="817"/>
      <c r="HP43" s="817"/>
      <c r="HQ43" s="817"/>
      <c r="HR43" s="817"/>
      <c r="HS43" s="817"/>
      <c r="HT43" s="817"/>
      <c r="HU43" s="817"/>
      <c r="HV43" s="817"/>
      <c r="HW43" s="817"/>
      <c r="HX43" s="817"/>
      <c r="HY43" s="817"/>
      <c r="HZ43" s="817"/>
      <c r="IA43" s="817"/>
      <c r="IB43" s="817"/>
      <c r="IC43" s="817"/>
      <c r="ID43" s="817"/>
      <c r="IE43" s="817"/>
      <c r="IF43" s="817"/>
      <c r="IG43" s="817"/>
      <c r="IH43" s="817"/>
      <c r="II43" s="817"/>
      <c r="IJ43" s="817"/>
      <c r="IK43" s="817"/>
      <c r="IL43" s="817"/>
      <c r="IM43" s="817"/>
      <c r="IN43" s="817"/>
      <c r="IO43" s="817"/>
      <c r="IP43" s="817"/>
      <c r="IQ43" s="817"/>
      <c r="IR43" s="817"/>
      <c r="IS43" s="817"/>
    </row>
    <row r="44" spans="1:253" s="92" customFormat="1" x14ac:dyDescent="0.2">
      <c r="A44" s="817" t="s">
        <v>84</v>
      </c>
      <c r="B44" s="817" t="s">
        <v>45</v>
      </c>
      <c r="C44" s="817" t="s">
        <v>603</v>
      </c>
      <c r="D44" s="817" t="s">
        <v>604</v>
      </c>
      <c r="E44" s="817">
        <v>8750</v>
      </c>
      <c r="F44" s="817">
        <v>1978</v>
      </c>
      <c r="G44" s="817">
        <v>2002</v>
      </c>
      <c r="H44" s="817">
        <v>2582730</v>
      </c>
      <c r="I44" s="817">
        <v>1113340</v>
      </c>
      <c r="J44" s="817">
        <v>465</v>
      </c>
      <c r="K44" s="817" t="s">
        <v>465</v>
      </c>
      <c r="L44" s="817" t="s">
        <v>465</v>
      </c>
      <c r="M44" s="817">
        <v>2582680</v>
      </c>
      <c r="N44" s="817">
        <v>1114070</v>
      </c>
      <c r="O44" s="817">
        <v>468</v>
      </c>
      <c r="P44" s="817">
        <v>3150</v>
      </c>
      <c r="Q44" s="817">
        <v>700</v>
      </c>
      <c r="R44" s="817"/>
      <c r="S44" s="817"/>
      <c r="T44" s="817">
        <v>10</v>
      </c>
      <c r="U44" s="817">
        <v>85</v>
      </c>
      <c r="V44" s="817">
        <v>0.8</v>
      </c>
      <c r="W44" s="817">
        <v>85</v>
      </c>
      <c r="X44" s="817"/>
      <c r="Y44" s="817"/>
      <c r="Z44" s="817">
        <v>0.3</v>
      </c>
      <c r="AA44" s="817">
        <v>20</v>
      </c>
      <c r="AB44" s="817"/>
      <c r="AC44" s="817">
        <v>2888</v>
      </c>
      <c r="AD44" s="817">
        <v>7485</v>
      </c>
      <c r="AE44" s="817"/>
      <c r="AF44" s="817" t="s">
        <v>237</v>
      </c>
      <c r="AG44" s="817">
        <v>0</v>
      </c>
      <c r="AH44" s="817">
        <v>0</v>
      </c>
      <c r="AI44" s="817">
        <v>12</v>
      </c>
      <c r="AJ44" s="817">
        <v>0</v>
      </c>
      <c r="AK44" s="817">
        <v>0</v>
      </c>
      <c r="AL44" s="817">
        <v>12</v>
      </c>
      <c r="AM44" s="817">
        <v>52</v>
      </c>
      <c r="AN44" s="817">
        <v>52</v>
      </c>
      <c r="AO44" s="817">
        <v>24</v>
      </c>
      <c r="AP44" s="817">
        <v>0</v>
      </c>
      <c r="AQ44" s="817">
        <v>0</v>
      </c>
      <c r="AR44" s="817">
        <v>12</v>
      </c>
      <c r="AS44" s="817">
        <v>52</v>
      </c>
      <c r="AT44" s="817">
        <v>52</v>
      </c>
      <c r="AU44" s="817">
        <v>0</v>
      </c>
      <c r="AV44" s="817">
        <v>52</v>
      </c>
      <c r="AW44" s="817">
        <v>52</v>
      </c>
      <c r="AX44" s="817">
        <f t="shared" si="0"/>
        <v>1</v>
      </c>
      <c r="AY44" s="817">
        <v>1</v>
      </c>
      <c r="AZ44" s="817" t="s">
        <v>658</v>
      </c>
      <c r="BA44" s="817">
        <v>1</v>
      </c>
      <c r="BB44" s="817">
        <v>0</v>
      </c>
      <c r="BC44" s="817"/>
      <c r="BD44" s="817">
        <v>2</v>
      </c>
      <c r="BE44" s="817">
        <v>2</v>
      </c>
      <c r="BF44" s="817">
        <v>2</v>
      </c>
      <c r="BG44" s="817">
        <v>2</v>
      </c>
      <c r="BH44" s="817">
        <v>2</v>
      </c>
      <c r="BI44" s="817">
        <v>1</v>
      </c>
      <c r="BJ44" s="817">
        <v>1</v>
      </c>
      <c r="BK44" s="817">
        <v>2</v>
      </c>
      <c r="BL44" s="817">
        <v>2</v>
      </c>
      <c r="BM44" s="817">
        <v>1</v>
      </c>
      <c r="BN44" s="817">
        <v>1</v>
      </c>
      <c r="BO44" s="817">
        <v>1</v>
      </c>
      <c r="BP44" s="817">
        <v>1</v>
      </c>
      <c r="BQ44" s="817">
        <v>1</v>
      </c>
      <c r="BR44" s="817">
        <v>2</v>
      </c>
      <c r="BS44" s="817">
        <v>1</v>
      </c>
      <c r="BT44" s="817">
        <v>1</v>
      </c>
      <c r="BU44" s="817">
        <v>1</v>
      </c>
      <c r="BV44" s="817">
        <v>1</v>
      </c>
      <c r="BW44" s="817">
        <v>1</v>
      </c>
      <c r="BX44" s="817">
        <v>1</v>
      </c>
      <c r="BY44" s="817">
        <v>1</v>
      </c>
      <c r="BZ44" s="817">
        <v>1</v>
      </c>
      <c r="CA44" s="817">
        <v>1</v>
      </c>
      <c r="CB44" s="817">
        <v>0</v>
      </c>
      <c r="CC44" s="817">
        <v>1</v>
      </c>
      <c r="CD44" s="817">
        <v>1</v>
      </c>
      <c r="CE44" s="817">
        <v>1</v>
      </c>
      <c r="CF44" s="817" t="s">
        <v>568</v>
      </c>
      <c r="CG44" s="817" t="s">
        <v>569</v>
      </c>
      <c r="CH44" s="817">
        <v>1</v>
      </c>
      <c r="CI44" s="817">
        <v>3</v>
      </c>
      <c r="CJ44" s="817">
        <v>5</v>
      </c>
      <c r="CK44" s="817">
        <v>6</v>
      </c>
      <c r="CL44" s="817">
        <v>1</v>
      </c>
      <c r="CM44" s="817">
        <v>1</v>
      </c>
      <c r="CN44" s="817">
        <v>1</v>
      </c>
      <c r="CO44" s="817">
        <v>1</v>
      </c>
      <c r="CP44" s="817">
        <v>60</v>
      </c>
      <c r="CQ44" s="817">
        <v>80</v>
      </c>
      <c r="CR44" s="817">
        <v>52</v>
      </c>
      <c r="CS44" s="817">
        <v>52</v>
      </c>
      <c r="CT44" s="817">
        <v>1</v>
      </c>
      <c r="CU44" s="160"/>
      <c r="CV44" s="160"/>
      <c r="CW44" s="160"/>
      <c r="CX44" s="160"/>
      <c r="CY44" s="160"/>
      <c r="CZ44" s="160"/>
      <c r="DA44" s="160"/>
      <c r="DB44" s="160"/>
      <c r="DC44" s="160"/>
      <c r="DD44" s="160"/>
      <c r="DE44" s="160"/>
      <c r="DF44" s="160"/>
      <c r="DG44" s="160"/>
      <c r="DH44" s="160"/>
      <c r="DI44" s="160"/>
      <c r="DJ44" s="160"/>
      <c r="DK44" s="167"/>
      <c r="DL44" s="817"/>
      <c r="DM44" s="873" t="s">
        <v>84</v>
      </c>
      <c r="DN44" s="871" t="s">
        <v>729</v>
      </c>
      <c r="DO44" s="817"/>
      <c r="DP44" s="817"/>
      <c r="DQ44" s="817"/>
      <c r="DR44" s="817"/>
      <c r="DS44" s="817"/>
      <c r="DT44" s="817"/>
      <c r="DU44" s="817"/>
      <c r="DV44" s="817"/>
      <c r="DW44" s="817"/>
      <c r="DX44" s="817"/>
      <c r="DY44" s="817"/>
      <c r="DZ44" s="817"/>
      <c r="EA44" s="817"/>
      <c r="EB44" s="817"/>
      <c r="EC44" s="817"/>
      <c r="ED44" s="817"/>
      <c r="EE44" s="817"/>
      <c r="EF44" s="817"/>
      <c r="EG44" s="817"/>
      <c r="EH44" s="817"/>
      <c r="EI44" s="817"/>
      <c r="EJ44" s="817"/>
      <c r="EK44" s="817"/>
      <c r="EL44" s="817"/>
      <c r="EM44" s="817"/>
      <c r="EN44" s="817"/>
      <c r="EO44" s="817"/>
      <c r="EP44" s="817"/>
      <c r="EQ44" s="817"/>
      <c r="ER44" s="817"/>
      <c r="ES44" s="817"/>
      <c r="ET44" s="817"/>
      <c r="EU44" s="817"/>
      <c r="EV44" s="817"/>
      <c r="EW44" s="817"/>
      <c r="EX44" s="817"/>
      <c r="EY44" s="817"/>
      <c r="EZ44" s="817"/>
      <c r="FA44" s="817"/>
      <c r="FB44" s="817"/>
      <c r="FC44" s="817"/>
      <c r="FD44" s="817"/>
      <c r="FE44" s="817"/>
      <c r="FF44" s="817"/>
      <c r="FG44" s="817"/>
      <c r="FH44" s="817"/>
      <c r="FI44" s="817"/>
      <c r="FJ44" s="817"/>
      <c r="FK44" s="817"/>
      <c r="FL44" s="817"/>
      <c r="FM44" s="817"/>
      <c r="FN44" s="817"/>
      <c r="FO44" s="817"/>
      <c r="FP44" s="817"/>
      <c r="FQ44" s="817"/>
      <c r="FR44" s="817"/>
      <c r="FS44" s="817"/>
      <c r="FT44" s="817"/>
      <c r="FU44" s="817"/>
      <c r="FV44" s="817"/>
      <c r="FW44" s="817"/>
      <c r="FX44" s="817"/>
      <c r="FY44" s="817"/>
      <c r="FZ44" s="817"/>
      <c r="GA44" s="817"/>
      <c r="GB44" s="817"/>
      <c r="GC44" s="817"/>
      <c r="GD44" s="817"/>
      <c r="GE44" s="817"/>
      <c r="GF44" s="817"/>
      <c r="GG44" s="817"/>
      <c r="GH44" s="817"/>
      <c r="GI44" s="817"/>
      <c r="GJ44" s="817"/>
      <c r="GK44" s="817"/>
      <c r="GL44" s="817"/>
      <c r="GM44" s="817"/>
      <c r="GN44" s="817"/>
      <c r="GO44" s="817"/>
      <c r="GP44" s="817"/>
      <c r="GQ44" s="817"/>
      <c r="GR44" s="817"/>
      <c r="GS44" s="817"/>
      <c r="GT44" s="817"/>
      <c r="GU44" s="817"/>
      <c r="GV44" s="817"/>
      <c r="GW44" s="817"/>
      <c r="GX44" s="817"/>
      <c r="GY44" s="817"/>
      <c r="GZ44" s="817"/>
      <c r="HA44" s="817"/>
      <c r="HB44" s="817"/>
      <c r="HC44" s="817"/>
      <c r="HD44" s="817"/>
      <c r="HE44" s="817"/>
      <c r="HF44" s="817"/>
      <c r="HG44" s="817"/>
      <c r="HH44" s="817"/>
      <c r="HI44" s="817"/>
      <c r="HJ44" s="817"/>
      <c r="HK44" s="817"/>
      <c r="HL44" s="817"/>
      <c r="HM44" s="817"/>
      <c r="HN44" s="817"/>
      <c r="HO44" s="817"/>
      <c r="HP44" s="817"/>
      <c r="HQ44" s="817"/>
      <c r="HR44" s="817"/>
      <c r="HS44" s="817"/>
      <c r="HT44" s="817"/>
      <c r="HU44" s="817"/>
      <c r="HV44" s="817"/>
      <c r="HW44" s="817"/>
      <c r="HX44" s="817"/>
      <c r="HY44" s="817"/>
      <c r="HZ44" s="817"/>
      <c r="IA44" s="817"/>
      <c r="IB44" s="817"/>
      <c r="IC44" s="817"/>
      <c r="ID44" s="817"/>
      <c r="IE44" s="817"/>
      <c r="IF44" s="817"/>
      <c r="IG44" s="817"/>
      <c r="IH44" s="817"/>
      <c r="II44" s="817"/>
      <c r="IJ44" s="817"/>
      <c r="IK44" s="817"/>
      <c r="IL44" s="817"/>
      <c r="IM44" s="817"/>
      <c r="IN44" s="817"/>
      <c r="IO44" s="817"/>
      <c r="IP44" s="817"/>
      <c r="IQ44" s="817"/>
      <c r="IR44" s="817"/>
      <c r="IS44" s="817"/>
    </row>
    <row r="45" spans="1:253" s="92" customFormat="1" x14ac:dyDescent="0.2">
      <c r="A45" s="817" t="s">
        <v>78</v>
      </c>
      <c r="B45" s="817" t="s">
        <v>46</v>
      </c>
      <c r="C45" s="817" t="s">
        <v>605</v>
      </c>
      <c r="D45" s="817" t="s">
        <v>606</v>
      </c>
      <c r="E45" s="817">
        <v>27367</v>
      </c>
      <c r="F45" s="817">
        <v>1989</v>
      </c>
      <c r="G45" s="817">
        <v>0</v>
      </c>
      <c r="H45" s="817">
        <v>2636740</v>
      </c>
      <c r="I45" s="817">
        <v>1113250</v>
      </c>
      <c r="J45" s="817">
        <v>1360</v>
      </c>
      <c r="K45" s="817" t="s">
        <v>607</v>
      </c>
      <c r="L45" s="817" t="s">
        <v>488</v>
      </c>
      <c r="M45" s="817">
        <v>2636641</v>
      </c>
      <c r="N45" s="817">
        <v>1113257</v>
      </c>
      <c r="O45" s="817">
        <v>1330</v>
      </c>
      <c r="P45" s="817">
        <v>8760</v>
      </c>
      <c r="Q45" s="817">
        <v>1260</v>
      </c>
      <c r="R45" s="817"/>
      <c r="S45" s="817"/>
      <c r="T45" s="817">
        <v>10</v>
      </c>
      <c r="U45" s="817">
        <v>85</v>
      </c>
      <c r="V45" s="817">
        <v>0.8</v>
      </c>
      <c r="W45" s="817">
        <v>90</v>
      </c>
      <c r="X45" s="817"/>
      <c r="Y45" s="817"/>
      <c r="Z45" s="817">
        <v>0.3</v>
      </c>
      <c r="AA45" s="817">
        <v>15</v>
      </c>
      <c r="AB45" s="817"/>
      <c r="AC45" s="817">
        <v>3497</v>
      </c>
      <c r="AD45" s="817">
        <v>14262</v>
      </c>
      <c r="AE45" s="817"/>
      <c r="AF45" s="817" t="s">
        <v>237</v>
      </c>
      <c r="AG45" s="817">
        <v>0</v>
      </c>
      <c r="AH45" s="817">
        <v>0</v>
      </c>
      <c r="AI45" s="817">
        <v>12</v>
      </c>
      <c r="AJ45" s="817">
        <v>0</v>
      </c>
      <c r="AK45" s="817">
        <v>0</v>
      </c>
      <c r="AL45" s="817">
        <v>12</v>
      </c>
      <c r="AM45" s="817">
        <v>52</v>
      </c>
      <c r="AN45" s="817">
        <v>52</v>
      </c>
      <c r="AO45" s="817">
        <v>24</v>
      </c>
      <c r="AP45" s="817">
        <v>0</v>
      </c>
      <c r="AQ45" s="817">
        <v>0</v>
      </c>
      <c r="AR45" s="817">
        <v>12</v>
      </c>
      <c r="AS45" s="817">
        <v>104</v>
      </c>
      <c r="AT45" s="817">
        <v>104</v>
      </c>
      <c r="AU45" s="817">
        <v>0</v>
      </c>
      <c r="AV45" s="817">
        <v>52</v>
      </c>
      <c r="AW45" s="817">
        <v>52</v>
      </c>
      <c r="AX45" s="817">
        <f t="shared" si="0"/>
        <v>1</v>
      </c>
      <c r="AY45" s="817">
        <v>2</v>
      </c>
      <c r="AZ45" s="817" t="s">
        <v>166</v>
      </c>
      <c r="BA45" s="817">
        <v>1</v>
      </c>
      <c r="BB45" s="817">
        <v>0</v>
      </c>
      <c r="BC45" s="817"/>
      <c r="BD45" s="817">
        <v>1</v>
      </c>
      <c r="BE45" s="817">
        <v>2</v>
      </c>
      <c r="BF45" s="817">
        <v>2</v>
      </c>
      <c r="BG45" s="817">
        <v>2</v>
      </c>
      <c r="BH45" s="817">
        <v>1</v>
      </c>
      <c r="BI45" s="817">
        <v>1</v>
      </c>
      <c r="BJ45" s="817">
        <v>1</v>
      </c>
      <c r="BK45" s="817">
        <v>1</v>
      </c>
      <c r="BL45" s="817">
        <v>2</v>
      </c>
      <c r="BM45" s="817">
        <v>1</v>
      </c>
      <c r="BN45" s="817">
        <v>1</v>
      </c>
      <c r="BO45" s="817">
        <v>1</v>
      </c>
      <c r="BP45" s="817">
        <v>1</v>
      </c>
      <c r="BQ45" s="817">
        <v>1</v>
      </c>
      <c r="BR45" s="817">
        <v>2</v>
      </c>
      <c r="BS45" s="817">
        <v>1</v>
      </c>
      <c r="BT45" s="817">
        <v>1</v>
      </c>
      <c r="BU45" s="817">
        <v>1</v>
      </c>
      <c r="BV45" s="817">
        <v>1</v>
      </c>
      <c r="BW45" s="817">
        <v>1</v>
      </c>
      <c r="BX45" s="817">
        <v>1</v>
      </c>
      <c r="BY45" s="817">
        <v>1</v>
      </c>
      <c r="BZ45" s="817">
        <v>1</v>
      </c>
      <c r="CA45" s="817">
        <v>1</v>
      </c>
      <c r="CB45" s="817">
        <v>0</v>
      </c>
      <c r="CC45" s="817">
        <v>2</v>
      </c>
      <c r="CD45" s="817">
        <v>1</v>
      </c>
      <c r="CE45" s="817">
        <v>1</v>
      </c>
      <c r="CF45" s="817" t="s">
        <v>608</v>
      </c>
      <c r="CG45" s="817" t="s">
        <v>609</v>
      </c>
      <c r="CH45" s="817">
        <v>1</v>
      </c>
      <c r="CI45" s="817">
        <v>1</v>
      </c>
      <c r="CJ45" s="817">
        <v>2</v>
      </c>
      <c r="CK45" s="817">
        <v>5</v>
      </c>
      <c r="CL45" s="817">
        <v>1</v>
      </c>
      <c r="CM45" s="817">
        <v>1</v>
      </c>
      <c r="CN45" s="817">
        <v>1</v>
      </c>
      <c r="CO45" s="817">
        <v>1</v>
      </c>
      <c r="CP45" s="817">
        <v>45</v>
      </c>
      <c r="CQ45" s="817">
        <v>85</v>
      </c>
      <c r="CR45" s="817">
        <v>52</v>
      </c>
      <c r="CS45" s="817">
        <v>52</v>
      </c>
      <c r="CT45" s="817">
        <v>1</v>
      </c>
      <c r="CU45" s="160"/>
      <c r="CV45" s="160"/>
      <c r="CW45" s="160"/>
      <c r="CX45" s="160"/>
      <c r="CY45" s="160"/>
      <c r="CZ45" s="160"/>
      <c r="DA45" s="160"/>
      <c r="DB45" s="160"/>
      <c r="DC45" s="160"/>
      <c r="DD45" s="160"/>
      <c r="DE45" s="160"/>
      <c r="DF45" s="160"/>
      <c r="DG45" s="160"/>
      <c r="DH45" s="160"/>
      <c r="DI45" s="160"/>
      <c r="DJ45" s="160"/>
      <c r="DK45" s="167"/>
      <c r="DL45" s="817"/>
      <c r="DM45" s="873" t="s">
        <v>78</v>
      </c>
      <c r="DN45" s="871" t="s">
        <v>730</v>
      </c>
      <c r="DO45" s="817"/>
      <c r="DP45" s="817"/>
      <c r="DQ45" s="817"/>
      <c r="DR45" s="817"/>
      <c r="DS45" s="817"/>
      <c r="DT45" s="817"/>
      <c r="DU45" s="817"/>
      <c r="DV45" s="817"/>
      <c r="DW45" s="817"/>
      <c r="DX45" s="817"/>
      <c r="DY45" s="817"/>
      <c r="DZ45" s="817"/>
      <c r="EA45" s="817"/>
      <c r="EB45" s="817"/>
      <c r="EC45" s="817"/>
      <c r="ED45" s="817"/>
      <c r="EE45" s="817"/>
      <c r="EF45" s="817"/>
      <c r="EG45" s="817"/>
      <c r="EH45" s="817"/>
      <c r="EI45" s="817"/>
      <c r="EJ45" s="817"/>
      <c r="EK45" s="817"/>
      <c r="EL45" s="817"/>
      <c r="EM45" s="817"/>
      <c r="EN45" s="817"/>
      <c r="EO45" s="817"/>
      <c r="EP45" s="817"/>
      <c r="EQ45" s="817"/>
      <c r="ER45" s="817"/>
      <c r="ES45" s="817"/>
      <c r="ET45" s="817"/>
      <c r="EU45" s="817"/>
      <c r="EV45" s="817"/>
      <c r="EW45" s="817"/>
      <c r="EX45" s="817"/>
      <c r="EY45" s="817"/>
      <c r="EZ45" s="817"/>
      <c r="FA45" s="817"/>
      <c r="FB45" s="817"/>
      <c r="FC45" s="817"/>
      <c r="FD45" s="817"/>
      <c r="FE45" s="817"/>
      <c r="FF45" s="817"/>
      <c r="FG45" s="817"/>
      <c r="FH45" s="817"/>
      <c r="FI45" s="817"/>
      <c r="FJ45" s="817"/>
      <c r="FK45" s="817"/>
      <c r="FL45" s="817"/>
      <c r="FM45" s="817"/>
      <c r="FN45" s="817"/>
      <c r="FO45" s="817"/>
      <c r="FP45" s="817"/>
      <c r="FQ45" s="817"/>
      <c r="FR45" s="817"/>
      <c r="FS45" s="817"/>
      <c r="FT45" s="817"/>
      <c r="FU45" s="817"/>
      <c r="FV45" s="817"/>
      <c r="FW45" s="817"/>
      <c r="FX45" s="817"/>
      <c r="FY45" s="817"/>
      <c r="FZ45" s="817"/>
      <c r="GA45" s="817"/>
      <c r="GB45" s="817"/>
      <c r="GC45" s="817"/>
      <c r="GD45" s="817"/>
      <c r="GE45" s="817"/>
      <c r="GF45" s="817"/>
      <c r="GG45" s="817"/>
      <c r="GH45" s="817"/>
      <c r="GI45" s="817"/>
      <c r="GJ45" s="817"/>
      <c r="GK45" s="817"/>
      <c r="GL45" s="817"/>
      <c r="GM45" s="817"/>
      <c r="GN45" s="817"/>
      <c r="GO45" s="817"/>
      <c r="GP45" s="817"/>
      <c r="GQ45" s="817"/>
      <c r="GR45" s="817"/>
      <c r="GS45" s="817"/>
      <c r="GT45" s="817"/>
      <c r="GU45" s="817"/>
      <c r="GV45" s="817"/>
      <c r="GW45" s="817"/>
      <c r="GX45" s="817"/>
      <c r="GY45" s="817"/>
      <c r="GZ45" s="817"/>
      <c r="HA45" s="817"/>
      <c r="HB45" s="817"/>
      <c r="HC45" s="817"/>
      <c r="HD45" s="817"/>
      <c r="HE45" s="817"/>
      <c r="HF45" s="817"/>
      <c r="HG45" s="817"/>
      <c r="HH45" s="817"/>
      <c r="HI45" s="817"/>
      <c r="HJ45" s="817"/>
      <c r="HK45" s="817"/>
      <c r="HL45" s="817"/>
      <c r="HM45" s="817"/>
      <c r="HN45" s="817"/>
      <c r="HO45" s="817"/>
      <c r="HP45" s="817"/>
      <c r="HQ45" s="817"/>
      <c r="HR45" s="817"/>
      <c r="HS45" s="817"/>
      <c r="HT45" s="817"/>
      <c r="HU45" s="817"/>
      <c r="HV45" s="817"/>
      <c r="HW45" s="817"/>
      <c r="HX45" s="817"/>
      <c r="HY45" s="817"/>
      <c r="HZ45" s="817"/>
      <c r="IA45" s="817"/>
      <c r="IB45" s="817"/>
      <c r="IC45" s="817"/>
      <c r="ID45" s="817"/>
      <c r="IE45" s="817"/>
      <c r="IF45" s="817"/>
      <c r="IG45" s="817"/>
      <c r="IH45" s="817"/>
      <c r="II45" s="817"/>
      <c r="IJ45" s="817"/>
      <c r="IK45" s="817"/>
      <c r="IL45" s="817"/>
      <c r="IM45" s="817"/>
      <c r="IN45" s="817"/>
      <c r="IO45" s="817"/>
      <c r="IP45" s="817"/>
      <c r="IQ45" s="817"/>
      <c r="IR45" s="817"/>
      <c r="IS45" s="817"/>
    </row>
    <row r="46" spans="1:253" s="84" customFormat="1" x14ac:dyDescent="0.2">
      <c r="A46" s="817" t="s">
        <v>97</v>
      </c>
      <c r="B46" s="817" t="s">
        <v>47</v>
      </c>
      <c r="C46" s="817" t="s">
        <v>765</v>
      </c>
      <c r="D46" s="817" t="s">
        <v>766</v>
      </c>
      <c r="E46" s="817">
        <v>8483</v>
      </c>
      <c r="F46" s="817">
        <v>1984</v>
      </c>
      <c r="G46" s="817">
        <v>2016</v>
      </c>
      <c r="H46" s="817">
        <v>2581290</v>
      </c>
      <c r="I46" s="817">
        <v>1112620</v>
      </c>
      <c r="J46" s="817">
        <v>460</v>
      </c>
      <c r="K46" s="817" t="s">
        <v>465</v>
      </c>
      <c r="L46" s="817" t="s">
        <v>465</v>
      </c>
      <c r="M46" s="817">
        <v>2581380</v>
      </c>
      <c r="N46" s="817">
        <v>1112560</v>
      </c>
      <c r="O46" s="817">
        <v>460</v>
      </c>
      <c r="P46" s="817">
        <v>2229</v>
      </c>
      <c r="Q46" s="817"/>
      <c r="R46" s="817"/>
      <c r="S46" s="817"/>
      <c r="T46" s="817">
        <v>10</v>
      </c>
      <c r="U46" s="817">
        <v>85</v>
      </c>
      <c r="V46" s="817">
        <v>0.8</v>
      </c>
      <c r="W46" s="817">
        <v>85</v>
      </c>
      <c r="X46" s="817">
        <v>2</v>
      </c>
      <c r="Y46" s="817">
        <v>90</v>
      </c>
      <c r="Z46" s="817">
        <v>0.3</v>
      </c>
      <c r="AA46" s="817">
        <v>20</v>
      </c>
      <c r="AB46" s="817"/>
      <c r="AC46" s="817">
        <v>2332</v>
      </c>
      <c r="AD46" s="817">
        <v>1642</v>
      </c>
      <c r="AE46" s="817"/>
      <c r="AF46" s="817" t="s">
        <v>237</v>
      </c>
      <c r="AG46" s="817">
        <v>0</v>
      </c>
      <c r="AH46" s="817">
        <v>0</v>
      </c>
      <c r="AI46" s="817">
        <v>12</v>
      </c>
      <c r="AJ46" s="817">
        <v>0</v>
      </c>
      <c r="AK46" s="817">
        <v>0</v>
      </c>
      <c r="AL46" s="817">
        <v>12</v>
      </c>
      <c r="AM46" s="817">
        <v>52</v>
      </c>
      <c r="AN46" s="817">
        <v>52</v>
      </c>
      <c r="AO46" s="817">
        <v>24</v>
      </c>
      <c r="AP46" s="817">
        <v>0</v>
      </c>
      <c r="AQ46" s="817">
        <v>0</v>
      </c>
      <c r="AR46" s="817">
        <v>12</v>
      </c>
      <c r="AS46" s="817">
        <v>52</v>
      </c>
      <c r="AT46" s="817">
        <v>52</v>
      </c>
      <c r="AU46" s="817">
        <v>0</v>
      </c>
      <c r="AV46" s="817">
        <v>52</v>
      </c>
      <c r="AW46" s="817">
        <v>52</v>
      </c>
      <c r="AX46" s="817">
        <f t="shared" si="0"/>
        <v>1</v>
      </c>
      <c r="AY46" s="817">
        <v>1</v>
      </c>
      <c r="AZ46" s="817" t="s">
        <v>658</v>
      </c>
      <c r="BA46" s="817">
        <v>1</v>
      </c>
      <c r="BB46" s="817">
        <v>0</v>
      </c>
      <c r="BC46" s="817"/>
      <c r="BD46" s="817">
        <v>2</v>
      </c>
      <c r="BE46" s="817">
        <v>1</v>
      </c>
      <c r="BF46" s="817">
        <v>1</v>
      </c>
      <c r="BG46" s="817">
        <v>1</v>
      </c>
      <c r="BH46" s="817">
        <v>1</v>
      </c>
      <c r="BI46" s="817">
        <v>2</v>
      </c>
      <c r="BJ46" s="817">
        <v>1</v>
      </c>
      <c r="BK46" s="817">
        <v>4</v>
      </c>
      <c r="BL46" s="817">
        <v>5</v>
      </c>
      <c r="BM46" s="817">
        <v>1</v>
      </c>
      <c r="BN46" s="817">
        <v>1</v>
      </c>
      <c r="BO46" s="817">
        <v>1</v>
      </c>
      <c r="BP46" s="817">
        <v>1</v>
      </c>
      <c r="BQ46" s="817">
        <v>1</v>
      </c>
      <c r="BR46" s="817">
        <v>2</v>
      </c>
      <c r="BS46" s="817">
        <v>1</v>
      </c>
      <c r="BT46" s="817">
        <v>1</v>
      </c>
      <c r="BU46" s="817">
        <v>1</v>
      </c>
      <c r="BV46" s="817">
        <v>1</v>
      </c>
      <c r="BW46" s="817">
        <v>1</v>
      </c>
      <c r="BX46" s="817">
        <v>1</v>
      </c>
      <c r="BY46" s="817">
        <v>1</v>
      </c>
      <c r="BZ46" s="817">
        <v>1</v>
      </c>
      <c r="CA46" s="817">
        <v>1</v>
      </c>
      <c r="CB46" s="817">
        <v>0</v>
      </c>
      <c r="CC46" s="817">
        <v>1</v>
      </c>
      <c r="CD46" s="817">
        <v>1</v>
      </c>
      <c r="CE46" s="817">
        <v>1</v>
      </c>
      <c r="CF46" s="817" t="s">
        <v>610</v>
      </c>
      <c r="CG46" s="817" t="s">
        <v>611</v>
      </c>
      <c r="CH46" s="817">
        <v>1</v>
      </c>
      <c r="CI46" s="817">
        <v>5</v>
      </c>
      <c r="CJ46" s="817">
        <v>5</v>
      </c>
      <c r="CK46" s="817">
        <v>4</v>
      </c>
      <c r="CL46" s="817">
        <v>1</v>
      </c>
      <c r="CM46" s="817">
        <v>1</v>
      </c>
      <c r="CN46" s="817">
        <v>1</v>
      </c>
      <c r="CO46" s="817">
        <v>1</v>
      </c>
      <c r="CP46" s="817">
        <v>60</v>
      </c>
      <c r="CQ46" s="817">
        <v>80</v>
      </c>
      <c r="CR46" s="817">
        <v>52</v>
      </c>
      <c r="CS46" s="817">
        <v>52</v>
      </c>
      <c r="CT46" s="817">
        <v>1</v>
      </c>
      <c r="CU46" s="160"/>
      <c r="CV46" s="160"/>
      <c r="CW46" s="160"/>
      <c r="CX46" s="160"/>
      <c r="CY46" s="160"/>
      <c r="CZ46" s="160"/>
      <c r="DA46" s="160"/>
      <c r="DB46" s="160"/>
      <c r="DC46" s="160"/>
      <c r="DD46" s="160"/>
      <c r="DE46" s="160"/>
      <c r="DF46" s="160"/>
      <c r="DG46" s="160"/>
      <c r="DH46" s="160"/>
      <c r="DI46" s="160"/>
      <c r="DJ46" s="160"/>
      <c r="DK46" s="167"/>
      <c r="DL46" s="817"/>
      <c r="DM46" s="873" t="s">
        <v>97</v>
      </c>
      <c r="DN46" s="871" t="s">
        <v>731</v>
      </c>
      <c r="DO46" s="817"/>
      <c r="DP46" s="817"/>
      <c r="DQ46" s="817"/>
      <c r="DR46" s="817"/>
      <c r="DS46" s="817"/>
      <c r="DT46" s="817"/>
      <c r="DU46" s="817"/>
      <c r="DV46" s="817"/>
      <c r="DW46" s="817"/>
      <c r="DX46" s="817"/>
      <c r="DY46" s="817"/>
      <c r="DZ46" s="817"/>
      <c r="EA46" s="817"/>
      <c r="EB46" s="817"/>
      <c r="EC46" s="817"/>
      <c r="ED46" s="817"/>
      <c r="EE46" s="817"/>
      <c r="EF46" s="817"/>
      <c r="EG46" s="817"/>
      <c r="EH46" s="817"/>
      <c r="EI46" s="817"/>
      <c r="EJ46" s="817"/>
      <c r="EK46" s="817"/>
      <c r="EL46" s="817"/>
      <c r="EM46" s="817"/>
      <c r="EN46" s="817"/>
      <c r="EO46" s="817"/>
      <c r="EP46" s="817"/>
      <c r="EQ46" s="817"/>
      <c r="ER46" s="817"/>
      <c r="ES46" s="817"/>
      <c r="ET46" s="817"/>
      <c r="EU46" s="817"/>
      <c r="EV46" s="817"/>
      <c r="EW46" s="817"/>
      <c r="EX46" s="817"/>
      <c r="EY46" s="817"/>
      <c r="EZ46" s="817"/>
      <c r="FA46" s="817"/>
      <c r="FB46" s="817"/>
      <c r="FC46" s="817"/>
      <c r="FD46" s="817"/>
      <c r="FE46" s="817"/>
      <c r="FF46" s="817"/>
      <c r="FG46" s="817"/>
      <c r="FH46" s="817"/>
      <c r="FI46" s="817"/>
      <c r="FJ46" s="817"/>
      <c r="FK46" s="817"/>
      <c r="FL46" s="817"/>
      <c r="FM46" s="817"/>
      <c r="FN46" s="817"/>
      <c r="FO46" s="817"/>
      <c r="FP46" s="817"/>
      <c r="FQ46" s="817"/>
      <c r="FR46" s="817"/>
      <c r="FS46" s="817"/>
      <c r="FT46" s="817"/>
      <c r="FU46" s="817"/>
      <c r="FV46" s="817"/>
      <c r="FW46" s="817"/>
      <c r="FX46" s="817"/>
      <c r="FY46" s="817"/>
      <c r="FZ46" s="817"/>
      <c r="GA46" s="817"/>
      <c r="GB46" s="817"/>
      <c r="GC46" s="817"/>
      <c r="GD46" s="817"/>
      <c r="GE46" s="817"/>
      <c r="GF46" s="817"/>
      <c r="GG46" s="817"/>
      <c r="GH46" s="817"/>
      <c r="GI46" s="817"/>
      <c r="GJ46" s="817"/>
      <c r="GK46" s="817"/>
      <c r="GL46" s="817"/>
      <c r="GM46" s="817"/>
      <c r="GN46" s="817"/>
      <c r="GO46" s="817"/>
      <c r="GP46" s="817"/>
      <c r="GQ46" s="817"/>
      <c r="GR46" s="817"/>
      <c r="GS46" s="817"/>
      <c r="GT46" s="817"/>
      <c r="GU46" s="817"/>
      <c r="GV46" s="817"/>
      <c r="GW46" s="817"/>
      <c r="GX46" s="817"/>
      <c r="GY46" s="817"/>
      <c r="GZ46" s="817"/>
      <c r="HA46" s="817"/>
      <c r="HB46" s="817"/>
      <c r="HC46" s="817"/>
      <c r="HD46" s="817"/>
      <c r="HE46" s="817"/>
      <c r="HF46" s="817"/>
      <c r="HG46" s="817"/>
      <c r="HH46" s="817"/>
      <c r="HI46" s="817"/>
      <c r="HJ46" s="817"/>
      <c r="HK46" s="817"/>
      <c r="HL46" s="817"/>
      <c r="HM46" s="817"/>
      <c r="HN46" s="817"/>
      <c r="HO46" s="817"/>
      <c r="HP46" s="817"/>
      <c r="HQ46" s="817"/>
      <c r="HR46" s="817"/>
      <c r="HS46" s="817"/>
      <c r="HT46" s="817"/>
      <c r="HU46" s="817"/>
      <c r="HV46" s="817"/>
      <c r="HW46" s="817"/>
      <c r="HX46" s="817"/>
      <c r="HY46" s="817"/>
      <c r="HZ46" s="817"/>
      <c r="IA46" s="817"/>
      <c r="IB46" s="817"/>
      <c r="IC46" s="817"/>
      <c r="ID46" s="817"/>
      <c r="IE46" s="817"/>
      <c r="IF46" s="817"/>
      <c r="IG46" s="817"/>
      <c r="IH46" s="817"/>
      <c r="II46" s="817"/>
      <c r="IJ46" s="817"/>
      <c r="IK46" s="817"/>
      <c r="IL46" s="817"/>
      <c r="IM46" s="817"/>
      <c r="IN46" s="817"/>
      <c r="IO46" s="817"/>
      <c r="IP46" s="817"/>
      <c r="IQ46" s="817"/>
      <c r="IR46" s="817"/>
      <c r="IS46" s="817"/>
    </row>
    <row r="47" spans="1:253" s="84" customFormat="1" x14ac:dyDescent="0.2">
      <c r="A47" s="817" t="s">
        <v>92</v>
      </c>
      <c r="B47" s="817" t="s">
        <v>48</v>
      </c>
      <c r="C47" s="817" t="s">
        <v>580</v>
      </c>
      <c r="D47" s="817" t="s">
        <v>612</v>
      </c>
      <c r="E47" s="817">
        <v>14267</v>
      </c>
      <c r="F47" s="817">
        <v>1977</v>
      </c>
      <c r="G47" s="817">
        <v>2019</v>
      </c>
      <c r="H47" s="817">
        <v>2578200</v>
      </c>
      <c r="I47" s="817">
        <v>1110100</v>
      </c>
      <c r="J47" s="817">
        <v>460</v>
      </c>
      <c r="K47" s="817" t="s">
        <v>503</v>
      </c>
      <c r="L47" s="817" t="s">
        <v>465</v>
      </c>
      <c r="M47" s="817">
        <v>2578190</v>
      </c>
      <c r="N47" s="817">
        <v>1110035</v>
      </c>
      <c r="O47" s="817">
        <v>460</v>
      </c>
      <c r="P47" s="817">
        <v>2820</v>
      </c>
      <c r="Q47" s="817">
        <v>2474</v>
      </c>
      <c r="R47" s="817"/>
      <c r="S47" s="817"/>
      <c r="T47" s="817">
        <v>10</v>
      </c>
      <c r="U47" s="817">
        <v>85</v>
      </c>
      <c r="V47" s="817">
        <v>0.8</v>
      </c>
      <c r="W47" s="817">
        <v>90</v>
      </c>
      <c r="X47" s="817">
        <v>2</v>
      </c>
      <c r="Y47" s="817">
        <v>90</v>
      </c>
      <c r="Z47" s="817">
        <v>0.3</v>
      </c>
      <c r="AA47" s="817">
        <v>15</v>
      </c>
      <c r="AB47" s="817"/>
      <c r="AC47" s="817">
        <v>5043</v>
      </c>
      <c r="AD47" s="817">
        <v>1450</v>
      </c>
      <c r="AE47" s="817"/>
      <c r="AF47" s="817" t="s">
        <v>237</v>
      </c>
      <c r="AG47" s="817">
        <v>0</v>
      </c>
      <c r="AH47" s="817">
        <v>0</v>
      </c>
      <c r="AI47" s="817">
        <v>12</v>
      </c>
      <c r="AJ47" s="817">
        <v>0</v>
      </c>
      <c r="AK47" s="817">
        <v>0</v>
      </c>
      <c r="AL47" s="817">
        <v>12</v>
      </c>
      <c r="AM47" s="817">
        <v>52</v>
      </c>
      <c r="AN47" s="817">
        <v>52</v>
      </c>
      <c r="AO47" s="817">
        <v>24</v>
      </c>
      <c r="AP47" s="817">
        <v>0</v>
      </c>
      <c r="AQ47" s="817">
        <v>0</v>
      </c>
      <c r="AR47" s="817">
        <v>12</v>
      </c>
      <c r="AS47" s="817">
        <v>104</v>
      </c>
      <c r="AT47" s="817">
        <v>104</v>
      </c>
      <c r="AU47" s="817">
        <v>0</v>
      </c>
      <c r="AV47" s="817">
        <v>52</v>
      </c>
      <c r="AW47" s="817">
        <v>52</v>
      </c>
      <c r="AX47" s="817">
        <f t="shared" si="0"/>
        <v>1</v>
      </c>
      <c r="AY47" s="817">
        <v>1</v>
      </c>
      <c r="AZ47" s="817" t="s">
        <v>658</v>
      </c>
      <c r="BA47" s="817">
        <v>1</v>
      </c>
      <c r="BB47" s="817">
        <v>0</v>
      </c>
      <c r="BC47" s="817"/>
      <c r="BD47" s="817">
        <v>2</v>
      </c>
      <c r="BE47" s="817">
        <v>1</v>
      </c>
      <c r="BF47" s="817">
        <v>2</v>
      </c>
      <c r="BG47" s="817">
        <v>2</v>
      </c>
      <c r="BH47" s="817">
        <v>2</v>
      </c>
      <c r="BI47" s="817">
        <v>1</v>
      </c>
      <c r="BJ47" s="817">
        <v>1</v>
      </c>
      <c r="BK47" s="817">
        <v>4</v>
      </c>
      <c r="BL47" s="817">
        <v>1</v>
      </c>
      <c r="BM47" s="817">
        <v>1</v>
      </c>
      <c r="BN47" s="817">
        <v>1</v>
      </c>
      <c r="BO47" s="817">
        <v>1</v>
      </c>
      <c r="BP47" s="817">
        <v>1</v>
      </c>
      <c r="BQ47" s="817">
        <v>1</v>
      </c>
      <c r="BR47" s="817">
        <v>2</v>
      </c>
      <c r="BS47" s="817">
        <v>1</v>
      </c>
      <c r="BT47" s="817">
        <v>1</v>
      </c>
      <c r="BU47" s="817">
        <v>1</v>
      </c>
      <c r="BV47" s="817">
        <v>1</v>
      </c>
      <c r="BW47" s="817">
        <v>1</v>
      </c>
      <c r="BX47" s="817">
        <v>1</v>
      </c>
      <c r="BY47" s="817">
        <v>1</v>
      </c>
      <c r="BZ47" s="817">
        <v>1</v>
      </c>
      <c r="CA47" s="817">
        <v>1</v>
      </c>
      <c r="CB47" s="817">
        <v>1</v>
      </c>
      <c r="CC47" s="817">
        <v>1</v>
      </c>
      <c r="CD47" s="817">
        <v>1</v>
      </c>
      <c r="CE47" s="817">
        <v>1</v>
      </c>
      <c r="CF47" s="817" t="s">
        <v>783</v>
      </c>
      <c r="CG47" s="817" t="s">
        <v>784</v>
      </c>
      <c r="CH47" s="817">
        <v>1</v>
      </c>
      <c r="CI47" s="817">
        <v>5</v>
      </c>
      <c r="CJ47" s="817">
        <v>5</v>
      </c>
      <c r="CK47" s="817">
        <v>4</v>
      </c>
      <c r="CL47" s="817">
        <v>1</v>
      </c>
      <c r="CM47" s="817">
        <v>1</v>
      </c>
      <c r="CN47" s="817">
        <v>1</v>
      </c>
      <c r="CO47" s="817">
        <v>1</v>
      </c>
      <c r="CP47" s="817">
        <v>45</v>
      </c>
      <c r="CQ47" s="817">
        <v>85</v>
      </c>
      <c r="CR47" s="817">
        <v>52</v>
      </c>
      <c r="CS47" s="817">
        <v>52</v>
      </c>
      <c r="CT47" s="817">
        <v>1</v>
      </c>
      <c r="CU47" s="160"/>
      <c r="CV47" s="160"/>
      <c r="CW47" s="160"/>
      <c r="CX47" s="160"/>
      <c r="CY47" s="160"/>
      <c r="CZ47" s="160"/>
      <c r="DA47" s="160"/>
      <c r="DB47" s="160"/>
      <c r="DC47" s="160"/>
      <c r="DD47" s="160"/>
      <c r="DE47" s="160"/>
      <c r="DF47" s="160"/>
      <c r="DG47" s="160"/>
      <c r="DH47" s="160"/>
      <c r="DI47" s="160"/>
      <c r="DJ47" s="160"/>
      <c r="DK47" s="167"/>
      <c r="DL47" s="817"/>
      <c r="DM47" s="873" t="s">
        <v>92</v>
      </c>
      <c r="DN47" s="871" t="s">
        <v>732</v>
      </c>
      <c r="DO47" s="817"/>
      <c r="DP47" s="817"/>
      <c r="DQ47" s="817"/>
      <c r="DR47" s="817"/>
      <c r="DS47" s="817"/>
      <c r="DT47" s="817"/>
      <c r="DU47" s="817"/>
      <c r="DV47" s="817"/>
      <c r="DW47" s="817"/>
      <c r="DX47" s="817"/>
      <c r="DY47" s="817"/>
      <c r="DZ47" s="817"/>
      <c r="EA47" s="817"/>
      <c r="EB47" s="817"/>
      <c r="EC47" s="817"/>
      <c r="ED47" s="817"/>
      <c r="EE47" s="817"/>
      <c r="EF47" s="817"/>
      <c r="EG47" s="817"/>
      <c r="EH47" s="817"/>
      <c r="EI47" s="817"/>
      <c r="EJ47" s="817"/>
      <c r="EK47" s="817"/>
      <c r="EL47" s="817"/>
      <c r="EM47" s="817"/>
      <c r="EN47" s="817"/>
      <c r="EO47" s="817"/>
      <c r="EP47" s="817"/>
      <c r="EQ47" s="817"/>
      <c r="ER47" s="817"/>
      <c r="ES47" s="817"/>
      <c r="ET47" s="817"/>
      <c r="EU47" s="817"/>
      <c r="EV47" s="817"/>
      <c r="EW47" s="817"/>
      <c r="EX47" s="817"/>
      <c r="EY47" s="817"/>
      <c r="EZ47" s="817"/>
      <c r="FA47" s="817"/>
      <c r="FB47" s="817"/>
      <c r="FC47" s="817"/>
      <c r="FD47" s="817"/>
      <c r="FE47" s="817"/>
      <c r="FF47" s="817"/>
      <c r="FG47" s="817"/>
      <c r="FH47" s="817"/>
      <c r="FI47" s="817"/>
      <c r="FJ47" s="817"/>
      <c r="FK47" s="817"/>
      <c r="FL47" s="817"/>
      <c r="FM47" s="817"/>
      <c r="FN47" s="817"/>
      <c r="FO47" s="817"/>
      <c r="FP47" s="817"/>
      <c r="FQ47" s="817"/>
      <c r="FR47" s="817"/>
      <c r="FS47" s="817"/>
      <c r="FT47" s="817"/>
      <c r="FU47" s="817"/>
      <c r="FV47" s="817"/>
      <c r="FW47" s="817"/>
      <c r="FX47" s="817"/>
      <c r="FY47" s="817"/>
      <c r="FZ47" s="817"/>
      <c r="GA47" s="817"/>
      <c r="GB47" s="817"/>
      <c r="GC47" s="817"/>
      <c r="GD47" s="817"/>
      <c r="GE47" s="817"/>
      <c r="GF47" s="817"/>
      <c r="GG47" s="817"/>
      <c r="GH47" s="817"/>
      <c r="GI47" s="817"/>
      <c r="GJ47" s="817"/>
      <c r="GK47" s="817"/>
      <c r="GL47" s="817"/>
      <c r="GM47" s="817"/>
      <c r="GN47" s="817"/>
      <c r="GO47" s="817"/>
      <c r="GP47" s="817"/>
      <c r="GQ47" s="817"/>
      <c r="GR47" s="817"/>
      <c r="GS47" s="817"/>
      <c r="GT47" s="817"/>
      <c r="GU47" s="817"/>
      <c r="GV47" s="817"/>
      <c r="GW47" s="817"/>
      <c r="GX47" s="817"/>
      <c r="GY47" s="817"/>
      <c r="GZ47" s="817"/>
      <c r="HA47" s="817"/>
      <c r="HB47" s="817"/>
      <c r="HC47" s="817"/>
      <c r="HD47" s="817"/>
      <c r="HE47" s="817"/>
      <c r="HF47" s="817"/>
      <c r="HG47" s="817"/>
      <c r="HH47" s="817"/>
      <c r="HI47" s="817"/>
      <c r="HJ47" s="817"/>
      <c r="HK47" s="817"/>
      <c r="HL47" s="817"/>
      <c r="HM47" s="817"/>
      <c r="HN47" s="817"/>
      <c r="HO47" s="817"/>
      <c r="HP47" s="817"/>
      <c r="HQ47" s="817"/>
      <c r="HR47" s="817"/>
      <c r="HS47" s="817"/>
      <c r="HT47" s="817"/>
      <c r="HU47" s="817"/>
      <c r="HV47" s="817"/>
      <c r="HW47" s="817"/>
      <c r="HX47" s="817"/>
      <c r="HY47" s="817"/>
      <c r="HZ47" s="817"/>
      <c r="IA47" s="817"/>
      <c r="IB47" s="817"/>
      <c r="IC47" s="817"/>
      <c r="ID47" s="817"/>
      <c r="IE47" s="817"/>
      <c r="IF47" s="817"/>
      <c r="IG47" s="817"/>
      <c r="IH47" s="817"/>
      <c r="II47" s="817"/>
      <c r="IJ47" s="817"/>
      <c r="IK47" s="817"/>
      <c r="IL47" s="817"/>
      <c r="IM47" s="817"/>
      <c r="IN47" s="817"/>
      <c r="IO47" s="817"/>
      <c r="IP47" s="817"/>
      <c r="IQ47" s="817"/>
      <c r="IR47" s="817"/>
      <c r="IS47" s="817"/>
    </row>
    <row r="48" spans="1:253" s="84" customFormat="1" x14ac:dyDescent="0.2">
      <c r="A48" s="817" t="s">
        <v>77</v>
      </c>
      <c r="B48" s="817" t="s">
        <v>49</v>
      </c>
      <c r="C48" s="817" t="s">
        <v>613</v>
      </c>
      <c r="D48" s="817" t="s">
        <v>231</v>
      </c>
      <c r="E48" s="817">
        <v>27500</v>
      </c>
      <c r="F48" s="817">
        <v>1976</v>
      </c>
      <c r="G48" s="817">
        <v>0</v>
      </c>
      <c r="H48" s="817">
        <v>2601110</v>
      </c>
      <c r="I48" s="817">
        <v>1122730</v>
      </c>
      <c r="J48" s="817">
        <v>500</v>
      </c>
      <c r="K48" s="817" t="s">
        <v>465</v>
      </c>
      <c r="L48" s="817" t="s">
        <v>465</v>
      </c>
      <c r="M48" s="817">
        <v>2600720</v>
      </c>
      <c r="N48" s="817">
        <v>1123000</v>
      </c>
      <c r="O48" s="817">
        <v>500</v>
      </c>
      <c r="P48" s="817">
        <v>9800</v>
      </c>
      <c r="Q48" s="817">
        <v>1000</v>
      </c>
      <c r="R48" s="817"/>
      <c r="S48" s="817"/>
      <c r="T48" s="817">
        <v>10</v>
      </c>
      <c r="U48" s="817">
        <v>85</v>
      </c>
      <c r="V48" s="817">
        <v>0.8</v>
      </c>
      <c r="W48" s="817">
        <v>90</v>
      </c>
      <c r="X48" s="817"/>
      <c r="Y48" s="817"/>
      <c r="Z48" s="817">
        <v>0.3</v>
      </c>
      <c r="AA48" s="817">
        <v>15</v>
      </c>
      <c r="AB48" s="817"/>
      <c r="AC48" s="817">
        <v>12054</v>
      </c>
      <c r="AD48" s="817">
        <v>21997</v>
      </c>
      <c r="AE48" s="817"/>
      <c r="AF48" s="817" t="s">
        <v>237</v>
      </c>
      <c r="AG48" s="817">
        <v>0</v>
      </c>
      <c r="AH48" s="817">
        <v>0</v>
      </c>
      <c r="AI48" s="817">
        <v>12</v>
      </c>
      <c r="AJ48" s="817">
        <v>0</v>
      </c>
      <c r="AK48" s="817">
        <v>0</v>
      </c>
      <c r="AL48" s="817">
        <v>12</v>
      </c>
      <c r="AM48" s="817">
        <v>52</v>
      </c>
      <c r="AN48" s="817">
        <v>52</v>
      </c>
      <c r="AO48" s="817">
        <v>24</v>
      </c>
      <c r="AP48" s="817">
        <v>0</v>
      </c>
      <c r="AQ48" s="817">
        <v>0</v>
      </c>
      <c r="AR48" s="817">
        <v>12</v>
      </c>
      <c r="AS48" s="817">
        <v>104</v>
      </c>
      <c r="AT48" s="817">
        <v>104</v>
      </c>
      <c r="AU48" s="817">
        <v>0</v>
      </c>
      <c r="AV48" s="817">
        <v>52</v>
      </c>
      <c r="AW48" s="817">
        <v>52</v>
      </c>
      <c r="AX48" s="817">
        <f t="shared" si="0"/>
        <v>1</v>
      </c>
      <c r="AY48" s="817">
        <v>1</v>
      </c>
      <c r="AZ48" s="817" t="s">
        <v>658</v>
      </c>
      <c r="BA48" s="817">
        <v>1</v>
      </c>
      <c r="BB48" s="817">
        <v>0</v>
      </c>
      <c r="BC48" s="817" t="s">
        <v>614</v>
      </c>
      <c r="BD48" s="817">
        <v>2</v>
      </c>
      <c r="BE48" s="817">
        <v>2</v>
      </c>
      <c r="BF48" s="817">
        <v>2</v>
      </c>
      <c r="BG48" s="817">
        <v>2</v>
      </c>
      <c r="BH48" s="817">
        <v>1</v>
      </c>
      <c r="BI48" s="817">
        <v>1</v>
      </c>
      <c r="BJ48" s="817">
        <v>1</v>
      </c>
      <c r="BK48" s="817">
        <v>1</v>
      </c>
      <c r="BL48" s="817">
        <v>2</v>
      </c>
      <c r="BM48" s="817">
        <v>1</v>
      </c>
      <c r="BN48" s="817">
        <v>1</v>
      </c>
      <c r="BO48" s="817">
        <v>1</v>
      </c>
      <c r="BP48" s="817">
        <v>1</v>
      </c>
      <c r="BQ48" s="817">
        <v>1</v>
      </c>
      <c r="BR48" s="817">
        <v>2</v>
      </c>
      <c r="BS48" s="817">
        <v>1</v>
      </c>
      <c r="BT48" s="817">
        <v>1</v>
      </c>
      <c r="BU48" s="817">
        <v>1</v>
      </c>
      <c r="BV48" s="817">
        <v>1</v>
      </c>
      <c r="BW48" s="817">
        <v>1</v>
      </c>
      <c r="BX48" s="817">
        <v>1</v>
      </c>
      <c r="BY48" s="817">
        <v>1</v>
      </c>
      <c r="BZ48" s="817">
        <v>1</v>
      </c>
      <c r="CA48" s="817">
        <v>1</v>
      </c>
      <c r="CB48" s="817"/>
      <c r="CC48" s="817">
        <v>1</v>
      </c>
      <c r="CD48" s="817">
        <v>1</v>
      </c>
      <c r="CE48" s="817">
        <v>1</v>
      </c>
      <c r="CF48" s="817" t="s">
        <v>590</v>
      </c>
      <c r="CG48" s="817" t="s">
        <v>591</v>
      </c>
      <c r="CH48" s="817"/>
      <c r="CI48" s="817">
        <v>1</v>
      </c>
      <c r="CJ48" s="817">
        <v>2</v>
      </c>
      <c r="CK48" s="817">
        <v>4</v>
      </c>
      <c r="CL48" s="817">
        <v>1</v>
      </c>
      <c r="CM48" s="817">
        <v>1</v>
      </c>
      <c r="CN48" s="817">
        <v>1</v>
      </c>
      <c r="CO48" s="817">
        <v>1</v>
      </c>
      <c r="CP48" s="817">
        <v>45</v>
      </c>
      <c r="CQ48" s="817">
        <v>85</v>
      </c>
      <c r="CR48" s="817">
        <v>52</v>
      </c>
      <c r="CS48" s="817">
        <v>52</v>
      </c>
      <c r="CT48" s="817">
        <v>1</v>
      </c>
      <c r="CU48" s="160"/>
      <c r="CV48" s="160"/>
      <c r="CW48" s="160"/>
      <c r="CX48" s="160"/>
      <c r="CY48" s="160"/>
      <c r="CZ48" s="160"/>
      <c r="DA48" s="160"/>
      <c r="DB48" s="160"/>
      <c r="DC48" s="160"/>
      <c r="DD48" s="160"/>
      <c r="DE48" s="160"/>
      <c r="DF48" s="160"/>
      <c r="DG48" s="160"/>
      <c r="DH48" s="160"/>
      <c r="DI48" s="160"/>
      <c r="DJ48" s="160"/>
      <c r="DK48" s="167"/>
      <c r="DL48" s="817"/>
      <c r="DM48" s="873" t="s">
        <v>77</v>
      </c>
      <c r="DN48" s="871" t="s">
        <v>733</v>
      </c>
      <c r="DO48" s="817"/>
      <c r="DP48" s="817"/>
      <c r="DQ48" s="817"/>
      <c r="DR48" s="817"/>
      <c r="DS48" s="817"/>
      <c r="DT48" s="817"/>
      <c r="DU48" s="817"/>
      <c r="DV48" s="817"/>
      <c r="DW48" s="817"/>
      <c r="DX48" s="817"/>
      <c r="DY48" s="817"/>
      <c r="DZ48" s="817"/>
      <c r="EA48" s="817"/>
      <c r="EB48" s="817"/>
      <c r="EC48" s="817"/>
      <c r="ED48" s="817"/>
      <c r="EE48" s="817"/>
      <c r="EF48" s="817"/>
      <c r="EG48" s="817"/>
      <c r="EH48" s="817"/>
      <c r="EI48" s="817"/>
      <c r="EJ48" s="817"/>
      <c r="EK48" s="817"/>
      <c r="EL48" s="817"/>
      <c r="EM48" s="817"/>
      <c r="EN48" s="817"/>
      <c r="EO48" s="817"/>
      <c r="EP48" s="817"/>
      <c r="EQ48" s="817"/>
      <c r="ER48" s="817"/>
      <c r="ES48" s="817"/>
      <c r="ET48" s="817"/>
      <c r="EU48" s="817"/>
      <c r="EV48" s="817"/>
      <c r="EW48" s="817"/>
      <c r="EX48" s="817"/>
      <c r="EY48" s="817"/>
      <c r="EZ48" s="817"/>
      <c r="FA48" s="817"/>
      <c r="FB48" s="817"/>
      <c r="FC48" s="817"/>
      <c r="FD48" s="817"/>
      <c r="FE48" s="817"/>
      <c r="FF48" s="817"/>
      <c r="FG48" s="817"/>
      <c r="FH48" s="817"/>
      <c r="FI48" s="817"/>
      <c r="FJ48" s="817"/>
      <c r="FK48" s="817"/>
      <c r="FL48" s="817"/>
      <c r="FM48" s="817"/>
      <c r="FN48" s="817"/>
      <c r="FO48" s="817"/>
      <c r="FP48" s="817"/>
      <c r="FQ48" s="817"/>
      <c r="FR48" s="817"/>
      <c r="FS48" s="817"/>
      <c r="FT48" s="817"/>
      <c r="FU48" s="817"/>
      <c r="FV48" s="817"/>
      <c r="FW48" s="817"/>
      <c r="FX48" s="817"/>
      <c r="FY48" s="817"/>
      <c r="FZ48" s="817"/>
      <c r="GA48" s="817"/>
      <c r="GB48" s="817"/>
      <c r="GC48" s="817"/>
      <c r="GD48" s="817"/>
      <c r="GE48" s="817"/>
      <c r="GF48" s="817"/>
      <c r="GG48" s="817"/>
      <c r="GH48" s="817"/>
      <c r="GI48" s="817"/>
      <c r="GJ48" s="817"/>
      <c r="GK48" s="817"/>
      <c r="GL48" s="817"/>
      <c r="GM48" s="817"/>
      <c r="GN48" s="817"/>
      <c r="GO48" s="817"/>
      <c r="GP48" s="817"/>
      <c r="GQ48" s="817"/>
      <c r="GR48" s="817"/>
      <c r="GS48" s="817"/>
      <c r="GT48" s="817"/>
      <c r="GU48" s="817"/>
      <c r="GV48" s="817"/>
      <c r="GW48" s="817"/>
      <c r="GX48" s="817"/>
      <c r="GY48" s="817"/>
      <c r="GZ48" s="817"/>
      <c r="HA48" s="817"/>
      <c r="HB48" s="817"/>
      <c r="HC48" s="817"/>
      <c r="HD48" s="817"/>
      <c r="HE48" s="817"/>
      <c r="HF48" s="817"/>
      <c r="HG48" s="817"/>
      <c r="HH48" s="817"/>
      <c r="HI48" s="817"/>
      <c r="HJ48" s="817"/>
      <c r="HK48" s="817"/>
      <c r="HL48" s="817"/>
      <c r="HM48" s="817"/>
      <c r="HN48" s="817"/>
      <c r="HO48" s="817"/>
      <c r="HP48" s="817"/>
      <c r="HQ48" s="817"/>
      <c r="HR48" s="817"/>
      <c r="HS48" s="817"/>
      <c r="HT48" s="817"/>
      <c r="HU48" s="817"/>
      <c r="HV48" s="817"/>
      <c r="HW48" s="817"/>
      <c r="HX48" s="817"/>
      <c r="HY48" s="817"/>
      <c r="HZ48" s="817"/>
      <c r="IA48" s="817"/>
      <c r="IB48" s="817"/>
      <c r="IC48" s="817"/>
      <c r="ID48" s="817"/>
      <c r="IE48" s="817"/>
      <c r="IF48" s="817"/>
      <c r="IG48" s="817"/>
      <c r="IH48" s="817"/>
      <c r="II48" s="817"/>
      <c r="IJ48" s="817"/>
      <c r="IK48" s="817"/>
      <c r="IL48" s="817"/>
      <c r="IM48" s="817"/>
      <c r="IN48" s="817"/>
      <c r="IO48" s="817"/>
      <c r="IP48" s="817"/>
      <c r="IQ48" s="817"/>
      <c r="IR48" s="817"/>
      <c r="IS48" s="817"/>
    </row>
    <row r="49" spans="1:253" s="92" customFormat="1" x14ac:dyDescent="0.2">
      <c r="A49" s="817" t="s">
        <v>259</v>
      </c>
      <c r="B49" s="817" t="s">
        <v>50</v>
      </c>
      <c r="C49" s="817" t="s">
        <v>298</v>
      </c>
      <c r="D49" s="817" t="s">
        <v>615</v>
      </c>
      <c r="E49" s="817">
        <v>97500</v>
      </c>
      <c r="F49" s="817">
        <v>1976</v>
      </c>
      <c r="G49" s="817">
        <v>1994</v>
      </c>
      <c r="H49" s="817">
        <v>2605260</v>
      </c>
      <c r="I49" s="817">
        <v>1125175</v>
      </c>
      <c r="J49" s="817">
        <v>516</v>
      </c>
      <c r="K49" s="817" t="s">
        <v>465</v>
      </c>
      <c r="L49" s="817" t="s">
        <v>465</v>
      </c>
      <c r="M49" s="817">
        <v>2604310</v>
      </c>
      <c r="N49" s="817">
        <v>1124825</v>
      </c>
      <c r="O49" s="817">
        <v>515</v>
      </c>
      <c r="P49" s="817">
        <v>30000</v>
      </c>
      <c r="Q49" s="817"/>
      <c r="R49" s="817"/>
      <c r="S49" s="817"/>
      <c r="T49" s="817">
        <v>10</v>
      </c>
      <c r="U49" s="817">
        <v>85</v>
      </c>
      <c r="V49" s="817">
        <v>0.3</v>
      </c>
      <c r="W49" s="817">
        <v>90</v>
      </c>
      <c r="X49" s="817"/>
      <c r="Y49" s="817"/>
      <c r="Z49" s="817">
        <v>0.3</v>
      </c>
      <c r="AA49" s="817">
        <v>15</v>
      </c>
      <c r="AB49" s="817"/>
      <c r="AC49" s="817">
        <v>28262</v>
      </c>
      <c r="AD49" s="817">
        <v>28903</v>
      </c>
      <c r="AE49" s="817"/>
      <c r="AF49" s="817" t="s">
        <v>237</v>
      </c>
      <c r="AG49" s="817">
        <v>0</v>
      </c>
      <c r="AH49" s="817">
        <v>0</v>
      </c>
      <c r="AI49" s="817">
        <v>12</v>
      </c>
      <c r="AJ49" s="817">
        <v>0</v>
      </c>
      <c r="AK49" s="817">
        <v>0</v>
      </c>
      <c r="AL49" s="817">
        <v>12</v>
      </c>
      <c r="AM49" s="817">
        <v>104</v>
      </c>
      <c r="AN49" s="817">
        <v>104</v>
      </c>
      <c r="AO49" s="817">
        <v>24</v>
      </c>
      <c r="AP49" s="817">
        <v>0</v>
      </c>
      <c r="AQ49" s="817">
        <v>0</v>
      </c>
      <c r="AR49" s="817">
        <v>12</v>
      </c>
      <c r="AS49" s="817">
        <v>104</v>
      </c>
      <c r="AT49" s="817">
        <v>104</v>
      </c>
      <c r="AU49" s="817">
        <v>0</v>
      </c>
      <c r="AV49" s="817">
        <v>52</v>
      </c>
      <c r="AW49" s="817">
        <v>52</v>
      </c>
      <c r="AX49" s="817">
        <f t="shared" si="0"/>
        <v>1</v>
      </c>
      <c r="AY49" s="817">
        <v>1</v>
      </c>
      <c r="AZ49" s="817" t="s">
        <v>658</v>
      </c>
      <c r="BA49" s="817">
        <v>1</v>
      </c>
      <c r="BB49" s="817">
        <v>0</v>
      </c>
      <c r="BC49" s="817" t="s">
        <v>785</v>
      </c>
      <c r="BD49" s="817">
        <v>2</v>
      </c>
      <c r="BE49" s="817">
        <v>2</v>
      </c>
      <c r="BF49" s="817">
        <v>2</v>
      </c>
      <c r="BG49" s="817">
        <v>2</v>
      </c>
      <c r="BH49" s="817">
        <v>2</v>
      </c>
      <c r="BI49" s="817">
        <v>1</v>
      </c>
      <c r="BJ49" s="817">
        <v>1</v>
      </c>
      <c r="BK49" s="817">
        <v>2</v>
      </c>
      <c r="BL49" s="817"/>
      <c r="BM49" s="817">
        <v>1</v>
      </c>
      <c r="BN49" s="817">
        <v>1</v>
      </c>
      <c r="BO49" s="817">
        <v>2</v>
      </c>
      <c r="BP49" s="817">
        <v>1</v>
      </c>
      <c r="BQ49" s="817">
        <v>1</v>
      </c>
      <c r="BR49" s="817">
        <v>1</v>
      </c>
      <c r="BS49" s="817">
        <v>2</v>
      </c>
      <c r="BT49" s="817">
        <v>1</v>
      </c>
      <c r="BU49" s="817">
        <v>1</v>
      </c>
      <c r="BV49" s="817">
        <v>1</v>
      </c>
      <c r="BW49" s="817">
        <v>1</v>
      </c>
      <c r="BX49" s="817">
        <v>1</v>
      </c>
      <c r="BY49" s="817">
        <v>1</v>
      </c>
      <c r="BZ49" s="817">
        <v>1</v>
      </c>
      <c r="CA49" s="817">
        <v>1</v>
      </c>
      <c r="CB49" s="817">
        <v>1</v>
      </c>
      <c r="CC49" s="817">
        <v>2</v>
      </c>
      <c r="CD49" s="817">
        <v>1</v>
      </c>
      <c r="CE49" s="817">
        <v>1</v>
      </c>
      <c r="CF49" s="817" t="s">
        <v>560</v>
      </c>
      <c r="CG49" s="817" t="s">
        <v>561</v>
      </c>
      <c r="CH49" s="817">
        <v>3</v>
      </c>
      <c r="CI49" s="817">
        <v>1</v>
      </c>
      <c r="CJ49" s="817">
        <v>2</v>
      </c>
      <c r="CK49" s="817">
        <v>4</v>
      </c>
      <c r="CL49" s="817">
        <v>1</v>
      </c>
      <c r="CM49" s="817">
        <v>1</v>
      </c>
      <c r="CN49" s="817">
        <v>1</v>
      </c>
      <c r="CO49" s="817">
        <v>1</v>
      </c>
      <c r="CP49" s="817">
        <v>45</v>
      </c>
      <c r="CQ49" s="817">
        <v>85</v>
      </c>
      <c r="CR49" s="817">
        <v>52</v>
      </c>
      <c r="CS49" s="817">
        <v>52</v>
      </c>
      <c r="CT49" s="817">
        <v>1</v>
      </c>
      <c r="CU49" s="160"/>
      <c r="CV49" s="160"/>
      <c r="CW49" s="160"/>
      <c r="CX49" s="160"/>
      <c r="CY49" s="160"/>
      <c r="CZ49" s="160"/>
      <c r="DA49" s="160"/>
      <c r="DB49" s="160"/>
      <c r="DC49" s="160"/>
      <c r="DD49" s="160"/>
      <c r="DE49" s="160"/>
      <c r="DF49" s="160"/>
      <c r="DG49" s="160"/>
      <c r="DH49" s="160"/>
      <c r="DI49" s="160"/>
      <c r="DJ49" s="160"/>
      <c r="DK49" s="167"/>
      <c r="DL49" s="817"/>
      <c r="DM49" s="873" t="s">
        <v>734</v>
      </c>
      <c r="DN49" s="871" t="s">
        <v>735</v>
      </c>
      <c r="DO49" s="817"/>
      <c r="DP49" s="817"/>
      <c r="DQ49" s="817"/>
      <c r="DR49" s="817"/>
      <c r="DS49" s="817"/>
      <c r="DT49" s="817"/>
      <c r="DU49" s="817"/>
      <c r="DV49" s="817"/>
      <c r="DW49" s="817"/>
      <c r="DX49" s="817"/>
      <c r="DY49" s="817"/>
      <c r="DZ49" s="817"/>
      <c r="EA49" s="817"/>
      <c r="EB49" s="817"/>
      <c r="EC49" s="817"/>
      <c r="ED49" s="817"/>
      <c r="EE49" s="817"/>
      <c r="EF49" s="817"/>
      <c r="EG49" s="817"/>
      <c r="EH49" s="817"/>
      <c r="EI49" s="817"/>
      <c r="EJ49" s="817"/>
      <c r="EK49" s="817"/>
      <c r="EL49" s="817"/>
      <c r="EM49" s="817"/>
      <c r="EN49" s="817"/>
      <c r="EO49" s="817"/>
      <c r="EP49" s="817"/>
      <c r="EQ49" s="817"/>
      <c r="ER49" s="817"/>
      <c r="ES49" s="817"/>
      <c r="ET49" s="817"/>
      <c r="EU49" s="817"/>
      <c r="EV49" s="817"/>
      <c r="EW49" s="817"/>
      <c r="EX49" s="817"/>
      <c r="EY49" s="817"/>
      <c r="EZ49" s="817"/>
      <c r="FA49" s="817"/>
      <c r="FB49" s="817"/>
      <c r="FC49" s="817"/>
      <c r="FD49" s="817"/>
      <c r="FE49" s="817"/>
      <c r="FF49" s="817"/>
      <c r="FG49" s="817"/>
      <c r="FH49" s="817"/>
      <c r="FI49" s="817"/>
      <c r="FJ49" s="817"/>
      <c r="FK49" s="817"/>
      <c r="FL49" s="817"/>
      <c r="FM49" s="817"/>
      <c r="FN49" s="817"/>
      <c r="FO49" s="817"/>
      <c r="FP49" s="817"/>
      <c r="FQ49" s="817"/>
      <c r="FR49" s="817"/>
      <c r="FS49" s="817"/>
      <c r="FT49" s="817"/>
      <c r="FU49" s="817"/>
      <c r="FV49" s="817"/>
      <c r="FW49" s="817"/>
      <c r="FX49" s="817"/>
      <c r="FY49" s="817"/>
      <c r="FZ49" s="817"/>
      <c r="GA49" s="817"/>
      <c r="GB49" s="817"/>
      <c r="GC49" s="817"/>
      <c r="GD49" s="817"/>
      <c r="GE49" s="817"/>
      <c r="GF49" s="817"/>
      <c r="GG49" s="817"/>
      <c r="GH49" s="817"/>
      <c r="GI49" s="817"/>
      <c r="GJ49" s="817"/>
      <c r="GK49" s="817"/>
      <c r="GL49" s="817"/>
      <c r="GM49" s="817"/>
      <c r="GN49" s="817"/>
      <c r="GO49" s="817"/>
      <c r="GP49" s="817"/>
      <c r="GQ49" s="817"/>
      <c r="GR49" s="817"/>
      <c r="GS49" s="817"/>
      <c r="GT49" s="817"/>
      <c r="GU49" s="817"/>
      <c r="GV49" s="817"/>
      <c r="GW49" s="817"/>
      <c r="GX49" s="817"/>
      <c r="GY49" s="817"/>
      <c r="GZ49" s="817"/>
      <c r="HA49" s="817"/>
      <c r="HB49" s="817"/>
      <c r="HC49" s="817"/>
      <c r="HD49" s="817"/>
      <c r="HE49" s="817"/>
      <c r="HF49" s="817"/>
      <c r="HG49" s="817"/>
      <c r="HH49" s="817"/>
      <c r="HI49" s="817"/>
      <c r="HJ49" s="817"/>
      <c r="HK49" s="817"/>
      <c r="HL49" s="817"/>
      <c r="HM49" s="817"/>
      <c r="HN49" s="817"/>
      <c r="HO49" s="817"/>
      <c r="HP49" s="817"/>
      <c r="HQ49" s="817"/>
      <c r="HR49" s="817"/>
      <c r="HS49" s="817"/>
      <c r="HT49" s="817"/>
      <c r="HU49" s="817"/>
      <c r="HV49" s="817"/>
      <c r="HW49" s="817"/>
      <c r="HX49" s="817"/>
      <c r="HY49" s="817"/>
      <c r="HZ49" s="817"/>
      <c r="IA49" s="817"/>
      <c r="IB49" s="817"/>
      <c r="IC49" s="817"/>
      <c r="ID49" s="817"/>
      <c r="IE49" s="817"/>
      <c r="IF49" s="817"/>
      <c r="IG49" s="817"/>
      <c r="IH49" s="817"/>
      <c r="II49" s="817"/>
      <c r="IJ49" s="817"/>
      <c r="IK49" s="817"/>
      <c r="IL49" s="817"/>
      <c r="IM49" s="817"/>
      <c r="IN49" s="817"/>
      <c r="IO49" s="817"/>
      <c r="IP49" s="817"/>
      <c r="IQ49" s="817"/>
      <c r="IR49" s="817"/>
      <c r="IS49" s="817"/>
    </row>
    <row r="50" spans="1:253" s="84" customFormat="1" x14ac:dyDescent="0.2">
      <c r="A50" s="817" t="s">
        <v>114</v>
      </c>
      <c r="B50" s="817" t="s">
        <v>51</v>
      </c>
      <c r="C50" s="817" t="s">
        <v>253</v>
      </c>
      <c r="D50" s="817" t="s">
        <v>254</v>
      </c>
      <c r="E50" s="817">
        <v>450</v>
      </c>
      <c r="F50" s="817">
        <v>2008</v>
      </c>
      <c r="G50" s="817">
        <v>0</v>
      </c>
      <c r="H50" s="817">
        <v>2647820</v>
      </c>
      <c r="I50" s="817">
        <v>1116235</v>
      </c>
      <c r="J50" s="817">
        <v>1440</v>
      </c>
      <c r="K50" s="817" t="s">
        <v>616</v>
      </c>
      <c r="L50" s="817" t="s">
        <v>617</v>
      </c>
      <c r="M50" s="817">
        <v>2647850</v>
      </c>
      <c r="N50" s="817">
        <v>1116260</v>
      </c>
      <c r="O50" s="817">
        <v>1410</v>
      </c>
      <c r="P50" s="817">
        <v>160</v>
      </c>
      <c r="Q50" s="817"/>
      <c r="R50" s="817"/>
      <c r="S50" s="817"/>
      <c r="T50" s="817"/>
      <c r="U50" s="817"/>
      <c r="V50" s="817">
        <v>0.8</v>
      </c>
      <c r="W50" s="817">
        <v>80</v>
      </c>
      <c r="X50" s="817"/>
      <c r="Y50" s="817"/>
      <c r="Z50" s="817">
        <v>0.3</v>
      </c>
      <c r="AA50" s="817">
        <v>20</v>
      </c>
      <c r="AB50" s="817"/>
      <c r="AC50" s="817">
        <v>322</v>
      </c>
      <c r="AD50" s="817">
        <v>220</v>
      </c>
      <c r="AE50" s="817"/>
      <c r="AF50" s="817" t="s">
        <v>479</v>
      </c>
      <c r="AG50" s="817">
        <v>0</v>
      </c>
      <c r="AH50" s="817">
        <v>0</v>
      </c>
      <c r="AI50" s="817">
        <v>0</v>
      </c>
      <c r="AJ50" s="817">
        <v>0</v>
      </c>
      <c r="AK50" s="817">
        <v>0</v>
      </c>
      <c r="AL50" s="817">
        <v>0</v>
      </c>
      <c r="AM50" s="817">
        <v>0</v>
      </c>
      <c r="AN50" s="817">
        <v>12</v>
      </c>
      <c r="AO50" s="817">
        <v>12</v>
      </c>
      <c r="AP50" s="817">
        <v>0</v>
      </c>
      <c r="AQ50" s="817">
        <v>0</v>
      </c>
      <c r="AR50" s="817">
        <v>12</v>
      </c>
      <c r="AS50" s="817">
        <v>12</v>
      </c>
      <c r="AT50" s="817">
        <v>12</v>
      </c>
      <c r="AU50" s="817">
        <v>0</v>
      </c>
      <c r="AV50" s="817">
        <v>12</v>
      </c>
      <c r="AW50" s="817">
        <v>12</v>
      </c>
      <c r="AX50" s="817">
        <f t="shared" si="0"/>
        <v>0</v>
      </c>
      <c r="AY50" s="817">
        <v>2</v>
      </c>
      <c r="AZ50" s="817" t="s">
        <v>770</v>
      </c>
      <c r="BA50" s="817">
        <v>1</v>
      </c>
      <c r="BB50" s="817">
        <v>0</v>
      </c>
      <c r="BC50" s="817" t="s">
        <v>773</v>
      </c>
      <c r="BD50" s="817">
        <v>1</v>
      </c>
      <c r="BE50" s="817">
        <v>2</v>
      </c>
      <c r="BF50" s="817">
        <v>1</v>
      </c>
      <c r="BG50" s="817">
        <v>1</v>
      </c>
      <c r="BH50" s="817">
        <v>1</v>
      </c>
      <c r="BI50" s="817">
        <v>1</v>
      </c>
      <c r="BJ50" s="817">
        <v>2</v>
      </c>
      <c r="BK50" s="817">
        <v>1</v>
      </c>
      <c r="BL50" s="817"/>
      <c r="BM50" s="817">
        <v>1</v>
      </c>
      <c r="BN50" s="817">
        <v>1</v>
      </c>
      <c r="BO50" s="817">
        <v>1</v>
      </c>
      <c r="BP50" s="817">
        <v>2</v>
      </c>
      <c r="BQ50" s="817">
        <v>1</v>
      </c>
      <c r="BR50" s="817">
        <v>1</v>
      </c>
      <c r="BS50" s="817">
        <v>2</v>
      </c>
      <c r="BT50" s="817">
        <v>1</v>
      </c>
      <c r="BU50" s="817">
        <v>1</v>
      </c>
      <c r="BV50" s="817">
        <v>1</v>
      </c>
      <c r="BW50" s="817">
        <v>1</v>
      </c>
      <c r="BX50" s="817">
        <v>1</v>
      </c>
      <c r="BY50" s="817">
        <v>1</v>
      </c>
      <c r="BZ50" s="817">
        <v>1</v>
      </c>
      <c r="CA50" s="817">
        <v>1</v>
      </c>
      <c r="CB50" s="817">
        <v>1</v>
      </c>
      <c r="CC50" s="817">
        <v>1</v>
      </c>
      <c r="CD50" s="817">
        <v>1</v>
      </c>
      <c r="CE50" s="817">
        <v>1</v>
      </c>
      <c r="CF50" s="817" t="s">
        <v>494</v>
      </c>
      <c r="CG50" s="817" t="s">
        <v>495</v>
      </c>
      <c r="CH50" s="817">
        <v>1</v>
      </c>
      <c r="CI50" s="817">
        <v>5</v>
      </c>
      <c r="CJ50" s="817">
        <v>5</v>
      </c>
      <c r="CK50" s="817">
        <v>1</v>
      </c>
      <c r="CL50" s="817">
        <v>1</v>
      </c>
      <c r="CM50" s="817">
        <v>1</v>
      </c>
      <c r="CN50" s="817">
        <v>1</v>
      </c>
      <c r="CO50" s="817">
        <v>1</v>
      </c>
      <c r="CP50" s="817">
        <v>60</v>
      </c>
      <c r="CQ50" s="817">
        <v>80</v>
      </c>
      <c r="CR50" s="817">
        <v>12</v>
      </c>
      <c r="CS50" s="817">
        <v>12</v>
      </c>
      <c r="CT50" s="817">
        <v>1</v>
      </c>
      <c r="CU50" s="160"/>
      <c r="CV50" s="160"/>
      <c r="CW50" s="160"/>
      <c r="CX50" s="160"/>
      <c r="CY50" s="160"/>
      <c r="CZ50" s="160"/>
      <c r="DA50" s="160"/>
      <c r="DB50" s="160"/>
      <c r="DC50" s="160"/>
      <c r="DD50" s="160"/>
      <c r="DE50" s="160"/>
      <c r="DF50" s="160"/>
      <c r="DG50" s="160"/>
      <c r="DH50" s="160"/>
      <c r="DI50" s="160"/>
      <c r="DJ50" s="160"/>
      <c r="DK50" s="167"/>
      <c r="DL50" s="817"/>
      <c r="DM50" s="873" t="s">
        <v>114</v>
      </c>
      <c r="DN50" s="871" t="s">
        <v>736</v>
      </c>
      <c r="DO50" s="817"/>
      <c r="DP50" s="817"/>
      <c r="DQ50" s="817"/>
      <c r="DR50" s="817"/>
      <c r="DS50" s="817"/>
      <c r="DT50" s="817"/>
      <c r="DU50" s="817"/>
      <c r="DV50" s="817"/>
      <c r="DW50" s="817"/>
      <c r="DX50" s="817"/>
      <c r="DY50" s="817"/>
      <c r="DZ50" s="817"/>
      <c r="EA50" s="817"/>
      <c r="EB50" s="817"/>
      <c r="EC50" s="817"/>
      <c r="ED50" s="817"/>
      <c r="EE50" s="817"/>
      <c r="EF50" s="817"/>
      <c r="EG50" s="817"/>
      <c r="EH50" s="817"/>
      <c r="EI50" s="817"/>
      <c r="EJ50" s="817"/>
      <c r="EK50" s="817"/>
      <c r="EL50" s="817"/>
      <c r="EM50" s="817"/>
      <c r="EN50" s="817"/>
      <c r="EO50" s="817"/>
      <c r="EP50" s="817"/>
      <c r="EQ50" s="817"/>
      <c r="ER50" s="817"/>
      <c r="ES50" s="817"/>
      <c r="ET50" s="817"/>
      <c r="EU50" s="817"/>
      <c r="EV50" s="817"/>
      <c r="EW50" s="817"/>
      <c r="EX50" s="817"/>
      <c r="EY50" s="817"/>
      <c r="EZ50" s="817"/>
      <c r="FA50" s="817"/>
      <c r="FB50" s="817"/>
      <c r="FC50" s="817"/>
      <c r="FD50" s="817"/>
      <c r="FE50" s="817"/>
      <c r="FF50" s="817"/>
      <c r="FG50" s="817"/>
      <c r="FH50" s="817"/>
      <c r="FI50" s="817"/>
      <c r="FJ50" s="817"/>
      <c r="FK50" s="817"/>
      <c r="FL50" s="817"/>
      <c r="FM50" s="817"/>
      <c r="FN50" s="817"/>
      <c r="FO50" s="817"/>
      <c r="FP50" s="817"/>
      <c r="FQ50" s="817"/>
      <c r="FR50" s="817"/>
      <c r="FS50" s="817"/>
      <c r="FT50" s="817"/>
      <c r="FU50" s="817"/>
      <c r="FV50" s="817"/>
      <c r="FW50" s="817"/>
      <c r="FX50" s="817"/>
      <c r="FY50" s="817"/>
      <c r="FZ50" s="817"/>
      <c r="GA50" s="817"/>
      <c r="GB50" s="817"/>
      <c r="GC50" s="817"/>
      <c r="GD50" s="817"/>
      <c r="GE50" s="817"/>
      <c r="GF50" s="817"/>
      <c r="GG50" s="817"/>
      <c r="GH50" s="817"/>
      <c r="GI50" s="817"/>
      <c r="GJ50" s="817"/>
      <c r="GK50" s="817"/>
      <c r="GL50" s="817"/>
      <c r="GM50" s="817"/>
      <c r="GN50" s="817"/>
      <c r="GO50" s="817"/>
      <c r="GP50" s="817"/>
      <c r="GQ50" s="817"/>
      <c r="GR50" s="817"/>
      <c r="GS50" s="817"/>
      <c r="GT50" s="817"/>
      <c r="GU50" s="817"/>
      <c r="GV50" s="817"/>
      <c r="GW50" s="817"/>
      <c r="GX50" s="817"/>
      <c r="GY50" s="817"/>
      <c r="GZ50" s="817"/>
      <c r="HA50" s="817"/>
      <c r="HB50" s="817"/>
      <c r="HC50" s="817"/>
      <c r="HD50" s="817"/>
      <c r="HE50" s="817"/>
      <c r="HF50" s="817"/>
      <c r="HG50" s="817"/>
      <c r="HH50" s="817"/>
      <c r="HI50" s="817"/>
      <c r="HJ50" s="817"/>
      <c r="HK50" s="817"/>
      <c r="HL50" s="817"/>
      <c r="HM50" s="817"/>
      <c r="HN50" s="817"/>
      <c r="HO50" s="817"/>
      <c r="HP50" s="817"/>
      <c r="HQ50" s="817"/>
      <c r="HR50" s="817"/>
      <c r="HS50" s="817"/>
      <c r="HT50" s="817"/>
      <c r="HU50" s="817"/>
      <c r="HV50" s="817"/>
      <c r="HW50" s="817"/>
      <c r="HX50" s="817"/>
      <c r="HY50" s="817"/>
      <c r="HZ50" s="817"/>
      <c r="IA50" s="817"/>
      <c r="IB50" s="817"/>
      <c r="IC50" s="817"/>
      <c r="ID50" s="817"/>
      <c r="IE50" s="817"/>
      <c r="IF50" s="817"/>
      <c r="IG50" s="817"/>
      <c r="IH50" s="817"/>
      <c r="II50" s="817"/>
      <c r="IJ50" s="817"/>
      <c r="IK50" s="817"/>
      <c r="IL50" s="817"/>
      <c r="IM50" s="817"/>
      <c r="IN50" s="817"/>
      <c r="IO50" s="817"/>
      <c r="IP50" s="817"/>
      <c r="IQ50" s="817"/>
      <c r="IR50" s="817"/>
      <c r="IS50" s="817"/>
    </row>
    <row r="51" spans="1:253" s="84" customFormat="1" x14ac:dyDescent="0.2">
      <c r="A51" s="817" t="s">
        <v>281</v>
      </c>
      <c r="B51" s="817" t="s">
        <v>282</v>
      </c>
      <c r="C51" s="817" t="s">
        <v>253</v>
      </c>
      <c r="D51" s="817" t="s">
        <v>254</v>
      </c>
      <c r="E51" s="817">
        <v>500</v>
      </c>
      <c r="F51" s="817">
        <v>0</v>
      </c>
      <c r="G51" s="817">
        <v>0</v>
      </c>
      <c r="H51" s="817">
        <v>2645700</v>
      </c>
      <c r="I51" s="817">
        <v>1122608</v>
      </c>
      <c r="J51" s="817">
        <v>1945</v>
      </c>
      <c r="K51" s="817" t="s">
        <v>618</v>
      </c>
      <c r="L51" s="817" t="s">
        <v>465</v>
      </c>
      <c r="M51" s="817">
        <v>2645700</v>
      </c>
      <c r="N51" s="817">
        <v>1122608</v>
      </c>
      <c r="O51" s="817">
        <v>1945</v>
      </c>
      <c r="P51" s="817">
        <v>0</v>
      </c>
      <c r="Q51" s="817"/>
      <c r="R51" s="817"/>
      <c r="S51" s="817"/>
      <c r="T51" s="817"/>
      <c r="U51" s="817"/>
      <c r="V51" s="817">
        <v>0.8</v>
      </c>
      <c r="W51" s="817">
        <v>80</v>
      </c>
      <c r="X51" s="817"/>
      <c r="Y51" s="817"/>
      <c r="Z51" s="817">
        <v>0.3</v>
      </c>
      <c r="AA51" s="817">
        <v>20</v>
      </c>
      <c r="AB51" s="817"/>
      <c r="AC51" s="817">
        <v>0</v>
      </c>
      <c r="AD51" s="817">
        <v>0</v>
      </c>
      <c r="AE51" s="817"/>
      <c r="AF51" s="817" t="s">
        <v>479</v>
      </c>
      <c r="AG51" s="817">
        <v>0</v>
      </c>
      <c r="AH51" s="817">
        <v>0</v>
      </c>
      <c r="AI51" s="817">
        <v>6</v>
      </c>
      <c r="AJ51" s="817">
        <v>0</v>
      </c>
      <c r="AK51" s="817">
        <v>0</v>
      </c>
      <c r="AL51" s="817">
        <v>6</v>
      </c>
      <c r="AM51" s="817">
        <v>0</v>
      </c>
      <c r="AN51" s="817">
        <v>6</v>
      </c>
      <c r="AO51" s="817">
        <v>6</v>
      </c>
      <c r="AP51" s="817">
        <v>0</v>
      </c>
      <c r="AQ51" s="817">
        <v>0</v>
      </c>
      <c r="AR51" s="817">
        <v>6</v>
      </c>
      <c r="AS51" s="817">
        <v>6</v>
      </c>
      <c r="AT51" s="817">
        <v>6</v>
      </c>
      <c r="AU51" s="817">
        <v>0</v>
      </c>
      <c r="AV51" s="817">
        <v>6</v>
      </c>
      <c r="AW51" s="817">
        <v>6</v>
      </c>
      <c r="AX51" s="817">
        <f t="shared" si="0"/>
        <v>0</v>
      </c>
      <c r="AY51" s="817">
        <v>2</v>
      </c>
      <c r="AZ51" s="817" t="s">
        <v>770</v>
      </c>
      <c r="BA51" s="817">
        <v>1</v>
      </c>
      <c r="BB51" s="817">
        <v>0</v>
      </c>
      <c r="BC51" s="817" t="s">
        <v>786</v>
      </c>
      <c r="BD51" s="817">
        <v>1</v>
      </c>
      <c r="BE51" s="817">
        <v>1</v>
      </c>
      <c r="BF51" s="817">
        <v>1</v>
      </c>
      <c r="BG51" s="817">
        <v>1</v>
      </c>
      <c r="BH51" s="817">
        <v>1</v>
      </c>
      <c r="BI51" s="817">
        <v>1</v>
      </c>
      <c r="BJ51" s="817">
        <v>1</v>
      </c>
      <c r="BK51" s="817">
        <v>1</v>
      </c>
      <c r="BL51" s="817"/>
      <c r="BM51" s="817">
        <v>1</v>
      </c>
      <c r="BN51" s="817">
        <v>1</v>
      </c>
      <c r="BO51" s="817">
        <v>1</v>
      </c>
      <c r="BP51" s="817">
        <v>1</v>
      </c>
      <c r="BQ51" s="817">
        <v>1</v>
      </c>
      <c r="BR51" s="817">
        <v>1</v>
      </c>
      <c r="BS51" s="817">
        <v>1</v>
      </c>
      <c r="BT51" s="817">
        <v>1</v>
      </c>
      <c r="BU51" s="817">
        <v>1</v>
      </c>
      <c r="BV51" s="817">
        <v>1</v>
      </c>
      <c r="BW51" s="817">
        <v>1</v>
      </c>
      <c r="BX51" s="817">
        <v>1</v>
      </c>
      <c r="BY51" s="817">
        <v>1</v>
      </c>
      <c r="BZ51" s="817">
        <v>1</v>
      </c>
      <c r="CA51" s="817">
        <v>1</v>
      </c>
      <c r="CB51" s="817"/>
      <c r="CC51" s="817">
        <v>1</v>
      </c>
      <c r="CD51" s="817">
        <v>1</v>
      </c>
      <c r="CE51" s="817">
        <v>1</v>
      </c>
      <c r="CF51" s="817"/>
      <c r="CG51" s="817"/>
      <c r="CH51" s="817"/>
      <c r="CI51" s="817">
        <v>5</v>
      </c>
      <c r="CJ51" s="817">
        <v>5</v>
      </c>
      <c r="CK51" s="817"/>
      <c r="CL51" s="817">
        <v>1</v>
      </c>
      <c r="CM51" s="817">
        <v>1</v>
      </c>
      <c r="CN51" s="817">
        <v>1</v>
      </c>
      <c r="CO51" s="817">
        <v>1</v>
      </c>
      <c r="CP51" s="817">
        <v>60</v>
      </c>
      <c r="CQ51" s="817">
        <v>80</v>
      </c>
      <c r="CR51" s="817">
        <v>6</v>
      </c>
      <c r="CS51" s="817">
        <v>6</v>
      </c>
      <c r="CT51" s="817">
        <v>1</v>
      </c>
      <c r="CU51" s="160"/>
      <c r="CV51" s="160"/>
      <c r="CW51" s="160"/>
      <c r="CX51" s="160"/>
      <c r="CY51" s="160"/>
      <c r="CZ51" s="160"/>
      <c r="DA51" s="160"/>
      <c r="DB51" s="160"/>
      <c r="DC51" s="160"/>
      <c r="DD51" s="160"/>
      <c r="DE51" s="160"/>
      <c r="DF51" s="160"/>
      <c r="DG51" s="160"/>
      <c r="DH51" s="160"/>
      <c r="DI51" s="160"/>
      <c r="DJ51" s="160"/>
      <c r="DK51" s="167"/>
      <c r="DL51" s="817"/>
      <c r="DM51" s="873" t="s">
        <v>281</v>
      </c>
      <c r="DN51" s="871" t="s">
        <v>737</v>
      </c>
      <c r="DO51" s="817"/>
      <c r="DP51" s="817"/>
      <c r="DQ51" s="817"/>
      <c r="DR51" s="817"/>
      <c r="DS51" s="817"/>
      <c r="DT51" s="817"/>
      <c r="DU51" s="817"/>
      <c r="DV51" s="817"/>
      <c r="DW51" s="817"/>
      <c r="DX51" s="817"/>
      <c r="DY51" s="817"/>
      <c r="DZ51" s="817"/>
      <c r="EA51" s="817"/>
      <c r="EB51" s="817"/>
      <c r="EC51" s="817"/>
      <c r="ED51" s="817"/>
      <c r="EE51" s="817"/>
      <c r="EF51" s="817"/>
      <c r="EG51" s="817"/>
      <c r="EH51" s="817"/>
      <c r="EI51" s="817"/>
      <c r="EJ51" s="817"/>
      <c r="EK51" s="817"/>
      <c r="EL51" s="817"/>
      <c r="EM51" s="817"/>
      <c r="EN51" s="817"/>
      <c r="EO51" s="817"/>
      <c r="EP51" s="817"/>
      <c r="EQ51" s="817"/>
      <c r="ER51" s="817"/>
      <c r="ES51" s="817"/>
      <c r="ET51" s="817"/>
      <c r="EU51" s="817"/>
      <c r="EV51" s="817"/>
      <c r="EW51" s="817"/>
      <c r="EX51" s="817"/>
      <c r="EY51" s="817"/>
      <c r="EZ51" s="817"/>
      <c r="FA51" s="817"/>
      <c r="FB51" s="817"/>
      <c r="FC51" s="817"/>
      <c r="FD51" s="817"/>
      <c r="FE51" s="817"/>
      <c r="FF51" s="817"/>
      <c r="FG51" s="817"/>
      <c r="FH51" s="817"/>
      <c r="FI51" s="817"/>
      <c r="FJ51" s="817"/>
      <c r="FK51" s="817"/>
      <c r="FL51" s="817"/>
      <c r="FM51" s="817"/>
      <c r="FN51" s="817"/>
      <c r="FO51" s="817"/>
      <c r="FP51" s="817"/>
      <c r="FQ51" s="817"/>
      <c r="FR51" s="817"/>
      <c r="FS51" s="817"/>
      <c r="FT51" s="817"/>
      <c r="FU51" s="817"/>
      <c r="FV51" s="817"/>
      <c r="FW51" s="817"/>
      <c r="FX51" s="817"/>
      <c r="FY51" s="817"/>
      <c r="FZ51" s="817"/>
      <c r="GA51" s="817"/>
      <c r="GB51" s="817"/>
      <c r="GC51" s="817"/>
      <c r="GD51" s="817"/>
      <c r="GE51" s="817"/>
      <c r="GF51" s="817"/>
      <c r="GG51" s="817"/>
      <c r="GH51" s="817"/>
      <c r="GI51" s="817"/>
      <c r="GJ51" s="817"/>
      <c r="GK51" s="817"/>
      <c r="GL51" s="817"/>
      <c r="GM51" s="817"/>
      <c r="GN51" s="817"/>
      <c r="GO51" s="817"/>
      <c r="GP51" s="817"/>
      <c r="GQ51" s="817"/>
      <c r="GR51" s="817"/>
      <c r="GS51" s="817"/>
      <c r="GT51" s="817"/>
      <c r="GU51" s="817"/>
      <c r="GV51" s="817"/>
      <c r="GW51" s="817"/>
      <c r="GX51" s="817"/>
      <c r="GY51" s="817"/>
      <c r="GZ51" s="817"/>
      <c r="HA51" s="817"/>
      <c r="HB51" s="817"/>
      <c r="HC51" s="817"/>
      <c r="HD51" s="817"/>
      <c r="HE51" s="817"/>
      <c r="HF51" s="817"/>
      <c r="HG51" s="817"/>
      <c r="HH51" s="817"/>
      <c r="HI51" s="817"/>
      <c r="HJ51" s="817"/>
      <c r="HK51" s="817"/>
      <c r="HL51" s="817"/>
      <c r="HM51" s="817"/>
      <c r="HN51" s="817"/>
      <c r="HO51" s="817"/>
      <c r="HP51" s="817"/>
      <c r="HQ51" s="817"/>
      <c r="HR51" s="817"/>
      <c r="HS51" s="817"/>
      <c r="HT51" s="817"/>
      <c r="HU51" s="817"/>
      <c r="HV51" s="817"/>
      <c r="HW51" s="817"/>
      <c r="HX51" s="817"/>
      <c r="HY51" s="817"/>
      <c r="HZ51" s="817"/>
      <c r="IA51" s="817"/>
      <c r="IB51" s="817"/>
      <c r="IC51" s="817"/>
      <c r="ID51" s="817"/>
      <c r="IE51" s="817"/>
      <c r="IF51" s="817"/>
      <c r="IG51" s="817"/>
      <c r="IH51" s="817"/>
      <c r="II51" s="817"/>
      <c r="IJ51" s="817"/>
      <c r="IK51" s="817"/>
      <c r="IL51" s="817"/>
      <c r="IM51" s="817"/>
      <c r="IN51" s="817"/>
      <c r="IO51" s="817"/>
      <c r="IP51" s="817"/>
      <c r="IQ51" s="817"/>
      <c r="IR51" s="817"/>
      <c r="IS51" s="817"/>
    </row>
    <row r="52" spans="1:253" s="178" customFormat="1" x14ac:dyDescent="0.2">
      <c r="A52" s="817" t="s">
        <v>75</v>
      </c>
      <c r="B52" s="817" t="s">
        <v>52</v>
      </c>
      <c r="C52" s="817" t="s">
        <v>619</v>
      </c>
      <c r="D52" s="817" t="s">
        <v>507</v>
      </c>
      <c r="E52" s="817">
        <v>32500</v>
      </c>
      <c r="F52" s="817">
        <v>1980</v>
      </c>
      <c r="G52" s="817">
        <v>2014</v>
      </c>
      <c r="H52" s="817">
        <v>2594260</v>
      </c>
      <c r="I52" s="817">
        <v>1118850</v>
      </c>
      <c r="J52" s="817">
        <v>488</v>
      </c>
      <c r="K52" s="817" t="s">
        <v>465</v>
      </c>
      <c r="L52" s="817" t="s">
        <v>465</v>
      </c>
      <c r="M52" s="817">
        <v>2593852</v>
      </c>
      <c r="N52" s="817">
        <v>1118690</v>
      </c>
      <c r="O52" s="817">
        <v>485</v>
      </c>
      <c r="P52" s="817">
        <v>11700</v>
      </c>
      <c r="Q52" s="817">
        <v>9650</v>
      </c>
      <c r="R52" s="817"/>
      <c r="S52" s="817"/>
      <c r="T52" s="817">
        <v>10</v>
      </c>
      <c r="U52" s="817">
        <v>85</v>
      </c>
      <c r="V52" s="817">
        <v>0.8</v>
      </c>
      <c r="W52" s="817">
        <v>90</v>
      </c>
      <c r="X52" s="817"/>
      <c r="Y52" s="817"/>
      <c r="Z52" s="817">
        <v>0.3</v>
      </c>
      <c r="AA52" s="817">
        <v>15</v>
      </c>
      <c r="AB52" s="817"/>
      <c r="AC52" s="817">
        <v>15373</v>
      </c>
      <c r="AD52" s="817">
        <v>9481</v>
      </c>
      <c r="AE52" s="817"/>
      <c r="AF52" s="817" t="s">
        <v>237</v>
      </c>
      <c r="AG52" s="817">
        <v>0</v>
      </c>
      <c r="AH52" s="817">
        <v>0</v>
      </c>
      <c r="AI52" s="817">
        <v>12</v>
      </c>
      <c r="AJ52" s="817">
        <v>0</v>
      </c>
      <c r="AK52" s="817">
        <v>0</v>
      </c>
      <c r="AL52" s="817">
        <v>12</v>
      </c>
      <c r="AM52" s="817">
        <v>52</v>
      </c>
      <c r="AN52" s="817">
        <v>52</v>
      </c>
      <c r="AO52" s="817">
        <v>24</v>
      </c>
      <c r="AP52" s="817">
        <v>0</v>
      </c>
      <c r="AQ52" s="817">
        <v>0</v>
      </c>
      <c r="AR52" s="817">
        <v>12</v>
      </c>
      <c r="AS52" s="817">
        <v>104</v>
      </c>
      <c r="AT52" s="817">
        <v>104</v>
      </c>
      <c r="AU52" s="817">
        <v>0</v>
      </c>
      <c r="AV52" s="817">
        <v>52</v>
      </c>
      <c r="AW52" s="817">
        <v>52</v>
      </c>
      <c r="AX52" s="817">
        <f t="shared" si="0"/>
        <v>1</v>
      </c>
      <c r="AY52" s="817">
        <v>1</v>
      </c>
      <c r="AZ52" s="817" t="s">
        <v>658</v>
      </c>
      <c r="BA52" s="817">
        <v>1</v>
      </c>
      <c r="BB52" s="817">
        <v>0</v>
      </c>
      <c r="BC52" s="817"/>
      <c r="BD52" s="817">
        <v>2</v>
      </c>
      <c r="BE52" s="817">
        <v>1</v>
      </c>
      <c r="BF52" s="817">
        <v>2</v>
      </c>
      <c r="BG52" s="817">
        <v>2</v>
      </c>
      <c r="BH52" s="817">
        <v>2</v>
      </c>
      <c r="BI52" s="817">
        <v>1</v>
      </c>
      <c r="BJ52" s="817">
        <v>1</v>
      </c>
      <c r="BK52" s="817">
        <v>1</v>
      </c>
      <c r="BL52" s="817">
        <v>2</v>
      </c>
      <c r="BM52" s="817">
        <v>2</v>
      </c>
      <c r="BN52" s="817">
        <v>1</v>
      </c>
      <c r="BO52" s="817">
        <v>1</v>
      </c>
      <c r="BP52" s="817">
        <v>1</v>
      </c>
      <c r="BQ52" s="817">
        <v>1</v>
      </c>
      <c r="BR52" s="817">
        <v>2</v>
      </c>
      <c r="BS52" s="817">
        <v>1</v>
      </c>
      <c r="BT52" s="817">
        <v>1</v>
      </c>
      <c r="BU52" s="817">
        <v>1</v>
      </c>
      <c r="BV52" s="817">
        <v>1</v>
      </c>
      <c r="BW52" s="817">
        <v>1</v>
      </c>
      <c r="BX52" s="817">
        <v>1</v>
      </c>
      <c r="BY52" s="817">
        <v>1</v>
      </c>
      <c r="BZ52" s="817">
        <v>1</v>
      </c>
      <c r="CA52" s="817">
        <v>1</v>
      </c>
      <c r="CB52" s="817">
        <v>2</v>
      </c>
      <c r="CC52" s="817">
        <v>1</v>
      </c>
      <c r="CD52" s="817">
        <v>1</v>
      </c>
      <c r="CE52" s="817">
        <v>1</v>
      </c>
      <c r="CF52" s="817" t="s">
        <v>620</v>
      </c>
      <c r="CG52" s="817" t="s">
        <v>621</v>
      </c>
      <c r="CH52" s="817">
        <v>2</v>
      </c>
      <c r="CI52" s="817">
        <v>1</v>
      </c>
      <c r="CJ52" s="817">
        <v>2</v>
      </c>
      <c r="CK52" s="817">
        <v>4</v>
      </c>
      <c r="CL52" s="817">
        <v>1</v>
      </c>
      <c r="CM52" s="817">
        <v>1</v>
      </c>
      <c r="CN52" s="817">
        <v>1</v>
      </c>
      <c r="CO52" s="817">
        <v>1</v>
      </c>
      <c r="CP52" s="817">
        <v>45</v>
      </c>
      <c r="CQ52" s="817">
        <v>85</v>
      </c>
      <c r="CR52" s="817">
        <v>52</v>
      </c>
      <c r="CS52" s="817">
        <v>52</v>
      </c>
      <c r="CT52" s="817">
        <v>1</v>
      </c>
      <c r="CU52" s="179"/>
      <c r="CV52" s="179"/>
      <c r="CW52" s="179"/>
      <c r="CX52" s="179"/>
      <c r="CY52" s="179"/>
      <c r="CZ52" s="179"/>
      <c r="DA52" s="179"/>
      <c r="DB52" s="179"/>
      <c r="DC52" s="179"/>
      <c r="DD52" s="179"/>
      <c r="DE52" s="179"/>
      <c r="DF52" s="179"/>
      <c r="DG52" s="179"/>
      <c r="DH52" s="179"/>
      <c r="DI52" s="179"/>
      <c r="DJ52" s="179"/>
      <c r="DK52" s="182"/>
      <c r="DL52" s="5"/>
      <c r="DM52" s="873" t="s">
        <v>75</v>
      </c>
      <c r="DN52" s="871" t="s">
        <v>738</v>
      </c>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row>
    <row r="53" spans="1:253" s="178" customFormat="1" x14ac:dyDescent="0.2">
      <c r="A53" s="817" t="s">
        <v>260</v>
      </c>
      <c r="B53" s="817" t="s">
        <v>53</v>
      </c>
      <c r="C53" s="817" t="s">
        <v>619</v>
      </c>
      <c r="D53" s="817" t="s">
        <v>507</v>
      </c>
      <c r="E53" s="817">
        <v>66667</v>
      </c>
      <c r="F53" s="817">
        <v>1971</v>
      </c>
      <c r="G53" s="817">
        <v>2000</v>
      </c>
      <c r="H53" s="817">
        <v>2590800</v>
      </c>
      <c r="I53" s="817">
        <v>1118760</v>
      </c>
      <c r="J53" s="817">
        <v>480</v>
      </c>
      <c r="K53" s="817" t="s">
        <v>465</v>
      </c>
      <c r="L53" s="817" t="s">
        <v>465</v>
      </c>
      <c r="M53" s="817">
        <v>2590380</v>
      </c>
      <c r="N53" s="817">
        <v>1117690</v>
      </c>
      <c r="O53" s="817">
        <v>478</v>
      </c>
      <c r="P53" s="817">
        <v>25837</v>
      </c>
      <c r="Q53" s="817">
        <v>2476</v>
      </c>
      <c r="R53" s="817"/>
      <c r="S53" s="817"/>
      <c r="T53" s="817">
        <v>10</v>
      </c>
      <c r="U53" s="817">
        <v>85</v>
      </c>
      <c r="V53" s="817">
        <v>0.3</v>
      </c>
      <c r="W53" s="817">
        <v>90</v>
      </c>
      <c r="X53" s="817"/>
      <c r="Y53" s="817"/>
      <c r="Z53" s="817">
        <v>0.3</v>
      </c>
      <c r="AA53" s="817">
        <v>15</v>
      </c>
      <c r="AB53" s="817"/>
      <c r="AC53" s="817">
        <v>33734</v>
      </c>
      <c r="AD53" s="817">
        <v>3381</v>
      </c>
      <c r="AE53" s="817"/>
      <c r="AF53" s="817" t="s">
        <v>237</v>
      </c>
      <c r="AG53" s="817">
        <v>0</v>
      </c>
      <c r="AH53" s="817">
        <v>0</v>
      </c>
      <c r="AI53" s="817">
        <v>12</v>
      </c>
      <c r="AJ53" s="817">
        <v>0</v>
      </c>
      <c r="AK53" s="817">
        <v>0</v>
      </c>
      <c r="AL53" s="817">
        <v>12</v>
      </c>
      <c r="AM53" s="817">
        <v>104</v>
      </c>
      <c r="AN53" s="817">
        <v>104</v>
      </c>
      <c r="AO53" s="817">
        <v>24</v>
      </c>
      <c r="AP53" s="817">
        <v>0</v>
      </c>
      <c r="AQ53" s="817">
        <v>0</v>
      </c>
      <c r="AR53" s="817">
        <v>12</v>
      </c>
      <c r="AS53" s="817">
        <v>104</v>
      </c>
      <c r="AT53" s="817">
        <v>104</v>
      </c>
      <c r="AU53" s="817">
        <v>0</v>
      </c>
      <c r="AV53" s="817">
        <v>52</v>
      </c>
      <c r="AW53" s="817">
        <v>52</v>
      </c>
      <c r="AX53" s="817">
        <f t="shared" si="0"/>
        <v>1</v>
      </c>
      <c r="AY53" s="817">
        <v>1</v>
      </c>
      <c r="AZ53" s="817" t="s">
        <v>658</v>
      </c>
      <c r="BA53" s="817">
        <v>1</v>
      </c>
      <c r="BB53" s="817">
        <v>0</v>
      </c>
      <c r="BC53" s="817" t="s">
        <v>622</v>
      </c>
      <c r="BD53" s="817">
        <v>2</v>
      </c>
      <c r="BE53" s="817">
        <v>2</v>
      </c>
      <c r="BF53" s="817">
        <v>2</v>
      </c>
      <c r="BG53" s="817">
        <v>2</v>
      </c>
      <c r="BH53" s="817">
        <v>2</v>
      </c>
      <c r="BI53" s="817">
        <v>1</v>
      </c>
      <c r="BJ53" s="817">
        <v>1</v>
      </c>
      <c r="BK53" s="817">
        <v>1</v>
      </c>
      <c r="BL53" s="817">
        <v>2</v>
      </c>
      <c r="BM53" s="817">
        <v>1</v>
      </c>
      <c r="BN53" s="817">
        <v>1</v>
      </c>
      <c r="BO53" s="817">
        <v>1</v>
      </c>
      <c r="BP53" s="817">
        <v>1</v>
      </c>
      <c r="BQ53" s="817">
        <v>1</v>
      </c>
      <c r="BR53" s="817">
        <v>2</v>
      </c>
      <c r="BS53" s="817">
        <v>1</v>
      </c>
      <c r="BT53" s="817">
        <v>1</v>
      </c>
      <c r="BU53" s="817">
        <v>1</v>
      </c>
      <c r="BV53" s="817">
        <v>1</v>
      </c>
      <c r="BW53" s="817">
        <v>1</v>
      </c>
      <c r="BX53" s="817">
        <v>1</v>
      </c>
      <c r="BY53" s="817">
        <v>1</v>
      </c>
      <c r="BZ53" s="817">
        <v>1</v>
      </c>
      <c r="CA53" s="817">
        <v>1</v>
      </c>
      <c r="CB53" s="817">
        <v>2</v>
      </c>
      <c r="CC53" s="817">
        <v>2</v>
      </c>
      <c r="CD53" s="817">
        <v>1</v>
      </c>
      <c r="CE53" s="817">
        <v>1</v>
      </c>
      <c r="CF53" s="817" t="s">
        <v>620</v>
      </c>
      <c r="CG53" s="817" t="s">
        <v>621</v>
      </c>
      <c r="CH53" s="817">
        <v>2</v>
      </c>
      <c r="CI53" s="817">
        <v>1</v>
      </c>
      <c r="CJ53" s="817">
        <v>2</v>
      </c>
      <c r="CK53" s="817">
        <v>4</v>
      </c>
      <c r="CL53" s="817">
        <v>1</v>
      </c>
      <c r="CM53" s="817">
        <v>1</v>
      </c>
      <c r="CN53" s="817">
        <v>1</v>
      </c>
      <c r="CO53" s="817">
        <v>1</v>
      </c>
      <c r="CP53" s="817">
        <v>45</v>
      </c>
      <c r="CQ53" s="817">
        <v>85</v>
      </c>
      <c r="CR53" s="817">
        <v>52</v>
      </c>
      <c r="CS53" s="817">
        <v>52</v>
      </c>
      <c r="CT53" s="817">
        <v>1</v>
      </c>
      <c r="CU53" s="179"/>
      <c r="CV53" s="179"/>
      <c r="CW53" s="179"/>
      <c r="CX53" s="179"/>
      <c r="CY53" s="179"/>
      <c r="CZ53" s="179"/>
      <c r="DA53" s="179"/>
      <c r="DB53" s="179"/>
      <c r="DC53" s="179"/>
      <c r="DD53" s="179"/>
      <c r="DE53" s="179"/>
      <c r="DF53" s="179"/>
      <c r="DG53" s="179"/>
      <c r="DH53" s="179"/>
      <c r="DI53" s="179"/>
      <c r="DJ53" s="179"/>
      <c r="DK53" s="182"/>
      <c r="DL53" s="5"/>
      <c r="DM53" s="178" t="s">
        <v>739</v>
      </c>
      <c r="DN53" s="871" t="s">
        <v>740</v>
      </c>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row>
    <row r="54" spans="1:253" s="178" customFormat="1" x14ac:dyDescent="0.2">
      <c r="A54" s="817" t="s">
        <v>85</v>
      </c>
      <c r="B54" s="817" t="s">
        <v>55</v>
      </c>
      <c r="C54" s="817" t="s">
        <v>623</v>
      </c>
      <c r="D54" s="817" t="s">
        <v>624</v>
      </c>
      <c r="E54" s="817">
        <v>8250</v>
      </c>
      <c r="F54" s="817">
        <v>1987</v>
      </c>
      <c r="G54" s="817">
        <v>2001</v>
      </c>
      <c r="H54" s="817">
        <v>2633625</v>
      </c>
      <c r="I54" s="817">
        <v>1121515</v>
      </c>
      <c r="J54" s="817">
        <v>695</v>
      </c>
      <c r="K54" s="817" t="s">
        <v>488</v>
      </c>
      <c r="L54" s="817" t="s">
        <v>465</v>
      </c>
      <c r="M54" s="817">
        <v>2633644</v>
      </c>
      <c r="N54" s="817">
        <v>1121498</v>
      </c>
      <c r="O54" s="817">
        <v>695</v>
      </c>
      <c r="P54" s="817">
        <v>1560</v>
      </c>
      <c r="Q54" s="817">
        <v>2475</v>
      </c>
      <c r="R54" s="817">
        <v>20</v>
      </c>
      <c r="S54" s="817">
        <v>90</v>
      </c>
      <c r="T54" s="817">
        <v>10</v>
      </c>
      <c r="U54" s="817">
        <v>85</v>
      </c>
      <c r="V54" s="817">
        <v>0.8</v>
      </c>
      <c r="W54" s="817">
        <v>90</v>
      </c>
      <c r="X54" s="817"/>
      <c r="Y54" s="817"/>
      <c r="Z54" s="817">
        <v>0.3</v>
      </c>
      <c r="AA54" s="817">
        <v>20</v>
      </c>
      <c r="AB54" s="817"/>
      <c r="AC54" s="817">
        <v>2460</v>
      </c>
      <c r="AD54" s="817">
        <v>1709</v>
      </c>
      <c r="AE54" s="817"/>
      <c r="AF54" s="817" t="s">
        <v>237</v>
      </c>
      <c r="AG54" s="817">
        <v>4</v>
      </c>
      <c r="AH54" s="817">
        <v>4</v>
      </c>
      <c r="AI54" s="817">
        <v>12</v>
      </c>
      <c r="AJ54" s="817">
        <v>0</v>
      </c>
      <c r="AK54" s="817">
        <v>0</v>
      </c>
      <c r="AL54" s="817">
        <v>12</v>
      </c>
      <c r="AM54" s="817">
        <v>52</v>
      </c>
      <c r="AN54" s="817">
        <v>52</v>
      </c>
      <c r="AO54" s="817">
        <v>24</v>
      </c>
      <c r="AP54" s="817">
        <v>0</v>
      </c>
      <c r="AQ54" s="817">
        <v>0</v>
      </c>
      <c r="AR54" s="817">
        <v>12</v>
      </c>
      <c r="AS54" s="817">
        <v>52</v>
      </c>
      <c r="AT54" s="817">
        <v>52</v>
      </c>
      <c r="AU54" s="817">
        <v>0</v>
      </c>
      <c r="AV54" s="817">
        <v>52</v>
      </c>
      <c r="AW54" s="817">
        <v>52</v>
      </c>
      <c r="AX54" s="817">
        <f t="shared" si="0"/>
        <v>1</v>
      </c>
      <c r="AY54" s="817">
        <v>2</v>
      </c>
      <c r="AZ54" s="817" t="s">
        <v>166</v>
      </c>
      <c r="BA54" s="817">
        <v>1</v>
      </c>
      <c r="BB54" s="817">
        <v>0</v>
      </c>
      <c r="BC54" s="817"/>
      <c r="BD54" s="817">
        <v>1</v>
      </c>
      <c r="BE54" s="817">
        <v>2</v>
      </c>
      <c r="BF54" s="817">
        <v>2</v>
      </c>
      <c r="BG54" s="817">
        <v>1</v>
      </c>
      <c r="BH54" s="817">
        <v>2</v>
      </c>
      <c r="BI54" s="817">
        <v>1</v>
      </c>
      <c r="BJ54" s="817">
        <v>1</v>
      </c>
      <c r="BK54" s="817">
        <v>4</v>
      </c>
      <c r="BL54" s="817"/>
      <c r="BM54" s="817">
        <v>2</v>
      </c>
      <c r="BN54" s="817">
        <v>1</v>
      </c>
      <c r="BO54" s="817">
        <v>1</v>
      </c>
      <c r="BP54" s="817">
        <v>1</v>
      </c>
      <c r="BQ54" s="817">
        <v>1</v>
      </c>
      <c r="BR54" s="817">
        <v>2</v>
      </c>
      <c r="BS54" s="817">
        <v>1</v>
      </c>
      <c r="BT54" s="817">
        <v>1</v>
      </c>
      <c r="BU54" s="817">
        <v>1</v>
      </c>
      <c r="BV54" s="817">
        <v>1</v>
      </c>
      <c r="BW54" s="817">
        <v>1</v>
      </c>
      <c r="BX54" s="817">
        <v>1</v>
      </c>
      <c r="BY54" s="817">
        <v>1</v>
      </c>
      <c r="BZ54" s="817">
        <v>1</v>
      </c>
      <c r="CA54" s="817">
        <v>1</v>
      </c>
      <c r="CB54" s="817">
        <v>1</v>
      </c>
      <c r="CC54" s="817">
        <v>1</v>
      </c>
      <c r="CD54" s="817">
        <v>1</v>
      </c>
      <c r="CE54" s="817">
        <v>1</v>
      </c>
      <c r="CF54" s="817" t="s">
        <v>494</v>
      </c>
      <c r="CG54" s="817" t="s">
        <v>495</v>
      </c>
      <c r="CH54" s="817">
        <v>1</v>
      </c>
      <c r="CI54" s="817">
        <v>5</v>
      </c>
      <c r="CJ54" s="817">
        <v>5</v>
      </c>
      <c r="CK54" s="817">
        <v>5</v>
      </c>
      <c r="CL54" s="817">
        <v>1</v>
      </c>
      <c r="CM54" s="817">
        <v>1</v>
      </c>
      <c r="CN54" s="817">
        <v>1</v>
      </c>
      <c r="CO54" s="817">
        <v>1</v>
      </c>
      <c r="CP54" s="817">
        <v>60</v>
      </c>
      <c r="CQ54" s="817">
        <v>80</v>
      </c>
      <c r="CR54" s="817">
        <v>52</v>
      </c>
      <c r="CS54" s="817">
        <v>52</v>
      </c>
      <c r="CT54" s="817">
        <v>1</v>
      </c>
      <c r="CU54" s="179"/>
      <c r="CV54" s="179"/>
      <c r="CW54" s="179"/>
      <c r="CX54" s="179"/>
      <c r="CY54" s="179"/>
      <c r="CZ54" s="179"/>
      <c r="DA54" s="179"/>
      <c r="DB54" s="179"/>
      <c r="DC54" s="179"/>
      <c r="DD54" s="179"/>
      <c r="DE54" s="179"/>
      <c r="DF54" s="179"/>
      <c r="DG54" s="179"/>
      <c r="DH54" s="179"/>
      <c r="DI54" s="179"/>
      <c r="DJ54" s="179"/>
      <c r="DK54" s="182"/>
      <c r="DL54" s="5"/>
      <c r="DM54" s="178" t="s">
        <v>85</v>
      </c>
      <c r="DN54" s="871" t="s">
        <v>741</v>
      </c>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row>
    <row r="55" spans="1:253" s="178" customFormat="1" x14ac:dyDescent="0.2">
      <c r="A55" s="817" t="s">
        <v>95</v>
      </c>
      <c r="B55" s="817" t="s">
        <v>56</v>
      </c>
      <c r="C55" s="817" t="s">
        <v>227</v>
      </c>
      <c r="D55" s="817" t="s">
        <v>233</v>
      </c>
      <c r="E55" s="817">
        <v>3227</v>
      </c>
      <c r="F55" s="817">
        <v>1974</v>
      </c>
      <c r="G55" s="817">
        <v>2001</v>
      </c>
      <c r="H55" s="817">
        <v>2552080</v>
      </c>
      <c r="I55" s="817">
        <v>1137770</v>
      </c>
      <c r="J55" s="817">
        <v>390</v>
      </c>
      <c r="K55" s="817" t="s">
        <v>599</v>
      </c>
      <c r="L55" s="817"/>
      <c r="M55" s="817">
        <v>2552080</v>
      </c>
      <c r="N55" s="817">
        <v>1137850</v>
      </c>
      <c r="O55" s="817">
        <v>385</v>
      </c>
      <c r="P55" s="817">
        <v>825</v>
      </c>
      <c r="Q55" s="817">
        <v>186</v>
      </c>
      <c r="R55" s="817"/>
      <c r="S55" s="817"/>
      <c r="T55" s="817">
        <v>10</v>
      </c>
      <c r="U55" s="817">
        <v>85</v>
      </c>
      <c r="V55" s="817">
        <v>0.8</v>
      </c>
      <c r="W55" s="817">
        <v>85</v>
      </c>
      <c r="X55" s="817"/>
      <c r="Y55" s="817"/>
      <c r="Z55" s="817">
        <v>0.3</v>
      </c>
      <c r="AA55" s="817">
        <v>20</v>
      </c>
      <c r="AB55" s="817"/>
      <c r="AC55" s="817">
        <v>1839</v>
      </c>
      <c r="AD55" s="817">
        <v>1525</v>
      </c>
      <c r="AE55" s="817"/>
      <c r="AF55" s="817" t="s">
        <v>237</v>
      </c>
      <c r="AG55" s="817">
        <v>0</v>
      </c>
      <c r="AH55" s="817">
        <v>0</v>
      </c>
      <c r="AI55" s="817">
        <v>12</v>
      </c>
      <c r="AJ55" s="817">
        <v>0</v>
      </c>
      <c r="AK55" s="817">
        <v>0</v>
      </c>
      <c r="AL55" s="817">
        <v>12</v>
      </c>
      <c r="AM55" s="817">
        <v>24</v>
      </c>
      <c r="AN55" s="817">
        <v>24</v>
      </c>
      <c r="AO55" s="817">
        <v>24</v>
      </c>
      <c r="AP55" s="817">
        <v>0</v>
      </c>
      <c r="AQ55" s="817">
        <v>0</v>
      </c>
      <c r="AR55" s="817">
        <v>12</v>
      </c>
      <c r="AS55" s="817">
        <v>24</v>
      </c>
      <c r="AT55" s="817">
        <v>24</v>
      </c>
      <c r="AU55" s="817">
        <v>0</v>
      </c>
      <c r="AV55" s="817">
        <v>24</v>
      </c>
      <c r="AW55" s="817">
        <v>52</v>
      </c>
      <c r="AX55" s="817">
        <f t="shared" si="0"/>
        <v>1</v>
      </c>
      <c r="AY55" s="817">
        <v>1</v>
      </c>
      <c r="AZ55" s="817" t="s">
        <v>284</v>
      </c>
      <c r="BA55" s="817">
        <v>1</v>
      </c>
      <c r="BB55" s="817">
        <v>0</v>
      </c>
      <c r="BC55" s="817" t="s">
        <v>625</v>
      </c>
      <c r="BD55" s="817">
        <v>2</v>
      </c>
      <c r="BE55" s="817">
        <v>1</v>
      </c>
      <c r="BF55" s="817">
        <v>2</v>
      </c>
      <c r="BG55" s="817">
        <v>2</v>
      </c>
      <c r="BH55" s="817">
        <v>2</v>
      </c>
      <c r="BI55" s="817">
        <v>1</v>
      </c>
      <c r="BJ55" s="817">
        <v>1</v>
      </c>
      <c r="BK55" s="817">
        <v>1</v>
      </c>
      <c r="BL55" s="817">
        <v>2</v>
      </c>
      <c r="BM55" s="817">
        <v>1</v>
      </c>
      <c r="BN55" s="817">
        <v>1</v>
      </c>
      <c r="BO55" s="817">
        <v>1</v>
      </c>
      <c r="BP55" s="817">
        <v>1</v>
      </c>
      <c r="BQ55" s="817">
        <v>1</v>
      </c>
      <c r="BR55" s="817">
        <v>2</v>
      </c>
      <c r="BS55" s="817">
        <v>1</v>
      </c>
      <c r="BT55" s="817">
        <v>1</v>
      </c>
      <c r="BU55" s="817">
        <v>1</v>
      </c>
      <c r="BV55" s="817">
        <v>1</v>
      </c>
      <c r="BW55" s="817">
        <v>1</v>
      </c>
      <c r="BX55" s="817">
        <v>1</v>
      </c>
      <c r="BY55" s="817">
        <v>1</v>
      </c>
      <c r="BZ55" s="817">
        <v>1</v>
      </c>
      <c r="CA55" s="817">
        <v>1</v>
      </c>
      <c r="CB55" s="817">
        <v>2</v>
      </c>
      <c r="CC55" s="817">
        <v>1</v>
      </c>
      <c r="CD55" s="817">
        <v>1</v>
      </c>
      <c r="CE55" s="817">
        <v>1</v>
      </c>
      <c r="CF55" s="817" t="s">
        <v>511</v>
      </c>
      <c r="CG55" s="817" t="s">
        <v>512</v>
      </c>
      <c r="CH55" s="817">
        <v>1</v>
      </c>
      <c r="CI55" s="817">
        <v>2</v>
      </c>
      <c r="CJ55" s="817">
        <v>5</v>
      </c>
      <c r="CK55" s="817"/>
      <c r="CL55" s="817">
        <v>1</v>
      </c>
      <c r="CM55" s="817">
        <v>1</v>
      </c>
      <c r="CN55" s="817">
        <v>1</v>
      </c>
      <c r="CO55" s="817">
        <v>1</v>
      </c>
      <c r="CP55" s="817">
        <v>60</v>
      </c>
      <c r="CQ55" s="817">
        <v>80</v>
      </c>
      <c r="CR55" s="817">
        <v>24</v>
      </c>
      <c r="CS55" s="817">
        <v>24</v>
      </c>
      <c r="CT55" s="817">
        <v>1</v>
      </c>
      <c r="CU55" s="179"/>
      <c r="CV55" s="179"/>
      <c r="CW55" s="179"/>
      <c r="CX55" s="179"/>
      <c r="CY55" s="179"/>
      <c r="CZ55" s="179"/>
      <c r="DA55" s="179"/>
      <c r="DB55" s="179"/>
      <c r="DC55" s="179"/>
      <c r="DD55" s="179"/>
      <c r="DE55" s="179"/>
      <c r="DF55" s="179"/>
      <c r="DG55" s="179"/>
      <c r="DH55" s="179"/>
      <c r="DI55" s="179"/>
      <c r="DJ55" s="179"/>
      <c r="DK55" s="182"/>
      <c r="DL55" s="5"/>
      <c r="DM55" s="178" t="s">
        <v>95</v>
      </c>
      <c r="DN55" s="871" t="s">
        <v>742</v>
      </c>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row>
    <row r="56" spans="1:253" s="178" customFormat="1" x14ac:dyDescent="0.2">
      <c r="A56" s="817" t="s">
        <v>101</v>
      </c>
      <c r="B56" s="817" t="s">
        <v>57</v>
      </c>
      <c r="C56" s="817" t="s">
        <v>255</v>
      </c>
      <c r="D56" s="817" t="s">
        <v>256</v>
      </c>
      <c r="E56" s="817">
        <v>2400</v>
      </c>
      <c r="F56" s="817">
        <v>1979</v>
      </c>
      <c r="G56" s="817">
        <v>2014</v>
      </c>
      <c r="H56" s="817">
        <v>2599815</v>
      </c>
      <c r="I56" s="817">
        <v>1113895</v>
      </c>
      <c r="J56" s="817">
        <v>1270</v>
      </c>
      <c r="K56" s="817" t="s">
        <v>626</v>
      </c>
      <c r="L56" s="817" t="s">
        <v>465</v>
      </c>
      <c r="M56" s="817">
        <v>2599845</v>
      </c>
      <c r="N56" s="817">
        <v>1113350</v>
      </c>
      <c r="O56" s="817">
        <v>1120</v>
      </c>
      <c r="P56" s="817">
        <v>660</v>
      </c>
      <c r="Q56" s="817">
        <v>520</v>
      </c>
      <c r="R56" s="817"/>
      <c r="S56" s="817"/>
      <c r="T56" s="817">
        <v>10</v>
      </c>
      <c r="U56" s="817">
        <v>85</v>
      </c>
      <c r="V56" s="817">
        <v>0.8</v>
      </c>
      <c r="W56" s="817">
        <v>85</v>
      </c>
      <c r="X56" s="817"/>
      <c r="Y56" s="817"/>
      <c r="Z56" s="817">
        <v>0.3</v>
      </c>
      <c r="AA56" s="817">
        <v>20</v>
      </c>
      <c r="AB56" s="817"/>
      <c r="AC56" s="817">
        <v>710</v>
      </c>
      <c r="AD56" s="817">
        <v>761</v>
      </c>
      <c r="AE56" s="817"/>
      <c r="AF56" s="817" t="s">
        <v>237</v>
      </c>
      <c r="AG56" s="817">
        <v>0</v>
      </c>
      <c r="AH56" s="817">
        <v>0</v>
      </c>
      <c r="AI56" s="817">
        <v>12</v>
      </c>
      <c r="AJ56" s="817">
        <v>0</v>
      </c>
      <c r="AK56" s="817">
        <v>0</v>
      </c>
      <c r="AL56" s="817">
        <v>12</v>
      </c>
      <c r="AM56" s="817">
        <v>24</v>
      </c>
      <c r="AN56" s="817">
        <v>24</v>
      </c>
      <c r="AO56" s="817">
        <v>24</v>
      </c>
      <c r="AP56" s="817">
        <v>0</v>
      </c>
      <c r="AQ56" s="817">
        <v>0</v>
      </c>
      <c r="AR56" s="817">
        <v>12</v>
      </c>
      <c r="AS56" s="817">
        <v>24</v>
      </c>
      <c r="AT56" s="817">
        <v>24</v>
      </c>
      <c r="AU56" s="817">
        <v>0</v>
      </c>
      <c r="AV56" s="817">
        <v>24</v>
      </c>
      <c r="AW56" s="817">
        <v>52</v>
      </c>
      <c r="AX56" s="817">
        <f t="shared" si="0"/>
        <v>1</v>
      </c>
      <c r="AY56" s="817">
        <v>1</v>
      </c>
      <c r="AZ56" s="817" t="s">
        <v>284</v>
      </c>
      <c r="BA56" s="817">
        <v>1</v>
      </c>
      <c r="BB56" s="817">
        <v>0</v>
      </c>
      <c r="BC56" s="817" t="s">
        <v>627</v>
      </c>
      <c r="BD56" s="817">
        <v>2</v>
      </c>
      <c r="BE56" s="817">
        <v>1</v>
      </c>
      <c r="BF56" s="817">
        <v>2</v>
      </c>
      <c r="BG56" s="817">
        <v>2</v>
      </c>
      <c r="BH56" s="817">
        <v>2</v>
      </c>
      <c r="BI56" s="817">
        <v>1</v>
      </c>
      <c r="BJ56" s="817">
        <v>1</v>
      </c>
      <c r="BK56" s="817">
        <v>4</v>
      </c>
      <c r="BL56" s="817">
        <v>2</v>
      </c>
      <c r="BM56" s="817">
        <v>1</v>
      </c>
      <c r="BN56" s="817">
        <v>1</v>
      </c>
      <c r="BO56" s="817">
        <v>1</v>
      </c>
      <c r="BP56" s="817">
        <v>1</v>
      </c>
      <c r="BQ56" s="817">
        <v>1</v>
      </c>
      <c r="BR56" s="817">
        <v>2</v>
      </c>
      <c r="BS56" s="817">
        <v>1</v>
      </c>
      <c r="BT56" s="817">
        <v>1</v>
      </c>
      <c r="BU56" s="817">
        <v>1</v>
      </c>
      <c r="BV56" s="817">
        <v>1</v>
      </c>
      <c r="BW56" s="817">
        <v>1</v>
      </c>
      <c r="BX56" s="817">
        <v>1</v>
      </c>
      <c r="BY56" s="817">
        <v>1</v>
      </c>
      <c r="BZ56" s="817">
        <v>1</v>
      </c>
      <c r="CA56" s="817">
        <v>1</v>
      </c>
      <c r="CB56" s="817">
        <v>0</v>
      </c>
      <c r="CC56" s="817">
        <v>2</v>
      </c>
      <c r="CD56" s="817">
        <v>1</v>
      </c>
      <c r="CE56" s="817">
        <v>1</v>
      </c>
      <c r="CF56" s="817" t="s">
        <v>628</v>
      </c>
      <c r="CG56" s="817" t="s">
        <v>629</v>
      </c>
      <c r="CH56" s="817"/>
      <c r="CI56" s="817">
        <v>5</v>
      </c>
      <c r="CJ56" s="817">
        <v>5</v>
      </c>
      <c r="CK56" s="817">
        <v>1</v>
      </c>
      <c r="CL56" s="817">
        <v>1</v>
      </c>
      <c r="CM56" s="817">
        <v>1</v>
      </c>
      <c r="CN56" s="817">
        <v>1</v>
      </c>
      <c r="CO56" s="817">
        <v>1</v>
      </c>
      <c r="CP56" s="817">
        <v>60</v>
      </c>
      <c r="CQ56" s="817">
        <v>80</v>
      </c>
      <c r="CR56" s="817">
        <v>24</v>
      </c>
      <c r="CS56" s="817">
        <v>24</v>
      </c>
      <c r="CT56" s="817">
        <v>1</v>
      </c>
      <c r="CU56" s="179"/>
      <c r="CV56" s="179"/>
      <c r="CW56" s="179"/>
      <c r="CX56" s="179"/>
      <c r="CY56" s="179"/>
      <c r="CZ56" s="179"/>
      <c r="DA56" s="179"/>
      <c r="DB56" s="179"/>
      <c r="DC56" s="179"/>
      <c r="DD56" s="179"/>
      <c r="DE56" s="179"/>
      <c r="DF56" s="179"/>
      <c r="DG56" s="179"/>
      <c r="DH56" s="179"/>
      <c r="DI56" s="179"/>
      <c r="DJ56" s="179"/>
      <c r="DK56" s="182"/>
      <c r="DL56" s="5"/>
      <c r="DM56" s="178" t="s">
        <v>101</v>
      </c>
      <c r="DN56" s="871" t="s">
        <v>743</v>
      </c>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row>
    <row r="57" spans="1:253" s="178" customFormat="1" x14ac:dyDescent="0.2">
      <c r="A57" s="817" t="s">
        <v>90</v>
      </c>
      <c r="B57" s="817" t="s">
        <v>54</v>
      </c>
      <c r="C57" s="817" t="s">
        <v>630</v>
      </c>
      <c r="D57" s="817" t="s">
        <v>631</v>
      </c>
      <c r="E57" s="817">
        <v>4000</v>
      </c>
      <c r="F57" s="817">
        <v>1990</v>
      </c>
      <c r="G57" s="817">
        <v>0</v>
      </c>
      <c r="H57" s="817">
        <v>2628820</v>
      </c>
      <c r="I57" s="817">
        <v>1115370</v>
      </c>
      <c r="J57" s="817">
        <v>1050</v>
      </c>
      <c r="K57" s="817" t="s">
        <v>487</v>
      </c>
      <c r="L57" s="817" t="s">
        <v>488</v>
      </c>
      <c r="M57" s="817">
        <v>2628960</v>
      </c>
      <c r="N57" s="817">
        <v>1115680</v>
      </c>
      <c r="O57" s="817">
        <v>1043</v>
      </c>
      <c r="P57" s="817">
        <v>4000</v>
      </c>
      <c r="Q57" s="817">
        <v>330</v>
      </c>
      <c r="R57" s="817">
        <v>20</v>
      </c>
      <c r="S57" s="817">
        <v>90</v>
      </c>
      <c r="T57" s="817">
        <v>10</v>
      </c>
      <c r="U57" s="817">
        <v>85</v>
      </c>
      <c r="V57" s="817">
        <v>0.8</v>
      </c>
      <c r="W57" s="817">
        <v>85</v>
      </c>
      <c r="X57" s="817">
        <v>2</v>
      </c>
      <c r="Y57" s="817">
        <v>90</v>
      </c>
      <c r="Z57" s="817">
        <v>0.3</v>
      </c>
      <c r="AA57" s="817">
        <v>20</v>
      </c>
      <c r="AB57" s="817"/>
      <c r="AC57" s="817">
        <v>2234</v>
      </c>
      <c r="AD57" s="817">
        <v>1471</v>
      </c>
      <c r="AE57" s="817"/>
      <c r="AF57" s="817" t="s">
        <v>237</v>
      </c>
      <c r="AG57" s="817">
        <v>0</v>
      </c>
      <c r="AH57" s="817">
        <v>0</v>
      </c>
      <c r="AI57" s="817">
        <v>12</v>
      </c>
      <c r="AJ57" s="817">
        <v>0</v>
      </c>
      <c r="AK57" s="817">
        <v>0</v>
      </c>
      <c r="AL57" s="817">
        <v>12</v>
      </c>
      <c r="AM57" s="817">
        <v>24</v>
      </c>
      <c r="AN57" s="817">
        <v>24</v>
      </c>
      <c r="AO57" s="817">
        <v>24</v>
      </c>
      <c r="AP57" s="817">
        <v>0</v>
      </c>
      <c r="AQ57" s="817">
        <v>0</v>
      </c>
      <c r="AR57" s="817">
        <v>24</v>
      </c>
      <c r="AS57" s="817">
        <v>24</v>
      </c>
      <c r="AT57" s="817">
        <v>24</v>
      </c>
      <c r="AU57" s="817">
        <v>0</v>
      </c>
      <c r="AV57" s="817">
        <v>24</v>
      </c>
      <c r="AW57" s="817">
        <v>52</v>
      </c>
      <c r="AX57" s="817">
        <f t="shared" si="0"/>
        <v>1</v>
      </c>
      <c r="AY57" s="817">
        <v>2</v>
      </c>
      <c r="AZ57" s="817" t="s">
        <v>166</v>
      </c>
      <c r="BA57" s="817">
        <v>1</v>
      </c>
      <c r="BB57" s="817">
        <v>0</v>
      </c>
      <c r="BC57" s="817"/>
      <c r="BD57" s="817">
        <v>1</v>
      </c>
      <c r="BE57" s="817">
        <v>1</v>
      </c>
      <c r="BF57" s="817">
        <v>2</v>
      </c>
      <c r="BG57" s="817">
        <v>2</v>
      </c>
      <c r="BH57" s="817">
        <v>2</v>
      </c>
      <c r="BI57" s="817">
        <v>1</v>
      </c>
      <c r="BJ57" s="817">
        <v>1</v>
      </c>
      <c r="BK57" s="817">
        <v>1</v>
      </c>
      <c r="BL57" s="817">
        <v>2</v>
      </c>
      <c r="BM57" s="817">
        <v>1</v>
      </c>
      <c r="BN57" s="817">
        <v>1</v>
      </c>
      <c r="BO57" s="817">
        <v>1</v>
      </c>
      <c r="BP57" s="817">
        <v>1</v>
      </c>
      <c r="BQ57" s="817">
        <v>1</v>
      </c>
      <c r="BR57" s="817">
        <v>2</v>
      </c>
      <c r="BS57" s="817">
        <v>1</v>
      </c>
      <c r="BT57" s="817">
        <v>1</v>
      </c>
      <c r="BU57" s="817">
        <v>1</v>
      </c>
      <c r="BV57" s="817">
        <v>1</v>
      </c>
      <c r="BW57" s="817">
        <v>1</v>
      </c>
      <c r="BX57" s="817">
        <v>1</v>
      </c>
      <c r="BY57" s="817">
        <v>1</v>
      </c>
      <c r="BZ57" s="817">
        <v>1</v>
      </c>
      <c r="CA57" s="817">
        <v>1</v>
      </c>
      <c r="CB57" s="817">
        <v>1</v>
      </c>
      <c r="CC57" s="817">
        <v>1</v>
      </c>
      <c r="CD57" s="817">
        <v>1</v>
      </c>
      <c r="CE57" s="817">
        <v>1</v>
      </c>
      <c r="CF57" s="817" t="s">
        <v>525</v>
      </c>
      <c r="CG57" s="817" t="s">
        <v>526</v>
      </c>
      <c r="CH57" s="817">
        <v>1</v>
      </c>
      <c r="CI57" s="817">
        <v>1</v>
      </c>
      <c r="CJ57" s="817">
        <v>2</v>
      </c>
      <c r="CK57" s="817">
        <v>1</v>
      </c>
      <c r="CL57" s="817">
        <v>1</v>
      </c>
      <c r="CM57" s="817">
        <v>1</v>
      </c>
      <c r="CN57" s="817">
        <v>1</v>
      </c>
      <c r="CO57" s="817">
        <v>1</v>
      </c>
      <c r="CP57" s="817">
        <v>60</v>
      </c>
      <c r="CQ57" s="817">
        <v>80</v>
      </c>
      <c r="CR57" s="817">
        <v>24</v>
      </c>
      <c r="CS57" s="817">
        <v>24</v>
      </c>
      <c r="CT57" s="817">
        <v>1</v>
      </c>
      <c r="CU57" s="179"/>
      <c r="CV57" s="179"/>
      <c r="CW57" s="179"/>
      <c r="CX57" s="179"/>
      <c r="CY57" s="179"/>
      <c r="CZ57" s="179"/>
      <c r="DA57" s="179"/>
      <c r="DB57" s="179"/>
      <c r="DC57" s="179"/>
      <c r="DD57" s="179"/>
      <c r="DE57" s="179"/>
      <c r="DF57" s="179"/>
      <c r="DG57" s="179"/>
      <c r="DH57" s="179"/>
      <c r="DI57" s="179"/>
      <c r="DJ57" s="179"/>
      <c r="DK57" s="182"/>
      <c r="DL57" s="5"/>
      <c r="DM57" s="178" t="s">
        <v>90</v>
      </c>
      <c r="DN57" s="871" t="s">
        <v>744</v>
      </c>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row>
    <row r="58" spans="1:253" s="178" customFormat="1" x14ac:dyDescent="0.2">
      <c r="A58" s="817" t="s">
        <v>113</v>
      </c>
      <c r="B58" s="817" t="s">
        <v>58</v>
      </c>
      <c r="C58" s="817" t="s">
        <v>240</v>
      </c>
      <c r="D58" s="817" t="s">
        <v>241</v>
      </c>
      <c r="E58" s="817">
        <v>375</v>
      </c>
      <c r="F58" s="817">
        <v>2003</v>
      </c>
      <c r="G58" s="817">
        <v>0</v>
      </c>
      <c r="H58" s="817">
        <v>2565510</v>
      </c>
      <c r="I58" s="817">
        <v>1101135</v>
      </c>
      <c r="J58" s="817">
        <v>1270</v>
      </c>
      <c r="K58" s="817" t="s">
        <v>113</v>
      </c>
      <c r="L58" s="817" t="s">
        <v>465</v>
      </c>
      <c r="M58" s="817">
        <v>2565491</v>
      </c>
      <c r="N58" s="817">
        <v>1101134</v>
      </c>
      <c r="O58" s="817">
        <v>1260</v>
      </c>
      <c r="P58" s="817">
        <v>90</v>
      </c>
      <c r="Q58" s="817">
        <v>72</v>
      </c>
      <c r="R58" s="817"/>
      <c r="S58" s="817"/>
      <c r="T58" s="817"/>
      <c r="U58" s="817"/>
      <c r="V58" s="817">
        <v>0.8</v>
      </c>
      <c r="W58" s="817">
        <v>80</v>
      </c>
      <c r="X58" s="817"/>
      <c r="Y58" s="817"/>
      <c r="Z58" s="817">
        <v>0.3</v>
      </c>
      <c r="AA58" s="817">
        <v>20</v>
      </c>
      <c r="AB58" s="817"/>
      <c r="AC58" s="817">
        <v>140</v>
      </c>
      <c r="AD58" s="817">
        <v>417</v>
      </c>
      <c r="AE58" s="817"/>
      <c r="AF58" s="817" t="s">
        <v>479</v>
      </c>
      <c r="AG58" s="817">
        <v>0</v>
      </c>
      <c r="AH58" s="817">
        <v>0</v>
      </c>
      <c r="AI58" s="817">
        <v>0</v>
      </c>
      <c r="AJ58" s="817">
        <v>0</v>
      </c>
      <c r="AK58" s="817">
        <v>0</v>
      </c>
      <c r="AL58" s="817">
        <v>0</v>
      </c>
      <c r="AM58" s="817">
        <v>0</v>
      </c>
      <c r="AN58" s="817">
        <v>12</v>
      </c>
      <c r="AO58" s="817">
        <v>12</v>
      </c>
      <c r="AP58" s="817">
        <v>0</v>
      </c>
      <c r="AQ58" s="817">
        <v>0</v>
      </c>
      <c r="AR58" s="817">
        <v>12</v>
      </c>
      <c r="AS58" s="817">
        <v>12</v>
      </c>
      <c r="AT58" s="817">
        <v>12</v>
      </c>
      <c r="AU58" s="817">
        <v>0</v>
      </c>
      <c r="AV58" s="817">
        <v>12</v>
      </c>
      <c r="AW58" s="817">
        <v>12</v>
      </c>
      <c r="AX58" s="817">
        <f t="shared" si="0"/>
        <v>0</v>
      </c>
      <c r="AY58" s="817">
        <v>1</v>
      </c>
      <c r="AZ58" s="817" t="s">
        <v>284</v>
      </c>
      <c r="BA58" s="817">
        <v>1</v>
      </c>
      <c r="BB58" s="817">
        <v>0</v>
      </c>
      <c r="BC58" s="817" t="s">
        <v>762</v>
      </c>
      <c r="BD58" s="817">
        <v>1</v>
      </c>
      <c r="BE58" s="817">
        <v>2</v>
      </c>
      <c r="BF58" s="817">
        <v>2</v>
      </c>
      <c r="BG58" s="817">
        <v>2</v>
      </c>
      <c r="BH58" s="817">
        <v>2</v>
      </c>
      <c r="BI58" s="817">
        <v>1</v>
      </c>
      <c r="BJ58" s="817">
        <v>1</v>
      </c>
      <c r="BK58" s="817">
        <v>1</v>
      </c>
      <c r="BL58" s="817">
        <v>2</v>
      </c>
      <c r="BM58" s="817">
        <v>1</v>
      </c>
      <c r="BN58" s="817">
        <v>1</v>
      </c>
      <c r="BO58" s="817">
        <v>1</v>
      </c>
      <c r="BP58" s="817">
        <v>1</v>
      </c>
      <c r="BQ58" s="817">
        <v>1</v>
      </c>
      <c r="BR58" s="817">
        <v>2</v>
      </c>
      <c r="BS58" s="817">
        <v>1</v>
      </c>
      <c r="BT58" s="817">
        <v>1</v>
      </c>
      <c r="BU58" s="817">
        <v>1</v>
      </c>
      <c r="BV58" s="817">
        <v>1</v>
      </c>
      <c r="BW58" s="817">
        <v>1</v>
      </c>
      <c r="BX58" s="817">
        <v>1</v>
      </c>
      <c r="BY58" s="817">
        <v>1</v>
      </c>
      <c r="BZ58" s="817">
        <v>1</v>
      </c>
      <c r="CA58" s="817">
        <v>1</v>
      </c>
      <c r="CB58" s="817">
        <v>0</v>
      </c>
      <c r="CC58" s="817">
        <v>1</v>
      </c>
      <c r="CD58" s="817">
        <v>1</v>
      </c>
      <c r="CE58" s="817">
        <v>1</v>
      </c>
      <c r="CF58" s="817" t="s">
        <v>586</v>
      </c>
      <c r="CG58" s="817" t="s">
        <v>587</v>
      </c>
      <c r="CH58" s="817">
        <v>1</v>
      </c>
      <c r="CI58" s="817">
        <v>5</v>
      </c>
      <c r="CJ58" s="817">
        <v>5</v>
      </c>
      <c r="CK58" s="817">
        <v>0</v>
      </c>
      <c r="CL58" s="817">
        <v>1</v>
      </c>
      <c r="CM58" s="817">
        <v>1</v>
      </c>
      <c r="CN58" s="817">
        <v>1</v>
      </c>
      <c r="CO58" s="817">
        <v>1</v>
      </c>
      <c r="CP58" s="817">
        <v>60</v>
      </c>
      <c r="CQ58" s="817">
        <v>80</v>
      </c>
      <c r="CR58" s="817">
        <v>12</v>
      </c>
      <c r="CS58" s="817">
        <v>12</v>
      </c>
      <c r="CT58" s="817">
        <v>1</v>
      </c>
      <c r="CU58" s="179"/>
      <c r="CV58" s="179"/>
      <c r="CW58" s="179"/>
      <c r="CX58" s="179"/>
      <c r="CY58" s="179"/>
      <c r="CZ58" s="179"/>
      <c r="DA58" s="179"/>
      <c r="DB58" s="179"/>
      <c r="DC58" s="179"/>
      <c r="DD58" s="179"/>
      <c r="DE58" s="179"/>
      <c r="DF58" s="179"/>
      <c r="DG58" s="179"/>
      <c r="DH58" s="179"/>
      <c r="DI58" s="179"/>
      <c r="DJ58" s="179"/>
      <c r="DK58" s="182"/>
      <c r="DL58" s="5"/>
      <c r="DM58" s="178" t="s">
        <v>113</v>
      </c>
      <c r="DN58" s="871" t="s">
        <v>745</v>
      </c>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row>
    <row r="59" spans="1:253" s="178" customFormat="1" x14ac:dyDescent="0.2">
      <c r="A59" s="817" t="s">
        <v>161</v>
      </c>
      <c r="B59" s="817" t="s">
        <v>59</v>
      </c>
      <c r="C59" s="817" t="s">
        <v>632</v>
      </c>
      <c r="D59" s="817" t="s">
        <v>633</v>
      </c>
      <c r="E59" s="817">
        <v>13417</v>
      </c>
      <c r="F59" s="817">
        <v>1992</v>
      </c>
      <c r="G59" s="817">
        <v>0</v>
      </c>
      <c r="H59" s="817">
        <v>2561110</v>
      </c>
      <c r="I59" s="817">
        <v>1121580</v>
      </c>
      <c r="J59" s="817">
        <v>578</v>
      </c>
      <c r="K59" s="817" t="s">
        <v>499</v>
      </c>
      <c r="L59" s="817" t="s">
        <v>465</v>
      </c>
      <c r="M59" s="817">
        <v>2561195</v>
      </c>
      <c r="N59" s="817">
        <v>1121450</v>
      </c>
      <c r="O59" s="817">
        <v>520</v>
      </c>
      <c r="P59" s="817">
        <v>7425</v>
      </c>
      <c r="Q59" s="817">
        <v>750</v>
      </c>
      <c r="R59" s="817"/>
      <c r="S59" s="817"/>
      <c r="T59" s="817">
        <v>10</v>
      </c>
      <c r="U59" s="817">
        <v>85</v>
      </c>
      <c r="V59" s="817">
        <v>0.8</v>
      </c>
      <c r="W59" s="817">
        <v>90</v>
      </c>
      <c r="X59" s="817"/>
      <c r="Y59" s="817"/>
      <c r="Z59" s="817">
        <v>0.3</v>
      </c>
      <c r="AA59" s="817">
        <v>15</v>
      </c>
      <c r="AB59" s="817"/>
      <c r="AC59" s="817">
        <v>4571</v>
      </c>
      <c r="AD59" s="817">
        <v>10790</v>
      </c>
      <c r="AE59" s="817"/>
      <c r="AF59" s="817" t="s">
        <v>237</v>
      </c>
      <c r="AG59" s="817">
        <v>0</v>
      </c>
      <c r="AH59" s="817">
        <v>0</v>
      </c>
      <c r="AI59" s="817">
        <v>12</v>
      </c>
      <c r="AJ59" s="817">
        <v>0</v>
      </c>
      <c r="AK59" s="817">
        <v>0</v>
      </c>
      <c r="AL59" s="817">
        <v>12</v>
      </c>
      <c r="AM59" s="817">
        <v>52</v>
      </c>
      <c r="AN59" s="817">
        <v>52</v>
      </c>
      <c r="AO59" s="817">
        <v>24</v>
      </c>
      <c r="AP59" s="817">
        <v>0</v>
      </c>
      <c r="AQ59" s="817">
        <v>0</v>
      </c>
      <c r="AR59" s="817">
        <v>12</v>
      </c>
      <c r="AS59" s="817">
        <v>104</v>
      </c>
      <c r="AT59" s="817">
        <v>104</v>
      </c>
      <c r="AU59" s="817">
        <v>0</v>
      </c>
      <c r="AV59" s="817">
        <v>52</v>
      </c>
      <c r="AW59" s="817">
        <v>52</v>
      </c>
      <c r="AX59" s="817">
        <f t="shared" si="0"/>
        <v>1</v>
      </c>
      <c r="AY59" s="817">
        <v>1</v>
      </c>
      <c r="AZ59" s="817" t="s">
        <v>658</v>
      </c>
      <c r="BA59" s="817">
        <v>1</v>
      </c>
      <c r="BB59" s="817">
        <v>0</v>
      </c>
      <c r="BC59" s="817"/>
      <c r="BD59" s="817">
        <v>1</v>
      </c>
      <c r="BE59" s="817">
        <v>1</v>
      </c>
      <c r="BF59" s="817">
        <v>2</v>
      </c>
      <c r="BG59" s="817">
        <v>2</v>
      </c>
      <c r="BH59" s="817">
        <v>2</v>
      </c>
      <c r="BI59" s="817">
        <v>1</v>
      </c>
      <c r="BJ59" s="817">
        <v>1</v>
      </c>
      <c r="BK59" s="817">
        <v>1</v>
      </c>
      <c r="BL59" s="817">
        <v>2</v>
      </c>
      <c r="BM59" s="817">
        <v>1</v>
      </c>
      <c r="BN59" s="817">
        <v>1</v>
      </c>
      <c r="BO59" s="817">
        <v>1</v>
      </c>
      <c r="BP59" s="817">
        <v>1</v>
      </c>
      <c r="BQ59" s="817">
        <v>1</v>
      </c>
      <c r="BR59" s="817">
        <v>2</v>
      </c>
      <c r="BS59" s="817">
        <v>1</v>
      </c>
      <c r="BT59" s="817">
        <v>1</v>
      </c>
      <c r="BU59" s="817">
        <v>1</v>
      </c>
      <c r="BV59" s="817">
        <v>1</v>
      </c>
      <c r="BW59" s="817">
        <v>1</v>
      </c>
      <c r="BX59" s="817">
        <v>1</v>
      </c>
      <c r="BY59" s="817">
        <v>1</v>
      </c>
      <c r="BZ59" s="817">
        <v>1</v>
      </c>
      <c r="CA59" s="817">
        <v>1</v>
      </c>
      <c r="CB59" s="817">
        <v>2</v>
      </c>
      <c r="CC59" s="817">
        <v>1</v>
      </c>
      <c r="CD59" s="817">
        <v>1</v>
      </c>
      <c r="CE59" s="817">
        <v>1</v>
      </c>
      <c r="CF59" s="817" t="s">
        <v>634</v>
      </c>
      <c r="CG59" s="817" t="s">
        <v>635</v>
      </c>
      <c r="CH59" s="817"/>
      <c r="CI59" s="817">
        <v>1</v>
      </c>
      <c r="CJ59" s="817">
        <v>1</v>
      </c>
      <c r="CK59" s="817">
        <v>5</v>
      </c>
      <c r="CL59" s="817">
        <v>1</v>
      </c>
      <c r="CM59" s="817">
        <v>1</v>
      </c>
      <c r="CN59" s="817">
        <v>1</v>
      </c>
      <c r="CO59" s="817">
        <v>1</v>
      </c>
      <c r="CP59" s="817">
        <v>45</v>
      </c>
      <c r="CQ59" s="817">
        <v>85</v>
      </c>
      <c r="CR59" s="817">
        <v>52</v>
      </c>
      <c r="CS59" s="817">
        <v>52</v>
      </c>
      <c r="CT59" s="817">
        <v>1</v>
      </c>
      <c r="CU59" s="179"/>
      <c r="CV59" s="179"/>
      <c r="CW59" s="179"/>
      <c r="CX59" s="179"/>
      <c r="CY59" s="179"/>
      <c r="CZ59" s="179"/>
      <c r="DA59" s="179"/>
      <c r="DB59" s="179"/>
      <c r="DC59" s="179"/>
      <c r="DD59" s="179"/>
      <c r="DE59" s="179"/>
      <c r="DF59" s="179"/>
      <c r="DG59" s="179"/>
      <c r="DH59" s="179"/>
      <c r="DI59" s="179"/>
      <c r="DJ59" s="179"/>
      <c r="DK59" s="182"/>
      <c r="DL59" s="5"/>
      <c r="DM59" s="178" t="s">
        <v>161</v>
      </c>
      <c r="DN59" s="871" t="s">
        <v>746</v>
      </c>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row>
    <row r="60" spans="1:253" s="178" customFormat="1" x14ac:dyDescent="0.2">
      <c r="A60" s="817" t="s">
        <v>93</v>
      </c>
      <c r="B60" s="817" t="s">
        <v>60</v>
      </c>
      <c r="C60" s="817" t="s">
        <v>227</v>
      </c>
      <c r="D60" s="817" t="s">
        <v>288</v>
      </c>
      <c r="E60" s="817">
        <v>1250</v>
      </c>
      <c r="F60" s="817">
        <v>1971</v>
      </c>
      <c r="G60" s="817">
        <v>2000</v>
      </c>
      <c r="H60" s="817">
        <v>2627760</v>
      </c>
      <c r="I60" s="817">
        <v>1126600</v>
      </c>
      <c r="J60" s="817">
        <v>1140</v>
      </c>
      <c r="K60" s="817" t="s">
        <v>636</v>
      </c>
      <c r="L60" s="817" t="s">
        <v>637</v>
      </c>
      <c r="M60" s="817">
        <v>2627800</v>
      </c>
      <c r="N60" s="817">
        <v>1126650</v>
      </c>
      <c r="O60" s="817">
        <v>1130</v>
      </c>
      <c r="P60" s="817">
        <v>1050</v>
      </c>
      <c r="Q60" s="817"/>
      <c r="R60" s="817"/>
      <c r="S60" s="817"/>
      <c r="T60" s="817">
        <v>10</v>
      </c>
      <c r="U60" s="817">
        <v>85</v>
      </c>
      <c r="V60" s="817">
        <v>0.8</v>
      </c>
      <c r="W60" s="817">
        <v>85</v>
      </c>
      <c r="X60" s="817">
        <v>2</v>
      </c>
      <c r="Y60" s="817">
        <v>90</v>
      </c>
      <c r="Z60" s="817">
        <v>0.3</v>
      </c>
      <c r="AA60" s="817">
        <v>20</v>
      </c>
      <c r="AB60" s="817"/>
      <c r="AC60" s="817">
        <v>406</v>
      </c>
      <c r="AD60" s="817">
        <v>1030</v>
      </c>
      <c r="AE60" s="817"/>
      <c r="AF60" s="817" t="s">
        <v>479</v>
      </c>
      <c r="AG60" s="817">
        <v>0</v>
      </c>
      <c r="AH60" s="817">
        <v>0</v>
      </c>
      <c r="AI60" s="817">
        <v>12</v>
      </c>
      <c r="AJ60" s="817">
        <v>0</v>
      </c>
      <c r="AK60" s="817">
        <v>0</v>
      </c>
      <c r="AL60" s="817">
        <v>12</v>
      </c>
      <c r="AM60" s="817">
        <v>12</v>
      </c>
      <c r="AN60" s="817">
        <v>12</v>
      </c>
      <c r="AO60" s="817">
        <v>12</v>
      </c>
      <c r="AP60" s="817">
        <v>0</v>
      </c>
      <c r="AQ60" s="817">
        <v>0</v>
      </c>
      <c r="AR60" s="817">
        <v>12</v>
      </c>
      <c r="AS60" s="817">
        <v>12</v>
      </c>
      <c r="AT60" s="817">
        <v>12</v>
      </c>
      <c r="AU60" s="817">
        <v>0</v>
      </c>
      <c r="AV60" s="817">
        <v>12</v>
      </c>
      <c r="AW60" s="817">
        <v>12</v>
      </c>
      <c r="AX60" s="817">
        <f t="shared" si="0"/>
        <v>0</v>
      </c>
      <c r="AY60" s="817">
        <v>2</v>
      </c>
      <c r="AZ60" s="817" t="s">
        <v>770</v>
      </c>
      <c r="BA60" s="817">
        <v>1</v>
      </c>
      <c r="BB60" s="817">
        <v>0</v>
      </c>
      <c r="BC60" s="817"/>
      <c r="BD60" s="817">
        <v>1</v>
      </c>
      <c r="BE60" s="817">
        <v>2</v>
      </c>
      <c r="BF60" s="817">
        <v>2</v>
      </c>
      <c r="BG60" s="817">
        <v>2</v>
      </c>
      <c r="BH60" s="817">
        <v>1</v>
      </c>
      <c r="BI60" s="817">
        <v>1</v>
      </c>
      <c r="BJ60" s="817">
        <v>2</v>
      </c>
      <c r="BK60" s="817">
        <v>1</v>
      </c>
      <c r="BL60" s="817">
        <v>2</v>
      </c>
      <c r="BM60" s="817">
        <v>1</v>
      </c>
      <c r="BN60" s="817">
        <v>1</v>
      </c>
      <c r="BO60" s="817">
        <v>1</v>
      </c>
      <c r="BP60" s="817">
        <v>1</v>
      </c>
      <c r="BQ60" s="817">
        <v>1</v>
      </c>
      <c r="BR60" s="817">
        <v>2</v>
      </c>
      <c r="BS60" s="817">
        <v>1</v>
      </c>
      <c r="BT60" s="817">
        <v>1</v>
      </c>
      <c r="BU60" s="817">
        <v>1</v>
      </c>
      <c r="BV60" s="817">
        <v>1</v>
      </c>
      <c r="BW60" s="817">
        <v>1</v>
      </c>
      <c r="BX60" s="817">
        <v>1</v>
      </c>
      <c r="BY60" s="817">
        <v>1</v>
      </c>
      <c r="BZ60" s="817">
        <v>1</v>
      </c>
      <c r="CA60" s="817">
        <v>1</v>
      </c>
      <c r="CB60" s="817">
        <v>5</v>
      </c>
      <c r="CC60" s="817">
        <v>1</v>
      </c>
      <c r="CD60" s="817">
        <v>1</v>
      </c>
      <c r="CE60" s="817">
        <v>1</v>
      </c>
      <c r="CF60" s="817" t="s">
        <v>638</v>
      </c>
      <c r="CG60" s="817" t="s">
        <v>639</v>
      </c>
      <c r="CH60" s="817">
        <v>2</v>
      </c>
      <c r="CI60" s="817">
        <v>1</v>
      </c>
      <c r="CJ60" s="817">
        <v>1</v>
      </c>
      <c r="CK60" s="817">
        <v>2</v>
      </c>
      <c r="CL60" s="817">
        <v>1</v>
      </c>
      <c r="CM60" s="817">
        <v>1</v>
      </c>
      <c r="CN60" s="817">
        <v>1</v>
      </c>
      <c r="CO60" s="817">
        <v>1</v>
      </c>
      <c r="CP60" s="817">
        <v>60</v>
      </c>
      <c r="CQ60" s="817">
        <v>80</v>
      </c>
      <c r="CR60" s="817">
        <v>12</v>
      </c>
      <c r="CS60" s="817">
        <v>12</v>
      </c>
      <c r="CT60" s="817">
        <v>1</v>
      </c>
      <c r="CU60" s="179"/>
      <c r="CV60" s="179"/>
      <c r="CW60" s="179"/>
      <c r="CX60" s="179"/>
      <c r="CY60" s="179"/>
      <c r="CZ60" s="179"/>
      <c r="DA60" s="179"/>
      <c r="DB60" s="179"/>
      <c r="DC60" s="179"/>
      <c r="DD60" s="179"/>
      <c r="DE60" s="179"/>
      <c r="DF60" s="179"/>
      <c r="DG60" s="179"/>
      <c r="DH60" s="179"/>
      <c r="DI60" s="179"/>
      <c r="DJ60" s="179"/>
      <c r="DK60" s="182"/>
      <c r="DL60" s="5"/>
      <c r="DM60" s="178" t="s">
        <v>747</v>
      </c>
      <c r="DN60" s="871" t="s">
        <v>748</v>
      </c>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row>
    <row r="61" spans="1:253" s="178" customFormat="1" x14ac:dyDescent="0.2">
      <c r="A61" s="817" t="s">
        <v>79</v>
      </c>
      <c r="B61" s="817" t="s">
        <v>11</v>
      </c>
      <c r="C61" s="817" t="s">
        <v>594</v>
      </c>
      <c r="D61" s="817" t="s">
        <v>640</v>
      </c>
      <c r="E61" s="817">
        <v>22500</v>
      </c>
      <c r="F61" s="817">
        <v>1998</v>
      </c>
      <c r="G61" s="817">
        <v>0</v>
      </c>
      <c r="H61" s="817">
        <v>2610080</v>
      </c>
      <c r="I61" s="817">
        <v>1121680</v>
      </c>
      <c r="J61" s="817">
        <v>815</v>
      </c>
      <c r="K61" s="817" t="s">
        <v>641</v>
      </c>
      <c r="L61" s="817" t="s">
        <v>465</v>
      </c>
      <c r="M61" s="817">
        <v>2610030</v>
      </c>
      <c r="N61" s="817">
        <v>1121690</v>
      </c>
      <c r="O61" s="817">
        <v>800</v>
      </c>
      <c r="P61" s="817">
        <v>6300</v>
      </c>
      <c r="Q61" s="817"/>
      <c r="R61" s="817"/>
      <c r="S61" s="817"/>
      <c r="T61" s="817">
        <v>10</v>
      </c>
      <c r="U61" s="817">
        <v>85</v>
      </c>
      <c r="V61" s="817">
        <v>0.3</v>
      </c>
      <c r="W61" s="817">
        <v>90</v>
      </c>
      <c r="X61" s="817">
        <v>1.5</v>
      </c>
      <c r="Y61" s="817">
        <v>90</v>
      </c>
      <c r="Z61" s="817">
        <v>0.3</v>
      </c>
      <c r="AA61" s="817">
        <v>15</v>
      </c>
      <c r="AB61" s="817"/>
      <c r="AC61" s="817">
        <v>2730</v>
      </c>
      <c r="AD61" s="817">
        <v>23533</v>
      </c>
      <c r="AE61" s="817"/>
      <c r="AF61" s="817" t="s">
        <v>237</v>
      </c>
      <c r="AG61" s="817">
        <v>0</v>
      </c>
      <c r="AH61" s="817">
        <v>0</v>
      </c>
      <c r="AI61" s="817">
        <v>12</v>
      </c>
      <c r="AJ61" s="817">
        <v>0</v>
      </c>
      <c r="AK61" s="817">
        <v>0</v>
      </c>
      <c r="AL61" s="817">
        <v>12</v>
      </c>
      <c r="AM61" s="817">
        <v>52</v>
      </c>
      <c r="AN61" s="817">
        <v>52</v>
      </c>
      <c r="AO61" s="817">
        <v>24</v>
      </c>
      <c r="AP61" s="817">
        <v>0</v>
      </c>
      <c r="AQ61" s="817">
        <v>0</v>
      </c>
      <c r="AR61" s="817">
        <v>12</v>
      </c>
      <c r="AS61" s="817">
        <v>104</v>
      </c>
      <c r="AT61" s="817">
        <v>104</v>
      </c>
      <c r="AU61" s="817">
        <v>0</v>
      </c>
      <c r="AV61" s="817">
        <v>52</v>
      </c>
      <c r="AW61" s="817">
        <v>52</v>
      </c>
      <c r="AX61" s="817">
        <f t="shared" si="0"/>
        <v>1</v>
      </c>
      <c r="AY61" s="817">
        <v>1</v>
      </c>
      <c r="AZ61" s="817" t="s">
        <v>658</v>
      </c>
      <c r="BA61" s="817">
        <v>1</v>
      </c>
      <c r="BB61" s="817">
        <v>0</v>
      </c>
      <c r="BC61" s="817"/>
      <c r="BD61" s="817">
        <v>1</v>
      </c>
      <c r="BE61" s="817">
        <v>2</v>
      </c>
      <c r="BF61" s="817">
        <v>2</v>
      </c>
      <c r="BG61" s="817">
        <v>2</v>
      </c>
      <c r="BH61" s="817">
        <v>2</v>
      </c>
      <c r="BI61" s="817">
        <v>1</v>
      </c>
      <c r="BJ61" s="817">
        <v>1</v>
      </c>
      <c r="BK61" s="817">
        <v>2</v>
      </c>
      <c r="BL61" s="817"/>
      <c r="BM61" s="817">
        <v>1</v>
      </c>
      <c r="BN61" s="817">
        <v>1</v>
      </c>
      <c r="BO61" s="817">
        <v>2</v>
      </c>
      <c r="BP61" s="817">
        <v>1</v>
      </c>
      <c r="BQ61" s="817">
        <v>1</v>
      </c>
      <c r="BR61" s="817">
        <v>1</v>
      </c>
      <c r="BS61" s="817">
        <v>2</v>
      </c>
      <c r="BT61" s="817">
        <v>1</v>
      </c>
      <c r="BU61" s="817">
        <v>1</v>
      </c>
      <c r="BV61" s="817">
        <v>1</v>
      </c>
      <c r="BW61" s="817">
        <v>1</v>
      </c>
      <c r="BX61" s="817">
        <v>1</v>
      </c>
      <c r="BY61" s="817">
        <v>1</v>
      </c>
      <c r="BZ61" s="817">
        <v>1</v>
      </c>
      <c r="CA61" s="817">
        <v>1</v>
      </c>
      <c r="CB61" s="817">
        <v>2</v>
      </c>
      <c r="CC61" s="817">
        <v>1</v>
      </c>
      <c r="CD61" s="817">
        <v>1</v>
      </c>
      <c r="CE61" s="817">
        <v>1</v>
      </c>
      <c r="CF61" s="817" t="s">
        <v>642</v>
      </c>
      <c r="CG61" s="817" t="s">
        <v>643</v>
      </c>
      <c r="CH61" s="817">
        <v>2</v>
      </c>
      <c r="CI61" s="817">
        <v>1</v>
      </c>
      <c r="CJ61" s="817">
        <v>2</v>
      </c>
      <c r="CK61" s="817">
        <v>5</v>
      </c>
      <c r="CL61" s="817">
        <v>1</v>
      </c>
      <c r="CM61" s="817">
        <v>1</v>
      </c>
      <c r="CN61" s="817">
        <v>1</v>
      </c>
      <c r="CO61" s="817">
        <v>1</v>
      </c>
      <c r="CP61" s="817">
        <v>45</v>
      </c>
      <c r="CQ61" s="817">
        <v>85</v>
      </c>
      <c r="CR61" s="817">
        <v>52</v>
      </c>
      <c r="CS61" s="817">
        <v>52</v>
      </c>
      <c r="CT61" s="817">
        <v>1</v>
      </c>
      <c r="CU61" s="179"/>
      <c r="CV61" s="179"/>
      <c r="CW61" s="179"/>
      <c r="CX61" s="179"/>
      <c r="CY61" s="179"/>
      <c r="CZ61" s="179"/>
      <c r="DA61" s="179"/>
      <c r="DB61" s="179"/>
      <c r="DC61" s="179"/>
      <c r="DD61" s="179"/>
      <c r="DE61" s="179"/>
      <c r="DF61" s="179"/>
      <c r="DG61" s="179"/>
      <c r="DH61" s="179"/>
      <c r="DI61" s="179"/>
      <c r="DJ61" s="179"/>
      <c r="DK61" s="182"/>
      <c r="DL61" s="5"/>
      <c r="DM61" s="178" t="s">
        <v>760</v>
      </c>
      <c r="DN61" s="871" t="s">
        <v>759</v>
      </c>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row>
    <row r="62" spans="1:253" s="178" customFormat="1" x14ac:dyDescent="0.2">
      <c r="A62" s="817" t="s">
        <v>103</v>
      </c>
      <c r="B62" s="817" t="s">
        <v>61</v>
      </c>
      <c r="C62" s="817" t="s">
        <v>289</v>
      </c>
      <c r="D62" s="817" t="s">
        <v>290</v>
      </c>
      <c r="E62" s="817">
        <v>1334</v>
      </c>
      <c r="F62" s="817">
        <v>1982</v>
      </c>
      <c r="G62" s="817">
        <v>0</v>
      </c>
      <c r="H62" s="817">
        <v>2612625</v>
      </c>
      <c r="I62" s="817">
        <v>1129280</v>
      </c>
      <c r="J62" s="817">
        <v>656</v>
      </c>
      <c r="K62" s="817" t="s">
        <v>465</v>
      </c>
      <c r="L62" s="817" t="s">
        <v>465</v>
      </c>
      <c r="M62" s="817">
        <v>2612620</v>
      </c>
      <c r="N62" s="817">
        <v>1129150</v>
      </c>
      <c r="O62" s="817">
        <v>578</v>
      </c>
      <c r="P62" s="817">
        <v>400</v>
      </c>
      <c r="Q62" s="817"/>
      <c r="R62" s="817"/>
      <c r="S62" s="817"/>
      <c r="T62" s="817"/>
      <c r="U62" s="817"/>
      <c r="V62" s="817">
        <v>0.8</v>
      </c>
      <c r="W62" s="817">
        <v>80</v>
      </c>
      <c r="X62" s="817"/>
      <c r="Y62" s="817"/>
      <c r="Z62" s="817">
        <v>0.3</v>
      </c>
      <c r="AA62" s="817">
        <v>20</v>
      </c>
      <c r="AB62" s="817"/>
      <c r="AC62" s="817">
        <v>625</v>
      </c>
      <c r="AD62" s="817">
        <v>207</v>
      </c>
      <c r="AE62" s="817"/>
      <c r="AF62" s="817" t="s">
        <v>479</v>
      </c>
      <c r="AG62" s="817">
        <v>0</v>
      </c>
      <c r="AH62" s="817">
        <v>0</v>
      </c>
      <c r="AI62" s="817">
        <v>0</v>
      </c>
      <c r="AJ62" s="817">
        <v>0</v>
      </c>
      <c r="AK62" s="817">
        <v>0</v>
      </c>
      <c r="AL62" s="817">
        <v>0</v>
      </c>
      <c r="AM62" s="817">
        <v>0</v>
      </c>
      <c r="AN62" s="817">
        <v>12</v>
      </c>
      <c r="AO62" s="817">
        <v>12</v>
      </c>
      <c r="AP62" s="817">
        <v>0</v>
      </c>
      <c r="AQ62" s="817">
        <v>0</v>
      </c>
      <c r="AR62" s="817">
        <v>12</v>
      </c>
      <c r="AS62" s="817">
        <v>12</v>
      </c>
      <c r="AT62" s="817">
        <v>12</v>
      </c>
      <c r="AU62" s="817">
        <v>0</v>
      </c>
      <c r="AV62" s="817">
        <v>12</v>
      </c>
      <c r="AW62" s="817">
        <v>12</v>
      </c>
      <c r="AX62" s="817">
        <f t="shared" si="0"/>
        <v>0</v>
      </c>
      <c r="AY62" s="817">
        <v>2</v>
      </c>
      <c r="AZ62" s="817" t="s">
        <v>770</v>
      </c>
      <c r="BA62" s="817">
        <v>1</v>
      </c>
      <c r="BB62" s="817">
        <v>0</v>
      </c>
      <c r="BC62" s="817"/>
      <c r="BD62" s="817">
        <v>1</v>
      </c>
      <c r="BE62" s="817">
        <v>2</v>
      </c>
      <c r="BF62" s="817">
        <v>2</v>
      </c>
      <c r="BG62" s="817">
        <v>1</v>
      </c>
      <c r="BH62" s="817">
        <v>1</v>
      </c>
      <c r="BI62" s="817">
        <v>1</v>
      </c>
      <c r="BJ62" s="817">
        <v>1</v>
      </c>
      <c r="BK62" s="817">
        <v>1</v>
      </c>
      <c r="BL62" s="817">
        <v>2</v>
      </c>
      <c r="BM62" s="817">
        <v>1</v>
      </c>
      <c r="BN62" s="817">
        <v>1</v>
      </c>
      <c r="BO62" s="817">
        <v>1</v>
      </c>
      <c r="BP62" s="817">
        <v>1</v>
      </c>
      <c r="BQ62" s="817">
        <v>1</v>
      </c>
      <c r="BR62" s="817">
        <v>2</v>
      </c>
      <c r="BS62" s="817">
        <v>1</v>
      </c>
      <c r="BT62" s="817">
        <v>1</v>
      </c>
      <c r="BU62" s="817">
        <v>1</v>
      </c>
      <c r="BV62" s="817">
        <v>1</v>
      </c>
      <c r="BW62" s="817">
        <v>1</v>
      </c>
      <c r="BX62" s="817">
        <v>1</v>
      </c>
      <c r="BY62" s="817">
        <v>1</v>
      </c>
      <c r="BZ62" s="817">
        <v>1</v>
      </c>
      <c r="CA62" s="817">
        <v>1</v>
      </c>
      <c r="CB62" s="817">
        <v>2</v>
      </c>
      <c r="CC62" s="817">
        <v>1</v>
      </c>
      <c r="CD62" s="817">
        <v>1</v>
      </c>
      <c r="CE62" s="817">
        <v>1</v>
      </c>
      <c r="CF62" s="817" t="s">
        <v>494</v>
      </c>
      <c r="CG62" s="817" t="s">
        <v>495</v>
      </c>
      <c r="CH62" s="817">
        <v>1</v>
      </c>
      <c r="CI62" s="817">
        <v>5</v>
      </c>
      <c r="CJ62" s="817">
        <v>5</v>
      </c>
      <c r="CK62" s="817">
        <v>1</v>
      </c>
      <c r="CL62" s="817">
        <v>1</v>
      </c>
      <c r="CM62" s="817">
        <v>1</v>
      </c>
      <c r="CN62" s="817">
        <v>1</v>
      </c>
      <c r="CO62" s="817">
        <v>1</v>
      </c>
      <c r="CP62" s="817">
        <v>60</v>
      </c>
      <c r="CQ62" s="817">
        <v>80</v>
      </c>
      <c r="CR62" s="817">
        <v>12</v>
      </c>
      <c r="CS62" s="817">
        <v>12</v>
      </c>
      <c r="CT62" s="817">
        <v>1</v>
      </c>
      <c r="CU62" s="179"/>
      <c r="CV62" s="179"/>
      <c r="CW62" s="179"/>
      <c r="CX62" s="179"/>
      <c r="CY62" s="179"/>
      <c r="CZ62" s="179"/>
      <c r="DA62" s="179"/>
      <c r="DB62" s="179"/>
      <c r="DC62" s="179"/>
      <c r="DD62" s="179"/>
      <c r="DE62" s="179"/>
      <c r="DF62" s="179"/>
      <c r="DG62" s="179"/>
      <c r="DH62" s="179"/>
      <c r="DI62" s="179"/>
      <c r="DJ62" s="179"/>
      <c r="DK62" s="182"/>
      <c r="DL62" s="5"/>
      <c r="DM62" s="178" t="s">
        <v>103</v>
      </c>
      <c r="DN62" s="871" t="s">
        <v>749</v>
      </c>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row>
    <row r="63" spans="1:253" s="178" customFormat="1" x14ac:dyDescent="0.2">
      <c r="A63" s="817" t="s">
        <v>115</v>
      </c>
      <c r="B63" s="817" t="s">
        <v>62</v>
      </c>
      <c r="C63" s="817" t="s">
        <v>230</v>
      </c>
      <c r="D63" s="817" t="s">
        <v>297</v>
      </c>
      <c r="E63" s="817">
        <v>26650</v>
      </c>
      <c r="F63" s="817">
        <v>1975</v>
      </c>
      <c r="G63" s="817">
        <v>2017</v>
      </c>
      <c r="H63" s="817">
        <v>2588150</v>
      </c>
      <c r="I63" s="817">
        <v>1117700</v>
      </c>
      <c r="J63" s="817">
        <v>478</v>
      </c>
      <c r="K63" s="817" t="s">
        <v>465</v>
      </c>
      <c r="L63" s="817" t="s">
        <v>465</v>
      </c>
      <c r="M63" s="817">
        <v>2588400</v>
      </c>
      <c r="N63" s="817">
        <v>1116570</v>
      </c>
      <c r="O63" s="817">
        <v>475</v>
      </c>
      <c r="P63" s="817">
        <v>9430</v>
      </c>
      <c r="Q63" s="817">
        <v>5630</v>
      </c>
      <c r="R63" s="817"/>
      <c r="S63" s="817"/>
      <c r="T63" s="817">
        <v>10</v>
      </c>
      <c r="U63" s="817">
        <v>85</v>
      </c>
      <c r="V63" s="817">
        <v>0.8</v>
      </c>
      <c r="W63" s="817">
        <v>90</v>
      </c>
      <c r="X63" s="817">
        <v>2</v>
      </c>
      <c r="Y63" s="817">
        <v>90</v>
      </c>
      <c r="Z63" s="817">
        <v>0.3</v>
      </c>
      <c r="AA63" s="817">
        <v>15</v>
      </c>
      <c r="AB63" s="817"/>
      <c r="AC63" s="817">
        <v>11321</v>
      </c>
      <c r="AD63" s="817">
        <v>472</v>
      </c>
      <c r="AE63" s="817"/>
      <c r="AF63" s="817" t="s">
        <v>237</v>
      </c>
      <c r="AG63" s="817">
        <v>0</v>
      </c>
      <c r="AH63" s="817">
        <v>0</v>
      </c>
      <c r="AI63" s="817">
        <v>12</v>
      </c>
      <c r="AJ63" s="817">
        <v>0</v>
      </c>
      <c r="AK63" s="817">
        <v>0</v>
      </c>
      <c r="AL63" s="817">
        <v>12</v>
      </c>
      <c r="AM63" s="817">
        <v>52</v>
      </c>
      <c r="AN63" s="817">
        <v>52</v>
      </c>
      <c r="AO63" s="817">
        <v>24</v>
      </c>
      <c r="AP63" s="817">
        <v>0</v>
      </c>
      <c r="AQ63" s="817">
        <v>0</v>
      </c>
      <c r="AR63" s="817">
        <v>12</v>
      </c>
      <c r="AS63" s="817">
        <v>104</v>
      </c>
      <c r="AT63" s="817">
        <v>104</v>
      </c>
      <c r="AU63" s="817">
        <v>0</v>
      </c>
      <c r="AV63" s="817">
        <v>52</v>
      </c>
      <c r="AW63" s="817">
        <v>52</v>
      </c>
      <c r="AX63" s="817">
        <f t="shared" si="0"/>
        <v>1</v>
      </c>
      <c r="AY63" s="817">
        <v>1</v>
      </c>
      <c r="AZ63" s="817" t="s">
        <v>658</v>
      </c>
      <c r="BA63" s="817">
        <v>1</v>
      </c>
      <c r="BB63" s="817">
        <v>0</v>
      </c>
      <c r="BC63" s="817" t="s">
        <v>644</v>
      </c>
      <c r="BD63" s="817">
        <v>2</v>
      </c>
      <c r="BE63" s="817">
        <v>2</v>
      </c>
      <c r="BF63" s="817">
        <v>2</v>
      </c>
      <c r="BG63" s="817">
        <v>2</v>
      </c>
      <c r="BH63" s="817">
        <v>2</v>
      </c>
      <c r="BI63" s="817">
        <v>1</v>
      </c>
      <c r="BJ63" s="817">
        <v>1</v>
      </c>
      <c r="BK63" s="817">
        <v>1</v>
      </c>
      <c r="BL63" s="817">
        <v>1</v>
      </c>
      <c r="BM63" s="817">
        <v>2</v>
      </c>
      <c r="BN63" s="817">
        <v>1</v>
      </c>
      <c r="BO63" s="817">
        <v>1</v>
      </c>
      <c r="BP63" s="817">
        <v>1</v>
      </c>
      <c r="BQ63" s="817">
        <v>1</v>
      </c>
      <c r="BR63" s="817">
        <v>2</v>
      </c>
      <c r="BS63" s="817">
        <v>1</v>
      </c>
      <c r="BT63" s="817">
        <v>1</v>
      </c>
      <c r="BU63" s="817">
        <v>1</v>
      </c>
      <c r="BV63" s="817">
        <v>1</v>
      </c>
      <c r="BW63" s="817">
        <v>1</v>
      </c>
      <c r="BX63" s="817">
        <v>1</v>
      </c>
      <c r="BY63" s="817">
        <v>1</v>
      </c>
      <c r="BZ63" s="817">
        <v>1</v>
      </c>
      <c r="CA63" s="817">
        <v>1</v>
      </c>
      <c r="CB63" s="817">
        <v>2</v>
      </c>
      <c r="CC63" s="817">
        <v>2</v>
      </c>
      <c r="CD63" s="817">
        <v>1</v>
      </c>
      <c r="CE63" s="817">
        <v>1</v>
      </c>
      <c r="CF63" s="817" t="s">
        <v>520</v>
      </c>
      <c r="CG63" s="817" t="s">
        <v>521</v>
      </c>
      <c r="CH63" s="817">
        <v>1</v>
      </c>
      <c r="CI63" s="817">
        <v>1</v>
      </c>
      <c r="CJ63" s="817">
        <v>1</v>
      </c>
      <c r="CK63" s="817">
        <v>3</v>
      </c>
      <c r="CL63" s="817">
        <v>1</v>
      </c>
      <c r="CM63" s="817">
        <v>1</v>
      </c>
      <c r="CN63" s="817">
        <v>1</v>
      </c>
      <c r="CO63" s="817">
        <v>1</v>
      </c>
      <c r="CP63" s="817">
        <v>45</v>
      </c>
      <c r="CQ63" s="817">
        <v>85</v>
      </c>
      <c r="CR63" s="817">
        <v>52</v>
      </c>
      <c r="CS63" s="817">
        <v>52</v>
      </c>
      <c r="CT63" s="817">
        <v>1</v>
      </c>
      <c r="CU63" s="179"/>
      <c r="CV63" s="179"/>
      <c r="CW63" s="179"/>
      <c r="CX63" s="179"/>
      <c r="CY63" s="179"/>
      <c r="CZ63" s="179"/>
      <c r="DA63" s="179"/>
      <c r="DB63" s="179"/>
      <c r="DC63" s="179"/>
      <c r="DD63" s="179"/>
      <c r="DE63" s="179"/>
      <c r="DF63" s="179"/>
      <c r="DG63" s="179"/>
      <c r="DH63" s="179"/>
      <c r="DI63" s="179"/>
      <c r="DJ63" s="179"/>
      <c r="DK63" s="182"/>
      <c r="DL63" s="5"/>
      <c r="DM63" s="178" t="s">
        <v>750</v>
      </c>
      <c r="DN63" s="871" t="s">
        <v>751</v>
      </c>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row>
    <row r="64" spans="1:253" s="178" customFormat="1" x14ac:dyDescent="0.2">
      <c r="A64" s="817" t="s">
        <v>96</v>
      </c>
      <c r="B64" s="817" t="s">
        <v>64</v>
      </c>
      <c r="C64" s="817" t="s">
        <v>787</v>
      </c>
      <c r="D64" s="817" t="s">
        <v>788</v>
      </c>
      <c r="E64" s="817">
        <v>4200</v>
      </c>
      <c r="F64" s="817">
        <v>1991</v>
      </c>
      <c r="G64" s="817">
        <v>2013</v>
      </c>
      <c r="H64" s="817">
        <v>2559400</v>
      </c>
      <c r="I64" s="817">
        <v>1129650</v>
      </c>
      <c r="J64" s="817">
        <v>380</v>
      </c>
      <c r="K64" s="817" t="s">
        <v>510</v>
      </c>
      <c r="L64" s="817" t="s">
        <v>599</v>
      </c>
      <c r="M64" s="817">
        <v>2559440</v>
      </c>
      <c r="N64" s="817">
        <v>1129690</v>
      </c>
      <c r="O64" s="817">
        <v>378</v>
      </c>
      <c r="P64" s="817">
        <v>1680</v>
      </c>
      <c r="Q64" s="817">
        <v>860</v>
      </c>
      <c r="R64" s="817">
        <v>15</v>
      </c>
      <c r="S64" s="817">
        <v>90</v>
      </c>
      <c r="T64" s="817">
        <v>10</v>
      </c>
      <c r="U64" s="817">
        <v>85</v>
      </c>
      <c r="V64" s="817">
        <v>0.8</v>
      </c>
      <c r="W64" s="817">
        <v>90</v>
      </c>
      <c r="X64" s="817">
        <v>1</v>
      </c>
      <c r="Y64" s="817">
        <v>90</v>
      </c>
      <c r="Z64" s="817">
        <v>0.3</v>
      </c>
      <c r="AA64" s="817">
        <v>15</v>
      </c>
      <c r="AB64" s="817"/>
      <c r="AC64" s="817">
        <v>1943</v>
      </c>
      <c r="AD64" s="817">
        <v>80</v>
      </c>
      <c r="AE64" s="817"/>
      <c r="AF64" s="817" t="s">
        <v>237</v>
      </c>
      <c r="AG64" s="817">
        <v>4</v>
      </c>
      <c r="AH64" s="817">
        <v>4</v>
      </c>
      <c r="AI64" s="817">
        <v>12</v>
      </c>
      <c r="AJ64" s="817">
        <v>0</v>
      </c>
      <c r="AK64" s="817">
        <v>0</v>
      </c>
      <c r="AL64" s="817">
        <v>12</v>
      </c>
      <c r="AM64" s="817">
        <v>24</v>
      </c>
      <c r="AN64" s="817">
        <v>24</v>
      </c>
      <c r="AO64" s="817">
        <v>24</v>
      </c>
      <c r="AP64" s="817">
        <v>0</v>
      </c>
      <c r="AQ64" s="817">
        <v>0</v>
      </c>
      <c r="AR64" s="817">
        <v>12</v>
      </c>
      <c r="AS64" s="817">
        <v>24</v>
      </c>
      <c r="AT64" s="817">
        <v>24</v>
      </c>
      <c r="AU64" s="817">
        <v>0</v>
      </c>
      <c r="AV64" s="817">
        <v>24</v>
      </c>
      <c r="AW64" s="817">
        <v>52</v>
      </c>
      <c r="AX64" s="817">
        <f t="shared" si="0"/>
        <v>1</v>
      </c>
      <c r="AY64" s="817">
        <v>1</v>
      </c>
      <c r="AZ64" s="817" t="s">
        <v>284</v>
      </c>
      <c r="BA64" s="817">
        <v>1</v>
      </c>
      <c r="BB64" s="817">
        <v>500</v>
      </c>
      <c r="BC64" s="817" t="s">
        <v>645</v>
      </c>
      <c r="BD64" s="817">
        <v>2</v>
      </c>
      <c r="BE64" s="817">
        <v>1</v>
      </c>
      <c r="BF64" s="817">
        <v>2</v>
      </c>
      <c r="BG64" s="817">
        <v>2</v>
      </c>
      <c r="BH64" s="817">
        <v>2</v>
      </c>
      <c r="BI64" s="817">
        <v>1</v>
      </c>
      <c r="BJ64" s="817">
        <v>1</v>
      </c>
      <c r="BK64" s="817">
        <v>4</v>
      </c>
      <c r="BL64" s="817">
        <v>1</v>
      </c>
      <c r="BM64" s="817">
        <v>1</v>
      </c>
      <c r="BN64" s="817">
        <v>1</v>
      </c>
      <c r="BO64" s="817">
        <v>1</v>
      </c>
      <c r="BP64" s="817">
        <v>1</v>
      </c>
      <c r="BQ64" s="817">
        <v>1</v>
      </c>
      <c r="BR64" s="817">
        <v>2</v>
      </c>
      <c r="BS64" s="817">
        <v>1</v>
      </c>
      <c r="BT64" s="817">
        <v>1</v>
      </c>
      <c r="BU64" s="817">
        <v>1</v>
      </c>
      <c r="BV64" s="817">
        <v>1</v>
      </c>
      <c r="BW64" s="817">
        <v>1</v>
      </c>
      <c r="BX64" s="817">
        <v>1</v>
      </c>
      <c r="BY64" s="817">
        <v>1</v>
      </c>
      <c r="BZ64" s="817">
        <v>1</v>
      </c>
      <c r="CA64" s="817">
        <v>1</v>
      </c>
      <c r="CB64" s="817">
        <v>2</v>
      </c>
      <c r="CC64" s="817">
        <v>1</v>
      </c>
      <c r="CD64" s="817">
        <v>1</v>
      </c>
      <c r="CE64" s="817">
        <v>1</v>
      </c>
      <c r="CF64" s="817" t="s">
        <v>511</v>
      </c>
      <c r="CG64" s="817" t="s">
        <v>512</v>
      </c>
      <c r="CH64" s="817">
        <v>1</v>
      </c>
      <c r="CI64" s="817">
        <v>5</v>
      </c>
      <c r="CJ64" s="817">
        <v>5</v>
      </c>
      <c r="CK64" s="817">
        <v>5</v>
      </c>
      <c r="CL64" s="817">
        <v>1</v>
      </c>
      <c r="CM64" s="817">
        <v>1</v>
      </c>
      <c r="CN64" s="817">
        <v>1</v>
      </c>
      <c r="CO64" s="817">
        <v>1</v>
      </c>
      <c r="CP64" s="817">
        <v>60</v>
      </c>
      <c r="CQ64" s="817">
        <v>80</v>
      </c>
      <c r="CR64" s="817">
        <v>24</v>
      </c>
      <c r="CS64" s="817">
        <v>24</v>
      </c>
      <c r="CT64" s="817">
        <v>1</v>
      </c>
      <c r="CU64" s="179"/>
      <c r="CV64" s="179"/>
      <c r="CW64" s="179"/>
      <c r="CX64" s="179"/>
      <c r="CY64" s="179"/>
      <c r="CZ64" s="179"/>
      <c r="DA64" s="179"/>
      <c r="DB64" s="179"/>
      <c r="DC64" s="179"/>
      <c r="DD64" s="179"/>
      <c r="DE64" s="179"/>
      <c r="DF64" s="179"/>
      <c r="DG64" s="179"/>
      <c r="DH64" s="179"/>
      <c r="DI64" s="179"/>
      <c r="DJ64" s="179"/>
      <c r="DK64" s="182"/>
      <c r="DL64" s="5"/>
      <c r="DM64" s="178" t="s">
        <v>96</v>
      </c>
      <c r="DN64" s="871" t="s">
        <v>752</v>
      </c>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row>
    <row r="65" spans="1:253" s="178" customFormat="1" x14ac:dyDescent="0.2">
      <c r="A65" s="817" t="s">
        <v>98</v>
      </c>
      <c r="B65" s="817" t="s">
        <v>63</v>
      </c>
      <c r="C65" s="817" t="s">
        <v>787</v>
      </c>
      <c r="D65" s="817" t="s">
        <v>788</v>
      </c>
      <c r="E65" s="817">
        <v>2800</v>
      </c>
      <c r="F65" s="817">
        <v>1977</v>
      </c>
      <c r="G65" s="817">
        <v>0</v>
      </c>
      <c r="H65" s="817">
        <v>2556860</v>
      </c>
      <c r="I65" s="817">
        <v>1129720</v>
      </c>
      <c r="J65" s="817">
        <v>960</v>
      </c>
      <c r="K65" s="817" t="s">
        <v>646</v>
      </c>
      <c r="L65" s="817" t="s">
        <v>647</v>
      </c>
      <c r="M65" s="817">
        <v>2556875</v>
      </c>
      <c r="N65" s="817">
        <v>1129585</v>
      </c>
      <c r="O65" s="817">
        <v>895</v>
      </c>
      <c r="P65" s="817">
        <v>1000</v>
      </c>
      <c r="Q65" s="817">
        <v>155</v>
      </c>
      <c r="R65" s="817"/>
      <c r="S65" s="817"/>
      <c r="T65" s="817">
        <v>10</v>
      </c>
      <c r="U65" s="817">
        <v>85</v>
      </c>
      <c r="V65" s="817">
        <v>0.8</v>
      </c>
      <c r="W65" s="817">
        <v>85</v>
      </c>
      <c r="X65" s="817"/>
      <c r="Y65" s="817"/>
      <c r="Z65" s="817">
        <v>0.3</v>
      </c>
      <c r="AA65" s="817">
        <v>20</v>
      </c>
      <c r="AB65" s="817"/>
      <c r="AC65" s="817">
        <v>345</v>
      </c>
      <c r="AD65" s="817">
        <v>3872</v>
      </c>
      <c r="AE65" s="817"/>
      <c r="AF65" s="817" t="s">
        <v>237</v>
      </c>
      <c r="AG65" s="817">
        <v>0</v>
      </c>
      <c r="AH65" s="817">
        <v>0</v>
      </c>
      <c r="AI65" s="817">
        <v>12</v>
      </c>
      <c r="AJ65" s="817">
        <v>0</v>
      </c>
      <c r="AK65" s="817">
        <v>0</v>
      </c>
      <c r="AL65" s="817">
        <v>12</v>
      </c>
      <c r="AM65" s="817">
        <v>24</v>
      </c>
      <c r="AN65" s="817">
        <v>24</v>
      </c>
      <c r="AO65" s="817">
        <v>24</v>
      </c>
      <c r="AP65" s="817">
        <v>0</v>
      </c>
      <c r="AQ65" s="817">
        <v>0</v>
      </c>
      <c r="AR65" s="817">
        <v>12</v>
      </c>
      <c r="AS65" s="817">
        <v>24</v>
      </c>
      <c r="AT65" s="817">
        <v>24</v>
      </c>
      <c r="AU65" s="817">
        <v>0</v>
      </c>
      <c r="AV65" s="817">
        <v>24</v>
      </c>
      <c r="AW65" s="817">
        <v>52</v>
      </c>
      <c r="AX65" s="817">
        <f t="shared" si="0"/>
        <v>1</v>
      </c>
      <c r="AY65" s="817">
        <v>1</v>
      </c>
      <c r="AZ65" s="817" t="s">
        <v>284</v>
      </c>
      <c r="BA65" s="817">
        <v>1</v>
      </c>
      <c r="BB65" s="817">
        <v>0</v>
      </c>
      <c r="BC65" s="817"/>
      <c r="BD65" s="817">
        <v>1</v>
      </c>
      <c r="BE65" s="817">
        <v>1</v>
      </c>
      <c r="BF65" s="817">
        <v>2</v>
      </c>
      <c r="BG65" s="817">
        <v>2</v>
      </c>
      <c r="BH65" s="817">
        <v>2</v>
      </c>
      <c r="BI65" s="817">
        <v>1</v>
      </c>
      <c r="BJ65" s="817">
        <v>1</v>
      </c>
      <c r="BK65" s="817">
        <v>4</v>
      </c>
      <c r="BL65" s="817">
        <v>2</v>
      </c>
      <c r="BM65" s="817">
        <v>1</v>
      </c>
      <c r="BN65" s="817">
        <v>1</v>
      </c>
      <c r="BO65" s="817">
        <v>1</v>
      </c>
      <c r="BP65" s="817">
        <v>1</v>
      </c>
      <c r="BQ65" s="817">
        <v>1</v>
      </c>
      <c r="BR65" s="817">
        <v>2</v>
      </c>
      <c r="BS65" s="817">
        <v>1</v>
      </c>
      <c r="BT65" s="817">
        <v>1</v>
      </c>
      <c r="BU65" s="817">
        <v>1</v>
      </c>
      <c r="BV65" s="817">
        <v>1</v>
      </c>
      <c r="BW65" s="817">
        <v>1</v>
      </c>
      <c r="BX65" s="817">
        <v>1</v>
      </c>
      <c r="BY65" s="817">
        <v>1</v>
      </c>
      <c r="BZ65" s="817">
        <v>1</v>
      </c>
      <c r="CA65" s="817">
        <v>1</v>
      </c>
      <c r="CB65" s="817">
        <v>2</v>
      </c>
      <c r="CC65" s="817">
        <v>2</v>
      </c>
      <c r="CD65" s="817">
        <v>1</v>
      </c>
      <c r="CE65" s="817">
        <v>1</v>
      </c>
      <c r="CF65" s="817" t="s">
        <v>511</v>
      </c>
      <c r="CG65" s="817" t="s">
        <v>512</v>
      </c>
      <c r="CH65" s="817">
        <v>1</v>
      </c>
      <c r="CI65" s="817">
        <v>5</v>
      </c>
      <c r="CJ65" s="817">
        <v>5</v>
      </c>
      <c r="CK65" s="817">
        <v>5</v>
      </c>
      <c r="CL65" s="817">
        <v>1</v>
      </c>
      <c r="CM65" s="817">
        <v>1</v>
      </c>
      <c r="CN65" s="817">
        <v>1</v>
      </c>
      <c r="CO65" s="817">
        <v>1</v>
      </c>
      <c r="CP65" s="817">
        <v>60</v>
      </c>
      <c r="CQ65" s="817">
        <v>80</v>
      </c>
      <c r="CR65" s="817">
        <v>24</v>
      </c>
      <c r="CS65" s="817">
        <v>24</v>
      </c>
      <c r="CT65" s="817">
        <v>1</v>
      </c>
      <c r="CU65" s="179"/>
      <c r="CV65" s="179"/>
      <c r="CW65" s="179"/>
      <c r="CX65" s="179"/>
      <c r="CY65" s="179"/>
      <c r="CZ65" s="179"/>
      <c r="DA65" s="179"/>
      <c r="DB65" s="179"/>
      <c r="DC65" s="179"/>
      <c r="DD65" s="179"/>
      <c r="DE65" s="179"/>
      <c r="DF65" s="179"/>
      <c r="DG65" s="179"/>
      <c r="DH65" s="179"/>
      <c r="DI65" s="179"/>
      <c r="DJ65" s="179"/>
      <c r="DK65" s="182"/>
      <c r="DL65" s="5"/>
      <c r="DM65" s="178" t="s">
        <v>98</v>
      </c>
      <c r="DN65" s="871" t="s">
        <v>753</v>
      </c>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row>
    <row r="66" spans="1:253" s="178" customFormat="1" x14ac:dyDescent="0.2">
      <c r="A66" s="817" t="s">
        <v>91</v>
      </c>
      <c r="B66" s="817" t="s">
        <v>66</v>
      </c>
      <c r="C66" s="817" t="s">
        <v>789</v>
      </c>
      <c r="D66" s="817" t="s">
        <v>790</v>
      </c>
      <c r="E66" s="817">
        <v>5000</v>
      </c>
      <c r="F66" s="817">
        <v>1970</v>
      </c>
      <c r="G66" s="817">
        <v>2003</v>
      </c>
      <c r="H66" s="817">
        <v>2557780</v>
      </c>
      <c r="I66" s="817">
        <v>1132730</v>
      </c>
      <c r="J66" s="817">
        <v>380</v>
      </c>
      <c r="K66" s="817" t="s">
        <v>465</v>
      </c>
      <c r="L66" s="817" t="s">
        <v>465</v>
      </c>
      <c r="M66" s="817">
        <v>2557890</v>
      </c>
      <c r="N66" s="817">
        <v>1132730</v>
      </c>
      <c r="O66" s="817">
        <v>376</v>
      </c>
      <c r="P66" s="817">
        <v>1800</v>
      </c>
      <c r="Q66" s="817">
        <v>1000</v>
      </c>
      <c r="R66" s="817"/>
      <c r="S66" s="817"/>
      <c r="T66" s="817">
        <v>10</v>
      </c>
      <c r="U66" s="817">
        <v>85</v>
      </c>
      <c r="V66" s="817">
        <v>0.8</v>
      </c>
      <c r="W66" s="817">
        <v>85</v>
      </c>
      <c r="X66" s="817"/>
      <c r="Y66" s="817"/>
      <c r="Z66" s="817">
        <v>0.3</v>
      </c>
      <c r="AA66" s="817">
        <v>20</v>
      </c>
      <c r="AB66" s="817"/>
      <c r="AC66" s="817">
        <v>3850</v>
      </c>
      <c r="AD66" s="817">
        <v>847</v>
      </c>
      <c r="AE66" s="817"/>
      <c r="AF66" s="817" t="s">
        <v>237</v>
      </c>
      <c r="AG66" s="817">
        <v>0</v>
      </c>
      <c r="AH66" s="817">
        <v>0</v>
      </c>
      <c r="AI66" s="817">
        <v>12</v>
      </c>
      <c r="AJ66" s="817">
        <v>0</v>
      </c>
      <c r="AK66" s="817">
        <v>0</v>
      </c>
      <c r="AL66" s="817">
        <v>12</v>
      </c>
      <c r="AM66" s="817">
        <v>52</v>
      </c>
      <c r="AN66" s="817">
        <v>52</v>
      </c>
      <c r="AO66" s="817">
        <v>24</v>
      </c>
      <c r="AP66" s="817">
        <v>0</v>
      </c>
      <c r="AQ66" s="817">
        <v>0</v>
      </c>
      <c r="AR66" s="817">
        <v>12</v>
      </c>
      <c r="AS66" s="817">
        <v>52</v>
      </c>
      <c r="AT66" s="817">
        <v>52</v>
      </c>
      <c r="AU66" s="817">
        <v>0</v>
      </c>
      <c r="AV66" s="817">
        <v>52</v>
      </c>
      <c r="AW66" s="817">
        <v>52</v>
      </c>
      <c r="AX66" s="817">
        <f t="shared" si="0"/>
        <v>1</v>
      </c>
      <c r="AY66" s="817">
        <v>1</v>
      </c>
      <c r="AZ66" s="817" t="s">
        <v>658</v>
      </c>
      <c r="BA66" s="817">
        <v>1</v>
      </c>
      <c r="BB66" s="817">
        <v>0</v>
      </c>
      <c r="BC66" s="817"/>
      <c r="BD66" s="817">
        <v>1</v>
      </c>
      <c r="BE66" s="817">
        <v>1</v>
      </c>
      <c r="BF66" s="817">
        <v>2</v>
      </c>
      <c r="BG66" s="817">
        <v>2</v>
      </c>
      <c r="BH66" s="817">
        <v>2</v>
      </c>
      <c r="BI66" s="817">
        <v>1</v>
      </c>
      <c r="BJ66" s="817">
        <v>1</v>
      </c>
      <c r="BK66" s="817">
        <v>1</v>
      </c>
      <c r="BL66" s="817">
        <v>2</v>
      </c>
      <c r="BM66" s="817">
        <v>1</v>
      </c>
      <c r="BN66" s="817">
        <v>1</v>
      </c>
      <c r="BO66" s="817">
        <v>1</v>
      </c>
      <c r="BP66" s="817">
        <v>1</v>
      </c>
      <c r="BQ66" s="817">
        <v>1</v>
      </c>
      <c r="BR66" s="817">
        <v>2</v>
      </c>
      <c r="BS66" s="817">
        <v>1</v>
      </c>
      <c r="BT66" s="817">
        <v>1</v>
      </c>
      <c r="BU66" s="817">
        <v>1</v>
      </c>
      <c r="BV66" s="817">
        <v>1</v>
      </c>
      <c r="BW66" s="817">
        <v>1</v>
      </c>
      <c r="BX66" s="817">
        <v>1</v>
      </c>
      <c r="BY66" s="817">
        <v>1</v>
      </c>
      <c r="BZ66" s="817">
        <v>1</v>
      </c>
      <c r="CA66" s="817">
        <v>1</v>
      </c>
      <c r="CB66" s="817">
        <v>2</v>
      </c>
      <c r="CC66" s="817">
        <v>2</v>
      </c>
      <c r="CD66" s="817">
        <v>1</v>
      </c>
      <c r="CE66" s="817">
        <v>1</v>
      </c>
      <c r="CF66" s="817" t="s">
        <v>511</v>
      </c>
      <c r="CG66" s="817" t="s">
        <v>512</v>
      </c>
      <c r="CH66" s="817">
        <v>1</v>
      </c>
      <c r="CI66" s="817">
        <v>5</v>
      </c>
      <c r="CJ66" s="817">
        <v>5</v>
      </c>
      <c r="CK66" s="817">
        <v>4</v>
      </c>
      <c r="CL66" s="817">
        <v>1</v>
      </c>
      <c r="CM66" s="817">
        <v>1</v>
      </c>
      <c r="CN66" s="817">
        <v>1</v>
      </c>
      <c r="CO66" s="817">
        <v>1</v>
      </c>
      <c r="CP66" s="817">
        <v>60</v>
      </c>
      <c r="CQ66" s="817">
        <v>80</v>
      </c>
      <c r="CR66" s="817">
        <v>52</v>
      </c>
      <c r="CS66" s="817">
        <v>52</v>
      </c>
      <c r="CT66" s="817">
        <v>1</v>
      </c>
      <c r="CU66" s="179"/>
      <c r="CV66" s="179"/>
      <c r="CW66" s="179"/>
      <c r="CX66" s="179"/>
      <c r="CY66" s="179"/>
      <c r="CZ66" s="179"/>
      <c r="DA66" s="179"/>
      <c r="DB66" s="179"/>
      <c r="DC66" s="179"/>
      <c r="DD66" s="179"/>
      <c r="DE66" s="179"/>
      <c r="DF66" s="179"/>
      <c r="DG66" s="179"/>
      <c r="DH66" s="179"/>
      <c r="DI66" s="179"/>
      <c r="DJ66" s="179"/>
      <c r="DK66" s="182"/>
      <c r="DL66" s="5"/>
      <c r="DM66" s="178" t="s">
        <v>91</v>
      </c>
      <c r="DN66" s="871" t="s">
        <v>754</v>
      </c>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row>
    <row r="67" spans="1:253" s="92" customFormat="1" x14ac:dyDescent="0.2">
      <c r="A67" s="817" t="s">
        <v>661</v>
      </c>
      <c r="B67" s="817" t="s">
        <v>35</v>
      </c>
      <c r="C67" s="817" t="s">
        <v>228</v>
      </c>
      <c r="D67" s="817" t="s">
        <v>570</v>
      </c>
      <c r="E67" s="817">
        <v>3000</v>
      </c>
      <c r="F67" s="817">
        <v>2021</v>
      </c>
      <c r="G67" s="817">
        <v>0</v>
      </c>
      <c r="H67" s="817">
        <v>2625556</v>
      </c>
      <c r="I67" s="817">
        <v>1138445</v>
      </c>
      <c r="J67" s="817">
        <v>1340</v>
      </c>
      <c r="K67" s="817" t="s">
        <v>480</v>
      </c>
      <c r="L67" s="817" t="s">
        <v>465</v>
      </c>
      <c r="M67" s="817">
        <v>2625520</v>
      </c>
      <c r="N67" s="817">
        <v>1138389</v>
      </c>
      <c r="O67" s="817">
        <v>1330</v>
      </c>
      <c r="P67" s="817">
        <v>1500</v>
      </c>
      <c r="Q67" s="817"/>
      <c r="R67" s="817"/>
      <c r="S67" s="817"/>
      <c r="T67" s="817"/>
      <c r="U67" s="817"/>
      <c r="V67" s="817">
        <v>0.8</v>
      </c>
      <c r="W67" s="817">
        <v>80</v>
      </c>
      <c r="X67" s="817"/>
      <c r="Y67" s="817"/>
      <c r="Z67" s="817">
        <v>0.3</v>
      </c>
      <c r="AA67" s="817">
        <v>20</v>
      </c>
      <c r="AB67" s="817"/>
      <c r="AC67" s="817">
        <v>330</v>
      </c>
      <c r="AD67" s="817">
        <v>210</v>
      </c>
      <c r="AE67" s="817"/>
      <c r="AF67" s="817" t="s">
        <v>237</v>
      </c>
      <c r="AG67" s="817">
        <v>0</v>
      </c>
      <c r="AH67" s="817">
        <v>0</v>
      </c>
      <c r="AI67" s="817">
        <v>12</v>
      </c>
      <c r="AJ67" s="817">
        <v>0</v>
      </c>
      <c r="AK67" s="817">
        <v>0</v>
      </c>
      <c r="AL67" s="817">
        <v>12</v>
      </c>
      <c r="AM67" s="817">
        <v>24</v>
      </c>
      <c r="AN67" s="817">
        <v>24</v>
      </c>
      <c r="AO67" s="817">
        <v>24</v>
      </c>
      <c r="AP67" s="817">
        <v>0</v>
      </c>
      <c r="AQ67" s="817">
        <v>0</v>
      </c>
      <c r="AR67" s="817">
        <v>12</v>
      </c>
      <c r="AS67" s="817">
        <v>24</v>
      </c>
      <c r="AT67" s="817">
        <v>24</v>
      </c>
      <c r="AU67" s="817">
        <v>0</v>
      </c>
      <c r="AV67" s="817">
        <v>24</v>
      </c>
      <c r="AW67" s="817">
        <v>52</v>
      </c>
      <c r="AX67" s="817">
        <f t="shared" ref="AX67:AX68" si="1">IF(E67&lt;2000,0,1)</f>
        <v>1</v>
      </c>
      <c r="AY67" s="817">
        <v>2</v>
      </c>
      <c r="AZ67" s="817" t="s">
        <v>770</v>
      </c>
      <c r="BA67" s="817">
        <v>1</v>
      </c>
      <c r="BB67" s="817">
        <v>0</v>
      </c>
      <c r="BC67" s="817"/>
      <c r="BD67" s="817">
        <v>1</v>
      </c>
      <c r="BE67" s="817">
        <v>2</v>
      </c>
      <c r="BF67" s="817">
        <v>1</v>
      </c>
      <c r="BG67" s="817">
        <v>1</v>
      </c>
      <c r="BH67" s="817">
        <v>2</v>
      </c>
      <c r="BI67" s="817">
        <v>1</v>
      </c>
      <c r="BJ67" s="817">
        <v>2</v>
      </c>
      <c r="BK67" s="817">
        <v>1</v>
      </c>
      <c r="BL67" s="817"/>
      <c r="BM67" s="817">
        <v>1</v>
      </c>
      <c r="BN67" s="817">
        <v>1</v>
      </c>
      <c r="BO67" s="817">
        <v>1</v>
      </c>
      <c r="BP67" s="817">
        <v>1</v>
      </c>
      <c r="BQ67" s="817">
        <v>1</v>
      </c>
      <c r="BR67" s="817">
        <v>1</v>
      </c>
      <c r="BS67" s="817">
        <v>1</v>
      </c>
      <c r="BT67" s="817">
        <v>1</v>
      </c>
      <c r="BU67" s="817">
        <v>1</v>
      </c>
      <c r="BV67" s="817">
        <v>1</v>
      </c>
      <c r="BW67" s="817">
        <v>1</v>
      </c>
      <c r="BX67" s="817">
        <v>1</v>
      </c>
      <c r="BY67" s="817">
        <v>1</v>
      </c>
      <c r="BZ67" s="817">
        <v>1</v>
      </c>
      <c r="CA67" s="817">
        <v>1</v>
      </c>
      <c r="CB67" s="817">
        <v>0</v>
      </c>
      <c r="CC67" s="817">
        <v>1</v>
      </c>
      <c r="CD67" s="817">
        <v>1</v>
      </c>
      <c r="CE67" s="817">
        <v>1</v>
      </c>
      <c r="CF67" s="817" t="s">
        <v>481</v>
      </c>
      <c r="CG67" s="817" t="s">
        <v>482</v>
      </c>
      <c r="CH67" s="817"/>
      <c r="CI67" s="817">
        <v>4</v>
      </c>
      <c r="CJ67" s="817">
        <v>5</v>
      </c>
      <c r="CK67" s="817"/>
      <c r="CL67" s="817">
        <v>1</v>
      </c>
      <c r="CM67" s="817">
        <v>1</v>
      </c>
      <c r="CN67" s="817">
        <v>1</v>
      </c>
      <c r="CO67" s="817">
        <v>1</v>
      </c>
      <c r="CP67" s="817">
        <v>60</v>
      </c>
      <c r="CQ67" s="817">
        <v>80</v>
      </c>
      <c r="CR67" s="817">
        <v>24</v>
      </c>
      <c r="CS67" s="817">
        <v>24</v>
      </c>
      <c r="CT67" s="817">
        <v>1</v>
      </c>
      <c r="CU67" s="160"/>
      <c r="CV67" s="160"/>
      <c r="CW67" s="160"/>
      <c r="CX67" s="160"/>
      <c r="CY67" s="160"/>
      <c r="CZ67" s="160"/>
      <c r="DA67" s="160"/>
      <c r="DB67" s="160"/>
      <c r="DC67" s="160"/>
      <c r="DD67" s="160"/>
      <c r="DE67" s="160"/>
      <c r="DF67" s="160"/>
      <c r="DG67" s="160"/>
      <c r="DH67" s="160"/>
      <c r="DI67" s="160"/>
      <c r="DJ67" s="160"/>
      <c r="DK67" s="167"/>
      <c r="DL67" s="817"/>
      <c r="DM67" s="873" t="s">
        <v>100</v>
      </c>
      <c r="DN67" s="871" t="s">
        <v>755</v>
      </c>
      <c r="DO67" s="817"/>
      <c r="DP67" s="817"/>
      <c r="DQ67" s="817"/>
      <c r="DR67" s="817"/>
      <c r="DS67" s="817"/>
      <c r="DT67" s="817"/>
      <c r="DU67" s="817"/>
      <c r="DV67" s="817"/>
      <c r="DW67" s="817"/>
      <c r="DX67" s="817"/>
      <c r="DY67" s="817"/>
      <c r="DZ67" s="817"/>
      <c r="EA67" s="817"/>
      <c r="EB67" s="817"/>
      <c r="EC67" s="817"/>
      <c r="ED67" s="817"/>
      <c r="EE67" s="817"/>
      <c r="EF67" s="817"/>
      <c r="EG67" s="817"/>
      <c r="EH67" s="817"/>
      <c r="EI67" s="817"/>
      <c r="EJ67" s="817"/>
      <c r="EK67" s="817"/>
      <c r="EL67" s="817"/>
      <c r="EM67" s="817"/>
      <c r="EN67" s="817"/>
      <c r="EO67" s="817"/>
      <c r="EP67" s="817"/>
      <c r="EQ67" s="817"/>
      <c r="ER67" s="817"/>
      <c r="ES67" s="817"/>
      <c r="ET67" s="817"/>
      <c r="EU67" s="817"/>
      <c r="EV67" s="817"/>
      <c r="EW67" s="817"/>
      <c r="EX67" s="817"/>
      <c r="EY67" s="817"/>
      <c r="EZ67" s="817"/>
      <c r="FA67" s="817"/>
      <c r="FB67" s="817"/>
      <c r="FC67" s="817"/>
      <c r="FD67" s="817"/>
      <c r="FE67" s="817"/>
      <c r="FF67" s="817"/>
      <c r="FG67" s="817"/>
      <c r="FH67" s="817"/>
      <c r="FI67" s="817"/>
      <c r="FJ67" s="817"/>
      <c r="FK67" s="817"/>
      <c r="FL67" s="817"/>
      <c r="FM67" s="817"/>
      <c r="FN67" s="817"/>
      <c r="FO67" s="817"/>
      <c r="FP67" s="817"/>
      <c r="FQ67" s="817"/>
      <c r="FR67" s="817"/>
      <c r="FS67" s="817"/>
      <c r="FT67" s="817"/>
      <c r="FU67" s="817"/>
      <c r="FV67" s="817"/>
      <c r="FW67" s="817"/>
      <c r="FX67" s="817"/>
      <c r="FY67" s="817"/>
      <c r="FZ67" s="817"/>
      <c r="GA67" s="817"/>
      <c r="GB67" s="817"/>
      <c r="GC67" s="817"/>
      <c r="GD67" s="817"/>
      <c r="GE67" s="817"/>
      <c r="GF67" s="817"/>
      <c r="GG67" s="817"/>
      <c r="GH67" s="817"/>
      <c r="GI67" s="817"/>
      <c r="GJ67" s="817"/>
      <c r="GK67" s="817"/>
      <c r="GL67" s="817"/>
      <c r="GM67" s="817"/>
      <c r="GN67" s="817"/>
      <c r="GO67" s="817"/>
      <c r="GP67" s="817"/>
      <c r="GQ67" s="817"/>
      <c r="GR67" s="817"/>
      <c r="GS67" s="817"/>
      <c r="GT67" s="817"/>
      <c r="GU67" s="817"/>
      <c r="GV67" s="817"/>
      <c r="GW67" s="817"/>
      <c r="GX67" s="817"/>
      <c r="GY67" s="817"/>
      <c r="GZ67" s="817"/>
      <c r="HA67" s="817"/>
      <c r="HB67" s="817"/>
      <c r="HC67" s="817"/>
      <c r="HD67" s="817"/>
      <c r="HE67" s="817"/>
      <c r="HF67" s="817"/>
      <c r="HG67" s="817"/>
      <c r="HH67" s="817"/>
      <c r="HI67" s="817"/>
      <c r="HJ67" s="817"/>
      <c r="HK67" s="817"/>
      <c r="HL67" s="817"/>
      <c r="HM67" s="817"/>
      <c r="HN67" s="817"/>
      <c r="HO67" s="817"/>
      <c r="HP67" s="817"/>
      <c r="HQ67" s="817"/>
      <c r="HR67" s="817"/>
      <c r="HS67" s="817"/>
      <c r="HT67" s="817"/>
      <c r="HU67" s="817"/>
      <c r="HV67" s="817"/>
      <c r="HW67" s="817"/>
      <c r="HX67" s="817"/>
      <c r="HY67" s="817"/>
      <c r="HZ67" s="817"/>
      <c r="IA67" s="817"/>
      <c r="IB67" s="817"/>
      <c r="IC67" s="817"/>
      <c r="ID67" s="817"/>
      <c r="IE67" s="817"/>
      <c r="IF67" s="817"/>
      <c r="IG67" s="817"/>
      <c r="IH67" s="817"/>
      <c r="II67" s="817"/>
      <c r="IJ67" s="817"/>
      <c r="IK67" s="817"/>
      <c r="IL67" s="817"/>
      <c r="IM67" s="817"/>
      <c r="IN67" s="817"/>
      <c r="IO67" s="817"/>
      <c r="IP67" s="817"/>
      <c r="IQ67" s="817"/>
      <c r="IR67" s="817"/>
      <c r="IS67" s="817"/>
    </row>
    <row r="68" spans="1:253" s="178" customFormat="1" x14ac:dyDescent="0.2">
      <c r="A68" s="817" t="s">
        <v>74</v>
      </c>
      <c r="B68" s="817" t="s">
        <v>68</v>
      </c>
      <c r="C68" s="817" t="s">
        <v>648</v>
      </c>
      <c r="D68" s="817" t="s">
        <v>649</v>
      </c>
      <c r="E68" s="817">
        <v>60000</v>
      </c>
      <c r="F68" s="817">
        <v>1983</v>
      </c>
      <c r="G68" s="817">
        <v>2013</v>
      </c>
      <c r="H68" s="817">
        <v>2624350</v>
      </c>
      <c r="I68" s="817">
        <v>1097575</v>
      </c>
      <c r="J68" s="817">
        <v>1589</v>
      </c>
      <c r="K68" s="817" t="s">
        <v>487</v>
      </c>
      <c r="L68" s="817" t="s">
        <v>488</v>
      </c>
      <c r="M68" s="817">
        <v>2624742</v>
      </c>
      <c r="N68" s="817">
        <v>1097982</v>
      </c>
      <c r="O68" s="817">
        <v>1560</v>
      </c>
      <c r="P68" s="817">
        <v>24192</v>
      </c>
      <c r="Q68" s="817">
        <v>2920</v>
      </c>
      <c r="R68" s="817"/>
      <c r="S68" s="817"/>
      <c r="T68" s="817">
        <v>10</v>
      </c>
      <c r="U68" s="817">
        <v>85</v>
      </c>
      <c r="V68" s="817">
        <v>0.5</v>
      </c>
      <c r="W68" s="817">
        <v>90</v>
      </c>
      <c r="X68" s="817">
        <v>2</v>
      </c>
      <c r="Y68" s="817">
        <v>90</v>
      </c>
      <c r="Z68" s="817">
        <v>0.3</v>
      </c>
      <c r="AA68" s="817">
        <v>10</v>
      </c>
      <c r="AB68" s="817"/>
      <c r="AC68" s="817">
        <v>5600</v>
      </c>
      <c r="AD68" s="817">
        <v>29704</v>
      </c>
      <c r="AE68" s="817"/>
      <c r="AF68" s="817" t="s">
        <v>237</v>
      </c>
      <c r="AG68" s="817">
        <v>0</v>
      </c>
      <c r="AH68" s="817">
        <v>0</v>
      </c>
      <c r="AI68" s="817">
        <v>12</v>
      </c>
      <c r="AJ68" s="817">
        <v>0</v>
      </c>
      <c r="AK68" s="817">
        <v>0</v>
      </c>
      <c r="AL68" s="817">
        <v>12</v>
      </c>
      <c r="AM68" s="817">
        <v>104</v>
      </c>
      <c r="AN68" s="817">
        <v>104</v>
      </c>
      <c r="AO68" s="817">
        <v>24</v>
      </c>
      <c r="AP68" s="817">
        <v>0</v>
      </c>
      <c r="AQ68" s="817">
        <v>0</v>
      </c>
      <c r="AR68" s="817">
        <v>12</v>
      </c>
      <c r="AS68" s="817">
        <v>104</v>
      </c>
      <c r="AT68" s="817">
        <v>104</v>
      </c>
      <c r="AU68" s="817">
        <v>0</v>
      </c>
      <c r="AV68" s="817">
        <v>52</v>
      </c>
      <c r="AW68" s="817">
        <v>52</v>
      </c>
      <c r="AX68" s="817">
        <f t="shared" si="1"/>
        <v>1</v>
      </c>
      <c r="AY68" s="817">
        <v>2</v>
      </c>
      <c r="AZ68" s="817" t="s">
        <v>166</v>
      </c>
      <c r="BA68" s="817">
        <v>1</v>
      </c>
      <c r="BB68" s="817">
        <v>0</v>
      </c>
      <c r="BC68" s="817" t="s">
        <v>773</v>
      </c>
      <c r="BD68" s="817">
        <v>2</v>
      </c>
      <c r="BE68" s="817">
        <v>1</v>
      </c>
      <c r="BF68" s="817">
        <v>2</v>
      </c>
      <c r="BG68" s="817">
        <v>2</v>
      </c>
      <c r="BH68" s="817">
        <v>2</v>
      </c>
      <c r="BI68" s="817">
        <v>1</v>
      </c>
      <c r="BJ68" s="817">
        <v>1</v>
      </c>
      <c r="BK68" s="817">
        <v>1</v>
      </c>
      <c r="BL68" s="817"/>
      <c r="BM68" s="817">
        <v>1</v>
      </c>
      <c r="BN68" s="817">
        <v>1</v>
      </c>
      <c r="BO68" s="817">
        <v>1</v>
      </c>
      <c r="BP68" s="817">
        <v>1</v>
      </c>
      <c r="BQ68" s="817">
        <v>1</v>
      </c>
      <c r="BR68" s="817">
        <v>1</v>
      </c>
      <c r="BS68" s="817">
        <v>1</v>
      </c>
      <c r="BT68" s="817">
        <v>1</v>
      </c>
      <c r="BU68" s="817">
        <v>2</v>
      </c>
      <c r="BV68" s="817">
        <v>1</v>
      </c>
      <c r="BW68" s="817">
        <v>1</v>
      </c>
      <c r="BX68" s="817">
        <v>1</v>
      </c>
      <c r="BY68" s="817">
        <v>1</v>
      </c>
      <c r="BZ68" s="817">
        <v>1</v>
      </c>
      <c r="CA68" s="817">
        <v>1</v>
      </c>
      <c r="CB68" s="817">
        <v>1</v>
      </c>
      <c r="CC68" s="817">
        <v>1</v>
      </c>
      <c r="CD68" s="817">
        <v>1</v>
      </c>
      <c r="CE68" s="817">
        <v>1</v>
      </c>
      <c r="CF68" s="817" t="s">
        <v>650</v>
      </c>
      <c r="CG68" s="817" t="s">
        <v>651</v>
      </c>
      <c r="CH68" s="817"/>
      <c r="CI68" s="817">
        <v>5</v>
      </c>
      <c r="CJ68" s="817">
        <v>5</v>
      </c>
      <c r="CK68" s="817">
        <v>4</v>
      </c>
      <c r="CL68" s="817">
        <v>1</v>
      </c>
      <c r="CM68" s="817">
        <v>1</v>
      </c>
      <c r="CN68" s="817">
        <v>1</v>
      </c>
      <c r="CO68" s="817">
        <v>1</v>
      </c>
      <c r="CP68" s="817">
        <v>45</v>
      </c>
      <c r="CQ68" s="817">
        <v>85</v>
      </c>
      <c r="CR68" s="817">
        <v>52</v>
      </c>
      <c r="CS68" s="817">
        <v>52</v>
      </c>
      <c r="CT68" s="817">
        <v>1</v>
      </c>
      <c r="CU68" s="179"/>
      <c r="CV68" s="179"/>
      <c r="CW68" s="179"/>
      <c r="CX68" s="179"/>
      <c r="CY68" s="179"/>
      <c r="CZ68" s="179"/>
      <c r="DA68" s="179"/>
      <c r="DB68" s="179"/>
      <c r="DC68" s="179"/>
      <c r="DD68" s="179"/>
      <c r="DE68" s="179"/>
      <c r="DF68" s="179"/>
      <c r="DG68" s="179"/>
      <c r="DH68" s="179"/>
      <c r="DI68" s="179"/>
      <c r="DJ68" s="179"/>
      <c r="DK68" s="182"/>
      <c r="DL68" s="5"/>
      <c r="DM68" s="873" t="s">
        <v>74</v>
      </c>
      <c r="DN68" s="871" t="s">
        <v>756</v>
      </c>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row>
    <row r="69" spans="1:253" s="178" customFormat="1" ht="11.25" customHeight="1" x14ac:dyDescent="0.2">
      <c r="A69" s="179" t="s">
        <v>291</v>
      </c>
      <c r="B69" s="180" t="s">
        <v>252</v>
      </c>
      <c r="C69" s="180"/>
      <c r="D69" s="181"/>
      <c r="E69" s="309">
        <v>60009</v>
      </c>
      <c r="F69" s="788">
        <v>1983</v>
      </c>
      <c r="G69" s="789">
        <v>2013</v>
      </c>
      <c r="H69" s="789" t="s">
        <v>652</v>
      </c>
      <c r="I69" s="789" t="s">
        <v>653</v>
      </c>
      <c r="J69" s="789">
        <v>1598</v>
      </c>
      <c r="K69" s="789" t="s">
        <v>487</v>
      </c>
      <c r="L69" s="789"/>
      <c r="M69" s="789" t="s">
        <v>654</v>
      </c>
      <c r="N69" s="789" t="s">
        <v>655</v>
      </c>
      <c r="O69" s="789">
        <v>1560</v>
      </c>
      <c r="P69" s="789">
        <v>17000</v>
      </c>
      <c r="Q69" s="789">
        <v>0</v>
      </c>
      <c r="R69" s="310">
        <v>10</v>
      </c>
      <c r="S69" s="310">
        <v>90</v>
      </c>
      <c r="T69" s="310">
        <v>10</v>
      </c>
      <c r="U69" s="310">
        <v>85</v>
      </c>
      <c r="V69" s="310">
        <v>0.5</v>
      </c>
      <c r="W69" s="310">
        <v>90</v>
      </c>
      <c r="X69" s="310">
        <v>2</v>
      </c>
      <c r="Y69" s="310">
        <v>90</v>
      </c>
      <c r="Z69" s="310">
        <v>0.3</v>
      </c>
      <c r="AA69" s="789">
        <v>10</v>
      </c>
      <c r="AB69" s="789"/>
      <c r="AC69" s="310">
        <v>5726</v>
      </c>
      <c r="AD69" s="310">
        <v>15120</v>
      </c>
      <c r="AE69" s="310"/>
      <c r="AF69" s="310" t="s">
        <v>479</v>
      </c>
      <c r="AG69" s="310">
        <v>52</v>
      </c>
      <c r="AH69" s="310">
        <v>52</v>
      </c>
      <c r="AI69" s="310">
        <v>12</v>
      </c>
      <c r="AJ69" s="310">
        <v>0</v>
      </c>
      <c r="AK69" s="310">
        <v>0</v>
      </c>
      <c r="AL69" s="310">
        <v>12</v>
      </c>
      <c r="AM69" s="310">
        <v>104</v>
      </c>
      <c r="AN69" s="310">
        <v>104</v>
      </c>
      <c r="AO69" s="310">
        <v>24</v>
      </c>
      <c r="AP69" s="310">
        <v>0</v>
      </c>
      <c r="AQ69" s="310">
        <v>0</v>
      </c>
      <c r="AR69" s="310">
        <v>12</v>
      </c>
      <c r="AS69" s="310">
        <v>104</v>
      </c>
      <c r="AT69" s="310">
        <v>104</v>
      </c>
      <c r="AU69" s="310">
        <v>0</v>
      </c>
      <c r="AV69" s="310">
        <v>52</v>
      </c>
      <c r="AW69" s="310">
        <v>52</v>
      </c>
      <c r="AX69" s="310">
        <v>1</v>
      </c>
      <c r="AY69" s="310">
        <v>2</v>
      </c>
      <c r="AZ69" s="310"/>
      <c r="BA69" s="310">
        <v>1</v>
      </c>
      <c r="BB69" s="310">
        <v>0</v>
      </c>
      <c r="BC69" s="311" t="s">
        <v>116</v>
      </c>
      <c r="BD69" s="310">
        <v>2</v>
      </c>
      <c r="BE69" s="310">
        <v>1</v>
      </c>
      <c r="BF69" s="310">
        <v>2</v>
      </c>
      <c r="BG69" s="310">
        <v>2</v>
      </c>
      <c r="BH69" s="310">
        <v>2</v>
      </c>
      <c r="BI69" s="310">
        <v>1</v>
      </c>
      <c r="BJ69" s="310">
        <v>1</v>
      </c>
      <c r="BK69" s="310">
        <v>1</v>
      </c>
      <c r="BL69" s="310">
        <v>6</v>
      </c>
      <c r="BM69" s="310">
        <v>1</v>
      </c>
      <c r="BN69" s="310">
        <v>1</v>
      </c>
      <c r="BO69" s="310">
        <v>1</v>
      </c>
      <c r="BP69" s="310">
        <v>1</v>
      </c>
      <c r="BQ69" s="310">
        <v>1</v>
      </c>
      <c r="BR69" s="310">
        <v>1</v>
      </c>
      <c r="BS69" s="310">
        <v>1</v>
      </c>
      <c r="BT69" s="310">
        <v>1</v>
      </c>
      <c r="BU69" s="310">
        <v>2</v>
      </c>
      <c r="BV69" s="310">
        <v>1</v>
      </c>
      <c r="BW69" s="310">
        <v>1</v>
      </c>
      <c r="BX69" s="310">
        <v>1</v>
      </c>
      <c r="BY69" s="310">
        <v>1</v>
      </c>
      <c r="BZ69" s="310">
        <v>1</v>
      </c>
      <c r="CA69" s="310">
        <v>1</v>
      </c>
      <c r="CB69" s="312">
        <v>2</v>
      </c>
      <c r="CC69" s="312">
        <v>1</v>
      </c>
      <c r="CD69" s="312">
        <v>1</v>
      </c>
      <c r="CE69" s="310">
        <v>1</v>
      </c>
      <c r="CF69" s="310">
        <v>75</v>
      </c>
      <c r="CG69" s="310" t="s">
        <v>74</v>
      </c>
      <c r="CH69" s="310">
        <v>1</v>
      </c>
      <c r="CI69" s="310">
        <v>5</v>
      </c>
      <c r="CJ69" s="310">
        <v>5</v>
      </c>
      <c r="CK69" s="310">
        <v>4</v>
      </c>
      <c r="CL69" s="310">
        <v>1</v>
      </c>
      <c r="CM69" s="310">
        <v>1</v>
      </c>
      <c r="CN69" s="817">
        <v>1</v>
      </c>
      <c r="CO69" s="817">
        <v>1</v>
      </c>
      <c r="CP69" s="817">
        <v>45</v>
      </c>
      <c r="CQ69" s="817">
        <v>85</v>
      </c>
      <c r="CR69" s="817">
        <v>52</v>
      </c>
      <c r="CS69" s="817">
        <v>52</v>
      </c>
      <c r="CT69" s="179"/>
      <c r="CU69" s="179"/>
      <c r="CV69" s="179"/>
      <c r="CW69" s="179"/>
      <c r="CX69" s="179"/>
      <c r="CY69" s="179"/>
      <c r="CZ69" s="179"/>
      <c r="DA69" s="179"/>
      <c r="DB69" s="179"/>
      <c r="DC69" s="179"/>
      <c r="DD69" s="179"/>
      <c r="DE69" s="179"/>
      <c r="DF69" s="179"/>
      <c r="DG69" s="179"/>
      <c r="DH69" s="179"/>
      <c r="DI69" s="179"/>
      <c r="DJ69" s="179"/>
      <c r="DK69" s="182"/>
      <c r="DL69" s="5"/>
      <c r="DM69" s="873"/>
      <c r="DN69" s="871"/>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row>
    <row r="70" spans="1:253" s="178" customFormat="1" ht="11.25" customHeight="1" x14ac:dyDescent="0.2">
      <c r="A70" s="179" t="s">
        <v>291</v>
      </c>
      <c r="B70" s="180" t="s">
        <v>252</v>
      </c>
      <c r="C70" s="180"/>
      <c r="D70" s="181"/>
      <c r="E70" s="309">
        <v>60009</v>
      </c>
      <c r="F70" s="788">
        <v>1983</v>
      </c>
      <c r="G70" s="789">
        <v>2013</v>
      </c>
      <c r="H70" s="789" t="s">
        <v>652</v>
      </c>
      <c r="I70" s="789" t="s">
        <v>653</v>
      </c>
      <c r="J70" s="789">
        <v>1598</v>
      </c>
      <c r="K70" s="789" t="s">
        <v>487</v>
      </c>
      <c r="L70" s="789"/>
      <c r="M70" s="789" t="s">
        <v>654</v>
      </c>
      <c r="N70" s="789" t="s">
        <v>655</v>
      </c>
      <c r="O70" s="789">
        <v>1560</v>
      </c>
      <c r="P70" s="789">
        <v>17000</v>
      </c>
      <c r="Q70" s="789">
        <v>0</v>
      </c>
      <c r="R70" s="310">
        <v>10</v>
      </c>
      <c r="S70" s="310">
        <v>90</v>
      </c>
      <c r="T70" s="310">
        <v>10</v>
      </c>
      <c r="U70" s="310">
        <v>85</v>
      </c>
      <c r="V70" s="310">
        <v>0.5</v>
      </c>
      <c r="W70" s="310">
        <v>90</v>
      </c>
      <c r="X70" s="310">
        <v>2</v>
      </c>
      <c r="Y70" s="310">
        <v>90</v>
      </c>
      <c r="Z70" s="310">
        <v>0.3</v>
      </c>
      <c r="AA70" s="789">
        <v>10</v>
      </c>
      <c r="AB70" s="789"/>
      <c r="AC70" s="310">
        <v>5726</v>
      </c>
      <c r="AD70" s="310">
        <v>15120</v>
      </c>
      <c r="AE70" s="310"/>
      <c r="AF70" s="310" t="s">
        <v>479</v>
      </c>
      <c r="AG70" s="310">
        <v>52</v>
      </c>
      <c r="AH70" s="310">
        <v>52</v>
      </c>
      <c r="AI70" s="310">
        <v>12</v>
      </c>
      <c r="AJ70" s="310">
        <v>0</v>
      </c>
      <c r="AK70" s="310">
        <v>0</v>
      </c>
      <c r="AL70" s="310">
        <v>12</v>
      </c>
      <c r="AM70" s="310">
        <v>104</v>
      </c>
      <c r="AN70" s="310">
        <v>104</v>
      </c>
      <c r="AO70" s="310">
        <v>24</v>
      </c>
      <c r="AP70" s="310">
        <v>0</v>
      </c>
      <c r="AQ70" s="310">
        <v>0</v>
      </c>
      <c r="AR70" s="310">
        <v>12</v>
      </c>
      <c r="AS70" s="310">
        <v>104</v>
      </c>
      <c r="AT70" s="310">
        <v>104</v>
      </c>
      <c r="AU70" s="310">
        <v>0</v>
      </c>
      <c r="AV70" s="310">
        <v>52</v>
      </c>
      <c r="AW70" s="310">
        <v>52</v>
      </c>
      <c r="AX70" s="310">
        <v>1</v>
      </c>
      <c r="AY70" s="310">
        <v>2</v>
      </c>
      <c r="AZ70" s="310"/>
      <c r="BA70" s="310">
        <v>1</v>
      </c>
      <c r="BB70" s="310">
        <v>0</v>
      </c>
      <c r="BC70" s="311" t="s">
        <v>116</v>
      </c>
      <c r="BD70" s="310">
        <v>2</v>
      </c>
      <c r="BE70" s="310">
        <v>1</v>
      </c>
      <c r="BF70" s="310">
        <v>2</v>
      </c>
      <c r="BG70" s="310">
        <v>2</v>
      </c>
      <c r="BH70" s="310">
        <v>2</v>
      </c>
      <c r="BI70" s="310">
        <v>1</v>
      </c>
      <c r="BJ70" s="310">
        <v>1</v>
      </c>
      <c r="BK70" s="310">
        <v>1</v>
      </c>
      <c r="BL70" s="310">
        <v>6</v>
      </c>
      <c r="BM70" s="310">
        <v>1</v>
      </c>
      <c r="BN70" s="310">
        <v>1</v>
      </c>
      <c r="BO70" s="310">
        <v>1</v>
      </c>
      <c r="BP70" s="310">
        <v>1</v>
      </c>
      <c r="BQ70" s="310">
        <v>1</v>
      </c>
      <c r="BR70" s="310">
        <v>1</v>
      </c>
      <c r="BS70" s="310">
        <v>1</v>
      </c>
      <c r="BT70" s="310">
        <v>1</v>
      </c>
      <c r="BU70" s="310">
        <v>2</v>
      </c>
      <c r="BV70" s="310">
        <v>1</v>
      </c>
      <c r="BW70" s="310">
        <v>1</v>
      </c>
      <c r="BX70" s="310">
        <v>1</v>
      </c>
      <c r="BY70" s="310">
        <v>1</v>
      </c>
      <c r="BZ70" s="310">
        <v>1</v>
      </c>
      <c r="CA70" s="310">
        <v>1</v>
      </c>
      <c r="CB70" s="312">
        <v>2</v>
      </c>
      <c r="CC70" s="312">
        <v>1</v>
      </c>
      <c r="CD70" s="312">
        <v>1</v>
      </c>
      <c r="CE70" s="310">
        <v>1</v>
      </c>
      <c r="CF70" s="310">
        <v>75</v>
      </c>
      <c r="CG70" s="310" t="s">
        <v>74</v>
      </c>
      <c r="CH70" s="310">
        <v>1</v>
      </c>
      <c r="CI70" s="310">
        <v>5</v>
      </c>
      <c r="CJ70" s="310">
        <v>5</v>
      </c>
      <c r="CK70" s="310">
        <v>4</v>
      </c>
      <c r="CL70" s="310">
        <v>1</v>
      </c>
      <c r="CM70" s="310">
        <v>1</v>
      </c>
      <c r="CN70" s="817">
        <v>1</v>
      </c>
      <c r="CO70" s="817">
        <v>1</v>
      </c>
      <c r="CP70" s="817">
        <v>45</v>
      </c>
      <c r="CQ70" s="817">
        <v>85</v>
      </c>
      <c r="CR70" s="817">
        <v>52</v>
      </c>
      <c r="CS70" s="817">
        <v>52</v>
      </c>
      <c r="CT70" s="179"/>
      <c r="CU70" s="179"/>
      <c r="CV70" s="179"/>
      <c r="CW70" s="179"/>
      <c r="CX70" s="179"/>
      <c r="CY70" s="179"/>
      <c r="CZ70" s="179"/>
      <c r="DA70" s="179"/>
      <c r="DB70" s="179"/>
      <c r="DC70" s="179"/>
      <c r="DD70" s="179"/>
      <c r="DE70" s="179"/>
      <c r="DF70" s="179"/>
      <c r="DG70" s="179"/>
      <c r="DH70" s="179"/>
      <c r="DI70" s="179"/>
      <c r="DJ70" s="179"/>
      <c r="DK70" s="182"/>
      <c r="DL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row>
    <row r="71" spans="1:253" s="178" customFormat="1" ht="11.25" customHeight="1" x14ac:dyDescent="0.2">
      <c r="A71" s="179" t="s">
        <v>291</v>
      </c>
      <c r="B71" s="180" t="s">
        <v>252</v>
      </c>
      <c r="C71" s="180"/>
      <c r="D71" s="181"/>
      <c r="E71" s="309">
        <v>60009</v>
      </c>
      <c r="F71" s="788">
        <v>1983</v>
      </c>
      <c r="G71" s="789">
        <v>2013</v>
      </c>
      <c r="H71" s="789" t="s">
        <v>652</v>
      </c>
      <c r="I71" s="789" t="s">
        <v>653</v>
      </c>
      <c r="J71" s="789">
        <v>1598</v>
      </c>
      <c r="K71" s="789" t="s">
        <v>487</v>
      </c>
      <c r="L71" s="789"/>
      <c r="M71" s="789" t="s">
        <v>654</v>
      </c>
      <c r="N71" s="789" t="s">
        <v>655</v>
      </c>
      <c r="O71" s="789">
        <v>1560</v>
      </c>
      <c r="P71" s="789">
        <v>17000</v>
      </c>
      <c r="Q71" s="789">
        <v>0</v>
      </c>
      <c r="R71" s="310">
        <v>10</v>
      </c>
      <c r="S71" s="310">
        <v>90</v>
      </c>
      <c r="T71" s="310">
        <v>10</v>
      </c>
      <c r="U71" s="310">
        <v>85</v>
      </c>
      <c r="V71" s="310">
        <v>0.5</v>
      </c>
      <c r="W71" s="310">
        <v>90</v>
      </c>
      <c r="X71" s="310">
        <v>2</v>
      </c>
      <c r="Y71" s="310">
        <v>90</v>
      </c>
      <c r="Z71" s="310">
        <v>0.3</v>
      </c>
      <c r="AA71" s="789">
        <v>10</v>
      </c>
      <c r="AB71" s="789"/>
      <c r="AC71" s="310">
        <v>5726</v>
      </c>
      <c r="AD71" s="310">
        <v>15120</v>
      </c>
      <c r="AE71" s="310"/>
      <c r="AF71" s="310" t="s">
        <v>479</v>
      </c>
      <c r="AG71" s="310">
        <v>52</v>
      </c>
      <c r="AH71" s="310">
        <v>52</v>
      </c>
      <c r="AI71" s="310">
        <v>12</v>
      </c>
      <c r="AJ71" s="310">
        <v>0</v>
      </c>
      <c r="AK71" s="310">
        <v>0</v>
      </c>
      <c r="AL71" s="310">
        <v>12</v>
      </c>
      <c r="AM71" s="310">
        <v>104</v>
      </c>
      <c r="AN71" s="310">
        <v>104</v>
      </c>
      <c r="AO71" s="310">
        <v>24</v>
      </c>
      <c r="AP71" s="310">
        <v>0</v>
      </c>
      <c r="AQ71" s="310">
        <v>0</v>
      </c>
      <c r="AR71" s="310">
        <v>12</v>
      </c>
      <c r="AS71" s="310">
        <v>104</v>
      </c>
      <c r="AT71" s="310">
        <v>104</v>
      </c>
      <c r="AU71" s="310">
        <v>0</v>
      </c>
      <c r="AV71" s="310">
        <v>52</v>
      </c>
      <c r="AW71" s="310">
        <v>52</v>
      </c>
      <c r="AX71" s="310">
        <v>1</v>
      </c>
      <c r="AY71" s="310">
        <v>2</v>
      </c>
      <c r="AZ71" s="310"/>
      <c r="BA71" s="310">
        <v>1</v>
      </c>
      <c r="BB71" s="310">
        <v>0</v>
      </c>
      <c r="BC71" s="311" t="s">
        <v>116</v>
      </c>
      <c r="BD71" s="310">
        <v>2</v>
      </c>
      <c r="BE71" s="310">
        <v>1</v>
      </c>
      <c r="BF71" s="310">
        <v>2</v>
      </c>
      <c r="BG71" s="310">
        <v>2</v>
      </c>
      <c r="BH71" s="310">
        <v>2</v>
      </c>
      <c r="BI71" s="310">
        <v>1</v>
      </c>
      <c r="BJ71" s="310">
        <v>1</v>
      </c>
      <c r="BK71" s="310">
        <v>1</v>
      </c>
      <c r="BL71" s="310">
        <v>6</v>
      </c>
      <c r="BM71" s="310">
        <v>1</v>
      </c>
      <c r="BN71" s="310">
        <v>1</v>
      </c>
      <c r="BO71" s="310">
        <v>1</v>
      </c>
      <c r="BP71" s="310">
        <v>1</v>
      </c>
      <c r="BQ71" s="310">
        <v>1</v>
      </c>
      <c r="BR71" s="310">
        <v>1</v>
      </c>
      <c r="BS71" s="310">
        <v>1</v>
      </c>
      <c r="BT71" s="310">
        <v>1</v>
      </c>
      <c r="BU71" s="310">
        <v>2</v>
      </c>
      <c r="BV71" s="310">
        <v>1</v>
      </c>
      <c r="BW71" s="310">
        <v>1</v>
      </c>
      <c r="BX71" s="310">
        <v>1</v>
      </c>
      <c r="BY71" s="310">
        <v>1</v>
      </c>
      <c r="BZ71" s="310">
        <v>1</v>
      </c>
      <c r="CA71" s="310">
        <v>1</v>
      </c>
      <c r="CB71" s="312">
        <v>2</v>
      </c>
      <c r="CC71" s="312">
        <v>1</v>
      </c>
      <c r="CD71" s="312">
        <v>1</v>
      </c>
      <c r="CE71" s="310">
        <v>1</v>
      </c>
      <c r="CF71" s="310">
        <v>75</v>
      </c>
      <c r="CG71" s="310" t="s">
        <v>74</v>
      </c>
      <c r="CH71" s="310">
        <v>1</v>
      </c>
      <c r="CI71" s="310">
        <v>5</v>
      </c>
      <c r="CJ71" s="310">
        <v>5</v>
      </c>
      <c r="CK71" s="310">
        <v>4</v>
      </c>
      <c r="CL71" s="310">
        <v>1</v>
      </c>
      <c r="CM71" s="310">
        <v>1</v>
      </c>
      <c r="CN71" s="766">
        <v>1</v>
      </c>
      <c r="CO71" s="766">
        <v>1</v>
      </c>
      <c r="CP71" s="766">
        <v>45</v>
      </c>
      <c r="CQ71" s="766">
        <v>85</v>
      </c>
      <c r="CR71" s="766">
        <v>52</v>
      </c>
      <c r="CS71" s="766">
        <v>52</v>
      </c>
      <c r="CT71" s="179"/>
      <c r="CU71" s="179"/>
      <c r="CV71" s="179"/>
      <c r="CW71" s="179"/>
      <c r="CX71" s="179"/>
      <c r="CY71" s="179"/>
      <c r="CZ71" s="179"/>
      <c r="DA71" s="179"/>
      <c r="DB71" s="179"/>
      <c r="DC71" s="179"/>
      <c r="DD71" s="179"/>
      <c r="DE71" s="179"/>
      <c r="DF71" s="179"/>
      <c r="DG71" s="179"/>
      <c r="DH71" s="179"/>
      <c r="DI71" s="179"/>
      <c r="DJ71" s="179"/>
      <c r="DK71" s="182"/>
      <c r="DL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row>
    <row r="72" spans="1:253" s="178" customFormat="1" ht="11.25" customHeight="1" x14ac:dyDescent="0.2">
      <c r="A72" s="179" t="s">
        <v>291</v>
      </c>
      <c r="B72" s="180" t="s">
        <v>252</v>
      </c>
      <c r="C72" s="180"/>
      <c r="D72" s="181"/>
      <c r="E72" s="309">
        <v>60009</v>
      </c>
      <c r="F72" s="788">
        <v>1983</v>
      </c>
      <c r="G72" s="789">
        <v>2013</v>
      </c>
      <c r="H72" s="789" t="s">
        <v>652</v>
      </c>
      <c r="I72" s="789" t="s">
        <v>653</v>
      </c>
      <c r="J72" s="789">
        <v>1598</v>
      </c>
      <c r="K72" s="789" t="s">
        <v>487</v>
      </c>
      <c r="L72" s="789"/>
      <c r="M72" s="789" t="s">
        <v>654</v>
      </c>
      <c r="N72" s="789" t="s">
        <v>655</v>
      </c>
      <c r="O72" s="789">
        <v>1560</v>
      </c>
      <c r="P72" s="789">
        <v>17000</v>
      </c>
      <c r="Q72" s="789">
        <v>0</v>
      </c>
      <c r="R72" s="310">
        <v>10</v>
      </c>
      <c r="S72" s="310">
        <v>90</v>
      </c>
      <c r="T72" s="310">
        <v>10</v>
      </c>
      <c r="U72" s="310">
        <v>85</v>
      </c>
      <c r="V72" s="310">
        <v>0.5</v>
      </c>
      <c r="W72" s="310">
        <v>90</v>
      </c>
      <c r="X72" s="310">
        <v>2</v>
      </c>
      <c r="Y72" s="310">
        <v>90</v>
      </c>
      <c r="Z72" s="310">
        <v>0.3</v>
      </c>
      <c r="AA72" s="789">
        <v>10</v>
      </c>
      <c r="AB72" s="789"/>
      <c r="AC72" s="310">
        <v>5726</v>
      </c>
      <c r="AD72" s="310">
        <v>15120</v>
      </c>
      <c r="AE72" s="310"/>
      <c r="AF72" s="310" t="s">
        <v>479</v>
      </c>
      <c r="AG72" s="310">
        <v>52</v>
      </c>
      <c r="AH72" s="310">
        <v>52</v>
      </c>
      <c r="AI72" s="310">
        <v>12</v>
      </c>
      <c r="AJ72" s="310">
        <v>0</v>
      </c>
      <c r="AK72" s="310">
        <v>0</v>
      </c>
      <c r="AL72" s="310">
        <v>12</v>
      </c>
      <c r="AM72" s="310">
        <v>104</v>
      </c>
      <c r="AN72" s="310">
        <v>104</v>
      </c>
      <c r="AO72" s="310">
        <v>24</v>
      </c>
      <c r="AP72" s="310">
        <v>0</v>
      </c>
      <c r="AQ72" s="310">
        <v>0</v>
      </c>
      <c r="AR72" s="310">
        <v>12</v>
      </c>
      <c r="AS72" s="310">
        <v>104</v>
      </c>
      <c r="AT72" s="310">
        <v>104</v>
      </c>
      <c r="AU72" s="310">
        <v>0</v>
      </c>
      <c r="AV72" s="310">
        <v>52</v>
      </c>
      <c r="AW72" s="310">
        <v>52</v>
      </c>
      <c r="AX72" s="310">
        <v>1</v>
      </c>
      <c r="AY72" s="310">
        <v>2</v>
      </c>
      <c r="AZ72" s="310"/>
      <c r="BA72" s="310">
        <v>1</v>
      </c>
      <c r="BB72" s="310">
        <v>0</v>
      </c>
      <c r="BC72" s="311" t="s">
        <v>116</v>
      </c>
      <c r="BD72" s="310">
        <v>2</v>
      </c>
      <c r="BE72" s="310">
        <v>1</v>
      </c>
      <c r="BF72" s="310">
        <v>2</v>
      </c>
      <c r="BG72" s="310">
        <v>2</v>
      </c>
      <c r="BH72" s="310">
        <v>2</v>
      </c>
      <c r="BI72" s="310">
        <v>1</v>
      </c>
      <c r="BJ72" s="310">
        <v>1</v>
      </c>
      <c r="BK72" s="310">
        <v>1</v>
      </c>
      <c r="BL72" s="310">
        <v>6</v>
      </c>
      <c r="BM72" s="310">
        <v>1</v>
      </c>
      <c r="BN72" s="310">
        <v>1</v>
      </c>
      <c r="BO72" s="310">
        <v>1</v>
      </c>
      <c r="BP72" s="310">
        <v>1</v>
      </c>
      <c r="BQ72" s="310">
        <v>1</v>
      </c>
      <c r="BR72" s="310">
        <v>1</v>
      </c>
      <c r="BS72" s="310">
        <v>1</v>
      </c>
      <c r="BT72" s="310">
        <v>1</v>
      </c>
      <c r="BU72" s="310">
        <v>2</v>
      </c>
      <c r="BV72" s="310">
        <v>1</v>
      </c>
      <c r="BW72" s="310">
        <v>1</v>
      </c>
      <c r="BX72" s="310">
        <v>1</v>
      </c>
      <c r="BY72" s="310">
        <v>1</v>
      </c>
      <c r="BZ72" s="310">
        <v>1</v>
      </c>
      <c r="CA72" s="310">
        <v>1</v>
      </c>
      <c r="CB72" s="312">
        <v>2</v>
      </c>
      <c r="CC72" s="312">
        <v>1</v>
      </c>
      <c r="CD72" s="312">
        <v>1</v>
      </c>
      <c r="CE72" s="310">
        <v>1</v>
      </c>
      <c r="CF72" s="310">
        <v>75</v>
      </c>
      <c r="CG72" s="310" t="s">
        <v>74</v>
      </c>
      <c r="CH72" s="310">
        <v>1</v>
      </c>
      <c r="CI72" s="310">
        <v>5</v>
      </c>
      <c r="CJ72" s="310">
        <v>5</v>
      </c>
      <c r="CK72" s="310">
        <v>4</v>
      </c>
      <c r="CL72" s="310">
        <v>1</v>
      </c>
      <c r="CM72" s="310">
        <v>1</v>
      </c>
      <c r="CN72" s="766">
        <v>1</v>
      </c>
      <c r="CO72" s="766">
        <v>1</v>
      </c>
      <c r="CP72" s="766">
        <v>45</v>
      </c>
      <c r="CQ72" s="766">
        <v>85</v>
      </c>
      <c r="CR72" s="766">
        <v>52</v>
      </c>
      <c r="CS72" s="766">
        <v>52</v>
      </c>
      <c r="CT72" s="179"/>
      <c r="CU72" s="179"/>
      <c r="CV72" s="179"/>
      <c r="CW72" s="179"/>
      <c r="CX72" s="179"/>
      <c r="CY72" s="179"/>
      <c r="CZ72" s="179"/>
      <c r="DA72" s="179"/>
      <c r="DB72" s="179"/>
      <c r="DC72" s="179"/>
      <c r="DD72" s="179"/>
      <c r="DE72" s="179"/>
      <c r="DF72" s="179"/>
      <c r="DG72" s="179"/>
      <c r="DH72" s="179"/>
      <c r="DI72" s="179"/>
      <c r="DJ72" s="179"/>
      <c r="DK72" s="182"/>
      <c r="DL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row>
    <row r="87" spans="1:253" ht="9.75" customHeight="1" x14ac:dyDescent="0.2"/>
    <row r="88" spans="1:253" s="178" customFormat="1" x14ac:dyDescent="0.2">
      <c r="A88" s="179"/>
      <c r="B88" s="180"/>
      <c r="C88" s="180"/>
      <c r="D88" s="181"/>
      <c r="E88" s="309"/>
      <c r="F88" s="788"/>
      <c r="G88" s="789"/>
      <c r="H88" s="789"/>
      <c r="I88" s="789"/>
      <c r="J88" s="789"/>
      <c r="K88" s="789"/>
      <c r="L88" s="789"/>
      <c r="M88" s="789"/>
      <c r="N88" s="789"/>
      <c r="O88" s="789"/>
      <c r="P88" s="789"/>
      <c r="Q88" s="789"/>
      <c r="R88" s="310"/>
      <c r="S88" s="310"/>
      <c r="T88" s="310"/>
      <c r="U88" s="310"/>
      <c r="V88" s="310"/>
      <c r="W88" s="310"/>
      <c r="X88" s="310"/>
      <c r="Y88" s="310"/>
      <c r="Z88" s="310"/>
      <c r="AA88" s="789"/>
      <c r="AB88" s="789"/>
      <c r="AC88" s="310"/>
      <c r="AD88" s="310"/>
      <c r="AE88" s="310"/>
      <c r="AF88" s="310"/>
      <c r="AG88" s="310"/>
      <c r="AH88" s="310"/>
      <c r="AI88" s="310"/>
      <c r="AJ88" s="310"/>
      <c r="AK88" s="310"/>
      <c r="AL88" s="310"/>
      <c r="AM88" s="310"/>
      <c r="AN88" s="310"/>
      <c r="AO88" s="310"/>
      <c r="AP88" s="310"/>
      <c r="AQ88" s="310"/>
      <c r="AR88" s="310"/>
      <c r="AS88" s="310"/>
      <c r="AT88" s="310"/>
      <c r="AU88" s="310"/>
      <c r="AV88" s="310"/>
      <c r="AW88" s="310"/>
      <c r="AX88" s="310"/>
      <c r="AY88" s="310"/>
      <c r="AZ88" s="310"/>
      <c r="BA88" s="310"/>
      <c r="BB88" s="310"/>
      <c r="BC88" s="311"/>
      <c r="BD88" s="310"/>
      <c r="BE88" s="310"/>
      <c r="BF88" s="310"/>
      <c r="BG88" s="310"/>
      <c r="BH88" s="310"/>
      <c r="BI88" s="310"/>
      <c r="BJ88" s="310"/>
      <c r="BK88" s="310"/>
      <c r="BL88" s="310"/>
      <c r="BM88" s="310"/>
      <c r="BN88" s="310"/>
      <c r="BO88" s="310"/>
      <c r="BP88" s="310"/>
      <c r="BQ88" s="310"/>
      <c r="BR88" s="310"/>
      <c r="BS88" s="310"/>
      <c r="BT88" s="310"/>
      <c r="BU88" s="310"/>
      <c r="BV88" s="310"/>
      <c r="BW88" s="310"/>
      <c r="BX88" s="310"/>
      <c r="BY88" s="310"/>
      <c r="BZ88" s="310"/>
      <c r="CA88" s="310"/>
      <c r="CB88" s="312"/>
      <c r="CC88" s="312"/>
      <c r="CD88" s="312"/>
      <c r="CE88" s="310"/>
      <c r="CF88" s="310"/>
      <c r="CG88" s="310"/>
      <c r="CH88" s="310"/>
      <c r="CI88" s="310"/>
      <c r="CJ88" s="310"/>
      <c r="CK88" s="310"/>
      <c r="CL88" s="310"/>
      <c r="CM88" s="310"/>
      <c r="CN88" s="766"/>
      <c r="CO88" s="766"/>
      <c r="CP88" s="766"/>
      <c r="CQ88" s="766"/>
      <c r="CR88" s="766"/>
      <c r="CS88" s="766"/>
      <c r="CT88" s="179"/>
      <c r="CU88" s="179"/>
      <c r="CV88" s="179"/>
      <c r="CW88" s="179"/>
      <c r="CX88" s="179"/>
      <c r="CY88" s="179"/>
      <c r="CZ88" s="179"/>
      <c r="DA88" s="179"/>
      <c r="DB88" s="179"/>
      <c r="DC88" s="179"/>
      <c r="DD88" s="179"/>
      <c r="DE88" s="179"/>
      <c r="DF88" s="179"/>
      <c r="DG88" s="179"/>
      <c r="DH88" s="179"/>
      <c r="DI88" s="179"/>
      <c r="DJ88" s="179"/>
      <c r="DK88" s="182"/>
      <c r="DL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row>
    <row r="89" spans="1:253" s="178" customFormat="1" ht="11.25" customHeight="1" x14ac:dyDescent="0.2">
      <c r="A89" s="179"/>
      <c r="B89" s="180"/>
      <c r="C89" s="180"/>
      <c r="D89" s="181"/>
      <c r="E89" s="309"/>
      <c r="F89" s="788"/>
      <c r="G89" s="789"/>
      <c r="H89" s="789"/>
      <c r="I89" s="789"/>
      <c r="J89" s="789"/>
      <c r="K89" s="789"/>
      <c r="L89" s="789"/>
      <c r="M89" s="789"/>
      <c r="N89" s="789"/>
      <c r="O89" s="789"/>
      <c r="P89" s="789"/>
      <c r="Q89" s="789"/>
      <c r="R89" s="310"/>
      <c r="S89" s="310"/>
      <c r="T89" s="310"/>
      <c r="U89" s="310"/>
      <c r="V89" s="310"/>
      <c r="W89" s="310"/>
      <c r="X89" s="310"/>
      <c r="Y89" s="310"/>
      <c r="Z89" s="310"/>
      <c r="AA89" s="789"/>
      <c r="AB89" s="789"/>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1"/>
      <c r="BD89" s="310"/>
      <c r="BE89" s="310"/>
      <c r="BF89" s="310"/>
      <c r="BG89" s="310"/>
      <c r="BH89" s="310"/>
      <c r="BI89" s="310"/>
      <c r="BJ89" s="310"/>
      <c r="BK89" s="310"/>
      <c r="BL89" s="310"/>
      <c r="BM89" s="310"/>
      <c r="BN89" s="310"/>
      <c r="BO89" s="310"/>
      <c r="BP89" s="310"/>
      <c r="BQ89" s="310"/>
      <c r="BR89" s="310"/>
      <c r="BS89" s="310"/>
      <c r="BT89" s="310"/>
      <c r="BU89" s="310"/>
      <c r="BV89" s="310"/>
      <c r="BW89" s="310"/>
      <c r="BX89" s="310"/>
      <c r="BY89" s="310"/>
      <c r="BZ89" s="310"/>
      <c r="CA89" s="310"/>
      <c r="CB89" s="312"/>
      <c r="CC89" s="312"/>
      <c r="CD89" s="312"/>
      <c r="CE89" s="310"/>
      <c r="CF89" s="310"/>
      <c r="CG89" s="310"/>
      <c r="CH89" s="310"/>
      <c r="CI89" s="310"/>
      <c r="CJ89" s="310"/>
      <c r="CK89" s="310"/>
      <c r="CL89" s="310"/>
      <c r="CM89" s="310"/>
      <c r="CN89" s="766"/>
      <c r="CO89" s="766"/>
      <c r="CP89" s="766"/>
      <c r="CQ89" s="766"/>
      <c r="CR89" s="766"/>
      <c r="CS89" s="766"/>
      <c r="CT89" s="179"/>
      <c r="CU89" s="179"/>
      <c r="CV89" s="179"/>
      <c r="CW89" s="179"/>
      <c r="CX89" s="179"/>
      <c r="CY89" s="179"/>
      <c r="CZ89" s="179"/>
      <c r="DA89" s="179"/>
      <c r="DB89" s="179"/>
      <c r="DC89" s="179"/>
      <c r="DD89" s="179"/>
      <c r="DE89" s="179"/>
      <c r="DF89" s="179"/>
      <c r="DG89" s="179"/>
      <c r="DH89" s="179"/>
      <c r="DI89" s="179"/>
      <c r="DJ89" s="179"/>
      <c r="DK89" s="182"/>
      <c r="DL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row>
    <row r="90" spans="1:253" s="178" customFormat="1" ht="17.25" customHeight="1" x14ac:dyDescent="0.2">
      <c r="A90" s="179"/>
      <c r="B90" s="180"/>
      <c r="C90" s="180"/>
      <c r="D90" s="181"/>
      <c r="E90" s="309"/>
      <c r="F90" s="788"/>
      <c r="G90" s="789"/>
      <c r="H90" s="789"/>
      <c r="I90" s="789"/>
      <c r="J90" s="789"/>
      <c r="K90" s="789"/>
      <c r="L90" s="789"/>
      <c r="M90" s="789"/>
      <c r="N90" s="789"/>
      <c r="O90" s="789"/>
      <c r="P90" s="789"/>
      <c r="Q90" s="789"/>
      <c r="R90" s="310"/>
      <c r="S90" s="310"/>
      <c r="T90" s="310"/>
      <c r="U90" s="310"/>
      <c r="V90" s="310"/>
      <c r="W90" s="310"/>
      <c r="X90" s="310"/>
      <c r="Y90" s="310"/>
      <c r="Z90" s="310"/>
      <c r="AA90" s="789"/>
      <c r="AB90" s="789"/>
      <c r="AC90" s="310"/>
      <c r="AD90" s="310"/>
      <c r="AE90" s="310"/>
      <c r="AF90" s="310"/>
      <c r="AG90" s="310"/>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1"/>
      <c r="BD90" s="310"/>
      <c r="BE90" s="310"/>
      <c r="BF90" s="310"/>
      <c r="BG90" s="310"/>
      <c r="BH90" s="310"/>
      <c r="BI90" s="310"/>
      <c r="BJ90" s="310"/>
      <c r="BK90" s="310"/>
      <c r="BL90" s="310"/>
      <c r="BM90" s="310"/>
      <c r="BN90" s="310"/>
      <c r="BO90" s="310"/>
      <c r="BP90" s="310"/>
      <c r="BQ90" s="310"/>
      <c r="BR90" s="310"/>
      <c r="BS90" s="310"/>
      <c r="BT90" s="310"/>
      <c r="BU90" s="310"/>
      <c r="BV90" s="310"/>
      <c r="BW90" s="310"/>
      <c r="BX90" s="310"/>
      <c r="BY90" s="310"/>
      <c r="BZ90" s="310"/>
      <c r="CA90" s="310"/>
      <c r="CB90" s="312"/>
      <c r="CC90" s="312"/>
      <c r="CD90" s="312"/>
      <c r="CE90" s="310"/>
      <c r="CF90" s="310"/>
      <c r="CG90" s="310"/>
      <c r="CH90" s="310"/>
      <c r="CI90" s="310"/>
      <c r="CJ90" s="310"/>
      <c r="CK90" s="310"/>
      <c r="CL90" s="310"/>
      <c r="CM90" s="310"/>
      <c r="CN90" s="766"/>
      <c r="CO90" s="766"/>
      <c r="CP90" s="766"/>
      <c r="CQ90" s="766"/>
      <c r="CR90" s="766"/>
      <c r="CS90" s="766"/>
      <c r="CT90" s="179"/>
      <c r="CU90" s="179"/>
      <c r="CV90" s="179"/>
      <c r="CW90" s="179"/>
      <c r="CX90" s="179"/>
      <c r="CY90" s="179"/>
      <c r="CZ90" s="179"/>
      <c r="DA90" s="179"/>
      <c r="DB90" s="179"/>
      <c r="DC90" s="179"/>
      <c r="DD90" s="179"/>
      <c r="DE90" s="179"/>
      <c r="DF90" s="179"/>
      <c r="DG90" s="179"/>
      <c r="DH90" s="179"/>
      <c r="DI90" s="179"/>
      <c r="DJ90" s="179"/>
      <c r="DK90" s="182"/>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row>
    <row r="91" spans="1:253" s="178" customFormat="1" ht="17.25" customHeight="1" x14ac:dyDescent="0.2">
      <c r="A91" s="179"/>
      <c r="B91" s="180"/>
      <c r="C91" s="180"/>
      <c r="D91" s="181"/>
      <c r="E91" s="309"/>
      <c r="F91" s="788"/>
      <c r="G91" s="789"/>
      <c r="H91" s="789"/>
      <c r="I91" s="789"/>
      <c r="J91" s="789"/>
      <c r="K91" s="789"/>
      <c r="L91" s="789"/>
      <c r="M91" s="789"/>
      <c r="N91" s="789"/>
      <c r="O91" s="789"/>
      <c r="P91" s="789"/>
      <c r="Q91" s="789"/>
      <c r="R91" s="310"/>
      <c r="S91" s="310"/>
      <c r="T91" s="310"/>
      <c r="U91" s="310"/>
      <c r="V91" s="310"/>
      <c r="W91" s="310"/>
      <c r="X91" s="310"/>
      <c r="Y91" s="310"/>
      <c r="Z91" s="310"/>
      <c r="AA91" s="789"/>
      <c r="AB91" s="789"/>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0"/>
      <c r="BB91" s="310"/>
      <c r="BC91" s="311"/>
      <c r="BD91" s="310"/>
      <c r="BE91" s="310"/>
      <c r="BF91" s="310"/>
      <c r="BG91" s="310"/>
      <c r="BH91" s="310"/>
      <c r="BI91" s="310"/>
      <c r="BJ91" s="310"/>
      <c r="BK91" s="310"/>
      <c r="BL91" s="310"/>
      <c r="BM91" s="310"/>
      <c r="BN91" s="310"/>
      <c r="BO91" s="310"/>
      <c r="BP91" s="310"/>
      <c r="BQ91" s="310"/>
      <c r="BR91" s="310"/>
      <c r="BS91" s="310"/>
      <c r="BT91" s="310"/>
      <c r="BU91" s="310"/>
      <c r="BV91" s="310"/>
      <c r="BW91" s="310"/>
      <c r="BX91" s="310"/>
      <c r="BY91" s="310"/>
      <c r="BZ91" s="310"/>
      <c r="CA91" s="310"/>
      <c r="CB91" s="312"/>
      <c r="CC91" s="312"/>
      <c r="CD91" s="312"/>
      <c r="CE91" s="310"/>
      <c r="CF91" s="310"/>
      <c r="CG91" s="310"/>
      <c r="CH91" s="310"/>
      <c r="CI91" s="310"/>
      <c r="CJ91" s="310"/>
      <c r="CK91" s="310"/>
      <c r="CL91" s="310"/>
      <c r="CM91" s="310"/>
      <c r="CN91" s="766"/>
      <c r="CO91" s="766"/>
      <c r="CP91" s="766"/>
      <c r="CQ91" s="766"/>
      <c r="CR91" s="766"/>
      <c r="CS91" s="766"/>
      <c r="CT91" s="179"/>
      <c r="CU91" s="179"/>
      <c r="CV91" s="179"/>
      <c r="CW91" s="179"/>
      <c r="CX91" s="179"/>
      <c r="CY91" s="179"/>
      <c r="CZ91" s="179"/>
      <c r="DA91" s="179"/>
      <c r="DB91" s="179"/>
      <c r="DC91" s="179"/>
      <c r="DD91" s="179"/>
      <c r="DE91" s="179"/>
      <c r="DF91" s="179"/>
      <c r="DG91" s="179"/>
      <c r="DH91" s="179"/>
      <c r="DI91" s="179"/>
      <c r="DJ91" s="179"/>
      <c r="DK91" s="182"/>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row>
    <row r="92" spans="1:253" s="178" customFormat="1" ht="17.25" customHeight="1" x14ac:dyDescent="0.2">
      <c r="A92" s="179"/>
      <c r="B92" s="180"/>
      <c r="C92" s="180"/>
      <c r="D92" s="181"/>
      <c r="E92" s="309"/>
      <c r="F92" s="788"/>
      <c r="G92" s="789"/>
      <c r="H92" s="789"/>
      <c r="I92" s="789"/>
      <c r="J92" s="789"/>
      <c r="K92" s="789"/>
      <c r="L92" s="789"/>
      <c r="M92" s="789"/>
      <c r="N92" s="789"/>
      <c r="O92" s="789"/>
      <c r="P92" s="789"/>
      <c r="Q92" s="789"/>
      <c r="R92" s="310"/>
      <c r="S92" s="310"/>
      <c r="T92" s="310"/>
      <c r="U92" s="310"/>
      <c r="V92" s="310"/>
      <c r="W92" s="310"/>
      <c r="X92" s="310"/>
      <c r="Y92" s="310"/>
      <c r="Z92" s="310"/>
      <c r="AA92" s="789"/>
      <c r="AB92" s="789"/>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0"/>
      <c r="BB92" s="310"/>
      <c r="BC92" s="311"/>
      <c r="BD92" s="310"/>
      <c r="BE92" s="310"/>
      <c r="BF92" s="310"/>
      <c r="BG92" s="310"/>
      <c r="BH92" s="310"/>
      <c r="BI92" s="310"/>
      <c r="BJ92" s="310"/>
      <c r="BK92" s="310"/>
      <c r="BL92" s="310"/>
      <c r="BM92" s="310"/>
      <c r="BN92" s="310"/>
      <c r="BO92" s="310"/>
      <c r="BP92" s="310"/>
      <c r="BQ92" s="310"/>
      <c r="BR92" s="310"/>
      <c r="BS92" s="310"/>
      <c r="BT92" s="310"/>
      <c r="BU92" s="310"/>
      <c r="BV92" s="310"/>
      <c r="BW92" s="310"/>
      <c r="BX92" s="310"/>
      <c r="BY92" s="310"/>
      <c r="BZ92" s="310"/>
      <c r="CA92" s="310"/>
      <c r="CB92" s="312"/>
      <c r="CC92" s="312"/>
      <c r="CD92" s="312"/>
      <c r="CE92" s="310"/>
      <c r="CF92" s="310"/>
      <c r="CG92" s="310"/>
      <c r="CH92" s="310"/>
      <c r="CI92" s="310"/>
      <c r="CJ92" s="310"/>
      <c r="CK92" s="310"/>
      <c r="CL92" s="310"/>
      <c r="CM92" s="310"/>
      <c r="CN92" s="766"/>
      <c r="CO92" s="766"/>
      <c r="CP92" s="766"/>
      <c r="CQ92" s="766"/>
      <c r="CR92" s="766"/>
      <c r="CS92" s="766"/>
      <c r="CT92" s="179"/>
      <c r="CU92" s="179"/>
      <c r="CV92" s="179"/>
      <c r="CW92" s="179"/>
      <c r="CX92" s="179"/>
      <c r="CY92" s="179"/>
      <c r="CZ92" s="179"/>
      <c r="DA92" s="179"/>
      <c r="DB92" s="179"/>
      <c r="DC92" s="179"/>
      <c r="DD92" s="179"/>
      <c r="DE92" s="179"/>
      <c r="DF92" s="179"/>
      <c r="DG92" s="179"/>
      <c r="DH92" s="179"/>
      <c r="DI92" s="179"/>
      <c r="DJ92" s="179"/>
      <c r="DK92" s="182"/>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row>
    <row r="93" spans="1:253" s="178" customFormat="1" ht="17.25" customHeight="1" x14ac:dyDescent="0.2">
      <c r="A93" s="179"/>
      <c r="B93" s="180"/>
      <c r="C93" s="180"/>
      <c r="D93" s="181"/>
      <c r="E93" s="309"/>
      <c r="F93" s="788"/>
      <c r="G93" s="789"/>
      <c r="H93" s="789"/>
      <c r="I93" s="789"/>
      <c r="J93" s="789"/>
      <c r="K93" s="789"/>
      <c r="L93" s="789"/>
      <c r="M93" s="789"/>
      <c r="N93" s="789"/>
      <c r="O93" s="789"/>
      <c r="P93" s="789"/>
      <c r="Q93" s="789"/>
      <c r="R93" s="310"/>
      <c r="S93" s="310"/>
      <c r="T93" s="310"/>
      <c r="U93" s="310"/>
      <c r="V93" s="310"/>
      <c r="W93" s="310"/>
      <c r="X93" s="310"/>
      <c r="Y93" s="310"/>
      <c r="Z93" s="310"/>
      <c r="AA93" s="789"/>
      <c r="AB93" s="789"/>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0"/>
      <c r="BB93" s="310"/>
      <c r="BC93" s="311"/>
      <c r="BD93" s="310"/>
      <c r="BE93" s="310"/>
      <c r="BF93" s="310"/>
      <c r="BG93" s="310"/>
      <c r="BH93" s="310"/>
      <c r="BI93" s="310"/>
      <c r="BJ93" s="310"/>
      <c r="BK93" s="310"/>
      <c r="BL93" s="310"/>
      <c r="BM93" s="310"/>
      <c r="BN93" s="310"/>
      <c r="BO93" s="310"/>
      <c r="BP93" s="310"/>
      <c r="BQ93" s="310"/>
      <c r="BR93" s="310"/>
      <c r="BS93" s="310"/>
      <c r="BT93" s="310"/>
      <c r="BU93" s="310"/>
      <c r="BV93" s="310"/>
      <c r="BW93" s="310"/>
      <c r="BX93" s="310"/>
      <c r="BY93" s="310"/>
      <c r="BZ93" s="310"/>
      <c r="CA93" s="310"/>
      <c r="CB93" s="312"/>
      <c r="CC93" s="312"/>
      <c r="CD93" s="312"/>
      <c r="CE93" s="310"/>
      <c r="CF93" s="310"/>
      <c r="CG93" s="310"/>
      <c r="CH93" s="310"/>
      <c r="CI93" s="310"/>
      <c r="CJ93" s="310"/>
      <c r="CK93" s="310"/>
      <c r="CL93" s="310"/>
      <c r="CM93" s="310"/>
      <c r="CN93" s="766"/>
      <c r="CO93" s="766"/>
      <c r="CP93" s="766"/>
      <c r="CQ93" s="766"/>
      <c r="CR93" s="766"/>
      <c r="CS93" s="766"/>
      <c r="CT93" s="179"/>
      <c r="CU93" s="179"/>
      <c r="CV93" s="179"/>
      <c r="CW93" s="179"/>
      <c r="CX93" s="179"/>
      <c r="CY93" s="179"/>
      <c r="CZ93" s="179"/>
      <c r="DA93" s="179"/>
      <c r="DB93" s="179"/>
      <c r="DC93" s="179"/>
      <c r="DD93" s="179"/>
      <c r="DE93" s="179"/>
      <c r="DF93" s="179"/>
      <c r="DG93" s="179"/>
      <c r="DH93" s="179"/>
      <c r="DI93" s="179"/>
      <c r="DJ93" s="179"/>
      <c r="DK93" s="182"/>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row>
    <row r="94" spans="1:253" s="178" customFormat="1" ht="17.25" customHeight="1" x14ac:dyDescent="0.2">
      <c r="A94" s="179"/>
      <c r="B94" s="180"/>
      <c r="C94" s="180"/>
      <c r="D94" s="181"/>
      <c r="E94" s="309"/>
      <c r="F94" s="788" t="s">
        <v>657</v>
      </c>
      <c r="G94" s="789"/>
      <c r="H94" s="789"/>
      <c r="I94" s="789"/>
      <c r="J94" s="789"/>
      <c r="K94" s="789"/>
      <c r="L94" s="789"/>
      <c r="M94" s="789"/>
      <c r="N94" s="789"/>
      <c r="O94" s="789"/>
      <c r="P94" s="789"/>
      <c r="Q94" s="789"/>
      <c r="R94" s="310"/>
      <c r="S94" s="310"/>
      <c r="T94" s="310"/>
      <c r="U94" s="310"/>
      <c r="V94" s="310"/>
      <c r="W94" s="310"/>
      <c r="X94" s="310"/>
      <c r="Y94" s="310"/>
      <c r="Z94" s="310"/>
      <c r="AA94" s="789"/>
      <c r="AB94" s="789"/>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1"/>
      <c r="BD94" s="310"/>
      <c r="BE94" s="310"/>
      <c r="BF94" s="310"/>
      <c r="BG94" s="310"/>
      <c r="BH94" s="310"/>
      <c r="BI94" s="310"/>
      <c r="BJ94" s="310"/>
      <c r="BK94" s="310"/>
      <c r="BL94" s="310"/>
      <c r="BM94" s="310"/>
      <c r="BN94" s="310"/>
      <c r="BO94" s="310"/>
      <c r="BP94" s="310"/>
      <c r="BQ94" s="310"/>
      <c r="BR94" s="310"/>
      <c r="BS94" s="310"/>
      <c r="BT94" s="310"/>
      <c r="BU94" s="310"/>
      <c r="BV94" s="310"/>
      <c r="BW94" s="310"/>
      <c r="BX94" s="310"/>
      <c r="BY94" s="310"/>
      <c r="BZ94" s="310"/>
      <c r="CA94" s="310"/>
      <c r="CB94" s="312"/>
      <c r="CC94" s="312"/>
      <c r="CD94" s="312"/>
      <c r="CE94" s="310"/>
      <c r="CF94" s="310"/>
      <c r="CG94" s="310"/>
      <c r="CH94" s="310"/>
      <c r="CI94" s="310"/>
      <c r="CJ94" s="310"/>
      <c r="CK94" s="310"/>
      <c r="CL94" s="310"/>
      <c r="CM94" s="310"/>
      <c r="CN94" s="766"/>
      <c r="CO94" s="766"/>
      <c r="CP94" s="766"/>
      <c r="CQ94" s="766"/>
      <c r="CR94" s="766"/>
      <c r="CS94" s="766"/>
      <c r="CT94" s="179"/>
      <c r="CU94" s="179"/>
      <c r="CV94" s="179"/>
      <c r="CW94" s="179"/>
      <c r="CX94" s="179"/>
      <c r="CY94" s="179"/>
      <c r="CZ94" s="179"/>
      <c r="DA94" s="179"/>
      <c r="DB94" s="179"/>
      <c r="DC94" s="179"/>
      <c r="DD94" s="179"/>
      <c r="DE94" s="179"/>
      <c r="DF94" s="179"/>
      <c r="DG94" s="179"/>
      <c r="DH94" s="179"/>
      <c r="DI94" s="179"/>
      <c r="DJ94" s="179"/>
      <c r="DK94" s="182"/>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row>
    <row r="95" spans="1:253" s="178" customFormat="1" ht="17.25" customHeight="1" x14ac:dyDescent="0.2">
      <c r="A95" s="179"/>
      <c r="B95" s="180"/>
      <c r="C95" s="180"/>
      <c r="D95" s="181"/>
      <c r="E95" s="309"/>
      <c r="F95" s="188">
        <f>AY106</f>
        <v>2</v>
      </c>
      <c r="G95" s="789"/>
      <c r="H95" s="789"/>
      <c r="I95" s="789"/>
      <c r="J95" s="789"/>
      <c r="K95" s="789"/>
      <c r="L95" s="789"/>
      <c r="M95" s="789"/>
      <c r="N95" s="789"/>
      <c r="O95" s="789"/>
      <c r="P95" s="789"/>
      <c r="Q95" s="789"/>
      <c r="R95" s="310"/>
      <c r="S95" s="310"/>
      <c r="T95" s="310"/>
      <c r="U95" s="310"/>
      <c r="V95" s="310"/>
      <c r="W95" s="310"/>
      <c r="X95" s="310"/>
      <c r="Y95" s="310"/>
      <c r="Z95" s="310"/>
      <c r="AA95" s="789"/>
      <c r="AB95" s="789"/>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1"/>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2"/>
      <c r="CC95" s="312"/>
      <c r="CD95" s="312"/>
      <c r="CE95" s="310"/>
      <c r="CF95" s="310"/>
      <c r="CG95" s="310"/>
      <c r="CH95" s="310"/>
      <c r="CI95" s="310"/>
      <c r="CJ95" s="310"/>
      <c r="CK95" s="310"/>
      <c r="CL95" s="310"/>
      <c r="CM95" s="310"/>
      <c r="CN95" s="766"/>
      <c r="CO95" s="766"/>
      <c r="CP95" s="766"/>
      <c r="CQ95" s="766"/>
      <c r="CR95" s="766"/>
      <c r="CS95" s="766"/>
      <c r="CT95" s="179"/>
      <c r="CU95" s="179"/>
      <c r="CV95" s="179"/>
      <c r="CW95" s="179"/>
      <c r="CX95" s="179"/>
      <c r="CY95" s="179"/>
      <c r="CZ95" s="179"/>
      <c r="DA95" s="179"/>
      <c r="DB95" s="179"/>
      <c r="DC95" s="179"/>
      <c r="DD95" s="179"/>
      <c r="DE95" s="179"/>
      <c r="DF95" s="179"/>
      <c r="DG95" s="179"/>
      <c r="DH95" s="179"/>
      <c r="DI95" s="179"/>
      <c r="DJ95" s="179"/>
      <c r="DK95" s="182"/>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row>
    <row r="96" spans="1:253" s="178" customFormat="1" x14ac:dyDescent="0.2">
      <c r="A96" s="179"/>
      <c r="B96" s="180"/>
      <c r="C96" s="180"/>
      <c r="D96" s="181"/>
      <c r="E96" s="309"/>
      <c r="F96" s="788"/>
      <c r="G96" s="789"/>
      <c r="H96" s="789"/>
      <c r="I96" s="789"/>
      <c r="J96" s="789"/>
      <c r="K96" s="789"/>
      <c r="L96" s="789"/>
      <c r="M96" s="789"/>
      <c r="N96" s="789"/>
      <c r="O96" s="789"/>
      <c r="P96" s="789"/>
      <c r="Q96" s="789"/>
      <c r="R96" s="310"/>
      <c r="S96" s="310"/>
      <c r="T96" s="310"/>
      <c r="U96" s="310"/>
      <c r="V96" s="310"/>
      <c r="W96" s="310"/>
      <c r="X96" s="310"/>
      <c r="Y96" s="310"/>
      <c r="Z96" s="310"/>
      <c r="AA96" s="789"/>
      <c r="AB96" s="789"/>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1"/>
      <c r="BD96" s="310"/>
      <c r="BE96" s="310"/>
      <c r="BF96" s="310"/>
      <c r="BG96" s="310"/>
      <c r="BH96" s="310"/>
      <c r="BI96" s="310"/>
      <c r="BJ96" s="310"/>
      <c r="BK96" s="310"/>
      <c r="BL96" s="310"/>
      <c r="BM96" s="310"/>
      <c r="BN96" s="310"/>
      <c r="BO96" s="310"/>
      <c r="BP96" s="310"/>
      <c r="BQ96" s="310"/>
      <c r="BR96" s="310"/>
      <c r="BS96" s="310"/>
      <c r="BT96" s="310"/>
      <c r="BU96" s="310"/>
      <c r="BV96" s="310"/>
      <c r="BW96" s="310"/>
      <c r="BX96" s="310"/>
      <c r="BY96" s="310"/>
      <c r="BZ96" s="310"/>
      <c r="CA96" s="310"/>
      <c r="CB96" s="312"/>
      <c r="CC96" s="312"/>
      <c r="CD96" s="312"/>
      <c r="CE96" s="310"/>
      <c r="CF96" s="310"/>
      <c r="CG96" s="310"/>
      <c r="CH96" s="310"/>
      <c r="CI96" s="310"/>
      <c r="CJ96" s="310"/>
      <c r="CK96" s="310"/>
      <c r="CL96" s="310"/>
      <c r="CM96" s="310"/>
      <c r="CN96" s="766"/>
      <c r="CO96" s="766"/>
      <c r="CP96" s="766"/>
      <c r="CQ96" s="766"/>
      <c r="CR96" s="766"/>
      <c r="CS96" s="766"/>
      <c r="CT96" s="179"/>
      <c r="CU96" s="179"/>
      <c r="CV96" s="179"/>
      <c r="CW96" s="179"/>
      <c r="CX96" s="179"/>
      <c r="CY96" s="179"/>
      <c r="CZ96" s="179"/>
      <c r="DA96" s="179"/>
      <c r="DB96" s="179"/>
      <c r="DC96" s="179"/>
      <c r="DD96" s="179"/>
      <c r="DE96" s="179"/>
      <c r="DF96" s="179"/>
      <c r="DG96" s="179"/>
      <c r="DH96" s="179"/>
      <c r="DI96" s="179"/>
      <c r="DJ96" s="179"/>
      <c r="DK96" s="182"/>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row>
    <row r="97" spans="1:253" s="178" customFormat="1" x14ac:dyDescent="0.2">
      <c r="A97" s="179"/>
      <c r="B97" s="180"/>
      <c r="C97" s="180"/>
      <c r="D97" s="181"/>
      <c r="E97" s="309"/>
      <c r="F97" s="788"/>
      <c r="G97" s="789"/>
      <c r="H97" s="789"/>
      <c r="I97" s="789"/>
      <c r="J97" s="789"/>
      <c r="K97" s="789"/>
      <c r="L97" s="789"/>
      <c r="M97" s="789"/>
      <c r="N97" s="789"/>
      <c r="O97" s="789"/>
      <c r="P97" s="789"/>
      <c r="Q97" s="789"/>
      <c r="R97" s="310"/>
      <c r="S97" s="310"/>
      <c r="T97" s="310"/>
      <c r="U97" s="310"/>
      <c r="V97" s="310"/>
      <c r="W97" s="310"/>
      <c r="X97" s="310"/>
      <c r="Y97" s="310"/>
      <c r="Z97" s="310"/>
      <c r="AA97" s="789"/>
      <c r="AB97" s="789"/>
      <c r="AC97" s="310"/>
      <c r="AD97" s="310"/>
      <c r="AE97" s="310"/>
      <c r="AF97" s="310"/>
      <c r="AG97" s="310"/>
      <c r="AH97" s="310"/>
      <c r="AI97" s="310"/>
      <c r="AJ97" s="310"/>
      <c r="AK97" s="310"/>
      <c r="AL97" s="310"/>
      <c r="AM97" s="310"/>
      <c r="AN97" s="310"/>
      <c r="AO97" s="310"/>
      <c r="AP97" s="310"/>
      <c r="AQ97" s="310"/>
      <c r="AR97" s="310"/>
      <c r="AS97" s="310"/>
      <c r="AT97" s="310"/>
      <c r="AU97" s="310"/>
      <c r="AV97" s="310"/>
      <c r="AW97" s="310"/>
      <c r="AX97" s="310"/>
      <c r="AY97" s="310"/>
      <c r="AZ97" s="310"/>
      <c r="BA97" s="310"/>
      <c r="BB97" s="310"/>
      <c r="BC97" s="311"/>
      <c r="BD97" s="310"/>
      <c r="BE97" s="310"/>
      <c r="BF97" s="310"/>
      <c r="BG97" s="310"/>
      <c r="BH97" s="310"/>
      <c r="BI97" s="310"/>
      <c r="BJ97" s="310"/>
      <c r="BK97" s="310"/>
      <c r="BL97" s="310"/>
      <c r="BM97" s="310"/>
      <c r="BN97" s="310"/>
      <c r="BO97" s="310"/>
      <c r="BP97" s="310"/>
      <c r="BQ97" s="310"/>
      <c r="BR97" s="310"/>
      <c r="BS97" s="310"/>
      <c r="BT97" s="310"/>
      <c r="BU97" s="310"/>
      <c r="BV97" s="310"/>
      <c r="BW97" s="310"/>
      <c r="BX97" s="310"/>
      <c r="BY97" s="310"/>
      <c r="BZ97" s="310"/>
      <c r="CA97" s="310"/>
      <c r="CB97" s="312"/>
      <c r="CC97" s="312"/>
      <c r="CD97" s="312"/>
      <c r="CE97" s="310"/>
      <c r="CF97" s="310"/>
      <c r="CG97" s="310"/>
      <c r="CH97" s="310"/>
      <c r="CI97" s="310"/>
      <c r="CJ97" s="310"/>
      <c r="CK97" s="310"/>
      <c r="CL97" s="310"/>
      <c r="CM97" s="310"/>
      <c r="CN97" s="766"/>
      <c r="CO97" s="766"/>
      <c r="CP97" s="766"/>
      <c r="CQ97" s="766"/>
      <c r="CR97" s="766"/>
      <c r="CS97" s="766"/>
      <c r="CT97" s="179"/>
      <c r="CU97" s="179"/>
      <c r="CV97" s="179"/>
      <c r="CW97" s="179"/>
      <c r="CX97" s="179"/>
      <c r="CY97" s="179"/>
      <c r="CZ97" s="179"/>
      <c r="DA97" s="179"/>
      <c r="DB97" s="179"/>
      <c r="DC97" s="179"/>
      <c r="DD97" s="179"/>
      <c r="DE97" s="179"/>
      <c r="DF97" s="179"/>
      <c r="DG97" s="179"/>
      <c r="DH97" s="179"/>
      <c r="DI97" s="179"/>
      <c r="DJ97" s="179"/>
      <c r="DK97" s="182"/>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row>
    <row r="98" spans="1:253" s="178" customFormat="1" x14ac:dyDescent="0.2">
      <c r="A98" s="179"/>
      <c r="B98" s="180"/>
      <c r="C98" s="180"/>
      <c r="D98" s="181"/>
      <c r="E98" s="309"/>
      <c r="F98" s="788"/>
      <c r="G98" s="789"/>
      <c r="H98" s="789"/>
      <c r="I98" s="789"/>
      <c r="J98" s="789"/>
      <c r="K98" s="789"/>
      <c r="L98" s="789"/>
      <c r="M98" s="789"/>
      <c r="N98" s="789"/>
      <c r="O98" s="789"/>
      <c r="P98" s="789"/>
      <c r="Q98" s="789"/>
      <c r="R98" s="310"/>
      <c r="S98" s="310"/>
      <c r="T98" s="310"/>
      <c r="U98" s="310"/>
      <c r="V98" s="310"/>
      <c r="W98" s="310"/>
      <c r="X98" s="310"/>
      <c r="Y98" s="310"/>
      <c r="Z98" s="310"/>
      <c r="AA98" s="789"/>
      <c r="AB98" s="789"/>
      <c r="AC98" s="310"/>
      <c r="AD98" s="310"/>
      <c r="AE98" s="310"/>
      <c r="AF98" s="310"/>
      <c r="AG98" s="310"/>
      <c r="AH98" s="310"/>
      <c r="AI98" s="310"/>
      <c r="AJ98" s="310"/>
      <c r="AK98" s="310"/>
      <c r="AL98" s="310"/>
      <c r="AM98" s="310"/>
      <c r="AN98" s="310"/>
      <c r="AO98" s="310"/>
      <c r="AP98" s="310"/>
      <c r="AQ98" s="310"/>
      <c r="AR98" s="310"/>
      <c r="AS98" s="310"/>
      <c r="AT98" s="310"/>
      <c r="AU98" s="310"/>
      <c r="AV98" s="310"/>
      <c r="AW98" s="310"/>
      <c r="AX98" s="310"/>
      <c r="AY98" s="310"/>
      <c r="AZ98" s="310"/>
      <c r="BA98" s="310"/>
      <c r="BB98" s="310"/>
      <c r="BC98" s="311"/>
      <c r="BD98" s="310"/>
      <c r="BE98" s="310"/>
      <c r="BF98" s="310"/>
      <c r="BG98" s="310"/>
      <c r="BH98" s="310"/>
      <c r="BI98" s="310"/>
      <c r="BJ98" s="310"/>
      <c r="BK98" s="310"/>
      <c r="BL98" s="310"/>
      <c r="BM98" s="310"/>
      <c r="BN98" s="310"/>
      <c r="BO98" s="310"/>
      <c r="BP98" s="310"/>
      <c r="BQ98" s="310"/>
      <c r="BR98" s="310"/>
      <c r="BS98" s="310"/>
      <c r="BT98" s="310"/>
      <c r="BU98" s="310"/>
      <c r="BV98" s="310"/>
      <c r="BW98" s="310"/>
      <c r="BX98" s="310"/>
      <c r="BY98" s="310"/>
      <c r="BZ98" s="310"/>
      <c r="CA98" s="310"/>
      <c r="CB98" s="312"/>
      <c r="CC98" s="312"/>
      <c r="CD98" s="312"/>
      <c r="CE98" s="310"/>
      <c r="CF98" s="310"/>
      <c r="CG98" s="310"/>
      <c r="CH98" s="310"/>
      <c r="CI98" s="310"/>
      <c r="CJ98" s="310"/>
      <c r="CK98" s="310"/>
      <c r="CL98" s="310"/>
      <c r="CM98" s="310"/>
      <c r="CN98" s="766"/>
      <c r="CO98" s="766"/>
      <c r="CP98" s="766"/>
      <c r="CQ98" s="766"/>
      <c r="CR98" s="766"/>
      <c r="CS98" s="766"/>
      <c r="CT98" s="179"/>
      <c r="CU98" s="179"/>
      <c r="CV98" s="179"/>
      <c r="CW98" s="179"/>
      <c r="CX98" s="179"/>
      <c r="CY98" s="179"/>
      <c r="CZ98" s="179"/>
      <c r="DA98" s="179"/>
      <c r="DB98" s="179"/>
      <c r="DC98" s="179"/>
      <c r="DD98" s="179"/>
      <c r="DE98" s="179"/>
      <c r="DF98" s="179"/>
      <c r="DG98" s="179"/>
      <c r="DH98" s="179"/>
      <c r="DI98" s="179"/>
      <c r="DJ98" s="179"/>
      <c r="DK98" s="182"/>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row>
    <row r="99" spans="1:253" s="183" customFormat="1" x14ac:dyDescent="0.2">
      <c r="A99" s="179"/>
      <c r="B99" s="180"/>
      <c r="C99" s="180"/>
      <c r="D99" s="181"/>
      <c r="E99" s="309"/>
      <c r="F99" s="788"/>
      <c r="G99" s="789"/>
      <c r="H99" s="789"/>
      <c r="I99" s="789"/>
      <c r="J99" s="789"/>
      <c r="K99" s="789"/>
      <c r="L99" s="789"/>
      <c r="M99" s="789"/>
      <c r="N99" s="789"/>
      <c r="O99" s="789"/>
      <c r="P99" s="789"/>
      <c r="Q99" s="789"/>
      <c r="R99" s="310"/>
      <c r="S99" s="310"/>
      <c r="T99" s="310"/>
      <c r="U99" s="310"/>
      <c r="V99" s="310"/>
      <c r="W99" s="310"/>
      <c r="X99" s="310"/>
      <c r="Y99" s="310"/>
      <c r="Z99" s="310"/>
      <c r="AA99" s="789"/>
      <c r="AB99" s="789"/>
      <c r="AC99" s="310"/>
      <c r="AD99" s="310"/>
      <c r="AE99" s="310"/>
      <c r="AF99" s="310"/>
      <c r="AG99" s="310"/>
      <c r="AH99" s="310"/>
      <c r="AI99" s="310"/>
      <c r="AJ99" s="310"/>
      <c r="AK99" s="310"/>
      <c r="AL99" s="310"/>
      <c r="AM99" s="310"/>
      <c r="AN99" s="310"/>
      <c r="AO99" s="310"/>
      <c r="AP99" s="310"/>
      <c r="AQ99" s="310"/>
      <c r="AR99" s="310"/>
      <c r="AS99" s="310"/>
      <c r="AT99" s="310"/>
      <c r="AU99" s="310"/>
      <c r="AV99" s="310"/>
      <c r="AW99" s="310"/>
      <c r="AX99" s="310"/>
      <c r="AY99" s="310"/>
      <c r="AZ99" s="310"/>
      <c r="BA99" s="310"/>
      <c r="BB99" s="310"/>
      <c r="BC99" s="311"/>
      <c r="BD99" s="310"/>
      <c r="BE99" s="310"/>
      <c r="BF99" s="310"/>
      <c r="BG99" s="310"/>
      <c r="BH99" s="310"/>
      <c r="BI99" s="310"/>
      <c r="BJ99" s="310"/>
      <c r="BK99" s="310"/>
      <c r="BL99" s="310"/>
      <c r="BM99" s="310"/>
      <c r="BN99" s="310"/>
      <c r="BO99" s="310"/>
      <c r="BP99" s="310"/>
      <c r="BQ99" s="310"/>
      <c r="BR99" s="310"/>
      <c r="BS99" s="310"/>
      <c r="BT99" s="310"/>
      <c r="BU99" s="310"/>
      <c r="BV99" s="310"/>
      <c r="BW99" s="310"/>
      <c r="BX99" s="310"/>
      <c r="BY99" s="310"/>
      <c r="BZ99" s="310"/>
      <c r="CA99" s="310"/>
      <c r="CB99" s="312"/>
      <c r="CC99" s="312"/>
      <c r="CD99" s="312"/>
      <c r="CE99" s="310"/>
      <c r="CF99" s="310"/>
      <c r="CG99" s="310"/>
      <c r="CH99" s="310"/>
      <c r="CI99" s="310"/>
      <c r="CJ99" s="310"/>
      <c r="CK99" s="310"/>
      <c r="CL99" s="310"/>
      <c r="CM99" s="310"/>
      <c r="CN99" s="766"/>
      <c r="CO99" s="766"/>
      <c r="CP99" s="766"/>
      <c r="CQ99" s="766"/>
      <c r="CR99" s="766"/>
      <c r="CS99" s="766"/>
      <c r="CT99" s="179"/>
      <c r="CU99" s="179"/>
      <c r="CV99" s="179"/>
      <c r="CW99" s="179"/>
      <c r="CX99" s="179"/>
      <c r="CY99" s="179"/>
      <c r="CZ99" s="179"/>
      <c r="DA99" s="179"/>
      <c r="DB99" s="179"/>
      <c r="DC99" s="179"/>
      <c r="DD99" s="179"/>
      <c r="DE99" s="179"/>
      <c r="DF99" s="179"/>
      <c r="DG99" s="179"/>
      <c r="DH99" s="179"/>
      <c r="DI99" s="179"/>
      <c r="DJ99" s="179"/>
      <c r="DK99" s="182"/>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row>
    <row r="100" spans="1:253" s="85" customFormat="1" x14ac:dyDescent="0.2">
      <c r="A100" s="137"/>
      <c r="B100" s="138" t="s">
        <v>117</v>
      </c>
      <c r="C100" s="138"/>
      <c r="D100" s="138" t="s">
        <v>462</v>
      </c>
      <c r="E100" s="138"/>
      <c r="F100" s="790"/>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139"/>
      <c r="AU100" s="87"/>
      <c r="AV100" s="87"/>
      <c r="AW100" s="87"/>
      <c r="AX100" s="139"/>
      <c r="AY100" s="139"/>
      <c r="AZ100" s="139"/>
      <c r="BA100" s="139"/>
      <c r="BB100" s="139"/>
      <c r="BC100" s="140"/>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40"/>
      <c r="CH100" s="139"/>
      <c r="CI100" s="139"/>
      <c r="CJ100" s="139"/>
      <c r="CK100" s="139"/>
      <c r="CL100" s="139"/>
      <c r="CM100" s="139"/>
      <c r="DK100" s="135"/>
      <c r="DL100" s="766"/>
      <c r="DM100" s="766"/>
      <c r="DN100" s="766"/>
      <c r="DO100" s="766"/>
      <c r="DP100" s="766"/>
      <c r="DQ100" s="766"/>
      <c r="DR100" s="766"/>
      <c r="DS100" s="766"/>
      <c r="DT100" s="766"/>
      <c r="DU100" s="766"/>
      <c r="DV100" s="766"/>
      <c r="DW100" s="766"/>
      <c r="DX100" s="766"/>
      <c r="DY100" s="766"/>
      <c r="DZ100" s="766"/>
      <c r="EA100" s="766"/>
      <c r="EB100" s="766"/>
      <c r="EC100" s="766"/>
      <c r="ED100" s="766"/>
      <c r="EE100" s="766"/>
      <c r="EF100" s="766"/>
      <c r="EG100" s="766"/>
      <c r="EH100" s="766"/>
      <c r="EI100" s="766"/>
      <c r="EJ100" s="766"/>
      <c r="EK100" s="766"/>
      <c r="EL100" s="766"/>
      <c r="EM100" s="766"/>
      <c r="EN100" s="766"/>
      <c r="EO100" s="766"/>
      <c r="EP100" s="766"/>
      <c r="EQ100" s="766"/>
      <c r="ER100" s="766"/>
      <c r="ES100" s="766"/>
      <c r="ET100" s="766"/>
      <c r="EU100" s="766"/>
      <c r="EV100" s="766"/>
      <c r="EW100" s="766"/>
      <c r="EX100" s="766"/>
      <c r="EY100" s="766"/>
      <c r="EZ100" s="766"/>
      <c r="FA100" s="766"/>
      <c r="FB100" s="766"/>
      <c r="FC100" s="766"/>
      <c r="FD100" s="766"/>
      <c r="FE100" s="766"/>
      <c r="FF100" s="766"/>
      <c r="FG100" s="766"/>
      <c r="FH100" s="766"/>
      <c r="FI100" s="766"/>
      <c r="FJ100" s="766"/>
      <c r="FK100" s="766"/>
      <c r="FL100" s="766"/>
      <c r="FM100" s="766"/>
      <c r="FN100" s="766"/>
      <c r="FO100" s="766"/>
      <c r="FP100" s="766"/>
      <c r="FQ100" s="766"/>
      <c r="FR100" s="766"/>
      <c r="FS100" s="766"/>
      <c r="FT100" s="766"/>
      <c r="FU100" s="766"/>
      <c r="FV100" s="766"/>
      <c r="FW100" s="766"/>
      <c r="FX100" s="766"/>
      <c r="FY100" s="766"/>
      <c r="FZ100" s="766"/>
      <c r="GA100" s="766"/>
      <c r="GB100" s="766"/>
      <c r="GC100" s="766"/>
      <c r="GD100" s="766"/>
      <c r="GE100" s="766"/>
      <c r="GF100" s="766"/>
      <c r="GG100" s="766"/>
      <c r="GH100" s="766"/>
      <c r="GI100" s="766"/>
      <c r="GJ100" s="766"/>
      <c r="GK100" s="766"/>
      <c r="GL100" s="766"/>
      <c r="GM100" s="766"/>
      <c r="GN100" s="766"/>
      <c r="GO100" s="766"/>
      <c r="GP100" s="766"/>
      <c r="GQ100" s="766"/>
      <c r="GR100" s="766"/>
      <c r="GS100" s="766"/>
      <c r="GT100" s="766"/>
      <c r="GU100" s="766"/>
      <c r="GV100" s="766"/>
      <c r="GW100" s="766"/>
      <c r="GX100" s="766"/>
      <c r="GY100" s="766"/>
      <c r="GZ100" s="766"/>
      <c r="HA100" s="766"/>
      <c r="HB100" s="766"/>
      <c r="HC100" s="766"/>
      <c r="HD100" s="766"/>
      <c r="HE100" s="766"/>
      <c r="HF100" s="766"/>
      <c r="HG100" s="766"/>
      <c r="HH100" s="766"/>
      <c r="HI100" s="766"/>
      <c r="HJ100" s="766"/>
      <c r="HK100" s="766"/>
      <c r="HL100" s="766"/>
      <c r="HM100" s="766"/>
      <c r="HN100" s="766"/>
      <c r="HO100" s="766"/>
      <c r="HP100" s="766"/>
      <c r="HQ100" s="766"/>
      <c r="HR100" s="766"/>
      <c r="HS100" s="766"/>
      <c r="HT100" s="766"/>
      <c r="HU100" s="766"/>
      <c r="HV100" s="766"/>
      <c r="HW100" s="766"/>
      <c r="HX100" s="766"/>
      <c r="HY100" s="766"/>
      <c r="HZ100" s="766"/>
      <c r="IA100" s="766"/>
      <c r="IB100" s="766"/>
      <c r="IC100" s="766"/>
      <c r="ID100" s="766"/>
      <c r="IE100" s="766"/>
      <c r="IF100" s="766"/>
      <c r="IG100" s="766"/>
      <c r="IH100" s="766"/>
      <c r="II100" s="766"/>
      <c r="IJ100" s="766"/>
      <c r="IK100" s="766"/>
      <c r="IL100" s="766"/>
      <c r="IM100" s="766"/>
      <c r="IN100" s="766"/>
      <c r="IO100" s="766"/>
      <c r="IP100" s="766"/>
      <c r="IQ100" s="766"/>
      <c r="IR100" s="766"/>
      <c r="IS100" s="766"/>
    </row>
    <row r="101" spans="1:253" s="85" customFormat="1" x14ac:dyDescent="0.2">
      <c r="A101" s="86">
        <v>1</v>
      </c>
      <c r="B101" s="87">
        <f>A101+1</f>
        <v>2</v>
      </c>
      <c r="C101" s="87">
        <f>B101+1</f>
        <v>3</v>
      </c>
      <c r="D101" s="87">
        <f>C101+1</f>
        <v>4</v>
      </c>
      <c r="E101" s="87">
        <v>5</v>
      </c>
      <c r="F101" s="87">
        <v>6</v>
      </c>
      <c r="G101" s="87">
        <v>7</v>
      </c>
      <c r="H101" s="87">
        <v>8</v>
      </c>
      <c r="I101" s="87">
        <v>9</v>
      </c>
      <c r="J101" s="87">
        <v>10</v>
      </c>
      <c r="K101" s="87">
        <v>11</v>
      </c>
      <c r="L101" s="87">
        <v>12</v>
      </c>
      <c r="M101" s="87">
        <v>13</v>
      </c>
      <c r="N101" s="87">
        <v>14</v>
      </c>
      <c r="O101" s="87">
        <v>15</v>
      </c>
      <c r="P101" s="87">
        <v>16</v>
      </c>
      <c r="Q101" s="87">
        <v>17</v>
      </c>
      <c r="R101" s="87">
        <v>18</v>
      </c>
      <c r="S101" s="87">
        <v>19</v>
      </c>
      <c r="T101" s="87">
        <v>20</v>
      </c>
      <c r="U101" s="87">
        <v>21</v>
      </c>
      <c r="V101" s="87">
        <v>22</v>
      </c>
      <c r="W101" s="87">
        <v>23</v>
      </c>
      <c r="X101" s="87">
        <v>24</v>
      </c>
      <c r="Y101" s="87">
        <v>25</v>
      </c>
      <c r="Z101" s="87">
        <v>26</v>
      </c>
      <c r="AA101" s="87">
        <v>27</v>
      </c>
      <c r="AB101" s="87">
        <v>28</v>
      </c>
      <c r="AC101" s="87">
        <v>29</v>
      </c>
      <c r="AD101" s="87">
        <v>30</v>
      </c>
      <c r="AE101" s="87">
        <v>31</v>
      </c>
      <c r="AF101" s="87">
        <v>32</v>
      </c>
      <c r="AG101" s="87">
        <v>33</v>
      </c>
      <c r="AH101" s="87">
        <v>34</v>
      </c>
      <c r="AI101" s="87">
        <v>35</v>
      </c>
      <c r="AJ101" s="87">
        <v>36</v>
      </c>
      <c r="AK101" s="87">
        <v>37</v>
      </c>
      <c r="AL101" s="87">
        <v>38</v>
      </c>
      <c r="AM101" s="87">
        <v>39</v>
      </c>
      <c r="AN101" s="87">
        <v>40</v>
      </c>
      <c r="AO101" s="87">
        <v>41</v>
      </c>
      <c r="AP101" s="87">
        <v>42</v>
      </c>
      <c r="AQ101" s="87">
        <v>43</v>
      </c>
      <c r="AR101" s="87">
        <v>44</v>
      </c>
      <c r="AS101" s="87">
        <v>45</v>
      </c>
      <c r="AT101" s="87">
        <v>46</v>
      </c>
      <c r="AU101" s="87">
        <v>47</v>
      </c>
      <c r="AV101" s="87">
        <v>48</v>
      </c>
      <c r="AW101" s="87">
        <v>49</v>
      </c>
      <c r="AX101" s="87">
        <v>50</v>
      </c>
      <c r="AY101" s="87">
        <v>51</v>
      </c>
      <c r="AZ101" s="87">
        <v>52</v>
      </c>
      <c r="BA101" s="87">
        <v>53</v>
      </c>
      <c r="BB101" s="87">
        <v>54</v>
      </c>
      <c r="BC101" s="87">
        <v>55</v>
      </c>
      <c r="BD101" s="87">
        <v>56</v>
      </c>
      <c r="BE101" s="87">
        <v>57</v>
      </c>
      <c r="BF101" s="87">
        <v>58</v>
      </c>
      <c r="BG101" s="87">
        <v>59</v>
      </c>
      <c r="BH101" s="87">
        <v>60</v>
      </c>
      <c r="BI101" s="87">
        <v>61</v>
      </c>
      <c r="BJ101" s="87">
        <v>62</v>
      </c>
      <c r="BK101" s="87">
        <v>63</v>
      </c>
      <c r="BL101" s="87">
        <v>64</v>
      </c>
      <c r="BM101" s="87">
        <v>65</v>
      </c>
      <c r="BN101" s="87">
        <v>66</v>
      </c>
      <c r="BO101" s="87">
        <v>67</v>
      </c>
      <c r="BP101" s="87">
        <v>68</v>
      </c>
      <c r="BQ101" s="87">
        <v>69</v>
      </c>
      <c r="BR101" s="87">
        <v>70</v>
      </c>
      <c r="BS101" s="87">
        <v>71</v>
      </c>
      <c r="BT101" s="87">
        <v>72</v>
      </c>
      <c r="BU101" s="87">
        <v>73</v>
      </c>
      <c r="BV101" s="87">
        <v>74</v>
      </c>
      <c r="BW101" s="87">
        <v>75</v>
      </c>
      <c r="BX101" s="87">
        <v>76</v>
      </c>
      <c r="BY101" s="87">
        <v>77</v>
      </c>
      <c r="BZ101" s="87">
        <v>78</v>
      </c>
      <c r="CA101" s="87">
        <v>79</v>
      </c>
      <c r="CB101" s="87">
        <v>80</v>
      </c>
      <c r="CC101" s="87">
        <v>81</v>
      </c>
      <c r="CD101" s="87">
        <v>82</v>
      </c>
      <c r="CE101" s="87">
        <v>83</v>
      </c>
      <c r="CF101" s="87">
        <v>84</v>
      </c>
      <c r="CG101" s="87">
        <v>85</v>
      </c>
      <c r="CH101" s="87">
        <v>86</v>
      </c>
      <c r="CI101" s="87">
        <v>87</v>
      </c>
      <c r="CJ101" s="87">
        <v>88</v>
      </c>
      <c r="CK101" s="87">
        <v>89</v>
      </c>
      <c r="CL101" s="87">
        <v>90</v>
      </c>
      <c r="CM101" s="87">
        <v>91</v>
      </c>
      <c r="CN101" s="87">
        <v>92</v>
      </c>
      <c r="CO101" s="87">
        <v>93</v>
      </c>
      <c r="CP101" s="87">
        <v>94</v>
      </c>
      <c r="CQ101" s="87">
        <v>95</v>
      </c>
      <c r="CR101" s="87">
        <v>96</v>
      </c>
      <c r="CS101" s="87">
        <v>97</v>
      </c>
      <c r="CT101" s="87">
        <v>98</v>
      </c>
      <c r="CU101" s="87">
        <v>99</v>
      </c>
      <c r="CV101" s="87">
        <v>100</v>
      </c>
      <c r="CW101" s="87">
        <v>101</v>
      </c>
      <c r="CX101" s="87">
        <v>102</v>
      </c>
      <c r="CY101" s="87">
        <v>103</v>
      </c>
      <c r="CZ101" s="87">
        <v>104</v>
      </c>
      <c r="DA101" s="87">
        <v>105</v>
      </c>
      <c r="DB101" s="87">
        <v>106</v>
      </c>
      <c r="DC101" s="87">
        <v>107</v>
      </c>
      <c r="DD101" s="87">
        <v>108</v>
      </c>
      <c r="DE101" s="87">
        <v>109</v>
      </c>
      <c r="DF101" s="87">
        <v>110</v>
      </c>
      <c r="DG101" s="87">
        <v>111</v>
      </c>
      <c r="DH101" s="87">
        <v>112</v>
      </c>
      <c r="DI101" s="87">
        <v>113</v>
      </c>
      <c r="DJ101" s="87">
        <v>114</v>
      </c>
      <c r="DK101" s="135"/>
      <c r="DL101" s="766"/>
      <c r="DM101" s="766"/>
      <c r="DN101" s="766"/>
      <c r="DO101" s="766"/>
      <c r="DP101" s="766"/>
      <c r="DQ101" s="766"/>
      <c r="DR101" s="766"/>
      <c r="DS101" s="766"/>
      <c r="DT101" s="766"/>
      <c r="DU101" s="766"/>
      <c r="DV101" s="766"/>
      <c r="DW101" s="766"/>
      <c r="DX101" s="766"/>
      <c r="DY101" s="766"/>
      <c r="DZ101" s="766"/>
      <c r="EA101" s="766"/>
      <c r="EB101" s="766"/>
      <c r="EC101" s="766"/>
      <c r="ED101" s="766"/>
      <c r="EE101" s="766"/>
      <c r="EF101" s="766"/>
      <c r="EG101" s="766"/>
      <c r="EH101" s="766"/>
      <c r="EI101" s="766"/>
      <c r="EJ101" s="766"/>
      <c r="EK101" s="766"/>
      <c r="EL101" s="766"/>
      <c r="EM101" s="766"/>
      <c r="EN101" s="766"/>
      <c r="EO101" s="766"/>
      <c r="EP101" s="766"/>
      <c r="EQ101" s="766"/>
      <c r="ER101" s="766"/>
      <c r="ES101" s="766"/>
      <c r="ET101" s="766"/>
      <c r="EU101" s="766"/>
      <c r="EV101" s="766"/>
      <c r="EW101" s="766"/>
      <c r="EX101" s="766"/>
      <c r="EY101" s="766"/>
      <c r="EZ101" s="766"/>
      <c r="FA101" s="766"/>
      <c r="FB101" s="766"/>
      <c r="FC101" s="766"/>
      <c r="FD101" s="766"/>
      <c r="FE101" s="766"/>
      <c r="FF101" s="766"/>
      <c r="FG101" s="766"/>
      <c r="FH101" s="766"/>
      <c r="FI101" s="766"/>
      <c r="FJ101" s="766"/>
      <c r="FK101" s="766"/>
      <c r="FL101" s="766"/>
      <c r="FM101" s="766"/>
      <c r="FN101" s="766"/>
      <c r="FO101" s="766"/>
      <c r="FP101" s="766"/>
      <c r="FQ101" s="766"/>
      <c r="FR101" s="766"/>
      <c r="FS101" s="766"/>
      <c r="FT101" s="766"/>
      <c r="FU101" s="766"/>
      <c r="FV101" s="766"/>
      <c r="FW101" s="766"/>
      <c r="FX101" s="766"/>
      <c r="FY101" s="766"/>
      <c r="FZ101" s="766"/>
      <c r="GA101" s="766"/>
      <c r="GB101" s="766"/>
      <c r="GC101" s="766"/>
      <c r="GD101" s="766"/>
      <c r="GE101" s="766"/>
      <c r="GF101" s="766"/>
      <c r="GG101" s="766"/>
      <c r="GH101" s="766"/>
      <c r="GI101" s="766"/>
      <c r="GJ101" s="766"/>
      <c r="GK101" s="766"/>
      <c r="GL101" s="766"/>
      <c r="GM101" s="766"/>
      <c r="GN101" s="766"/>
      <c r="GO101" s="766"/>
      <c r="GP101" s="766"/>
      <c r="GQ101" s="766"/>
      <c r="GR101" s="766"/>
      <c r="GS101" s="766"/>
      <c r="GT101" s="766"/>
      <c r="GU101" s="766"/>
      <c r="GV101" s="766"/>
      <c r="GW101" s="766"/>
      <c r="GX101" s="766"/>
      <c r="GY101" s="766"/>
      <c r="GZ101" s="766"/>
      <c r="HA101" s="766"/>
      <c r="HB101" s="766"/>
      <c r="HC101" s="766"/>
      <c r="HD101" s="766"/>
      <c r="HE101" s="766"/>
      <c r="HF101" s="766"/>
      <c r="HG101" s="766"/>
      <c r="HH101" s="766"/>
      <c r="HI101" s="766"/>
      <c r="HJ101" s="766"/>
      <c r="HK101" s="766"/>
      <c r="HL101" s="766"/>
      <c r="HM101" s="766"/>
      <c r="HN101" s="766"/>
      <c r="HO101" s="766"/>
      <c r="HP101" s="766"/>
      <c r="HQ101" s="766"/>
      <c r="HR101" s="766"/>
      <c r="HS101" s="766"/>
      <c r="HT101" s="766"/>
      <c r="HU101" s="766"/>
      <c r="HV101" s="766"/>
      <c r="HW101" s="766"/>
      <c r="HX101" s="766"/>
      <c r="HY101" s="766"/>
      <c r="HZ101" s="766"/>
      <c r="IA101" s="766"/>
      <c r="IB101" s="766"/>
      <c r="IC101" s="766"/>
      <c r="ID101" s="766"/>
      <c r="IE101" s="766"/>
      <c r="IF101" s="766"/>
      <c r="IG101" s="766"/>
      <c r="IH101" s="766"/>
      <c r="II101" s="766"/>
      <c r="IJ101" s="766"/>
      <c r="IK101" s="766"/>
      <c r="IL101" s="766"/>
      <c r="IM101" s="766"/>
      <c r="IN101" s="766"/>
      <c r="IO101" s="766"/>
      <c r="IP101" s="766"/>
      <c r="IQ101" s="766"/>
      <c r="IR101" s="766"/>
      <c r="IS101" s="766"/>
    </row>
    <row r="102" spans="1:253" s="186" customFormat="1" x14ac:dyDescent="0.2">
      <c r="A102" s="184"/>
      <c r="B102" s="87"/>
      <c r="C102" s="87"/>
      <c r="D102" s="87"/>
      <c r="E102" s="88"/>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7"/>
      <c r="DH102" s="87"/>
      <c r="DI102" s="87"/>
      <c r="DJ102" s="87"/>
      <c r="DK102" s="18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row>
    <row r="103" spans="1:253" s="186" customFormat="1" x14ac:dyDescent="0.2">
      <c r="A103" s="187" t="str">
        <f>A1</f>
        <v>STEP</v>
      </c>
      <c r="B103" s="187" t="str">
        <f>B1</f>
        <v>NoSTEP</v>
      </c>
      <c r="C103" s="187" t="str">
        <f>C1</f>
        <v>Exploitant_prénom</v>
      </c>
      <c r="D103" s="187" t="str">
        <f t="shared" ref="D103:P103" si="2">D1</f>
        <v>Exploitant_nom</v>
      </c>
      <c r="E103" s="187" t="str">
        <f t="shared" si="2"/>
        <v>CapBiol</v>
      </c>
      <c r="F103" s="187" t="str">
        <f t="shared" si="2"/>
        <v>AnCons</v>
      </c>
      <c r="G103" s="187" t="str">
        <f t="shared" si="2"/>
        <v>AnTrans</v>
      </c>
      <c r="H103" s="187" t="str">
        <f t="shared" si="2"/>
        <v>Coord_STEP_X</v>
      </c>
      <c r="I103" s="187" t="str">
        <f t="shared" si="2"/>
        <v>Coord_STEP_Y</v>
      </c>
      <c r="J103" s="187" t="str">
        <f t="shared" si="2"/>
        <v>Coord_STEP_alt</v>
      </c>
      <c r="K103" s="187" t="str">
        <f t="shared" si="2"/>
        <v>EX_IMM_NOM</v>
      </c>
      <c r="L103" s="187" t="str">
        <f t="shared" si="2"/>
        <v>EX_FIN_NOM</v>
      </c>
      <c r="M103" s="187" t="str">
        <f t="shared" si="2"/>
        <v>Coord_rejet_X</v>
      </c>
      <c r="N103" s="187" t="str">
        <f t="shared" si="2"/>
        <v>Coord_rejet_Y</v>
      </c>
      <c r="O103" s="187" t="str">
        <f t="shared" si="2"/>
        <v>Coord_rejet_alt</v>
      </c>
      <c r="P103" s="187" t="str">
        <f t="shared" si="2"/>
        <v>QSTEP</v>
      </c>
      <c r="Q103" s="187" t="str">
        <f>Q1</f>
        <v>VBio</v>
      </c>
      <c r="R103" s="187" t="str">
        <f>R1</f>
        <v>DBO5c</v>
      </c>
      <c r="S103" s="187" t="str">
        <f t="shared" ref="S103:CD103" si="3">S1</f>
        <v>DBO5rdt</v>
      </c>
      <c r="T103" s="187" t="str">
        <f t="shared" si="3"/>
        <v>DOCc</v>
      </c>
      <c r="U103" s="187" t="str">
        <f t="shared" si="3"/>
        <v>DOCrdt</v>
      </c>
      <c r="V103" s="187" t="str">
        <f t="shared" si="3"/>
        <v>Ptotc</v>
      </c>
      <c r="W103" s="187" t="str">
        <f t="shared" si="3"/>
        <v>Ptotrdt</v>
      </c>
      <c r="X103" s="187" t="str">
        <f t="shared" si="3"/>
        <v>NNH4c</v>
      </c>
      <c r="Y103" s="187" t="str">
        <f t="shared" si="3"/>
        <v>NNH4rdt</v>
      </c>
      <c r="Z103" s="187" t="str">
        <f t="shared" si="3"/>
        <v>NO2c</v>
      </c>
      <c r="AA103" s="187" t="str">
        <f t="shared" si="3"/>
        <v>MESc</v>
      </c>
      <c r="AB103" s="187" t="str">
        <f t="shared" si="3"/>
        <v>champs de reserve (disponible)</v>
      </c>
      <c r="AC103" s="187" t="str">
        <f t="shared" si="3"/>
        <v>Habitants rac.</v>
      </c>
      <c r="AD103" s="187" t="str">
        <f t="shared" si="3"/>
        <v>Lits touristiques rac.</v>
      </c>
      <c r="AE103" s="187" t="str">
        <f t="shared" si="3"/>
        <v>champs de reserve (disponible)</v>
      </c>
      <c r="AF103" s="187" t="str">
        <f t="shared" si="3"/>
        <v>FQ_SORTIE</v>
      </c>
      <c r="AG103" s="187" t="str">
        <f t="shared" si="3"/>
        <v>FDBO5_ENTREE</v>
      </c>
      <c r="AH103" s="187" t="str">
        <f t="shared" si="3"/>
        <v>FDBO5_SORTIE</v>
      </c>
      <c r="AI103" s="187" t="str">
        <f t="shared" si="3"/>
        <v>FCOT_ENTREE</v>
      </c>
      <c r="AJ103" s="187" t="str">
        <f t="shared" si="3"/>
        <v>FCOT_SORTIE</v>
      </c>
      <c r="AK103" s="187" t="str">
        <f t="shared" si="3"/>
        <v>FCOD_ENTREE</v>
      </c>
      <c r="AL103" s="187" t="str">
        <f t="shared" si="3"/>
        <v>FCOD_SORTIE</v>
      </c>
      <c r="AM103" s="187" t="str">
        <f t="shared" si="3"/>
        <v>FNH4_ENTREE</v>
      </c>
      <c r="AN103" s="187" t="str">
        <f t="shared" si="3"/>
        <v>FNH4_SORTIE</v>
      </c>
      <c r="AO103" s="187" t="str">
        <f t="shared" si="3"/>
        <v>FNTOT_ENTREE</v>
      </c>
      <c r="AP103" s="187" t="str">
        <f t="shared" si="3"/>
        <v>FNTOT_SORTIE</v>
      </c>
      <c r="AQ103" s="187" t="str">
        <f t="shared" si="3"/>
        <v>FNO2_ENTREE</v>
      </c>
      <c r="AR103" s="187" t="str">
        <f t="shared" si="3"/>
        <v>FNO2_SORTIE</v>
      </c>
      <c r="AS103" s="187" t="str">
        <f t="shared" si="3"/>
        <v>FPTOT_ENTREE</v>
      </c>
      <c r="AT103" s="187" t="str">
        <f t="shared" si="3"/>
        <v>FPTOT_SORTIE</v>
      </c>
      <c r="AU103" s="187" t="str">
        <f t="shared" si="3"/>
        <v>FMES_ENTREE</v>
      </c>
      <c r="AV103" s="187" t="str">
        <f t="shared" si="3"/>
        <v>FMES_SORTIE</v>
      </c>
      <c r="AW103" s="187" t="str">
        <f t="shared" si="3"/>
        <v>FTEMP</v>
      </c>
      <c r="AX103" s="187" t="str">
        <f t="shared" si="3"/>
        <v>FBOUES</v>
      </c>
      <c r="AY103" s="187" t="str">
        <f t="shared" si="3"/>
        <v>Langue</v>
      </c>
      <c r="AZ103" s="187" t="str">
        <f t="shared" si="3"/>
        <v>Responsable</v>
      </c>
      <c r="BA103" s="187" t="str">
        <f t="shared" si="3"/>
        <v>Type STEP</v>
      </c>
      <c r="BB103" s="187" t="str">
        <f t="shared" si="3"/>
        <v>EH_part_indus</v>
      </c>
      <c r="BC103" s="187" t="str">
        <f t="shared" si="3"/>
        <v>commentaire général</v>
      </c>
      <c r="BD103" s="187" t="str">
        <f t="shared" si="3"/>
        <v>Relevage</v>
      </c>
      <c r="BE103" s="187" t="str">
        <f t="shared" si="3"/>
        <v>Dégrilleur grossier</v>
      </c>
      <c r="BF103" s="187" t="str">
        <f t="shared" si="3"/>
        <v>Dessableur</v>
      </c>
      <c r="BG103" s="187" t="str">
        <f t="shared" si="3"/>
        <v>Déshuileur</v>
      </c>
      <c r="BH103" s="187" t="str">
        <f t="shared" si="3"/>
        <v>Tamiseur</v>
      </c>
      <c r="BI103" s="187" t="str">
        <f t="shared" si="3"/>
        <v>Salsnes</v>
      </c>
      <c r="BJ103" s="187" t="str">
        <f t="shared" si="3"/>
        <v>autre</v>
      </c>
      <c r="BK103" s="187" t="str">
        <f t="shared" si="3"/>
        <v>Décantation primaire</v>
      </c>
      <c r="BL103" s="187" t="str">
        <f t="shared" si="3"/>
        <v>Boues activées</v>
      </c>
      <c r="BM103" s="187" t="str">
        <f t="shared" si="3"/>
        <v>Chenal d'oxydation</v>
      </c>
      <c r="BN103" s="187" t="str">
        <f t="shared" si="3"/>
        <v>Lit bactérien</v>
      </c>
      <c r="BO103" s="187" t="str">
        <f t="shared" si="3"/>
        <v>Biofiltre</v>
      </c>
      <c r="BP103" s="187" t="str">
        <f t="shared" si="3"/>
        <v>Disque biologique</v>
      </c>
      <c r="BQ103" s="187" t="str">
        <f t="shared" si="3"/>
        <v>Lagunage/Phytoplancton</v>
      </c>
      <c r="BR103" s="187" t="str">
        <f t="shared" si="3"/>
        <v>Classique</v>
      </c>
      <c r="BS103" s="187" t="str">
        <f t="shared" si="3"/>
        <v>Filtration</v>
      </c>
      <c r="BT103" s="187" t="str">
        <f t="shared" si="3"/>
        <v>Micro-tamis</v>
      </c>
      <c r="BU103" s="187" t="str">
        <f t="shared" si="3"/>
        <v>Membrane</v>
      </c>
      <c r="BV103" s="187" t="str">
        <f t="shared" si="3"/>
        <v>Flottation</v>
      </c>
      <c r="BW103" s="187" t="str">
        <f t="shared" si="3"/>
        <v>autre</v>
      </c>
      <c r="BX103" s="187" t="str">
        <f t="shared" si="3"/>
        <v>Filtration</v>
      </c>
      <c r="BY103" s="187" t="str">
        <f t="shared" si="3"/>
        <v>Ozonation</v>
      </c>
      <c r="BZ103" s="187" t="str">
        <f t="shared" si="3"/>
        <v>Charbon actif</v>
      </c>
      <c r="CA103" s="187" t="str">
        <f t="shared" si="3"/>
        <v>autre</v>
      </c>
      <c r="CB103" s="187" t="str">
        <f t="shared" si="3"/>
        <v>Methode d'analyse de la DBO5</v>
      </c>
      <c r="CC103" s="187" t="str">
        <f t="shared" si="3"/>
        <v>Choix du débimètre utilisé pour calculs</v>
      </c>
      <c r="CD103" s="187" t="str">
        <f t="shared" si="3"/>
        <v>Le preleveur de sortie mesure</v>
      </c>
      <c r="CE103" s="187" t="str">
        <f t="shared" ref="CE103:DJ103" si="4">CE1</f>
        <v>Bypass DP sans eaux usées industrielles</v>
      </c>
      <c r="CF103" s="187" t="str">
        <f t="shared" si="4"/>
        <v>Analyses effectuées par le labo (N° du Labo)</v>
      </c>
      <c r="CG103" s="187" t="str">
        <f t="shared" si="4"/>
        <v>Analyses effectuées par le labo</v>
      </c>
      <c r="CH103" s="187" t="str">
        <f t="shared" si="4"/>
        <v>Epaississement des boues</v>
      </c>
      <c r="CI103" s="187" t="str">
        <f t="shared" si="4"/>
        <v>Stabilisation</v>
      </c>
      <c r="CJ103" s="187" t="str">
        <f t="shared" si="4"/>
        <v>Valorisation du biogaz</v>
      </c>
      <c r="CK103" s="187" t="str">
        <f t="shared" si="4"/>
        <v>Déshydratation</v>
      </c>
      <c r="CL103" s="187" t="str">
        <f t="shared" si="4"/>
        <v>Séchage</v>
      </c>
      <c r="CM103" s="187" t="str">
        <f t="shared" si="4"/>
        <v>Incinération</v>
      </c>
      <c r="CN103" s="187" t="str">
        <f t="shared" si="4"/>
        <v>En service</v>
      </c>
      <c r="CO103" s="187" t="str">
        <f t="shared" si="4"/>
        <v>Est en Valais</v>
      </c>
      <c r="CP103" s="187" t="str">
        <f t="shared" si="4"/>
        <v>DCOc</v>
      </c>
      <c r="CQ103" s="187" t="str">
        <f t="shared" si="4"/>
        <v>DCOrdt</v>
      </c>
      <c r="CR103" s="187" t="str">
        <f t="shared" si="4"/>
        <v>FDCO_ENTREE</v>
      </c>
      <c r="CS103" s="187" t="str">
        <f t="shared" si="4"/>
        <v>FDCO_SORTIE</v>
      </c>
      <c r="CT103" s="187" t="str">
        <f>CT1</f>
        <v>Echantillonnage proportionnel au débit</v>
      </c>
      <c r="CU103" s="187">
        <f t="shared" si="4"/>
        <v>0</v>
      </c>
      <c r="CV103" s="187">
        <f t="shared" si="4"/>
        <v>0</v>
      </c>
      <c r="CW103" s="187">
        <f t="shared" si="4"/>
        <v>0</v>
      </c>
      <c r="CX103" s="187">
        <f t="shared" si="4"/>
        <v>0</v>
      </c>
      <c r="CY103" s="187">
        <f t="shared" si="4"/>
        <v>0</v>
      </c>
      <c r="CZ103" s="187">
        <f t="shared" si="4"/>
        <v>0</v>
      </c>
      <c r="DA103" s="187">
        <f t="shared" si="4"/>
        <v>0</v>
      </c>
      <c r="DB103" s="187">
        <f t="shared" si="4"/>
        <v>0</v>
      </c>
      <c r="DC103" s="187">
        <f t="shared" si="4"/>
        <v>0</v>
      </c>
      <c r="DD103" s="187">
        <f t="shared" si="4"/>
        <v>0</v>
      </c>
      <c r="DE103" s="187">
        <f t="shared" si="4"/>
        <v>0</v>
      </c>
      <c r="DF103" s="187">
        <f t="shared" si="4"/>
        <v>0</v>
      </c>
      <c r="DG103" s="187">
        <f t="shared" si="4"/>
        <v>0</v>
      </c>
      <c r="DH103" s="187">
        <f t="shared" si="4"/>
        <v>0</v>
      </c>
      <c r="DI103" s="187">
        <f t="shared" si="4"/>
        <v>0</v>
      </c>
      <c r="DJ103" s="187">
        <f t="shared" si="4"/>
        <v>0</v>
      </c>
      <c r="DK103" s="185"/>
      <c r="DL103" s="5"/>
      <c r="DM103" s="874">
        <f>DM1</f>
        <v>0</v>
      </c>
      <c r="DN103" s="874">
        <f>DN1</f>
        <v>0</v>
      </c>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row>
    <row r="104" spans="1:253" s="87" customFormat="1" x14ac:dyDescent="0.2">
      <c r="A104" s="188" t="str">
        <f>choix_STEP</f>
        <v>Ausserbinn</v>
      </c>
      <c r="B104" s="188" t="str">
        <f>IF(INDEX($A$3:$DK72,MATCH($D$100,liste_noms_step,0),B101)="","",INDEX($A$3:$DK72,MATCH($D$100,liste_noms_step,0),B101))</f>
        <v>6051/00</v>
      </c>
      <c r="C104" s="188" t="str">
        <f>IF(INDEX($A$3:$DK72,MATCH($D$100,liste_noms_step,0),C101)="","",INDEX($A$3:$DK72,MATCH($D$100,liste_noms_step,0),C101))</f>
        <v/>
      </c>
      <c r="D104" s="188" t="str">
        <f>IF(INDEX($A$3:$DK72,MATCH($D$100,liste_noms_step,0),D101)="","",INDEX($A$3:$DK72,MATCH($D$100,liste_noms_step,0),D101))</f>
        <v/>
      </c>
      <c r="E104" s="188">
        <f>IF(INDEX($A$3:$DK72,MATCH($D$100,liste_noms_step,0),E101)="","",INDEX($A$3:$DK72,MATCH($D$100,liste_noms_step,0),E101))</f>
        <v>100</v>
      </c>
      <c r="F104" s="188">
        <f>IF(INDEX($A$3:$DK72,MATCH($D$100,liste_noms_step,0),F101)="","",INDEX($A$3:$DK72,MATCH($D$100,liste_noms_step,0),F101))</f>
        <v>2001</v>
      </c>
      <c r="G104" s="188">
        <f>IF(INDEX($A$3:$DK72,MATCH($D$100,liste_noms_step,0),G101)="","",INDEX($A$3:$DK72,MATCH($D$100,liste_noms_step,0),G101))</f>
        <v>0</v>
      </c>
      <c r="H104" s="188">
        <f>IF(INDEX($A$3:$DK72,MATCH($D$100,liste_noms_step,0),H101)="","",INDEX($A$3:$DK72,MATCH($D$100,liste_noms_step,0),H101))</f>
        <v>2654512</v>
      </c>
      <c r="I104" s="188">
        <f>IF(INDEX($A$3:$DK99,MATCH($D$100,liste_noms_step,0),I101)="","",INDEX($A$3:$DK99,MATCH($D$100,liste_noms_step,0),I101))</f>
        <v>1136920</v>
      </c>
      <c r="J104" s="188">
        <f>IF(INDEX($A$3:$DK99,MATCH($D$100,liste_noms_step,0),J101)="","",INDEX($A$3:$DK99,MATCH($D$100,liste_noms_step,0),J101))</f>
        <v>1264</v>
      </c>
      <c r="K104" s="188" t="str">
        <f>IF(INDEX($A$3:$DK99,MATCH($D$100,liste_noms_step,0),K101)="","",INDEX($A$3:$DK99,MATCH($D$100,liste_noms_step,0),K101))</f>
        <v>Binna</v>
      </c>
      <c r="L104" s="188" t="str">
        <f>IF(INDEX($A$3:$DK99,MATCH($D$100,liste_noms_step,0),L101)="","",INDEX($A$3:$DK99,MATCH($D$100,liste_noms_step,0),L101))</f>
        <v>Rhône</v>
      </c>
      <c r="M104" s="188">
        <f>IF(INDEX($A$3:$DK99,MATCH($D$100,liste_noms_step,0),M101)="","",INDEX($A$3:$DK99,MATCH($D$100,liste_noms_step,0),M101))</f>
        <v>2654503</v>
      </c>
      <c r="N104" s="188">
        <f>IF(INDEX($A$3:$DK99,MATCH($D$100,liste_noms_step,0),N101)="","",INDEX($A$3:$DK99,MATCH($D$100,liste_noms_step,0),N101))</f>
        <v>1136918</v>
      </c>
      <c r="O104" s="188">
        <f>IF(INDEX($A$3:$DK99,MATCH($D$100,liste_noms_step,0),O101)="","",INDEX($A$3:$DK99,MATCH($D$100,liste_noms_step,0),O101))</f>
        <v>1259</v>
      </c>
      <c r="P104" s="188">
        <f>IF(INDEX($A$3:$DK99,MATCH($D$100,liste_noms_step,0),P101)="","",INDEX($A$3:$DK99,MATCH($D$100,liste_noms_step,0),P101))</f>
        <v>17</v>
      </c>
      <c r="Q104" s="188" t="str">
        <f>IF(INDEX($A$3:$DK99,MATCH($D$100,liste_noms_step,0),Q101)="","",INDEX($A$3:$DK99,MATCH($D$100,liste_noms_step,0),Q101))</f>
        <v/>
      </c>
      <c r="R104" s="188" t="str">
        <f>IF(INDEX($A$3:$DK99,MATCH($D$100,liste_noms_step,0),R101)="","",INDEX($A$3:$DK99,MATCH($D$100,liste_noms_step,0),R101))</f>
        <v/>
      </c>
      <c r="S104" s="188" t="str">
        <f>IF(INDEX($A$3:$DK99,MATCH($D$100,liste_noms_step,0),S101)="","",INDEX($A$3:$DK99,MATCH($D$100,liste_noms_step,0),S101))</f>
        <v/>
      </c>
      <c r="T104" s="188" t="str">
        <f>IF(INDEX($A$3:$DK99,MATCH($D$100,liste_noms_step,0),T101)="","",INDEX($A$3:$DK99,MATCH($D$100,liste_noms_step,0),T101))</f>
        <v/>
      </c>
      <c r="U104" s="188" t="str">
        <f>IF(INDEX($A$3:$DK99,MATCH($D$100,liste_noms_step,0),U101)="","",INDEX($A$3:$DK99,MATCH($D$100,liste_noms_step,0),U101))</f>
        <v/>
      </c>
      <c r="V104" s="188" t="str">
        <f>IF(INDEX($A$3:$DK99,MATCH($D$100,liste_noms_step,0),V101)="","",INDEX($A$3:$DK99,MATCH($D$100,liste_noms_step,0),V101))</f>
        <v/>
      </c>
      <c r="W104" s="188" t="str">
        <f>IF(INDEX($A$3:$DK99,MATCH($D$100,liste_noms_step,0),W101)="","",INDEX($A$3:$DK99,MATCH($D$100,liste_noms_step,0),W101))</f>
        <v/>
      </c>
      <c r="X104" s="188" t="str">
        <f>IF(INDEX($A$3:$DK99,MATCH($D$100,liste_noms_step,0),X101)="","",INDEX($A$3:$DK99,MATCH($D$100,liste_noms_step,0),X101))</f>
        <v/>
      </c>
      <c r="Y104" s="188" t="str">
        <f>IF(INDEX($A$3:$DK99,MATCH($D$100,liste_noms_step,0),Y101)="","",INDEX($A$3:$DK99,MATCH($D$100,liste_noms_step,0),Y101))</f>
        <v/>
      </c>
      <c r="Z104" s="188" t="str">
        <f>IF(INDEX($A$3:$DK99,MATCH($D$100,liste_noms_step,0),Z101)="","",INDEX($A$3:$DK99,MATCH($D$100,liste_noms_step,0),Z101))</f>
        <v/>
      </c>
      <c r="AA104" s="188" t="str">
        <f>IF(INDEX($A$3:$DK99,MATCH($D$100,liste_noms_step,0),AA101)="","",INDEX($A$3:$DK99,MATCH($D$100,liste_noms_step,0),AA101))</f>
        <v/>
      </c>
      <c r="AB104" s="188" t="str">
        <f>IF(INDEX($A$3:$DK99,MATCH($D$100,liste_noms_step,0),AB101)="","",INDEX($A$3:$DK99,MATCH($D$100,liste_noms_step,0),AB101))</f>
        <v/>
      </c>
      <c r="AC104" s="188">
        <f>IF(INDEX($A$3:$DK99,MATCH($D$100,liste_noms_step,0),AC101)="","",INDEX($A$3:$DK99,MATCH($D$100,liste_noms_step,0),AC101))</f>
        <v>29</v>
      </c>
      <c r="AD104" s="188">
        <f>IF(INDEX($A$3:$DK99,MATCH($D$100,liste_noms_step,0),AD101)="","",INDEX($A$3:$DK99,MATCH($D$100,liste_noms_step,0),AD101))</f>
        <v>16</v>
      </c>
      <c r="AE104" s="188" t="str">
        <f>IF(INDEX($A$3:$DK99,MATCH($D$100,liste_noms_step,0),AE101)="","",INDEX($A$3:$DK99,MATCH($D$100,liste_noms_step,0),AE101))</f>
        <v/>
      </c>
      <c r="AF104" s="188" t="str">
        <f>IF(INDEX($A$3:$DK99,MATCH($D$100,liste_noms_step,0),AF101)="","",INDEX($A$3:$DK99,MATCH($D$100,liste_noms_step,0),AF101))</f>
        <v>0</v>
      </c>
      <c r="AG104" s="188">
        <f>IF(INDEX($A$3:$DK99,MATCH($D$100,liste_noms_step,0),AG101)="","",INDEX($A$3:$DK99,MATCH($D$100,liste_noms_step,0),AG101))</f>
        <v>0</v>
      </c>
      <c r="AH104" s="188">
        <f>IF(INDEX($A$3:$DK99,MATCH($D$100,liste_noms_step,0),AH101)="","",INDEX($A$3:$DK99,MATCH($D$100,liste_noms_step,0),AH101))</f>
        <v>0</v>
      </c>
      <c r="AI104" s="188">
        <f>IF(INDEX($A$3:$DK99,MATCH($D$100,liste_noms_step,0),AI101)="","",INDEX($A$3:$DK99,MATCH($D$100,liste_noms_step,0),AI101))</f>
        <v>0</v>
      </c>
      <c r="AJ104" s="188">
        <f>IF(INDEX($A$3:$DK99,MATCH($D$100,liste_noms_step,0),AJ101)="","",INDEX($A$3:$DK99,MATCH($D$100,liste_noms_step,0),AJ101))</f>
        <v>0</v>
      </c>
      <c r="AK104" s="188">
        <f>IF(INDEX($A$3:$DK99,MATCH($D$100,liste_noms_step,0),AK101)="","",INDEX($A$3:$DK99,MATCH($D$100,liste_noms_step,0),AK101))</f>
        <v>0</v>
      </c>
      <c r="AL104" s="188">
        <f>IF(INDEX($A$3:$DK99,MATCH($D$100,liste_noms_step,0),AL101)="","",INDEX($A$3:$DK99,MATCH($D$100,liste_noms_step,0),AL101))</f>
        <v>0</v>
      </c>
      <c r="AM104" s="188">
        <f>IF(INDEX($A$3:$DK99,MATCH($D$100,liste_noms_step,0),AM101)="","",INDEX($A$3:$DK99,MATCH($D$100,liste_noms_step,0),AM101))</f>
        <v>0</v>
      </c>
      <c r="AN104" s="188">
        <f>IF(INDEX($A$3:$DK99,MATCH($D$100,liste_noms_step,0),AN101)="","",INDEX($A$3:$DK99,MATCH($D$100,liste_noms_step,0),AN101))</f>
        <v>0</v>
      </c>
      <c r="AO104" s="188">
        <f>IF(INDEX($A$3:$DK99,MATCH($D$100,liste_noms_step,0),AO101)="","",INDEX($A$3:$DK99,MATCH($D$100,liste_noms_step,0),AO101))</f>
        <v>0</v>
      </c>
      <c r="AP104" s="188">
        <f>IF(INDEX($A$3:$DK99,MATCH($D$100,liste_noms_step,0),AP101)="","",INDEX($A$3:$DK99,MATCH($D$100,liste_noms_step,0),AP101))</f>
        <v>0</v>
      </c>
      <c r="AQ104" s="188">
        <f>IF(INDEX($A$3:$DK99,MATCH($D$100,liste_noms_step,0),AQ101)="","",INDEX($A$3:$DK99,MATCH($D$100,liste_noms_step,0),AQ101))</f>
        <v>0</v>
      </c>
      <c r="AR104" s="188">
        <f>IF(INDEX($A$3:$DK99,MATCH($D$100,liste_noms_step,0),AR101)="","",INDEX($A$3:$DK99,MATCH($D$100,liste_noms_step,0),AR101))</f>
        <v>0</v>
      </c>
      <c r="AS104" s="188">
        <f>IF(INDEX($A$3:$DK99,MATCH($D$100,liste_noms_step,0),AS101)="","",INDEX($A$3:$DK99,MATCH($D$100,liste_noms_step,0),AS101))</f>
        <v>0</v>
      </c>
      <c r="AT104" s="188">
        <f>IF(INDEX($A$3:$DK99,MATCH($D$100,liste_noms_step,0),AT101)="","",INDEX($A$3:$DK99,MATCH($D$100,liste_noms_step,0),AT101))</f>
        <v>0</v>
      </c>
      <c r="AU104" s="188">
        <f>IF(INDEX($A$3:$DK99,MATCH($D$100,liste_noms_step,0),AU101)="","",INDEX($A$3:$DK99,MATCH($D$100,liste_noms_step,0),AU101))</f>
        <v>0</v>
      </c>
      <c r="AV104" s="188">
        <f>IF(INDEX($A$3:$DK99,MATCH($D$100,liste_noms_step,0),AV101)="","",INDEX($A$3:$DK99,MATCH($D$100,liste_noms_step,0),AV101))</f>
        <v>0</v>
      </c>
      <c r="AW104" s="188">
        <f>IF(INDEX($A$3:$DK99,MATCH($D$100,liste_noms_step,0),AW101)="","",INDEX($A$3:$DK99,MATCH($D$100,liste_noms_step,0),AW101))</f>
        <v>0</v>
      </c>
      <c r="AX104" s="188">
        <f>IF(INDEX($A$3:$DK99,MATCH($D$100,liste_noms_step,0),AX101)="","",INDEX($A$3:$DK99,MATCH($D$100,liste_noms_step,0),AX101))</f>
        <v>0</v>
      </c>
      <c r="AY104" s="188">
        <f>IF(INDEX($A$3:$DK99,MATCH($D$100,liste_noms_step,0),AY101)="","",INDEX($A$3:$DK99,MATCH($D$100,liste_noms_step,0),AY101))</f>
        <v>2</v>
      </c>
      <c r="AZ104" s="188" t="str">
        <f>IF(INDEX($A$3:$DK99,MATCH($D$100,liste_noms_step,0),AZ101)="","",INDEX($A$3:$DK99,MATCH($D$100,liste_noms_step,0),AZ101))</f>
        <v>TA</v>
      </c>
      <c r="BA104" s="188">
        <f>IF(INDEX($A$3:$DK99,MATCH($D$100,liste_noms_step,0),BA101)="","",INDEX($A$3:$DK99,MATCH($D$100,liste_noms_step,0),BA101))</f>
        <v>1</v>
      </c>
      <c r="BB104" s="188">
        <f>IF(INDEX($A$3:$DK99,MATCH($D$100,liste_noms_step,0),BB101)="","",INDEX($A$3:$DK99,MATCH($D$100,liste_noms_step,0),BB101))</f>
        <v>0</v>
      </c>
      <c r="BC104" s="188" t="str">
        <f>IF(INDEX($A$3:$DK99,MATCH($D$100,liste_noms_step,0),BC101)="","",INDEX($A$3:$DK99,MATCH($D$100,liste_noms_step,0),BC101))</f>
        <v/>
      </c>
      <c r="BD104" s="188">
        <f>IF(INDEX($A$3:$DK99,MATCH($D$100,liste_noms_step,0),BD101)="","",INDEX($A$3:$DK99,MATCH($D$100,liste_noms_step,0),BD101))</f>
        <v>1</v>
      </c>
      <c r="BE104" s="188">
        <f>IF(INDEX($A$3:$DK99,MATCH($D$100,liste_noms_step,0),BE101)="","",INDEX($A$3:$DK99,MATCH($D$100,liste_noms_step,0),BE101))</f>
        <v>1</v>
      </c>
      <c r="BF104" s="188">
        <f>IF(INDEX($A$3:$DK99,MATCH($D$100,liste_noms_step,0),BF101)="","",INDEX($A$3:$DK99,MATCH($D$100,liste_noms_step,0),BF101))</f>
        <v>1</v>
      </c>
      <c r="BG104" s="188">
        <f>IF(INDEX($A$3:$DK99,MATCH($D$100,liste_noms_step,0),BG101)="","",INDEX($A$3:$DK99,MATCH($D$100,liste_noms_step,0),BG101))</f>
        <v>1</v>
      </c>
      <c r="BH104" s="188">
        <f>IF(INDEX($A$3:$DK99,MATCH($D$100,liste_noms_step,0),BH101)="","",INDEX($A$3:$DK99,MATCH($D$100,liste_noms_step,0),BH101))</f>
        <v>1</v>
      </c>
      <c r="BI104" s="188">
        <f>IF(INDEX($A$3:$DK99,MATCH($D$100,liste_noms_step,0),BI101)="","",INDEX($A$3:$DK99,MATCH($D$100,liste_noms_step,0),BI101))</f>
        <v>1</v>
      </c>
      <c r="BJ104" s="188">
        <f>IF(INDEX($A$3:$DK99,MATCH($D$100,liste_noms_step,0),BJ101)="","",INDEX($A$3:$DK99,MATCH($D$100,liste_noms_step,0),BJ101))</f>
        <v>1</v>
      </c>
      <c r="BK104" s="188">
        <f>IF(INDEX($A$3:$DK99,MATCH($D$100,liste_noms_step,0),BK101)="","",INDEX($A$3:$DK99,MATCH($D$100,liste_noms_step,0),BK101))</f>
        <v>4</v>
      </c>
      <c r="BL104" s="188" t="str">
        <f>IF(INDEX($A$3:$DK99,MATCH($D$100,liste_noms_step,0),BL101)="","",INDEX($A$3:$DK99,MATCH($D$100,liste_noms_step,0),BL101))</f>
        <v/>
      </c>
      <c r="BM104" s="188">
        <f>IF(INDEX($A$3:$DK99,MATCH($D$100,liste_noms_step,0),BM101)="","",INDEX($A$3:$DK99,MATCH($D$100,liste_noms_step,0),BM101))</f>
        <v>1</v>
      </c>
      <c r="BN104" s="188">
        <f>IF(INDEX($A$3:$DK99,MATCH($D$100,liste_noms_step,0),BN101)="","",INDEX($A$3:$DK99,MATCH($D$100,liste_noms_step,0),BN101))</f>
        <v>2</v>
      </c>
      <c r="BO104" s="188">
        <f>IF(INDEX($A$3:$DK99,MATCH($D$100,liste_noms_step,0),BO101)="","",INDEX($A$3:$DK99,MATCH($D$100,liste_noms_step,0),BO101))</f>
        <v>1</v>
      </c>
      <c r="BP104" s="188">
        <f>IF(INDEX($A$3:$DK99,MATCH($D$100,liste_noms_step,0),BP101)="","",INDEX($A$3:$DK99,MATCH($D$100,liste_noms_step,0),BP101))</f>
        <v>1</v>
      </c>
      <c r="BQ104" s="188">
        <f>IF(INDEX($A$3:$DK99,MATCH($D$100,liste_noms_step,0),BQ101)="","",INDEX($A$3:$DK99,MATCH($D$100,liste_noms_step,0),BQ101))</f>
        <v>1</v>
      </c>
      <c r="BR104" s="188">
        <f>IF(INDEX($A$3:$DK99,MATCH($D$100,liste_noms_step,0),BR101)="","",INDEX($A$3:$DK99,MATCH($D$100,liste_noms_step,0),BR101))</f>
        <v>1</v>
      </c>
      <c r="BS104" s="188">
        <f>IF(INDEX($A$3:$DK99,MATCH($D$100,liste_noms_step,0),BS101)="","",INDEX($A$3:$DK99,MATCH($D$100,liste_noms_step,0),BS101))</f>
        <v>1</v>
      </c>
      <c r="BT104" s="188">
        <f>IF(INDEX($A$3:$DK99,MATCH($D$100,liste_noms_step,0),BT101)="","",INDEX($A$3:$DK99,MATCH($D$100,liste_noms_step,0),BT101))</f>
        <v>1</v>
      </c>
      <c r="BU104" s="188">
        <f>IF(INDEX($A$3:$DK99,MATCH($D$100,liste_noms_step,0),BU101)="","",INDEX($A$3:$DK99,MATCH($D$100,liste_noms_step,0),BU101))</f>
        <v>1</v>
      </c>
      <c r="BV104" s="188">
        <f>IF(INDEX($A$3:$DK99,MATCH($D$100,liste_noms_step,0),BV101)="","",INDEX($A$3:$DK99,MATCH($D$100,liste_noms_step,0),BV101))</f>
        <v>1</v>
      </c>
      <c r="BW104" s="188">
        <f>IF(INDEX($A$3:$DK99,MATCH($D$100,liste_noms_step,0),BW101)="","",INDEX($A$3:$DK99,MATCH($D$100,liste_noms_step,0),BW101))</f>
        <v>1</v>
      </c>
      <c r="BX104" s="188">
        <f>IF(INDEX($A$3:$DK99,MATCH($D$100,liste_noms_step,0),BX101)="","",INDEX($A$3:$DK99,MATCH($D$100,liste_noms_step,0),BX101))</f>
        <v>1</v>
      </c>
      <c r="BY104" s="188">
        <f>IF(INDEX($A$3:$DK99,MATCH($D$100,liste_noms_step,0),BY101)="","",INDEX($A$3:$DK99,MATCH($D$100,liste_noms_step,0),BY101))</f>
        <v>1</v>
      </c>
      <c r="BZ104" s="188">
        <f>IF(INDEX($A$3:$DK99,MATCH($D$100,liste_noms_step,0),BZ101)="","",INDEX($A$3:$DK99,MATCH($D$100,liste_noms_step,0),BZ101))</f>
        <v>1</v>
      </c>
      <c r="CA104" s="188">
        <f>IF(INDEX($A$3:$DK99,MATCH($D$100,liste_noms_step,0),CA101)="","",INDEX($A$3:$DK99,MATCH($D$100,liste_noms_step,0),CA101))</f>
        <v>1</v>
      </c>
      <c r="CB104" s="188" t="str">
        <f>IF(INDEX($A$3:$DK99,MATCH($D$100,liste_noms_step,0),CB101)="","",INDEX($A$3:$DK99,MATCH($D$100,liste_noms_step,0),CB101))</f>
        <v/>
      </c>
      <c r="CC104" s="188">
        <f>IF(INDEX($A$3:$DK99,MATCH($D$100,liste_noms_step,0),CC101)="","",INDEX($A$3:$DK99,MATCH($D$100,liste_noms_step,0),CC101))</f>
        <v>1</v>
      </c>
      <c r="CD104" s="188">
        <f>IF(INDEX($A$3:$DK99,MATCH($D$100,liste_noms_step,0),CD101)="","",INDEX($A$3:$DK99,MATCH($D$100,liste_noms_step,0),CD101))</f>
        <v>1</v>
      </c>
      <c r="CE104" s="188">
        <f>IF(INDEX($A$3:$DK99,MATCH($D$100,liste_noms_step,0),CE101)="","",INDEX($A$3:$DK99,MATCH($D$100,liste_noms_step,0),CE101))</f>
        <v>1</v>
      </c>
      <c r="CF104" s="188" t="str">
        <f>IF(INDEX($A$3:$DK99,MATCH($D$100,liste_noms_step,0),CF101)="","",INDEX($A$3:$DK99,MATCH($D$100,liste_noms_step,0),CF101))</f>
        <v/>
      </c>
      <c r="CG104" s="188" t="str">
        <f>IF(INDEX($A$3:$DK99,MATCH($D$100,liste_noms_step,0),CG101)="","",INDEX($A$3:$DK99,MATCH($D$100,liste_noms_step,0),CG101))</f>
        <v/>
      </c>
      <c r="CH104" s="188" t="str">
        <f>IF(INDEX($A$3:$DK99,MATCH($D$100,liste_noms_step,0),CH101)="","",INDEX($A$3:$DK99,MATCH($D$100,liste_noms_step,0),CH101))</f>
        <v/>
      </c>
      <c r="CI104" s="188">
        <f>IF(INDEX($A$3:$DK99,MATCH($D$100,liste_noms_step,0),CI101)="","",INDEX($A$3:$DK99,MATCH($D$100,liste_noms_step,0),CI101))</f>
        <v>5</v>
      </c>
      <c r="CJ104" s="188">
        <f>IF(INDEX($A$3:$DK99,MATCH($D$100,liste_noms_step,0),CJ101)="","",INDEX($A$3:$DK99,MATCH($D$100,liste_noms_step,0),CJ101))</f>
        <v>5</v>
      </c>
      <c r="CK104" s="188" t="str">
        <f>IF(INDEX($A$3:$DK99,MATCH($D$100,liste_noms_step,0),CK101)="","",INDEX($A$3:$DK99,MATCH($D$100,liste_noms_step,0),CK101))</f>
        <v/>
      </c>
      <c r="CL104" s="188">
        <f>IF(INDEX($A$3:$DK99,MATCH($D$100,liste_noms_step,0),CL101)="","",INDEX($A$3:$DK99,MATCH($D$100,liste_noms_step,0),CL101))</f>
        <v>1</v>
      </c>
      <c r="CM104" s="188">
        <f>IF(INDEX($A$3:$DK99,MATCH($D$100,liste_noms_step,0),CM101)="","",INDEX($A$3:$DK99,MATCH($D$100,liste_noms_step,0),CM101))</f>
        <v>1</v>
      </c>
      <c r="CN104" s="188">
        <f>IF(INDEX($A$3:$DK99,MATCH($D$100,liste_noms_step,0),CN101)="","",INDEX($A$3:$DK99,MATCH($D$100,liste_noms_step,0),CN101))</f>
        <v>1</v>
      </c>
      <c r="CO104" s="188">
        <f>IF(INDEX($A$3:$DK99,MATCH($D$100,liste_noms_step,0),CO101)="","",INDEX($A$3:$DK99,MATCH($D$100,liste_noms_step,0),CO101))</f>
        <v>1</v>
      </c>
      <c r="CP104" s="188" t="str">
        <f>IF(INDEX($A$3:$DK99,MATCH($D$100,liste_noms_step,0),CP101)="","",INDEX($A$3:$DK99,MATCH($D$100,liste_noms_step,0),CP101))</f>
        <v/>
      </c>
      <c r="CQ104" s="188" t="str">
        <f>IF(INDEX($A$3:$DK99,MATCH($D$100,liste_noms_step,0),CQ101)="","",INDEX($A$3:$DK99,MATCH($D$100,liste_noms_step,0),CQ101))</f>
        <v/>
      </c>
      <c r="CR104" s="188">
        <f>IF(INDEX($A$3:$DK99,MATCH($D$100,liste_noms_step,0),CR101)="","",INDEX($A$3:$DK99,MATCH($D$100,liste_noms_step,0),CR101))</f>
        <v>0</v>
      </c>
      <c r="CS104" s="188">
        <f>IF(INDEX($A$3:$DK99,MATCH($D$100,liste_noms_step,0),CS101)="","",INDEX($A$3:$DK99,MATCH($D$100,liste_noms_step,0),CS101))</f>
        <v>0</v>
      </c>
      <c r="CT104" s="188">
        <f>IF(INDEX($A$3:$DK99,MATCH($D$100,liste_noms_step,0),CT101)="","",INDEX($A$3:$DK99,MATCH($D$100,liste_noms_step,0),CT101))</f>
        <v>0</v>
      </c>
      <c r="CU104" s="188" t="str">
        <f>IF(INDEX($A$3:$DK99,MATCH($D$100,liste_noms_step,0),CU101)="","",INDEX($A$3:$DK99,MATCH($D$100,liste_noms_step,0),CU101))</f>
        <v/>
      </c>
      <c r="CV104" s="188" t="str">
        <f>IF(INDEX($A$3:$DK99,MATCH($D$100,liste_noms_step,0),CV101)="","",INDEX($A$3:$DK99,MATCH($D$100,liste_noms_step,0),CV101))</f>
        <v/>
      </c>
      <c r="CW104" s="188" t="str">
        <f>IF(INDEX($A$3:$DK99,MATCH($D$100,liste_noms_step,0),CW101)="","",INDEX($A$3:$DK99,MATCH($D$100,liste_noms_step,0),CW101))</f>
        <v/>
      </c>
      <c r="CX104" s="188" t="str">
        <f>IF(INDEX($A$3:$DK99,MATCH($D$100,liste_noms_step,0),CX101)="","",INDEX($A$3:$DK99,MATCH($D$100,liste_noms_step,0),CX101))</f>
        <v/>
      </c>
      <c r="CY104" s="188" t="str">
        <f>IF(INDEX($A$3:$DK99,MATCH($D$100,liste_noms_step,0),CY101)="","",INDEX($A$3:$DK99,MATCH($D$100,liste_noms_step,0),CY101))</f>
        <v/>
      </c>
      <c r="CZ104" s="188" t="str">
        <f>IF(INDEX($A$3:$DK99,MATCH($D$100,liste_noms_step,0),CZ101)="","",INDEX($A$3:$DK99,MATCH($D$100,liste_noms_step,0),CZ101))</f>
        <v/>
      </c>
      <c r="DA104" s="188" t="str">
        <f>IF(INDEX($A$3:$DK99,MATCH($D$100,liste_noms_step,0),DA101)="","",INDEX($A$3:$DK99,MATCH($D$100,liste_noms_step,0),DA101))</f>
        <v/>
      </c>
      <c r="DB104" s="188" t="str">
        <f>IF(INDEX($A$3:$DK99,MATCH($D$100,liste_noms_step,0),DB101)="","",INDEX($A$3:$DK99,MATCH($D$100,liste_noms_step,0),DB101))</f>
        <v/>
      </c>
      <c r="DC104" s="188" t="str">
        <f>IF(INDEX($A$3:$DK99,MATCH($D$100,liste_noms_step,0),DC101)="","",INDEX($A$3:$DK99,MATCH($D$100,liste_noms_step,0),DC101))</f>
        <v/>
      </c>
      <c r="DD104" s="188" t="str">
        <f>IF(INDEX($A$3:$DK99,MATCH($D$100,liste_noms_step,0),DD101)="","",INDEX($A$3:$DK99,MATCH($D$100,liste_noms_step,0),DD101))</f>
        <v/>
      </c>
      <c r="DE104" s="188" t="str">
        <f>IF(INDEX($A$3:$DK99,MATCH($D$100,liste_noms_step,0),DE101)="","",INDEX($A$3:$DK99,MATCH($D$100,liste_noms_step,0),DE101))</f>
        <v/>
      </c>
      <c r="DF104" s="188" t="str">
        <f>IF(INDEX($A$3:$DK99,MATCH($D$100,liste_noms_step,0),DF101)="","",INDEX($A$3:$DK99,MATCH($D$100,liste_noms_step,0),DF101))</f>
        <v/>
      </c>
      <c r="DG104" s="188" t="str">
        <f>IF(INDEX($A$3:$DK99,MATCH($D$100,liste_noms_step,0),DG101)="","",INDEX($A$3:$DK99,MATCH($D$100,liste_noms_step,0),DG101))</f>
        <v/>
      </c>
      <c r="DH104" s="188" t="str">
        <f>IF(INDEX($A$3:$DK99,MATCH($D$100,liste_noms_step,0),DH101)="","",INDEX($A$3:$DK99,MATCH($D$100,liste_noms_step,0),DH101))</f>
        <v/>
      </c>
      <c r="DI104" s="188" t="str">
        <f>IF(INDEX($A$3:$DK99,MATCH($D$100,liste_noms_step,0),DI101)="","",INDEX($A$3:$DK99,MATCH($D$100,liste_noms_step,0),DI101))</f>
        <v/>
      </c>
      <c r="DJ104" s="188" t="str">
        <f>IF(INDEX($A$3:$DK99,MATCH($D$100,liste_noms_step,0),DJ101)="","",INDEX($A$3:$DK99,MATCH($D$100,liste_noms_step,0),DJ101))</f>
        <v/>
      </c>
      <c r="DK104" s="189"/>
      <c r="DL104" s="5"/>
      <c r="DM104" s="875" t="str">
        <f>IF(INDEX($A$3:$DN99,MATCH($D$100,List_STEP,0),DM101)="","",INDEX($A$3:$DN99,MATCH($D$100,List_STEP,0),DM101))</f>
        <v>Ausserbinn</v>
      </c>
      <c r="DN104" s="875" t="str">
        <f>IF(INDEX($A$3:$DN99,MATCH($D$100,List_STEP,0),DN101)="","",INDEX($A$3:$DN99,MATCH($D$100,List_STEP,0),DN101))</f>
        <v/>
      </c>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row>
    <row r="105" spans="1:253" s="186" customFormat="1" x14ac:dyDescent="0.2">
      <c r="A105" s="184"/>
      <c r="B105" s="87"/>
      <c r="C105" s="87"/>
      <c r="D105" s="87"/>
      <c r="E105" s="88"/>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190"/>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7"/>
      <c r="BZ105" s="87"/>
      <c r="CA105" s="87"/>
      <c r="CB105" s="87"/>
      <c r="CC105" s="87"/>
      <c r="CD105" s="87"/>
      <c r="CE105" s="87"/>
      <c r="CF105" s="87"/>
      <c r="CG105" s="190"/>
      <c r="CH105" s="87"/>
      <c r="CI105" s="87"/>
      <c r="CJ105" s="87"/>
      <c r="CK105" s="87"/>
      <c r="CL105" s="87"/>
      <c r="CM105" s="87"/>
      <c r="DK105" s="18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row>
    <row r="106" spans="1:253" x14ac:dyDescent="0.2">
      <c r="F106" s="17">
        <v>2</v>
      </c>
      <c r="AX106" s="192" t="s">
        <v>656</v>
      </c>
      <c r="AY106" s="192">
        <f>IF(basis!I3,2,1)</f>
        <v>2</v>
      </c>
      <c r="CG106" s="78"/>
    </row>
    <row r="107" spans="1:253" x14ac:dyDescent="0.2">
      <c r="AX107" s="791" t="str">
        <f>IF('liste-STEP'!AY106=1,"échantillonage proportionel au débit d'entrée?","Probeentnahme proportional zum Durchfluss?")</f>
        <v>Probeentnahme proportional zum Durchfluss?</v>
      </c>
      <c r="AY107" s="17" t="b">
        <v>0</v>
      </c>
    </row>
    <row r="108" spans="1:253" x14ac:dyDescent="0.2">
      <c r="AY108" s="17" t="s">
        <v>119</v>
      </c>
    </row>
    <row r="109" spans="1:253" x14ac:dyDescent="0.2">
      <c r="AY109" s="17" t="s">
        <v>299</v>
      </c>
    </row>
  </sheetData>
  <sortState ref="A3:G37">
    <sortCondition ref="F3:F37"/>
    <sortCondition ref="G3:G37"/>
    <sortCondition ref="E3:E37"/>
  </sortState>
  <phoneticPr fontId="5" type="noConversion"/>
  <conditionalFormatting sqref="DM3:DM5">
    <cfRule type="expression" dxfId="72" priority="3">
      <formula>DL3=""</formula>
    </cfRule>
  </conditionalFormatting>
  <conditionalFormatting sqref="DM15:DM20">
    <cfRule type="expression" dxfId="71" priority="2">
      <formula>DL17=""</formula>
    </cfRule>
  </conditionalFormatting>
  <conditionalFormatting sqref="DM6:DM7">
    <cfRule type="expression" dxfId="70" priority="98">
      <formula>DL7=""</formula>
    </cfRule>
  </conditionalFormatting>
  <conditionalFormatting sqref="DM8:DM14">
    <cfRule type="expression" dxfId="69" priority="99">
      <formula>DL10=""</formula>
    </cfRule>
  </conditionalFormatting>
  <conditionalFormatting sqref="DM21:DM25">
    <cfRule type="expression" dxfId="68" priority="101">
      <formula>DL24=""</formula>
    </cfRule>
  </conditionalFormatting>
  <conditionalFormatting sqref="DM26:DM30">
    <cfRule type="expression" dxfId="67" priority="102">
      <formula>DL30=""</formula>
    </cfRule>
  </conditionalFormatting>
  <conditionalFormatting sqref="DM31:DM33">
    <cfRule type="expression" dxfId="66" priority="103">
      <formula>DL36=""</formula>
    </cfRule>
  </conditionalFormatting>
  <conditionalFormatting sqref="DM34:DM39">
    <cfRule type="expression" dxfId="65" priority="105">
      <formula>DL40=""</formula>
    </cfRule>
  </conditionalFormatting>
  <conditionalFormatting sqref="DM40:DM41">
    <cfRule type="expression" dxfId="64" priority="107">
      <formula>DL48=""</formula>
    </cfRule>
  </conditionalFormatting>
  <conditionalFormatting sqref="DM42">
    <cfRule type="expression" dxfId="63" priority="108">
      <formula>DL52=""</formula>
    </cfRule>
  </conditionalFormatting>
  <conditionalFormatting sqref="DM44:DM49">
    <cfRule type="expression" dxfId="62" priority="109">
      <formula>DL55=""</formula>
    </cfRule>
  </conditionalFormatting>
  <conditionalFormatting sqref="DM50">
    <cfRule type="expression" dxfId="61" priority="110">
      <formula>DL62=""</formula>
    </cfRule>
  </conditionalFormatting>
  <conditionalFormatting sqref="DM51:DM53">
    <cfRule type="expression" dxfId="60" priority="111">
      <formula>DL64=""</formula>
    </cfRule>
  </conditionalFormatting>
  <conditionalFormatting sqref="DM54">
    <cfRule type="expression" dxfId="59" priority="113">
      <formula>DL68=""</formula>
    </cfRule>
  </conditionalFormatting>
  <conditionalFormatting sqref="DM55:DM56">
    <cfRule type="expression" dxfId="58" priority="115">
      <formula>DL70=""</formula>
    </cfRule>
  </conditionalFormatting>
  <conditionalFormatting sqref="DM57:DM59">
    <cfRule type="expression" dxfId="57" priority="116">
      <formula>DL75=""</formula>
    </cfRule>
  </conditionalFormatting>
  <conditionalFormatting sqref="DM60:DM69">
    <cfRule type="expression" dxfId="56" priority="117">
      <formula>DL80=""</formula>
    </cfRule>
  </conditionalFormatting>
  <conditionalFormatting sqref="DM43">
    <cfRule type="expression" dxfId="55" priority="1">
      <formula>DL53=""</formula>
    </cfRule>
  </conditionalFormatting>
  <printOptions gridLines="1"/>
  <pageMargins left="0.32" right="0.28000000000000003" top="0.39" bottom="0.54" header="0.27" footer="0.24"/>
  <pageSetup paperSize="8" scale="10" orientation="portrait" r:id="rId1"/>
  <headerFooter alignWithMargins="0">
    <oddFooter>&amp;R&amp;8&amp;A,  &amp;P/&amp;P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CCFFCC"/>
    <pageSetUpPr fitToPage="1"/>
  </sheetPr>
  <dimension ref="A1:P69"/>
  <sheetViews>
    <sheetView zoomScaleNormal="100" zoomScaleSheetLayoutView="85" workbookViewId="0"/>
  </sheetViews>
  <sheetFormatPr baseColWidth="10" defaultColWidth="11.5703125" defaultRowHeight="12.75" x14ac:dyDescent="0.2"/>
  <cols>
    <col min="1" max="1" width="4.28515625" style="246" customWidth="1"/>
    <col min="2" max="2" width="47.85546875" style="246" customWidth="1"/>
    <col min="3" max="3" width="16.28515625" style="246" customWidth="1"/>
    <col min="4" max="4" width="27.28515625" style="246" customWidth="1"/>
    <col min="5" max="5" width="12.5703125" style="169" customWidth="1"/>
    <col min="6" max="8" width="8.7109375" style="169" hidden="1" customWidth="1"/>
    <col min="9" max="9" width="47.85546875" style="169" customWidth="1"/>
    <col min="10" max="10" width="22.5703125" style="169" hidden="1" customWidth="1"/>
    <col min="11" max="11" width="27.28515625" style="169" customWidth="1"/>
    <col min="12" max="18" width="22.42578125" style="169" customWidth="1"/>
    <col min="19" max="16384" width="11.5703125" style="169"/>
  </cols>
  <sheetData>
    <row r="1" spans="1:13" s="232" customFormat="1" ht="15" customHeight="1" x14ac:dyDescent="0.2">
      <c r="A1" s="229" t="str">
        <f>basis!A1</f>
        <v>ARA Ausserbinn</v>
      </c>
      <c r="B1" s="229"/>
      <c r="C1" s="230"/>
      <c r="D1" s="231"/>
    </row>
    <row r="2" spans="1:13" s="233" customFormat="1" ht="12.75" customHeight="1" x14ac:dyDescent="0.2">
      <c r="C2" s="234"/>
      <c r="D2" s="235"/>
    </row>
    <row r="3" spans="1:13" s="238" customFormat="1" ht="20.100000000000001" customHeight="1" x14ac:dyDescent="0.2">
      <c r="A3" s="236"/>
      <c r="B3" s="1020" t="s">
        <v>251</v>
      </c>
      <c r="C3" s="1021"/>
      <c r="D3" s="1022"/>
      <c r="E3" s="236"/>
      <c r="F3" s="236"/>
      <c r="G3" s="236"/>
      <c r="H3" s="236"/>
      <c r="I3" s="236"/>
      <c r="J3" s="236"/>
      <c r="K3" s="236"/>
      <c r="L3" s="236"/>
      <c r="M3" s="236"/>
    </row>
    <row r="4" spans="1:13" s="238" customFormat="1" ht="13.15" customHeight="1" x14ac:dyDescent="0.2">
      <c r="A4" s="236"/>
      <c r="B4" s="488" t="str">
        <f>IF(Langue=1,"Courant consommé","Stromverbrauch total")</f>
        <v>Stromverbrauch total</v>
      </c>
      <c r="C4" s="237" t="s">
        <v>278</v>
      </c>
      <c r="D4" s="489">
        <f>analyses!AK384</f>
        <v>0</v>
      </c>
      <c r="E4" s="236"/>
      <c r="F4" s="236"/>
      <c r="G4" s="236"/>
      <c r="H4" s="236"/>
      <c r="I4" s="236"/>
      <c r="J4" s="236"/>
      <c r="K4" s="236"/>
      <c r="L4" s="236"/>
      <c r="M4" s="236"/>
    </row>
    <row r="5" spans="1:13" s="238" customFormat="1" ht="27.6" customHeight="1" x14ac:dyDescent="0.2">
      <c r="A5" s="236"/>
      <c r="B5" s="488" t="str">
        <f>IF(Langue=1,"Courant consommé pour le traitement biologique (hormis les filtres, les ouvrages de relèvement des eaux, etc.)","Stromverbrauch der biologischen Stufe (ohne Filter, Hebewerke etc.)")</f>
        <v>Stromverbrauch der biologischen Stufe (ohne Filter, Hebewerke etc.)</v>
      </c>
      <c r="C5" s="237" t="s">
        <v>278</v>
      </c>
      <c r="D5" s="489">
        <f>analyses!AL384</f>
        <v>0</v>
      </c>
      <c r="E5" s="236"/>
      <c r="F5" s="236"/>
      <c r="G5" s="236"/>
      <c r="H5" s="236"/>
      <c r="I5" s="236"/>
      <c r="J5" s="236"/>
      <c r="K5" s="236"/>
      <c r="L5" s="236"/>
      <c r="M5" s="236"/>
    </row>
    <row r="6" spans="1:13" s="240" customFormat="1" ht="13.15" customHeight="1" x14ac:dyDescent="0.2">
      <c r="A6" s="239"/>
      <c r="B6" s="488" t="str">
        <f>IF(Langue=1,"Courant produit","Produzierte Strommenge")</f>
        <v>Produzierte Strommenge</v>
      </c>
      <c r="C6" s="237" t="s">
        <v>278</v>
      </c>
      <c r="D6" s="489">
        <f>analyses!AN384</f>
        <v>0</v>
      </c>
      <c r="E6" s="239"/>
      <c r="F6" s="239"/>
      <c r="G6" s="239"/>
      <c r="H6" s="239"/>
      <c r="I6" s="236"/>
      <c r="J6" s="239"/>
      <c r="K6" s="239"/>
      <c r="L6" s="239"/>
      <c r="M6" s="239"/>
    </row>
    <row r="7" spans="1:13" s="240" customFormat="1" ht="13.15" customHeight="1" x14ac:dyDescent="0.2">
      <c r="A7" s="239"/>
      <c r="B7" s="488" t="str">
        <f>IF(Langue=1,"Mazout consommé pour produire de la chaleur","Heizölverbrauch für Wärmegewinnung")</f>
        <v>Heizölverbrauch für Wärmegewinnung</v>
      </c>
      <c r="C7" s="237" t="s">
        <v>279</v>
      </c>
      <c r="D7" s="489">
        <f>analyses!AJ384</f>
        <v>0</v>
      </c>
      <c r="E7" s="236"/>
      <c r="F7" s="239"/>
      <c r="G7" s="239"/>
      <c r="H7" s="239"/>
      <c r="I7" s="239"/>
      <c r="J7" s="239"/>
      <c r="K7" s="239"/>
      <c r="L7" s="239"/>
      <c r="M7" s="239"/>
    </row>
    <row r="8" spans="1:13" s="240" customFormat="1" ht="13.15" customHeight="1" x14ac:dyDescent="0.2">
      <c r="A8" s="239"/>
      <c r="B8" s="488" t="str">
        <f>IF(Langue=1,"Gaz naturel consommé pour produire de la chaleur","Gasverbrauch für Wärmegewinnung")</f>
        <v>Gasverbrauch für Wärmegewinnung</v>
      </c>
      <c r="C8" s="237" t="s">
        <v>280</v>
      </c>
      <c r="D8" s="489">
        <f>analyses!AI384</f>
        <v>0</v>
      </c>
      <c r="E8" s="236"/>
      <c r="F8" s="239"/>
      <c r="G8" s="239"/>
      <c r="H8" s="239"/>
      <c r="I8" s="239"/>
      <c r="J8" s="239"/>
      <c r="K8" s="239"/>
      <c r="L8" s="239"/>
      <c r="M8" s="239"/>
    </row>
    <row r="9" spans="1:13" s="240" customFormat="1" ht="13.15" customHeight="1" x14ac:dyDescent="0.2">
      <c r="A9" s="239"/>
      <c r="B9" s="488" t="str">
        <f>IF(Langue=1,"Biogaz produit dans le digesteur","In der Faulung  produzierte Gasmenge")</f>
        <v>In der Faulung  produzierte Gasmenge</v>
      </c>
      <c r="C9" s="237" t="s">
        <v>280</v>
      </c>
      <c r="D9" s="489">
        <f>analyses!AM384</f>
        <v>0</v>
      </c>
      <c r="E9" s="236"/>
      <c r="F9" s="239"/>
      <c r="G9" s="239"/>
      <c r="H9" s="239"/>
      <c r="I9" s="239"/>
      <c r="J9" s="239"/>
      <c r="K9" s="239"/>
      <c r="L9" s="239"/>
      <c r="M9" s="239"/>
    </row>
    <row r="10" spans="1:13" s="240" customFormat="1" ht="13.15" customHeight="1" x14ac:dyDescent="0.2">
      <c r="A10" s="239"/>
      <c r="B10" s="241"/>
      <c r="C10" s="241"/>
      <c r="D10" s="242"/>
      <c r="E10" s="236"/>
      <c r="F10" s="239"/>
      <c r="G10" s="239"/>
      <c r="H10" s="239"/>
      <c r="I10" s="239"/>
      <c r="J10" s="239"/>
      <c r="K10" s="239"/>
      <c r="L10" s="239"/>
      <c r="M10" s="239"/>
    </row>
    <row r="11" spans="1:13" s="240" customFormat="1" ht="20.100000000000001" customHeight="1" x14ac:dyDescent="0.2">
      <c r="A11" s="239"/>
      <c r="B11" s="1020" t="str">
        <f>IF(Langue=1,"Quantité de biogaz consommé par installation consommatrice (estimer si nécessaire) (Nm3/a)","Gasmenge pro Verbraucher (wenn nötig schätzen) (Nm3/a)")</f>
        <v>Gasmenge pro Verbraucher (wenn nötig schätzen) (Nm3/a)</v>
      </c>
      <c r="C11" s="1021"/>
      <c r="D11" s="1022"/>
      <c r="E11" s="239"/>
      <c r="F11" s="239"/>
      <c r="G11" s="239"/>
      <c r="H11" s="239"/>
      <c r="I11" s="239"/>
      <c r="J11" s="239"/>
      <c r="K11" s="239"/>
      <c r="L11" s="239"/>
      <c r="M11" s="239"/>
    </row>
    <row r="12" spans="1:13" s="240" customFormat="1" ht="12.75" customHeight="1" x14ac:dyDescent="0.2">
      <c r="A12" s="239"/>
      <c r="B12" s="1023" t="str">
        <f>IF(Langue=1,"Couplage Chaleur force (CCF)","Wärme-Kraft-Kopplung (WKK)")</f>
        <v>Wärme-Kraft-Kopplung (WKK)</v>
      </c>
      <c r="C12" s="1024"/>
      <c r="D12" s="243"/>
      <c r="F12" s="239"/>
      <c r="G12" s="239"/>
      <c r="H12" s="239"/>
      <c r="I12" s="239"/>
      <c r="J12" s="239"/>
      <c r="K12" s="239"/>
      <c r="L12" s="239"/>
      <c r="M12" s="239"/>
    </row>
    <row r="13" spans="1:13" s="240" customFormat="1" ht="12.75" customHeight="1" x14ac:dyDescent="0.2">
      <c r="A13" s="239"/>
      <c r="B13" s="1023" t="str">
        <f>IF(Langue=1,"Chaudière","Heizkessel")</f>
        <v>Heizkessel</v>
      </c>
      <c r="C13" s="1024"/>
      <c r="D13" s="243"/>
      <c r="E13" s="239"/>
      <c r="F13" s="239"/>
      <c r="G13" s="239"/>
      <c r="H13" s="239"/>
      <c r="I13" s="239"/>
      <c r="J13" s="239"/>
      <c r="K13" s="239"/>
      <c r="L13" s="239"/>
      <c r="M13" s="239"/>
    </row>
    <row r="14" spans="1:13" s="240" customFormat="1" ht="12.75" customHeight="1" x14ac:dyDescent="0.2">
      <c r="A14" s="239"/>
      <c r="B14" s="1023" t="str">
        <f>IF(Langue=1,"Torchère","Fackel")</f>
        <v>Fackel</v>
      </c>
      <c r="C14" s="1024"/>
      <c r="D14" s="243"/>
      <c r="E14" s="239"/>
      <c r="F14" s="239"/>
      <c r="G14" s="239"/>
      <c r="H14" s="239"/>
      <c r="I14" s="239"/>
      <c r="J14" s="239"/>
      <c r="K14" s="239"/>
      <c r="L14" s="239"/>
      <c r="M14" s="239"/>
    </row>
    <row r="15" spans="1:13" s="240" customFormat="1" ht="12.75" customHeight="1" x14ac:dyDescent="0.2">
      <c r="A15" s="239"/>
      <c r="B15" s="1023" t="str">
        <f>IF(Langue=1,"Biogaz vendu","verkauftes Biogas")</f>
        <v>verkauftes Biogas</v>
      </c>
      <c r="C15" s="1024"/>
      <c r="D15" s="243"/>
      <c r="E15" s="239"/>
      <c r="F15" s="239"/>
      <c r="G15" s="239"/>
      <c r="H15" s="239"/>
      <c r="I15" s="239"/>
      <c r="J15" s="239"/>
      <c r="K15" s="239"/>
      <c r="L15" s="239"/>
      <c r="M15" s="239"/>
    </row>
    <row r="16" spans="1:13" s="240" customFormat="1" ht="12.75" customHeight="1" x14ac:dyDescent="0.2">
      <c r="A16" s="239"/>
      <c r="B16" s="1023" t="str">
        <f>IF(Langue=1,"Autre","Andere")</f>
        <v>Andere</v>
      </c>
      <c r="C16" s="1024"/>
      <c r="D16" s="243"/>
      <c r="E16" s="239"/>
      <c r="F16" s="239"/>
      <c r="G16" s="239"/>
      <c r="H16" s="239"/>
      <c r="I16" s="239"/>
      <c r="J16" s="239"/>
      <c r="K16" s="239"/>
      <c r="L16" s="239"/>
      <c r="M16" s="239"/>
    </row>
    <row r="17" spans="1:13" s="240" customFormat="1" ht="12.75" customHeight="1" x14ac:dyDescent="0.2">
      <c r="A17" s="239"/>
      <c r="B17" s="1023" t="s">
        <v>6</v>
      </c>
      <c r="C17" s="1024"/>
      <c r="D17" s="490">
        <f>SUM(D12:D16)</f>
        <v>0</v>
      </c>
      <c r="E17" s="239"/>
      <c r="F17" s="239"/>
      <c r="G17" s="239"/>
      <c r="H17" s="239"/>
      <c r="I17" s="239"/>
      <c r="J17" s="239"/>
      <c r="K17" s="239"/>
      <c r="L17" s="239"/>
      <c r="M17" s="239"/>
    </row>
    <row r="18" spans="1:13" s="240" customFormat="1" ht="12.75" customHeight="1" x14ac:dyDescent="0.2">
      <c r="A18" s="239"/>
      <c r="B18" s="239"/>
      <c r="C18" s="239"/>
      <c r="D18" s="239"/>
      <c r="E18" s="239"/>
      <c r="F18" s="239"/>
      <c r="G18" s="239"/>
      <c r="H18" s="239"/>
      <c r="I18" s="239"/>
      <c r="J18" s="239"/>
      <c r="K18" s="239"/>
      <c r="L18" s="239"/>
      <c r="M18" s="239"/>
    </row>
    <row r="19" spans="1:13" s="240" customFormat="1" ht="20.100000000000001" customHeight="1" x14ac:dyDescent="0.2">
      <c r="A19" s="239"/>
      <c r="B19" s="1020" t="str">
        <f>IF(Langue=1,"Chaleur","Wärmemenge")</f>
        <v>Wärmemenge</v>
      </c>
      <c r="C19" s="1021"/>
      <c r="D19" s="345"/>
      <c r="E19" s="491"/>
      <c r="F19" s="491"/>
      <c r="G19" s="491"/>
      <c r="H19" s="491"/>
      <c r="I19" s="491"/>
      <c r="J19" s="491"/>
      <c r="K19" s="345"/>
      <c r="L19" s="239"/>
      <c r="M19" s="239"/>
    </row>
    <row r="20" spans="1:13" s="240" customFormat="1" ht="13.15" customHeight="1" x14ac:dyDescent="0.2">
      <c r="A20" s="239"/>
      <c r="B20" s="1025" t="str">
        <f>IF(Langue=1,"Chaleur produite","Produzierte Wärmemenge")&amp; " (kWh/a)"</f>
        <v>Produzierte Wärmemenge (kWh/a)</v>
      </c>
      <c r="C20" s="1026"/>
      <c r="D20" s="317"/>
      <c r="E20" s="236"/>
      <c r="F20" s="239"/>
      <c r="G20" s="239"/>
      <c r="H20" s="239"/>
      <c r="I20" s="1025" t="str">
        <f>IF(Langue=1,"Acquisition de chaleur","Wärmebezug")&amp; " (kWh/a)"</f>
        <v>Wärmebezug (kWh/a)</v>
      </c>
      <c r="J20" s="1026"/>
      <c r="K20" s="317"/>
      <c r="L20" s="239"/>
      <c r="M20" s="239"/>
    </row>
    <row r="21" spans="1:13" s="240" customFormat="1" ht="13.15" customHeight="1" x14ac:dyDescent="0.2">
      <c r="A21" s="239"/>
      <c r="B21" s="1018" t="str">
        <f>IF(Langue=1,"Distribution de chaleur résiduelle","Abgabe von Überschusswärme")&amp; " (kWh/a)"</f>
        <v>Abgabe von Überschusswärme (kWh/a)</v>
      </c>
      <c r="C21" s="1019"/>
      <c r="D21" s="243"/>
      <c r="E21" s="492"/>
      <c r="F21" s="492"/>
      <c r="G21" s="492"/>
      <c r="H21" s="492"/>
      <c r="I21" s="1018" t="str">
        <f>IF(Langue=1,"Consommation de chaleur","Wärmeverbrauch")&amp; " (kWh/a)"</f>
        <v>Wärmeverbrauch (kWh/a)</v>
      </c>
      <c r="J21" s="1019"/>
      <c r="K21" s="493"/>
      <c r="L21" s="239"/>
      <c r="M21" s="239"/>
    </row>
    <row r="22" spans="1:13" s="240" customFormat="1" ht="13.15" customHeight="1" x14ac:dyDescent="0.2">
      <c r="A22" s="239"/>
      <c r="B22" s="239"/>
      <c r="C22" s="239"/>
      <c r="D22" s="239"/>
      <c r="E22" s="239"/>
      <c r="F22" s="239"/>
      <c r="G22" s="239"/>
      <c r="H22" s="239"/>
      <c r="I22" s="239"/>
      <c r="J22" s="239"/>
      <c r="K22" s="239"/>
      <c r="L22" s="239"/>
      <c r="M22" s="239"/>
    </row>
    <row r="23" spans="1:13" s="240" customFormat="1" ht="18" customHeight="1" x14ac:dyDescent="0.2">
      <c r="A23" s="1013"/>
      <c r="B23" s="494" t="str">
        <f>IF(Langue=1,"Coûts d'exploitation et du capital STEP","Betriebs- und Kapitalkosten ARA")&amp;" (CHF/a)"</f>
        <v>Betriebs- und Kapitalkosten ARA (CHF/a)</v>
      </c>
      <c r="C23" s="1014" t="str">
        <f>IF(Langue=1,"Pour plus d'information, cliquez ici","Für mehr Informationen klicken Sie hier")</f>
        <v>Für mehr Informationen klicken Sie hier</v>
      </c>
      <c r="D23" s="1015"/>
      <c r="E23" s="239"/>
      <c r="F23" s="239"/>
      <c r="G23" s="239"/>
      <c r="H23" s="239"/>
      <c r="I23" s="239"/>
      <c r="J23" s="239"/>
      <c r="K23" s="239"/>
      <c r="L23" s="239"/>
      <c r="M23" s="239"/>
    </row>
    <row r="24" spans="1:13" s="240" customFormat="1" ht="18" customHeight="1" x14ac:dyDescent="0.2">
      <c r="A24" s="1013"/>
      <c r="B24" s="1016" t="str">
        <f>IF(Langue=1,"frais de personnel STEP (cf. chapitre 3.2.1 Recommandation VSA 2016)","Personalkosten ARA (s. Kapitel 3.2.1 VSA-Empehlung 2016")</f>
        <v>Personalkosten ARA (s. Kapitel 3.2.1 VSA-Empehlung 2016</v>
      </c>
      <c r="C24" s="1017"/>
      <c r="D24" s="495"/>
      <c r="E24" s="239"/>
      <c r="F24" s="239"/>
      <c r="G24" s="239"/>
      <c r="H24" s="239"/>
      <c r="I24" s="239"/>
      <c r="J24" s="239"/>
      <c r="K24" s="239"/>
      <c r="L24" s="239"/>
      <c r="M24" s="239"/>
    </row>
    <row r="25" spans="1:13" s="240" customFormat="1" ht="18" customHeight="1" x14ac:dyDescent="0.2">
      <c r="A25" s="1013"/>
      <c r="B25" s="1016" t="str">
        <f>IF(Langue=1,"frais de matériel STEP (cf. chapitre 3.2.2 Recommandation VSA 2016)","Sachkosten ARA (s. Kapitel 3.2.2 VSA-Empehlung 2016")</f>
        <v>Sachkosten ARA (s. Kapitel 3.2.2 VSA-Empehlung 2016</v>
      </c>
      <c r="C25" s="1017"/>
      <c r="D25" s="495"/>
      <c r="E25" s="239"/>
      <c r="F25" s="239"/>
      <c r="G25" s="239"/>
      <c r="H25" s="239"/>
      <c r="I25" s="239"/>
      <c r="J25" s="239"/>
      <c r="K25" s="239"/>
      <c r="L25" s="239"/>
      <c r="M25" s="239"/>
    </row>
    <row r="26" spans="1:13" s="240" customFormat="1" ht="18" customHeight="1" x14ac:dyDescent="0.2">
      <c r="A26" s="1013"/>
      <c r="B26" s="1016" t="str">
        <f>IF(Langue=1,"intérêts STEP (cf. chapitre 3.2.3 Recommandation VSA 2016)","Zinskosten ARA (s. Kapitel 3.2.3 VSA-Empehlung 2016")</f>
        <v>Zinskosten ARA (s. Kapitel 3.2.3 VSA-Empehlung 2016</v>
      </c>
      <c r="C26" s="1017"/>
      <c r="D26" s="495"/>
      <c r="E26" s="239"/>
      <c r="F26" s="239"/>
      <c r="G26" s="239"/>
      <c r="H26" s="239"/>
      <c r="I26" s="239"/>
      <c r="J26" s="239"/>
      <c r="K26" s="239"/>
      <c r="L26" s="239"/>
      <c r="M26" s="239"/>
    </row>
    <row r="27" spans="1:13" s="240" customFormat="1" ht="18" customHeight="1" x14ac:dyDescent="0.2">
      <c r="A27" s="1013"/>
      <c r="B27" s="1016" t="str">
        <f>IF(Langue=1,"amortissements STEP (cf. chapitre 3.2.4 Recommandation VSA 2016)","Abschreibungskosten ARA (s. Kapitel 3.2.4 VSA-Empehlung 2016")</f>
        <v>Abschreibungskosten ARA (s. Kapitel 3.2.4 VSA-Empehlung 2016</v>
      </c>
      <c r="C27" s="1017"/>
      <c r="D27" s="495"/>
      <c r="E27" s="239"/>
      <c r="F27" s="239"/>
      <c r="G27" s="239"/>
      <c r="H27" s="239"/>
      <c r="I27" s="239"/>
      <c r="J27" s="239"/>
      <c r="K27" s="239"/>
      <c r="L27" s="239"/>
      <c r="M27" s="239"/>
    </row>
    <row r="28" spans="1:13" s="240" customFormat="1" ht="18" customHeight="1" x14ac:dyDescent="0.2">
      <c r="A28" s="1013"/>
      <c r="B28" s="1016" t="str">
        <f>IF(Langue=1,"investissements bruts STEP (cf. chapitre 3.2.5 Recommandation VSA 2016)","Brutto-Investitionen ARA (s. Kapitel 3.2.5 VSA-Empehlung 2016")</f>
        <v>Brutto-Investitionen ARA (s. Kapitel 3.2.5 VSA-Empehlung 2016</v>
      </c>
      <c r="C28" s="1017"/>
      <c r="D28" s="495"/>
      <c r="E28" s="239"/>
      <c r="F28" s="239"/>
      <c r="G28" s="239"/>
      <c r="H28" s="239"/>
      <c r="I28" s="239"/>
      <c r="J28" s="239"/>
      <c r="K28" s="239"/>
      <c r="L28" s="239"/>
      <c r="M28" s="239"/>
    </row>
    <row r="29" spans="1:13" s="240" customFormat="1" ht="13.15" customHeight="1" x14ac:dyDescent="0.2">
      <c r="A29" s="239"/>
      <c r="B29" s="239"/>
      <c r="C29" s="239"/>
      <c r="D29" s="239"/>
      <c r="E29" s="239"/>
      <c r="F29" s="239"/>
      <c r="G29" s="239"/>
      <c r="H29" s="239"/>
      <c r="I29" s="239"/>
      <c r="J29" s="239"/>
      <c r="K29" s="239"/>
      <c r="L29" s="239"/>
      <c r="M29" s="239"/>
    </row>
    <row r="30" spans="1:13" s="240" customFormat="1" ht="13.15" customHeight="1" x14ac:dyDescent="0.2">
      <c r="A30" s="239"/>
      <c r="B30" s="239"/>
      <c r="C30" s="239"/>
      <c r="D30" s="239"/>
      <c r="E30" s="239"/>
      <c r="F30" s="239"/>
      <c r="G30" s="239"/>
      <c r="H30" s="239"/>
      <c r="I30" s="239"/>
      <c r="J30" s="239"/>
      <c r="K30" s="239"/>
      <c r="L30" s="239"/>
      <c r="M30" s="239"/>
    </row>
    <row r="31" spans="1:13" s="240" customFormat="1" ht="39.950000000000003" customHeight="1" x14ac:dyDescent="0.2">
      <c r="A31" s="239"/>
      <c r="B31" s="496" t="str">
        <f>IF(Langue=1,"Dosage coagulants/floculants", "Einsatz Fäll-/Flockungsmittel")</f>
        <v>Einsatz Fäll-/Flockungsmittel</v>
      </c>
      <c r="C31" s="237" t="str">
        <f>IF(Langue=1,"Type (liquide/poudre)","Art (flüssig/Pulver)")</f>
        <v>Art (flüssig/Pulver)</v>
      </c>
      <c r="D31" s="237" t="str">
        <f>IF(Langue=1,"Nom substance","Substanzname")</f>
        <v>Substanzname</v>
      </c>
      <c r="E31" s="497" t="str">
        <f>IF(Langue=1,"Quantité annuelle","Jahresmenge")&amp;" (kg/a)"</f>
        <v>Jahresmenge (kg/a)</v>
      </c>
      <c r="F31" s="497"/>
      <c r="G31" s="497"/>
      <c r="H31" s="497"/>
      <c r="I31" s="498" t="str">
        <f>IF(Langue=1,"Endroit du dosage (au besoin indiquer plusieurs endroits)","Wo wird dosiert (wenn nötig mehrere Orte angeben)?")</f>
        <v>Wo wird dosiert (wenn nötig mehrere Orte angeben)?</v>
      </c>
      <c r="J31" s="325" t="str">
        <f>IF(Langue=1,"Dosage en cas de déhydratation (usuel 4 à 7 kg MA / t MS)","Dosiermenge bei Entwässerung (Norm: 4 bis 7 kg Flockungsmittel pro t TS)")</f>
        <v>Dosiermenge bei Entwässerung (Norm: 4 bis 7 kg Flockungsmittel pro t TS)</v>
      </c>
      <c r="K31" s="239"/>
      <c r="L31" s="239"/>
      <c r="M31" s="239"/>
    </row>
    <row r="32" spans="1:13" s="240" customFormat="1" ht="39.950000000000003" customHeight="1" x14ac:dyDescent="0.2">
      <c r="A32" s="239"/>
      <c r="B32" s="237" t="str">
        <f>IF(Langue=1,"Coagulant à base de fer","Eisenhaltiges Fällmittel")</f>
        <v>Eisenhaltiges Fällmittel</v>
      </c>
      <c r="C32" s="243"/>
      <c r="D32" s="243"/>
      <c r="E32" s="330"/>
      <c r="F32" s="271"/>
      <c r="G32" s="270"/>
      <c r="H32" s="272"/>
      <c r="I32" s="243"/>
      <c r="J32" s="239"/>
      <c r="K32" s="239"/>
      <c r="L32" s="239"/>
      <c r="M32" s="239"/>
    </row>
    <row r="33" spans="1:16" s="240" customFormat="1" ht="39.950000000000003" customHeight="1" x14ac:dyDescent="0.2">
      <c r="A33" s="239"/>
      <c r="B33" s="237" t="str">
        <f>IF(Langue=1,"Coagulant à base d'aluminium","Aluminiumhaltiges Fällmittel")</f>
        <v>Aluminiumhaltiges Fällmittel</v>
      </c>
      <c r="C33" s="243"/>
      <c r="D33" s="243"/>
      <c r="E33" s="330"/>
      <c r="F33" s="270">
        <v>0</v>
      </c>
      <c r="G33" s="270"/>
      <c r="H33" s="272"/>
      <c r="I33" s="243"/>
      <c r="J33" s="239"/>
      <c r="K33" s="239"/>
      <c r="L33" s="239"/>
      <c r="M33" s="239"/>
    </row>
    <row r="34" spans="1:16" s="240" customFormat="1" ht="39.950000000000003" customHeight="1" x14ac:dyDescent="0.2">
      <c r="A34" s="239"/>
      <c r="B34" s="499" t="str">
        <f>IF(Langue=1,"Floculant N°1","Flockungsmittel Nr. 1")</f>
        <v>Flockungsmittel Nr. 1</v>
      </c>
      <c r="C34" s="243"/>
      <c r="D34" s="243"/>
      <c r="E34" s="330"/>
      <c r="F34" s="270">
        <v>0</v>
      </c>
      <c r="G34" s="270"/>
      <c r="H34" s="272">
        <v>0.47</v>
      </c>
      <c r="I34" s="243"/>
      <c r="J34" s="324" t="e">
        <f>F34/basis!#REF!</f>
        <v>#REF!</v>
      </c>
      <c r="K34" s="239"/>
      <c r="L34" s="239"/>
      <c r="M34" s="239"/>
    </row>
    <row r="35" spans="1:16" s="240" customFormat="1" ht="39.950000000000003" customHeight="1" x14ac:dyDescent="0.2">
      <c r="A35" s="239"/>
      <c r="B35" s="499" t="str">
        <f>IF(Langue=1,"Floculant N°2","Flockungsmittel Nr. 2")</f>
        <v>Flockungsmittel Nr. 2</v>
      </c>
      <c r="C35" s="243"/>
      <c r="D35" s="243"/>
      <c r="E35" s="330"/>
      <c r="F35" s="270">
        <v>0</v>
      </c>
      <c r="G35" s="270"/>
      <c r="H35" s="272">
        <v>0.47</v>
      </c>
      <c r="I35" s="243"/>
      <c r="J35" s="324" t="e">
        <f>F35/basis!#REF!</f>
        <v>#REF!</v>
      </c>
      <c r="K35" s="239"/>
      <c r="L35" s="239"/>
      <c r="M35" s="239"/>
    </row>
    <row r="36" spans="1:16" s="240" customFormat="1" ht="39.950000000000003" customHeight="1" x14ac:dyDescent="0.2">
      <c r="A36" s="239"/>
      <c r="B36" s="499" t="str">
        <f>IF(Langue=1,"Floculant N°3","Flockungsmittel Nr. 3")</f>
        <v>Flockungsmittel Nr. 3</v>
      </c>
      <c r="C36" s="243"/>
      <c r="D36" s="243"/>
      <c r="E36" s="330"/>
      <c r="F36" s="270">
        <v>0</v>
      </c>
      <c r="G36" s="270"/>
      <c r="H36" s="272">
        <v>0.47</v>
      </c>
      <c r="I36" s="243"/>
      <c r="J36" s="324" t="e">
        <f>F36/basis!#REF!</f>
        <v>#REF!</v>
      </c>
      <c r="K36" s="239"/>
      <c r="L36" s="239"/>
      <c r="M36" s="239"/>
    </row>
    <row r="37" spans="1:16" s="240" customFormat="1" ht="13.15" customHeight="1" x14ac:dyDescent="0.2">
      <c r="C37" s="239"/>
      <c r="D37" s="239"/>
      <c r="E37" s="239"/>
      <c r="F37" s="239"/>
      <c r="G37" s="239"/>
      <c r="H37" s="239"/>
      <c r="I37" s="239"/>
      <c r="J37" s="239"/>
      <c r="K37" s="239"/>
      <c r="L37" s="239"/>
      <c r="M37" s="239"/>
      <c r="N37" s="239"/>
      <c r="O37" s="239"/>
      <c r="P37" s="239"/>
    </row>
    <row r="38" spans="1:16" s="240" customFormat="1" ht="13.15" customHeight="1" x14ac:dyDescent="0.2">
      <c r="C38" s="239"/>
      <c r="D38" s="239"/>
      <c r="E38" s="239"/>
      <c r="F38" s="239"/>
      <c r="G38" s="239"/>
      <c r="H38" s="239"/>
      <c r="I38" s="239"/>
      <c r="J38" s="239"/>
      <c r="K38" s="239"/>
      <c r="L38" s="239"/>
      <c r="M38" s="239"/>
      <c r="N38" s="239"/>
      <c r="O38" s="239"/>
      <c r="P38" s="239"/>
    </row>
    <row r="39" spans="1:16" s="244" customFormat="1" x14ac:dyDescent="0.2">
      <c r="A39" s="1011"/>
      <c r="B39" s="1011"/>
      <c r="C39" s="1011"/>
    </row>
    <row r="40" spans="1:16" s="244" customFormat="1" x14ac:dyDescent="0.2">
      <c r="A40" s="1011"/>
      <c r="B40" s="1011"/>
      <c r="C40" s="1011"/>
    </row>
    <row r="41" spans="1:16" s="244" customFormat="1" x14ac:dyDescent="0.2">
      <c r="A41" s="1011"/>
      <c r="B41" s="1011"/>
      <c r="C41" s="1011"/>
    </row>
    <row r="42" spans="1:16" s="244" customFormat="1" x14ac:dyDescent="0.2">
      <c r="A42" s="1011"/>
      <c r="B42" s="1011"/>
      <c r="C42" s="1011"/>
    </row>
    <row r="43" spans="1:16" s="244" customFormat="1" x14ac:dyDescent="0.2">
      <c r="A43" s="1011"/>
      <c r="B43" s="1011"/>
      <c r="C43" s="1011"/>
    </row>
    <row r="44" spans="1:16" s="244" customFormat="1" x14ac:dyDescent="0.2">
      <c r="A44" s="1011"/>
      <c r="B44" s="1011"/>
      <c r="C44" s="1011"/>
    </row>
    <row r="45" spans="1:16" s="244" customFormat="1" x14ac:dyDescent="0.2">
      <c r="A45" s="1011"/>
      <c r="B45" s="1011"/>
      <c r="C45" s="1011"/>
    </row>
    <row r="46" spans="1:16" s="244" customFormat="1" x14ac:dyDescent="0.2">
      <c r="A46" s="1011"/>
      <c r="B46" s="1011"/>
      <c r="C46" s="1011"/>
    </row>
    <row r="47" spans="1:16" s="244" customFormat="1" x14ac:dyDescent="0.2">
      <c r="A47" s="1011"/>
      <c r="B47" s="1011"/>
      <c r="C47" s="1011"/>
    </row>
    <row r="48" spans="1:16" s="244" customFormat="1" x14ac:dyDescent="0.2">
      <c r="A48" s="1011"/>
      <c r="B48" s="1011"/>
      <c r="C48" s="1011"/>
    </row>
    <row r="49" spans="1:7" s="244" customFormat="1" x14ac:dyDescent="0.2">
      <c r="A49" s="1011"/>
      <c r="B49" s="1011"/>
      <c r="C49" s="1011"/>
    </row>
    <row r="50" spans="1:7" s="244" customFormat="1" x14ac:dyDescent="0.2">
      <c r="A50" s="1011"/>
      <c r="B50" s="1011"/>
      <c r="C50" s="1011"/>
    </row>
    <row r="51" spans="1:7" s="244" customFormat="1" x14ac:dyDescent="0.2">
      <c r="A51" s="326"/>
      <c r="B51" s="326"/>
      <c r="C51" s="326"/>
    </row>
    <row r="52" spans="1:7" s="244" customFormat="1" x14ac:dyDescent="0.2"/>
    <row r="53" spans="1:7" s="244" customFormat="1" x14ac:dyDescent="0.2">
      <c r="G53" s="245"/>
    </row>
    <row r="54" spans="1:7" s="244" customFormat="1" x14ac:dyDescent="0.2">
      <c r="A54" s="1012"/>
      <c r="B54" s="1012"/>
      <c r="C54" s="1012"/>
      <c r="G54" s="245"/>
    </row>
    <row r="55" spans="1:7" s="245" customFormat="1" x14ac:dyDescent="0.2">
      <c r="A55" s="1012"/>
      <c r="B55" s="1012"/>
      <c r="C55" s="1012"/>
    </row>
    <row r="56" spans="1:7" s="245" customFormat="1" x14ac:dyDescent="0.2">
      <c r="A56" s="1010"/>
      <c r="B56" s="1010"/>
      <c r="C56" s="1010"/>
    </row>
    <row r="57" spans="1:7" s="245" customFormat="1" x14ac:dyDescent="0.2">
      <c r="A57" s="1010"/>
      <c r="B57" s="1010"/>
      <c r="C57" s="1010"/>
    </row>
    <row r="58" spans="1:7" s="245" customFormat="1" x14ac:dyDescent="0.2">
      <c r="A58" s="1010"/>
      <c r="B58" s="1010"/>
      <c r="C58" s="1010"/>
    </row>
    <row r="59" spans="1:7" s="245" customFormat="1" x14ac:dyDescent="0.2">
      <c r="A59" s="1010"/>
      <c r="B59" s="1010"/>
      <c r="C59" s="1010"/>
    </row>
    <row r="60" spans="1:7" s="245" customFormat="1" x14ac:dyDescent="0.2">
      <c r="A60" s="1010"/>
      <c r="B60" s="1010"/>
      <c r="C60" s="1010"/>
    </row>
    <row r="61" spans="1:7" s="245" customFormat="1" x14ac:dyDescent="0.2">
      <c r="A61" s="1010"/>
      <c r="B61" s="1010"/>
      <c r="C61" s="1010"/>
    </row>
    <row r="62" spans="1:7" s="245" customFormat="1" x14ac:dyDescent="0.2">
      <c r="A62" s="1010"/>
      <c r="B62" s="1010"/>
      <c r="C62" s="1010"/>
    </row>
    <row r="63" spans="1:7" s="245" customFormat="1" x14ac:dyDescent="0.2">
      <c r="A63" s="1010"/>
      <c r="B63" s="1010"/>
      <c r="C63" s="1010"/>
    </row>
    <row r="64" spans="1:7" s="245" customFormat="1" x14ac:dyDescent="0.2">
      <c r="A64" s="1010"/>
      <c r="B64" s="1010"/>
      <c r="C64" s="1010"/>
      <c r="G64" s="246"/>
    </row>
    <row r="65" spans="1:7" s="245" customFormat="1" x14ac:dyDescent="0.2">
      <c r="A65" s="1010"/>
      <c r="B65" s="1010"/>
      <c r="C65" s="1010"/>
      <c r="G65" s="246"/>
    </row>
    <row r="66" spans="1:7" s="246" customFormat="1" x14ac:dyDescent="0.2">
      <c r="A66" s="1009"/>
      <c r="B66" s="1009"/>
      <c r="C66" s="1009"/>
    </row>
    <row r="67" spans="1:7" s="246" customFormat="1" x14ac:dyDescent="0.2">
      <c r="A67" s="1009"/>
      <c r="B67" s="1009"/>
      <c r="C67" s="1009"/>
    </row>
    <row r="68" spans="1:7" s="246" customFormat="1" x14ac:dyDescent="0.2">
      <c r="A68" s="1009"/>
      <c r="B68" s="1009"/>
      <c r="C68" s="1009"/>
      <c r="G68" s="169"/>
    </row>
    <row r="69" spans="1:7" s="246" customFormat="1" x14ac:dyDescent="0.2">
      <c r="A69" s="1009"/>
      <c r="B69" s="1009"/>
      <c r="C69" s="1009"/>
      <c r="G69" s="169"/>
    </row>
  </sheetData>
  <mergeCells count="42">
    <mergeCell ref="B21:C21"/>
    <mergeCell ref="I21:J21"/>
    <mergeCell ref="B3:D3"/>
    <mergeCell ref="B11:D11"/>
    <mergeCell ref="B12:C12"/>
    <mergeCell ref="B13:C13"/>
    <mergeCell ref="B14:C14"/>
    <mergeCell ref="B15:C15"/>
    <mergeCell ref="B16:C16"/>
    <mergeCell ref="B17:C17"/>
    <mergeCell ref="B19:C19"/>
    <mergeCell ref="B20:C20"/>
    <mergeCell ref="I20:J20"/>
    <mergeCell ref="A23:A28"/>
    <mergeCell ref="C23:D23"/>
    <mergeCell ref="B24:C24"/>
    <mergeCell ref="B25:C25"/>
    <mergeCell ref="B26:C26"/>
    <mergeCell ref="B27:C27"/>
    <mergeCell ref="B28:C28"/>
    <mergeCell ref="A59:C59"/>
    <mergeCell ref="A39:C39"/>
    <mergeCell ref="A40:C41"/>
    <mergeCell ref="A42:C43"/>
    <mergeCell ref="A44:C45"/>
    <mergeCell ref="A46:C47"/>
    <mergeCell ref="A48:C49"/>
    <mergeCell ref="A50:C50"/>
    <mergeCell ref="A54:C55"/>
    <mergeCell ref="A56:C56"/>
    <mergeCell ref="A57:C57"/>
    <mergeCell ref="A58:C58"/>
    <mergeCell ref="A66:C66"/>
    <mergeCell ref="A67:C67"/>
    <mergeCell ref="A68:C68"/>
    <mergeCell ref="A69:C69"/>
    <mergeCell ref="A60:C60"/>
    <mergeCell ref="A61:C61"/>
    <mergeCell ref="A62:C62"/>
    <mergeCell ref="A63:C63"/>
    <mergeCell ref="A64:C64"/>
    <mergeCell ref="A65:C65"/>
  </mergeCells>
  <hyperlinks>
    <hyperlink ref="C23:D23" r:id="rId1" display="https://vsashop.ch/img/A~Deutsch/5/2016.pdf?xet=1483629071000"/>
  </hyperlinks>
  <pageMargins left="0.39370078740157483" right="0.39370078740157483" top="0.98425196850393704" bottom="0.98425196850393704" header="0.51181102362204722" footer="0.51181102362204722"/>
  <pageSetup paperSize="9" scale="76" fitToHeight="0" orientation="landscape" r:id="rId2"/>
  <headerFooter alignWithMargins="0">
    <oddFooter>&amp;R&amp;A,  &amp;P/&amp;N</oddFooter>
  </headerFooter>
  <colBreaks count="1" manualBreakCount="1">
    <brk id="6" max="44" man="1"/>
  </col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7">
    <tabColor rgb="FFCCFFCC"/>
  </sheetPr>
  <dimension ref="A1:N58"/>
  <sheetViews>
    <sheetView zoomScaleNormal="100" zoomScaleSheetLayoutView="70" workbookViewId="0">
      <selection activeCell="AA26" sqref="AA26"/>
    </sheetView>
  </sheetViews>
  <sheetFormatPr baseColWidth="10" defaultColWidth="11.5703125" defaultRowHeight="12.75" x14ac:dyDescent="0.2"/>
  <cols>
    <col min="1" max="1" width="27.28515625" style="24" customWidth="1"/>
    <col min="2" max="2" width="23.7109375" style="39" customWidth="1"/>
    <col min="3" max="3" width="24" style="39" customWidth="1"/>
    <col min="4" max="4" width="39" style="31" hidden="1" customWidth="1"/>
    <col min="5" max="5" width="29.7109375" style="39" hidden="1" customWidth="1"/>
    <col min="6" max="8" width="29.7109375" style="24" hidden="1" customWidth="1"/>
    <col min="9" max="9" width="41.5703125" style="24" hidden="1" customWidth="1"/>
    <col min="10" max="13" width="29.7109375" style="24" hidden="1" customWidth="1"/>
    <col min="14" max="14" width="42.7109375" style="24" hidden="1" customWidth="1"/>
    <col min="15" max="15" width="0" style="24" hidden="1" customWidth="1"/>
    <col min="16" max="16384" width="11.5703125" style="24"/>
  </cols>
  <sheetData>
    <row r="1" spans="1:14" s="27" customFormat="1" x14ac:dyDescent="0.2">
      <c r="A1" s="100" t="str">
        <f>basis!A1</f>
        <v>ARA Ausserbinn</v>
      </c>
      <c r="B1" s="74"/>
      <c r="C1" s="74"/>
      <c r="D1" s="29"/>
      <c r="E1" s="74"/>
    </row>
    <row r="2" spans="1:14" ht="6" customHeight="1" x14ac:dyDescent="0.2"/>
    <row r="3" spans="1:14" s="26" customFormat="1" ht="13.9" customHeight="1" x14ac:dyDescent="0.2">
      <c r="A3" s="33"/>
      <c r="B3" s="101" t="str">
        <f>IF('liste-STEP'!F95=1,"Selon base de donnée","gemäss Datenbank")</f>
        <v>gemäss Datenbank</v>
      </c>
      <c r="C3" s="101" t="str">
        <f>IF('liste-STEP'!F95=1,"Si correction, entrer la correction ici","Falls Korrektur bitte hier angeben")</f>
        <v>Falls Korrektur bitte hier angeben</v>
      </c>
      <c r="D3" s="102" t="s">
        <v>205</v>
      </c>
      <c r="E3" s="102" t="s">
        <v>189</v>
      </c>
      <c r="F3" s="102">
        <v>1</v>
      </c>
      <c r="G3" s="102">
        <v>2</v>
      </c>
      <c r="H3" s="102">
        <v>3</v>
      </c>
      <c r="I3" s="103">
        <v>4</v>
      </c>
      <c r="J3" s="103">
        <v>5</v>
      </c>
      <c r="K3" s="103">
        <v>6</v>
      </c>
      <c r="L3" s="103">
        <v>7</v>
      </c>
      <c r="M3" s="103">
        <v>8</v>
      </c>
      <c r="N3" s="104" t="s">
        <v>190</v>
      </c>
    </row>
    <row r="4" spans="1:14" s="73" customFormat="1" ht="13.9" customHeight="1" x14ac:dyDescent="0.2">
      <c r="A4" s="105" t="str">
        <f>IF('liste-STEP'!F95=1,"Nom exploitant","Name Betriebsleiter")</f>
        <v>Name Betriebsleiter</v>
      </c>
      <c r="B4" s="106" t="str">
        <f>E4</f>
        <v xml:space="preserve"> </v>
      </c>
      <c r="C4" s="327"/>
      <c r="D4" s="107" t="s">
        <v>220</v>
      </c>
      <c r="E4" s="106" t="str">
        <f>'liste-STEP'!C93&amp;" "&amp;'liste-STEP'!D93</f>
        <v xml:space="preserve"> </v>
      </c>
      <c r="F4" s="105"/>
      <c r="G4" s="105"/>
      <c r="H4" s="105"/>
      <c r="I4" s="105"/>
      <c r="J4" s="105"/>
      <c r="K4" s="105"/>
      <c r="L4" s="105"/>
      <c r="M4" s="105"/>
    </row>
    <row r="5" spans="1:14" s="73" customFormat="1" ht="13.9" customHeight="1" x14ac:dyDescent="0.2">
      <c r="A5" s="105" t="str">
        <f>IF('liste-STEP'!F95=1,"Type de STEP","Typ ARA")</f>
        <v>Typ ARA</v>
      </c>
      <c r="B5" s="108" t="e">
        <f>INDEX($F$3:$M$58,,E5)</f>
        <v>#N/A</v>
      </c>
      <c r="C5" s="227"/>
      <c r="D5" s="107" t="s">
        <v>173</v>
      </c>
      <c r="E5" s="106" t="e">
        <f>INDEX('liste-STEP'!$B$1:$BQ$88,MATCH('liste-STEP'!$A$93,'liste-STEP'!$A$1:$A$88,0),MATCH($D5,'liste-STEP'!#REF!,0))</f>
        <v>#N/A</v>
      </c>
      <c r="F5" s="109" t="str">
        <f>IF('liste-STEP'!F95=1,"urbaine","häuslich")</f>
        <v>häuslich</v>
      </c>
      <c r="G5" s="109" t="str">
        <f>IF('liste-STEP'!F95=1,"industrielle","industriel")</f>
        <v>industriel</v>
      </c>
      <c r="H5" s="109" t="str">
        <f>IF('liste-STEP'!F95=1,"mixte","gemischt")</f>
        <v>gemischt</v>
      </c>
      <c r="I5" s="105"/>
      <c r="J5" s="105"/>
      <c r="K5" s="105"/>
      <c r="L5" s="105"/>
      <c r="M5" s="105"/>
    </row>
    <row r="6" spans="1:14" s="73" customFormat="1" ht="13.9" customHeight="1" x14ac:dyDescent="0.2">
      <c r="A6" s="105" t="str">
        <f>IF('liste-STEP'!F95=1,"Commentaire général","Allgemeine Bemerkung")</f>
        <v>Allgemeine Bemerkung</v>
      </c>
      <c r="B6" s="318" t="e">
        <f>E6</f>
        <v>#N/A</v>
      </c>
      <c r="C6" s="106"/>
      <c r="D6" s="107" t="s">
        <v>167</v>
      </c>
      <c r="E6" s="106" t="e">
        <f>INDEX('liste-STEP'!$B$1:$BQ$88,MATCH('liste-STEP'!$A$93,'liste-STEP'!$A$1:$A$88,0),MATCH($D6,'liste-STEP'!#REF!,0))</f>
        <v>#N/A</v>
      </c>
      <c r="F6" s="105"/>
      <c r="G6" s="105"/>
      <c r="H6" s="105"/>
      <c r="I6" s="105"/>
      <c r="J6" s="105"/>
      <c r="K6" s="105"/>
      <c r="L6" s="105"/>
      <c r="M6" s="105"/>
    </row>
    <row r="7" spans="1:14" s="73" customFormat="1" ht="13.9" customHeight="1" x14ac:dyDescent="0.2">
      <c r="A7" s="110"/>
      <c r="B7" s="111"/>
      <c r="C7" s="111"/>
      <c r="D7" s="112"/>
      <c r="E7" s="111"/>
      <c r="F7" s="110"/>
      <c r="G7" s="110"/>
      <c r="H7" s="110"/>
      <c r="I7" s="110"/>
      <c r="J7" s="110"/>
      <c r="K7" s="110"/>
      <c r="L7" s="110"/>
      <c r="M7" s="110"/>
    </row>
    <row r="8" spans="1:14" s="73" customFormat="1" ht="18" customHeight="1" x14ac:dyDescent="0.2">
      <c r="A8" s="113" t="str">
        <f>IF('liste-STEP'!F95=1,"Analyses","Analysen")</f>
        <v>Analysen</v>
      </c>
      <c r="B8" s="113"/>
      <c r="C8" s="113"/>
      <c r="D8" s="114"/>
      <c r="E8" s="113"/>
      <c r="F8" s="113"/>
      <c r="G8" s="113"/>
      <c r="H8" s="113"/>
      <c r="I8" s="113"/>
      <c r="J8" s="113"/>
      <c r="K8" s="113"/>
      <c r="L8" s="113"/>
      <c r="M8" s="113"/>
    </row>
    <row r="9" spans="1:14" s="73" customFormat="1" ht="27.6" customHeight="1" x14ac:dyDescent="0.2">
      <c r="A9" s="115" t="str">
        <f>IF('liste-STEP'!F95=1,"Analyses effectuées par labo STEP de","Analysen werden durch folgendes Labor ausgeführt")</f>
        <v>Analysen werden durch folgendes Labor ausgeführt</v>
      </c>
      <c r="B9" s="108" t="e">
        <f>E9</f>
        <v>#N/A</v>
      </c>
      <c r="C9" s="228"/>
      <c r="D9" s="116" t="s">
        <v>174</v>
      </c>
      <c r="E9" s="106" t="e">
        <f>INDEX('liste-STEP'!$B$1:$BQ$88,MATCH('liste-STEP'!$A$93,'liste-STEP'!$A$1:$A$88,0),MATCH($D9,'liste-STEP'!#REF!,0))</f>
        <v>#N/A</v>
      </c>
      <c r="F9" s="115"/>
      <c r="G9" s="115"/>
      <c r="H9" s="115"/>
      <c r="I9" s="115"/>
      <c r="J9" s="115"/>
      <c r="K9" s="115"/>
      <c r="L9" s="115"/>
      <c r="M9" s="115"/>
    </row>
    <row r="10" spans="1:14" s="73" customFormat="1" ht="13.9" customHeight="1" x14ac:dyDescent="0.2">
      <c r="A10" s="115" t="str">
        <f>IF('liste-STEP'!F95=1,"Methode d'analyse de la DBO5","Analysemethode BSB5")</f>
        <v>Analysemethode BSB5</v>
      </c>
      <c r="B10" s="108" t="e">
        <f>INDEX($F$3:$M$58,,E10)</f>
        <v>#N/A</v>
      </c>
      <c r="C10" s="228"/>
      <c r="D10" s="116" t="s">
        <v>169</v>
      </c>
      <c r="E10" s="106" t="e">
        <f>INDEX('liste-STEP'!$B$1:$BQ$88,MATCH('liste-STEP'!$A$93,'liste-STEP'!$A$1:$A$88,0),MATCH($D10,'liste-STEP'!#REF!,0))</f>
        <v>#N/A</v>
      </c>
      <c r="F10" s="90" t="str">
        <f>IF('liste-STEP'!F95=1,"Dilution","Verdünnung")</f>
        <v>Verdünnung</v>
      </c>
      <c r="G10" s="90" t="str">
        <f>IF('liste-STEP'!F95=1,"OxiTopC","OxiTopC")</f>
        <v>OxiTopC</v>
      </c>
      <c r="H10" s="90" t="str">
        <f>IF('liste-STEP'!F95=1,"Cuvette tests Hach-Lange","Küvettentest Hach-Lange")</f>
        <v>Küvettentest Hach-Lange</v>
      </c>
      <c r="I10" s="90" t="str">
        <f>IF('liste-STEP'!F95=1,"Cuvette tests Macherey-Nagel","Küvettentest Macherey-Nagel")</f>
        <v>Küvettentest Macherey-Nagel</v>
      </c>
      <c r="J10" s="90" t="str">
        <f>IF('liste-STEP'!F95=1,"autre","andere")</f>
        <v>andere</v>
      </c>
      <c r="K10" s="90"/>
      <c r="L10" s="90"/>
      <c r="M10" s="55"/>
      <c r="N10" s="73" t="e">
        <f>E10</f>
        <v>#N/A</v>
      </c>
    </row>
    <row r="11" spans="1:14" s="73" customFormat="1" ht="13.9" customHeight="1" x14ac:dyDescent="0.2">
      <c r="A11" s="117"/>
      <c r="B11" s="117"/>
      <c r="C11" s="117"/>
      <c r="D11" s="118"/>
      <c r="E11" s="117"/>
      <c r="F11" s="117"/>
      <c r="G11" s="117"/>
      <c r="H11" s="117"/>
      <c r="I11" s="117"/>
      <c r="J11" s="117"/>
      <c r="K11" s="117"/>
      <c r="L11" s="117"/>
      <c r="M11" s="117"/>
    </row>
    <row r="12" spans="1:14" s="73" customFormat="1" ht="13.9" customHeight="1" thickBot="1" x14ac:dyDescent="0.25">
      <c r="A12" s="113" t="str">
        <f>IF('liste-STEP'!F95=1,"Echantillonage","Probenahme")</f>
        <v>Probenahme</v>
      </c>
      <c r="B12" s="113"/>
      <c r="C12" s="113"/>
      <c r="D12" s="114"/>
      <c r="E12" s="113"/>
      <c r="F12" s="113"/>
      <c r="G12" s="113"/>
      <c r="H12" s="113"/>
      <c r="I12" s="113"/>
      <c r="J12" s="113"/>
      <c r="K12" s="113"/>
      <c r="L12" s="113"/>
      <c r="M12" s="113"/>
    </row>
    <row r="13" spans="1:14" s="73" customFormat="1" ht="30" customHeight="1" thickBot="1" x14ac:dyDescent="0.25">
      <c r="A13" s="115" t="str">
        <f>IF('liste-STEP'!F95=1,"Choix du débimètre utilisé pour calculs","Wahl der Durchflussmessung für Berechnungen")</f>
        <v>Wahl der Durchflussmessung für Berechnungen</v>
      </c>
      <c r="B13" s="108" t="e">
        <f>INDEX($F$3:$M$58,,E13)</f>
        <v>#N/A</v>
      </c>
      <c r="C13" s="228"/>
      <c r="D13" s="116" t="s">
        <v>170</v>
      </c>
      <c r="E13" s="106" t="e">
        <f>INDEX('liste-STEP'!$B$1:$BQ$88,MATCH('liste-STEP'!$A$93,'liste-STEP'!$A$1:$A$88,0),MATCH($D13,'liste-STEP'!#REF!,0))</f>
        <v>#N/A</v>
      </c>
      <c r="F13" s="90" t="str">
        <f>IF('liste-STEP'!F95=1,"à l'entrée STEP","im Zulauf ARA")</f>
        <v>im Zulauf ARA</v>
      </c>
      <c r="G13" s="90" t="str">
        <f>IF('liste-STEP'!F95=1,"à la sortie STEP","im Ablauf ARA")</f>
        <v>im Ablauf ARA</v>
      </c>
      <c r="H13" s="115"/>
      <c r="I13" s="115"/>
      <c r="J13" s="115"/>
      <c r="K13" s="115"/>
      <c r="L13" s="115"/>
      <c r="M13" s="175"/>
      <c r="N13" s="176" t="e">
        <f>(E13=1)</f>
        <v>#N/A</v>
      </c>
    </row>
    <row r="14" spans="1:14" s="73" customFormat="1" ht="18" customHeight="1" x14ac:dyDescent="0.2">
      <c r="A14" s="115" t="str">
        <f>IF('liste-STEP'!F95=1,"Le préleveur de sortie mesure","Probenehmer im Ablauf misst")</f>
        <v>Probenehmer im Ablauf misst</v>
      </c>
      <c r="B14" s="108" t="e">
        <f>INDEX($F$3:$M$58,,E14)</f>
        <v>#N/A</v>
      </c>
      <c r="C14" s="228"/>
      <c r="D14" s="116" t="s">
        <v>171</v>
      </c>
      <c r="E14" s="106" t="e">
        <f>INDEX('liste-STEP'!$B$1:$BQ$88,MATCH('liste-STEP'!$A$93,'liste-STEP'!$A$1:$A$88,0),MATCH($D14,'liste-STEP'!#REF!,0))</f>
        <v>#N/A</v>
      </c>
      <c r="F14" s="90" t="str">
        <f>IF('liste-STEP'!F95=1,"aucun déversement","keine Bypässe")</f>
        <v>keine Bypässe</v>
      </c>
      <c r="G14" s="90" t="str">
        <f>IF('liste-STEP'!F95=1,"déversement entrée STEP","Bypass Zulauf ARA")</f>
        <v>Bypass Zulauf ARA</v>
      </c>
      <c r="H14" s="90" t="str">
        <f>IF('liste-STEP'!F95=1,"déversement sortie primaire","Bypass Ablauf Vorklärung")</f>
        <v>Bypass Ablauf Vorklärung</v>
      </c>
      <c r="I14" s="90" t="str">
        <f>IF('liste-STEP'!F95=1,"déversement entrée STEP+dév. sortie primaire","Bypass Zulauf ARA+Bypass Ablauf Vorklärung")</f>
        <v>Bypass Zulauf ARA+Bypass Ablauf Vorklärung</v>
      </c>
      <c r="J14" s="90"/>
      <c r="K14" s="90"/>
      <c r="L14" s="90"/>
      <c r="M14" s="115"/>
    </row>
    <row r="15" spans="1:14" s="73" customFormat="1" ht="30" customHeight="1" x14ac:dyDescent="0.2">
      <c r="A15" s="115" t="str">
        <f>IF('liste-STEP'!F95=1,"Bypass DP sans eaux usées industrielles","Bypass VK ohne industrielles Abwasser")</f>
        <v>Bypass VK ohne industrielles Abwasser</v>
      </c>
      <c r="B15" s="108" t="e">
        <f>INDEX($F$3:$M$58,,E15)</f>
        <v>#N/A</v>
      </c>
      <c r="C15" s="228"/>
      <c r="D15" s="116" t="s">
        <v>172</v>
      </c>
      <c r="E15" s="106" t="e">
        <f>INDEX('liste-STEP'!$B$1:$BQ$88,MATCH('liste-STEP'!$A$93,'liste-STEP'!$A$1:$A$88,0),MATCH($D15,'liste-STEP'!#REF!,0))</f>
        <v>#N/A</v>
      </c>
      <c r="F15" s="90" t="str">
        <f>IF('liste-STEP'!F95=1,"Non","Nein")</f>
        <v>Nein</v>
      </c>
      <c r="G15" s="90" t="str">
        <f>IF('liste-STEP'!F95=1,"Oui","Ja")</f>
        <v>Ja</v>
      </c>
      <c r="H15" s="119"/>
      <c r="I15" s="119"/>
      <c r="J15" s="119"/>
      <c r="K15" s="119"/>
      <c r="L15" s="119"/>
      <c r="M15" s="119"/>
    </row>
    <row r="16" spans="1:14" s="73" customFormat="1" ht="30" customHeight="1" x14ac:dyDescent="0.2">
      <c r="A16" s="115" t="str">
        <f>IF('liste-STEP'!F95=1,"Echantillonnage proportionnel au débit","Probeentnahme proportional zum Durchfluss?")</f>
        <v>Probeentnahme proportional zum Durchfluss?</v>
      </c>
      <c r="B16" s="115" t="e">
        <f>IF(E16=0,F16,G16)</f>
        <v>#N/A</v>
      </c>
      <c r="C16" s="320"/>
      <c r="D16" s="319" t="s">
        <v>300</v>
      </c>
      <c r="E16" s="115" t="e">
        <f>INDEX('liste-STEP'!$B$1:$BQ$88,MATCH('liste-STEP'!$A$93,'liste-STEP'!$A$1:$A$88,0),MATCH($D16,'liste-STEP'!#REF!,0))</f>
        <v>#N/A</v>
      </c>
      <c r="F16" s="115" t="str">
        <f>IF('liste-STEP'!F95=1,"Non","Nein")</f>
        <v>Nein</v>
      </c>
      <c r="G16" s="115" t="str">
        <f>IF('liste-STEP'!F95=1,"Oui","Ja")</f>
        <v>Ja</v>
      </c>
      <c r="H16" s="115"/>
      <c r="I16" s="115"/>
      <c r="J16" s="115"/>
      <c r="K16" s="115"/>
      <c r="L16" s="115"/>
      <c r="M16" s="115"/>
    </row>
    <row r="17" spans="1:13" s="73" customFormat="1" ht="13.9" customHeight="1" x14ac:dyDescent="0.2">
      <c r="A17" s="121" t="str">
        <f>IF('liste-STEP'!F95=1,"Prétraitement","Vorreinigung")</f>
        <v>Vorreinigung</v>
      </c>
      <c r="B17" s="122"/>
      <c r="C17" s="122"/>
      <c r="D17" s="123"/>
      <c r="E17" s="122"/>
      <c r="F17" s="121"/>
      <c r="G17" s="121"/>
      <c r="H17" s="121"/>
      <c r="I17" s="121"/>
      <c r="J17" s="121"/>
      <c r="K17" s="121"/>
      <c r="L17" s="121"/>
      <c r="M17" s="121"/>
    </row>
    <row r="18" spans="1:13" s="73" customFormat="1" ht="13.9" customHeight="1" x14ac:dyDescent="0.2">
      <c r="A18" s="124" t="str">
        <f>IF('liste-STEP'!F95=1,"Relevage","Hebewerk")</f>
        <v>Hebewerk</v>
      </c>
      <c r="B18" s="108" t="e">
        <f t="shared" ref="B18:B24" si="0">INDEX($F$3:$M$58,,E18)</f>
        <v>#N/A</v>
      </c>
      <c r="C18" s="227"/>
      <c r="D18" s="107" t="s">
        <v>206</v>
      </c>
      <c r="E18" s="106" t="e">
        <f>INDEX('liste-STEP'!$B$1:$BQ$88,MATCH('liste-STEP'!$A$93,'liste-STEP'!$A$1:$A$88,0),MATCH($D18,'liste-STEP'!#REF!,0))</f>
        <v>#N/A</v>
      </c>
      <c r="F18" s="90" t="str">
        <f>IF('liste-STEP'!F95=1,"Absent","Nicht vorh.")</f>
        <v>Nicht vorh.</v>
      </c>
      <c r="G18" s="90" t="str">
        <f>IF('liste-STEP'!F95=1,"Présent","Vorhanden")</f>
        <v>Vorhanden</v>
      </c>
      <c r="H18" s="124"/>
      <c r="I18" s="124"/>
      <c r="J18" s="124"/>
      <c r="K18" s="124"/>
      <c r="L18" s="124"/>
      <c r="M18" s="124"/>
    </row>
    <row r="19" spans="1:13" s="73" customFormat="1" ht="13.9" customHeight="1" x14ac:dyDescent="0.2">
      <c r="A19" s="124" t="str">
        <f>IF('liste-STEP'!F95=1,"Dégrilleur grossier","Grobrechen")</f>
        <v>Grobrechen</v>
      </c>
      <c r="B19" s="108" t="e">
        <f t="shared" si="0"/>
        <v>#N/A</v>
      </c>
      <c r="C19" s="227"/>
      <c r="D19" s="107" t="s">
        <v>207</v>
      </c>
      <c r="E19" s="106" t="e">
        <f>INDEX('liste-STEP'!$B$1:$BQ$88,MATCH('liste-STEP'!$A$93,'liste-STEP'!$A$1:$A$88,0),MATCH($D19,'liste-STEP'!#REF!,0))</f>
        <v>#N/A</v>
      </c>
      <c r="F19" s="90" t="str">
        <f>IF('liste-STEP'!F95=1,"Absent","Nicht vorh.")</f>
        <v>Nicht vorh.</v>
      </c>
      <c r="G19" s="90" t="str">
        <f>IF('liste-STEP'!F95=1,"Présent","Vorhanden")</f>
        <v>Vorhanden</v>
      </c>
      <c r="H19" s="124"/>
      <c r="I19" s="124"/>
      <c r="J19" s="124"/>
      <c r="K19" s="124"/>
      <c r="L19" s="124"/>
      <c r="M19" s="124"/>
    </row>
    <row r="20" spans="1:13" s="73" customFormat="1" ht="13.9" customHeight="1" x14ac:dyDescent="0.2">
      <c r="A20" s="124" t="str">
        <f>IF('liste-STEP'!F95=1,"Dessableur","Sandfang")</f>
        <v>Sandfang</v>
      </c>
      <c r="B20" s="108" t="e">
        <f t="shared" si="0"/>
        <v>#N/A</v>
      </c>
      <c r="C20" s="227"/>
      <c r="D20" s="107" t="s">
        <v>208</v>
      </c>
      <c r="E20" s="106" t="e">
        <f>INDEX('liste-STEP'!$B$1:$BQ$88,MATCH('liste-STEP'!$A$93,'liste-STEP'!$A$1:$A$88,0),MATCH($D20,'liste-STEP'!#REF!,0))</f>
        <v>#N/A</v>
      </c>
      <c r="F20" s="90" t="str">
        <f>IF('liste-STEP'!F95=1,"Absent","Nicht vorh.")</f>
        <v>Nicht vorh.</v>
      </c>
      <c r="G20" s="90" t="str">
        <f>IF('liste-STEP'!F95=1,"Présent","Vorhanden")</f>
        <v>Vorhanden</v>
      </c>
      <c r="H20" s="124"/>
      <c r="I20" s="124"/>
      <c r="J20" s="124"/>
      <c r="K20" s="124"/>
      <c r="L20" s="124"/>
      <c r="M20" s="124"/>
    </row>
    <row r="21" spans="1:13" s="73" customFormat="1" ht="13.9" customHeight="1" x14ac:dyDescent="0.2">
      <c r="A21" s="124" t="str">
        <f>IF('liste-STEP'!F95=1,"Déshuileur","Fettfang")</f>
        <v>Fettfang</v>
      </c>
      <c r="B21" s="108" t="e">
        <f t="shared" si="0"/>
        <v>#N/A</v>
      </c>
      <c r="C21" s="227"/>
      <c r="D21" s="107" t="s">
        <v>209</v>
      </c>
      <c r="E21" s="106" t="e">
        <f>INDEX('liste-STEP'!$B$1:$BQ$88,MATCH('liste-STEP'!$A$93,'liste-STEP'!$A$1:$A$88,0),MATCH($D21,'liste-STEP'!#REF!,0))</f>
        <v>#N/A</v>
      </c>
      <c r="F21" s="90" t="str">
        <f>IF('liste-STEP'!F95=1,"Absent","Nicht vorh.")</f>
        <v>Nicht vorh.</v>
      </c>
      <c r="G21" s="90" t="str">
        <f>IF('liste-STEP'!F95=1,"Présent","Vorhanden")</f>
        <v>Vorhanden</v>
      </c>
      <c r="H21" s="124"/>
      <c r="I21" s="124"/>
      <c r="J21" s="124"/>
      <c r="K21" s="124"/>
      <c r="L21" s="124"/>
      <c r="M21" s="124"/>
    </row>
    <row r="22" spans="1:13" s="73" customFormat="1" ht="13.9" customHeight="1" x14ac:dyDescent="0.2">
      <c r="A22" s="124" t="str">
        <f>IF('liste-STEP'!F95=1,"Tamiseur","Feinrechen")</f>
        <v>Feinrechen</v>
      </c>
      <c r="B22" s="108" t="e">
        <f t="shared" si="0"/>
        <v>#N/A</v>
      </c>
      <c r="C22" s="227"/>
      <c r="D22" s="107" t="s">
        <v>210</v>
      </c>
      <c r="E22" s="106" t="e">
        <f>INDEX('liste-STEP'!$B$1:$BQ$88,MATCH('liste-STEP'!$A$93,'liste-STEP'!$A$1:$A$88,0),MATCH($D22,'liste-STEP'!#REF!,0))</f>
        <v>#N/A</v>
      </c>
      <c r="F22" s="90" t="str">
        <f>IF('liste-STEP'!F95=1,"Absent","Nicht vorh.")</f>
        <v>Nicht vorh.</v>
      </c>
      <c r="G22" s="90" t="str">
        <f>IF('liste-STEP'!F95=1,"Présent","Vorhanden")</f>
        <v>Vorhanden</v>
      </c>
      <c r="H22" s="124"/>
      <c r="I22" s="124"/>
      <c r="J22" s="124"/>
      <c r="K22" s="124"/>
      <c r="L22" s="124"/>
      <c r="M22" s="124"/>
    </row>
    <row r="23" spans="1:13" s="73" customFormat="1" ht="13.9" customHeight="1" x14ac:dyDescent="0.2">
      <c r="A23" s="124" t="str">
        <f>IF('liste-STEP'!F95=1,"Salsnes","Salsnes")</f>
        <v>Salsnes</v>
      </c>
      <c r="B23" s="108" t="e">
        <f t="shared" si="0"/>
        <v>#N/A</v>
      </c>
      <c r="C23" s="227"/>
      <c r="D23" s="107" t="s">
        <v>177</v>
      </c>
      <c r="E23" s="106" t="e">
        <f>INDEX('liste-STEP'!$B$1:$BQ$88,MATCH('liste-STEP'!$A$93,'liste-STEP'!$A$1:$A$88,0),MATCH($D23,'liste-STEP'!#REF!,0))</f>
        <v>#N/A</v>
      </c>
      <c r="F23" s="90" t="str">
        <f>IF('liste-STEP'!F95=1,"Absent","Nicht vorh.")</f>
        <v>Nicht vorh.</v>
      </c>
      <c r="G23" s="90" t="str">
        <f>IF('liste-STEP'!F95=1,"Présent","Vorhanden")</f>
        <v>Vorhanden</v>
      </c>
      <c r="H23" s="124"/>
      <c r="I23" s="124"/>
      <c r="J23" s="124"/>
      <c r="K23" s="124"/>
      <c r="L23" s="124"/>
      <c r="M23" s="124"/>
    </row>
    <row r="24" spans="1:13" s="73" customFormat="1" ht="13.9" customHeight="1" x14ac:dyDescent="0.2">
      <c r="A24" s="124" t="str">
        <f>IF('liste-STEP'!F95=1,"autre","andere")</f>
        <v>andere</v>
      </c>
      <c r="B24" s="108" t="e">
        <f t="shared" si="0"/>
        <v>#N/A</v>
      </c>
      <c r="C24" s="227"/>
      <c r="D24" s="107" t="s">
        <v>183</v>
      </c>
      <c r="E24" s="106" t="e">
        <f>INDEX('liste-STEP'!$B$1:$BQ$88,MATCH('liste-STEP'!$A$93,'liste-STEP'!$A$1:$A$88,0),MATCH($D24,'liste-STEP'!#REF!,0))</f>
        <v>#N/A</v>
      </c>
      <c r="F24" s="90" t="str">
        <f>IF('liste-STEP'!F95=1,"Absent","Nicht vorh.")</f>
        <v>Nicht vorh.</v>
      </c>
      <c r="G24" s="90" t="str">
        <f>IF('liste-STEP'!F95=1,"Présent","Vorhanden")</f>
        <v>Vorhanden</v>
      </c>
      <c r="H24" s="124"/>
      <c r="I24" s="124"/>
      <c r="J24" s="124"/>
      <c r="K24" s="124"/>
      <c r="L24" s="124"/>
      <c r="M24" s="124"/>
    </row>
    <row r="25" spans="1:13" s="73" customFormat="1" ht="13.9" customHeight="1" x14ac:dyDescent="0.2">
      <c r="A25" s="125"/>
      <c r="B25" s="126"/>
      <c r="C25" s="126"/>
      <c r="D25" s="127"/>
      <c r="E25" s="126"/>
      <c r="F25" s="125"/>
      <c r="G25" s="125"/>
      <c r="H25" s="125"/>
      <c r="I25" s="125"/>
      <c r="J25" s="125"/>
      <c r="K25" s="125"/>
      <c r="L25" s="125"/>
      <c r="M25" s="125"/>
    </row>
    <row r="26" spans="1:13" s="73" customFormat="1" ht="13.9" customHeight="1" x14ac:dyDescent="0.2">
      <c r="A26" s="121" t="str">
        <f>IF('liste-STEP'!F95=1,"Traitement primaire","Vorklärung")</f>
        <v>Vorklärung</v>
      </c>
      <c r="B26" s="122"/>
      <c r="C26" s="122"/>
      <c r="D26" s="123"/>
      <c r="E26" s="122"/>
      <c r="F26" s="121"/>
      <c r="G26" s="121"/>
      <c r="H26" s="121"/>
      <c r="I26" s="121"/>
      <c r="J26" s="121"/>
      <c r="K26" s="121"/>
      <c r="L26" s="121"/>
      <c r="M26" s="121"/>
    </row>
    <row r="27" spans="1:13" s="73" customFormat="1" ht="13.9" customHeight="1" x14ac:dyDescent="0.2">
      <c r="A27" s="124" t="str">
        <f>IF('liste-STEP'!F95=1,"Décantation primaire","Vorklärung")</f>
        <v>Vorklärung</v>
      </c>
      <c r="B27" s="108" t="e">
        <f>INDEX($F$3:$M$58,,E27)</f>
        <v>#N/A</v>
      </c>
      <c r="C27" s="227"/>
      <c r="D27" s="107" t="s">
        <v>211</v>
      </c>
      <c r="E27" s="106" t="e">
        <f>INDEX('liste-STEP'!$B$1:$BQ$88,MATCH('liste-STEP'!$A$93,'liste-STEP'!$A$1:$A$88,0),MATCH($D27,'liste-STEP'!#REF!,0))</f>
        <v>#N/A</v>
      </c>
      <c r="F27" s="90" t="str">
        <f>IF('liste-STEP'!F95=1,"Décantation primaire classique","Klassische Vorklärung")</f>
        <v>Klassische Vorklärung</v>
      </c>
      <c r="G27" s="90" t="str">
        <f>IF('liste-STEP'!F95=1,"Décantation lamellaire","Lamellenklärer")</f>
        <v>Lamellenklärer</v>
      </c>
      <c r="H27" s="90" t="str">
        <f>IF('liste-STEP'!F95=1,"autre","andere")</f>
        <v>andere</v>
      </c>
      <c r="I27" s="90" t="str">
        <f>IF('liste-STEP'!F95=1,"absent","nicht vorhanden")</f>
        <v>nicht vorhanden</v>
      </c>
      <c r="J27" s="124"/>
      <c r="K27" s="124"/>
      <c r="L27" s="124"/>
      <c r="M27" s="124"/>
    </row>
    <row r="28" spans="1:13" s="73" customFormat="1" ht="13.9" customHeight="1" x14ac:dyDescent="0.2">
      <c r="A28" s="125"/>
      <c r="B28" s="128"/>
      <c r="C28" s="126"/>
      <c r="D28" s="127"/>
      <c r="E28" s="126"/>
      <c r="F28" s="129"/>
      <c r="G28" s="129"/>
      <c r="H28" s="129"/>
      <c r="I28" s="125"/>
      <c r="J28" s="125"/>
      <c r="K28" s="125"/>
      <c r="L28" s="125"/>
      <c r="M28" s="125"/>
    </row>
    <row r="29" spans="1:13" s="73" customFormat="1" ht="13.9" customHeight="1" x14ac:dyDescent="0.2">
      <c r="A29" s="125"/>
      <c r="B29" s="126"/>
      <c r="C29" s="126"/>
      <c r="D29" s="127"/>
      <c r="E29" s="126"/>
      <c r="H29" s="125"/>
      <c r="I29" s="125"/>
      <c r="J29" s="125"/>
      <c r="K29" s="125"/>
      <c r="L29" s="125"/>
      <c r="M29" s="125"/>
    </row>
    <row r="30" spans="1:13" s="73" customFormat="1" ht="13.9" customHeight="1" x14ac:dyDescent="0.2">
      <c r="A30" s="121" t="str">
        <f>IF('liste-STEP'!F95=1,"Traitement secondaire","Biologische Stufe")</f>
        <v>Biologische Stufe</v>
      </c>
      <c r="B30" s="126"/>
      <c r="C30" s="126"/>
      <c r="D30" s="127"/>
      <c r="E30" s="126"/>
      <c r="H30" s="121"/>
      <c r="I30" s="121"/>
      <c r="J30" s="121"/>
      <c r="K30" s="121"/>
      <c r="L30" s="121"/>
      <c r="M30" s="121"/>
    </row>
    <row r="31" spans="1:13" s="73" customFormat="1" ht="13.9" customHeight="1" x14ac:dyDescent="0.2">
      <c r="A31" s="124" t="str">
        <f>IF('liste-STEP'!F95=1,"Boues activées","Belebtschlamm")</f>
        <v>Belebtschlamm</v>
      </c>
      <c r="B31" s="108" t="e">
        <f t="shared" ref="B31:B36" si="1">INDEX($F$3:$M$58,,E31)</f>
        <v>#N/A</v>
      </c>
      <c r="C31" s="227"/>
      <c r="D31" s="107" t="s">
        <v>212</v>
      </c>
      <c r="E31" s="106" t="e">
        <f>INDEX('liste-STEP'!$B$1:$BQ$88,MATCH('liste-STEP'!$A$93,'liste-STEP'!$A$1:$A$88,0),MATCH($D31,'liste-STEP'!#REF!,0))</f>
        <v>#N/A</v>
      </c>
      <c r="F31" s="90" t="str">
        <f>IF('liste-STEP'!F95=1,"Faible charge","Schwachlast")</f>
        <v>Schwachlast</v>
      </c>
      <c r="G31" s="90" t="str">
        <f>IF('liste-STEP'!F95=1,"Moyenne charge","Mittellast")</f>
        <v>Mittellast</v>
      </c>
      <c r="H31" s="90" t="str">
        <f>IF('liste-STEP'!F95=1,"Forte charge","Hochlast")</f>
        <v>Hochlast</v>
      </c>
      <c r="I31" s="90" t="str">
        <f>IF('liste-STEP'!F95=1,"Forte charge/faible charge","Hoch+Schwachlast")</f>
        <v>Hoch+Schwachlast</v>
      </c>
      <c r="J31" s="90" t="str">
        <f>IF('liste-STEP'!F95=1,"lit fluidisé","Wirbelbett")</f>
        <v>Wirbelbett</v>
      </c>
      <c r="K31" s="90" t="str">
        <f>IF('liste-STEP'!F95=1,"autre","andere")</f>
        <v>andere</v>
      </c>
      <c r="L31" s="90"/>
      <c r="M31" s="55"/>
    </row>
    <row r="32" spans="1:13" s="73" customFormat="1" ht="13.9" customHeight="1" x14ac:dyDescent="0.2">
      <c r="A32" s="124" t="str">
        <f>IF('liste-STEP'!F95=1,"Chenal d'oxydation","Oxidationsgraben")</f>
        <v>Oxidationsgraben</v>
      </c>
      <c r="B32" s="108" t="e">
        <f t="shared" si="1"/>
        <v>#N/A</v>
      </c>
      <c r="C32" s="227"/>
      <c r="D32" s="107" t="s">
        <v>213</v>
      </c>
      <c r="E32" s="106" t="e">
        <f>INDEX('liste-STEP'!$B$1:$BQ$88,MATCH('liste-STEP'!$A$93,'liste-STEP'!$A$1:$A$88,0),MATCH($D32,'liste-STEP'!#REF!,0))</f>
        <v>#N/A</v>
      </c>
      <c r="F32" s="90" t="str">
        <f>IF('liste-STEP'!F95=1,"Absent","Nicht vorh.")</f>
        <v>Nicht vorh.</v>
      </c>
      <c r="G32" s="90" t="str">
        <f>IF('liste-STEP'!F95=1,"Présent","Vorhanden")</f>
        <v>Vorhanden</v>
      </c>
      <c r="H32" s="124"/>
      <c r="I32" s="124"/>
      <c r="J32" s="124"/>
      <c r="K32" s="124"/>
      <c r="L32" s="124"/>
      <c r="M32" s="124"/>
    </row>
    <row r="33" spans="1:13" s="73" customFormat="1" ht="13.9" customHeight="1" x14ac:dyDescent="0.2">
      <c r="A33" s="124" t="str">
        <f>IF('liste-STEP'!F95=1,"Lit bactérien","Tropfkörper")</f>
        <v>Tropfkörper</v>
      </c>
      <c r="B33" s="108" t="e">
        <f t="shared" si="1"/>
        <v>#N/A</v>
      </c>
      <c r="C33" s="227"/>
      <c r="D33" s="107" t="s">
        <v>214</v>
      </c>
      <c r="E33" s="106" t="e">
        <f>INDEX('liste-STEP'!$B$1:$BQ$88,MATCH('liste-STEP'!$A$93,'liste-STEP'!$A$1:$A$88,0),MATCH($D33,'liste-STEP'!#REF!,0))</f>
        <v>#N/A</v>
      </c>
      <c r="F33" s="90" t="str">
        <f>IF('liste-STEP'!F95=1,"Absent","Nicht vorh.")</f>
        <v>Nicht vorh.</v>
      </c>
      <c r="G33" s="90" t="str">
        <f>IF('liste-STEP'!F95=1,"Présent","Vorhanden")</f>
        <v>Vorhanden</v>
      </c>
      <c r="H33" s="124"/>
      <c r="I33" s="124"/>
      <c r="J33" s="124"/>
      <c r="K33" s="124"/>
      <c r="L33" s="124"/>
      <c r="M33" s="124"/>
    </row>
    <row r="34" spans="1:13" s="73" customFormat="1" ht="13.9" customHeight="1" x14ac:dyDescent="0.2">
      <c r="A34" s="124" t="str">
        <f>IF('liste-STEP'!F95=1,"Biofiltre","Biofilter")</f>
        <v>Biofilter</v>
      </c>
      <c r="B34" s="108" t="e">
        <f t="shared" si="1"/>
        <v>#N/A</v>
      </c>
      <c r="C34" s="227"/>
      <c r="D34" s="107" t="s">
        <v>215</v>
      </c>
      <c r="E34" s="106" t="e">
        <f>INDEX('liste-STEP'!$B$1:$BQ$88,MATCH('liste-STEP'!$A$93,'liste-STEP'!$A$1:$A$88,0),MATCH($D34,'liste-STEP'!#REF!,0))</f>
        <v>#N/A</v>
      </c>
      <c r="F34" s="90" t="str">
        <f>IF('liste-STEP'!F95=1,"Absent","Nicht vorh.")</f>
        <v>Nicht vorh.</v>
      </c>
      <c r="G34" s="90" t="str">
        <f>IF('liste-STEP'!F95=1,"Présent","Vorhanden")</f>
        <v>Vorhanden</v>
      </c>
      <c r="H34" s="124"/>
      <c r="I34" s="124"/>
      <c r="J34" s="124"/>
      <c r="K34" s="124"/>
      <c r="L34" s="124"/>
      <c r="M34" s="124"/>
    </row>
    <row r="35" spans="1:13" s="73" customFormat="1" ht="13.9" customHeight="1" x14ac:dyDescent="0.2">
      <c r="A35" s="124" t="str">
        <f>IF('liste-STEP'!F95=1,"Disque biologique","Tauchkörper")</f>
        <v>Tauchkörper</v>
      </c>
      <c r="B35" s="108" t="e">
        <f t="shared" si="1"/>
        <v>#N/A</v>
      </c>
      <c r="C35" s="227"/>
      <c r="D35" s="107" t="s">
        <v>216</v>
      </c>
      <c r="E35" s="106" t="e">
        <f>INDEX('liste-STEP'!$B$1:$BQ$88,MATCH('liste-STEP'!$A$93,'liste-STEP'!$A$1:$A$88,0),MATCH($D35,'liste-STEP'!#REF!,0))</f>
        <v>#N/A</v>
      </c>
      <c r="F35" s="90" t="str">
        <f>IF('liste-STEP'!F95=1,"Absent","Nicht vorh.")</f>
        <v>Nicht vorh.</v>
      </c>
      <c r="G35" s="90" t="str">
        <f>IF('liste-STEP'!F95=1,"Présent","Vorhanden")</f>
        <v>Vorhanden</v>
      </c>
      <c r="H35" s="124"/>
      <c r="I35" s="124"/>
      <c r="J35" s="124"/>
      <c r="K35" s="124"/>
      <c r="L35" s="124"/>
      <c r="M35" s="124"/>
    </row>
    <row r="36" spans="1:13" s="73" customFormat="1" ht="13.9" customHeight="1" x14ac:dyDescent="0.2">
      <c r="A36" s="124" t="str">
        <f>IF('liste-STEP'!F95=1,"Lagunage/Phytoplancton","Wurzelraumkläranlage")</f>
        <v>Wurzelraumkläranlage</v>
      </c>
      <c r="B36" s="108" t="e">
        <f t="shared" si="1"/>
        <v>#N/A</v>
      </c>
      <c r="C36" s="227"/>
      <c r="D36" s="107" t="s">
        <v>217</v>
      </c>
      <c r="E36" s="106" t="e">
        <f>INDEX('liste-STEP'!$B$1:$BQ$88,MATCH('liste-STEP'!$A$93,'liste-STEP'!$A$1:$A$88,0),MATCH($D36,'liste-STEP'!#REF!,0))</f>
        <v>#N/A</v>
      </c>
      <c r="F36" s="90" t="str">
        <f>IF('liste-STEP'!F95=1,"Absent","Nicht vorh.")</f>
        <v>Nicht vorh.</v>
      </c>
      <c r="G36" s="90" t="str">
        <f>IF('liste-STEP'!F95=1,"Présent","Vorhanden")</f>
        <v>Vorhanden</v>
      </c>
      <c r="H36" s="124"/>
      <c r="I36" s="124"/>
      <c r="J36" s="124"/>
      <c r="K36" s="124"/>
      <c r="L36" s="124"/>
      <c r="M36" s="124"/>
    </row>
    <row r="37" spans="1:13" s="73" customFormat="1" ht="13.9" customHeight="1" x14ac:dyDescent="0.2">
      <c r="A37" s="125"/>
      <c r="B37" s="126"/>
      <c r="C37" s="126"/>
      <c r="D37" s="127"/>
      <c r="E37" s="126"/>
      <c r="H37" s="125"/>
      <c r="I37" s="125"/>
      <c r="J37" s="125"/>
      <c r="K37" s="125"/>
      <c r="L37" s="125"/>
      <c r="M37" s="125"/>
    </row>
    <row r="38" spans="1:13" s="73" customFormat="1" ht="13.9" customHeight="1" x14ac:dyDescent="0.2">
      <c r="A38" s="121" t="str">
        <f>IF('liste-STEP'!F95=1,"Clarification secondaire","Nachklärung")</f>
        <v>Nachklärung</v>
      </c>
      <c r="B38" s="128"/>
      <c r="C38" s="126"/>
      <c r="D38" s="127"/>
      <c r="E38" s="126"/>
      <c r="F38" s="129"/>
      <c r="G38" s="129"/>
      <c r="H38" s="125"/>
      <c r="I38" s="125"/>
      <c r="J38" s="125"/>
      <c r="K38" s="125"/>
      <c r="L38" s="125"/>
      <c r="M38" s="125"/>
    </row>
    <row r="39" spans="1:13" s="73" customFormat="1" ht="13.9" customHeight="1" x14ac:dyDescent="0.2">
      <c r="A39" s="124" t="str">
        <f>IF('liste-STEP'!F95=1,"Classique","Klassisch")</f>
        <v>Klassisch</v>
      </c>
      <c r="B39" s="108" t="e">
        <f t="shared" ref="B39:B44" si="2">INDEX($F$3:$M$58,,E39)</f>
        <v>#N/A</v>
      </c>
      <c r="C39" s="227"/>
      <c r="D39" s="107" t="s">
        <v>178</v>
      </c>
      <c r="E39" s="106" t="e">
        <f>INDEX('liste-STEP'!$B$1:$BQ$88,MATCH('liste-STEP'!$A$93,'liste-STEP'!$A$1:$A$88,0),MATCH($D39,'liste-STEP'!#REF!,0))</f>
        <v>#N/A</v>
      </c>
      <c r="F39" s="90" t="str">
        <f>IF('liste-STEP'!F95=1,"Absent","Nicht vorh.")</f>
        <v>Nicht vorh.</v>
      </c>
      <c r="G39" s="90" t="str">
        <f>IF('liste-STEP'!F95=1,"Présent","Vorhanden")</f>
        <v>Vorhanden</v>
      </c>
      <c r="H39" s="124"/>
      <c r="I39" s="124"/>
      <c r="J39" s="124"/>
      <c r="K39" s="124"/>
      <c r="L39" s="124"/>
      <c r="M39" s="124"/>
    </row>
    <row r="40" spans="1:13" s="73" customFormat="1" ht="13.9" customHeight="1" x14ac:dyDescent="0.2">
      <c r="A40" s="124" t="str">
        <f>IF('liste-STEP'!F95=1,"Filtration","Filtration")</f>
        <v>Filtration</v>
      </c>
      <c r="B40" s="108" t="e">
        <f t="shared" si="2"/>
        <v>#N/A</v>
      </c>
      <c r="C40" s="227"/>
      <c r="D40" s="107" t="s">
        <v>179</v>
      </c>
      <c r="E40" s="106" t="e">
        <f>INDEX('liste-STEP'!$B$1:$BQ$88,MATCH('liste-STEP'!$A$93,'liste-STEP'!$A$1:$A$88,0),MATCH($D40,'liste-STEP'!#REF!,0))</f>
        <v>#N/A</v>
      </c>
      <c r="F40" s="90" t="str">
        <f>IF('liste-STEP'!F95=1,"Absent","Nicht vorh.")</f>
        <v>Nicht vorh.</v>
      </c>
      <c r="G40" s="90" t="str">
        <f>IF('liste-STEP'!F95=1,"Présent","Vorhanden")</f>
        <v>Vorhanden</v>
      </c>
      <c r="H40" s="124"/>
      <c r="I40" s="124"/>
      <c r="J40" s="124"/>
      <c r="K40" s="124"/>
      <c r="L40" s="124"/>
      <c r="M40" s="124"/>
    </row>
    <row r="41" spans="1:13" s="73" customFormat="1" ht="13.9" customHeight="1" x14ac:dyDescent="0.2">
      <c r="A41" s="124" t="str">
        <f>IF('liste-STEP'!F95=1,"Micro-tamis","Feinfilter")</f>
        <v>Feinfilter</v>
      </c>
      <c r="B41" s="108" t="e">
        <f t="shared" si="2"/>
        <v>#N/A</v>
      </c>
      <c r="C41" s="227"/>
      <c r="D41" s="107" t="s">
        <v>180</v>
      </c>
      <c r="E41" s="106" t="e">
        <f>INDEX('liste-STEP'!$B$1:$BQ$88,MATCH('liste-STEP'!$A$93,'liste-STEP'!$A$1:$A$88,0),MATCH($D41,'liste-STEP'!#REF!,0))</f>
        <v>#N/A</v>
      </c>
      <c r="F41" s="90" t="str">
        <f>IF('liste-STEP'!F95=1,"Absent","Nicht vorh.")</f>
        <v>Nicht vorh.</v>
      </c>
      <c r="G41" s="90" t="str">
        <f>IF('liste-STEP'!F95=1,"Présent","Vorhanden")</f>
        <v>Vorhanden</v>
      </c>
      <c r="H41" s="124"/>
      <c r="I41" s="124"/>
      <c r="J41" s="124"/>
      <c r="K41" s="124"/>
      <c r="L41" s="124"/>
      <c r="M41" s="124"/>
    </row>
    <row r="42" spans="1:13" s="73" customFormat="1" ht="13.9" customHeight="1" x14ac:dyDescent="0.2">
      <c r="A42" s="124" t="str">
        <f>IF('liste-STEP'!F95=1,"Membrane","Membrane")</f>
        <v>Membrane</v>
      </c>
      <c r="B42" s="108" t="e">
        <f t="shared" si="2"/>
        <v>#N/A</v>
      </c>
      <c r="C42" s="227"/>
      <c r="D42" s="107" t="s">
        <v>181</v>
      </c>
      <c r="E42" s="106" t="e">
        <f>INDEX('liste-STEP'!$B$1:$BQ$88,MATCH('liste-STEP'!$A$93,'liste-STEP'!$A$1:$A$88,0),MATCH($D42,'liste-STEP'!#REF!,0))</f>
        <v>#N/A</v>
      </c>
      <c r="F42" s="90" t="str">
        <f>IF('liste-STEP'!F95=1,"Absent","Nicht vorh.")</f>
        <v>Nicht vorh.</v>
      </c>
      <c r="G42" s="90" t="str">
        <f>IF('liste-STEP'!F95=1,"Présent","Vorhanden")</f>
        <v>Vorhanden</v>
      </c>
      <c r="H42" s="124"/>
      <c r="I42" s="124"/>
      <c r="J42" s="124"/>
      <c r="K42" s="124"/>
      <c r="L42" s="124"/>
      <c r="M42" s="124"/>
    </row>
    <row r="43" spans="1:13" s="73" customFormat="1" ht="13.9" customHeight="1" x14ac:dyDescent="0.2">
      <c r="A43" s="124" t="str">
        <f>IF('liste-STEP'!F95=1,"Flottation","Flottation")</f>
        <v>Flottation</v>
      </c>
      <c r="B43" s="108" t="e">
        <f t="shared" si="2"/>
        <v>#N/A</v>
      </c>
      <c r="C43" s="227"/>
      <c r="D43" s="107" t="s">
        <v>182</v>
      </c>
      <c r="E43" s="106" t="e">
        <f>INDEX('liste-STEP'!$B$1:$BQ$88,MATCH('liste-STEP'!$A$93,'liste-STEP'!$A$1:$A$88,0),MATCH($D43,'liste-STEP'!#REF!,0))</f>
        <v>#N/A</v>
      </c>
      <c r="F43" s="90" t="str">
        <f>IF('liste-STEP'!F95=1,"Absent","Nicht vorh.")</f>
        <v>Nicht vorh.</v>
      </c>
      <c r="G43" s="90" t="str">
        <f>IF('liste-STEP'!F95=1,"Présent","Vorhanden")</f>
        <v>Vorhanden</v>
      </c>
      <c r="H43" s="124"/>
      <c r="I43" s="124"/>
      <c r="J43" s="124"/>
      <c r="K43" s="124"/>
      <c r="L43" s="124"/>
      <c r="M43" s="124"/>
    </row>
    <row r="44" spans="1:13" s="73" customFormat="1" ht="13.9" customHeight="1" x14ac:dyDescent="0.2">
      <c r="A44" s="124" t="str">
        <f>IF('liste-STEP'!F95=1,"autre","andere")</f>
        <v>andere</v>
      </c>
      <c r="B44" s="108" t="e">
        <f t="shared" si="2"/>
        <v>#N/A</v>
      </c>
      <c r="C44" s="227"/>
      <c r="D44" s="107" t="s">
        <v>183</v>
      </c>
      <c r="E44" s="106" t="e">
        <f>INDEX('liste-STEP'!$B$1:$BQ$88,MATCH('liste-STEP'!$A$93,'liste-STEP'!$A$1:$A$88,0),MATCH($D44,'liste-STEP'!#REF!,0))</f>
        <v>#N/A</v>
      </c>
      <c r="F44" s="90" t="str">
        <f>IF('liste-STEP'!F95=1,"Absent","Nicht vorh.")</f>
        <v>Nicht vorh.</v>
      </c>
      <c r="G44" s="90" t="str">
        <f>IF('liste-STEP'!F95=1,"Présent","Vorhanden")</f>
        <v>Vorhanden</v>
      </c>
      <c r="H44" s="124"/>
      <c r="I44" s="124"/>
      <c r="J44" s="124"/>
      <c r="K44" s="124"/>
      <c r="L44" s="124"/>
      <c r="M44" s="124"/>
    </row>
    <row r="45" spans="1:13" s="73" customFormat="1" ht="13.9" customHeight="1" x14ac:dyDescent="0.2">
      <c r="A45" s="125"/>
      <c r="B45" s="126"/>
      <c r="C45" s="126"/>
      <c r="D45" s="127"/>
      <c r="E45" s="126"/>
      <c r="F45" s="129"/>
      <c r="H45" s="125"/>
      <c r="I45" s="125"/>
      <c r="J45" s="125"/>
      <c r="K45" s="125"/>
      <c r="L45" s="125"/>
      <c r="M45" s="125"/>
    </row>
    <row r="46" spans="1:13" s="73" customFormat="1" ht="13.9" customHeight="1" x14ac:dyDescent="0.2">
      <c r="A46" s="121" t="str">
        <f>IF('liste-STEP'!F95=1,"Traitement tertiaire","Nachbehandlung")</f>
        <v>Nachbehandlung</v>
      </c>
      <c r="B46" s="130"/>
      <c r="C46" s="130"/>
      <c r="D46" s="131"/>
      <c r="E46" s="130"/>
      <c r="F46" s="129"/>
      <c r="H46" s="121"/>
      <c r="I46" s="121"/>
      <c r="J46" s="121"/>
      <c r="K46" s="121"/>
      <c r="L46" s="121"/>
      <c r="M46" s="121"/>
    </row>
    <row r="47" spans="1:13" s="73" customFormat="1" ht="13.9" customHeight="1" x14ac:dyDescent="0.2">
      <c r="A47" s="124" t="str">
        <f>IF('liste-STEP'!F95=1,"Filtration","Filtration")</f>
        <v>Filtration</v>
      </c>
      <c r="B47" s="108" t="e">
        <f>INDEX($F$3:$M$58,,E47)</f>
        <v>#N/A</v>
      </c>
      <c r="C47" s="227"/>
      <c r="D47" s="107" t="s">
        <v>179</v>
      </c>
      <c r="E47" s="106" t="e">
        <f>INDEX('liste-STEP'!$B$1:$BQ$88,MATCH('liste-STEP'!$A$93,'liste-STEP'!$A$1:$A$88,0),MATCH($D47,'liste-STEP'!#REF!,0))</f>
        <v>#N/A</v>
      </c>
      <c r="F47" s="90" t="str">
        <f>IF('liste-STEP'!F95=1,"Absent","Nicht vorh.")</f>
        <v>Nicht vorh.</v>
      </c>
      <c r="G47" s="90" t="str">
        <f>IF('liste-STEP'!F95=1,"Présent","Vorhanden")</f>
        <v>Vorhanden</v>
      </c>
      <c r="H47" s="124"/>
      <c r="I47" s="124"/>
      <c r="J47" s="124"/>
      <c r="K47" s="124"/>
      <c r="L47" s="124"/>
      <c r="M47" s="124"/>
    </row>
    <row r="48" spans="1:13" s="73" customFormat="1" ht="13.9" customHeight="1" x14ac:dyDescent="0.2">
      <c r="A48" s="124" t="str">
        <f>IF('liste-STEP'!F95=1,"Ozonation","Ozonierung")</f>
        <v>Ozonierung</v>
      </c>
      <c r="B48" s="108" t="e">
        <f>INDEX($F$3:$M$58,,E48)</f>
        <v>#N/A</v>
      </c>
      <c r="C48" s="227"/>
      <c r="D48" s="107" t="s">
        <v>218</v>
      </c>
      <c r="E48" s="106" t="e">
        <f>INDEX('liste-STEP'!$B$1:$BQ$88,MATCH('liste-STEP'!$A$93,'liste-STEP'!$A$1:$A$88,0),MATCH($D48,'liste-STEP'!#REF!,0))</f>
        <v>#N/A</v>
      </c>
      <c r="F48" s="90" t="str">
        <f>IF('liste-STEP'!F95=1,"Absent","Nicht vorh.")</f>
        <v>Nicht vorh.</v>
      </c>
      <c r="G48" s="90" t="str">
        <f>IF('liste-STEP'!F95=1,"Présent","Vorhanden")</f>
        <v>Vorhanden</v>
      </c>
      <c r="H48" s="124"/>
      <c r="I48" s="124"/>
      <c r="J48" s="124"/>
      <c r="K48" s="124"/>
      <c r="L48" s="124"/>
      <c r="M48" s="124"/>
    </row>
    <row r="49" spans="1:13" s="73" customFormat="1" ht="13.9" customHeight="1" x14ac:dyDescent="0.2">
      <c r="A49" s="124" t="str">
        <f>IF('liste-STEP'!F95=1,"Charbon actif","Aktivkohlefilter")</f>
        <v>Aktivkohlefilter</v>
      </c>
      <c r="B49" s="108" t="e">
        <f>INDEX($F$3:$M$58,,E49)</f>
        <v>#N/A</v>
      </c>
      <c r="C49" s="227"/>
      <c r="D49" s="107" t="s">
        <v>219</v>
      </c>
      <c r="E49" s="106" t="e">
        <f>INDEX('liste-STEP'!$B$1:$BQ$88,MATCH('liste-STEP'!$A$93,'liste-STEP'!$A$1:$A$88,0),MATCH($D49,'liste-STEP'!#REF!,0))</f>
        <v>#N/A</v>
      </c>
      <c r="F49" s="90" t="str">
        <f>IF('liste-STEP'!F95=1,"Absent","Nicht vorh.")</f>
        <v>Nicht vorh.</v>
      </c>
      <c r="G49" s="90" t="str">
        <f>IF('liste-STEP'!F95=1,"Présent","Vorhanden")</f>
        <v>Vorhanden</v>
      </c>
      <c r="H49" s="124"/>
      <c r="I49" s="124"/>
      <c r="J49" s="124"/>
      <c r="K49" s="124"/>
      <c r="L49" s="124"/>
      <c r="M49" s="124"/>
    </row>
    <row r="50" spans="1:13" s="73" customFormat="1" ht="13.9" customHeight="1" x14ac:dyDescent="0.2">
      <c r="A50" s="328" t="str">
        <f>IF('liste-STEP'!F95=1,"autre","andere")</f>
        <v>andere</v>
      </c>
      <c r="B50" s="108" t="e">
        <f>INDEX($F$3:$M$58,,E50)</f>
        <v>#N/A</v>
      </c>
      <c r="C50" s="227"/>
      <c r="D50" s="107" t="s">
        <v>183</v>
      </c>
      <c r="E50" s="106" t="e">
        <f>INDEX('liste-STEP'!$B$1:$BQ$88,MATCH('liste-STEP'!$A$93,'liste-STEP'!$A$1:$A$88,0),MATCH($D50,'liste-STEP'!#REF!,0))</f>
        <v>#N/A</v>
      </c>
      <c r="F50" s="90" t="str">
        <f>IF('liste-STEP'!F95=1,"Absent","Nicht vorh.")</f>
        <v>Nicht vorh.</v>
      </c>
      <c r="G50" s="90" t="str">
        <f>IF('liste-STEP'!F95=1,"Présent","Vorhanden")</f>
        <v>Vorhanden</v>
      </c>
      <c r="H50" s="328"/>
      <c r="I50" s="328"/>
      <c r="J50" s="328"/>
      <c r="K50" s="328"/>
      <c r="L50" s="328"/>
      <c r="M50" s="328"/>
    </row>
    <row r="51" spans="1:13" s="73" customFormat="1" ht="13.9" customHeight="1" x14ac:dyDescent="0.2">
      <c r="A51" s="120"/>
      <c r="B51" s="130"/>
      <c r="C51" s="130"/>
      <c r="D51" s="131"/>
      <c r="E51" s="130"/>
      <c r="F51" s="129"/>
      <c r="H51" s="120"/>
      <c r="I51" s="120"/>
      <c r="J51" s="120"/>
      <c r="K51" s="120"/>
      <c r="L51" s="120"/>
      <c r="M51" s="120"/>
    </row>
    <row r="52" spans="1:13" s="73" customFormat="1" ht="13.9" customHeight="1" x14ac:dyDescent="0.2">
      <c r="A52" s="113" t="str">
        <f>IF('liste-STEP'!F95=1,"Traitement des boues","Schlammbehandlung")</f>
        <v>Schlammbehandlung</v>
      </c>
      <c r="B52" s="132"/>
      <c r="C52" s="132"/>
      <c r="D52" s="133"/>
      <c r="E52" s="132"/>
      <c r="F52" s="129"/>
      <c r="H52" s="113"/>
      <c r="I52" s="113"/>
      <c r="J52" s="113"/>
      <c r="K52" s="113"/>
      <c r="L52" s="113"/>
      <c r="M52" s="113"/>
    </row>
    <row r="53" spans="1:13" s="73" customFormat="1" ht="13.9" customHeight="1" x14ac:dyDescent="0.2">
      <c r="A53" s="115" t="str">
        <f>IF('liste-STEP'!F95=1,"Epaississement des boues","Schlammeindickung")</f>
        <v>Schlammeindickung</v>
      </c>
      <c r="B53" s="108" t="e">
        <f t="shared" ref="B53:B58" si="3">INDEX($F$3:$M$58,,E53)</f>
        <v>#N/A</v>
      </c>
      <c r="C53" s="228"/>
      <c r="D53" s="116" t="s">
        <v>175</v>
      </c>
      <c r="E53" s="106" t="e">
        <f>INDEX('liste-STEP'!$B$1:$BQ$88,MATCH('liste-STEP'!$A$93,'liste-STEP'!$A$1:$A$88,0),MATCH($D53,'liste-STEP'!#REF!,0))</f>
        <v>#N/A</v>
      </c>
      <c r="F53" s="90" t="str">
        <f>IF('liste-STEP'!F95=1,"Epaississeur statique","Statischer Eindicker")</f>
        <v>Statischer Eindicker</v>
      </c>
      <c r="G53" s="90" t="str">
        <f>IF('liste-STEP'!F95=1,"Table d'égouttage","Entwässerungstisch")</f>
        <v>Entwässerungstisch</v>
      </c>
      <c r="H53" s="90" t="str">
        <f>IF('liste-STEP'!F95=1,"Tambour d'égouttage","Seihtrommel")</f>
        <v>Seihtrommel</v>
      </c>
      <c r="I53" s="90" t="str">
        <f>IF('liste-STEP'!F95=1,"Epaississeur à vis","Schneckenpresse")</f>
        <v>Schneckenpresse</v>
      </c>
      <c r="J53" s="90" t="str">
        <f>IF('liste-STEP'!F95=1,"Flottation","Flotation")</f>
        <v>Flotation</v>
      </c>
      <c r="K53" s="90" t="str">
        <f>IF('liste-STEP'!F95=1,"Centrifugeuse","Zentrifuge")</f>
        <v>Zentrifuge</v>
      </c>
      <c r="L53" s="90" t="str">
        <f>IF('liste-STEP'!F95=1,"autre","andere")</f>
        <v>andere</v>
      </c>
      <c r="M53" s="90" t="str">
        <f>IF('liste-STEP'!F95=1,"absent","nicht vorhanden")</f>
        <v>nicht vorhanden</v>
      </c>
    </row>
    <row r="54" spans="1:13" s="26" customFormat="1" ht="13.9" customHeight="1" x14ac:dyDescent="0.2">
      <c r="A54" s="115" t="str">
        <f>IF('liste-STEP'!F95=1,"Stabilisation","Stabilisierung")</f>
        <v>Stabilisierung</v>
      </c>
      <c r="B54" s="108" t="e">
        <f t="shared" si="3"/>
        <v>#N/A</v>
      </c>
      <c r="C54" s="228"/>
      <c r="D54" s="116" t="s">
        <v>186</v>
      </c>
      <c r="E54" s="106" t="e">
        <f>INDEX('liste-STEP'!$B$1:$BQ$88,MATCH('liste-STEP'!$A$93,'liste-STEP'!$A$1:$A$88,0),MATCH($D54,'liste-STEP'!#REF!,0))</f>
        <v>#N/A</v>
      </c>
      <c r="F54" s="90" t="str">
        <f>IF('liste-STEP'!F95=1,"Digestion","Faulung")</f>
        <v>Faulung</v>
      </c>
      <c r="G54" s="134" t="str">
        <f>IF('liste-STEP'!F95=1,"Digestion à froid","Kalte Faulung")</f>
        <v>Kalte Faulung</v>
      </c>
      <c r="H54" s="90" t="str">
        <f>IF('liste-STEP'!F95=1,"Stabilisation aérée","Beluftete Stabilisierung")</f>
        <v>Beluftete Stabilisierung</v>
      </c>
      <c r="I54" s="90" t="str">
        <f>IF('liste-STEP'!F95=1,"autre","andere")</f>
        <v>andere</v>
      </c>
      <c r="J54" s="90" t="str">
        <f>IF('liste-STEP'!F95=1,"absent","nicht vorhanden")</f>
        <v>nicht vorhanden</v>
      </c>
      <c r="K54" s="115"/>
      <c r="L54" s="115"/>
      <c r="M54" s="90"/>
    </row>
    <row r="55" spans="1:13" s="26" customFormat="1" x14ac:dyDescent="0.2">
      <c r="A55" s="115" t="str">
        <f>IF('liste-STEP'!F95=1,"Valorisation du biogaz","Verwertung Biogas")</f>
        <v>Verwertung Biogas</v>
      </c>
      <c r="B55" s="108" t="e">
        <f t="shared" si="3"/>
        <v>#N/A</v>
      </c>
      <c r="C55" s="228"/>
      <c r="D55" s="116" t="s">
        <v>176</v>
      </c>
      <c r="E55" s="106" t="e">
        <f>INDEX('liste-STEP'!$B$1:$BQ$88,MATCH('liste-STEP'!$A$93,'liste-STEP'!$A$1:$A$88,0),MATCH($D55,'liste-STEP'!#REF!,0))</f>
        <v>#N/A</v>
      </c>
      <c r="F55" s="90" t="str">
        <f>IF('liste-STEP'!F95=1,"Chaudière à gaz","Heizkessel")</f>
        <v>Heizkessel</v>
      </c>
      <c r="G55" s="90" t="str">
        <f>IF('liste-STEP'!F95=1,"Couplage Chaleur-Force","Wärme-Kraft Kopplung")</f>
        <v>Wärme-Kraft Kopplung</v>
      </c>
      <c r="H55" s="90" t="str">
        <f>IF('liste-STEP'!F95=1,"Réseaux gaz","Einspeisung Gas")</f>
        <v>Einspeisung Gas</v>
      </c>
      <c r="I55" s="90" t="str">
        <f>IF('liste-STEP'!F95=1,"Pile à combustible","Brennstoffzellen")</f>
        <v>Brennstoffzellen</v>
      </c>
      <c r="J55" s="90" t="str">
        <f>IF('liste-STEP'!F95=1,"absent","nicht vorhanden")</f>
        <v>nicht vorhanden</v>
      </c>
      <c r="K55" s="115"/>
      <c r="L55" s="115"/>
      <c r="M55" s="115"/>
    </row>
    <row r="56" spans="1:13" s="26" customFormat="1" ht="12.75" customHeight="1" x14ac:dyDescent="0.2">
      <c r="A56" s="115" t="str">
        <f>IF('liste-STEP'!F95=1,"Déshydratation","Schlammentwässerung")</f>
        <v>Schlammentwässerung</v>
      </c>
      <c r="B56" s="108" t="e">
        <f t="shared" si="3"/>
        <v>#N/A</v>
      </c>
      <c r="C56" s="228"/>
      <c r="D56" s="116" t="s">
        <v>184</v>
      </c>
      <c r="E56" s="106" t="e">
        <f>INDEX('liste-STEP'!$B$1:$BQ$88,MATCH('liste-STEP'!$A$93,'liste-STEP'!$A$1:$A$88,0),MATCH($D56,'liste-STEP'!#REF!,0))</f>
        <v>#N/A</v>
      </c>
      <c r="F56" s="90" t="str">
        <f>IF('liste-STEP'!F95=1,"Epaississement statique","Nacheindickung")</f>
        <v>Nacheindickung</v>
      </c>
      <c r="G56" s="90" t="str">
        <f>IF('liste-STEP'!F95=1,"Tasster","Tasster")</f>
        <v>Tasster</v>
      </c>
      <c r="H56" s="90" t="str">
        <f>IF('liste-STEP'!F95=1,"Presse à vis","Schneckenpresse")</f>
        <v>Schneckenpresse</v>
      </c>
      <c r="I56" s="90" t="str">
        <f>IF('liste-STEP'!F95=1,"centrifugeuse","Zentrifuge")</f>
        <v>Zentrifuge</v>
      </c>
      <c r="J56" s="90" t="str">
        <f>IF('liste-STEP'!F95=1,"Filtre à bande","Siebbandpresse")</f>
        <v>Siebbandpresse</v>
      </c>
      <c r="K56" s="90" t="str">
        <f>IF('liste-STEP'!F95=1,"Filtre à presse","Kammerfilterpresse")</f>
        <v>Kammerfilterpresse</v>
      </c>
      <c r="L56" s="90" t="str">
        <f>IF('liste-STEP'!F95=1,"autre","andere")</f>
        <v>andere</v>
      </c>
      <c r="M56" s="90" t="str">
        <f>IF('liste-STEP'!F95=1,"absent","nicht vorhanden")</f>
        <v>nicht vorhanden</v>
      </c>
    </row>
    <row r="57" spans="1:13" s="26" customFormat="1" x14ac:dyDescent="0.2">
      <c r="A57" s="115" t="str">
        <f>IF('liste-STEP'!F95=1,"Séchage","Trocknung")</f>
        <v>Trocknung</v>
      </c>
      <c r="B57" s="108" t="e">
        <f t="shared" si="3"/>
        <v>#N/A</v>
      </c>
      <c r="C57" s="228"/>
      <c r="D57" s="116" t="s">
        <v>187</v>
      </c>
      <c r="E57" s="106" t="e">
        <f>INDEX('liste-STEP'!$B$1:$BQ$88,MATCH('liste-STEP'!$A$93,'liste-STEP'!$A$1:$A$88,0),MATCH($D57,'liste-STEP'!#REF!,0))</f>
        <v>#N/A</v>
      </c>
      <c r="F57" s="90" t="str">
        <f>IF('liste-STEP'!F95=1,"Absent","Nicht vorh.")</f>
        <v>Nicht vorh.</v>
      </c>
      <c r="G57" s="90" t="str">
        <f>IF('liste-STEP'!F95=1,"Présent","Vorhanden")</f>
        <v>Vorhanden</v>
      </c>
      <c r="H57" s="115"/>
      <c r="I57" s="115"/>
      <c r="J57" s="115"/>
      <c r="K57" s="115"/>
      <c r="L57" s="115"/>
      <c r="M57" s="115"/>
    </row>
    <row r="58" spans="1:13" s="26" customFormat="1" x14ac:dyDescent="0.2">
      <c r="A58" s="115" t="str">
        <f>IF('liste-STEP'!F95=1,"Incinération","Verbrennung")</f>
        <v>Verbrennung</v>
      </c>
      <c r="B58" s="108" t="e">
        <f t="shared" si="3"/>
        <v>#N/A</v>
      </c>
      <c r="C58" s="228"/>
      <c r="D58" s="116" t="s">
        <v>185</v>
      </c>
      <c r="E58" s="106" t="e">
        <f>INDEX('liste-STEP'!$B$1:$BQ$88,MATCH('liste-STEP'!$A$93,'liste-STEP'!$A$1:$A$88,0),MATCH($D58,'liste-STEP'!#REF!,0))</f>
        <v>#N/A</v>
      </c>
      <c r="F58" s="90" t="str">
        <f>IF('liste-STEP'!F95=1,"Absent","Nicht vorh.")</f>
        <v>Nicht vorh.</v>
      </c>
      <c r="G58" s="90" t="str">
        <f>IF('liste-STEP'!F95=1,"Présent","Vorhanden")</f>
        <v>Vorhanden</v>
      </c>
      <c r="H58" s="115"/>
      <c r="I58" s="115"/>
      <c r="J58" s="115"/>
      <c r="K58" s="115"/>
      <c r="L58" s="115"/>
      <c r="M58" s="115"/>
    </row>
  </sheetData>
  <phoneticPr fontId="5" type="noConversion"/>
  <pageMargins left="0.78740157480314965" right="0.78740157480314965" top="0.98425196850393704" bottom="0.98425196850393704" header="0.51181102362204722" footer="0.51181102362204722"/>
  <pageSetup paperSize="9" orientation="portrait" r:id="rId1"/>
  <headerFooter alignWithMargins="0">
    <oddFooter>&amp;L&amp;8&amp;F
Onglet: &amp;A</oddFooter>
  </headerFooter>
  <ignoredErrors>
    <ignoredError sqref="B18" unlockedFormula="1"/>
    <ignoredError sqref="B5"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theme="9" tint="0.39997558519241921"/>
  </sheetPr>
  <dimension ref="A1:BS452"/>
  <sheetViews>
    <sheetView zoomScale="80" zoomScaleNormal="80" workbookViewId="0">
      <pane xSplit="3" ySplit="10" topLeftCell="AJ11" activePane="bottomRight" state="frozen"/>
      <selection activeCell="BE11" sqref="BE11:BE376"/>
      <selection pane="topRight" activeCell="BE11" sqref="BE11:BE376"/>
      <selection pane="bottomLeft" activeCell="BE11" sqref="BE11:BE376"/>
      <selection pane="bottomRight" activeCell="BE11" sqref="BE11:BE376"/>
    </sheetView>
  </sheetViews>
  <sheetFormatPr baseColWidth="10" defaultRowHeight="12.75" x14ac:dyDescent="0.2"/>
  <cols>
    <col min="4" max="8" width="13.42578125" customWidth="1"/>
    <col min="9" max="17" width="14.42578125" customWidth="1"/>
    <col min="44" max="44" width="10" customWidth="1"/>
    <col min="45" max="47" width="6.7109375" customWidth="1"/>
    <col min="56" max="56" width="19.7109375" customWidth="1"/>
  </cols>
  <sheetData>
    <row r="1" spans="1:71" x14ac:dyDescent="0.2">
      <c r="A1" t="str">
        <f>basis!A1</f>
        <v>ARA Ausserbinn</v>
      </c>
      <c r="R1" s="501"/>
      <c r="S1" s="501"/>
      <c r="T1" s="501"/>
      <c r="U1" s="501"/>
      <c r="V1" s="501"/>
      <c r="W1" s="501"/>
      <c r="X1" s="501"/>
      <c r="Y1" s="501"/>
      <c r="Z1" s="7"/>
      <c r="AA1" s="7"/>
      <c r="AB1" s="7"/>
      <c r="AC1" s="7"/>
      <c r="AD1" s="7"/>
      <c r="AE1" s="501"/>
      <c r="AF1" s="7"/>
      <c r="AG1" s="7"/>
      <c r="AH1" s="501"/>
      <c r="AI1" s="7"/>
      <c r="AJ1" s="7"/>
      <c r="AK1" s="7"/>
      <c r="AL1" s="7"/>
      <c r="AM1" s="7"/>
      <c r="AN1" s="7"/>
      <c r="AO1" s="7"/>
      <c r="AP1" s="7"/>
      <c r="AQ1" s="7"/>
      <c r="AR1" s="7"/>
      <c r="AS1" s="7"/>
      <c r="AU1" s="501"/>
      <c r="AV1" s="501" t="s">
        <v>320</v>
      </c>
      <c r="AW1" s="501"/>
      <c r="AX1" s="501"/>
      <c r="AY1" s="501"/>
      <c r="AZ1" s="501"/>
      <c r="BA1" s="501"/>
      <c r="BB1" s="501"/>
      <c r="BC1" s="501"/>
    </row>
    <row r="2" spans="1:71" x14ac:dyDescent="0.2">
      <c r="R2" s="817"/>
      <c r="S2" s="9"/>
      <c r="T2" s="9"/>
      <c r="U2" s="9"/>
      <c r="V2" s="9"/>
      <c r="W2" s="9"/>
      <c r="X2" s="9"/>
      <c r="Y2" s="9"/>
      <c r="Z2" s="519"/>
      <c r="AA2" s="519"/>
      <c r="AB2" s="519"/>
      <c r="AC2" s="519"/>
      <c r="AD2" s="519"/>
      <c r="AE2" s="501"/>
      <c r="AF2" s="7"/>
      <c r="AG2" s="7"/>
      <c r="AH2" s="501"/>
      <c r="AI2" s="7"/>
      <c r="AJ2" s="7"/>
      <c r="AK2" s="7"/>
      <c r="AL2" s="7"/>
      <c r="AM2" s="7"/>
      <c r="AN2" s="7"/>
      <c r="AO2" s="7"/>
      <c r="AP2" s="7"/>
      <c r="AQ2" s="7"/>
      <c r="AR2" s="7"/>
      <c r="AS2" s="7"/>
      <c r="AT2" s="520"/>
      <c r="AU2" s="501"/>
      <c r="AV2" s="501"/>
      <c r="AW2" s="501"/>
      <c r="AX2" s="501"/>
      <c r="AY2" s="501"/>
      <c r="AZ2" s="501"/>
      <c r="BA2" s="501"/>
      <c r="BB2" s="501"/>
      <c r="BC2" s="501"/>
    </row>
    <row r="3" spans="1:71" ht="13.5" customHeight="1" x14ac:dyDescent="0.2">
      <c r="E3" s="501"/>
      <c r="F3" s="501"/>
      <c r="G3" s="501"/>
      <c r="H3" s="501"/>
      <c r="I3" s="501"/>
      <c r="J3" s="501"/>
      <c r="R3" s="817"/>
      <c r="S3" s="501"/>
      <c r="T3" s="501"/>
      <c r="U3" s="501"/>
      <c r="V3" s="501"/>
      <c r="W3" s="501"/>
      <c r="X3" s="501"/>
      <c r="Y3" s="501"/>
      <c r="Z3" s="7"/>
      <c r="AA3" s="7"/>
      <c r="AB3" s="7"/>
      <c r="AC3" s="7"/>
      <c r="AD3" s="7"/>
      <c r="AE3" s="501"/>
      <c r="AF3" s="7"/>
      <c r="AG3" s="7"/>
      <c r="AH3" s="501"/>
      <c r="AI3" s="7"/>
      <c r="AJ3" s="7"/>
      <c r="AK3" s="7"/>
      <c r="AL3" s="7"/>
      <c r="AM3" s="7"/>
      <c r="AN3" s="7"/>
      <c r="AO3" s="7"/>
      <c r="AP3" s="7"/>
      <c r="AQ3" s="7"/>
      <c r="AR3" s="7"/>
      <c r="AS3" s="7"/>
      <c r="AT3" s="501"/>
      <c r="AU3" s="501"/>
      <c r="AV3" s="501"/>
      <c r="AW3" s="501"/>
      <c r="AX3" s="501"/>
      <c r="AY3" s="501"/>
      <c r="AZ3" s="501"/>
      <c r="BA3" s="501"/>
      <c r="BB3" s="501"/>
      <c r="BC3" s="501"/>
    </row>
    <row r="4" spans="1:71" x14ac:dyDescent="0.2">
      <c r="E4" s="501"/>
      <c r="F4" s="501"/>
      <c r="G4" s="501"/>
      <c r="H4" s="501"/>
      <c r="I4" s="501"/>
      <c r="J4" s="501"/>
      <c r="R4" s="817"/>
      <c r="V4" s="817"/>
      <c r="AR4" s="7"/>
      <c r="AS4" s="7"/>
      <c r="AT4" s="501"/>
      <c r="AU4" s="501"/>
      <c r="AV4" s="501"/>
      <c r="AW4" s="501"/>
      <c r="AX4" s="501"/>
      <c r="AY4" s="501"/>
      <c r="AZ4" s="501"/>
      <c r="BA4" s="501"/>
      <c r="BB4" s="501"/>
      <c r="BC4" s="501"/>
    </row>
    <row r="5" spans="1:71" x14ac:dyDescent="0.2">
      <c r="E5" s="501"/>
      <c r="F5" s="501"/>
      <c r="G5" s="501"/>
      <c r="H5" s="501"/>
      <c r="I5" s="501"/>
      <c r="J5" s="501"/>
      <c r="R5" s="817"/>
      <c r="AR5" s="7"/>
      <c r="AS5" s="7"/>
      <c r="AT5" s="501"/>
      <c r="AU5" s="501"/>
      <c r="AV5" s="501"/>
      <c r="AW5" s="501"/>
      <c r="AX5" s="501"/>
      <c r="AY5" s="501"/>
      <c r="AZ5" s="501"/>
      <c r="BA5" s="501"/>
      <c r="BB5" s="501"/>
      <c r="BC5" s="501"/>
    </row>
    <row r="6" spans="1:71" ht="12.75" customHeight="1" x14ac:dyDescent="0.2">
      <c r="D6" s="1027" t="str">
        <f>IF(Langue=1,"Charges en entrée","Zulauffrachten")&amp;" kg/d"</f>
        <v>Zulauffrachten kg/d</v>
      </c>
      <c r="E6" s="1028"/>
      <c r="F6" s="1028"/>
      <c r="G6" s="1028"/>
      <c r="H6" s="1028"/>
      <c r="I6" s="1029"/>
      <c r="J6" s="1030" t="str">
        <f>IF(Langue=1,"Charges en sortie","Ablauffrachten")&amp;" kg/d"</f>
        <v>Ablauffrachten kg/d</v>
      </c>
      <c r="K6" s="1031"/>
      <c r="L6" s="1031"/>
      <c r="M6" s="1031"/>
      <c r="N6" s="1031"/>
      <c r="O6" s="1031"/>
      <c r="P6" s="1031"/>
      <c r="Q6" s="1031"/>
      <c r="R6" s="817"/>
      <c r="AQ6" s="588"/>
      <c r="AR6" s="7"/>
      <c r="AS6" s="7"/>
      <c r="AT6" s="655"/>
      <c r="AU6" s="655"/>
      <c r="AV6" s="606"/>
      <c r="AW6" s="606"/>
      <c r="AX6" s="606"/>
      <c r="AY6" s="1032" t="s">
        <v>324</v>
      </c>
      <c r="AZ6" s="1032"/>
      <c r="BA6" s="1032"/>
      <c r="BB6" s="1032"/>
      <c r="BC6" s="1032"/>
      <c r="BD6" s="746"/>
      <c r="BE6" s="632"/>
      <c r="BF6" s="1033" t="str">
        <f>IF(Langue=1,"Débit spécifique", "Abwassermenge pro EW pro Tag") &amp; " " &amp;BF9</f>
        <v xml:space="preserve">Abwassermenge pro EW pro Tag </v>
      </c>
      <c r="BG6" s="649" t="str">
        <f>IF(Langue=1,"Rendements","Reinigungsleistung")</f>
        <v>Reinigungsleistung</v>
      </c>
      <c r="BH6" s="649"/>
      <c r="BI6" s="649"/>
      <c r="BJ6" s="649"/>
      <c r="BK6" s="649"/>
      <c r="BL6" s="656" t="str">
        <f>IF(Langue=1,"Rapports typiques à l'entrée STEP","Verhältnisse im Zulauf ARA")</f>
        <v>Verhältnisse im Zulauf ARA</v>
      </c>
      <c r="BM6" s="656"/>
      <c r="BN6" s="656"/>
      <c r="BO6" s="656"/>
      <c r="BP6" s="656"/>
      <c r="BQ6" s="656"/>
      <c r="BR6" s="656"/>
      <c r="BS6" s="1034" t="s">
        <v>378</v>
      </c>
    </row>
    <row r="7" spans="1:71" ht="38.25" x14ac:dyDescent="0.2">
      <c r="D7" s="599"/>
      <c r="E7" s="599"/>
      <c r="F7" s="599"/>
      <c r="G7" s="599"/>
      <c r="H7" s="599"/>
      <c r="I7" s="599"/>
      <c r="J7" s="603"/>
      <c r="K7" s="603"/>
      <c r="L7" s="603"/>
      <c r="M7" s="603"/>
      <c r="N7" s="603"/>
      <c r="O7" s="603"/>
      <c r="P7" s="603"/>
      <c r="Q7" s="603"/>
      <c r="R7" s="859" t="s">
        <v>671</v>
      </c>
      <c r="S7" s="645" t="s">
        <v>321</v>
      </c>
      <c r="T7" s="608"/>
      <c r="U7" s="609" t="s">
        <v>322</v>
      </c>
      <c r="V7" s="610">
        <v>800</v>
      </c>
      <c r="W7" s="611"/>
      <c r="X7" s="611"/>
      <c r="Y7" s="628" t="s">
        <v>323</v>
      </c>
      <c r="Z7" s="628"/>
      <c r="AA7" s="629" t="s">
        <v>322</v>
      </c>
      <c r="AB7" s="630">
        <v>250</v>
      </c>
      <c r="AC7" s="631"/>
      <c r="AD7" s="631"/>
      <c r="AE7" s="632"/>
      <c r="AF7" s="633" t="s">
        <v>0</v>
      </c>
      <c r="AG7" s="634" t="s">
        <v>322</v>
      </c>
      <c r="AH7" s="635">
        <v>46.666666666666664</v>
      </c>
      <c r="AI7" s="636"/>
      <c r="AJ7" s="636"/>
      <c r="AK7" s="637"/>
      <c r="AL7" s="638" t="s">
        <v>319</v>
      </c>
      <c r="AM7" s="639" t="s">
        <v>322</v>
      </c>
      <c r="AN7" s="637">
        <v>11.333333333333334</v>
      </c>
      <c r="AO7" s="640"/>
      <c r="AP7" s="640"/>
      <c r="AQ7" s="625"/>
      <c r="AR7" s="626"/>
      <c r="AS7" s="7"/>
      <c r="AT7" s="655"/>
      <c r="AU7" s="655"/>
      <c r="AV7" s="607" t="s">
        <v>327</v>
      </c>
      <c r="AW7" s="607" t="s">
        <v>328</v>
      </c>
      <c r="AX7" s="607" t="s">
        <v>329</v>
      </c>
      <c r="AY7" s="646" t="s">
        <v>150</v>
      </c>
      <c r="AZ7" s="646" t="s">
        <v>330</v>
      </c>
      <c r="BA7" s="647" t="s">
        <v>0</v>
      </c>
      <c r="BB7" s="647" t="s">
        <v>151</v>
      </c>
      <c r="BC7" s="647" t="s">
        <v>331</v>
      </c>
      <c r="BD7" s="746" t="str">
        <f>IF(Langue=1,"Charge massique (kg DCO/ kg MS. Jour)","Schlammbelastung (kg CSB / kg TS.d)")</f>
        <v>Schlammbelastung (kg CSB / kg TS.d)</v>
      </c>
      <c r="BE7" s="650" t="str">
        <f>IF(Langue=1,"age de boues (j))","Schlammalter (d)")</f>
        <v>Schlammalter (d)</v>
      </c>
      <c r="BF7" s="1033"/>
      <c r="BG7" s="651" t="s">
        <v>377</v>
      </c>
      <c r="BH7" s="651" t="s">
        <v>321</v>
      </c>
      <c r="BI7" s="651" t="s">
        <v>339</v>
      </c>
      <c r="BJ7" s="651" t="s">
        <v>340</v>
      </c>
      <c r="BK7" s="651" t="s">
        <v>319</v>
      </c>
      <c r="BL7" s="652" t="str">
        <f>IF(Langue=1,"DCO/DBO5","CSB/BSB5")</f>
        <v>CSB/BSB5</v>
      </c>
      <c r="BM7" s="653" t="str">
        <f>IF(Langue=1,"NH4-N/Ntot","NH4-N/Nges")</f>
        <v>NH4-N/Nges</v>
      </c>
      <c r="BN7" s="653" t="str">
        <f>IF(Langue=1,"Ntot/COT","Nges/TOC")</f>
        <v>Nges/TOC</v>
      </c>
      <c r="BO7" s="653" t="str">
        <f>IF(Langue=1,"Ptot/COT","Pges/TOC")</f>
        <v>Pges/TOC</v>
      </c>
      <c r="BP7" s="654" t="str">
        <f>IF(Langue=1,"DCO/COT","CSB/TOC")</f>
        <v>CSB/TOC</v>
      </c>
      <c r="BQ7" s="653" t="str">
        <f>IF(Langue=1,"Ntot/DCO","Nges/CSB")</f>
        <v>Nges/CSB</v>
      </c>
      <c r="BR7" s="653" t="str">
        <f>IF(Langue=1,"Ptot/DCO","Pges/CSB")</f>
        <v>Pges/CSB</v>
      </c>
      <c r="BS7" s="1034"/>
    </row>
    <row r="8" spans="1:71" ht="25.5" customHeight="1" x14ac:dyDescent="0.2">
      <c r="D8" s="599"/>
      <c r="E8" s="599"/>
      <c r="F8" s="599"/>
      <c r="G8" s="599"/>
      <c r="H8" s="599"/>
      <c r="I8" s="599"/>
      <c r="J8" s="603"/>
      <c r="K8" s="603"/>
      <c r="L8" s="603"/>
      <c r="M8" s="603"/>
      <c r="N8" s="603"/>
      <c r="O8" s="603"/>
      <c r="P8" s="603"/>
      <c r="Q8" s="603"/>
      <c r="R8" s="619" t="s">
        <v>152</v>
      </c>
      <c r="S8" s="616" t="s">
        <v>4</v>
      </c>
      <c r="T8" s="613" t="s">
        <v>3</v>
      </c>
      <c r="U8" s="614" t="s">
        <v>3</v>
      </c>
      <c r="V8" s="614" t="s">
        <v>2</v>
      </c>
      <c r="W8" s="614" t="s">
        <v>2</v>
      </c>
      <c r="X8" s="614" t="s">
        <v>152</v>
      </c>
      <c r="Y8" s="641" t="s">
        <v>4</v>
      </c>
      <c r="Z8" s="617" t="s">
        <v>3</v>
      </c>
      <c r="AA8" s="618" t="s">
        <v>3</v>
      </c>
      <c r="AB8" s="618" t="s">
        <v>2</v>
      </c>
      <c r="AC8" s="618" t="s">
        <v>2</v>
      </c>
      <c r="AD8" s="618" t="s">
        <v>152</v>
      </c>
      <c r="AE8" s="619" t="s">
        <v>4</v>
      </c>
      <c r="AF8" s="620" t="s">
        <v>3</v>
      </c>
      <c r="AG8" s="621" t="s">
        <v>3</v>
      </c>
      <c r="AH8" s="621" t="s">
        <v>2</v>
      </c>
      <c r="AI8" s="621" t="s">
        <v>2</v>
      </c>
      <c r="AJ8" s="621" t="s">
        <v>152</v>
      </c>
      <c r="AK8" s="622" t="s">
        <v>4</v>
      </c>
      <c r="AL8" s="623" t="s">
        <v>3</v>
      </c>
      <c r="AM8" s="624" t="s">
        <v>3</v>
      </c>
      <c r="AN8" s="624" t="s">
        <v>2</v>
      </c>
      <c r="AO8" s="624" t="s">
        <v>2</v>
      </c>
      <c r="AP8" s="624" t="s">
        <v>152</v>
      </c>
      <c r="AQ8" s="627"/>
      <c r="AR8" s="626"/>
      <c r="AS8" s="7"/>
      <c r="AT8" s="655"/>
      <c r="AU8" s="655"/>
      <c r="AV8" s="607"/>
      <c r="AW8" s="607"/>
      <c r="AX8" s="607"/>
      <c r="AY8" s="646"/>
      <c r="AZ8" s="646"/>
      <c r="BA8" s="647"/>
      <c r="BB8" s="647"/>
      <c r="BC8" s="647"/>
      <c r="BD8" s="648"/>
      <c r="BE8" s="632"/>
      <c r="BF8" s="657"/>
      <c r="BG8" s="649"/>
      <c r="BH8" s="649"/>
      <c r="BI8" s="649"/>
      <c r="BJ8" s="649"/>
      <c r="BK8" s="649"/>
      <c r="BL8" s="656"/>
      <c r="BM8" s="656"/>
      <c r="BN8" s="656"/>
      <c r="BO8" s="656"/>
      <c r="BP8" s="656"/>
      <c r="BQ8" s="656"/>
      <c r="BR8" s="656"/>
      <c r="BS8" s="1034"/>
    </row>
    <row r="9" spans="1:71" ht="12.75" customHeight="1" x14ac:dyDescent="0.2">
      <c r="D9" s="600" t="str">
        <f>IF(Langue=1,"DBO5","BSB5")</f>
        <v>BSB5</v>
      </c>
      <c r="E9" s="601" t="str">
        <f>IF(Langue=1,"DCO","CSB")</f>
        <v>CSB</v>
      </c>
      <c r="F9" s="601" t="str">
        <f>IF(Langue=1,"COT","TOC")</f>
        <v>TOC</v>
      </c>
      <c r="G9" s="602" t="s">
        <v>157</v>
      </c>
      <c r="H9" s="602" t="str">
        <f>IF(Langue=1,"Ntot","Nges")</f>
        <v>Nges</v>
      </c>
      <c r="I9" s="602" t="str">
        <f>IF(Langue=1,"Ptot","Pges")</f>
        <v>Pges</v>
      </c>
      <c r="J9" s="604" t="str">
        <f>D9</f>
        <v>BSB5</v>
      </c>
      <c r="K9" s="604" t="str">
        <f>E9</f>
        <v>CSB</v>
      </c>
      <c r="L9" s="604" t="s">
        <v>318</v>
      </c>
      <c r="M9" s="604" t="s">
        <v>157</v>
      </c>
      <c r="N9" s="604" t="s">
        <v>8</v>
      </c>
      <c r="O9" s="604" t="s">
        <v>9</v>
      </c>
      <c r="P9" s="604" t="s">
        <v>319</v>
      </c>
      <c r="Q9" s="604" t="str">
        <f>IF(Langue=1,"SNDT","GUS")</f>
        <v>GUS</v>
      </c>
      <c r="R9" s="605" t="s">
        <v>325</v>
      </c>
      <c r="S9" s="612"/>
      <c r="T9" s="615"/>
      <c r="U9" s="614"/>
      <c r="V9" s="614"/>
      <c r="W9" s="614"/>
      <c r="X9" s="614"/>
      <c r="Y9" s="641"/>
      <c r="Z9" s="642"/>
      <c r="AA9" s="618"/>
      <c r="AB9" s="618"/>
      <c r="AC9" s="618"/>
      <c r="AD9" s="618"/>
      <c r="AE9" s="619"/>
      <c r="AF9" s="643"/>
      <c r="AG9" s="621"/>
      <c r="AH9" s="621"/>
      <c r="AI9" s="621"/>
      <c r="AJ9" s="621"/>
      <c r="AK9" s="622"/>
      <c r="AL9" s="644"/>
      <c r="AM9" s="624"/>
      <c r="AN9" s="624"/>
      <c r="AO9" s="624"/>
      <c r="AP9" s="624"/>
      <c r="AQ9" s="627" t="s">
        <v>326</v>
      </c>
      <c r="AR9" s="627" t="s">
        <v>358</v>
      </c>
      <c r="AS9" s="7"/>
      <c r="AT9" s="655"/>
      <c r="AU9" s="655"/>
      <c r="AV9" s="607"/>
      <c r="AW9" s="607"/>
      <c r="AX9" s="607"/>
      <c r="AY9" s="646"/>
      <c r="AZ9" s="646"/>
      <c r="BA9" s="647"/>
      <c r="BB9" s="647"/>
      <c r="BC9" s="647"/>
      <c r="BD9" s="648"/>
      <c r="BE9" s="632"/>
      <c r="BF9" s="657"/>
      <c r="BG9" s="649"/>
      <c r="BH9" s="649"/>
      <c r="BI9" s="649"/>
      <c r="BJ9" s="649"/>
      <c r="BK9" s="649"/>
      <c r="BL9" s="656"/>
      <c r="BM9" s="656"/>
      <c r="BN9" s="656"/>
      <c r="BO9" s="656"/>
      <c r="BP9" s="656"/>
      <c r="BQ9" s="656"/>
      <c r="BR9" s="656"/>
      <c r="BS9" s="1034"/>
    </row>
    <row r="10" spans="1:71" x14ac:dyDescent="0.2">
      <c r="A10" s="502" t="s">
        <v>316</v>
      </c>
      <c r="B10" s="503" t="s">
        <v>315</v>
      </c>
      <c r="C10" s="504" t="s">
        <v>317</v>
      </c>
      <c r="D10" s="527" t="s">
        <v>333</v>
      </c>
      <c r="E10" s="527" t="s">
        <v>334</v>
      </c>
      <c r="F10" s="527" t="s">
        <v>335</v>
      </c>
      <c r="G10" s="527" t="s">
        <v>336</v>
      </c>
      <c r="H10" s="527" t="s">
        <v>337</v>
      </c>
      <c r="I10" s="527" t="s">
        <v>338</v>
      </c>
      <c r="J10" s="527" t="s">
        <v>346</v>
      </c>
      <c r="K10" s="527" t="s">
        <v>347</v>
      </c>
      <c r="L10" s="527" t="s">
        <v>682</v>
      </c>
      <c r="M10" s="527" t="s">
        <v>349</v>
      </c>
      <c r="N10" s="527" t="s">
        <v>350</v>
      </c>
      <c r="O10" s="527" t="s">
        <v>351</v>
      </c>
      <c r="P10" s="527" t="s">
        <v>352</v>
      </c>
      <c r="Q10" s="527" t="s">
        <v>353</v>
      </c>
      <c r="AQ10" s="627"/>
      <c r="AR10" s="626"/>
      <c r="AS10" s="7"/>
      <c r="AT10" s="655"/>
      <c r="AU10" s="655"/>
      <c r="AV10" s="607" t="s">
        <v>152</v>
      </c>
      <c r="AW10" s="607" t="s">
        <v>2</v>
      </c>
      <c r="AX10" s="607" t="s">
        <v>2</v>
      </c>
      <c r="AY10" s="646" t="s">
        <v>332</v>
      </c>
      <c r="AZ10" s="646"/>
      <c r="BA10" s="646" t="s">
        <v>332</v>
      </c>
      <c r="BB10" s="646" t="s">
        <v>332</v>
      </c>
      <c r="BC10" s="646" t="s">
        <v>332</v>
      </c>
      <c r="BD10" s="648"/>
      <c r="BE10" s="632"/>
      <c r="BF10" s="657"/>
      <c r="BG10" s="649"/>
      <c r="BH10" s="649"/>
      <c r="BI10" s="649"/>
      <c r="BJ10" s="649"/>
      <c r="BK10" s="649"/>
      <c r="BL10" s="656"/>
      <c r="BM10" s="656"/>
      <c r="BN10" s="656"/>
      <c r="BO10" s="656"/>
      <c r="BP10" s="656"/>
      <c r="BQ10" s="656"/>
      <c r="BR10" s="656"/>
      <c r="BS10" s="748"/>
    </row>
    <row r="11" spans="1:71" x14ac:dyDescent="0.2">
      <c r="A11" s="222">
        <f>données_step[[#This Row],[Datum]]</f>
        <v>44562</v>
      </c>
      <c r="B11" s="223"/>
      <c r="C11" s="224">
        <f>WEEKDAY(A11)</f>
        <v>7</v>
      </c>
      <c r="D11" s="523" t="str">
        <f>IF(OR(données_step[[#This Row],[E_DBO5]]&lt;=0,données_step[[#This Row],[E_DBO5]]=""),"",données_step[[#This Row],[D_QTRAI]]*données_step[[#This Row],[E_DBO5]]/1000)</f>
        <v/>
      </c>
      <c r="E11" s="523" t="str">
        <f>IF(OR(données_step[[#This Row],[E_DCO]]&lt;=0,données_step[[#This Row],[E_DCO]]=""),"",données_step[[#This Row],[D_QTRAI]]*données_step[[#This Row],[E_DCO]]/1000)</f>
        <v/>
      </c>
      <c r="F11" s="523" t="str">
        <f>IF(OR(données_step[[#This Row],[E_COT]]&lt;=0,données_step[[#This Row],[E_COT]]=""),"",données_step[[#This Row],[D_QTRAI]]*données_step[[#This Row],[E_COT]]/1000)</f>
        <v/>
      </c>
      <c r="G11" s="523" t="str">
        <f>IF(OR(données_step[[#This Row],[E_NH4]]&lt;=0,données_step[[#This Row],[E_NH4]]=""),"",données_step[[#This Row],[D_QTRAI]]*données_step[[#This Row],[E_NH4]]/1000)</f>
        <v/>
      </c>
      <c r="H11" s="523" t="str">
        <f>IF(OR(données_step[[#This Row],[E_NTOT]]&lt;=0,données_step[[#This Row],[E_NTOT]]=""),"",données_step[[#This Row],[D_QTRAI]]*données_step[[#This Row],[E_NTOT]]/1000)</f>
        <v/>
      </c>
      <c r="I11" s="523" t="str">
        <f>IF(OR(données_step[[#This Row],[E_NTOT]]&lt;=0,données_step[[#This Row],[E_NTOT]]=""),"",données_step[[#This Row],[D_QTRAI]]*données_step[[#This Row],[E_PTOT]]/1000)</f>
        <v/>
      </c>
      <c r="J11" s="523" t="str">
        <f>IF(OR(données_step[[#This Row],[S_DBO5]]&lt;=0,données_step[[#This Row],[S_DBO5]]=""),"",données_step[[#This Row],[D_QTRAI]]*données_step[[#This Row],[S_DBO5]]/1000)</f>
        <v/>
      </c>
      <c r="K11" s="523" t="str">
        <f>IF(OR(données_step[[#This Row],[S_DCO]]&lt;=0,données_step[[#This Row],[S_DCO]]=""),"",données_step[[#This Row],[D_QTRAI]]*données_step[[#This Row],[S_DCO]]/1000)</f>
        <v/>
      </c>
      <c r="L11" s="523" t="str">
        <f>IF(OR(données_step[[#This Row],[S_COD]]&lt;=0,données_step[[#This Row],[S_COD]]=""),"",données_step[[#This Row],[D_QTRAI]]*données_step[[#This Row],[S_COD]]/1000)</f>
        <v/>
      </c>
      <c r="M11" s="523" t="str">
        <f>IF(OR(données_step[[#This Row],[S_NH4]]&lt;=0,données_step[[#This Row],[S_NH4]]=""),"",données_step[[#This Row],[D_QTRAI]]*données_step[[#This Row],[S_NH4]]/1000)</f>
        <v/>
      </c>
      <c r="N11" s="523" t="str">
        <f>IF(OR(données_step[[#This Row],[S_NO2]]&lt;=0,données_step[[#This Row],[S_NO2]]=""),"",données_step[[#This Row],[D_QTRAI]]*données_step[[#This Row],[S_NO2]]/1000)</f>
        <v/>
      </c>
      <c r="O11" s="523" t="str">
        <f>IF(OR(données_step[[#This Row],[S_NO3]]&lt;=0,données_step[[#This Row],[S_NO3]]=""),"",données_step[[#This Row],[D_QTRAI]]*données_step[[#This Row],[S_NO3]]/1000)</f>
        <v/>
      </c>
      <c r="P11" s="523" t="str">
        <f>IF(OR(données_step[[#This Row],[S_PTOT]]&lt;=0,données_step[[#This Row],[S_PTOT]]=""),"",données_step[[#This Row],[D_QTRAI]]*données_step[[#This Row],[S_PTOT]]/1000)</f>
        <v/>
      </c>
      <c r="Q11" s="523" t="str">
        <f>IF(OR(données_step[[#This Row],[S_MES]]&lt;=0,données_step[[#This Row],[S_MES]]=""),"",données_step[[#This Row],[D_QTRAI]]*données_step[[#This Row],[S_MES]]/1000)</f>
        <v/>
      </c>
      <c r="R11" s="523">
        <f>MAX(données_step[[#This Row],[D_QTRAI]],données_step[[#This Row],[D_QTRAI2]])</f>
        <v>0</v>
      </c>
      <c r="S11" s="523" t="str">
        <f>IF(AND($R11&gt;0,données_step[[#This Row],[E_DCO]]&gt;0),données_step[[#This Row],[E_DCO]],"")</f>
        <v/>
      </c>
      <c r="T11" s="523" t="str">
        <f>IF(S11="","",(1-données_step[[#This Row],[E_DCO]]/$V$7)*100)</f>
        <v/>
      </c>
      <c r="U11" s="523" t="str">
        <f>IF(OR(T11="",T11&lt;0),"",T11)</f>
        <v/>
      </c>
      <c r="V11" s="523" t="str">
        <f>IF(T11="","",T11*$R11/8640)</f>
        <v/>
      </c>
      <c r="W11" s="523" t="str">
        <f>V11</f>
        <v/>
      </c>
      <c r="X11" s="523" t="e">
        <f>IF(((100-100/$V$7*données_step[[#This Row],[E_DCO]])/100*QTS)&lt;0,NA(),IF(OR(U11&lt;0,U11=""),NA(),((100-100/$V$7*données_step[[#This Row],[E_DCO]])/100*QTS)))</f>
        <v>#NUM!</v>
      </c>
      <c r="Y11" s="523" t="str">
        <f>IF(AND($R11&gt;0,données_step[[#This Row],[E_COT]]&gt;0),données_step[[#This Row],[E_COT]],"")</f>
        <v/>
      </c>
      <c r="Z11" s="523" t="str">
        <f>IF(Y11="","",(1-données_step[[#This Row],[E_COT]]/$AB$7)*100)</f>
        <v/>
      </c>
      <c r="AA11" s="523" t="str">
        <f>IF(OR(Z11="",Z11&lt;0),"",Z11)</f>
        <v/>
      </c>
      <c r="AB11" s="523" t="str">
        <f>IF(Z11="","",Z11*$R11/8640)</f>
        <v/>
      </c>
      <c r="AC11" s="523" t="str">
        <f>AB11</f>
        <v/>
      </c>
      <c r="AD11" s="523" t="e">
        <f>IF(((100-100/$AB$7*données_step[[#This Row],[E_COT]])/100*QTS)&lt;0,NA(),IF(OR(AA11&lt;0,AA11=""),NA(),((100-100/$AB$7*données_step[[#This Row],[E_COT]])/100*QTS)))</f>
        <v>#NUM!</v>
      </c>
      <c r="AE11" s="523" t="str">
        <f>IF(AND($R11&gt;0,données_step[[#This Row],[E_NH4]]&gt;0),données_step[[#This Row],[E_NH4]],"")</f>
        <v/>
      </c>
      <c r="AF11" s="523" t="str">
        <f>IF(AE11="","",(1-données_step[[#This Row],[E_NH4]]/$AH$7)*100)</f>
        <v/>
      </c>
      <c r="AG11" s="523" t="str">
        <f>IF(OR(AF11="",AF11&lt;0),"",AF11)</f>
        <v/>
      </c>
      <c r="AH11" s="523" t="str">
        <f>IF(AF11="","",AF11*$R11/8640)</f>
        <v/>
      </c>
      <c r="AI11" s="523" t="str">
        <f>AH11</f>
        <v/>
      </c>
      <c r="AJ11" s="523" t="e">
        <f>IF(((100-100/$AH$7*données_step[[#This Row],[E_NH4]])/100*QTS)&lt;0,NA(),IF(OR(AG11&lt;0,AG11=""),NA(),((100-100/$AH$7*données_step[[#This Row],[E_NH4]])/100*QTS)))</f>
        <v>#NUM!</v>
      </c>
      <c r="AK11" s="523" t="str">
        <f>IF(AND($R11&gt;0,données_step[[#This Row],[E_PTOT]]&gt;0),données_step[[#This Row],[E_PTOT]],"")</f>
        <v/>
      </c>
      <c r="AL11" s="523" t="str">
        <f>IF(AK11="","",(1-données_step[[#This Row],[E_PTOT]]/$AN$7)*100)</f>
        <v/>
      </c>
      <c r="AM11" s="523" t="str">
        <f>IF(OR(AL11="",AL11&lt;0),"",AL11)</f>
        <v/>
      </c>
      <c r="AN11" s="523" t="str">
        <f>IF(AL11="","",AL11*$R11/8640)</f>
        <v/>
      </c>
      <c r="AO11" s="523" t="str">
        <f>AN11</f>
        <v/>
      </c>
      <c r="AP11" s="523" t="e">
        <f>IF(((100-100/$AN$7*données_step[[#This Row],[E_PTOT]])/100*QTS)&lt;0,NA(),IF(OR(AM11&lt;0,AM11=""),NA(),((100-100/$AN$7*données_step[[#This Row],[E_PTOT]])/100*QTS)))</f>
        <v>#NUM!</v>
      </c>
      <c r="AQ11" s="524" t="e">
        <f>_xlfn.IFNA(AVERAGE(X11,AD11,AJ11,AP11),"")</f>
        <v>#NUM!</v>
      </c>
      <c r="AR11" s="524" t="str">
        <f>IFERROR(AVERAGE(U11,AA11,AG11,AM11),"")</f>
        <v/>
      </c>
      <c r="AT11" s="501">
        <v>0</v>
      </c>
      <c r="AU11" s="501">
        <v>0</v>
      </c>
      <c r="AV11" s="525" t="e">
        <f>PERCENTILE(analyses!$F$11:$F$375,$AT11)</f>
        <v>#NUM!</v>
      </c>
      <c r="AW11" s="7" t="e">
        <f>PERCENTILE(analyses!$I$11:$I$375,$AT11)</f>
        <v>#NUM!</v>
      </c>
      <c r="AX11" s="7" t="e">
        <f>PERCENTILE(analyses!$J$11:$J$375,$AT11)</f>
        <v>#NUM!</v>
      </c>
      <c r="AY11" s="523" t="str">
        <f>_xlfn.IFNA(IF(données_step[[#This Row],[E_DCO]]&lt;=0,NA(),charge_entree[[#This Row],[ch_E_DCO]]/constanten!$B$8*1000),"")</f>
        <v/>
      </c>
      <c r="AZ11" s="523" t="str">
        <f>_xlfn.IFNA(IF(données_step[[#This Row],[E_NTOT]]&lt;=0,NA(),charge_entree[[#This Row],[ch_E_NTOT]]/constanten!$B$10*1000),"")</f>
        <v/>
      </c>
      <c r="BA11" s="523" t="str">
        <f>_xlfn.IFNA(IF(données_step[[#This Row],[E_NH4]]&lt;=0,NA(),charge_entree[[#This Row],[ch_E_NH4]]/constanten!$B$12*1000),"")</f>
        <v/>
      </c>
      <c r="BB11" s="523" t="str">
        <f>_xlfn.IFNA(IF(données_step[[#This Row],[E_COT]]&lt;=0,NA(),charge_entree[[#This Row],[ch_E_COT]]/constanten!$B$9*1000),"")</f>
        <v/>
      </c>
      <c r="BC11" s="523" t="str">
        <f>IFERROR(_xlfn.IFNA(IF(données_step[[#This Row],[E_PTOT]]&lt;=0,NA(),charge_entree[[#This Row],[ch_E_PTOT]]/constanten!$B$15*1000),""),"")</f>
        <v/>
      </c>
      <c r="BD11" s="535" t="e">
        <f>calculs!E11 * (1-0.4) / (données_step[[#This Row],[X_BA_VOL]]*données_step[[#This Row],[X_BACONC]])</f>
        <v>#VALUE!</v>
      </c>
      <c r="BE11" s="522" t="e">
        <f>(données_step[[#This Row],[X_BA_VOL]]*données_step[[#This Row],[X_BACONC]])/((données_step[[#This Row],[D_QTRAI2]]*données_step[[#This Row],[S_MES]]/1000)+(données_step[[#This Row],[X_BX_Q]]*données_step[[#This Row],[X_BXCONC]]))</f>
        <v>#VALUE!</v>
      </c>
      <c r="BF11" s="890" t="str">
        <f>IFERROR(données_step[[#This Row],[D_QTRAI]]/AY11*1000,"")</f>
        <v/>
      </c>
      <c r="BG11" s="535" t="str">
        <f>IFERROR(1-données_step[[#This Row],[S_DBO5]]/données_step[[#This Row],[E_DBO5]],"")</f>
        <v/>
      </c>
      <c r="BH11" s="536" t="str">
        <f>IFERROR(1-données_step[[#This Row],[S_DCO]]/données_step[[#This Row],[E_DCO]],"")</f>
        <v/>
      </c>
      <c r="BI11" s="535" t="str">
        <f>IFERROR(1-données_step[[#This Row],[S_COD]]/données_step[[#This Row],[E_COT]],"")</f>
        <v/>
      </c>
      <c r="BJ11" s="535" t="str">
        <f>IFERROR(1-données_step[[#This Row],[S_NH4]]/données_step[[#This Row],[E_NTOT]],"")</f>
        <v/>
      </c>
      <c r="BK11" s="535" t="str">
        <f>IFERROR(1-données_step[[#This Row],[S_PTOT]]/données_step[[#This Row],[E_PTOT]],"")</f>
        <v/>
      </c>
      <c r="BL11" s="521" t="str">
        <f>IFERROR(IF(données_step[[#This Row],[E_DCO]]/données_step[[#This Row],[E_DBO5]]=0,NA(),données_step[[#This Row],[E_DCO]]/données_step[[#This Row],[E_DBO5]]),"")</f>
        <v/>
      </c>
      <c r="BM11" s="521" t="str">
        <f>IFERROR(IF(données_step[[#This Row],[E_NH4]]/données_step[[#This Row],[E_NTOT]]=0,NA(),données_step[[#This Row],[E_NH4]]/données_step[[#This Row],[E_NTOT]]),"")</f>
        <v/>
      </c>
      <c r="BN11" s="521" t="str">
        <f>IFERROR(IF(données_step[[#This Row],[E_NTOT]]/données_step[[#This Row],[E_COT]]=0,NA(),données_step[[#This Row],[E_NTOT]]/données_step[[#This Row],[E_COT]]),"")</f>
        <v/>
      </c>
      <c r="BO11" s="521" t="str">
        <f>IFERROR(IF(données_step[[#This Row],[E_PTOT]]/données_step[[#This Row],[E_COT]]=0,NA(),données_step[[#This Row],[E_PTOT]]/données_step[[#This Row],[E_COT]]),"")</f>
        <v/>
      </c>
      <c r="BP11" s="521" t="e">
        <f>IF(données_step[[#This Row],[E_DCO]]/données_step[[#This Row],[E_COT]]=0,NA(),données_step[[#This Row],[E_DCO]]/données_step[[#This Row],[E_COT]])</f>
        <v>#DIV/0!</v>
      </c>
      <c r="BQ11" s="521" t="e">
        <f>IF(données_step[[#This Row],[E_NTOT]]/données_step[[#This Row],[E_DCO]]=0,NA(),données_step[[#This Row],[E_NTOT]]/données_step[[#This Row],[E_DCO]])</f>
        <v>#DIV/0!</v>
      </c>
      <c r="BR11" s="521" t="e">
        <f>IF(données_step[[#This Row],[E_PTOT]]/données_step[[#This Row],[E_DCO]]=0,NA(),données_step[[#This Row],[E_PTOT]]/données_step[[#This Row],[E_DCO]])</f>
        <v>#DIV/0!</v>
      </c>
      <c r="BS11" t="e">
        <f ca="1">test_NH4_temp(données_step[[#This Row],[S_NH4]],données_step[[#This Row],[Temp_eaux]])</f>
        <v>#NAME?</v>
      </c>
    </row>
    <row r="12" spans="1:71" x14ac:dyDescent="0.2">
      <c r="A12" s="222">
        <f>données_step[[#This Row],[Datum]]</f>
        <v>44563</v>
      </c>
      <c r="B12" s="223"/>
      <c r="C12" s="224">
        <f t="shared" ref="C12:C75" si="0">WEEKDAY(A12)</f>
        <v>1</v>
      </c>
      <c r="D12" s="523" t="str">
        <f>IF(OR(données_step[[#This Row],[E_DBO5]]&lt;=0,données_step[[#This Row],[E_DBO5]]=""),"",données_step[[#This Row],[D_QTRAI]]*données_step[[#This Row],[E_DBO5]]/1000)</f>
        <v/>
      </c>
      <c r="E12" s="523" t="str">
        <f>IF(OR(données_step[[#This Row],[E_DCO]]&lt;=0,données_step[[#This Row],[E_DCO]]=""),"",données_step[[#This Row],[D_QTRAI]]*données_step[[#This Row],[E_DCO]]/1000)</f>
        <v/>
      </c>
      <c r="F12" s="523" t="str">
        <f>IF(OR(données_step[[#This Row],[E_COT]]&lt;=0,données_step[[#This Row],[E_COT]]=""),"",données_step[[#This Row],[D_QTRAI]]*données_step[[#This Row],[E_COT]]/1000)</f>
        <v/>
      </c>
      <c r="G12" s="523" t="str">
        <f>IF(OR(données_step[[#This Row],[E_NH4]]&lt;=0,données_step[[#This Row],[E_NH4]]=""),"",données_step[[#This Row],[D_QTRAI]]*données_step[[#This Row],[E_NH4]]/1000)</f>
        <v/>
      </c>
      <c r="H12" s="523" t="str">
        <f>IF(OR(données_step[[#This Row],[E_NTOT]]&lt;=0,données_step[[#This Row],[E_NTOT]]=""),"",données_step[[#This Row],[D_QTRAI]]*données_step[[#This Row],[E_NTOT]]/1000)</f>
        <v/>
      </c>
      <c r="I12" s="523" t="str">
        <f>IF(OR(données_step[[#This Row],[E_NTOT]]&lt;=0,données_step[[#This Row],[E_NTOT]]=""),"",données_step[[#This Row],[D_QTRAI]]*données_step[[#This Row],[E_PTOT]]/1000)</f>
        <v/>
      </c>
      <c r="J12" s="523" t="str">
        <f>IF(OR(données_step[[#This Row],[S_DBO5]]&lt;=0,données_step[[#This Row],[S_DBO5]]=""),"",données_step[[#This Row],[D_QTRAI]]*données_step[[#This Row],[S_DBO5]]/1000)</f>
        <v/>
      </c>
      <c r="K12" s="523" t="str">
        <f>IF(OR(données_step[[#This Row],[S_DCO]]&lt;=0,données_step[[#This Row],[S_DCO]]=""),"",données_step[[#This Row],[D_QTRAI]]*données_step[[#This Row],[S_DCO]]/1000)</f>
        <v/>
      </c>
      <c r="L12" s="523" t="str">
        <f>IF(OR(données_step[[#This Row],[S_COD]]&lt;=0,données_step[[#This Row],[S_COD]]=""),"",données_step[[#This Row],[D_QTRAI]]*données_step[[#This Row],[S_COD]]/1000)</f>
        <v/>
      </c>
      <c r="M12" s="523" t="str">
        <f>IF(OR(données_step[[#This Row],[S_NH4]]&lt;=0,données_step[[#This Row],[S_NH4]]=""),"",données_step[[#This Row],[D_QTRAI]]*données_step[[#This Row],[S_NH4]]/1000)</f>
        <v/>
      </c>
      <c r="N12" s="523" t="str">
        <f>IF(OR(données_step[[#This Row],[S_NO2]]&lt;=0,données_step[[#This Row],[S_NO2]]=""),"",données_step[[#This Row],[D_QTRAI]]*données_step[[#This Row],[S_NO2]]/1000)</f>
        <v/>
      </c>
      <c r="O12" s="523" t="str">
        <f>IF(OR(données_step[[#This Row],[S_NO3]]&lt;=0,données_step[[#This Row],[S_NO3]]=""),"",données_step[[#This Row],[D_QTRAI]]*données_step[[#This Row],[S_NO3]]/1000)</f>
        <v/>
      </c>
      <c r="P12" s="523" t="str">
        <f>IF(OR(données_step[[#This Row],[S_PTOT]]&lt;=0,données_step[[#This Row],[S_PTOT]]=""),"",données_step[[#This Row],[D_QTRAI]]*données_step[[#This Row],[S_PTOT]]/1000)</f>
        <v/>
      </c>
      <c r="Q12" s="523" t="str">
        <f>IF(OR(données_step[[#This Row],[S_MES]]&lt;=0,données_step[[#This Row],[S_MES]]=""),"",données_step[[#This Row],[D_QTRAI]]*données_step[[#This Row],[S_MES]]/1000)</f>
        <v/>
      </c>
      <c r="R12" s="523">
        <f>MAX(données_step[[#This Row],[D_QTRAI]],données_step[[#This Row],[D_QTRAI2]])</f>
        <v>0</v>
      </c>
      <c r="S12" s="523" t="str">
        <f>IF(AND($R12&gt;0,données_step[[#This Row],[E_DCO]]&gt;0),données_step[[#This Row],[E_DCO]],"")</f>
        <v/>
      </c>
      <c r="T12" s="523" t="str">
        <f>IF(S12="","",(1-données_step[[#This Row],[E_DCO]]/$V$7)*100)</f>
        <v/>
      </c>
      <c r="U12" s="523" t="str">
        <f t="shared" ref="U12:U75" si="1">IF(OR(T12="",T12&lt;0),"",T12)</f>
        <v/>
      </c>
      <c r="V12" s="523" t="str">
        <f t="shared" ref="V12:V75" si="2">IF(T12="","",T12*$R12/8640)</f>
        <v/>
      </c>
      <c r="W12" s="523" t="str">
        <f t="shared" ref="W12:W75" si="3">V12</f>
        <v/>
      </c>
      <c r="X12" s="523" t="e">
        <f>IF(((100-100/$V$7*données_step[[#This Row],[E_DCO]])/100*QTS)&lt;0,NA(),IF(OR(U12&lt;0,U12=""),NA(),((100-100/$V$7*données_step[[#This Row],[E_DCO]])/100*QTS)))</f>
        <v>#NUM!</v>
      </c>
      <c r="Y12" s="523" t="str">
        <f>IF(AND($R12&gt;0,données_step[[#This Row],[E_COT]]&gt;0),données_step[[#This Row],[E_COT]],"")</f>
        <v/>
      </c>
      <c r="Z12" s="523" t="str">
        <f>IF(Y12="","",(1-données_step[[#This Row],[E_COT]]/$AB$7)*100)</f>
        <v/>
      </c>
      <c r="AA12" s="523" t="str">
        <f t="shared" ref="AA12:AA75" si="4">IF(OR(Z12="",Z12&lt;0),"",Z12)</f>
        <v/>
      </c>
      <c r="AB12" s="523" t="str">
        <f t="shared" ref="AB12:AB75" si="5">IF(Z12="","",Z12*$R12/8640)</f>
        <v/>
      </c>
      <c r="AC12" s="523" t="str">
        <f t="shared" ref="AC12:AC75" si="6">AB12</f>
        <v/>
      </c>
      <c r="AD12" s="523" t="e">
        <f>IF(((100-100/$AB$7*données_step[[#This Row],[E_COT]])/100*QTS)&lt;0,NA(),IF(OR(AA12&lt;0,AA12=""),NA(),((100-100/$AB$7*données_step[[#This Row],[E_COT]])/100*QTS)))</f>
        <v>#NUM!</v>
      </c>
      <c r="AE12" s="523" t="str">
        <f>IF(AND($R12&gt;0,données_step[[#This Row],[E_NH4]]&gt;0),données_step[[#This Row],[E_NH4]],"")</f>
        <v/>
      </c>
      <c r="AF12" s="523" t="str">
        <f>IF(AE12="","",(1-données_step[[#This Row],[E_NH4]]/$AH$7)*100)</f>
        <v/>
      </c>
      <c r="AG12" s="523" t="str">
        <f t="shared" ref="AG12:AG75" si="7">IF(OR(AF12="",AF12&lt;0),"",AF12)</f>
        <v/>
      </c>
      <c r="AH12" s="523" t="str">
        <f t="shared" ref="AH12:AH75" si="8">IF(AF12="","",AF12*$R12/8640)</f>
        <v/>
      </c>
      <c r="AI12" s="523" t="str">
        <f t="shared" ref="AI12:AI75" si="9">AH12</f>
        <v/>
      </c>
      <c r="AJ12" s="523" t="e">
        <f>IF(((100-100/$AH$7*données_step[[#This Row],[E_NH4]])/100*QTS)&lt;0,NA(),IF(OR(AG12&lt;0,AG12=""),NA(),((100-100/$AH$7*données_step[[#This Row],[E_NH4]])/100*QTS)))</f>
        <v>#NUM!</v>
      </c>
      <c r="AK12" s="523" t="str">
        <f>IF(AND($R12&gt;0,données_step[[#This Row],[E_PTOT]]&gt;0),données_step[[#This Row],[E_PTOT]],"")</f>
        <v/>
      </c>
      <c r="AL12" s="523" t="str">
        <f>IF(AK12="","",(1-données_step[[#This Row],[E_PTOT]]/$AN$7)*100)</f>
        <v/>
      </c>
      <c r="AM12" s="523" t="str">
        <f t="shared" ref="AM12:AM75" si="10">IF(OR(AL12="",AL12&lt;0),"",AL12)</f>
        <v/>
      </c>
      <c r="AN12" s="523" t="str">
        <f t="shared" ref="AN12:AN75" si="11">IF(AL12="","",AL12*$R12/8640)</f>
        <v/>
      </c>
      <c r="AO12" s="523" t="str">
        <f t="shared" ref="AO12:AO75" si="12">AN12</f>
        <v/>
      </c>
      <c r="AP12" s="523" t="e">
        <f>IF(((100-100/$AN$7*données_step[[#This Row],[E_PTOT]])/100*QTS)&lt;0,NA(),IF(OR(AM12&lt;0,AM12=""),NA(),((100-100/$AN$7*données_step[[#This Row],[E_PTOT]])/100*QTS)))</f>
        <v>#NUM!</v>
      </c>
      <c r="AQ12" s="524" t="e">
        <f t="shared" ref="AQ12:AQ75" si="13">_xlfn.IFNA(AVERAGE(X12,AD12,AJ12,AP12),"")</f>
        <v>#NUM!</v>
      </c>
      <c r="AR12" s="524" t="str">
        <f t="shared" ref="AR12:AR75" si="14">IFERROR(AVERAGE(U12,AA12,AG12,AM12),"")</f>
        <v/>
      </c>
      <c r="AT12" s="517">
        <f t="shared" ref="AT12:AT75" si="15">AU12/100</f>
        <v>0.01</v>
      </c>
      <c r="AU12" s="501">
        <v>1</v>
      </c>
      <c r="AV12" s="525" t="e">
        <f>PERCENTILE(analyses!$F$11:$F$375,$AT12)</f>
        <v>#NUM!</v>
      </c>
      <c r="AW12" s="7" t="e">
        <f>PERCENTILE(analyses!$I$11:$I$375,$AT12)</f>
        <v>#NUM!</v>
      </c>
      <c r="AX12" s="7" t="e">
        <f>PERCENTILE(analyses!$J$11:$J$375,$AT12)</f>
        <v>#NUM!</v>
      </c>
      <c r="AY12" s="523" t="str">
        <f>_xlfn.IFNA(IF(données_step[[#This Row],[E_DCO]]&lt;=0,NA(),charge_entree[[#This Row],[ch_E_DCO]]/constanten!$B$8*1000),"")</f>
        <v/>
      </c>
      <c r="AZ12" s="523" t="str">
        <f>_xlfn.IFNA(IF(données_step[[#This Row],[E_NTOT]]&lt;=0,NA(),charge_entree[[#This Row],[ch_E_NTOT]]/constanten!$B$10*1000),"")</f>
        <v/>
      </c>
      <c r="BA12" s="523" t="str">
        <f>_xlfn.IFNA(IF(données_step[[#This Row],[E_NH4]]&lt;=0,NA(),charge_entree[[#This Row],[ch_E_NH4]]/constanten!$B$12*1000),"")</f>
        <v/>
      </c>
      <c r="BB12" s="523" t="str">
        <f>_xlfn.IFNA(IF(données_step[[#This Row],[E_COT]]&lt;=0,NA(),charge_entree[[#This Row],[ch_E_COT]]/constanten!$B$9*1000),"")</f>
        <v/>
      </c>
      <c r="BC12" s="523" t="str">
        <f>IFERROR(_xlfn.IFNA(IF(données_step[[#This Row],[E_PTOT]]&lt;=0,NA(),charge_entree[[#This Row],[ch_E_PTOT]]/constanten!$B$15*1000),""),"")</f>
        <v/>
      </c>
      <c r="BD12" s="535" t="e">
        <f>calculs!E12 * (1-0.4) / (données_step[[#This Row],[X_BA_VOL]]*données_step[[#This Row],[X_BACONC]])</f>
        <v>#VALUE!</v>
      </c>
      <c r="BE12" s="522" t="e">
        <f>(données_step[[#This Row],[X_BA_VOL]]*données_step[[#This Row],[X_BACONC]])/((données_step[[#This Row],[D_QTRAI2]]*données_step[[#This Row],[S_MES]]/1000)+(données_step[[#This Row],[X_BX_Q]]*données_step[[#This Row],[X_BXCONC]]))</f>
        <v>#VALUE!</v>
      </c>
      <c r="BF12" s="890" t="str">
        <f>IFERROR(données_step[[#This Row],[D_QTRAI]]/AY12*1000,"")</f>
        <v/>
      </c>
      <c r="BG12" s="535" t="str">
        <f>IFERROR(1-données_step[[#This Row],[S_DBO5]]/données_step[[#This Row],[E_DBO5]],"")</f>
        <v/>
      </c>
      <c r="BH12" s="536" t="str">
        <f>IFERROR(1-données_step[[#This Row],[S_DCO]]/données_step[[#This Row],[E_DCO]],"")</f>
        <v/>
      </c>
      <c r="BI12" s="535" t="str">
        <f>IFERROR(1-données_step[[#This Row],[S_COD]]/données_step[[#This Row],[E_COT]],"")</f>
        <v/>
      </c>
      <c r="BJ12" s="535" t="str">
        <f>IFERROR(1-données_step[[#This Row],[S_NH4]]/données_step[[#This Row],[E_NTOT]],"")</f>
        <v/>
      </c>
      <c r="BK12" s="535" t="str">
        <f>IFERROR(1-données_step[[#This Row],[S_PTOT]]/données_step[[#This Row],[E_PTOT]],"")</f>
        <v/>
      </c>
      <c r="BL12" s="521" t="str">
        <f>IFERROR(IF(données_step[[#This Row],[E_DCO]]/données_step[[#This Row],[E_DBO5]]=0,NA(),données_step[[#This Row],[E_DCO]]/données_step[[#This Row],[E_DBO5]]),"")</f>
        <v/>
      </c>
      <c r="BM12" s="521" t="str">
        <f>IFERROR(IF(données_step[[#This Row],[E_NH4]]/données_step[[#This Row],[E_NTOT]]=0,NA(),données_step[[#This Row],[E_NH4]]/données_step[[#This Row],[E_NTOT]]),"")</f>
        <v/>
      </c>
      <c r="BN12" s="521" t="str">
        <f>IFERROR(IF(données_step[[#This Row],[E_NTOT]]/données_step[[#This Row],[E_COT]]=0,NA(),données_step[[#This Row],[E_NTOT]]/données_step[[#This Row],[E_COT]]),"")</f>
        <v/>
      </c>
      <c r="BO12" s="521" t="str">
        <f>IFERROR(IF(données_step[[#This Row],[E_PTOT]]/données_step[[#This Row],[E_COT]]=0,NA(),données_step[[#This Row],[E_PTOT]]/données_step[[#This Row],[E_COT]]),"")</f>
        <v/>
      </c>
      <c r="BP12" s="521" t="e">
        <f>IF(données_step[[#This Row],[E_DCO]]/données_step[[#This Row],[E_COT]]=0,NA(),données_step[[#This Row],[E_DCO]]/données_step[[#This Row],[E_COT]])</f>
        <v>#DIV/0!</v>
      </c>
      <c r="BQ12" s="521" t="e">
        <f>IF(données_step[[#This Row],[E_NTOT]]/données_step[[#This Row],[E_DCO]]=0,NA(),données_step[[#This Row],[E_NTOT]]/données_step[[#This Row],[E_DCO]])</f>
        <v>#DIV/0!</v>
      </c>
      <c r="BR12" s="521" t="e">
        <f>IF(données_step[[#This Row],[E_PTOT]]/données_step[[#This Row],[E_DCO]]=0,NA(),données_step[[#This Row],[E_PTOT]]/données_step[[#This Row],[E_DCO]])</f>
        <v>#DIV/0!</v>
      </c>
      <c r="BS12" s="747" t="e">
        <f ca="1">test_NH4_temp(données_step[[#This Row],[S_NH4]],données_step[[#This Row],[Temp_eaux]])</f>
        <v>#NAME?</v>
      </c>
    </row>
    <row r="13" spans="1:71" x14ac:dyDescent="0.2">
      <c r="A13" s="222">
        <f>données_step[[#This Row],[Datum]]</f>
        <v>44564</v>
      </c>
      <c r="B13" s="223"/>
      <c r="C13" s="224">
        <f t="shared" si="0"/>
        <v>2</v>
      </c>
      <c r="D13" s="523" t="str">
        <f>IF(OR(données_step[[#This Row],[E_DBO5]]&lt;=0,données_step[[#This Row],[E_DBO5]]=""),"",données_step[[#This Row],[D_QTRAI]]*données_step[[#This Row],[E_DBO5]]/1000)</f>
        <v/>
      </c>
      <c r="E13" s="523" t="str">
        <f>IF(OR(données_step[[#This Row],[E_DCO]]&lt;=0,données_step[[#This Row],[E_DCO]]=""),"",données_step[[#This Row],[D_QTRAI]]*données_step[[#This Row],[E_DCO]]/1000)</f>
        <v/>
      </c>
      <c r="F13" s="523" t="str">
        <f>IF(OR(données_step[[#This Row],[E_COT]]&lt;=0,données_step[[#This Row],[E_COT]]=""),"",données_step[[#This Row],[D_QTRAI]]*données_step[[#This Row],[E_COT]]/1000)</f>
        <v/>
      </c>
      <c r="G13" s="523" t="str">
        <f>IF(OR(données_step[[#This Row],[E_NH4]]&lt;=0,données_step[[#This Row],[E_NH4]]=""),"",données_step[[#This Row],[D_QTRAI]]*données_step[[#This Row],[E_NH4]]/1000)</f>
        <v/>
      </c>
      <c r="H13" s="523" t="str">
        <f>IF(OR(données_step[[#This Row],[E_NTOT]]&lt;=0,données_step[[#This Row],[E_NTOT]]=""),"",données_step[[#This Row],[D_QTRAI]]*données_step[[#This Row],[E_NTOT]]/1000)</f>
        <v/>
      </c>
      <c r="I13" s="523" t="str">
        <f>IF(OR(données_step[[#This Row],[E_NTOT]]&lt;=0,données_step[[#This Row],[E_NTOT]]=""),"",données_step[[#This Row],[D_QTRAI]]*données_step[[#This Row],[E_PTOT]]/1000)</f>
        <v/>
      </c>
      <c r="J13" s="523" t="str">
        <f>IF(OR(données_step[[#This Row],[S_DBO5]]&lt;=0,données_step[[#This Row],[S_DBO5]]=""),"",données_step[[#This Row],[D_QTRAI]]*données_step[[#This Row],[S_DBO5]]/1000)</f>
        <v/>
      </c>
      <c r="K13" s="523" t="str">
        <f>IF(OR(données_step[[#This Row],[S_DCO]]&lt;=0,données_step[[#This Row],[S_DCO]]=""),"",données_step[[#This Row],[D_QTRAI]]*données_step[[#This Row],[S_DCO]]/1000)</f>
        <v/>
      </c>
      <c r="L13" s="523" t="str">
        <f>IF(OR(données_step[[#This Row],[S_COD]]&lt;=0,données_step[[#This Row],[S_COD]]=""),"",données_step[[#This Row],[D_QTRAI]]*données_step[[#This Row],[S_COD]]/1000)</f>
        <v/>
      </c>
      <c r="M13" s="523" t="str">
        <f>IF(OR(données_step[[#This Row],[S_NH4]]&lt;=0,données_step[[#This Row],[S_NH4]]=""),"",données_step[[#This Row],[D_QTRAI]]*données_step[[#This Row],[S_NH4]]/1000)</f>
        <v/>
      </c>
      <c r="N13" s="523" t="str">
        <f>IF(OR(données_step[[#This Row],[S_NO2]]&lt;=0,données_step[[#This Row],[S_NO2]]=""),"",données_step[[#This Row],[D_QTRAI]]*données_step[[#This Row],[S_NO2]]/1000)</f>
        <v/>
      </c>
      <c r="O13" s="523" t="str">
        <f>IF(OR(données_step[[#This Row],[S_NO3]]&lt;=0,données_step[[#This Row],[S_NO3]]=""),"",données_step[[#This Row],[D_QTRAI]]*données_step[[#This Row],[S_NO3]]/1000)</f>
        <v/>
      </c>
      <c r="P13" s="523" t="str">
        <f>IF(OR(données_step[[#This Row],[S_PTOT]]&lt;=0,données_step[[#This Row],[S_PTOT]]=""),"",données_step[[#This Row],[D_QTRAI]]*données_step[[#This Row],[S_PTOT]]/1000)</f>
        <v/>
      </c>
      <c r="Q13" s="523" t="str">
        <f>IF(OR(données_step[[#This Row],[S_MES]]&lt;=0,données_step[[#This Row],[S_MES]]=""),"",données_step[[#This Row],[D_QTRAI]]*données_step[[#This Row],[S_MES]]/1000)</f>
        <v/>
      </c>
      <c r="R13" s="523">
        <f>MAX(données_step[[#This Row],[D_QTRAI]],données_step[[#This Row],[D_QTRAI2]])</f>
        <v>0</v>
      </c>
      <c r="S13" s="523" t="str">
        <f>IF(AND($R13&gt;0,données_step[[#This Row],[E_DCO]]&gt;0),données_step[[#This Row],[E_DCO]],"")</f>
        <v/>
      </c>
      <c r="T13" s="523" t="str">
        <f>IF(S13="","",(1-données_step[[#This Row],[E_DCO]]/$V$7)*100)</f>
        <v/>
      </c>
      <c r="U13" s="523" t="str">
        <f t="shared" si="1"/>
        <v/>
      </c>
      <c r="V13" s="523" t="str">
        <f t="shared" si="2"/>
        <v/>
      </c>
      <c r="W13" s="523" t="str">
        <f t="shared" si="3"/>
        <v/>
      </c>
      <c r="X13" s="523" t="e">
        <f>IF(((100-100/$V$7*données_step[[#This Row],[E_DCO]])/100*QTS)&lt;0,NA(),IF(OR(U13&lt;0,U13=""),NA(),((100-100/$V$7*données_step[[#This Row],[E_DCO]])/100*QTS)))</f>
        <v>#NUM!</v>
      </c>
      <c r="Y13" s="523" t="str">
        <f>IF(AND($R13&gt;0,données_step[[#This Row],[E_COT]]&gt;0),données_step[[#This Row],[E_COT]],"")</f>
        <v/>
      </c>
      <c r="Z13" s="523" t="str">
        <f>IF(Y13="","",(1-données_step[[#This Row],[E_COT]]/$AB$7)*100)</f>
        <v/>
      </c>
      <c r="AA13" s="523" t="str">
        <f t="shared" si="4"/>
        <v/>
      </c>
      <c r="AB13" s="523" t="str">
        <f t="shared" si="5"/>
        <v/>
      </c>
      <c r="AC13" s="523" t="str">
        <f t="shared" si="6"/>
        <v/>
      </c>
      <c r="AD13" s="523" t="e">
        <f>IF(((100-100/$AB$7*données_step[[#This Row],[E_COT]])/100*QTS)&lt;0,NA(),IF(OR(AA13&lt;0,AA13=""),NA(),((100-100/$AB$7*données_step[[#This Row],[E_COT]])/100*QTS)))</f>
        <v>#NUM!</v>
      </c>
      <c r="AE13" s="523" t="str">
        <f>IF(AND($R13&gt;0,données_step[[#This Row],[E_NH4]]&gt;0),données_step[[#This Row],[E_NH4]],"")</f>
        <v/>
      </c>
      <c r="AF13" s="523" t="str">
        <f>IF(AE13="","",(1-données_step[[#This Row],[E_NH4]]/$AH$7)*100)</f>
        <v/>
      </c>
      <c r="AG13" s="523" t="str">
        <f t="shared" si="7"/>
        <v/>
      </c>
      <c r="AH13" s="523" t="str">
        <f t="shared" si="8"/>
        <v/>
      </c>
      <c r="AI13" s="523" t="str">
        <f t="shared" si="9"/>
        <v/>
      </c>
      <c r="AJ13" s="523" t="e">
        <f>IF(((100-100/$AH$7*données_step[[#This Row],[E_NH4]])/100*QTS)&lt;0,NA(),IF(OR(AG13&lt;0,AG13=""),NA(),((100-100/$AH$7*données_step[[#This Row],[E_NH4]])/100*QTS)))</f>
        <v>#NUM!</v>
      </c>
      <c r="AK13" s="523" t="str">
        <f>IF(AND($R13&gt;0,données_step[[#This Row],[E_PTOT]]&gt;0),données_step[[#This Row],[E_PTOT]],"")</f>
        <v/>
      </c>
      <c r="AL13" s="523" t="str">
        <f>IF(AK13="","",(1-données_step[[#This Row],[E_PTOT]]/$AN$7)*100)</f>
        <v/>
      </c>
      <c r="AM13" s="523" t="str">
        <f t="shared" si="10"/>
        <v/>
      </c>
      <c r="AN13" s="523" t="str">
        <f t="shared" si="11"/>
        <v/>
      </c>
      <c r="AO13" s="523" t="str">
        <f t="shared" si="12"/>
        <v/>
      </c>
      <c r="AP13" s="523" t="e">
        <f>IF(((100-100/$AN$7*données_step[[#This Row],[E_PTOT]])/100*QTS)&lt;0,NA(),IF(OR(AM13&lt;0,AM13=""),NA(),((100-100/$AN$7*données_step[[#This Row],[E_PTOT]])/100*QTS)))</f>
        <v>#NUM!</v>
      </c>
      <c r="AQ13" s="524" t="e">
        <f t="shared" si="13"/>
        <v>#NUM!</v>
      </c>
      <c r="AR13" s="524" t="str">
        <f t="shared" si="14"/>
        <v/>
      </c>
      <c r="AT13" s="517">
        <f t="shared" si="15"/>
        <v>0.02</v>
      </c>
      <c r="AU13" s="501">
        <f t="shared" ref="AU13:AU76" si="16">AU12+1</f>
        <v>2</v>
      </c>
      <c r="AV13" s="525" t="e">
        <f>PERCENTILE(analyses!$F$11:$F$375,$AT13)</f>
        <v>#NUM!</v>
      </c>
      <c r="AW13" s="7" t="e">
        <f>PERCENTILE(analyses!$I$11:$I$375,$AT13)</f>
        <v>#NUM!</v>
      </c>
      <c r="AX13" s="7" t="e">
        <f>PERCENTILE(analyses!$J$11:$J$375,$AT13)</f>
        <v>#NUM!</v>
      </c>
      <c r="AY13" s="523" t="str">
        <f>_xlfn.IFNA(IF(données_step[[#This Row],[E_DCO]]&lt;=0,NA(),charge_entree[[#This Row],[ch_E_DCO]]/constanten!$B$8*1000),"")</f>
        <v/>
      </c>
      <c r="AZ13" s="523" t="str">
        <f>_xlfn.IFNA(IF(données_step[[#This Row],[E_NTOT]]&lt;=0,NA(),charge_entree[[#This Row],[ch_E_NTOT]]/constanten!$B$10*1000),"")</f>
        <v/>
      </c>
      <c r="BA13" s="523" t="str">
        <f>_xlfn.IFNA(IF(données_step[[#This Row],[E_NH4]]&lt;=0,NA(),charge_entree[[#This Row],[ch_E_NH4]]/constanten!$B$12*1000),"")</f>
        <v/>
      </c>
      <c r="BB13" s="523" t="str">
        <f>_xlfn.IFNA(IF(données_step[[#This Row],[E_COT]]&lt;=0,NA(),charge_entree[[#This Row],[ch_E_COT]]/constanten!$B$9*1000),"")</f>
        <v/>
      </c>
      <c r="BC13" s="523" t="str">
        <f>IFERROR(_xlfn.IFNA(IF(données_step[[#This Row],[E_PTOT]]&lt;=0,NA(),charge_entree[[#This Row],[ch_E_PTOT]]/constanten!$B$15*1000),""),"")</f>
        <v/>
      </c>
      <c r="BD13" s="535" t="e">
        <f>calculs!E13 * (1-0.4) / (données_step[[#This Row],[X_BA_VOL]]*données_step[[#This Row],[X_BACONC]])</f>
        <v>#VALUE!</v>
      </c>
      <c r="BE13" s="522" t="e">
        <f>(données_step[[#This Row],[X_BA_VOL]]*données_step[[#This Row],[X_BACONC]])/((données_step[[#This Row],[D_QTRAI2]]*données_step[[#This Row],[S_MES]]/1000)+(données_step[[#This Row],[X_BX_Q]]*données_step[[#This Row],[X_BXCONC]]))</f>
        <v>#VALUE!</v>
      </c>
      <c r="BF13" s="890" t="str">
        <f>IFERROR(données_step[[#This Row],[D_QTRAI]]/AY13*1000,"")</f>
        <v/>
      </c>
      <c r="BG13" s="535" t="str">
        <f>IFERROR(1-données_step[[#This Row],[S_DBO5]]/données_step[[#This Row],[E_DBO5]],"")</f>
        <v/>
      </c>
      <c r="BH13" s="536" t="str">
        <f>IFERROR(1-données_step[[#This Row],[S_DCO]]/données_step[[#This Row],[E_DCO]],"")</f>
        <v/>
      </c>
      <c r="BI13" s="535" t="str">
        <f>IFERROR(1-données_step[[#This Row],[S_COD]]/données_step[[#This Row],[E_COT]],"")</f>
        <v/>
      </c>
      <c r="BJ13" s="535" t="str">
        <f>IFERROR(1-données_step[[#This Row],[S_NH4]]/données_step[[#This Row],[E_NTOT]],"")</f>
        <v/>
      </c>
      <c r="BK13" s="535" t="str">
        <f>IFERROR(1-données_step[[#This Row],[S_PTOT]]/données_step[[#This Row],[E_PTOT]],"")</f>
        <v/>
      </c>
      <c r="BL13" s="521" t="str">
        <f>IFERROR(IF(données_step[[#This Row],[E_DCO]]/données_step[[#This Row],[E_DBO5]]=0,NA(),données_step[[#This Row],[E_DCO]]/données_step[[#This Row],[E_DBO5]]),"")</f>
        <v/>
      </c>
      <c r="BM13" s="521" t="str">
        <f>IFERROR(IF(données_step[[#This Row],[E_NH4]]/données_step[[#This Row],[E_NTOT]]=0,NA(),données_step[[#This Row],[E_NH4]]/données_step[[#This Row],[E_NTOT]]),"")</f>
        <v/>
      </c>
      <c r="BN13" s="521" t="str">
        <f>IFERROR(IF(données_step[[#This Row],[E_NTOT]]/données_step[[#This Row],[E_COT]]=0,NA(),données_step[[#This Row],[E_NTOT]]/données_step[[#This Row],[E_COT]]),"")</f>
        <v/>
      </c>
      <c r="BO13" s="521" t="str">
        <f>IFERROR(IF(données_step[[#This Row],[E_PTOT]]/données_step[[#This Row],[E_COT]]=0,NA(),données_step[[#This Row],[E_PTOT]]/données_step[[#This Row],[E_COT]]),"")</f>
        <v/>
      </c>
      <c r="BP13" s="521" t="e">
        <f>IF(données_step[[#This Row],[E_DCO]]/données_step[[#This Row],[E_COT]]=0,NA(),données_step[[#This Row],[E_DCO]]/données_step[[#This Row],[E_COT]])</f>
        <v>#DIV/0!</v>
      </c>
      <c r="BQ13" s="521" t="e">
        <f>IF(données_step[[#This Row],[E_NTOT]]/données_step[[#This Row],[E_DCO]]=0,NA(),données_step[[#This Row],[E_NTOT]]/données_step[[#This Row],[E_DCO]])</f>
        <v>#DIV/0!</v>
      </c>
      <c r="BR13" s="521" t="e">
        <f>IF(données_step[[#This Row],[E_PTOT]]/données_step[[#This Row],[E_DCO]]=0,NA(),données_step[[#This Row],[E_PTOT]]/données_step[[#This Row],[E_DCO]])</f>
        <v>#DIV/0!</v>
      </c>
      <c r="BS13" s="747" t="e">
        <f ca="1">test_NH4_temp(données_step[[#This Row],[S_NH4]],données_step[[#This Row],[Temp_eaux]])</f>
        <v>#NAME?</v>
      </c>
    </row>
    <row r="14" spans="1:71" x14ac:dyDescent="0.2">
      <c r="A14" s="222">
        <f>données_step[[#This Row],[Datum]]</f>
        <v>44565</v>
      </c>
      <c r="B14" s="223"/>
      <c r="C14" s="224">
        <f t="shared" si="0"/>
        <v>3</v>
      </c>
      <c r="D14" s="523" t="str">
        <f>IF(OR(données_step[[#This Row],[E_DBO5]]&lt;=0,données_step[[#This Row],[E_DBO5]]=""),"",données_step[[#This Row],[D_QTRAI]]*données_step[[#This Row],[E_DBO5]]/1000)</f>
        <v/>
      </c>
      <c r="E14" s="523" t="str">
        <f>IF(OR(données_step[[#This Row],[E_DCO]]&lt;=0,données_step[[#This Row],[E_DCO]]=""),"",données_step[[#This Row],[D_QTRAI]]*données_step[[#This Row],[E_DCO]]/1000)</f>
        <v/>
      </c>
      <c r="F14" s="523" t="str">
        <f>IF(OR(données_step[[#This Row],[E_COT]]&lt;=0,données_step[[#This Row],[E_COT]]=""),"",données_step[[#This Row],[D_QTRAI]]*données_step[[#This Row],[E_COT]]/1000)</f>
        <v/>
      </c>
      <c r="G14" s="523" t="str">
        <f>IF(OR(données_step[[#This Row],[E_NH4]]&lt;=0,données_step[[#This Row],[E_NH4]]=""),"",données_step[[#This Row],[D_QTRAI]]*données_step[[#This Row],[E_NH4]]/1000)</f>
        <v/>
      </c>
      <c r="H14" s="523" t="str">
        <f>IF(OR(données_step[[#This Row],[E_NTOT]]&lt;=0,données_step[[#This Row],[E_NTOT]]=""),"",données_step[[#This Row],[D_QTRAI]]*données_step[[#This Row],[E_NTOT]]/1000)</f>
        <v/>
      </c>
      <c r="I14" s="523" t="str">
        <f>IF(OR(données_step[[#This Row],[E_NTOT]]&lt;=0,données_step[[#This Row],[E_NTOT]]=""),"",données_step[[#This Row],[D_QTRAI]]*données_step[[#This Row],[E_PTOT]]/1000)</f>
        <v/>
      </c>
      <c r="J14" s="523" t="str">
        <f>IF(OR(données_step[[#This Row],[S_DBO5]]&lt;=0,données_step[[#This Row],[S_DBO5]]=""),"",données_step[[#This Row],[D_QTRAI]]*données_step[[#This Row],[S_DBO5]]/1000)</f>
        <v/>
      </c>
      <c r="K14" s="523" t="str">
        <f>IF(OR(données_step[[#This Row],[S_DCO]]&lt;=0,données_step[[#This Row],[S_DCO]]=""),"",données_step[[#This Row],[D_QTRAI]]*données_step[[#This Row],[S_DCO]]/1000)</f>
        <v/>
      </c>
      <c r="L14" s="523" t="str">
        <f>IF(OR(données_step[[#This Row],[S_COD]]&lt;=0,données_step[[#This Row],[S_COD]]=""),"",données_step[[#This Row],[D_QTRAI]]*données_step[[#This Row],[S_COD]]/1000)</f>
        <v/>
      </c>
      <c r="M14" s="523" t="str">
        <f>IF(OR(données_step[[#This Row],[S_NH4]]&lt;=0,données_step[[#This Row],[S_NH4]]=""),"",données_step[[#This Row],[D_QTRAI]]*données_step[[#This Row],[S_NH4]]/1000)</f>
        <v/>
      </c>
      <c r="N14" s="523" t="str">
        <f>IF(OR(données_step[[#This Row],[S_NO2]]&lt;=0,données_step[[#This Row],[S_NO2]]=""),"",données_step[[#This Row],[D_QTRAI]]*données_step[[#This Row],[S_NO2]]/1000)</f>
        <v/>
      </c>
      <c r="O14" s="523" t="str">
        <f>IF(OR(données_step[[#This Row],[S_NO3]]&lt;=0,données_step[[#This Row],[S_NO3]]=""),"",données_step[[#This Row],[D_QTRAI]]*données_step[[#This Row],[S_NO3]]/1000)</f>
        <v/>
      </c>
      <c r="P14" s="523" t="str">
        <f>IF(OR(données_step[[#This Row],[S_PTOT]]&lt;=0,données_step[[#This Row],[S_PTOT]]=""),"",données_step[[#This Row],[D_QTRAI]]*données_step[[#This Row],[S_PTOT]]/1000)</f>
        <v/>
      </c>
      <c r="Q14" s="523" t="str">
        <f>IF(OR(données_step[[#This Row],[S_MES]]&lt;=0,données_step[[#This Row],[S_MES]]=""),"",données_step[[#This Row],[D_QTRAI]]*données_step[[#This Row],[S_MES]]/1000)</f>
        <v/>
      </c>
      <c r="R14" s="523">
        <f>MAX(données_step[[#This Row],[D_QTRAI]],données_step[[#This Row],[D_QTRAI2]])</f>
        <v>0</v>
      </c>
      <c r="S14" s="523" t="str">
        <f>IF(AND($R14&gt;0,données_step[[#This Row],[E_DCO]]&gt;0),données_step[[#This Row],[E_DCO]],"")</f>
        <v/>
      </c>
      <c r="T14" s="523" t="str">
        <f>IF(S14="","",(1-données_step[[#This Row],[E_DCO]]/$V$7)*100)</f>
        <v/>
      </c>
      <c r="U14" s="523" t="str">
        <f t="shared" si="1"/>
        <v/>
      </c>
      <c r="V14" s="523" t="str">
        <f t="shared" si="2"/>
        <v/>
      </c>
      <c r="W14" s="523" t="str">
        <f t="shared" si="3"/>
        <v/>
      </c>
      <c r="X14" s="523" t="e">
        <f>IF(((100-100/$V$7*données_step[[#This Row],[E_DCO]])/100*QTS)&lt;0,NA(),IF(OR(U14&lt;0,U14=""),NA(),((100-100/$V$7*données_step[[#This Row],[E_DCO]])/100*QTS)))</f>
        <v>#NUM!</v>
      </c>
      <c r="Y14" s="523" t="str">
        <f>IF(AND($R14&gt;0,données_step[[#This Row],[E_COT]]&gt;0),données_step[[#This Row],[E_COT]],"")</f>
        <v/>
      </c>
      <c r="Z14" s="523" t="str">
        <f>IF(Y14="","",(1-données_step[[#This Row],[E_COT]]/$AB$7)*100)</f>
        <v/>
      </c>
      <c r="AA14" s="523" t="str">
        <f t="shared" si="4"/>
        <v/>
      </c>
      <c r="AB14" s="523" t="str">
        <f t="shared" si="5"/>
        <v/>
      </c>
      <c r="AC14" s="523" t="str">
        <f t="shared" si="6"/>
        <v/>
      </c>
      <c r="AD14" s="523" t="e">
        <f>IF(((100-100/$AB$7*données_step[[#This Row],[E_COT]])/100*QTS)&lt;0,NA(),IF(OR(AA14&lt;0,AA14=""),NA(),((100-100/$AB$7*données_step[[#This Row],[E_COT]])/100*QTS)))</f>
        <v>#NUM!</v>
      </c>
      <c r="AE14" s="523" t="str">
        <f>IF(AND($R14&gt;0,données_step[[#This Row],[E_NH4]]&gt;0),données_step[[#This Row],[E_NH4]],"")</f>
        <v/>
      </c>
      <c r="AF14" s="523" t="str">
        <f>IF(AE14="","",(1-données_step[[#This Row],[E_NH4]]/$AH$7)*100)</f>
        <v/>
      </c>
      <c r="AG14" s="523" t="str">
        <f t="shared" si="7"/>
        <v/>
      </c>
      <c r="AH14" s="523" t="str">
        <f t="shared" si="8"/>
        <v/>
      </c>
      <c r="AI14" s="523" t="str">
        <f t="shared" si="9"/>
        <v/>
      </c>
      <c r="AJ14" s="523" t="e">
        <f>IF(((100-100/$AH$7*données_step[[#This Row],[E_NH4]])/100*QTS)&lt;0,NA(),IF(OR(AG14&lt;0,AG14=""),NA(),((100-100/$AH$7*données_step[[#This Row],[E_NH4]])/100*QTS)))</f>
        <v>#NUM!</v>
      </c>
      <c r="AK14" s="523" t="str">
        <f>IF(AND($R14&gt;0,données_step[[#This Row],[E_PTOT]]&gt;0),données_step[[#This Row],[E_PTOT]],"")</f>
        <v/>
      </c>
      <c r="AL14" s="523" t="str">
        <f>IF(AK14="","",(1-données_step[[#This Row],[E_PTOT]]/$AN$7)*100)</f>
        <v/>
      </c>
      <c r="AM14" s="523" t="str">
        <f t="shared" si="10"/>
        <v/>
      </c>
      <c r="AN14" s="523" t="str">
        <f t="shared" si="11"/>
        <v/>
      </c>
      <c r="AO14" s="523" t="str">
        <f t="shared" si="12"/>
        <v/>
      </c>
      <c r="AP14" s="523" t="e">
        <f>IF(((100-100/$AN$7*données_step[[#This Row],[E_PTOT]])/100*QTS)&lt;0,NA(),IF(OR(AM14&lt;0,AM14=""),NA(),((100-100/$AN$7*données_step[[#This Row],[E_PTOT]])/100*QTS)))</f>
        <v>#NUM!</v>
      </c>
      <c r="AQ14" s="524" t="e">
        <f t="shared" si="13"/>
        <v>#NUM!</v>
      </c>
      <c r="AR14" s="524" t="str">
        <f t="shared" si="14"/>
        <v/>
      </c>
      <c r="AT14" s="517">
        <f t="shared" si="15"/>
        <v>0.03</v>
      </c>
      <c r="AU14" s="501">
        <f t="shared" si="16"/>
        <v>3</v>
      </c>
      <c r="AV14" s="525" t="e">
        <f>PERCENTILE(analyses!$F$11:$F$375,$AT14)</f>
        <v>#NUM!</v>
      </c>
      <c r="AW14" s="7" t="e">
        <f>PERCENTILE(analyses!$I$11:$I$375,$AT14)</f>
        <v>#NUM!</v>
      </c>
      <c r="AX14" s="7" t="e">
        <f>PERCENTILE(analyses!$J$11:$J$375,$AT14)</f>
        <v>#NUM!</v>
      </c>
      <c r="AY14" s="523" t="str">
        <f>_xlfn.IFNA(IF(données_step[[#This Row],[E_DCO]]&lt;=0,NA(),charge_entree[[#This Row],[ch_E_DCO]]/constanten!$B$8*1000),"")</f>
        <v/>
      </c>
      <c r="AZ14" s="523" t="str">
        <f>_xlfn.IFNA(IF(données_step[[#This Row],[E_NTOT]]&lt;=0,NA(),charge_entree[[#This Row],[ch_E_NTOT]]/constanten!$B$10*1000),"")</f>
        <v/>
      </c>
      <c r="BA14" s="523" t="str">
        <f>_xlfn.IFNA(IF(données_step[[#This Row],[E_NH4]]&lt;=0,NA(),charge_entree[[#This Row],[ch_E_NH4]]/constanten!$B$12*1000),"")</f>
        <v/>
      </c>
      <c r="BB14" s="523" t="str">
        <f>_xlfn.IFNA(IF(données_step[[#This Row],[E_COT]]&lt;=0,NA(),charge_entree[[#This Row],[ch_E_COT]]/constanten!$B$9*1000),"")</f>
        <v/>
      </c>
      <c r="BC14" s="523" t="str">
        <f>IFERROR(_xlfn.IFNA(IF(données_step[[#This Row],[E_PTOT]]&lt;=0,NA(),charge_entree[[#This Row],[ch_E_PTOT]]/constanten!$B$15*1000),""),"")</f>
        <v/>
      </c>
      <c r="BD14" s="535" t="e">
        <f>calculs!E14 * (1-0.4) / (données_step[[#This Row],[X_BA_VOL]]*données_step[[#This Row],[X_BACONC]])</f>
        <v>#VALUE!</v>
      </c>
      <c r="BE14" s="522" t="e">
        <f>(données_step[[#This Row],[X_BA_VOL]]*données_step[[#This Row],[X_BACONC]])/((données_step[[#This Row],[D_QTRAI2]]*données_step[[#This Row],[S_MES]]/1000)+(données_step[[#This Row],[X_BX_Q]]*données_step[[#This Row],[X_BXCONC]]))</f>
        <v>#VALUE!</v>
      </c>
      <c r="BF14" s="890" t="str">
        <f>IFERROR(données_step[[#This Row],[D_QTRAI]]/AY14*1000,"")</f>
        <v/>
      </c>
      <c r="BG14" s="535" t="str">
        <f>IFERROR(1-données_step[[#This Row],[S_DBO5]]/données_step[[#This Row],[E_DBO5]],"")</f>
        <v/>
      </c>
      <c r="BH14" s="536" t="str">
        <f>IFERROR(1-données_step[[#This Row],[S_DCO]]/données_step[[#This Row],[E_DCO]],"")</f>
        <v/>
      </c>
      <c r="BI14" s="535" t="str">
        <f>IFERROR(1-données_step[[#This Row],[S_COD]]/données_step[[#This Row],[E_COT]],"")</f>
        <v/>
      </c>
      <c r="BJ14" s="535" t="str">
        <f>IFERROR(1-données_step[[#This Row],[S_NH4]]/données_step[[#This Row],[E_NTOT]],"")</f>
        <v/>
      </c>
      <c r="BK14" s="535" t="str">
        <f>IFERROR(1-données_step[[#This Row],[S_PTOT]]/données_step[[#This Row],[E_PTOT]],"")</f>
        <v/>
      </c>
      <c r="BL14" s="521" t="str">
        <f>IFERROR(IF(données_step[[#This Row],[E_DCO]]/données_step[[#This Row],[E_DBO5]]=0,NA(),données_step[[#This Row],[E_DCO]]/données_step[[#This Row],[E_DBO5]]),"")</f>
        <v/>
      </c>
      <c r="BM14" s="521" t="str">
        <f>IFERROR(IF(données_step[[#This Row],[E_NH4]]/données_step[[#This Row],[E_NTOT]]=0,NA(),données_step[[#This Row],[E_NH4]]/données_step[[#This Row],[E_NTOT]]),"")</f>
        <v/>
      </c>
      <c r="BN14" s="521" t="str">
        <f>IFERROR(IF(données_step[[#This Row],[E_NTOT]]/données_step[[#This Row],[E_COT]]=0,NA(),données_step[[#This Row],[E_NTOT]]/données_step[[#This Row],[E_COT]]),"")</f>
        <v/>
      </c>
      <c r="BO14" s="521" t="str">
        <f>IFERROR(IF(données_step[[#This Row],[E_PTOT]]/données_step[[#This Row],[E_COT]]=0,NA(),données_step[[#This Row],[E_PTOT]]/données_step[[#This Row],[E_COT]]),"")</f>
        <v/>
      </c>
      <c r="BP14" s="521" t="e">
        <f>IF(données_step[[#This Row],[E_DCO]]/données_step[[#This Row],[E_COT]]=0,NA(),données_step[[#This Row],[E_DCO]]/données_step[[#This Row],[E_COT]])</f>
        <v>#DIV/0!</v>
      </c>
      <c r="BQ14" s="521" t="e">
        <f>IF(données_step[[#This Row],[E_NTOT]]/données_step[[#This Row],[E_DCO]]=0,NA(),données_step[[#This Row],[E_NTOT]]/données_step[[#This Row],[E_DCO]])</f>
        <v>#DIV/0!</v>
      </c>
      <c r="BR14" s="521" t="e">
        <f>IF(données_step[[#This Row],[E_PTOT]]/données_step[[#This Row],[E_DCO]]=0,NA(),données_step[[#This Row],[E_PTOT]]/données_step[[#This Row],[E_DCO]])</f>
        <v>#DIV/0!</v>
      </c>
      <c r="BS14" s="747" t="e">
        <f ca="1">test_NH4_temp(données_step[[#This Row],[S_NH4]],données_step[[#This Row],[Temp_eaux]])</f>
        <v>#NAME?</v>
      </c>
    </row>
    <row r="15" spans="1:71" x14ac:dyDescent="0.2">
      <c r="A15" s="222">
        <f>données_step[[#This Row],[Datum]]</f>
        <v>44566</v>
      </c>
      <c r="B15" s="223"/>
      <c r="C15" s="224">
        <f t="shared" si="0"/>
        <v>4</v>
      </c>
      <c r="D15" s="523" t="str">
        <f>IF(OR(données_step[[#This Row],[E_DBO5]]&lt;=0,données_step[[#This Row],[E_DBO5]]=""),"",données_step[[#This Row],[D_QTRAI]]*données_step[[#This Row],[E_DBO5]]/1000)</f>
        <v/>
      </c>
      <c r="E15" s="523" t="str">
        <f>IF(OR(données_step[[#This Row],[E_DCO]]&lt;=0,données_step[[#This Row],[E_DCO]]=""),"",données_step[[#This Row],[D_QTRAI]]*données_step[[#This Row],[E_DCO]]/1000)</f>
        <v/>
      </c>
      <c r="F15" s="523" t="str">
        <f>IF(OR(données_step[[#This Row],[E_COT]]&lt;=0,données_step[[#This Row],[E_COT]]=""),"",données_step[[#This Row],[D_QTRAI]]*données_step[[#This Row],[E_COT]]/1000)</f>
        <v/>
      </c>
      <c r="G15" s="523" t="str">
        <f>IF(OR(données_step[[#This Row],[E_NH4]]&lt;=0,données_step[[#This Row],[E_NH4]]=""),"",données_step[[#This Row],[D_QTRAI]]*données_step[[#This Row],[E_NH4]]/1000)</f>
        <v/>
      </c>
      <c r="H15" s="523" t="str">
        <f>IF(OR(données_step[[#This Row],[E_NTOT]]&lt;=0,données_step[[#This Row],[E_NTOT]]=""),"",données_step[[#This Row],[D_QTRAI]]*données_step[[#This Row],[E_NTOT]]/1000)</f>
        <v/>
      </c>
      <c r="I15" s="523" t="str">
        <f>IF(OR(données_step[[#This Row],[E_NTOT]]&lt;=0,données_step[[#This Row],[E_NTOT]]=""),"",données_step[[#This Row],[D_QTRAI]]*données_step[[#This Row],[E_PTOT]]/1000)</f>
        <v/>
      </c>
      <c r="J15" s="523" t="str">
        <f>IF(OR(données_step[[#This Row],[S_DBO5]]&lt;=0,données_step[[#This Row],[S_DBO5]]=""),"",données_step[[#This Row],[D_QTRAI]]*données_step[[#This Row],[S_DBO5]]/1000)</f>
        <v/>
      </c>
      <c r="K15" s="523" t="str">
        <f>IF(OR(données_step[[#This Row],[S_DCO]]&lt;=0,données_step[[#This Row],[S_DCO]]=""),"",données_step[[#This Row],[D_QTRAI]]*données_step[[#This Row],[S_DCO]]/1000)</f>
        <v/>
      </c>
      <c r="L15" s="523" t="str">
        <f>IF(OR(données_step[[#This Row],[S_COD]]&lt;=0,données_step[[#This Row],[S_COD]]=""),"",données_step[[#This Row],[D_QTRAI]]*données_step[[#This Row],[S_COD]]/1000)</f>
        <v/>
      </c>
      <c r="M15" s="523" t="str">
        <f>IF(OR(données_step[[#This Row],[S_NH4]]&lt;=0,données_step[[#This Row],[S_NH4]]=""),"",données_step[[#This Row],[D_QTRAI]]*données_step[[#This Row],[S_NH4]]/1000)</f>
        <v/>
      </c>
      <c r="N15" s="523" t="str">
        <f>IF(OR(données_step[[#This Row],[S_NO2]]&lt;=0,données_step[[#This Row],[S_NO2]]=""),"",données_step[[#This Row],[D_QTRAI]]*données_step[[#This Row],[S_NO2]]/1000)</f>
        <v/>
      </c>
      <c r="O15" s="523" t="str">
        <f>IF(OR(données_step[[#This Row],[S_NO3]]&lt;=0,données_step[[#This Row],[S_NO3]]=""),"",données_step[[#This Row],[D_QTRAI]]*données_step[[#This Row],[S_NO3]]/1000)</f>
        <v/>
      </c>
      <c r="P15" s="523" t="str">
        <f>IF(OR(données_step[[#This Row],[S_PTOT]]&lt;=0,données_step[[#This Row],[S_PTOT]]=""),"",données_step[[#This Row],[D_QTRAI]]*données_step[[#This Row],[S_PTOT]]/1000)</f>
        <v/>
      </c>
      <c r="Q15" s="523" t="str">
        <f>IF(OR(données_step[[#This Row],[S_MES]]&lt;=0,données_step[[#This Row],[S_MES]]=""),"",données_step[[#This Row],[D_QTRAI]]*données_step[[#This Row],[S_MES]]/1000)</f>
        <v/>
      </c>
      <c r="R15" s="523">
        <f>MAX(données_step[[#This Row],[D_QTRAI]],données_step[[#This Row],[D_QTRAI2]])</f>
        <v>0</v>
      </c>
      <c r="S15" s="523" t="str">
        <f>IF(AND($R15&gt;0,données_step[[#This Row],[E_DCO]]&gt;0),données_step[[#This Row],[E_DCO]],"")</f>
        <v/>
      </c>
      <c r="T15" s="523" t="str">
        <f>IF(S15="","",(1-données_step[[#This Row],[E_DCO]]/$V$7)*100)</f>
        <v/>
      </c>
      <c r="U15" s="523" t="str">
        <f t="shared" si="1"/>
        <v/>
      </c>
      <c r="V15" s="523" t="str">
        <f t="shared" si="2"/>
        <v/>
      </c>
      <c r="W15" s="523" t="str">
        <f t="shared" si="3"/>
        <v/>
      </c>
      <c r="X15" s="523" t="e">
        <f>IF(((100-100/$V$7*données_step[[#This Row],[E_DCO]])/100*QTS)&lt;0,NA(),IF(OR(U15&lt;0,U15=""),NA(),((100-100/$V$7*données_step[[#This Row],[E_DCO]])/100*QTS)))</f>
        <v>#NUM!</v>
      </c>
      <c r="Y15" s="523" t="str">
        <f>IF(AND($R15&gt;0,données_step[[#This Row],[E_COT]]&gt;0),données_step[[#This Row],[E_COT]],"")</f>
        <v/>
      </c>
      <c r="Z15" s="523" t="str">
        <f>IF(Y15="","",(1-données_step[[#This Row],[E_COT]]/$AB$7)*100)</f>
        <v/>
      </c>
      <c r="AA15" s="523" t="str">
        <f t="shared" si="4"/>
        <v/>
      </c>
      <c r="AB15" s="523" t="str">
        <f t="shared" si="5"/>
        <v/>
      </c>
      <c r="AC15" s="523" t="str">
        <f t="shared" si="6"/>
        <v/>
      </c>
      <c r="AD15" s="523" t="e">
        <f>IF(((100-100/$AB$7*données_step[[#This Row],[E_COT]])/100*QTS)&lt;0,NA(),IF(OR(AA15&lt;0,AA15=""),NA(),((100-100/$AB$7*données_step[[#This Row],[E_COT]])/100*QTS)))</f>
        <v>#NUM!</v>
      </c>
      <c r="AE15" s="523" t="str">
        <f>IF(AND($R15&gt;0,données_step[[#This Row],[E_NH4]]&gt;0),données_step[[#This Row],[E_NH4]],"")</f>
        <v/>
      </c>
      <c r="AF15" s="523" t="str">
        <f>IF(AE15="","",(1-données_step[[#This Row],[E_NH4]]/$AH$7)*100)</f>
        <v/>
      </c>
      <c r="AG15" s="523" t="str">
        <f t="shared" si="7"/>
        <v/>
      </c>
      <c r="AH15" s="523" t="str">
        <f t="shared" si="8"/>
        <v/>
      </c>
      <c r="AI15" s="523" t="str">
        <f t="shared" si="9"/>
        <v/>
      </c>
      <c r="AJ15" s="523" t="e">
        <f>IF(((100-100/$AH$7*données_step[[#This Row],[E_NH4]])/100*QTS)&lt;0,NA(),IF(OR(AG15&lt;0,AG15=""),NA(),((100-100/$AH$7*données_step[[#This Row],[E_NH4]])/100*QTS)))</f>
        <v>#NUM!</v>
      </c>
      <c r="AK15" s="523" t="str">
        <f>IF(AND($R15&gt;0,données_step[[#This Row],[E_PTOT]]&gt;0),données_step[[#This Row],[E_PTOT]],"")</f>
        <v/>
      </c>
      <c r="AL15" s="523" t="str">
        <f>IF(AK15="","",(1-données_step[[#This Row],[E_PTOT]]/$AN$7)*100)</f>
        <v/>
      </c>
      <c r="AM15" s="523" t="str">
        <f t="shared" si="10"/>
        <v/>
      </c>
      <c r="AN15" s="523" t="str">
        <f t="shared" si="11"/>
        <v/>
      </c>
      <c r="AO15" s="523" t="str">
        <f t="shared" si="12"/>
        <v/>
      </c>
      <c r="AP15" s="523" t="e">
        <f>IF(((100-100/$AN$7*données_step[[#This Row],[E_PTOT]])/100*QTS)&lt;0,NA(),IF(OR(AM15&lt;0,AM15=""),NA(),((100-100/$AN$7*données_step[[#This Row],[E_PTOT]])/100*QTS)))</f>
        <v>#NUM!</v>
      </c>
      <c r="AQ15" s="524" t="e">
        <f t="shared" si="13"/>
        <v>#NUM!</v>
      </c>
      <c r="AR15" s="524" t="str">
        <f t="shared" si="14"/>
        <v/>
      </c>
      <c r="AT15" s="517">
        <f t="shared" si="15"/>
        <v>0.04</v>
      </c>
      <c r="AU15" s="501">
        <f t="shared" si="16"/>
        <v>4</v>
      </c>
      <c r="AV15" s="525" t="e">
        <f>PERCENTILE(analyses!$F$11:$F$375,$AT15)</f>
        <v>#NUM!</v>
      </c>
      <c r="AW15" s="7" t="e">
        <f>PERCENTILE(analyses!$I$11:$I$375,$AT15)</f>
        <v>#NUM!</v>
      </c>
      <c r="AX15" s="7" t="e">
        <f>PERCENTILE(analyses!$J$11:$J$375,$AT15)</f>
        <v>#NUM!</v>
      </c>
      <c r="AY15" s="523" t="str">
        <f>_xlfn.IFNA(IF(données_step[[#This Row],[E_DCO]]&lt;=0,NA(),charge_entree[[#This Row],[ch_E_DCO]]/constanten!$B$8*1000),"")</f>
        <v/>
      </c>
      <c r="AZ15" s="523" t="str">
        <f>_xlfn.IFNA(IF(données_step[[#This Row],[E_NTOT]]&lt;=0,NA(),charge_entree[[#This Row],[ch_E_NTOT]]/constanten!$B$10*1000),"")</f>
        <v/>
      </c>
      <c r="BA15" s="523" t="str">
        <f>_xlfn.IFNA(IF(données_step[[#This Row],[E_NH4]]&lt;=0,NA(),charge_entree[[#This Row],[ch_E_NH4]]/constanten!$B$12*1000),"")</f>
        <v/>
      </c>
      <c r="BB15" s="523" t="str">
        <f>_xlfn.IFNA(IF(données_step[[#This Row],[E_COT]]&lt;=0,NA(),charge_entree[[#This Row],[ch_E_COT]]/constanten!$B$9*1000),"")</f>
        <v/>
      </c>
      <c r="BC15" s="523" t="str">
        <f>IFERROR(_xlfn.IFNA(IF(données_step[[#This Row],[E_PTOT]]&lt;=0,NA(),charge_entree[[#This Row],[ch_E_PTOT]]/constanten!$B$15*1000),""),"")</f>
        <v/>
      </c>
      <c r="BD15" s="535" t="e">
        <f>calculs!E15 * (1-0.4) / (données_step[[#This Row],[X_BA_VOL]]*données_step[[#This Row],[X_BACONC]])</f>
        <v>#VALUE!</v>
      </c>
      <c r="BE15" s="522" t="e">
        <f>(données_step[[#This Row],[X_BA_VOL]]*données_step[[#This Row],[X_BACONC]])/((données_step[[#This Row],[D_QTRAI2]]*données_step[[#This Row],[S_MES]]/1000)+(données_step[[#This Row],[X_BX_Q]]*données_step[[#This Row],[X_BXCONC]]))</f>
        <v>#VALUE!</v>
      </c>
      <c r="BF15" s="890" t="str">
        <f>IFERROR(données_step[[#This Row],[D_QTRAI]]/AY15*1000,"")</f>
        <v/>
      </c>
      <c r="BG15" s="535" t="str">
        <f>IFERROR(1-données_step[[#This Row],[S_DBO5]]/données_step[[#This Row],[E_DBO5]],"")</f>
        <v/>
      </c>
      <c r="BH15" s="536" t="str">
        <f>IFERROR(1-données_step[[#This Row],[S_DCO]]/données_step[[#This Row],[E_DCO]],"")</f>
        <v/>
      </c>
      <c r="BI15" s="535" t="str">
        <f>IFERROR(1-données_step[[#This Row],[S_COD]]/données_step[[#This Row],[E_COT]],"")</f>
        <v/>
      </c>
      <c r="BJ15" s="535" t="str">
        <f>IFERROR(1-données_step[[#This Row],[S_NH4]]/données_step[[#This Row],[E_NTOT]],"")</f>
        <v/>
      </c>
      <c r="BK15" s="535" t="str">
        <f>IFERROR(1-données_step[[#This Row],[S_PTOT]]/données_step[[#This Row],[E_PTOT]],"")</f>
        <v/>
      </c>
      <c r="BL15" s="521" t="str">
        <f>IFERROR(IF(données_step[[#This Row],[E_DCO]]/données_step[[#This Row],[E_DBO5]]=0,NA(),données_step[[#This Row],[E_DCO]]/données_step[[#This Row],[E_DBO5]]),"")</f>
        <v/>
      </c>
      <c r="BM15" s="521" t="str">
        <f>IFERROR(IF(données_step[[#This Row],[E_NH4]]/données_step[[#This Row],[E_NTOT]]=0,NA(),données_step[[#This Row],[E_NH4]]/données_step[[#This Row],[E_NTOT]]),"")</f>
        <v/>
      </c>
      <c r="BN15" s="521" t="str">
        <f>IFERROR(IF(données_step[[#This Row],[E_NTOT]]/données_step[[#This Row],[E_COT]]=0,NA(),données_step[[#This Row],[E_NTOT]]/données_step[[#This Row],[E_COT]]),"")</f>
        <v/>
      </c>
      <c r="BO15" s="521" t="str">
        <f>IFERROR(IF(données_step[[#This Row],[E_PTOT]]/données_step[[#This Row],[E_COT]]=0,NA(),données_step[[#This Row],[E_PTOT]]/données_step[[#This Row],[E_COT]]),"")</f>
        <v/>
      </c>
      <c r="BP15" s="521" t="e">
        <f>IF(données_step[[#This Row],[E_DCO]]/données_step[[#This Row],[E_COT]]=0,NA(),données_step[[#This Row],[E_DCO]]/données_step[[#This Row],[E_COT]])</f>
        <v>#DIV/0!</v>
      </c>
      <c r="BQ15" s="521" t="e">
        <f>IF(données_step[[#This Row],[E_NTOT]]/données_step[[#This Row],[E_DCO]]=0,NA(),données_step[[#This Row],[E_NTOT]]/données_step[[#This Row],[E_DCO]])</f>
        <v>#DIV/0!</v>
      </c>
      <c r="BR15" s="521" t="e">
        <f>IF(données_step[[#This Row],[E_PTOT]]/données_step[[#This Row],[E_DCO]]=0,NA(),données_step[[#This Row],[E_PTOT]]/données_step[[#This Row],[E_DCO]])</f>
        <v>#DIV/0!</v>
      </c>
      <c r="BS15" s="747" t="e">
        <f ca="1">test_NH4_temp(données_step[[#This Row],[S_NH4]],données_step[[#This Row],[Temp_eaux]])</f>
        <v>#NAME?</v>
      </c>
    </row>
    <row r="16" spans="1:71" x14ac:dyDescent="0.2">
      <c r="A16" s="222">
        <f>données_step[[#This Row],[Datum]]</f>
        <v>44567</v>
      </c>
      <c r="B16" s="223"/>
      <c r="C16" s="224">
        <f t="shared" si="0"/>
        <v>5</v>
      </c>
      <c r="D16" s="523" t="str">
        <f>IF(OR(données_step[[#This Row],[E_DBO5]]&lt;=0,données_step[[#This Row],[E_DBO5]]=""),"",données_step[[#This Row],[D_QTRAI]]*données_step[[#This Row],[E_DBO5]]/1000)</f>
        <v/>
      </c>
      <c r="E16" s="523" t="str">
        <f>IF(OR(données_step[[#This Row],[E_DCO]]&lt;=0,données_step[[#This Row],[E_DCO]]=""),"",données_step[[#This Row],[D_QTRAI]]*données_step[[#This Row],[E_DCO]]/1000)</f>
        <v/>
      </c>
      <c r="F16" s="523" t="str">
        <f>IF(OR(données_step[[#This Row],[E_COT]]&lt;=0,données_step[[#This Row],[E_COT]]=""),"",données_step[[#This Row],[D_QTRAI]]*données_step[[#This Row],[E_COT]]/1000)</f>
        <v/>
      </c>
      <c r="G16" s="523" t="str">
        <f>IF(OR(données_step[[#This Row],[E_NH4]]&lt;=0,données_step[[#This Row],[E_NH4]]=""),"",données_step[[#This Row],[D_QTRAI]]*données_step[[#This Row],[E_NH4]]/1000)</f>
        <v/>
      </c>
      <c r="H16" s="523" t="str">
        <f>IF(OR(données_step[[#This Row],[E_NTOT]]&lt;=0,données_step[[#This Row],[E_NTOT]]=""),"",données_step[[#This Row],[D_QTRAI]]*données_step[[#This Row],[E_NTOT]]/1000)</f>
        <v/>
      </c>
      <c r="I16" s="523" t="str">
        <f>IF(OR(données_step[[#This Row],[E_NTOT]]&lt;=0,données_step[[#This Row],[E_NTOT]]=""),"",données_step[[#This Row],[D_QTRAI]]*données_step[[#This Row],[E_PTOT]]/1000)</f>
        <v/>
      </c>
      <c r="J16" s="523" t="str">
        <f>IF(OR(données_step[[#This Row],[S_DBO5]]&lt;=0,données_step[[#This Row],[S_DBO5]]=""),"",données_step[[#This Row],[D_QTRAI]]*données_step[[#This Row],[S_DBO5]]/1000)</f>
        <v/>
      </c>
      <c r="K16" s="523" t="str">
        <f>IF(OR(données_step[[#This Row],[S_DCO]]&lt;=0,données_step[[#This Row],[S_DCO]]=""),"",données_step[[#This Row],[D_QTRAI]]*données_step[[#This Row],[S_DCO]]/1000)</f>
        <v/>
      </c>
      <c r="L16" s="523" t="str">
        <f>IF(OR(données_step[[#This Row],[S_COD]]&lt;=0,données_step[[#This Row],[S_COD]]=""),"",données_step[[#This Row],[D_QTRAI]]*données_step[[#This Row],[S_COD]]/1000)</f>
        <v/>
      </c>
      <c r="M16" s="523" t="str">
        <f>IF(OR(données_step[[#This Row],[S_NH4]]&lt;=0,données_step[[#This Row],[S_NH4]]=""),"",données_step[[#This Row],[D_QTRAI]]*données_step[[#This Row],[S_NH4]]/1000)</f>
        <v/>
      </c>
      <c r="N16" s="523" t="str">
        <f>IF(OR(données_step[[#This Row],[S_NO2]]&lt;=0,données_step[[#This Row],[S_NO2]]=""),"",données_step[[#This Row],[D_QTRAI]]*données_step[[#This Row],[S_NO2]]/1000)</f>
        <v/>
      </c>
      <c r="O16" s="523" t="str">
        <f>IF(OR(données_step[[#This Row],[S_NO3]]&lt;=0,données_step[[#This Row],[S_NO3]]=""),"",données_step[[#This Row],[D_QTRAI]]*données_step[[#This Row],[S_NO3]]/1000)</f>
        <v/>
      </c>
      <c r="P16" s="523" t="str">
        <f>IF(OR(données_step[[#This Row],[S_PTOT]]&lt;=0,données_step[[#This Row],[S_PTOT]]=""),"",données_step[[#This Row],[D_QTRAI]]*données_step[[#This Row],[S_PTOT]]/1000)</f>
        <v/>
      </c>
      <c r="Q16" s="523" t="str">
        <f>IF(OR(données_step[[#This Row],[S_MES]]&lt;=0,données_step[[#This Row],[S_MES]]=""),"",données_step[[#This Row],[D_QTRAI]]*données_step[[#This Row],[S_MES]]/1000)</f>
        <v/>
      </c>
      <c r="R16" s="523">
        <f>MAX(données_step[[#This Row],[D_QTRAI]],données_step[[#This Row],[D_QTRAI2]])</f>
        <v>0</v>
      </c>
      <c r="S16" s="523" t="str">
        <f>IF(AND($R16&gt;0,données_step[[#This Row],[E_DCO]]&gt;0),données_step[[#This Row],[E_DCO]],"")</f>
        <v/>
      </c>
      <c r="T16" s="523" t="str">
        <f>IF(S16="","",(1-données_step[[#This Row],[E_DCO]]/$V$7)*100)</f>
        <v/>
      </c>
      <c r="U16" s="523" t="str">
        <f t="shared" si="1"/>
        <v/>
      </c>
      <c r="V16" s="523" t="str">
        <f t="shared" si="2"/>
        <v/>
      </c>
      <c r="W16" s="523" t="str">
        <f t="shared" si="3"/>
        <v/>
      </c>
      <c r="X16" s="523" t="e">
        <f>IF(((100-100/$V$7*données_step[[#This Row],[E_DCO]])/100*QTS)&lt;0,NA(),IF(OR(U16&lt;0,U16=""),NA(),((100-100/$V$7*données_step[[#This Row],[E_DCO]])/100*QTS)))</f>
        <v>#NUM!</v>
      </c>
      <c r="Y16" s="523" t="str">
        <f>IF(AND($R16&gt;0,données_step[[#This Row],[E_COT]]&gt;0),données_step[[#This Row],[E_COT]],"")</f>
        <v/>
      </c>
      <c r="Z16" s="523" t="str">
        <f>IF(Y16="","",(1-données_step[[#This Row],[E_COT]]/$AB$7)*100)</f>
        <v/>
      </c>
      <c r="AA16" s="523" t="str">
        <f t="shared" si="4"/>
        <v/>
      </c>
      <c r="AB16" s="523" t="str">
        <f t="shared" si="5"/>
        <v/>
      </c>
      <c r="AC16" s="523" t="str">
        <f t="shared" si="6"/>
        <v/>
      </c>
      <c r="AD16" s="523" t="e">
        <f>IF(((100-100/$AB$7*données_step[[#This Row],[E_COT]])/100*QTS)&lt;0,NA(),IF(OR(AA16&lt;0,AA16=""),NA(),((100-100/$AB$7*données_step[[#This Row],[E_COT]])/100*QTS)))</f>
        <v>#NUM!</v>
      </c>
      <c r="AE16" s="523" t="str">
        <f>IF(AND($R16&gt;0,données_step[[#This Row],[E_NH4]]&gt;0),données_step[[#This Row],[E_NH4]],"")</f>
        <v/>
      </c>
      <c r="AF16" s="523" t="str">
        <f>IF(AE16="","",(1-données_step[[#This Row],[E_NH4]]/$AH$7)*100)</f>
        <v/>
      </c>
      <c r="AG16" s="523" t="str">
        <f t="shared" si="7"/>
        <v/>
      </c>
      <c r="AH16" s="523" t="str">
        <f t="shared" si="8"/>
        <v/>
      </c>
      <c r="AI16" s="523" t="str">
        <f t="shared" si="9"/>
        <v/>
      </c>
      <c r="AJ16" s="523" t="e">
        <f>IF(((100-100/$AH$7*données_step[[#This Row],[E_NH4]])/100*QTS)&lt;0,NA(),IF(OR(AG16&lt;0,AG16=""),NA(),((100-100/$AH$7*données_step[[#This Row],[E_NH4]])/100*QTS)))</f>
        <v>#NUM!</v>
      </c>
      <c r="AK16" s="523" t="str">
        <f>IF(AND($R16&gt;0,données_step[[#This Row],[E_PTOT]]&gt;0),données_step[[#This Row],[E_PTOT]],"")</f>
        <v/>
      </c>
      <c r="AL16" s="523" t="str">
        <f>IF(AK16="","",(1-données_step[[#This Row],[E_PTOT]]/$AN$7)*100)</f>
        <v/>
      </c>
      <c r="AM16" s="523" t="str">
        <f t="shared" si="10"/>
        <v/>
      </c>
      <c r="AN16" s="523" t="str">
        <f t="shared" si="11"/>
        <v/>
      </c>
      <c r="AO16" s="523" t="str">
        <f t="shared" si="12"/>
        <v/>
      </c>
      <c r="AP16" s="523" t="e">
        <f>IF(((100-100/$AN$7*données_step[[#This Row],[E_PTOT]])/100*QTS)&lt;0,NA(),IF(OR(AM16&lt;0,AM16=""),NA(),((100-100/$AN$7*données_step[[#This Row],[E_PTOT]])/100*QTS)))</f>
        <v>#NUM!</v>
      </c>
      <c r="AQ16" s="524" t="e">
        <f t="shared" si="13"/>
        <v>#NUM!</v>
      </c>
      <c r="AR16" s="524" t="str">
        <f t="shared" si="14"/>
        <v/>
      </c>
      <c r="AT16" s="526">
        <f t="shared" si="15"/>
        <v>0.05</v>
      </c>
      <c r="AU16" s="14">
        <f t="shared" si="16"/>
        <v>5</v>
      </c>
      <c r="AV16" s="525" t="e">
        <f>PERCENTILE(analyses!$F$11:$F$375,$AT16)</f>
        <v>#NUM!</v>
      </c>
      <c r="AW16" s="7" t="e">
        <f>PERCENTILE(analyses!$I$11:$I$375,$AT16)</f>
        <v>#NUM!</v>
      </c>
      <c r="AX16" s="7" t="e">
        <f>PERCENTILE(analyses!$J$11:$J$375,$AT16)</f>
        <v>#NUM!</v>
      </c>
      <c r="AY16" s="523" t="str">
        <f>_xlfn.IFNA(IF(données_step[[#This Row],[E_DCO]]&lt;=0,NA(),charge_entree[[#This Row],[ch_E_DCO]]/constanten!$B$8*1000),"")</f>
        <v/>
      </c>
      <c r="AZ16" s="523" t="str">
        <f>_xlfn.IFNA(IF(données_step[[#This Row],[E_NTOT]]&lt;=0,NA(),charge_entree[[#This Row],[ch_E_NTOT]]/constanten!$B$10*1000),"")</f>
        <v/>
      </c>
      <c r="BA16" s="523" t="str">
        <f>_xlfn.IFNA(IF(données_step[[#This Row],[E_NH4]]&lt;=0,NA(),charge_entree[[#This Row],[ch_E_NH4]]/constanten!$B$12*1000),"")</f>
        <v/>
      </c>
      <c r="BB16" s="523" t="str">
        <f>_xlfn.IFNA(IF(données_step[[#This Row],[E_COT]]&lt;=0,NA(),charge_entree[[#This Row],[ch_E_COT]]/constanten!$B$9*1000),"")</f>
        <v/>
      </c>
      <c r="BC16" s="523" t="str">
        <f>IFERROR(_xlfn.IFNA(IF(données_step[[#This Row],[E_PTOT]]&lt;=0,NA(),charge_entree[[#This Row],[ch_E_PTOT]]/constanten!$B$15*1000),""),"")</f>
        <v/>
      </c>
      <c r="BD16" s="535" t="e">
        <f>calculs!E16 * (1-0.4) / (données_step[[#This Row],[X_BA_VOL]]*données_step[[#This Row],[X_BACONC]])</f>
        <v>#VALUE!</v>
      </c>
      <c r="BE16" s="522" t="e">
        <f>(données_step[[#This Row],[X_BA_VOL]]*données_step[[#This Row],[X_BACONC]])/((données_step[[#This Row],[D_QTRAI2]]*données_step[[#This Row],[S_MES]]/1000)+(données_step[[#This Row],[X_BX_Q]]*données_step[[#This Row],[X_BXCONC]]))</f>
        <v>#VALUE!</v>
      </c>
      <c r="BF16" s="890" t="str">
        <f>IFERROR(données_step[[#This Row],[D_QTRAI]]/AY16*1000,"")</f>
        <v/>
      </c>
      <c r="BG16" s="535" t="str">
        <f>IFERROR(1-données_step[[#This Row],[S_DBO5]]/données_step[[#This Row],[E_DBO5]],"")</f>
        <v/>
      </c>
      <c r="BH16" s="536" t="str">
        <f>IFERROR(1-données_step[[#This Row],[S_DCO]]/données_step[[#This Row],[E_DCO]],"")</f>
        <v/>
      </c>
      <c r="BI16" s="535" t="str">
        <f>IFERROR(1-données_step[[#This Row],[S_COD]]/données_step[[#This Row],[E_COT]],"")</f>
        <v/>
      </c>
      <c r="BJ16" s="535" t="str">
        <f>IFERROR(1-données_step[[#This Row],[S_NH4]]/données_step[[#This Row],[E_NTOT]],"")</f>
        <v/>
      </c>
      <c r="BK16" s="535" t="str">
        <f>IFERROR(1-données_step[[#This Row],[S_PTOT]]/données_step[[#This Row],[E_PTOT]],"")</f>
        <v/>
      </c>
      <c r="BL16" s="521" t="str">
        <f>IFERROR(IF(données_step[[#This Row],[E_DCO]]/données_step[[#This Row],[E_DBO5]]=0,NA(),données_step[[#This Row],[E_DCO]]/données_step[[#This Row],[E_DBO5]]),"")</f>
        <v/>
      </c>
      <c r="BM16" s="521" t="str">
        <f>IFERROR(IF(données_step[[#This Row],[E_NH4]]/données_step[[#This Row],[E_NTOT]]=0,NA(),données_step[[#This Row],[E_NH4]]/données_step[[#This Row],[E_NTOT]]),"")</f>
        <v/>
      </c>
      <c r="BN16" s="521" t="str">
        <f>IFERROR(IF(données_step[[#This Row],[E_NTOT]]/données_step[[#This Row],[E_COT]]=0,NA(),données_step[[#This Row],[E_NTOT]]/données_step[[#This Row],[E_COT]]),"")</f>
        <v/>
      </c>
      <c r="BO16" s="521" t="str">
        <f>IFERROR(IF(données_step[[#This Row],[E_PTOT]]/données_step[[#This Row],[E_COT]]=0,NA(),données_step[[#This Row],[E_PTOT]]/données_step[[#This Row],[E_COT]]),"")</f>
        <v/>
      </c>
      <c r="BP16" s="521" t="e">
        <f>IF(données_step[[#This Row],[E_DCO]]/données_step[[#This Row],[E_COT]]=0,NA(),données_step[[#This Row],[E_DCO]]/données_step[[#This Row],[E_COT]])</f>
        <v>#DIV/0!</v>
      </c>
      <c r="BQ16" s="521" t="e">
        <f>IF(données_step[[#This Row],[E_NTOT]]/données_step[[#This Row],[E_DCO]]=0,NA(),données_step[[#This Row],[E_NTOT]]/données_step[[#This Row],[E_DCO]])</f>
        <v>#DIV/0!</v>
      </c>
      <c r="BR16" s="521" t="e">
        <f>IF(données_step[[#This Row],[E_PTOT]]/données_step[[#This Row],[E_DCO]]=0,NA(),données_step[[#This Row],[E_PTOT]]/données_step[[#This Row],[E_DCO]])</f>
        <v>#DIV/0!</v>
      </c>
      <c r="BS16" s="747" t="e">
        <f ca="1">test_NH4_temp(données_step[[#This Row],[S_NH4]],données_step[[#This Row],[Temp_eaux]])</f>
        <v>#NAME?</v>
      </c>
    </row>
    <row r="17" spans="1:71" x14ac:dyDescent="0.2">
      <c r="A17" s="222">
        <f>données_step[[#This Row],[Datum]]</f>
        <v>44568</v>
      </c>
      <c r="B17" s="223"/>
      <c r="C17" s="224">
        <f t="shared" si="0"/>
        <v>6</v>
      </c>
      <c r="D17" s="523" t="str">
        <f>IF(OR(données_step[[#This Row],[E_DBO5]]&lt;=0,données_step[[#This Row],[E_DBO5]]=""),"",données_step[[#This Row],[D_QTRAI]]*données_step[[#This Row],[E_DBO5]]/1000)</f>
        <v/>
      </c>
      <c r="E17" s="523" t="str">
        <f>IF(OR(données_step[[#This Row],[E_DCO]]&lt;=0,données_step[[#This Row],[E_DCO]]=""),"",données_step[[#This Row],[D_QTRAI]]*données_step[[#This Row],[E_DCO]]/1000)</f>
        <v/>
      </c>
      <c r="F17" s="523" t="str">
        <f>IF(OR(données_step[[#This Row],[E_COT]]&lt;=0,données_step[[#This Row],[E_COT]]=""),"",données_step[[#This Row],[D_QTRAI]]*données_step[[#This Row],[E_COT]]/1000)</f>
        <v/>
      </c>
      <c r="G17" s="523" t="str">
        <f>IF(OR(données_step[[#This Row],[E_NH4]]&lt;=0,données_step[[#This Row],[E_NH4]]=""),"",données_step[[#This Row],[D_QTRAI]]*données_step[[#This Row],[E_NH4]]/1000)</f>
        <v/>
      </c>
      <c r="H17" s="523" t="str">
        <f>IF(OR(données_step[[#This Row],[E_NTOT]]&lt;=0,données_step[[#This Row],[E_NTOT]]=""),"",données_step[[#This Row],[D_QTRAI]]*données_step[[#This Row],[E_NTOT]]/1000)</f>
        <v/>
      </c>
      <c r="I17" s="523" t="str">
        <f>IF(OR(données_step[[#This Row],[E_NTOT]]&lt;=0,données_step[[#This Row],[E_NTOT]]=""),"",données_step[[#This Row],[D_QTRAI]]*données_step[[#This Row],[E_PTOT]]/1000)</f>
        <v/>
      </c>
      <c r="J17" s="523" t="str">
        <f>IF(OR(données_step[[#This Row],[S_DBO5]]&lt;=0,données_step[[#This Row],[S_DBO5]]=""),"",données_step[[#This Row],[D_QTRAI]]*données_step[[#This Row],[S_DBO5]]/1000)</f>
        <v/>
      </c>
      <c r="K17" s="523" t="str">
        <f>IF(OR(données_step[[#This Row],[S_DCO]]&lt;=0,données_step[[#This Row],[S_DCO]]=""),"",données_step[[#This Row],[D_QTRAI]]*données_step[[#This Row],[S_DCO]]/1000)</f>
        <v/>
      </c>
      <c r="L17" s="523" t="str">
        <f>IF(OR(données_step[[#This Row],[S_COD]]&lt;=0,données_step[[#This Row],[S_COD]]=""),"",données_step[[#This Row],[D_QTRAI]]*données_step[[#This Row],[S_COD]]/1000)</f>
        <v/>
      </c>
      <c r="M17" s="523" t="str">
        <f>IF(OR(données_step[[#This Row],[S_NH4]]&lt;=0,données_step[[#This Row],[S_NH4]]=""),"",données_step[[#This Row],[D_QTRAI]]*données_step[[#This Row],[S_NH4]]/1000)</f>
        <v/>
      </c>
      <c r="N17" s="523" t="str">
        <f>IF(OR(données_step[[#This Row],[S_NO2]]&lt;=0,données_step[[#This Row],[S_NO2]]=""),"",données_step[[#This Row],[D_QTRAI]]*données_step[[#This Row],[S_NO2]]/1000)</f>
        <v/>
      </c>
      <c r="O17" s="523" t="str">
        <f>IF(OR(données_step[[#This Row],[S_NO3]]&lt;=0,données_step[[#This Row],[S_NO3]]=""),"",données_step[[#This Row],[D_QTRAI]]*données_step[[#This Row],[S_NO3]]/1000)</f>
        <v/>
      </c>
      <c r="P17" s="523" t="str">
        <f>IF(OR(données_step[[#This Row],[S_PTOT]]&lt;=0,données_step[[#This Row],[S_PTOT]]=""),"",données_step[[#This Row],[D_QTRAI]]*données_step[[#This Row],[S_PTOT]]/1000)</f>
        <v/>
      </c>
      <c r="Q17" s="523" t="str">
        <f>IF(OR(données_step[[#This Row],[S_MES]]&lt;=0,données_step[[#This Row],[S_MES]]=""),"",données_step[[#This Row],[D_QTRAI]]*données_step[[#This Row],[S_MES]]/1000)</f>
        <v/>
      </c>
      <c r="R17" s="523">
        <f>MAX(données_step[[#This Row],[D_QTRAI]],données_step[[#This Row],[D_QTRAI2]])</f>
        <v>0</v>
      </c>
      <c r="S17" s="523" t="str">
        <f>IF(AND($R17&gt;0,données_step[[#This Row],[E_DCO]]&gt;0),données_step[[#This Row],[E_DCO]],"")</f>
        <v/>
      </c>
      <c r="T17" s="523" t="str">
        <f>IF(S17="","",(1-données_step[[#This Row],[E_DCO]]/$V$7)*100)</f>
        <v/>
      </c>
      <c r="U17" s="523" t="str">
        <f t="shared" si="1"/>
        <v/>
      </c>
      <c r="V17" s="523" t="str">
        <f t="shared" si="2"/>
        <v/>
      </c>
      <c r="W17" s="523" t="str">
        <f t="shared" si="3"/>
        <v/>
      </c>
      <c r="X17" s="523" t="e">
        <f>IF(((100-100/$V$7*données_step[[#This Row],[E_DCO]])/100*QTS)&lt;0,NA(),IF(OR(U17&lt;0,U17=""),NA(),((100-100/$V$7*données_step[[#This Row],[E_DCO]])/100*QTS)))</f>
        <v>#NUM!</v>
      </c>
      <c r="Y17" s="523" t="str">
        <f>IF(AND($R17&gt;0,données_step[[#This Row],[E_COT]]&gt;0),données_step[[#This Row],[E_COT]],"")</f>
        <v/>
      </c>
      <c r="Z17" s="523" t="str">
        <f>IF(Y17="","",(1-données_step[[#This Row],[E_COT]]/$AB$7)*100)</f>
        <v/>
      </c>
      <c r="AA17" s="523" t="str">
        <f t="shared" si="4"/>
        <v/>
      </c>
      <c r="AB17" s="523" t="str">
        <f t="shared" si="5"/>
        <v/>
      </c>
      <c r="AC17" s="523" t="str">
        <f t="shared" si="6"/>
        <v/>
      </c>
      <c r="AD17" s="523" t="e">
        <f>IF(((100-100/$AB$7*données_step[[#This Row],[E_COT]])/100*QTS)&lt;0,NA(),IF(OR(AA17&lt;0,AA17=""),NA(),((100-100/$AB$7*données_step[[#This Row],[E_COT]])/100*QTS)))</f>
        <v>#NUM!</v>
      </c>
      <c r="AE17" s="523" t="str">
        <f>IF(AND($R17&gt;0,données_step[[#This Row],[E_NH4]]&gt;0),données_step[[#This Row],[E_NH4]],"")</f>
        <v/>
      </c>
      <c r="AF17" s="523" t="str">
        <f>IF(AE17="","",(1-données_step[[#This Row],[E_NH4]]/$AH$7)*100)</f>
        <v/>
      </c>
      <c r="AG17" s="523" t="str">
        <f t="shared" si="7"/>
        <v/>
      </c>
      <c r="AH17" s="523" t="str">
        <f t="shared" si="8"/>
        <v/>
      </c>
      <c r="AI17" s="523" t="str">
        <f t="shared" si="9"/>
        <v/>
      </c>
      <c r="AJ17" s="523" t="e">
        <f>IF(((100-100/$AH$7*données_step[[#This Row],[E_NH4]])/100*QTS)&lt;0,NA(),IF(OR(AG17&lt;0,AG17=""),NA(),((100-100/$AH$7*données_step[[#This Row],[E_NH4]])/100*QTS)))</f>
        <v>#NUM!</v>
      </c>
      <c r="AK17" s="523" t="str">
        <f>IF(AND($R17&gt;0,données_step[[#This Row],[E_PTOT]]&gt;0),données_step[[#This Row],[E_PTOT]],"")</f>
        <v/>
      </c>
      <c r="AL17" s="523" t="str">
        <f>IF(AK17="","",(1-données_step[[#This Row],[E_PTOT]]/$AN$7)*100)</f>
        <v/>
      </c>
      <c r="AM17" s="523" t="str">
        <f t="shared" si="10"/>
        <v/>
      </c>
      <c r="AN17" s="523" t="str">
        <f t="shared" si="11"/>
        <v/>
      </c>
      <c r="AO17" s="523" t="str">
        <f t="shared" si="12"/>
        <v/>
      </c>
      <c r="AP17" s="523" t="e">
        <f>IF(((100-100/$AN$7*données_step[[#This Row],[E_PTOT]])/100*QTS)&lt;0,NA(),IF(OR(AM17&lt;0,AM17=""),NA(),((100-100/$AN$7*données_step[[#This Row],[E_PTOT]])/100*QTS)))</f>
        <v>#NUM!</v>
      </c>
      <c r="AQ17" s="524" t="e">
        <f t="shared" si="13"/>
        <v>#NUM!</v>
      </c>
      <c r="AR17" s="524" t="str">
        <f t="shared" si="14"/>
        <v/>
      </c>
      <c r="AT17" s="517">
        <f t="shared" si="15"/>
        <v>0.06</v>
      </c>
      <c r="AU17" s="501">
        <f t="shared" si="16"/>
        <v>6</v>
      </c>
      <c r="AV17" s="525" t="e">
        <f>PERCENTILE(analyses!$F$11:$F$375,$AT17)</f>
        <v>#NUM!</v>
      </c>
      <c r="AW17" s="7" t="e">
        <f>PERCENTILE(analyses!$I$11:$I$375,$AT17)</f>
        <v>#NUM!</v>
      </c>
      <c r="AX17" s="7" t="e">
        <f>PERCENTILE(analyses!$J$11:$J$375,$AT17)</f>
        <v>#NUM!</v>
      </c>
      <c r="AY17" s="523" t="str">
        <f>_xlfn.IFNA(IF(données_step[[#This Row],[E_DCO]]&lt;=0,NA(),charge_entree[[#This Row],[ch_E_DCO]]/constanten!$B$8*1000),"")</f>
        <v/>
      </c>
      <c r="AZ17" s="523" t="str">
        <f>_xlfn.IFNA(IF(données_step[[#This Row],[E_NTOT]]&lt;=0,NA(),charge_entree[[#This Row],[ch_E_NTOT]]/constanten!$B$10*1000),"")</f>
        <v/>
      </c>
      <c r="BA17" s="523" t="str">
        <f>_xlfn.IFNA(IF(données_step[[#This Row],[E_NH4]]&lt;=0,NA(),charge_entree[[#This Row],[ch_E_NH4]]/constanten!$B$12*1000),"")</f>
        <v/>
      </c>
      <c r="BB17" s="523" t="str">
        <f>_xlfn.IFNA(IF(données_step[[#This Row],[E_COT]]&lt;=0,NA(),charge_entree[[#This Row],[ch_E_COT]]/constanten!$B$9*1000),"")</f>
        <v/>
      </c>
      <c r="BC17" s="523" t="str">
        <f>IFERROR(_xlfn.IFNA(IF(données_step[[#This Row],[E_PTOT]]&lt;=0,NA(),charge_entree[[#This Row],[ch_E_PTOT]]/constanten!$B$15*1000),""),"")</f>
        <v/>
      </c>
      <c r="BD17" s="535" t="e">
        <f>calculs!E17 * (1-0.4) / (données_step[[#This Row],[X_BA_VOL]]*données_step[[#This Row],[X_BACONC]])</f>
        <v>#VALUE!</v>
      </c>
      <c r="BE17" s="522" t="e">
        <f>(données_step[[#This Row],[X_BA_VOL]]*données_step[[#This Row],[X_BACONC]])/((données_step[[#This Row],[D_QTRAI2]]*données_step[[#This Row],[S_MES]]/1000)+(données_step[[#This Row],[X_BX_Q]]*données_step[[#This Row],[X_BXCONC]]))</f>
        <v>#VALUE!</v>
      </c>
      <c r="BF17" s="890" t="str">
        <f>IFERROR(données_step[[#This Row],[D_QTRAI]]/AY17*1000,"")</f>
        <v/>
      </c>
      <c r="BG17" s="535" t="str">
        <f>IFERROR(1-données_step[[#This Row],[S_DBO5]]/données_step[[#This Row],[E_DBO5]],"")</f>
        <v/>
      </c>
      <c r="BH17" s="536" t="str">
        <f>IFERROR(1-données_step[[#This Row],[S_DCO]]/données_step[[#This Row],[E_DCO]],"")</f>
        <v/>
      </c>
      <c r="BI17" s="535" t="str">
        <f>IFERROR(1-données_step[[#This Row],[S_COD]]/données_step[[#This Row],[E_COT]],"")</f>
        <v/>
      </c>
      <c r="BJ17" s="535" t="str">
        <f>IFERROR(1-données_step[[#This Row],[S_NH4]]/données_step[[#This Row],[E_NTOT]],"")</f>
        <v/>
      </c>
      <c r="BK17" s="535" t="str">
        <f>IFERROR(1-données_step[[#This Row],[S_PTOT]]/données_step[[#This Row],[E_PTOT]],"")</f>
        <v/>
      </c>
      <c r="BL17" s="521" t="str">
        <f>IFERROR(IF(données_step[[#This Row],[E_DCO]]/données_step[[#This Row],[E_DBO5]]=0,NA(),données_step[[#This Row],[E_DCO]]/données_step[[#This Row],[E_DBO5]]),"")</f>
        <v/>
      </c>
      <c r="BM17" s="521" t="str">
        <f>IFERROR(IF(données_step[[#This Row],[E_NH4]]/données_step[[#This Row],[E_NTOT]]=0,NA(),données_step[[#This Row],[E_NH4]]/données_step[[#This Row],[E_NTOT]]),"")</f>
        <v/>
      </c>
      <c r="BN17" s="521" t="str">
        <f>IFERROR(IF(données_step[[#This Row],[E_NTOT]]/données_step[[#This Row],[E_COT]]=0,NA(),données_step[[#This Row],[E_NTOT]]/données_step[[#This Row],[E_COT]]),"")</f>
        <v/>
      </c>
      <c r="BO17" s="521" t="str">
        <f>IFERROR(IF(données_step[[#This Row],[E_PTOT]]/données_step[[#This Row],[E_COT]]=0,NA(),données_step[[#This Row],[E_PTOT]]/données_step[[#This Row],[E_COT]]),"")</f>
        <v/>
      </c>
      <c r="BP17" s="521" t="e">
        <f>IF(données_step[[#This Row],[E_DCO]]/données_step[[#This Row],[E_COT]]=0,NA(),données_step[[#This Row],[E_DCO]]/données_step[[#This Row],[E_COT]])</f>
        <v>#DIV/0!</v>
      </c>
      <c r="BQ17" s="521" t="e">
        <f>IF(données_step[[#This Row],[E_NTOT]]/données_step[[#This Row],[E_DCO]]=0,NA(),données_step[[#This Row],[E_NTOT]]/données_step[[#This Row],[E_DCO]])</f>
        <v>#DIV/0!</v>
      </c>
      <c r="BR17" s="521" t="e">
        <f>IF(données_step[[#This Row],[E_PTOT]]/données_step[[#This Row],[E_DCO]]=0,NA(),données_step[[#This Row],[E_PTOT]]/données_step[[#This Row],[E_DCO]])</f>
        <v>#DIV/0!</v>
      </c>
      <c r="BS17" s="747" t="e">
        <f ca="1">test_NH4_temp(données_step[[#This Row],[S_NH4]],données_step[[#This Row],[Temp_eaux]])</f>
        <v>#NAME?</v>
      </c>
    </row>
    <row r="18" spans="1:71" x14ac:dyDescent="0.2">
      <c r="A18" s="222">
        <f>données_step[[#This Row],[Datum]]</f>
        <v>44569</v>
      </c>
      <c r="B18" s="223"/>
      <c r="C18" s="224">
        <f t="shared" si="0"/>
        <v>7</v>
      </c>
      <c r="D18" s="523" t="str">
        <f>IF(OR(données_step[[#This Row],[E_DBO5]]&lt;=0,données_step[[#This Row],[E_DBO5]]=""),"",données_step[[#This Row],[D_QTRAI]]*données_step[[#This Row],[E_DBO5]]/1000)</f>
        <v/>
      </c>
      <c r="E18" s="523" t="str">
        <f>IF(OR(données_step[[#This Row],[E_DCO]]&lt;=0,données_step[[#This Row],[E_DCO]]=""),"",données_step[[#This Row],[D_QTRAI]]*données_step[[#This Row],[E_DCO]]/1000)</f>
        <v/>
      </c>
      <c r="F18" s="523" t="str">
        <f>IF(OR(données_step[[#This Row],[E_COT]]&lt;=0,données_step[[#This Row],[E_COT]]=""),"",données_step[[#This Row],[D_QTRAI]]*données_step[[#This Row],[E_COT]]/1000)</f>
        <v/>
      </c>
      <c r="G18" s="523" t="str">
        <f>IF(OR(données_step[[#This Row],[E_NH4]]&lt;=0,données_step[[#This Row],[E_NH4]]=""),"",données_step[[#This Row],[D_QTRAI]]*données_step[[#This Row],[E_NH4]]/1000)</f>
        <v/>
      </c>
      <c r="H18" s="523" t="str">
        <f>IF(OR(données_step[[#This Row],[E_NTOT]]&lt;=0,données_step[[#This Row],[E_NTOT]]=""),"",données_step[[#This Row],[D_QTRAI]]*données_step[[#This Row],[E_NTOT]]/1000)</f>
        <v/>
      </c>
      <c r="I18" s="523" t="str">
        <f>IF(OR(données_step[[#This Row],[E_NTOT]]&lt;=0,données_step[[#This Row],[E_NTOT]]=""),"",données_step[[#This Row],[D_QTRAI]]*données_step[[#This Row],[E_PTOT]]/1000)</f>
        <v/>
      </c>
      <c r="J18" s="523" t="str">
        <f>IF(OR(données_step[[#This Row],[S_DBO5]]&lt;=0,données_step[[#This Row],[S_DBO5]]=""),"",données_step[[#This Row],[D_QTRAI]]*données_step[[#This Row],[S_DBO5]]/1000)</f>
        <v/>
      </c>
      <c r="K18" s="523" t="str">
        <f>IF(OR(données_step[[#This Row],[S_DCO]]&lt;=0,données_step[[#This Row],[S_DCO]]=""),"",données_step[[#This Row],[D_QTRAI]]*données_step[[#This Row],[S_DCO]]/1000)</f>
        <v/>
      </c>
      <c r="L18" s="523" t="str">
        <f>IF(OR(données_step[[#This Row],[S_COD]]&lt;=0,données_step[[#This Row],[S_COD]]=""),"",données_step[[#This Row],[D_QTRAI]]*données_step[[#This Row],[S_COD]]/1000)</f>
        <v/>
      </c>
      <c r="M18" s="523" t="str">
        <f>IF(OR(données_step[[#This Row],[S_NH4]]&lt;=0,données_step[[#This Row],[S_NH4]]=""),"",données_step[[#This Row],[D_QTRAI]]*données_step[[#This Row],[S_NH4]]/1000)</f>
        <v/>
      </c>
      <c r="N18" s="523" t="str">
        <f>IF(OR(données_step[[#This Row],[S_NO2]]&lt;=0,données_step[[#This Row],[S_NO2]]=""),"",données_step[[#This Row],[D_QTRAI]]*données_step[[#This Row],[S_NO2]]/1000)</f>
        <v/>
      </c>
      <c r="O18" s="523" t="str">
        <f>IF(OR(données_step[[#This Row],[S_NO3]]&lt;=0,données_step[[#This Row],[S_NO3]]=""),"",données_step[[#This Row],[D_QTRAI]]*données_step[[#This Row],[S_NO3]]/1000)</f>
        <v/>
      </c>
      <c r="P18" s="523" t="str">
        <f>IF(OR(données_step[[#This Row],[S_PTOT]]&lt;=0,données_step[[#This Row],[S_PTOT]]=""),"",données_step[[#This Row],[D_QTRAI]]*données_step[[#This Row],[S_PTOT]]/1000)</f>
        <v/>
      </c>
      <c r="Q18" s="523" t="str">
        <f>IF(OR(données_step[[#This Row],[S_MES]]&lt;=0,données_step[[#This Row],[S_MES]]=""),"",données_step[[#This Row],[D_QTRAI]]*données_step[[#This Row],[S_MES]]/1000)</f>
        <v/>
      </c>
      <c r="R18" s="523">
        <f>MAX(données_step[[#This Row],[D_QTRAI]],données_step[[#This Row],[D_QTRAI2]])</f>
        <v>0</v>
      </c>
      <c r="S18" s="523" t="str">
        <f>IF(AND($R18&gt;0,données_step[[#This Row],[E_DCO]]&gt;0),données_step[[#This Row],[E_DCO]],"")</f>
        <v/>
      </c>
      <c r="T18" s="523" t="str">
        <f>IF(S18="","",(1-données_step[[#This Row],[E_DCO]]/$V$7)*100)</f>
        <v/>
      </c>
      <c r="U18" s="523" t="str">
        <f t="shared" si="1"/>
        <v/>
      </c>
      <c r="V18" s="523" t="str">
        <f t="shared" si="2"/>
        <v/>
      </c>
      <c r="W18" s="523" t="str">
        <f t="shared" si="3"/>
        <v/>
      </c>
      <c r="X18" s="523" t="e">
        <f>IF(((100-100/$V$7*données_step[[#This Row],[E_DCO]])/100*QTS)&lt;0,NA(),IF(OR(U18&lt;0,U18=""),NA(),((100-100/$V$7*données_step[[#This Row],[E_DCO]])/100*QTS)))</f>
        <v>#NUM!</v>
      </c>
      <c r="Y18" s="523" t="str">
        <f>IF(AND($R18&gt;0,données_step[[#This Row],[E_COT]]&gt;0),données_step[[#This Row],[E_COT]],"")</f>
        <v/>
      </c>
      <c r="Z18" s="523" t="str">
        <f>IF(Y18="","",(1-données_step[[#This Row],[E_COT]]/$AB$7)*100)</f>
        <v/>
      </c>
      <c r="AA18" s="523" t="str">
        <f t="shared" si="4"/>
        <v/>
      </c>
      <c r="AB18" s="523" t="str">
        <f t="shared" si="5"/>
        <v/>
      </c>
      <c r="AC18" s="523" t="str">
        <f t="shared" si="6"/>
        <v/>
      </c>
      <c r="AD18" s="523" t="e">
        <f>IF(((100-100/$AB$7*données_step[[#This Row],[E_COT]])/100*QTS)&lt;0,NA(),IF(OR(AA18&lt;0,AA18=""),NA(),((100-100/$AB$7*données_step[[#This Row],[E_COT]])/100*QTS)))</f>
        <v>#NUM!</v>
      </c>
      <c r="AE18" s="523" t="str">
        <f>IF(AND($R18&gt;0,données_step[[#This Row],[E_NH4]]&gt;0),données_step[[#This Row],[E_NH4]],"")</f>
        <v/>
      </c>
      <c r="AF18" s="523" t="str">
        <f>IF(AE18="","",(1-données_step[[#This Row],[E_NH4]]/$AH$7)*100)</f>
        <v/>
      </c>
      <c r="AG18" s="523" t="str">
        <f t="shared" si="7"/>
        <v/>
      </c>
      <c r="AH18" s="523" t="str">
        <f t="shared" si="8"/>
        <v/>
      </c>
      <c r="AI18" s="523" t="str">
        <f t="shared" si="9"/>
        <v/>
      </c>
      <c r="AJ18" s="523" t="e">
        <f>IF(((100-100/$AH$7*données_step[[#This Row],[E_NH4]])/100*QTS)&lt;0,NA(),IF(OR(AG18&lt;0,AG18=""),NA(),((100-100/$AH$7*données_step[[#This Row],[E_NH4]])/100*QTS)))</f>
        <v>#NUM!</v>
      </c>
      <c r="AK18" s="523" t="str">
        <f>IF(AND($R18&gt;0,données_step[[#This Row],[E_PTOT]]&gt;0),données_step[[#This Row],[E_PTOT]],"")</f>
        <v/>
      </c>
      <c r="AL18" s="523" t="str">
        <f>IF(AK18="","",(1-données_step[[#This Row],[E_PTOT]]/$AN$7)*100)</f>
        <v/>
      </c>
      <c r="AM18" s="523" t="str">
        <f t="shared" si="10"/>
        <v/>
      </c>
      <c r="AN18" s="523" t="str">
        <f t="shared" si="11"/>
        <v/>
      </c>
      <c r="AO18" s="523" t="str">
        <f t="shared" si="12"/>
        <v/>
      </c>
      <c r="AP18" s="523" t="e">
        <f>IF(((100-100/$AN$7*données_step[[#This Row],[E_PTOT]])/100*QTS)&lt;0,NA(),IF(OR(AM18&lt;0,AM18=""),NA(),((100-100/$AN$7*données_step[[#This Row],[E_PTOT]])/100*QTS)))</f>
        <v>#NUM!</v>
      </c>
      <c r="AQ18" s="524" t="e">
        <f t="shared" si="13"/>
        <v>#NUM!</v>
      </c>
      <c r="AR18" s="524" t="str">
        <f t="shared" si="14"/>
        <v/>
      </c>
      <c r="AT18" s="517">
        <f t="shared" si="15"/>
        <v>7.0000000000000007E-2</v>
      </c>
      <c r="AU18" s="501">
        <f t="shared" si="16"/>
        <v>7</v>
      </c>
      <c r="AV18" s="525" t="e">
        <f>PERCENTILE(analyses!$F$11:$F$375,$AT18)</f>
        <v>#NUM!</v>
      </c>
      <c r="AW18" s="7" t="e">
        <f>PERCENTILE(analyses!$I$11:$I$375,$AT18)</f>
        <v>#NUM!</v>
      </c>
      <c r="AX18" s="7" t="e">
        <f>PERCENTILE(analyses!$J$11:$J$375,$AT18)</f>
        <v>#NUM!</v>
      </c>
      <c r="AY18" s="523" t="str">
        <f>_xlfn.IFNA(IF(données_step[[#This Row],[E_DCO]]&lt;=0,NA(),charge_entree[[#This Row],[ch_E_DCO]]/constanten!$B$8*1000),"")</f>
        <v/>
      </c>
      <c r="AZ18" s="523" t="str">
        <f>_xlfn.IFNA(IF(données_step[[#This Row],[E_NTOT]]&lt;=0,NA(),charge_entree[[#This Row],[ch_E_NTOT]]/constanten!$B$10*1000),"")</f>
        <v/>
      </c>
      <c r="BA18" s="523" t="str">
        <f>_xlfn.IFNA(IF(données_step[[#This Row],[E_NH4]]&lt;=0,NA(),charge_entree[[#This Row],[ch_E_NH4]]/constanten!$B$12*1000),"")</f>
        <v/>
      </c>
      <c r="BB18" s="523" t="str">
        <f>_xlfn.IFNA(IF(données_step[[#This Row],[E_COT]]&lt;=0,NA(),charge_entree[[#This Row],[ch_E_COT]]/constanten!$B$9*1000),"")</f>
        <v/>
      </c>
      <c r="BC18" s="523" t="str">
        <f>IFERROR(_xlfn.IFNA(IF(données_step[[#This Row],[E_PTOT]]&lt;=0,NA(),charge_entree[[#This Row],[ch_E_PTOT]]/constanten!$B$15*1000),""),"")</f>
        <v/>
      </c>
      <c r="BD18" s="535" t="e">
        <f>calculs!E18 * (1-0.4) / (données_step[[#This Row],[X_BA_VOL]]*données_step[[#This Row],[X_BACONC]])</f>
        <v>#VALUE!</v>
      </c>
      <c r="BE18" s="522" t="e">
        <f>(données_step[[#This Row],[X_BA_VOL]]*données_step[[#This Row],[X_BACONC]])/((données_step[[#This Row],[D_QTRAI2]]*données_step[[#This Row],[S_MES]]/1000)+(données_step[[#This Row],[X_BX_Q]]*données_step[[#This Row],[X_BXCONC]]))</f>
        <v>#VALUE!</v>
      </c>
      <c r="BF18" s="890" t="str">
        <f>IFERROR(données_step[[#This Row],[D_QTRAI]]/AY18*1000,"")</f>
        <v/>
      </c>
      <c r="BG18" s="535" t="str">
        <f>IFERROR(1-données_step[[#This Row],[S_DBO5]]/données_step[[#This Row],[E_DBO5]],"")</f>
        <v/>
      </c>
      <c r="BH18" s="536" t="str">
        <f>IFERROR(1-données_step[[#This Row],[S_DCO]]/données_step[[#This Row],[E_DCO]],"")</f>
        <v/>
      </c>
      <c r="BI18" s="535" t="str">
        <f>IFERROR(1-données_step[[#This Row],[S_COD]]/données_step[[#This Row],[E_COT]],"")</f>
        <v/>
      </c>
      <c r="BJ18" s="535" t="str">
        <f>IFERROR(1-données_step[[#This Row],[S_NH4]]/données_step[[#This Row],[E_NTOT]],"")</f>
        <v/>
      </c>
      <c r="BK18" s="535" t="str">
        <f>IFERROR(1-données_step[[#This Row],[S_PTOT]]/données_step[[#This Row],[E_PTOT]],"")</f>
        <v/>
      </c>
      <c r="BL18" s="521" t="str">
        <f>IFERROR(IF(données_step[[#This Row],[E_DCO]]/données_step[[#This Row],[E_DBO5]]=0,NA(),données_step[[#This Row],[E_DCO]]/données_step[[#This Row],[E_DBO5]]),"")</f>
        <v/>
      </c>
      <c r="BM18" s="521" t="str">
        <f>IFERROR(IF(données_step[[#This Row],[E_NH4]]/données_step[[#This Row],[E_NTOT]]=0,NA(),données_step[[#This Row],[E_NH4]]/données_step[[#This Row],[E_NTOT]]),"")</f>
        <v/>
      </c>
      <c r="BN18" s="521" t="str">
        <f>IFERROR(IF(données_step[[#This Row],[E_NTOT]]/données_step[[#This Row],[E_COT]]=0,NA(),données_step[[#This Row],[E_NTOT]]/données_step[[#This Row],[E_COT]]),"")</f>
        <v/>
      </c>
      <c r="BO18" s="521" t="str">
        <f>IFERROR(IF(données_step[[#This Row],[E_PTOT]]/données_step[[#This Row],[E_COT]]=0,NA(),données_step[[#This Row],[E_PTOT]]/données_step[[#This Row],[E_COT]]),"")</f>
        <v/>
      </c>
      <c r="BP18" s="521" t="e">
        <f>IF(données_step[[#This Row],[E_DCO]]/données_step[[#This Row],[E_COT]]=0,NA(),données_step[[#This Row],[E_DCO]]/données_step[[#This Row],[E_COT]])</f>
        <v>#DIV/0!</v>
      </c>
      <c r="BQ18" s="521" t="e">
        <f>IF(données_step[[#This Row],[E_NTOT]]/données_step[[#This Row],[E_DCO]]=0,NA(),données_step[[#This Row],[E_NTOT]]/données_step[[#This Row],[E_DCO]])</f>
        <v>#DIV/0!</v>
      </c>
      <c r="BR18" s="521" t="e">
        <f>IF(données_step[[#This Row],[E_PTOT]]/données_step[[#This Row],[E_DCO]]=0,NA(),données_step[[#This Row],[E_PTOT]]/données_step[[#This Row],[E_DCO]])</f>
        <v>#DIV/0!</v>
      </c>
      <c r="BS18" s="747" t="e">
        <f ca="1">test_NH4_temp(données_step[[#This Row],[S_NH4]],données_step[[#This Row],[Temp_eaux]])</f>
        <v>#NAME?</v>
      </c>
    </row>
    <row r="19" spans="1:71" x14ac:dyDescent="0.2">
      <c r="A19" s="222">
        <f>données_step[[#This Row],[Datum]]</f>
        <v>44570</v>
      </c>
      <c r="B19" s="223"/>
      <c r="C19" s="224">
        <f t="shared" si="0"/>
        <v>1</v>
      </c>
      <c r="D19" s="523" t="str">
        <f>IF(OR(données_step[[#This Row],[E_DBO5]]&lt;=0,données_step[[#This Row],[E_DBO5]]=""),"",données_step[[#This Row],[D_QTRAI]]*données_step[[#This Row],[E_DBO5]]/1000)</f>
        <v/>
      </c>
      <c r="E19" s="523" t="str">
        <f>IF(OR(données_step[[#This Row],[E_DCO]]&lt;=0,données_step[[#This Row],[E_DCO]]=""),"",données_step[[#This Row],[D_QTRAI]]*données_step[[#This Row],[E_DCO]]/1000)</f>
        <v/>
      </c>
      <c r="F19" s="523" t="str">
        <f>IF(OR(données_step[[#This Row],[E_COT]]&lt;=0,données_step[[#This Row],[E_COT]]=""),"",données_step[[#This Row],[D_QTRAI]]*données_step[[#This Row],[E_COT]]/1000)</f>
        <v/>
      </c>
      <c r="G19" s="523" t="str">
        <f>IF(OR(données_step[[#This Row],[E_NH4]]&lt;=0,données_step[[#This Row],[E_NH4]]=""),"",données_step[[#This Row],[D_QTRAI]]*données_step[[#This Row],[E_NH4]]/1000)</f>
        <v/>
      </c>
      <c r="H19" s="523" t="str">
        <f>IF(OR(données_step[[#This Row],[E_NTOT]]&lt;=0,données_step[[#This Row],[E_NTOT]]=""),"",données_step[[#This Row],[D_QTRAI]]*données_step[[#This Row],[E_NTOT]]/1000)</f>
        <v/>
      </c>
      <c r="I19" s="523" t="str">
        <f>IF(OR(données_step[[#This Row],[E_NTOT]]&lt;=0,données_step[[#This Row],[E_NTOT]]=""),"",données_step[[#This Row],[D_QTRAI]]*données_step[[#This Row],[E_PTOT]]/1000)</f>
        <v/>
      </c>
      <c r="J19" s="523" t="str">
        <f>IF(OR(données_step[[#This Row],[S_DBO5]]&lt;=0,données_step[[#This Row],[S_DBO5]]=""),"",données_step[[#This Row],[D_QTRAI]]*données_step[[#This Row],[S_DBO5]]/1000)</f>
        <v/>
      </c>
      <c r="K19" s="523" t="str">
        <f>IF(OR(données_step[[#This Row],[S_DCO]]&lt;=0,données_step[[#This Row],[S_DCO]]=""),"",données_step[[#This Row],[D_QTRAI]]*données_step[[#This Row],[S_DCO]]/1000)</f>
        <v/>
      </c>
      <c r="L19" s="523" t="str">
        <f>IF(OR(données_step[[#This Row],[S_COD]]&lt;=0,données_step[[#This Row],[S_COD]]=""),"",données_step[[#This Row],[D_QTRAI]]*données_step[[#This Row],[S_COD]]/1000)</f>
        <v/>
      </c>
      <c r="M19" s="523" t="str">
        <f>IF(OR(données_step[[#This Row],[S_NH4]]&lt;=0,données_step[[#This Row],[S_NH4]]=""),"",données_step[[#This Row],[D_QTRAI]]*données_step[[#This Row],[S_NH4]]/1000)</f>
        <v/>
      </c>
      <c r="N19" s="523" t="str">
        <f>IF(OR(données_step[[#This Row],[S_NO2]]&lt;=0,données_step[[#This Row],[S_NO2]]=""),"",données_step[[#This Row],[D_QTRAI]]*données_step[[#This Row],[S_NO2]]/1000)</f>
        <v/>
      </c>
      <c r="O19" s="523" t="str">
        <f>IF(OR(données_step[[#This Row],[S_NO3]]&lt;=0,données_step[[#This Row],[S_NO3]]=""),"",données_step[[#This Row],[D_QTRAI]]*données_step[[#This Row],[S_NO3]]/1000)</f>
        <v/>
      </c>
      <c r="P19" s="523" t="str">
        <f>IF(OR(données_step[[#This Row],[S_PTOT]]&lt;=0,données_step[[#This Row],[S_PTOT]]=""),"",données_step[[#This Row],[D_QTRAI]]*données_step[[#This Row],[S_PTOT]]/1000)</f>
        <v/>
      </c>
      <c r="Q19" s="523" t="str">
        <f>IF(OR(données_step[[#This Row],[S_MES]]&lt;=0,données_step[[#This Row],[S_MES]]=""),"",données_step[[#This Row],[D_QTRAI]]*données_step[[#This Row],[S_MES]]/1000)</f>
        <v/>
      </c>
      <c r="R19" s="523">
        <f>MAX(données_step[[#This Row],[D_QTRAI]],données_step[[#This Row],[D_QTRAI2]])</f>
        <v>0</v>
      </c>
      <c r="S19" s="523" t="str">
        <f>IF(AND($R19&gt;0,données_step[[#This Row],[E_DCO]]&gt;0),données_step[[#This Row],[E_DCO]],"")</f>
        <v/>
      </c>
      <c r="T19" s="523" t="str">
        <f>IF(S19="","",(1-données_step[[#This Row],[E_DCO]]/$V$7)*100)</f>
        <v/>
      </c>
      <c r="U19" s="523" t="str">
        <f t="shared" si="1"/>
        <v/>
      </c>
      <c r="V19" s="523" t="str">
        <f t="shared" si="2"/>
        <v/>
      </c>
      <c r="W19" s="523" t="str">
        <f t="shared" si="3"/>
        <v/>
      </c>
      <c r="X19" s="523" t="e">
        <f>IF(((100-100/$V$7*données_step[[#This Row],[E_DCO]])/100*QTS)&lt;0,NA(),IF(OR(U19&lt;0,U19=""),NA(),((100-100/$V$7*données_step[[#This Row],[E_DCO]])/100*QTS)))</f>
        <v>#NUM!</v>
      </c>
      <c r="Y19" s="523" t="str">
        <f>IF(AND($R19&gt;0,données_step[[#This Row],[E_COT]]&gt;0),données_step[[#This Row],[E_COT]],"")</f>
        <v/>
      </c>
      <c r="Z19" s="523" t="str">
        <f>IF(Y19="","",(1-données_step[[#This Row],[E_COT]]/$AB$7)*100)</f>
        <v/>
      </c>
      <c r="AA19" s="523" t="str">
        <f t="shared" si="4"/>
        <v/>
      </c>
      <c r="AB19" s="523" t="str">
        <f t="shared" si="5"/>
        <v/>
      </c>
      <c r="AC19" s="523" t="str">
        <f t="shared" si="6"/>
        <v/>
      </c>
      <c r="AD19" s="523" t="e">
        <f>IF(((100-100/$AB$7*données_step[[#This Row],[E_COT]])/100*QTS)&lt;0,NA(),IF(OR(AA19&lt;0,AA19=""),NA(),((100-100/$AB$7*données_step[[#This Row],[E_COT]])/100*QTS)))</f>
        <v>#NUM!</v>
      </c>
      <c r="AE19" s="523" t="str">
        <f>IF(AND($R19&gt;0,données_step[[#This Row],[E_NH4]]&gt;0),données_step[[#This Row],[E_NH4]],"")</f>
        <v/>
      </c>
      <c r="AF19" s="523" t="str">
        <f>IF(AE19="","",(1-données_step[[#This Row],[E_NH4]]/$AH$7)*100)</f>
        <v/>
      </c>
      <c r="AG19" s="523" t="str">
        <f t="shared" si="7"/>
        <v/>
      </c>
      <c r="AH19" s="523" t="str">
        <f t="shared" si="8"/>
        <v/>
      </c>
      <c r="AI19" s="523" t="str">
        <f t="shared" si="9"/>
        <v/>
      </c>
      <c r="AJ19" s="523" t="e">
        <f>IF(((100-100/$AH$7*données_step[[#This Row],[E_NH4]])/100*QTS)&lt;0,NA(),IF(OR(AG19&lt;0,AG19=""),NA(),((100-100/$AH$7*données_step[[#This Row],[E_NH4]])/100*QTS)))</f>
        <v>#NUM!</v>
      </c>
      <c r="AK19" s="523" t="str">
        <f>IF(AND($R19&gt;0,données_step[[#This Row],[E_PTOT]]&gt;0),données_step[[#This Row],[E_PTOT]],"")</f>
        <v/>
      </c>
      <c r="AL19" s="523" t="str">
        <f>IF(AK19="","",(1-données_step[[#This Row],[E_PTOT]]/$AN$7)*100)</f>
        <v/>
      </c>
      <c r="AM19" s="523" t="str">
        <f t="shared" si="10"/>
        <v/>
      </c>
      <c r="AN19" s="523" t="str">
        <f t="shared" si="11"/>
        <v/>
      </c>
      <c r="AO19" s="523" t="str">
        <f t="shared" si="12"/>
        <v/>
      </c>
      <c r="AP19" s="523" t="e">
        <f>IF(((100-100/$AN$7*données_step[[#This Row],[E_PTOT]])/100*QTS)&lt;0,NA(),IF(OR(AM19&lt;0,AM19=""),NA(),((100-100/$AN$7*données_step[[#This Row],[E_PTOT]])/100*QTS)))</f>
        <v>#NUM!</v>
      </c>
      <c r="AQ19" s="524" t="e">
        <f t="shared" si="13"/>
        <v>#NUM!</v>
      </c>
      <c r="AR19" s="524" t="str">
        <f t="shared" si="14"/>
        <v/>
      </c>
      <c r="AT19" s="517">
        <f t="shared" si="15"/>
        <v>0.08</v>
      </c>
      <c r="AU19" s="501">
        <f t="shared" si="16"/>
        <v>8</v>
      </c>
      <c r="AV19" s="525" t="e">
        <f>PERCENTILE(analyses!$F$11:$F$375,$AT19)</f>
        <v>#NUM!</v>
      </c>
      <c r="AW19" s="7" t="e">
        <f>PERCENTILE(analyses!$I$11:$I$375,$AT19)</f>
        <v>#NUM!</v>
      </c>
      <c r="AX19" s="7" t="e">
        <f>PERCENTILE(analyses!$J$11:$J$375,$AT19)</f>
        <v>#NUM!</v>
      </c>
      <c r="AY19" s="523" t="str">
        <f>_xlfn.IFNA(IF(données_step[[#This Row],[E_DCO]]&lt;=0,NA(),charge_entree[[#This Row],[ch_E_DCO]]/constanten!$B$8*1000),"")</f>
        <v/>
      </c>
      <c r="AZ19" s="523" t="str">
        <f>_xlfn.IFNA(IF(données_step[[#This Row],[E_NTOT]]&lt;=0,NA(),charge_entree[[#This Row],[ch_E_NTOT]]/constanten!$B$10*1000),"")</f>
        <v/>
      </c>
      <c r="BA19" s="523" t="str">
        <f>_xlfn.IFNA(IF(données_step[[#This Row],[E_NH4]]&lt;=0,NA(),charge_entree[[#This Row],[ch_E_NH4]]/constanten!$B$12*1000),"")</f>
        <v/>
      </c>
      <c r="BB19" s="523" t="str">
        <f>_xlfn.IFNA(IF(données_step[[#This Row],[E_COT]]&lt;=0,NA(),charge_entree[[#This Row],[ch_E_COT]]/constanten!$B$9*1000),"")</f>
        <v/>
      </c>
      <c r="BC19" s="523" t="str">
        <f>IFERROR(_xlfn.IFNA(IF(données_step[[#This Row],[E_PTOT]]&lt;=0,NA(),charge_entree[[#This Row],[ch_E_PTOT]]/constanten!$B$15*1000),""),"")</f>
        <v/>
      </c>
      <c r="BD19" s="535" t="e">
        <f>calculs!E19 * (1-0.4) / (données_step[[#This Row],[X_BA_VOL]]*données_step[[#This Row],[X_BACONC]])</f>
        <v>#VALUE!</v>
      </c>
      <c r="BE19" s="522" t="e">
        <f>(données_step[[#This Row],[X_BA_VOL]]*données_step[[#This Row],[X_BACONC]])/((données_step[[#This Row],[D_QTRAI2]]*données_step[[#This Row],[S_MES]]/1000)+(données_step[[#This Row],[X_BX_Q]]*données_step[[#This Row],[X_BXCONC]]))</f>
        <v>#VALUE!</v>
      </c>
      <c r="BF19" s="890" t="str">
        <f>IFERROR(données_step[[#This Row],[D_QTRAI]]/AY19*1000,"")</f>
        <v/>
      </c>
      <c r="BG19" s="535" t="str">
        <f>IFERROR(1-données_step[[#This Row],[S_DBO5]]/données_step[[#This Row],[E_DBO5]],"")</f>
        <v/>
      </c>
      <c r="BH19" s="536" t="str">
        <f>IFERROR(1-données_step[[#This Row],[S_DCO]]/données_step[[#This Row],[E_DCO]],"")</f>
        <v/>
      </c>
      <c r="BI19" s="535" t="str">
        <f>IFERROR(1-données_step[[#This Row],[S_COD]]/données_step[[#This Row],[E_COT]],"")</f>
        <v/>
      </c>
      <c r="BJ19" s="535" t="str">
        <f>IFERROR(1-données_step[[#This Row],[S_NH4]]/données_step[[#This Row],[E_NTOT]],"")</f>
        <v/>
      </c>
      <c r="BK19" s="535" t="str">
        <f>IFERROR(1-données_step[[#This Row],[S_PTOT]]/données_step[[#This Row],[E_PTOT]],"")</f>
        <v/>
      </c>
      <c r="BL19" s="521" t="str">
        <f>IFERROR(IF(données_step[[#This Row],[E_DCO]]/données_step[[#This Row],[E_DBO5]]=0,NA(),données_step[[#This Row],[E_DCO]]/données_step[[#This Row],[E_DBO5]]),"")</f>
        <v/>
      </c>
      <c r="BM19" s="521" t="str">
        <f>IFERROR(IF(données_step[[#This Row],[E_NH4]]/données_step[[#This Row],[E_NTOT]]=0,NA(),données_step[[#This Row],[E_NH4]]/données_step[[#This Row],[E_NTOT]]),"")</f>
        <v/>
      </c>
      <c r="BN19" s="521" t="str">
        <f>IFERROR(IF(données_step[[#This Row],[E_NTOT]]/données_step[[#This Row],[E_COT]]=0,NA(),données_step[[#This Row],[E_NTOT]]/données_step[[#This Row],[E_COT]]),"")</f>
        <v/>
      </c>
      <c r="BO19" s="521" t="str">
        <f>IFERROR(IF(données_step[[#This Row],[E_PTOT]]/données_step[[#This Row],[E_COT]]=0,NA(),données_step[[#This Row],[E_PTOT]]/données_step[[#This Row],[E_COT]]),"")</f>
        <v/>
      </c>
      <c r="BP19" s="521" t="e">
        <f>IF(données_step[[#This Row],[E_DCO]]/données_step[[#This Row],[E_COT]]=0,NA(),données_step[[#This Row],[E_DCO]]/données_step[[#This Row],[E_COT]])</f>
        <v>#DIV/0!</v>
      </c>
      <c r="BQ19" s="521" t="e">
        <f>IF(données_step[[#This Row],[E_NTOT]]/données_step[[#This Row],[E_DCO]]=0,NA(),données_step[[#This Row],[E_NTOT]]/données_step[[#This Row],[E_DCO]])</f>
        <v>#DIV/0!</v>
      </c>
      <c r="BR19" s="521" t="e">
        <f>IF(données_step[[#This Row],[E_PTOT]]/données_step[[#This Row],[E_DCO]]=0,NA(),données_step[[#This Row],[E_PTOT]]/données_step[[#This Row],[E_DCO]])</f>
        <v>#DIV/0!</v>
      </c>
      <c r="BS19" s="747" t="e">
        <f ca="1">test_NH4_temp(données_step[[#This Row],[S_NH4]],données_step[[#This Row],[Temp_eaux]])</f>
        <v>#NAME?</v>
      </c>
    </row>
    <row r="20" spans="1:71" x14ac:dyDescent="0.2">
      <c r="A20" s="222">
        <f>données_step[[#This Row],[Datum]]</f>
        <v>44571</v>
      </c>
      <c r="B20" s="223"/>
      <c r="C20" s="224">
        <f t="shared" si="0"/>
        <v>2</v>
      </c>
      <c r="D20" s="523" t="str">
        <f>IF(OR(données_step[[#This Row],[E_DBO5]]&lt;=0,données_step[[#This Row],[E_DBO5]]=""),"",données_step[[#This Row],[D_QTRAI]]*données_step[[#This Row],[E_DBO5]]/1000)</f>
        <v/>
      </c>
      <c r="E20" s="523" t="str">
        <f>IF(OR(données_step[[#This Row],[E_DCO]]&lt;=0,données_step[[#This Row],[E_DCO]]=""),"",données_step[[#This Row],[D_QTRAI]]*données_step[[#This Row],[E_DCO]]/1000)</f>
        <v/>
      </c>
      <c r="F20" s="523" t="str">
        <f>IF(OR(données_step[[#This Row],[E_COT]]&lt;=0,données_step[[#This Row],[E_COT]]=""),"",données_step[[#This Row],[D_QTRAI]]*données_step[[#This Row],[E_COT]]/1000)</f>
        <v/>
      </c>
      <c r="G20" s="523" t="str">
        <f>IF(OR(données_step[[#This Row],[E_NH4]]&lt;=0,données_step[[#This Row],[E_NH4]]=""),"",données_step[[#This Row],[D_QTRAI]]*données_step[[#This Row],[E_NH4]]/1000)</f>
        <v/>
      </c>
      <c r="H20" s="523" t="str">
        <f>IF(OR(données_step[[#This Row],[E_NTOT]]&lt;=0,données_step[[#This Row],[E_NTOT]]=""),"",données_step[[#This Row],[D_QTRAI]]*données_step[[#This Row],[E_NTOT]]/1000)</f>
        <v/>
      </c>
      <c r="I20" s="523" t="str">
        <f>IF(OR(données_step[[#This Row],[E_NTOT]]&lt;=0,données_step[[#This Row],[E_NTOT]]=""),"",données_step[[#This Row],[D_QTRAI]]*données_step[[#This Row],[E_PTOT]]/1000)</f>
        <v/>
      </c>
      <c r="J20" s="523" t="str">
        <f>IF(OR(données_step[[#This Row],[S_DBO5]]&lt;=0,données_step[[#This Row],[S_DBO5]]=""),"",données_step[[#This Row],[D_QTRAI]]*données_step[[#This Row],[S_DBO5]]/1000)</f>
        <v/>
      </c>
      <c r="K20" s="523" t="str">
        <f>IF(OR(données_step[[#This Row],[S_DCO]]&lt;=0,données_step[[#This Row],[S_DCO]]=""),"",données_step[[#This Row],[D_QTRAI]]*données_step[[#This Row],[S_DCO]]/1000)</f>
        <v/>
      </c>
      <c r="L20" s="523" t="str">
        <f>IF(OR(données_step[[#This Row],[S_COD]]&lt;=0,données_step[[#This Row],[S_COD]]=""),"",données_step[[#This Row],[D_QTRAI]]*données_step[[#This Row],[S_COD]]/1000)</f>
        <v/>
      </c>
      <c r="M20" s="523" t="str">
        <f>IF(OR(données_step[[#This Row],[S_NH4]]&lt;=0,données_step[[#This Row],[S_NH4]]=""),"",données_step[[#This Row],[D_QTRAI]]*données_step[[#This Row],[S_NH4]]/1000)</f>
        <v/>
      </c>
      <c r="N20" s="523" t="str">
        <f>IF(OR(données_step[[#This Row],[S_NO2]]&lt;=0,données_step[[#This Row],[S_NO2]]=""),"",données_step[[#This Row],[D_QTRAI]]*données_step[[#This Row],[S_NO2]]/1000)</f>
        <v/>
      </c>
      <c r="O20" s="523" t="str">
        <f>IF(OR(données_step[[#This Row],[S_NO3]]&lt;=0,données_step[[#This Row],[S_NO3]]=""),"",données_step[[#This Row],[D_QTRAI]]*données_step[[#This Row],[S_NO3]]/1000)</f>
        <v/>
      </c>
      <c r="P20" s="523" t="str">
        <f>IF(OR(données_step[[#This Row],[S_PTOT]]&lt;=0,données_step[[#This Row],[S_PTOT]]=""),"",données_step[[#This Row],[D_QTRAI]]*données_step[[#This Row],[S_PTOT]]/1000)</f>
        <v/>
      </c>
      <c r="Q20" s="523" t="str">
        <f>IF(OR(données_step[[#This Row],[S_MES]]&lt;=0,données_step[[#This Row],[S_MES]]=""),"",données_step[[#This Row],[D_QTRAI]]*données_step[[#This Row],[S_MES]]/1000)</f>
        <v/>
      </c>
      <c r="R20" s="523">
        <f>MAX(données_step[[#This Row],[D_QTRAI]],données_step[[#This Row],[D_QTRAI2]])</f>
        <v>0</v>
      </c>
      <c r="S20" s="523" t="str">
        <f>IF(AND($R20&gt;0,données_step[[#This Row],[E_DCO]]&gt;0),données_step[[#This Row],[E_DCO]],"")</f>
        <v/>
      </c>
      <c r="T20" s="523" t="str">
        <f>IF(S20="","",(1-données_step[[#This Row],[E_DCO]]/$V$7)*100)</f>
        <v/>
      </c>
      <c r="U20" s="523" t="str">
        <f t="shared" si="1"/>
        <v/>
      </c>
      <c r="V20" s="523" t="str">
        <f t="shared" si="2"/>
        <v/>
      </c>
      <c r="W20" s="523" t="str">
        <f t="shared" si="3"/>
        <v/>
      </c>
      <c r="X20" s="523" t="e">
        <f>IF(((100-100/$V$7*données_step[[#This Row],[E_DCO]])/100*QTS)&lt;0,NA(),IF(OR(U20&lt;0,U20=""),NA(),((100-100/$V$7*données_step[[#This Row],[E_DCO]])/100*QTS)))</f>
        <v>#NUM!</v>
      </c>
      <c r="Y20" s="523" t="str">
        <f>IF(AND($R20&gt;0,données_step[[#This Row],[E_COT]]&gt;0),données_step[[#This Row],[E_COT]],"")</f>
        <v/>
      </c>
      <c r="Z20" s="523" t="str">
        <f>IF(Y20="","",(1-données_step[[#This Row],[E_COT]]/$AB$7)*100)</f>
        <v/>
      </c>
      <c r="AA20" s="523" t="str">
        <f t="shared" si="4"/>
        <v/>
      </c>
      <c r="AB20" s="523" t="str">
        <f t="shared" si="5"/>
        <v/>
      </c>
      <c r="AC20" s="523" t="str">
        <f t="shared" si="6"/>
        <v/>
      </c>
      <c r="AD20" s="523" t="e">
        <f>IF(((100-100/$AB$7*données_step[[#This Row],[E_COT]])/100*QTS)&lt;0,NA(),IF(OR(AA20&lt;0,AA20=""),NA(),((100-100/$AB$7*données_step[[#This Row],[E_COT]])/100*QTS)))</f>
        <v>#NUM!</v>
      </c>
      <c r="AE20" s="523" t="str">
        <f>IF(AND($R20&gt;0,données_step[[#This Row],[E_NH4]]&gt;0),données_step[[#This Row],[E_NH4]],"")</f>
        <v/>
      </c>
      <c r="AF20" s="523" t="str">
        <f>IF(AE20="","",(1-données_step[[#This Row],[E_NH4]]/$AH$7)*100)</f>
        <v/>
      </c>
      <c r="AG20" s="523" t="str">
        <f t="shared" si="7"/>
        <v/>
      </c>
      <c r="AH20" s="523" t="str">
        <f t="shared" si="8"/>
        <v/>
      </c>
      <c r="AI20" s="523" t="str">
        <f t="shared" si="9"/>
        <v/>
      </c>
      <c r="AJ20" s="523" t="e">
        <f>IF(((100-100/$AH$7*données_step[[#This Row],[E_NH4]])/100*QTS)&lt;0,NA(),IF(OR(AG20&lt;0,AG20=""),NA(),((100-100/$AH$7*données_step[[#This Row],[E_NH4]])/100*QTS)))</f>
        <v>#NUM!</v>
      </c>
      <c r="AK20" s="523" t="str">
        <f>IF(AND($R20&gt;0,données_step[[#This Row],[E_PTOT]]&gt;0),données_step[[#This Row],[E_PTOT]],"")</f>
        <v/>
      </c>
      <c r="AL20" s="523" t="str">
        <f>IF(AK20="","",(1-données_step[[#This Row],[E_PTOT]]/$AN$7)*100)</f>
        <v/>
      </c>
      <c r="AM20" s="523" t="str">
        <f t="shared" si="10"/>
        <v/>
      </c>
      <c r="AN20" s="523" t="str">
        <f t="shared" si="11"/>
        <v/>
      </c>
      <c r="AO20" s="523" t="str">
        <f t="shared" si="12"/>
        <v/>
      </c>
      <c r="AP20" s="523" t="e">
        <f>IF(((100-100/$AN$7*données_step[[#This Row],[E_PTOT]])/100*QTS)&lt;0,NA(),IF(OR(AM20&lt;0,AM20=""),NA(),((100-100/$AN$7*données_step[[#This Row],[E_PTOT]])/100*QTS)))</f>
        <v>#NUM!</v>
      </c>
      <c r="AQ20" s="524" t="e">
        <f t="shared" si="13"/>
        <v>#NUM!</v>
      </c>
      <c r="AR20" s="524" t="str">
        <f t="shared" si="14"/>
        <v/>
      </c>
      <c r="AT20" s="517">
        <f t="shared" si="15"/>
        <v>0.09</v>
      </c>
      <c r="AU20" s="501">
        <f t="shared" si="16"/>
        <v>9</v>
      </c>
      <c r="AV20" s="525" t="e">
        <f>PERCENTILE(analyses!$F$11:$F$375,$AT20)</f>
        <v>#NUM!</v>
      </c>
      <c r="AW20" s="7" t="e">
        <f>PERCENTILE(analyses!$I$11:$I$375,$AT20)</f>
        <v>#NUM!</v>
      </c>
      <c r="AX20" s="7" t="e">
        <f>PERCENTILE(analyses!$J$11:$J$375,$AT20)</f>
        <v>#NUM!</v>
      </c>
      <c r="AY20" s="523" t="str">
        <f>_xlfn.IFNA(IF(données_step[[#This Row],[E_DCO]]&lt;=0,NA(),charge_entree[[#This Row],[ch_E_DCO]]/constanten!$B$8*1000),"")</f>
        <v/>
      </c>
      <c r="AZ20" s="523" t="str">
        <f>_xlfn.IFNA(IF(données_step[[#This Row],[E_NTOT]]&lt;=0,NA(),charge_entree[[#This Row],[ch_E_NTOT]]/constanten!$B$10*1000),"")</f>
        <v/>
      </c>
      <c r="BA20" s="523" t="str">
        <f>_xlfn.IFNA(IF(données_step[[#This Row],[E_NH4]]&lt;=0,NA(),charge_entree[[#This Row],[ch_E_NH4]]/constanten!$B$12*1000),"")</f>
        <v/>
      </c>
      <c r="BB20" s="523" t="str">
        <f>_xlfn.IFNA(IF(données_step[[#This Row],[E_COT]]&lt;=0,NA(),charge_entree[[#This Row],[ch_E_COT]]/constanten!$B$9*1000),"")</f>
        <v/>
      </c>
      <c r="BC20" s="523" t="str">
        <f>IFERROR(_xlfn.IFNA(IF(données_step[[#This Row],[E_PTOT]]&lt;=0,NA(),charge_entree[[#This Row],[ch_E_PTOT]]/constanten!$B$15*1000),""),"")</f>
        <v/>
      </c>
      <c r="BD20" s="535" t="e">
        <f>calculs!E20 * (1-0.4) / (données_step[[#This Row],[X_BA_VOL]]*données_step[[#This Row],[X_BACONC]])</f>
        <v>#VALUE!</v>
      </c>
      <c r="BE20" s="522" t="e">
        <f>(données_step[[#This Row],[X_BA_VOL]]*données_step[[#This Row],[X_BACONC]])/((données_step[[#This Row],[D_QTRAI2]]*données_step[[#This Row],[S_MES]]/1000)+(données_step[[#This Row],[X_BX_Q]]*données_step[[#This Row],[X_BXCONC]]))</f>
        <v>#VALUE!</v>
      </c>
      <c r="BF20" s="890" t="str">
        <f>IFERROR(données_step[[#This Row],[D_QTRAI]]/AY20*1000,"")</f>
        <v/>
      </c>
      <c r="BG20" s="535" t="str">
        <f>IFERROR(1-données_step[[#This Row],[S_DBO5]]/données_step[[#This Row],[E_DBO5]],"")</f>
        <v/>
      </c>
      <c r="BH20" s="536" t="str">
        <f>IFERROR(1-données_step[[#This Row],[S_DCO]]/données_step[[#This Row],[E_DCO]],"")</f>
        <v/>
      </c>
      <c r="BI20" s="535" t="str">
        <f>IFERROR(1-données_step[[#This Row],[S_COD]]/données_step[[#This Row],[E_COT]],"")</f>
        <v/>
      </c>
      <c r="BJ20" s="535" t="str">
        <f>IFERROR(1-données_step[[#This Row],[S_NH4]]/données_step[[#This Row],[E_NTOT]],"")</f>
        <v/>
      </c>
      <c r="BK20" s="535" t="str">
        <f>IFERROR(1-données_step[[#This Row],[S_PTOT]]/données_step[[#This Row],[E_PTOT]],"")</f>
        <v/>
      </c>
      <c r="BL20" s="521" t="str">
        <f>IFERROR(IF(données_step[[#This Row],[E_DCO]]/données_step[[#This Row],[E_DBO5]]=0,NA(),données_step[[#This Row],[E_DCO]]/données_step[[#This Row],[E_DBO5]]),"")</f>
        <v/>
      </c>
      <c r="BM20" s="521" t="str">
        <f>IFERROR(IF(données_step[[#This Row],[E_NH4]]/données_step[[#This Row],[E_NTOT]]=0,NA(),données_step[[#This Row],[E_NH4]]/données_step[[#This Row],[E_NTOT]]),"")</f>
        <v/>
      </c>
      <c r="BN20" s="521" t="str">
        <f>IFERROR(IF(données_step[[#This Row],[E_NTOT]]/données_step[[#This Row],[E_COT]]=0,NA(),données_step[[#This Row],[E_NTOT]]/données_step[[#This Row],[E_COT]]),"")</f>
        <v/>
      </c>
      <c r="BO20" s="521" t="str">
        <f>IFERROR(IF(données_step[[#This Row],[E_PTOT]]/données_step[[#This Row],[E_COT]]=0,NA(),données_step[[#This Row],[E_PTOT]]/données_step[[#This Row],[E_COT]]),"")</f>
        <v/>
      </c>
      <c r="BP20" s="521" t="e">
        <f>IF(données_step[[#This Row],[E_DCO]]/données_step[[#This Row],[E_COT]]=0,NA(),données_step[[#This Row],[E_DCO]]/données_step[[#This Row],[E_COT]])</f>
        <v>#DIV/0!</v>
      </c>
      <c r="BQ20" s="521" t="e">
        <f>IF(données_step[[#This Row],[E_NTOT]]/données_step[[#This Row],[E_DCO]]=0,NA(),données_step[[#This Row],[E_NTOT]]/données_step[[#This Row],[E_DCO]])</f>
        <v>#DIV/0!</v>
      </c>
      <c r="BR20" s="521" t="e">
        <f>IF(données_step[[#This Row],[E_PTOT]]/données_step[[#This Row],[E_DCO]]=0,NA(),données_step[[#This Row],[E_PTOT]]/données_step[[#This Row],[E_DCO]])</f>
        <v>#DIV/0!</v>
      </c>
      <c r="BS20" s="747" t="e">
        <f ca="1">test_NH4_temp(données_step[[#This Row],[S_NH4]],données_step[[#This Row],[Temp_eaux]])</f>
        <v>#NAME?</v>
      </c>
    </row>
    <row r="21" spans="1:71" x14ac:dyDescent="0.2">
      <c r="A21" s="222">
        <f>données_step[[#This Row],[Datum]]</f>
        <v>44572</v>
      </c>
      <c r="B21" s="223"/>
      <c r="C21" s="224">
        <f t="shared" si="0"/>
        <v>3</v>
      </c>
      <c r="D21" s="523" t="str">
        <f>IF(OR(données_step[[#This Row],[E_DBO5]]&lt;=0,données_step[[#This Row],[E_DBO5]]=""),"",données_step[[#This Row],[D_QTRAI]]*données_step[[#This Row],[E_DBO5]]/1000)</f>
        <v/>
      </c>
      <c r="E21" s="523" t="str">
        <f>IF(OR(données_step[[#This Row],[E_DCO]]&lt;=0,données_step[[#This Row],[E_DCO]]=""),"",données_step[[#This Row],[D_QTRAI]]*données_step[[#This Row],[E_DCO]]/1000)</f>
        <v/>
      </c>
      <c r="F21" s="523" t="str">
        <f>IF(OR(données_step[[#This Row],[E_COT]]&lt;=0,données_step[[#This Row],[E_COT]]=""),"",données_step[[#This Row],[D_QTRAI]]*données_step[[#This Row],[E_COT]]/1000)</f>
        <v/>
      </c>
      <c r="G21" s="523" t="str">
        <f>IF(OR(données_step[[#This Row],[E_NH4]]&lt;=0,données_step[[#This Row],[E_NH4]]=""),"",données_step[[#This Row],[D_QTRAI]]*données_step[[#This Row],[E_NH4]]/1000)</f>
        <v/>
      </c>
      <c r="H21" s="523" t="str">
        <f>IF(OR(données_step[[#This Row],[E_NTOT]]&lt;=0,données_step[[#This Row],[E_NTOT]]=""),"",données_step[[#This Row],[D_QTRAI]]*données_step[[#This Row],[E_NTOT]]/1000)</f>
        <v/>
      </c>
      <c r="I21" s="523" t="str">
        <f>IF(OR(données_step[[#This Row],[E_NTOT]]&lt;=0,données_step[[#This Row],[E_NTOT]]=""),"",données_step[[#This Row],[D_QTRAI]]*données_step[[#This Row],[E_PTOT]]/1000)</f>
        <v/>
      </c>
      <c r="J21" s="523" t="str">
        <f>IF(OR(données_step[[#This Row],[S_DBO5]]&lt;=0,données_step[[#This Row],[S_DBO5]]=""),"",données_step[[#This Row],[D_QTRAI]]*données_step[[#This Row],[S_DBO5]]/1000)</f>
        <v/>
      </c>
      <c r="K21" s="523" t="str">
        <f>IF(OR(données_step[[#This Row],[S_DCO]]&lt;=0,données_step[[#This Row],[S_DCO]]=""),"",données_step[[#This Row],[D_QTRAI]]*données_step[[#This Row],[S_DCO]]/1000)</f>
        <v/>
      </c>
      <c r="L21" s="523" t="str">
        <f>IF(OR(données_step[[#This Row],[S_COD]]&lt;=0,données_step[[#This Row],[S_COD]]=""),"",données_step[[#This Row],[D_QTRAI]]*données_step[[#This Row],[S_COD]]/1000)</f>
        <v/>
      </c>
      <c r="M21" s="523" t="str">
        <f>IF(OR(données_step[[#This Row],[S_NH4]]&lt;=0,données_step[[#This Row],[S_NH4]]=""),"",données_step[[#This Row],[D_QTRAI]]*données_step[[#This Row],[S_NH4]]/1000)</f>
        <v/>
      </c>
      <c r="N21" s="523" t="str">
        <f>IF(OR(données_step[[#This Row],[S_NO2]]&lt;=0,données_step[[#This Row],[S_NO2]]=""),"",données_step[[#This Row],[D_QTRAI]]*données_step[[#This Row],[S_NO2]]/1000)</f>
        <v/>
      </c>
      <c r="O21" s="523" t="str">
        <f>IF(OR(données_step[[#This Row],[S_NO3]]&lt;=0,données_step[[#This Row],[S_NO3]]=""),"",données_step[[#This Row],[D_QTRAI]]*données_step[[#This Row],[S_NO3]]/1000)</f>
        <v/>
      </c>
      <c r="P21" s="523" t="str">
        <f>IF(OR(données_step[[#This Row],[S_PTOT]]&lt;=0,données_step[[#This Row],[S_PTOT]]=""),"",données_step[[#This Row],[D_QTRAI]]*données_step[[#This Row],[S_PTOT]]/1000)</f>
        <v/>
      </c>
      <c r="Q21" s="523" t="str">
        <f>IF(OR(données_step[[#This Row],[S_MES]]&lt;=0,données_step[[#This Row],[S_MES]]=""),"",données_step[[#This Row],[D_QTRAI]]*données_step[[#This Row],[S_MES]]/1000)</f>
        <v/>
      </c>
      <c r="R21" s="523">
        <f>MAX(données_step[[#This Row],[D_QTRAI]],données_step[[#This Row],[D_QTRAI2]])</f>
        <v>0</v>
      </c>
      <c r="S21" s="523" t="str">
        <f>IF(AND($R21&gt;0,données_step[[#This Row],[E_DCO]]&gt;0),données_step[[#This Row],[E_DCO]],"")</f>
        <v/>
      </c>
      <c r="T21" s="523" t="str">
        <f>IF(S21="","",(1-données_step[[#This Row],[E_DCO]]/$V$7)*100)</f>
        <v/>
      </c>
      <c r="U21" s="523" t="str">
        <f t="shared" si="1"/>
        <v/>
      </c>
      <c r="V21" s="523" t="str">
        <f t="shared" si="2"/>
        <v/>
      </c>
      <c r="W21" s="523" t="str">
        <f t="shared" si="3"/>
        <v/>
      </c>
      <c r="X21" s="523" t="e">
        <f>IF(((100-100/$V$7*données_step[[#This Row],[E_DCO]])/100*QTS)&lt;0,NA(),IF(OR(U21&lt;0,U21=""),NA(),((100-100/$V$7*données_step[[#This Row],[E_DCO]])/100*QTS)))</f>
        <v>#NUM!</v>
      </c>
      <c r="Y21" s="523" t="str">
        <f>IF(AND($R21&gt;0,données_step[[#This Row],[E_COT]]&gt;0),données_step[[#This Row],[E_COT]],"")</f>
        <v/>
      </c>
      <c r="Z21" s="523" t="str">
        <f>IF(Y21="","",(1-données_step[[#This Row],[E_COT]]/$AB$7)*100)</f>
        <v/>
      </c>
      <c r="AA21" s="523" t="str">
        <f t="shared" si="4"/>
        <v/>
      </c>
      <c r="AB21" s="523" t="str">
        <f t="shared" si="5"/>
        <v/>
      </c>
      <c r="AC21" s="523" t="str">
        <f t="shared" si="6"/>
        <v/>
      </c>
      <c r="AD21" s="523" t="e">
        <f>IF(((100-100/$AB$7*données_step[[#This Row],[E_COT]])/100*QTS)&lt;0,NA(),IF(OR(AA21&lt;0,AA21=""),NA(),((100-100/$AB$7*données_step[[#This Row],[E_COT]])/100*QTS)))</f>
        <v>#NUM!</v>
      </c>
      <c r="AE21" s="523" t="str">
        <f>IF(AND($R21&gt;0,données_step[[#This Row],[E_NH4]]&gt;0),données_step[[#This Row],[E_NH4]],"")</f>
        <v/>
      </c>
      <c r="AF21" s="523" t="str">
        <f>IF(AE21="","",(1-données_step[[#This Row],[E_NH4]]/$AH$7)*100)</f>
        <v/>
      </c>
      <c r="AG21" s="523" t="str">
        <f t="shared" si="7"/>
        <v/>
      </c>
      <c r="AH21" s="523" t="str">
        <f t="shared" si="8"/>
        <v/>
      </c>
      <c r="AI21" s="523" t="str">
        <f t="shared" si="9"/>
        <v/>
      </c>
      <c r="AJ21" s="523" t="e">
        <f>IF(((100-100/$AH$7*données_step[[#This Row],[E_NH4]])/100*QTS)&lt;0,NA(),IF(OR(AG21&lt;0,AG21=""),NA(),((100-100/$AH$7*données_step[[#This Row],[E_NH4]])/100*QTS)))</f>
        <v>#NUM!</v>
      </c>
      <c r="AK21" s="523" t="str">
        <f>IF(AND($R21&gt;0,données_step[[#This Row],[E_PTOT]]&gt;0),données_step[[#This Row],[E_PTOT]],"")</f>
        <v/>
      </c>
      <c r="AL21" s="523" t="str">
        <f>IF(AK21="","",(1-données_step[[#This Row],[E_PTOT]]/$AN$7)*100)</f>
        <v/>
      </c>
      <c r="AM21" s="523" t="str">
        <f t="shared" si="10"/>
        <v/>
      </c>
      <c r="AN21" s="523" t="str">
        <f t="shared" si="11"/>
        <v/>
      </c>
      <c r="AO21" s="523" t="str">
        <f t="shared" si="12"/>
        <v/>
      </c>
      <c r="AP21" s="523" t="e">
        <f>IF(((100-100/$AN$7*données_step[[#This Row],[E_PTOT]])/100*QTS)&lt;0,NA(),IF(OR(AM21&lt;0,AM21=""),NA(),((100-100/$AN$7*données_step[[#This Row],[E_PTOT]])/100*QTS)))</f>
        <v>#NUM!</v>
      </c>
      <c r="AQ21" s="524" t="e">
        <f t="shared" si="13"/>
        <v>#NUM!</v>
      </c>
      <c r="AR21" s="524" t="str">
        <f t="shared" si="14"/>
        <v/>
      </c>
      <c r="AT21" s="517">
        <f t="shared" si="15"/>
        <v>0.1</v>
      </c>
      <c r="AU21" s="501">
        <f t="shared" si="16"/>
        <v>10</v>
      </c>
      <c r="AV21" s="525" t="e">
        <f>PERCENTILE(analyses!$F$11:$F$375,$AT21)</f>
        <v>#NUM!</v>
      </c>
      <c r="AW21" s="7" t="e">
        <f>PERCENTILE(analyses!$I$11:$I$375,$AT21)</f>
        <v>#NUM!</v>
      </c>
      <c r="AX21" s="7" t="e">
        <f>PERCENTILE(analyses!$J$11:$J$375,$AT21)</f>
        <v>#NUM!</v>
      </c>
      <c r="AY21" s="523" t="str">
        <f>_xlfn.IFNA(IF(données_step[[#This Row],[E_DCO]]&lt;=0,NA(),charge_entree[[#This Row],[ch_E_DCO]]/constanten!$B$8*1000),"")</f>
        <v/>
      </c>
      <c r="AZ21" s="523" t="str">
        <f>_xlfn.IFNA(IF(données_step[[#This Row],[E_NTOT]]&lt;=0,NA(),charge_entree[[#This Row],[ch_E_NTOT]]/constanten!$B$10*1000),"")</f>
        <v/>
      </c>
      <c r="BA21" s="523" t="str">
        <f>_xlfn.IFNA(IF(données_step[[#This Row],[E_NH4]]&lt;=0,NA(),charge_entree[[#This Row],[ch_E_NH4]]/constanten!$B$12*1000),"")</f>
        <v/>
      </c>
      <c r="BB21" s="523" t="str">
        <f>_xlfn.IFNA(IF(données_step[[#This Row],[E_COT]]&lt;=0,NA(),charge_entree[[#This Row],[ch_E_COT]]/constanten!$B$9*1000),"")</f>
        <v/>
      </c>
      <c r="BC21" s="523" t="str">
        <f>IFERROR(_xlfn.IFNA(IF(données_step[[#This Row],[E_PTOT]]&lt;=0,NA(),charge_entree[[#This Row],[ch_E_PTOT]]/constanten!$B$15*1000),""),"")</f>
        <v/>
      </c>
      <c r="BD21" s="535" t="e">
        <f>calculs!E21 * (1-0.4) / (données_step[[#This Row],[X_BA_VOL]]*données_step[[#This Row],[X_BACONC]])</f>
        <v>#VALUE!</v>
      </c>
      <c r="BE21" s="522" t="e">
        <f>(données_step[[#This Row],[X_BA_VOL]]*données_step[[#This Row],[X_BACONC]])/((données_step[[#This Row],[D_QTRAI2]]*données_step[[#This Row],[S_MES]]/1000)+(données_step[[#This Row],[X_BX_Q]]*données_step[[#This Row],[X_BXCONC]]))</f>
        <v>#VALUE!</v>
      </c>
      <c r="BF21" s="890" t="str">
        <f>IFERROR(données_step[[#This Row],[D_QTRAI]]/AY21*1000,"")</f>
        <v/>
      </c>
      <c r="BG21" s="535" t="str">
        <f>IFERROR(1-données_step[[#This Row],[S_DBO5]]/données_step[[#This Row],[E_DBO5]],"")</f>
        <v/>
      </c>
      <c r="BH21" s="536" t="str">
        <f>IFERROR(1-données_step[[#This Row],[S_DCO]]/données_step[[#This Row],[E_DCO]],"")</f>
        <v/>
      </c>
      <c r="BI21" s="535" t="str">
        <f>IFERROR(1-données_step[[#This Row],[S_COD]]/données_step[[#This Row],[E_COT]],"")</f>
        <v/>
      </c>
      <c r="BJ21" s="535" t="str">
        <f>IFERROR(1-données_step[[#This Row],[S_NH4]]/données_step[[#This Row],[E_NTOT]],"")</f>
        <v/>
      </c>
      <c r="BK21" s="535" t="str">
        <f>IFERROR(1-données_step[[#This Row],[S_PTOT]]/données_step[[#This Row],[E_PTOT]],"")</f>
        <v/>
      </c>
      <c r="BL21" s="521" t="str">
        <f>IFERROR(IF(données_step[[#This Row],[E_DCO]]/données_step[[#This Row],[E_DBO5]]=0,NA(),données_step[[#This Row],[E_DCO]]/données_step[[#This Row],[E_DBO5]]),"")</f>
        <v/>
      </c>
      <c r="BM21" s="521" t="str">
        <f>IFERROR(IF(données_step[[#This Row],[E_NH4]]/données_step[[#This Row],[E_NTOT]]=0,NA(),données_step[[#This Row],[E_NH4]]/données_step[[#This Row],[E_NTOT]]),"")</f>
        <v/>
      </c>
      <c r="BN21" s="521" t="str">
        <f>IFERROR(IF(données_step[[#This Row],[E_NTOT]]/données_step[[#This Row],[E_COT]]=0,NA(),données_step[[#This Row],[E_NTOT]]/données_step[[#This Row],[E_COT]]),"")</f>
        <v/>
      </c>
      <c r="BO21" s="521" t="str">
        <f>IFERROR(IF(données_step[[#This Row],[E_PTOT]]/données_step[[#This Row],[E_COT]]=0,NA(),données_step[[#This Row],[E_PTOT]]/données_step[[#This Row],[E_COT]]),"")</f>
        <v/>
      </c>
      <c r="BP21" s="521" t="e">
        <f>IF(données_step[[#This Row],[E_DCO]]/données_step[[#This Row],[E_COT]]=0,NA(),données_step[[#This Row],[E_DCO]]/données_step[[#This Row],[E_COT]])</f>
        <v>#DIV/0!</v>
      </c>
      <c r="BQ21" s="521" t="e">
        <f>IF(données_step[[#This Row],[E_NTOT]]/données_step[[#This Row],[E_DCO]]=0,NA(),données_step[[#This Row],[E_NTOT]]/données_step[[#This Row],[E_DCO]])</f>
        <v>#DIV/0!</v>
      </c>
      <c r="BR21" s="521" t="e">
        <f>IF(données_step[[#This Row],[E_PTOT]]/données_step[[#This Row],[E_DCO]]=0,NA(),données_step[[#This Row],[E_PTOT]]/données_step[[#This Row],[E_DCO]])</f>
        <v>#DIV/0!</v>
      </c>
      <c r="BS21" s="747" t="e">
        <f ca="1">test_NH4_temp(données_step[[#This Row],[S_NH4]],données_step[[#This Row],[Temp_eaux]])</f>
        <v>#NAME?</v>
      </c>
    </row>
    <row r="22" spans="1:71" x14ac:dyDescent="0.2">
      <c r="A22" s="222">
        <f>données_step[[#This Row],[Datum]]</f>
        <v>44573</v>
      </c>
      <c r="B22" s="223"/>
      <c r="C22" s="224">
        <f t="shared" si="0"/>
        <v>4</v>
      </c>
      <c r="D22" s="523" t="str">
        <f>IF(OR(données_step[[#This Row],[E_DBO5]]&lt;=0,données_step[[#This Row],[E_DBO5]]=""),"",données_step[[#This Row],[D_QTRAI]]*données_step[[#This Row],[E_DBO5]]/1000)</f>
        <v/>
      </c>
      <c r="E22" s="523" t="str">
        <f>IF(OR(données_step[[#This Row],[E_DCO]]&lt;=0,données_step[[#This Row],[E_DCO]]=""),"",données_step[[#This Row],[D_QTRAI]]*données_step[[#This Row],[E_DCO]]/1000)</f>
        <v/>
      </c>
      <c r="F22" s="523" t="str">
        <f>IF(OR(données_step[[#This Row],[E_COT]]&lt;=0,données_step[[#This Row],[E_COT]]=""),"",données_step[[#This Row],[D_QTRAI]]*données_step[[#This Row],[E_COT]]/1000)</f>
        <v/>
      </c>
      <c r="G22" s="523" t="str">
        <f>IF(OR(données_step[[#This Row],[E_NH4]]&lt;=0,données_step[[#This Row],[E_NH4]]=""),"",données_step[[#This Row],[D_QTRAI]]*données_step[[#This Row],[E_NH4]]/1000)</f>
        <v/>
      </c>
      <c r="H22" s="523" t="str">
        <f>IF(OR(données_step[[#This Row],[E_NTOT]]&lt;=0,données_step[[#This Row],[E_NTOT]]=""),"",données_step[[#This Row],[D_QTRAI]]*données_step[[#This Row],[E_NTOT]]/1000)</f>
        <v/>
      </c>
      <c r="I22" s="523" t="str">
        <f>IF(OR(données_step[[#This Row],[E_NTOT]]&lt;=0,données_step[[#This Row],[E_NTOT]]=""),"",données_step[[#This Row],[D_QTRAI]]*données_step[[#This Row],[E_PTOT]]/1000)</f>
        <v/>
      </c>
      <c r="J22" s="523" t="str">
        <f>IF(OR(données_step[[#This Row],[S_DBO5]]&lt;=0,données_step[[#This Row],[S_DBO5]]=""),"",données_step[[#This Row],[D_QTRAI]]*données_step[[#This Row],[S_DBO5]]/1000)</f>
        <v/>
      </c>
      <c r="K22" s="523" t="str">
        <f>IF(OR(données_step[[#This Row],[S_DCO]]&lt;=0,données_step[[#This Row],[S_DCO]]=""),"",données_step[[#This Row],[D_QTRAI]]*données_step[[#This Row],[S_DCO]]/1000)</f>
        <v/>
      </c>
      <c r="L22" s="523" t="str">
        <f>IF(OR(données_step[[#This Row],[S_COD]]&lt;=0,données_step[[#This Row],[S_COD]]=""),"",données_step[[#This Row],[D_QTRAI]]*données_step[[#This Row],[S_COD]]/1000)</f>
        <v/>
      </c>
      <c r="M22" s="523" t="str">
        <f>IF(OR(données_step[[#This Row],[S_NH4]]&lt;=0,données_step[[#This Row],[S_NH4]]=""),"",données_step[[#This Row],[D_QTRAI]]*données_step[[#This Row],[S_NH4]]/1000)</f>
        <v/>
      </c>
      <c r="N22" s="523" t="str">
        <f>IF(OR(données_step[[#This Row],[S_NO2]]&lt;=0,données_step[[#This Row],[S_NO2]]=""),"",données_step[[#This Row],[D_QTRAI]]*données_step[[#This Row],[S_NO2]]/1000)</f>
        <v/>
      </c>
      <c r="O22" s="523" t="str">
        <f>IF(OR(données_step[[#This Row],[S_NO3]]&lt;=0,données_step[[#This Row],[S_NO3]]=""),"",données_step[[#This Row],[D_QTRAI]]*données_step[[#This Row],[S_NO3]]/1000)</f>
        <v/>
      </c>
      <c r="P22" s="523" t="str">
        <f>IF(OR(données_step[[#This Row],[S_PTOT]]&lt;=0,données_step[[#This Row],[S_PTOT]]=""),"",données_step[[#This Row],[D_QTRAI]]*données_step[[#This Row],[S_PTOT]]/1000)</f>
        <v/>
      </c>
      <c r="Q22" s="523" t="str">
        <f>IF(OR(données_step[[#This Row],[S_MES]]&lt;=0,données_step[[#This Row],[S_MES]]=""),"",données_step[[#This Row],[D_QTRAI]]*données_step[[#This Row],[S_MES]]/1000)</f>
        <v/>
      </c>
      <c r="R22" s="523">
        <f>MAX(données_step[[#This Row],[D_QTRAI]],données_step[[#This Row],[D_QTRAI2]])</f>
        <v>0</v>
      </c>
      <c r="S22" s="523" t="str">
        <f>IF(AND($R22&gt;0,données_step[[#This Row],[E_DCO]]&gt;0),données_step[[#This Row],[E_DCO]],"")</f>
        <v/>
      </c>
      <c r="T22" s="523" t="str">
        <f>IF(S22="","",(1-données_step[[#This Row],[E_DCO]]/$V$7)*100)</f>
        <v/>
      </c>
      <c r="U22" s="523" t="str">
        <f t="shared" si="1"/>
        <v/>
      </c>
      <c r="V22" s="523" t="str">
        <f t="shared" si="2"/>
        <v/>
      </c>
      <c r="W22" s="523" t="str">
        <f t="shared" si="3"/>
        <v/>
      </c>
      <c r="X22" s="523" t="e">
        <f>IF(((100-100/$V$7*données_step[[#This Row],[E_DCO]])/100*QTS)&lt;0,NA(),IF(OR(U22&lt;0,U22=""),NA(),((100-100/$V$7*données_step[[#This Row],[E_DCO]])/100*QTS)))</f>
        <v>#NUM!</v>
      </c>
      <c r="Y22" s="523" t="str">
        <f>IF(AND($R22&gt;0,données_step[[#This Row],[E_COT]]&gt;0),données_step[[#This Row],[E_COT]],"")</f>
        <v/>
      </c>
      <c r="Z22" s="523" t="str">
        <f>IF(Y22="","",(1-données_step[[#This Row],[E_COT]]/$AB$7)*100)</f>
        <v/>
      </c>
      <c r="AA22" s="523" t="str">
        <f t="shared" si="4"/>
        <v/>
      </c>
      <c r="AB22" s="523" t="str">
        <f t="shared" si="5"/>
        <v/>
      </c>
      <c r="AC22" s="523" t="str">
        <f t="shared" si="6"/>
        <v/>
      </c>
      <c r="AD22" s="523" t="e">
        <f>IF(((100-100/$AB$7*données_step[[#This Row],[E_COT]])/100*QTS)&lt;0,NA(),IF(OR(AA22&lt;0,AA22=""),NA(),((100-100/$AB$7*données_step[[#This Row],[E_COT]])/100*QTS)))</f>
        <v>#NUM!</v>
      </c>
      <c r="AE22" s="523" t="str">
        <f>IF(AND($R22&gt;0,données_step[[#This Row],[E_NH4]]&gt;0),données_step[[#This Row],[E_NH4]],"")</f>
        <v/>
      </c>
      <c r="AF22" s="523" t="str">
        <f>IF(AE22="","",(1-données_step[[#This Row],[E_NH4]]/$AH$7)*100)</f>
        <v/>
      </c>
      <c r="AG22" s="523" t="str">
        <f t="shared" si="7"/>
        <v/>
      </c>
      <c r="AH22" s="523" t="str">
        <f t="shared" si="8"/>
        <v/>
      </c>
      <c r="AI22" s="523" t="str">
        <f t="shared" si="9"/>
        <v/>
      </c>
      <c r="AJ22" s="523" t="e">
        <f>IF(((100-100/$AH$7*données_step[[#This Row],[E_NH4]])/100*QTS)&lt;0,NA(),IF(OR(AG22&lt;0,AG22=""),NA(),((100-100/$AH$7*données_step[[#This Row],[E_NH4]])/100*QTS)))</f>
        <v>#NUM!</v>
      </c>
      <c r="AK22" s="523" t="str">
        <f>IF(AND($R22&gt;0,données_step[[#This Row],[E_PTOT]]&gt;0),données_step[[#This Row],[E_PTOT]],"")</f>
        <v/>
      </c>
      <c r="AL22" s="523" t="str">
        <f>IF(AK22="","",(1-données_step[[#This Row],[E_PTOT]]/$AN$7)*100)</f>
        <v/>
      </c>
      <c r="AM22" s="523" t="str">
        <f t="shared" si="10"/>
        <v/>
      </c>
      <c r="AN22" s="523" t="str">
        <f t="shared" si="11"/>
        <v/>
      </c>
      <c r="AO22" s="523" t="str">
        <f t="shared" si="12"/>
        <v/>
      </c>
      <c r="AP22" s="523" t="e">
        <f>IF(((100-100/$AN$7*données_step[[#This Row],[E_PTOT]])/100*QTS)&lt;0,NA(),IF(OR(AM22&lt;0,AM22=""),NA(),((100-100/$AN$7*données_step[[#This Row],[E_PTOT]])/100*QTS)))</f>
        <v>#NUM!</v>
      </c>
      <c r="AQ22" s="524" t="e">
        <f t="shared" si="13"/>
        <v>#NUM!</v>
      </c>
      <c r="AR22" s="524" t="str">
        <f t="shared" si="14"/>
        <v/>
      </c>
      <c r="AT22" s="517">
        <f t="shared" si="15"/>
        <v>0.11</v>
      </c>
      <c r="AU22" s="501">
        <f t="shared" si="16"/>
        <v>11</v>
      </c>
      <c r="AV22" s="525" t="e">
        <f>PERCENTILE(analyses!$F$11:$F$375,$AT22)</f>
        <v>#NUM!</v>
      </c>
      <c r="AW22" s="7" t="e">
        <f>PERCENTILE(analyses!$I$11:$I$375,$AT22)</f>
        <v>#NUM!</v>
      </c>
      <c r="AX22" s="7" t="e">
        <f>PERCENTILE(analyses!$J$11:$J$375,$AT22)</f>
        <v>#NUM!</v>
      </c>
      <c r="AY22" s="523" t="str">
        <f>_xlfn.IFNA(IF(données_step[[#This Row],[E_DCO]]&lt;=0,NA(),charge_entree[[#This Row],[ch_E_DCO]]/constanten!$B$8*1000),"")</f>
        <v/>
      </c>
      <c r="AZ22" s="523" t="str">
        <f>_xlfn.IFNA(IF(données_step[[#This Row],[E_NTOT]]&lt;=0,NA(),charge_entree[[#This Row],[ch_E_NTOT]]/constanten!$B$10*1000),"")</f>
        <v/>
      </c>
      <c r="BA22" s="523" t="str">
        <f>_xlfn.IFNA(IF(données_step[[#This Row],[E_NH4]]&lt;=0,NA(),charge_entree[[#This Row],[ch_E_NH4]]/constanten!$B$12*1000),"")</f>
        <v/>
      </c>
      <c r="BB22" s="523" t="str">
        <f>_xlfn.IFNA(IF(données_step[[#This Row],[E_COT]]&lt;=0,NA(),charge_entree[[#This Row],[ch_E_COT]]/constanten!$B$9*1000),"")</f>
        <v/>
      </c>
      <c r="BC22" s="523" t="str">
        <f>IFERROR(_xlfn.IFNA(IF(données_step[[#This Row],[E_PTOT]]&lt;=0,NA(),charge_entree[[#This Row],[ch_E_PTOT]]/constanten!$B$15*1000),""),"")</f>
        <v/>
      </c>
      <c r="BD22" s="535" t="e">
        <f>calculs!E22 * (1-0.4) / (données_step[[#This Row],[X_BA_VOL]]*données_step[[#This Row],[X_BACONC]])</f>
        <v>#VALUE!</v>
      </c>
      <c r="BE22" s="522" t="e">
        <f>(données_step[[#This Row],[X_BA_VOL]]*données_step[[#This Row],[X_BACONC]])/((données_step[[#This Row],[D_QTRAI2]]*données_step[[#This Row],[S_MES]]/1000)+(données_step[[#This Row],[X_BX_Q]]*données_step[[#This Row],[X_BXCONC]]))</f>
        <v>#VALUE!</v>
      </c>
      <c r="BF22" s="890" t="str">
        <f>IFERROR(données_step[[#This Row],[D_QTRAI]]/AY22*1000,"")</f>
        <v/>
      </c>
      <c r="BG22" s="535" t="str">
        <f>IFERROR(1-données_step[[#This Row],[S_DBO5]]/données_step[[#This Row],[E_DBO5]],"")</f>
        <v/>
      </c>
      <c r="BH22" s="536" t="str">
        <f>IFERROR(1-données_step[[#This Row],[S_DCO]]/données_step[[#This Row],[E_DCO]],"")</f>
        <v/>
      </c>
      <c r="BI22" s="535" t="str">
        <f>IFERROR(1-données_step[[#This Row],[S_COD]]/données_step[[#This Row],[E_COT]],"")</f>
        <v/>
      </c>
      <c r="BJ22" s="535" t="str">
        <f>IFERROR(1-données_step[[#This Row],[S_NH4]]/données_step[[#This Row],[E_NTOT]],"")</f>
        <v/>
      </c>
      <c r="BK22" s="535" t="str">
        <f>IFERROR(1-données_step[[#This Row],[S_PTOT]]/données_step[[#This Row],[E_PTOT]],"")</f>
        <v/>
      </c>
      <c r="BL22" s="521" t="str">
        <f>IFERROR(IF(données_step[[#This Row],[E_DCO]]/données_step[[#This Row],[E_DBO5]]=0,NA(),données_step[[#This Row],[E_DCO]]/données_step[[#This Row],[E_DBO5]]),"")</f>
        <v/>
      </c>
      <c r="BM22" s="521" t="str">
        <f>IFERROR(IF(données_step[[#This Row],[E_NH4]]/données_step[[#This Row],[E_NTOT]]=0,NA(),données_step[[#This Row],[E_NH4]]/données_step[[#This Row],[E_NTOT]]),"")</f>
        <v/>
      </c>
      <c r="BN22" s="521" t="str">
        <f>IFERROR(IF(données_step[[#This Row],[E_NTOT]]/données_step[[#This Row],[E_COT]]=0,NA(),données_step[[#This Row],[E_NTOT]]/données_step[[#This Row],[E_COT]]),"")</f>
        <v/>
      </c>
      <c r="BO22" s="521" t="str">
        <f>IFERROR(IF(données_step[[#This Row],[E_PTOT]]/données_step[[#This Row],[E_COT]]=0,NA(),données_step[[#This Row],[E_PTOT]]/données_step[[#This Row],[E_COT]]),"")</f>
        <v/>
      </c>
      <c r="BP22" s="521" t="e">
        <f>IF(données_step[[#This Row],[E_DCO]]/données_step[[#This Row],[E_COT]]=0,NA(),données_step[[#This Row],[E_DCO]]/données_step[[#This Row],[E_COT]])</f>
        <v>#DIV/0!</v>
      </c>
      <c r="BQ22" s="521" t="e">
        <f>IF(données_step[[#This Row],[E_NTOT]]/données_step[[#This Row],[E_DCO]]=0,NA(),données_step[[#This Row],[E_NTOT]]/données_step[[#This Row],[E_DCO]])</f>
        <v>#DIV/0!</v>
      </c>
      <c r="BR22" s="521" t="e">
        <f>IF(données_step[[#This Row],[E_PTOT]]/données_step[[#This Row],[E_DCO]]=0,NA(),données_step[[#This Row],[E_PTOT]]/données_step[[#This Row],[E_DCO]])</f>
        <v>#DIV/0!</v>
      </c>
      <c r="BS22" s="747" t="e">
        <f ca="1">test_NH4_temp(données_step[[#This Row],[S_NH4]],données_step[[#This Row],[Temp_eaux]])</f>
        <v>#NAME?</v>
      </c>
    </row>
    <row r="23" spans="1:71" x14ac:dyDescent="0.2">
      <c r="A23" s="222">
        <f>données_step[[#This Row],[Datum]]</f>
        <v>44574</v>
      </c>
      <c r="B23" s="223"/>
      <c r="C23" s="224">
        <f t="shared" si="0"/>
        <v>5</v>
      </c>
      <c r="D23" s="523" t="str">
        <f>IF(OR(données_step[[#This Row],[E_DBO5]]&lt;=0,données_step[[#This Row],[E_DBO5]]=""),"",données_step[[#This Row],[D_QTRAI]]*données_step[[#This Row],[E_DBO5]]/1000)</f>
        <v/>
      </c>
      <c r="E23" s="523" t="str">
        <f>IF(OR(données_step[[#This Row],[E_DCO]]&lt;=0,données_step[[#This Row],[E_DCO]]=""),"",données_step[[#This Row],[D_QTRAI]]*données_step[[#This Row],[E_DCO]]/1000)</f>
        <v/>
      </c>
      <c r="F23" s="523" t="str">
        <f>IF(OR(données_step[[#This Row],[E_COT]]&lt;=0,données_step[[#This Row],[E_COT]]=""),"",données_step[[#This Row],[D_QTRAI]]*données_step[[#This Row],[E_COT]]/1000)</f>
        <v/>
      </c>
      <c r="G23" s="523" t="str">
        <f>IF(OR(données_step[[#This Row],[E_NH4]]&lt;=0,données_step[[#This Row],[E_NH4]]=""),"",données_step[[#This Row],[D_QTRAI]]*données_step[[#This Row],[E_NH4]]/1000)</f>
        <v/>
      </c>
      <c r="H23" s="523" t="str">
        <f>IF(OR(données_step[[#This Row],[E_NTOT]]&lt;=0,données_step[[#This Row],[E_NTOT]]=""),"",données_step[[#This Row],[D_QTRAI]]*données_step[[#This Row],[E_NTOT]]/1000)</f>
        <v/>
      </c>
      <c r="I23" s="523" t="str">
        <f>IF(OR(données_step[[#This Row],[E_NTOT]]&lt;=0,données_step[[#This Row],[E_NTOT]]=""),"",données_step[[#This Row],[D_QTRAI]]*données_step[[#This Row],[E_PTOT]]/1000)</f>
        <v/>
      </c>
      <c r="J23" s="523" t="str">
        <f>IF(OR(données_step[[#This Row],[S_DBO5]]&lt;=0,données_step[[#This Row],[S_DBO5]]=""),"",données_step[[#This Row],[D_QTRAI]]*données_step[[#This Row],[S_DBO5]]/1000)</f>
        <v/>
      </c>
      <c r="K23" s="523" t="str">
        <f>IF(OR(données_step[[#This Row],[S_DCO]]&lt;=0,données_step[[#This Row],[S_DCO]]=""),"",données_step[[#This Row],[D_QTRAI]]*données_step[[#This Row],[S_DCO]]/1000)</f>
        <v/>
      </c>
      <c r="L23" s="523" t="str">
        <f>IF(OR(données_step[[#This Row],[S_COD]]&lt;=0,données_step[[#This Row],[S_COD]]=""),"",données_step[[#This Row],[D_QTRAI]]*données_step[[#This Row],[S_COD]]/1000)</f>
        <v/>
      </c>
      <c r="M23" s="523" t="str">
        <f>IF(OR(données_step[[#This Row],[S_NH4]]&lt;=0,données_step[[#This Row],[S_NH4]]=""),"",données_step[[#This Row],[D_QTRAI]]*données_step[[#This Row],[S_NH4]]/1000)</f>
        <v/>
      </c>
      <c r="N23" s="523" t="str">
        <f>IF(OR(données_step[[#This Row],[S_NO2]]&lt;=0,données_step[[#This Row],[S_NO2]]=""),"",données_step[[#This Row],[D_QTRAI]]*données_step[[#This Row],[S_NO2]]/1000)</f>
        <v/>
      </c>
      <c r="O23" s="523" t="str">
        <f>IF(OR(données_step[[#This Row],[S_NO3]]&lt;=0,données_step[[#This Row],[S_NO3]]=""),"",données_step[[#This Row],[D_QTRAI]]*données_step[[#This Row],[S_NO3]]/1000)</f>
        <v/>
      </c>
      <c r="P23" s="523" t="str">
        <f>IF(OR(données_step[[#This Row],[S_PTOT]]&lt;=0,données_step[[#This Row],[S_PTOT]]=""),"",données_step[[#This Row],[D_QTRAI]]*données_step[[#This Row],[S_PTOT]]/1000)</f>
        <v/>
      </c>
      <c r="Q23" s="523" t="str">
        <f>IF(OR(données_step[[#This Row],[S_MES]]&lt;=0,données_step[[#This Row],[S_MES]]=""),"",données_step[[#This Row],[D_QTRAI]]*données_step[[#This Row],[S_MES]]/1000)</f>
        <v/>
      </c>
      <c r="R23" s="523">
        <f>MAX(données_step[[#This Row],[D_QTRAI]],données_step[[#This Row],[D_QTRAI2]])</f>
        <v>0</v>
      </c>
      <c r="S23" s="523" t="str">
        <f>IF(AND($R23&gt;0,données_step[[#This Row],[E_DCO]]&gt;0),données_step[[#This Row],[E_DCO]],"")</f>
        <v/>
      </c>
      <c r="T23" s="523" t="str">
        <f>IF(S23="","",(1-données_step[[#This Row],[E_DCO]]/$V$7)*100)</f>
        <v/>
      </c>
      <c r="U23" s="523" t="str">
        <f t="shared" si="1"/>
        <v/>
      </c>
      <c r="V23" s="523" t="str">
        <f t="shared" si="2"/>
        <v/>
      </c>
      <c r="W23" s="523" t="str">
        <f t="shared" si="3"/>
        <v/>
      </c>
      <c r="X23" s="523" t="e">
        <f>IF(((100-100/$V$7*données_step[[#This Row],[E_DCO]])/100*QTS)&lt;0,NA(),IF(OR(U23&lt;0,U23=""),NA(),((100-100/$V$7*données_step[[#This Row],[E_DCO]])/100*QTS)))</f>
        <v>#NUM!</v>
      </c>
      <c r="Y23" s="523" t="str">
        <f>IF(AND($R23&gt;0,données_step[[#This Row],[E_COT]]&gt;0),données_step[[#This Row],[E_COT]],"")</f>
        <v/>
      </c>
      <c r="Z23" s="523" t="str">
        <f>IF(Y23="","",(1-données_step[[#This Row],[E_COT]]/$AB$7)*100)</f>
        <v/>
      </c>
      <c r="AA23" s="523" t="str">
        <f t="shared" si="4"/>
        <v/>
      </c>
      <c r="AB23" s="523" t="str">
        <f t="shared" si="5"/>
        <v/>
      </c>
      <c r="AC23" s="523" t="str">
        <f t="shared" si="6"/>
        <v/>
      </c>
      <c r="AD23" s="523" t="e">
        <f>IF(((100-100/$AB$7*données_step[[#This Row],[E_COT]])/100*QTS)&lt;0,NA(),IF(OR(AA23&lt;0,AA23=""),NA(),((100-100/$AB$7*données_step[[#This Row],[E_COT]])/100*QTS)))</f>
        <v>#NUM!</v>
      </c>
      <c r="AE23" s="523" t="str">
        <f>IF(AND($R23&gt;0,données_step[[#This Row],[E_NH4]]&gt;0),données_step[[#This Row],[E_NH4]],"")</f>
        <v/>
      </c>
      <c r="AF23" s="523" t="str">
        <f>IF(AE23="","",(1-données_step[[#This Row],[E_NH4]]/$AH$7)*100)</f>
        <v/>
      </c>
      <c r="AG23" s="523" t="str">
        <f t="shared" si="7"/>
        <v/>
      </c>
      <c r="AH23" s="523" t="str">
        <f t="shared" si="8"/>
        <v/>
      </c>
      <c r="AI23" s="523" t="str">
        <f t="shared" si="9"/>
        <v/>
      </c>
      <c r="AJ23" s="523" t="e">
        <f>IF(((100-100/$AH$7*données_step[[#This Row],[E_NH4]])/100*QTS)&lt;0,NA(),IF(OR(AG23&lt;0,AG23=""),NA(),((100-100/$AH$7*données_step[[#This Row],[E_NH4]])/100*QTS)))</f>
        <v>#NUM!</v>
      </c>
      <c r="AK23" s="523" t="str">
        <f>IF(AND($R23&gt;0,données_step[[#This Row],[E_PTOT]]&gt;0),données_step[[#This Row],[E_PTOT]],"")</f>
        <v/>
      </c>
      <c r="AL23" s="523" t="str">
        <f>IF(AK23="","",(1-données_step[[#This Row],[E_PTOT]]/$AN$7)*100)</f>
        <v/>
      </c>
      <c r="AM23" s="523" t="str">
        <f t="shared" si="10"/>
        <v/>
      </c>
      <c r="AN23" s="523" t="str">
        <f t="shared" si="11"/>
        <v/>
      </c>
      <c r="AO23" s="523" t="str">
        <f t="shared" si="12"/>
        <v/>
      </c>
      <c r="AP23" s="523" t="e">
        <f>IF(((100-100/$AN$7*données_step[[#This Row],[E_PTOT]])/100*QTS)&lt;0,NA(),IF(OR(AM23&lt;0,AM23=""),NA(),((100-100/$AN$7*données_step[[#This Row],[E_PTOT]])/100*QTS)))</f>
        <v>#NUM!</v>
      </c>
      <c r="AQ23" s="524" t="e">
        <f t="shared" si="13"/>
        <v>#NUM!</v>
      </c>
      <c r="AR23" s="524" t="str">
        <f t="shared" si="14"/>
        <v/>
      </c>
      <c r="AT23" s="526">
        <f t="shared" si="15"/>
        <v>0.12</v>
      </c>
      <c r="AU23" s="14">
        <f t="shared" si="16"/>
        <v>12</v>
      </c>
      <c r="AV23" s="525" t="e">
        <f>PERCENTILE(analyses!$F$11:$F$375,$AT23)</f>
        <v>#NUM!</v>
      </c>
      <c r="AW23" s="7" t="e">
        <f>PERCENTILE(analyses!$I$11:$I$375,$AT23)</f>
        <v>#NUM!</v>
      </c>
      <c r="AX23" s="7" t="e">
        <f>PERCENTILE(analyses!$J$11:$J$375,$AT23)</f>
        <v>#NUM!</v>
      </c>
      <c r="AY23" s="523" t="str">
        <f>_xlfn.IFNA(IF(données_step[[#This Row],[E_DCO]]&lt;=0,NA(),charge_entree[[#This Row],[ch_E_DCO]]/constanten!$B$8*1000),"")</f>
        <v/>
      </c>
      <c r="AZ23" s="523" t="str">
        <f>_xlfn.IFNA(IF(données_step[[#This Row],[E_NTOT]]&lt;=0,NA(),charge_entree[[#This Row],[ch_E_NTOT]]/constanten!$B$10*1000),"")</f>
        <v/>
      </c>
      <c r="BA23" s="523" t="str">
        <f>_xlfn.IFNA(IF(données_step[[#This Row],[E_NH4]]&lt;=0,NA(),charge_entree[[#This Row],[ch_E_NH4]]/constanten!$B$12*1000),"")</f>
        <v/>
      </c>
      <c r="BB23" s="523" t="str">
        <f>_xlfn.IFNA(IF(données_step[[#This Row],[E_COT]]&lt;=0,NA(),charge_entree[[#This Row],[ch_E_COT]]/constanten!$B$9*1000),"")</f>
        <v/>
      </c>
      <c r="BC23" s="523" t="str">
        <f>IFERROR(_xlfn.IFNA(IF(données_step[[#This Row],[E_PTOT]]&lt;=0,NA(),charge_entree[[#This Row],[ch_E_PTOT]]/constanten!$B$15*1000),""),"")</f>
        <v/>
      </c>
      <c r="BD23" s="535" t="e">
        <f>calculs!E23 * (1-0.4) / (données_step[[#This Row],[X_BA_VOL]]*données_step[[#This Row],[X_BACONC]])</f>
        <v>#VALUE!</v>
      </c>
      <c r="BE23" s="522" t="e">
        <f>(données_step[[#This Row],[X_BA_VOL]]*données_step[[#This Row],[X_BACONC]])/((données_step[[#This Row],[D_QTRAI2]]*données_step[[#This Row],[S_MES]]/1000)+(données_step[[#This Row],[X_BX_Q]]*données_step[[#This Row],[X_BXCONC]]))</f>
        <v>#VALUE!</v>
      </c>
      <c r="BF23" s="890" t="str">
        <f>IFERROR(données_step[[#This Row],[D_QTRAI]]/AY23*1000,"")</f>
        <v/>
      </c>
      <c r="BG23" s="535" t="str">
        <f>IFERROR(1-données_step[[#This Row],[S_DBO5]]/données_step[[#This Row],[E_DBO5]],"")</f>
        <v/>
      </c>
      <c r="BH23" s="536" t="str">
        <f>IFERROR(1-données_step[[#This Row],[S_DCO]]/données_step[[#This Row],[E_DCO]],"")</f>
        <v/>
      </c>
      <c r="BI23" s="535" t="str">
        <f>IFERROR(1-données_step[[#This Row],[S_COD]]/données_step[[#This Row],[E_COT]],"")</f>
        <v/>
      </c>
      <c r="BJ23" s="535" t="str">
        <f>IFERROR(1-données_step[[#This Row],[S_NH4]]/données_step[[#This Row],[E_NTOT]],"")</f>
        <v/>
      </c>
      <c r="BK23" s="535" t="str">
        <f>IFERROR(1-données_step[[#This Row],[S_PTOT]]/données_step[[#This Row],[E_PTOT]],"")</f>
        <v/>
      </c>
      <c r="BL23" s="521" t="str">
        <f>IFERROR(IF(données_step[[#This Row],[E_DCO]]/données_step[[#This Row],[E_DBO5]]=0,NA(),données_step[[#This Row],[E_DCO]]/données_step[[#This Row],[E_DBO5]]),"")</f>
        <v/>
      </c>
      <c r="BM23" s="521" t="str">
        <f>IFERROR(IF(données_step[[#This Row],[E_NH4]]/données_step[[#This Row],[E_NTOT]]=0,NA(),données_step[[#This Row],[E_NH4]]/données_step[[#This Row],[E_NTOT]]),"")</f>
        <v/>
      </c>
      <c r="BN23" s="521" t="str">
        <f>IFERROR(IF(données_step[[#This Row],[E_NTOT]]/données_step[[#This Row],[E_COT]]=0,NA(),données_step[[#This Row],[E_NTOT]]/données_step[[#This Row],[E_COT]]),"")</f>
        <v/>
      </c>
      <c r="BO23" s="521" t="str">
        <f>IFERROR(IF(données_step[[#This Row],[E_PTOT]]/données_step[[#This Row],[E_COT]]=0,NA(),données_step[[#This Row],[E_PTOT]]/données_step[[#This Row],[E_COT]]),"")</f>
        <v/>
      </c>
      <c r="BP23" s="521" t="e">
        <f>IF(données_step[[#This Row],[E_DCO]]/données_step[[#This Row],[E_COT]]=0,NA(),données_step[[#This Row],[E_DCO]]/données_step[[#This Row],[E_COT]])</f>
        <v>#DIV/0!</v>
      </c>
      <c r="BQ23" s="521" t="e">
        <f>IF(données_step[[#This Row],[E_NTOT]]/données_step[[#This Row],[E_DCO]]=0,NA(),données_step[[#This Row],[E_NTOT]]/données_step[[#This Row],[E_DCO]])</f>
        <v>#DIV/0!</v>
      </c>
      <c r="BR23" s="521" t="e">
        <f>IF(données_step[[#This Row],[E_PTOT]]/données_step[[#This Row],[E_DCO]]=0,NA(),données_step[[#This Row],[E_PTOT]]/données_step[[#This Row],[E_DCO]])</f>
        <v>#DIV/0!</v>
      </c>
      <c r="BS23" s="747" t="e">
        <f ca="1">test_NH4_temp(données_step[[#This Row],[S_NH4]],données_step[[#This Row],[Temp_eaux]])</f>
        <v>#NAME?</v>
      </c>
    </row>
    <row r="24" spans="1:71" x14ac:dyDescent="0.2">
      <c r="A24" s="222">
        <f>données_step[[#This Row],[Datum]]</f>
        <v>44575</v>
      </c>
      <c r="B24" s="223"/>
      <c r="C24" s="224">
        <f t="shared" si="0"/>
        <v>6</v>
      </c>
      <c r="D24" s="523" t="str">
        <f>IF(OR(données_step[[#This Row],[E_DBO5]]&lt;=0,données_step[[#This Row],[E_DBO5]]=""),"",données_step[[#This Row],[D_QTRAI]]*données_step[[#This Row],[E_DBO5]]/1000)</f>
        <v/>
      </c>
      <c r="E24" s="523" t="str">
        <f>IF(OR(données_step[[#This Row],[E_DCO]]&lt;=0,données_step[[#This Row],[E_DCO]]=""),"",données_step[[#This Row],[D_QTRAI]]*données_step[[#This Row],[E_DCO]]/1000)</f>
        <v/>
      </c>
      <c r="F24" s="523" t="str">
        <f>IF(OR(données_step[[#This Row],[E_COT]]&lt;=0,données_step[[#This Row],[E_COT]]=""),"",données_step[[#This Row],[D_QTRAI]]*données_step[[#This Row],[E_COT]]/1000)</f>
        <v/>
      </c>
      <c r="G24" s="523" t="str">
        <f>IF(OR(données_step[[#This Row],[E_NH4]]&lt;=0,données_step[[#This Row],[E_NH4]]=""),"",données_step[[#This Row],[D_QTRAI]]*données_step[[#This Row],[E_NH4]]/1000)</f>
        <v/>
      </c>
      <c r="H24" s="523" t="str">
        <f>IF(OR(données_step[[#This Row],[E_NTOT]]&lt;=0,données_step[[#This Row],[E_NTOT]]=""),"",données_step[[#This Row],[D_QTRAI]]*données_step[[#This Row],[E_NTOT]]/1000)</f>
        <v/>
      </c>
      <c r="I24" s="523" t="str">
        <f>IF(OR(données_step[[#This Row],[E_NTOT]]&lt;=0,données_step[[#This Row],[E_NTOT]]=""),"",données_step[[#This Row],[D_QTRAI]]*données_step[[#This Row],[E_PTOT]]/1000)</f>
        <v/>
      </c>
      <c r="J24" s="523" t="str">
        <f>IF(OR(données_step[[#This Row],[S_DBO5]]&lt;=0,données_step[[#This Row],[S_DBO5]]=""),"",données_step[[#This Row],[D_QTRAI]]*données_step[[#This Row],[S_DBO5]]/1000)</f>
        <v/>
      </c>
      <c r="K24" s="523" t="str">
        <f>IF(OR(données_step[[#This Row],[S_DCO]]&lt;=0,données_step[[#This Row],[S_DCO]]=""),"",données_step[[#This Row],[D_QTRAI]]*données_step[[#This Row],[S_DCO]]/1000)</f>
        <v/>
      </c>
      <c r="L24" s="523" t="str">
        <f>IF(OR(données_step[[#This Row],[S_COD]]&lt;=0,données_step[[#This Row],[S_COD]]=""),"",données_step[[#This Row],[D_QTRAI]]*données_step[[#This Row],[S_COD]]/1000)</f>
        <v/>
      </c>
      <c r="M24" s="523" t="str">
        <f>IF(OR(données_step[[#This Row],[S_NH4]]&lt;=0,données_step[[#This Row],[S_NH4]]=""),"",données_step[[#This Row],[D_QTRAI]]*données_step[[#This Row],[S_NH4]]/1000)</f>
        <v/>
      </c>
      <c r="N24" s="523" t="str">
        <f>IF(OR(données_step[[#This Row],[S_NO2]]&lt;=0,données_step[[#This Row],[S_NO2]]=""),"",données_step[[#This Row],[D_QTRAI]]*données_step[[#This Row],[S_NO2]]/1000)</f>
        <v/>
      </c>
      <c r="O24" s="523" t="str">
        <f>IF(OR(données_step[[#This Row],[S_NO3]]&lt;=0,données_step[[#This Row],[S_NO3]]=""),"",données_step[[#This Row],[D_QTRAI]]*données_step[[#This Row],[S_NO3]]/1000)</f>
        <v/>
      </c>
      <c r="P24" s="523" t="str">
        <f>IF(OR(données_step[[#This Row],[S_PTOT]]&lt;=0,données_step[[#This Row],[S_PTOT]]=""),"",données_step[[#This Row],[D_QTRAI]]*données_step[[#This Row],[S_PTOT]]/1000)</f>
        <v/>
      </c>
      <c r="Q24" s="523" t="str">
        <f>IF(OR(données_step[[#This Row],[S_MES]]&lt;=0,données_step[[#This Row],[S_MES]]=""),"",données_step[[#This Row],[D_QTRAI]]*données_step[[#This Row],[S_MES]]/1000)</f>
        <v/>
      </c>
      <c r="R24" s="523">
        <f>MAX(données_step[[#This Row],[D_QTRAI]],données_step[[#This Row],[D_QTRAI2]])</f>
        <v>0</v>
      </c>
      <c r="S24" s="523" t="str">
        <f>IF(AND($R24&gt;0,données_step[[#This Row],[E_DCO]]&gt;0),données_step[[#This Row],[E_DCO]],"")</f>
        <v/>
      </c>
      <c r="T24" s="523" t="str">
        <f>IF(S24="","",(1-données_step[[#This Row],[E_DCO]]/$V$7)*100)</f>
        <v/>
      </c>
      <c r="U24" s="523" t="str">
        <f t="shared" si="1"/>
        <v/>
      </c>
      <c r="V24" s="523" t="str">
        <f t="shared" si="2"/>
        <v/>
      </c>
      <c r="W24" s="523" t="str">
        <f t="shared" si="3"/>
        <v/>
      </c>
      <c r="X24" s="523" t="e">
        <f>IF(((100-100/$V$7*données_step[[#This Row],[E_DCO]])/100*QTS)&lt;0,NA(),IF(OR(U24&lt;0,U24=""),NA(),((100-100/$V$7*données_step[[#This Row],[E_DCO]])/100*QTS)))</f>
        <v>#NUM!</v>
      </c>
      <c r="Y24" s="523" t="str">
        <f>IF(AND($R24&gt;0,données_step[[#This Row],[E_COT]]&gt;0),données_step[[#This Row],[E_COT]],"")</f>
        <v/>
      </c>
      <c r="Z24" s="523" t="str">
        <f>IF(Y24="","",(1-données_step[[#This Row],[E_COT]]/$AB$7)*100)</f>
        <v/>
      </c>
      <c r="AA24" s="523" t="str">
        <f t="shared" si="4"/>
        <v/>
      </c>
      <c r="AB24" s="523" t="str">
        <f t="shared" si="5"/>
        <v/>
      </c>
      <c r="AC24" s="523" t="str">
        <f t="shared" si="6"/>
        <v/>
      </c>
      <c r="AD24" s="523" t="e">
        <f>IF(((100-100/$AB$7*données_step[[#This Row],[E_COT]])/100*QTS)&lt;0,NA(),IF(OR(AA24&lt;0,AA24=""),NA(),((100-100/$AB$7*données_step[[#This Row],[E_COT]])/100*QTS)))</f>
        <v>#NUM!</v>
      </c>
      <c r="AE24" s="523" t="str">
        <f>IF(AND($R24&gt;0,données_step[[#This Row],[E_NH4]]&gt;0),données_step[[#This Row],[E_NH4]],"")</f>
        <v/>
      </c>
      <c r="AF24" s="523" t="str">
        <f>IF(AE24="","",(1-données_step[[#This Row],[E_NH4]]/$AH$7)*100)</f>
        <v/>
      </c>
      <c r="AG24" s="523" t="str">
        <f t="shared" si="7"/>
        <v/>
      </c>
      <c r="AH24" s="523" t="str">
        <f t="shared" si="8"/>
        <v/>
      </c>
      <c r="AI24" s="523" t="str">
        <f t="shared" si="9"/>
        <v/>
      </c>
      <c r="AJ24" s="523" t="e">
        <f>IF(((100-100/$AH$7*données_step[[#This Row],[E_NH4]])/100*QTS)&lt;0,NA(),IF(OR(AG24&lt;0,AG24=""),NA(),((100-100/$AH$7*données_step[[#This Row],[E_NH4]])/100*QTS)))</f>
        <v>#NUM!</v>
      </c>
      <c r="AK24" s="523" t="str">
        <f>IF(AND($R24&gt;0,données_step[[#This Row],[E_PTOT]]&gt;0),données_step[[#This Row],[E_PTOT]],"")</f>
        <v/>
      </c>
      <c r="AL24" s="523" t="str">
        <f>IF(AK24="","",(1-données_step[[#This Row],[E_PTOT]]/$AN$7)*100)</f>
        <v/>
      </c>
      <c r="AM24" s="523" t="str">
        <f t="shared" si="10"/>
        <v/>
      </c>
      <c r="AN24" s="523" t="str">
        <f t="shared" si="11"/>
        <v/>
      </c>
      <c r="AO24" s="523" t="str">
        <f t="shared" si="12"/>
        <v/>
      </c>
      <c r="AP24" s="523" t="e">
        <f>IF(((100-100/$AN$7*données_step[[#This Row],[E_PTOT]])/100*QTS)&lt;0,NA(),IF(OR(AM24&lt;0,AM24=""),NA(),((100-100/$AN$7*données_step[[#This Row],[E_PTOT]])/100*QTS)))</f>
        <v>#NUM!</v>
      </c>
      <c r="AQ24" s="524" t="e">
        <f t="shared" si="13"/>
        <v>#NUM!</v>
      </c>
      <c r="AR24" s="524" t="str">
        <f t="shared" si="14"/>
        <v/>
      </c>
      <c r="AT24" s="517">
        <f t="shared" si="15"/>
        <v>0.13</v>
      </c>
      <c r="AU24" s="501">
        <f t="shared" si="16"/>
        <v>13</v>
      </c>
      <c r="AV24" s="525" t="e">
        <f>PERCENTILE(analyses!$F$11:$F$375,$AT24)</f>
        <v>#NUM!</v>
      </c>
      <c r="AW24" s="7" t="e">
        <f>PERCENTILE(analyses!$I$11:$I$375,$AT24)</f>
        <v>#NUM!</v>
      </c>
      <c r="AX24" s="7" t="e">
        <f>PERCENTILE(analyses!$J$11:$J$375,$AT24)</f>
        <v>#NUM!</v>
      </c>
      <c r="AY24" s="523" t="str">
        <f>_xlfn.IFNA(IF(données_step[[#This Row],[E_DCO]]&lt;=0,NA(),charge_entree[[#This Row],[ch_E_DCO]]/constanten!$B$8*1000),"")</f>
        <v/>
      </c>
      <c r="AZ24" s="523" t="str">
        <f>_xlfn.IFNA(IF(données_step[[#This Row],[E_NTOT]]&lt;=0,NA(),charge_entree[[#This Row],[ch_E_NTOT]]/constanten!$B$10*1000),"")</f>
        <v/>
      </c>
      <c r="BA24" s="523" t="str">
        <f>_xlfn.IFNA(IF(données_step[[#This Row],[E_NH4]]&lt;=0,NA(),charge_entree[[#This Row],[ch_E_NH4]]/constanten!$B$12*1000),"")</f>
        <v/>
      </c>
      <c r="BB24" s="523" t="str">
        <f>_xlfn.IFNA(IF(données_step[[#This Row],[E_COT]]&lt;=0,NA(),charge_entree[[#This Row],[ch_E_COT]]/constanten!$B$9*1000),"")</f>
        <v/>
      </c>
      <c r="BC24" s="523" t="str">
        <f>IFERROR(_xlfn.IFNA(IF(données_step[[#This Row],[E_PTOT]]&lt;=0,NA(),charge_entree[[#This Row],[ch_E_PTOT]]/constanten!$B$15*1000),""),"")</f>
        <v/>
      </c>
      <c r="BD24" s="535" t="e">
        <f>calculs!E24 * (1-0.4) / (données_step[[#This Row],[X_BA_VOL]]*données_step[[#This Row],[X_BACONC]])</f>
        <v>#VALUE!</v>
      </c>
      <c r="BE24" s="522" t="e">
        <f>(données_step[[#This Row],[X_BA_VOL]]*données_step[[#This Row],[X_BACONC]])/((données_step[[#This Row],[D_QTRAI2]]*données_step[[#This Row],[S_MES]]/1000)+(données_step[[#This Row],[X_BX_Q]]*données_step[[#This Row],[X_BXCONC]]))</f>
        <v>#VALUE!</v>
      </c>
      <c r="BF24" s="890" t="str">
        <f>IFERROR(données_step[[#This Row],[D_QTRAI]]/AY24*1000,"")</f>
        <v/>
      </c>
      <c r="BG24" s="535" t="str">
        <f>IFERROR(1-données_step[[#This Row],[S_DBO5]]/données_step[[#This Row],[E_DBO5]],"")</f>
        <v/>
      </c>
      <c r="BH24" s="536" t="str">
        <f>IFERROR(1-données_step[[#This Row],[S_DCO]]/données_step[[#This Row],[E_DCO]],"")</f>
        <v/>
      </c>
      <c r="BI24" s="535" t="str">
        <f>IFERROR(1-données_step[[#This Row],[S_COD]]/données_step[[#This Row],[E_COT]],"")</f>
        <v/>
      </c>
      <c r="BJ24" s="535" t="str">
        <f>IFERROR(1-données_step[[#This Row],[S_NH4]]/données_step[[#This Row],[E_NTOT]],"")</f>
        <v/>
      </c>
      <c r="BK24" s="535" t="str">
        <f>IFERROR(1-données_step[[#This Row],[S_PTOT]]/données_step[[#This Row],[E_PTOT]],"")</f>
        <v/>
      </c>
      <c r="BL24" s="521" t="str">
        <f>IFERROR(IF(données_step[[#This Row],[E_DCO]]/données_step[[#This Row],[E_DBO5]]=0,NA(),données_step[[#This Row],[E_DCO]]/données_step[[#This Row],[E_DBO5]]),"")</f>
        <v/>
      </c>
      <c r="BM24" s="521" t="str">
        <f>IFERROR(IF(données_step[[#This Row],[E_NH4]]/données_step[[#This Row],[E_NTOT]]=0,NA(),données_step[[#This Row],[E_NH4]]/données_step[[#This Row],[E_NTOT]]),"")</f>
        <v/>
      </c>
      <c r="BN24" s="521" t="str">
        <f>IFERROR(IF(données_step[[#This Row],[E_NTOT]]/données_step[[#This Row],[E_COT]]=0,NA(),données_step[[#This Row],[E_NTOT]]/données_step[[#This Row],[E_COT]]),"")</f>
        <v/>
      </c>
      <c r="BO24" s="521" t="str">
        <f>IFERROR(IF(données_step[[#This Row],[E_PTOT]]/données_step[[#This Row],[E_COT]]=0,NA(),données_step[[#This Row],[E_PTOT]]/données_step[[#This Row],[E_COT]]),"")</f>
        <v/>
      </c>
      <c r="BP24" s="521" t="e">
        <f>IF(données_step[[#This Row],[E_DCO]]/données_step[[#This Row],[E_COT]]=0,NA(),données_step[[#This Row],[E_DCO]]/données_step[[#This Row],[E_COT]])</f>
        <v>#DIV/0!</v>
      </c>
      <c r="BQ24" s="521" t="e">
        <f>IF(données_step[[#This Row],[E_NTOT]]/données_step[[#This Row],[E_DCO]]=0,NA(),données_step[[#This Row],[E_NTOT]]/données_step[[#This Row],[E_DCO]])</f>
        <v>#DIV/0!</v>
      </c>
      <c r="BR24" s="521" t="e">
        <f>IF(données_step[[#This Row],[E_PTOT]]/données_step[[#This Row],[E_DCO]]=0,NA(),données_step[[#This Row],[E_PTOT]]/données_step[[#This Row],[E_DCO]])</f>
        <v>#DIV/0!</v>
      </c>
      <c r="BS24" s="747" t="e">
        <f ca="1">test_NH4_temp(données_step[[#This Row],[S_NH4]],données_step[[#This Row],[Temp_eaux]])</f>
        <v>#NAME?</v>
      </c>
    </row>
    <row r="25" spans="1:71" x14ac:dyDescent="0.2">
      <c r="A25" s="222">
        <f>données_step[[#This Row],[Datum]]</f>
        <v>44576</v>
      </c>
      <c r="B25" s="223"/>
      <c r="C25" s="224">
        <f t="shared" si="0"/>
        <v>7</v>
      </c>
      <c r="D25" s="523" t="str">
        <f>IF(OR(données_step[[#This Row],[E_DBO5]]&lt;=0,données_step[[#This Row],[E_DBO5]]=""),"",données_step[[#This Row],[D_QTRAI]]*données_step[[#This Row],[E_DBO5]]/1000)</f>
        <v/>
      </c>
      <c r="E25" s="523" t="str">
        <f>IF(OR(données_step[[#This Row],[E_DCO]]&lt;=0,données_step[[#This Row],[E_DCO]]=""),"",données_step[[#This Row],[D_QTRAI]]*données_step[[#This Row],[E_DCO]]/1000)</f>
        <v/>
      </c>
      <c r="F25" s="523" t="str">
        <f>IF(OR(données_step[[#This Row],[E_COT]]&lt;=0,données_step[[#This Row],[E_COT]]=""),"",données_step[[#This Row],[D_QTRAI]]*données_step[[#This Row],[E_COT]]/1000)</f>
        <v/>
      </c>
      <c r="G25" s="523" t="str">
        <f>IF(OR(données_step[[#This Row],[E_NH4]]&lt;=0,données_step[[#This Row],[E_NH4]]=""),"",données_step[[#This Row],[D_QTRAI]]*données_step[[#This Row],[E_NH4]]/1000)</f>
        <v/>
      </c>
      <c r="H25" s="523" t="str">
        <f>IF(OR(données_step[[#This Row],[E_NTOT]]&lt;=0,données_step[[#This Row],[E_NTOT]]=""),"",données_step[[#This Row],[D_QTRAI]]*données_step[[#This Row],[E_NTOT]]/1000)</f>
        <v/>
      </c>
      <c r="I25" s="523" t="str">
        <f>IF(OR(données_step[[#This Row],[E_NTOT]]&lt;=0,données_step[[#This Row],[E_NTOT]]=""),"",données_step[[#This Row],[D_QTRAI]]*données_step[[#This Row],[E_PTOT]]/1000)</f>
        <v/>
      </c>
      <c r="J25" s="523" t="str">
        <f>IF(OR(données_step[[#This Row],[S_DBO5]]&lt;=0,données_step[[#This Row],[S_DBO5]]=""),"",données_step[[#This Row],[D_QTRAI]]*données_step[[#This Row],[S_DBO5]]/1000)</f>
        <v/>
      </c>
      <c r="K25" s="523" t="str">
        <f>IF(OR(données_step[[#This Row],[S_DCO]]&lt;=0,données_step[[#This Row],[S_DCO]]=""),"",données_step[[#This Row],[D_QTRAI]]*données_step[[#This Row],[S_DCO]]/1000)</f>
        <v/>
      </c>
      <c r="L25" s="523" t="str">
        <f>IF(OR(données_step[[#This Row],[S_COD]]&lt;=0,données_step[[#This Row],[S_COD]]=""),"",données_step[[#This Row],[D_QTRAI]]*données_step[[#This Row],[S_COD]]/1000)</f>
        <v/>
      </c>
      <c r="M25" s="523" t="str">
        <f>IF(OR(données_step[[#This Row],[S_NH4]]&lt;=0,données_step[[#This Row],[S_NH4]]=""),"",données_step[[#This Row],[D_QTRAI]]*données_step[[#This Row],[S_NH4]]/1000)</f>
        <v/>
      </c>
      <c r="N25" s="523" t="str">
        <f>IF(OR(données_step[[#This Row],[S_NO2]]&lt;=0,données_step[[#This Row],[S_NO2]]=""),"",données_step[[#This Row],[D_QTRAI]]*données_step[[#This Row],[S_NO2]]/1000)</f>
        <v/>
      </c>
      <c r="O25" s="523" t="str">
        <f>IF(OR(données_step[[#This Row],[S_NO3]]&lt;=0,données_step[[#This Row],[S_NO3]]=""),"",données_step[[#This Row],[D_QTRAI]]*données_step[[#This Row],[S_NO3]]/1000)</f>
        <v/>
      </c>
      <c r="P25" s="523" t="str">
        <f>IF(OR(données_step[[#This Row],[S_PTOT]]&lt;=0,données_step[[#This Row],[S_PTOT]]=""),"",données_step[[#This Row],[D_QTRAI]]*données_step[[#This Row],[S_PTOT]]/1000)</f>
        <v/>
      </c>
      <c r="Q25" s="523" t="str">
        <f>IF(OR(données_step[[#This Row],[S_MES]]&lt;=0,données_step[[#This Row],[S_MES]]=""),"",données_step[[#This Row],[D_QTRAI]]*données_step[[#This Row],[S_MES]]/1000)</f>
        <v/>
      </c>
      <c r="R25" s="523">
        <f>MAX(données_step[[#This Row],[D_QTRAI]],données_step[[#This Row],[D_QTRAI2]])</f>
        <v>0</v>
      </c>
      <c r="S25" s="523" t="str">
        <f>IF(AND($R25&gt;0,données_step[[#This Row],[E_DCO]]&gt;0),données_step[[#This Row],[E_DCO]],"")</f>
        <v/>
      </c>
      <c r="T25" s="523" t="str">
        <f>IF(S25="","",(1-données_step[[#This Row],[E_DCO]]/$V$7)*100)</f>
        <v/>
      </c>
      <c r="U25" s="523" t="str">
        <f t="shared" si="1"/>
        <v/>
      </c>
      <c r="V25" s="523" t="str">
        <f t="shared" si="2"/>
        <v/>
      </c>
      <c r="W25" s="523" t="str">
        <f t="shared" si="3"/>
        <v/>
      </c>
      <c r="X25" s="523" t="e">
        <f>IF(((100-100/$V$7*données_step[[#This Row],[E_DCO]])/100*QTS)&lt;0,NA(),IF(OR(U25&lt;0,U25=""),NA(),((100-100/$V$7*données_step[[#This Row],[E_DCO]])/100*QTS)))</f>
        <v>#NUM!</v>
      </c>
      <c r="Y25" s="523" t="str">
        <f>IF(AND($R25&gt;0,données_step[[#This Row],[E_COT]]&gt;0),données_step[[#This Row],[E_COT]],"")</f>
        <v/>
      </c>
      <c r="Z25" s="523" t="str">
        <f>IF(Y25="","",(1-données_step[[#This Row],[E_COT]]/$AB$7)*100)</f>
        <v/>
      </c>
      <c r="AA25" s="523" t="str">
        <f t="shared" si="4"/>
        <v/>
      </c>
      <c r="AB25" s="523" t="str">
        <f t="shared" si="5"/>
        <v/>
      </c>
      <c r="AC25" s="523" t="str">
        <f t="shared" si="6"/>
        <v/>
      </c>
      <c r="AD25" s="523" t="e">
        <f>IF(((100-100/$AB$7*données_step[[#This Row],[E_COT]])/100*QTS)&lt;0,NA(),IF(OR(AA25&lt;0,AA25=""),NA(),((100-100/$AB$7*données_step[[#This Row],[E_COT]])/100*QTS)))</f>
        <v>#NUM!</v>
      </c>
      <c r="AE25" s="523" t="str">
        <f>IF(AND($R25&gt;0,données_step[[#This Row],[E_NH4]]&gt;0),données_step[[#This Row],[E_NH4]],"")</f>
        <v/>
      </c>
      <c r="AF25" s="523" t="str">
        <f>IF(AE25="","",(1-données_step[[#This Row],[E_NH4]]/$AH$7)*100)</f>
        <v/>
      </c>
      <c r="AG25" s="523" t="str">
        <f t="shared" si="7"/>
        <v/>
      </c>
      <c r="AH25" s="523" t="str">
        <f t="shared" si="8"/>
        <v/>
      </c>
      <c r="AI25" s="523" t="str">
        <f t="shared" si="9"/>
        <v/>
      </c>
      <c r="AJ25" s="523" t="e">
        <f>IF(((100-100/$AH$7*données_step[[#This Row],[E_NH4]])/100*QTS)&lt;0,NA(),IF(OR(AG25&lt;0,AG25=""),NA(),((100-100/$AH$7*données_step[[#This Row],[E_NH4]])/100*QTS)))</f>
        <v>#NUM!</v>
      </c>
      <c r="AK25" s="523" t="str">
        <f>IF(AND($R25&gt;0,données_step[[#This Row],[E_PTOT]]&gt;0),données_step[[#This Row],[E_PTOT]],"")</f>
        <v/>
      </c>
      <c r="AL25" s="523" t="str">
        <f>IF(AK25="","",(1-données_step[[#This Row],[E_PTOT]]/$AN$7)*100)</f>
        <v/>
      </c>
      <c r="AM25" s="523" t="str">
        <f t="shared" si="10"/>
        <v/>
      </c>
      <c r="AN25" s="523" t="str">
        <f t="shared" si="11"/>
        <v/>
      </c>
      <c r="AO25" s="523" t="str">
        <f t="shared" si="12"/>
        <v/>
      </c>
      <c r="AP25" s="523" t="e">
        <f>IF(((100-100/$AN$7*données_step[[#This Row],[E_PTOT]])/100*QTS)&lt;0,NA(),IF(OR(AM25&lt;0,AM25=""),NA(),((100-100/$AN$7*données_step[[#This Row],[E_PTOT]])/100*QTS)))</f>
        <v>#NUM!</v>
      </c>
      <c r="AQ25" s="524" t="e">
        <f t="shared" si="13"/>
        <v>#NUM!</v>
      </c>
      <c r="AR25" s="524" t="str">
        <f t="shared" si="14"/>
        <v/>
      </c>
      <c r="AT25" s="517">
        <f t="shared" si="15"/>
        <v>0.14000000000000001</v>
      </c>
      <c r="AU25" s="501">
        <f t="shared" si="16"/>
        <v>14</v>
      </c>
      <c r="AV25" s="525" t="e">
        <f>PERCENTILE(analyses!$F$11:$F$375,$AT25)</f>
        <v>#NUM!</v>
      </c>
      <c r="AW25" s="7" t="e">
        <f>PERCENTILE(analyses!$I$11:$I$375,$AT25)</f>
        <v>#NUM!</v>
      </c>
      <c r="AX25" s="7" t="e">
        <f>PERCENTILE(analyses!$J$11:$J$375,$AT25)</f>
        <v>#NUM!</v>
      </c>
      <c r="AY25" s="523" t="str">
        <f>_xlfn.IFNA(IF(données_step[[#This Row],[E_DCO]]&lt;=0,NA(),charge_entree[[#This Row],[ch_E_DCO]]/constanten!$B$8*1000),"")</f>
        <v/>
      </c>
      <c r="AZ25" s="523" t="str">
        <f>_xlfn.IFNA(IF(données_step[[#This Row],[E_NTOT]]&lt;=0,NA(),charge_entree[[#This Row],[ch_E_NTOT]]/constanten!$B$10*1000),"")</f>
        <v/>
      </c>
      <c r="BA25" s="523" t="str">
        <f>_xlfn.IFNA(IF(données_step[[#This Row],[E_NH4]]&lt;=0,NA(),charge_entree[[#This Row],[ch_E_NH4]]/constanten!$B$12*1000),"")</f>
        <v/>
      </c>
      <c r="BB25" s="523" t="str">
        <f>_xlfn.IFNA(IF(données_step[[#This Row],[E_COT]]&lt;=0,NA(),charge_entree[[#This Row],[ch_E_COT]]/constanten!$B$9*1000),"")</f>
        <v/>
      </c>
      <c r="BC25" s="523" t="str">
        <f>IFERROR(_xlfn.IFNA(IF(données_step[[#This Row],[E_PTOT]]&lt;=0,NA(),charge_entree[[#This Row],[ch_E_PTOT]]/constanten!$B$15*1000),""),"")</f>
        <v/>
      </c>
      <c r="BD25" s="535" t="e">
        <f>calculs!E25 * (1-0.4) / (données_step[[#This Row],[X_BA_VOL]]*données_step[[#This Row],[X_BACONC]])</f>
        <v>#VALUE!</v>
      </c>
      <c r="BE25" s="522" t="e">
        <f>(données_step[[#This Row],[X_BA_VOL]]*données_step[[#This Row],[X_BACONC]])/((données_step[[#This Row],[D_QTRAI2]]*données_step[[#This Row],[S_MES]]/1000)+(données_step[[#This Row],[X_BX_Q]]*données_step[[#This Row],[X_BXCONC]]))</f>
        <v>#VALUE!</v>
      </c>
      <c r="BF25" s="890" t="str">
        <f>IFERROR(données_step[[#This Row],[D_QTRAI]]/AY25*1000,"")</f>
        <v/>
      </c>
      <c r="BG25" s="535" t="str">
        <f>IFERROR(1-données_step[[#This Row],[S_DBO5]]/données_step[[#This Row],[E_DBO5]],"")</f>
        <v/>
      </c>
      <c r="BH25" s="536" t="str">
        <f>IFERROR(1-données_step[[#This Row],[S_DCO]]/données_step[[#This Row],[E_DCO]],"")</f>
        <v/>
      </c>
      <c r="BI25" s="535" t="str">
        <f>IFERROR(1-données_step[[#This Row],[S_COD]]/données_step[[#This Row],[E_COT]],"")</f>
        <v/>
      </c>
      <c r="BJ25" s="535" t="str">
        <f>IFERROR(1-données_step[[#This Row],[S_NH4]]/données_step[[#This Row],[E_NTOT]],"")</f>
        <v/>
      </c>
      <c r="BK25" s="535" t="str">
        <f>IFERROR(1-données_step[[#This Row],[S_PTOT]]/données_step[[#This Row],[E_PTOT]],"")</f>
        <v/>
      </c>
      <c r="BL25" s="521" t="str">
        <f>IFERROR(IF(données_step[[#This Row],[E_DCO]]/données_step[[#This Row],[E_DBO5]]=0,NA(),données_step[[#This Row],[E_DCO]]/données_step[[#This Row],[E_DBO5]]),"")</f>
        <v/>
      </c>
      <c r="BM25" s="521" t="str">
        <f>IFERROR(IF(données_step[[#This Row],[E_NH4]]/données_step[[#This Row],[E_NTOT]]=0,NA(),données_step[[#This Row],[E_NH4]]/données_step[[#This Row],[E_NTOT]]),"")</f>
        <v/>
      </c>
      <c r="BN25" s="521" t="str">
        <f>IFERROR(IF(données_step[[#This Row],[E_NTOT]]/données_step[[#This Row],[E_COT]]=0,NA(),données_step[[#This Row],[E_NTOT]]/données_step[[#This Row],[E_COT]]),"")</f>
        <v/>
      </c>
      <c r="BO25" s="521" t="str">
        <f>IFERROR(IF(données_step[[#This Row],[E_PTOT]]/données_step[[#This Row],[E_COT]]=0,NA(),données_step[[#This Row],[E_PTOT]]/données_step[[#This Row],[E_COT]]),"")</f>
        <v/>
      </c>
      <c r="BP25" s="521" t="e">
        <f>IF(données_step[[#This Row],[E_DCO]]/données_step[[#This Row],[E_COT]]=0,NA(),données_step[[#This Row],[E_DCO]]/données_step[[#This Row],[E_COT]])</f>
        <v>#DIV/0!</v>
      </c>
      <c r="BQ25" s="521" t="e">
        <f>IF(données_step[[#This Row],[E_NTOT]]/données_step[[#This Row],[E_DCO]]=0,NA(),données_step[[#This Row],[E_NTOT]]/données_step[[#This Row],[E_DCO]])</f>
        <v>#DIV/0!</v>
      </c>
      <c r="BR25" s="521" t="e">
        <f>IF(données_step[[#This Row],[E_PTOT]]/données_step[[#This Row],[E_DCO]]=0,NA(),données_step[[#This Row],[E_PTOT]]/données_step[[#This Row],[E_DCO]])</f>
        <v>#DIV/0!</v>
      </c>
      <c r="BS25" s="747" t="e">
        <f ca="1">test_NH4_temp(données_step[[#This Row],[S_NH4]],données_step[[#This Row],[Temp_eaux]])</f>
        <v>#NAME?</v>
      </c>
    </row>
    <row r="26" spans="1:71" x14ac:dyDescent="0.2">
      <c r="A26" s="222">
        <f>données_step[[#This Row],[Datum]]</f>
        <v>44577</v>
      </c>
      <c r="B26" s="223"/>
      <c r="C26" s="224">
        <f t="shared" si="0"/>
        <v>1</v>
      </c>
      <c r="D26" s="523" t="str">
        <f>IF(OR(données_step[[#This Row],[E_DBO5]]&lt;=0,données_step[[#This Row],[E_DBO5]]=""),"",données_step[[#This Row],[D_QTRAI]]*données_step[[#This Row],[E_DBO5]]/1000)</f>
        <v/>
      </c>
      <c r="E26" s="523" t="str">
        <f>IF(OR(données_step[[#This Row],[E_DCO]]&lt;=0,données_step[[#This Row],[E_DCO]]=""),"",données_step[[#This Row],[D_QTRAI]]*données_step[[#This Row],[E_DCO]]/1000)</f>
        <v/>
      </c>
      <c r="F26" s="523" t="str">
        <f>IF(OR(données_step[[#This Row],[E_COT]]&lt;=0,données_step[[#This Row],[E_COT]]=""),"",données_step[[#This Row],[D_QTRAI]]*données_step[[#This Row],[E_COT]]/1000)</f>
        <v/>
      </c>
      <c r="G26" s="523" t="str">
        <f>IF(OR(données_step[[#This Row],[E_NH4]]&lt;=0,données_step[[#This Row],[E_NH4]]=""),"",données_step[[#This Row],[D_QTRAI]]*données_step[[#This Row],[E_NH4]]/1000)</f>
        <v/>
      </c>
      <c r="H26" s="523" t="str">
        <f>IF(OR(données_step[[#This Row],[E_NTOT]]&lt;=0,données_step[[#This Row],[E_NTOT]]=""),"",données_step[[#This Row],[D_QTRAI]]*données_step[[#This Row],[E_NTOT]]/1000)</f>
        <v/>
      </c>
      <c r="I26" s="523" t="str">
        <f>IF(OR(données_step[[#This Row],[E_NTOT]]&lt;=0,données_step[[#This Row],[E_NTOT]]=""),"",données_step[[#This Row],[D_QTRAI]]*données_step[[#This Row],[E_PTOT]]/1000)</f>
        <v/>
      </c>
      <c r="J26" s="523" t="str">
        <f>IF(OR(données_step[[#This Row],[S_DBO5]]&lt;=0,données_step[[#This Row],[S_DBO5]]=""),"",données_step[[#This Row],[D_QTRAI]]*données_step[[#This Row],[S_DBO5]]/1000)</f>
        <v/>
      </c>
      <c r="K26" s="523" t="str">
        <f>IF(OR(données_step[[#This Row],[S_DCO]]&lt;=0,données_step[[#This Row],[S_DCO]]=""),"",données_step[[#This Row],[D_QTRAI]]*données_step[[#This Row],[S_DCO]]/1000)</f>
        <v/>
      </c>
      <c r="L26" s="523" t="str">
        <f>IF(OR(données_step[[#This Row],[S_COD]]&lt;=0,données_step[[#This Row],[S_COD]]=""),"",données_step[[#This Row],[D_QTRAI]]*données_step[[#This Row],[S_COD]]/1000)</f>
        <v/>
      </c>
      <c r="M26" s="523" t="str">
        <f>IF(OR(données_step[[#This Row],[S_NH4]]&lt;=0,données_step[[#This Row],[S_NH4]]=""),"",données_step[[#This Row],[D_QTRAI]]*données_step[[#This Row],[S_NH4]]/1000)</f>
        <v/>
      </c>
      <c r="N26" s="523" t="str">
        <f>IF(OR(données_step[[#This Row],[S_NO2]]&lt;=0,données_step[[#This Row],[S_NO2]]=""),"",données_step[[#This Row],[D_QTRAI]]*données_step[[#This Row],[S_NO2]]/1000)</f>
        <v/>
      </c>
      <c r="O26" s="523" t="str">
        <f>IF(OR(données_step[[#This Row],[S_NO3]]&lt;=0,données_step[[#This Row],[S_NO3]]=""),"",données_step[[#This Row],[D_QTRAI]]*données_step[[#This Row],[S_NO3]]/1000)</f>
        <v/>
      </c>
      <c r="P26" s="523" t="str">
        <f>IF(OR(données_step[[#This Row],[S_PTOT]]&lt;=0,données_step[[#This Row],[S_PTOT]]=""),"",données_step[[#This Row],[D_QTRAI]]*données_step[[#This Row],[S_PTOT]]/1000)</f>
        <v/>
      </c>
      <c r="Q26" s="523" t="str">
        <f>IF(OR(données_step[[#This Row],[S_MES]]&lt;=0,données_step[[#This Row],[S_MES]]=""),"",données_step[[#This Row],[D_QTRAI]]*données_step[[#This Row],[S_MES]]/1000)</f>
        <v/>
      </c>
      <c r="R26" s="523">
        <f>MAX(données_step[[#This Row],[D_QTRAI]],données_step[[#This Row],[D_QTRAI2]])</f>
        <v>0</v>
      </c>
      <c r="S26" s="523" t="str">
        <f>IF(AND($R26&gt;0,données_step[[#This Row],[E_DCO]]&gt;0),données_step[[#This Row],[E_DCO]],"")</f>
        <v/>
      </c>
      <c r="T26" s="523" t="str">
        <f>IF(S26="","",(1-données_step[[#This Row],[E_DCO]]/$V$7)*100)</f>
        <v/>
      </c>
      <c r="U26" s="523" t="str">
        <f t="shared" si="1"/>
        <v/>
      </c>
      <c r="V26" s="523" t="str">
        <f t="shared" si="2"/>
        <v/>
      </c>
      <c r="W26" s="523" t="str">
        <f t="shared" si="3"/>
        <v/>
      </c>
      <c r="X26" s="523" t="e">
        <f>IF(((100-100/$V$7*données_step[[#This Row],[E_DCO]])/100*QTS)&lt;0,NA(),IF(OR(U26&lt;0,U26=""),NA(),((100-100/$V$7*données_step[[#This Row],[E_DCO]])/100*QTS)))</f>
        <v>#NUM!</v>
      </c>
      <c r="Y26" s="523" t="str">
        <f>IF(AND($R26&gt;0,données_step[[#This Row],[E_COT]]&gt;0),données_step[[#This Row],[E_COT]],"")</f>
        <v/>
      </c>
      <c r="Z26" s="523" t="str">
        <f>IF(Y26="","",(1-données_step[[#This Row],[E_COT]]/$AB$7)*100)</f>
        <v/>
      </c>
      <c r="AA26" s="523" t="str">
        <f t="shared" si="4"/>
        <v/>
      </c>
      <c r="AB26" s="523" t="str">
        <f t="shared" si="5"/>
        <v/>
      </c>
      <c r="AC26" s="523" t="str">
        <f t="shared" si="6"/>
        <v/>
      </c>
      <c r="AD26" s="523" t="e">
        <f>IF(((100-100/$AB$7*données_step[[#This Row],[E_COT]])/100*QTS)&lt;0,NA(),IF(OR(AA26&lt;0,AA26=""),NA(),((100-100/$AB$7*données_step[[#This Row],[E_COT]])/100*QTS)))</f>
        <v>#NUM!</v>
      </c>
      <c r="AE26" s="523" t="str">
        <f>IF(AND($R26&gt;0,données_step[[#This Row],[E_NH4]]&gt;0),données_step[[#This Row],[E_NH4]],"")</f>
        <v/>
      </c>
      <c r="AF26" s="523" t="str">
        <f>IF(AE26="","",(1-données_step[[#This Row],[E_NH4]]/$AH$7)*100)</f>
        <v/>
      </c>
      <c r="AG26" s="523" t="str">
        <f t="shared" si="7"/>
        <v/>
      </c>
      <c r="AH26" s="523" t="str">
        <f t="shared" si="8"/>
        <v/>
      </c>
      <c r="AI26" s="523" t="str">
        <f t="shared" si="9"/>
        <v/>
      </c>
      <c r="AJ26" s="523" t="e">
        <f>IF(((100-100/$AH$7*données_step[[#This Row],[E_NH4]])/100*QTS)&lt;0,NA(),IF(OR(AG26&lt;0,AG26=""),NA(),((100-100/$AH$7*données_step[[#This Row],[E_NH4]])/100*QTS)))</f>
        <v>#NUM!</v>
      </c>
      <c r="AK26" s="523" t="str">
        <f>IF(AND($R26&gt;0,données_step[[#This Row],[E_PTOT]]&gt;0),données_step[[#This Row],[E_PTOT]],"")</f>
        <v/>
      </c>
      <c r="AL26" s="523" t="str">
        <f>IF(AK26="","",(1-données_step[[#This Row],[E_PTOT]]/$AN$7)*100)</f>
        <v/>
      </c>
      <c r="AM26" s="523" t="str">
        <f t="shared" si="10"/>
        <v/>
      </c>
      <c r="AN26" s="523" t="str">
        <f t="shared" si="11"/>
        <v/>
      </c>
      <c r="AO26" s="523" t="str">
        <f t="shared" si="12"/>
        <v/>
      </c>
      <c r="AP26" s="523" t="e">
        <f>IF(((100-100/$AN$7*données_step[[#This Row],[E_PTOT]])/100*QTS)&lt;0,NA(),IF(OR(AM26&lt;0,AM26=""),NA(),((100-100/$AN$7*données_step[[#This Row],[E_PTOT]])/100*QTS)))</f>
        <v>#NUM!</v>
      </c>
      <c r="AQ26" s="524" t="e">
        <f t="shared" si="13"/>
        <v>#NUM!</v>
      </c>
      <c r="AR26" s="524" t="str">
        <f t="shared" si="14"/>
        <v/>
      </c>
      <c r="AT26" s="517">
        <f t="shared" si="15"/>
        <v>0.15</v>
      </c>
      <c r="AU26" s="501">
        <f t="shared" si="16"/>
        <v>15</v>
      </c>
      <c r="AV26" s="525" t="e">
        <f>PERCENTILE(analyses!$F$11:$F$375,$AT26)</f>
        <v>#NUM!</v>
      </c>
      <c r="AW26" s="7" t="e">
        <f>PERCENTILE(analyses!$I$11:$I$375,$AT26)</f>
        <v>#NUM!</v>
      </c>
      <c r="AX26" s="7" t="e">
        <f>PERCENTILE(analyses!$J$11:$J$375,$AT26)</f>
        <v>#NUM!</v>
      </c>
      <c r="AY26" s="523" t="str">
        <f>_xlfn.IFNA(IF(données_step[[#This Row],[E_DCO]]&lt;=0,NA(),charge_entree[[#This Row],[ch_E_DCO]]/constanten!$B$8*1000),"")</f>
        <v/>
      </c>
      <c r="AZ26" s="523" t="str">
        <f>_xlfn.IFNA(IF(données_step[[#This Row],[E_NTOT]]&lt;=0,NA(),charge_entree[[#This Row],[ch_E_NTOT]]/constanten!$B$10*1000),"")</f>
        <v/>
      </c>
      <c r="BA26" s="523" t="str">
        <f>_xlfn.IFNA(IF(données_step[[#This Row],[E_NH4]]&lt;=0,NA(),charge_entree[[#This Row],[ch_E_NH4]]/constanten!$B$12*1000),"")</f>
        <v/>
      </c>
      <c r="BB26" s="523" t="str">
        <f>_xlfn.IFNA(IF(données_step[[#This Row],[E_COT]]&lt;=0,NA(),charge_entree[[#This Row],[ch_E_COT]]/constanten!$B$9*1000),"")</f>
        <v/>
      </c>
      <c r="BC26" s="523" t="str">
        <f>IFERROR(_xlfn.IFNA(IF(données_step[[#This Row],[E_PTOT]]&lt;=0,NA(),charge_entree[[#This Row],[ch_E_PTOT]]/constanten!$B$15*1000),""),"")</f>
        <v/>
      </c>
      <c r="BD26" s="535" t="e">
        <f>calculs!E26 * (1-0.4) / (données_step[[#This Row],[X_BA_VOL]]*données_step[[#This Row],[X_BACONC]])</f>
        <v>#VALUE!</v>
      </c>
      <c r="BE26" s="522" t="e">
        <f>(données_step[[#This Row],[X_BA_VOL]]*données_step[[#This Row],[X_BACONC]])/((données_step[[#This Row],[D_QTRAI2]]*données_step[[#This Row],[S_MES]]/1000)+(données_step[[#This Row],[X_BX_Q]]*données_step[[#This Row],[X_BXCONC]]))</f>
        <v>#VALUE!</v>
      </c>
      <c r="BF26" s="890" t="str">
        <f>IFERROR(données_step[[#This Row],[D_QTRAI]]/AY26*1000,"")</f>
        <v/>
      </c>
      <c r="BG26" s="535" t="str">
        <f>IFERROR(1-données_step[[#This Row],[S_DBO5]]/données_step[[#This Row],[E_DBO5]],"")</f>
        <v/>
      </c>
      <c r="BH26" s="536" t="str">
        <f>IFERROR(1-données_step[[#This Row],[S_DCO]]/données_step[[#This Row],[E_DCO]],"")</f>
        <v/>
      </c>
      <c r="BI26" s="535" t="str">
        <f>IFERROR(1-données_step[[#This Row],[S_COD]]/données_step[[#This Row],[E_COT]],"")</f>
        <v/>
      </c>
      <c r="BJ26" s="535" t="str">
        <f>IFERROR(1-données_step[[#This Row],[S_NH4]]/données_step[[#This Row],[E_NTOT]],"")</f>
        <v/>
      </c>
      <c r="BK26" s="535" t="str">
        <f>IFERROR(1-données_step[[#This Row],[S_PTOT]]/données_step[[#This Row],[E_PTOT]],"")</f>
        <v/>
      </c>
      <c r="BL26" s="521" t="str">
        <f>IFERROR(IF(données_step[[#This Row],[E_DCO]]/données_step[[#This Row],[E_DBO5]]=0,NA(),données_step[[#This Row],[E_DCO]]/données_step[[#This Row],[E_DBO5]]),"")</f>
        <v/>
      </c>
      <c r="BM26" s="521" t="str">
        <f>IFERROR(IF(données_step[[#This Row],[E_NH4]]/données_step[[#This Row],[E_NTOT]]=0,NA(),données_step[[#This Row],[E_NH4]]/données_step[[#This Row],[E_NTOT]]),"")</f>
        <v/>
      </c>
      <c r="BN26" s="521" t="str">
        <f>IFERROR(IF(données_step[[#This Row],[E_NTOT]]/données_step[[#This Row],[E_COT]]=0,NA(),données_step[[#This Row],[E_NTOT]]/données_step[[#This Row],[E_COT]]),"")</f>
        <v/>
      </c>
      <c r="BO26" s="521" t="str">
        <f>IFERROR(IF(données_step[[#This Row],[E_PTOT]]/données_step[[#This Row],[E_COT]]=0,NA(),données_step[[#This Row],[E_PTOT]]/données_step[[#This Row],[E_COT]]),"")</f>
        <v/>
      </c>
      <c r="BP26" s="521" t="e">
        <f>IF(données_step[[#This Row],[E_DCO]]/données_step[[#This Row],[E_COT]]=0,NA(),données_step[[#This Row],[E_DCO]]/données_step[[#This Row],[E_COT]])</f>
        <v>#DIV/0!</v>
      </c>
      <c r="BQ26" s="521" t="e">
        <f>IF(données_step[[#This Row],[E_NTOT]]/données_step[[#This Row],[E_DCO]]=0,NA(),données_step[[#This Row],[E_NTOT]]/données_step[[#This Row],[E_DCO]])</f>
        <v>#DIV/0!</v>
      </c>
      <c r="BR26" s="521" t="e">
        <f>IF(données_step[[#This Row],[E_PTOT]]/données_step[[#This Row],[E_DCO]]=0,NA(),données_step[[#This Row],[E_PTOT]]/données_step[[#This Row],[E_DCO]])</f>
        <v>#DIV/0!</v>
      </c>
      <c r="BS26" s="747" t="e">
        <f ca="1">test_NH4_temp(données_step[[#This Row],[S_NH4]],données_step[[#This Row],[Temp_eaux]])</f>
        <v>#NAME?</v>
      </c>
    </row>
    <row r="27" spans="1:71" x14ac:dyDescent="0.2">
      <c r="A27" s="222">
        <f>données_step[[#This Row],[Datum]]</f>
        <v>44578</v>
      </c>
      <c r="B27" s="223"/>
      <c r="C27" s="224">
        <f t="shared" si="0"/>
        <v>2</v>
      </c>
      <c r="D27" s="523" t="str">
        <f>IF(OR(données_step[[#This Row],[E_DBO5]]&lt;=0,données_step[[#This Row],[E_DBO5]]=""),"",données_step[[#This Row],[D_QTRAI]]*données_step[[#This Row],[E_DBO5]]/1000)</f>
        <v/>
      </c>
      <c r="E27" s="523" t="str">
        <f>IF(OR(données_step[[#This Row],[E_DCO]]&lt;=0,données_step[[#This Row],[E_DCO]]=""),"",données_step[[#This Row],[D_QTRAI]]*données_step[[#This Row],[E_DCO]]/1000)</f>
        <v/>
      </c>
      <c r="F27" s="523" t="str">
        <f>IF(OR(données_step[[#This Row],[E_COT]]&lt;=0,données_step[[#This Row],[E_COT]]=""),"",données_step[[#This Row],[D_QTRAI]]*données_step[[#This Row],[E_COT]]/1000)</f>
        <v/>
      </c>
      <c r="G27" s="523" t="str">
        <f>IF(OR(données_step[[#This Row],[E_NH4]]&lt;=0,données_step[[#This Row],[E_NH4]]=""),"",données_step[[#This Row],[D_QTRAI]]*données_step[[#This Row],[E_NH4]]/1000)</f>
        <v/>
      </c>
      <c r="H27" s="523" t="str">
        <f>IF(OR(données_step[[#This Row],[E_NTOT]]&lt;=0,données_step[[#This Row],[E_NTOT]]=""),"",données_step[[#This Row],[D_QTRAI]]*données_step[[#This Row],[E_NTOT]]/1000)</f>
        <v/>
      </c>
      <c r="I27" s="523" t="str">
        <f>IF(OR(données_step[[#This Row],[E_NTOT]]&lt;=0,données_step[[#This Row],[E_NTOT]]=""),"",données_step[[#This Row],[D_QTRAI]]*données_step[[#This Row],[E_PTOT]]/1000)</f>
        <v/>
      </c>
      <c r="J27" s="523" t="str">
        <f>IF(OR(données_step[[#This Row],[S_DBO5]]&lt;=0,données_step[[#This Row],[S_DBO5]]=""),"",données_step[[#This Row],[D_QTRAI]]*données_step[[#This Row],[S_DBO5]]/1000)</f>
        <v/>
      </c>
      <c r="K27" s="523" t="str">
        <f>IF(OR(données_step[[#This Row],[S_DCO]]&lt;=0,données_step[[#This Row],[S_DCO]]=""),"",données_step[[#This Row],[D_QTRAI]]*données_step[[#This Row],[S_DCO]]/1000)</f>
        <v/>
      </c>
      <c r="L27" s="523" t="str">
        <f>IF(OR(données_step[[#This Row],[S_COD]]&lt;=0,données_step[[#This Row],[S_COD]]=""),"",données_step[[#This Row],[D_QTRAI]]*données_step[[#This Row],[S_COD]]/1000)</f>
        <v/>
      </c>
      <c r="M27" s="523" t="str">
        <f>IF(OR(données_step[[#This Row],[S_NH4]]&lt;=0,données_step[[#This Row],[S_NH4]]=""),"",données_step[[#This Row],[D_QTRAI]]*données_step[[#This Row],[S_NH4]]/1000)</f>
        <v/>
      </c>
      <c r="N27" s="523" t="str">
        <f>IF(OR(données_step[[#This Row],[S_NO2]]&lt;=0,données_step[[#This Row],[S_NO2]]=""),"",données_step[[#This Row],[D_QTRAI]]*données_step[[#This Row],[S_NO2]]/1000)</f>
        <v/>
      </c>
      <c r="O27" s="523" t="str">
        <f>IF(OR(données_step[[#This Row],[S_NO3]]&lt;=0,données_step[[#This Row],[S_NO3]]=""),"",données_step[[#This Row],[D_QTRAI]]*données_step[[#This Row],[S_NO3]]/1000)</f>
        <v/>
      </c>
      <c r="P27" s="523" t="str">
        <f>IF(OR(données_step[[#This Row],[S_PTOT]]&lt;=0,données_step[[#This Row],[S_PTOT]]=""),"",données_step[[#This Row],[D_QTRAI]]*données_step[[#This Row],[S_PTOT]]/1000)</f>
        <v/>
      </c>
      <c r="Q27" s="523" t="str">
        <f>IF(OR(données_step[[#This Row],[S_MES]]&lt;=0,données_step[[#This Row],[S_MES]]=""),"",données_step[[#This Row],[D_QTRAI]]*données_step[[#This Row],[S_MES]]/1000)</f>
        <v/>
      </c>
      <c r="R27" s="523">
        <f>MAX(données_step[[#This Row],[D_QTRAI]],données_step[[#This Row],[D_QTRAI2]])</f>
        <v>0</v>
      </c>
      <c r="S27" s="523" t="str">
        <f>IF(AND($R27&gt;0,données_step[[#This Row],[E_DCO]]&gt;0),données_step[[#This Row],[E_DCO]],"")</f>
        <v/>
      </c>
      <c r="T27" s="523" t="str">
        <f>IF(S27="","",(1-données_step[[#This Row],[E_DCO]]/$V$7)*100)</f>
        <v/>
      </c>
      <c r="U27" s="523" t="str">
        <f t="shared" si="1"/>
        <v/>
      </c>
      <c r="V27" s="523" t="str">
        <f t="shared" si="2"/>
        <v/>
      </c>
      <c r="W27" s="523" t="str">
        <f t="shared" si="3"/>
        <v/>
      </c>
      <c r="X27" s="523" t="e">
        <f>IF(((100-100/$V$7*données_step[[#This Row],[E_DCO]])/100*QTS)&lt;0,NA(),IF(OR(U27&lt;0,U27=""),NA(),((100-100/$V$7*données_step[[#This Row],[E_DCO]])/100*QTS)))</f>
        <v>#NUM!</v>
      </c>
      <c r="Y27" s="523" t="str">
        <f>IF(AND($R27&gt;0,données_step[[#This Row],[E_COT]]&gt;0),données_step[[#This Row],[E_COT]],"")</f>
        <v/>
      </c>
      <c r="Z27" s="523" t="str">
        <f>IF(Y27="","",(1-données_step[[#This Row],[E_COT]]/$AB$7)*100)</f>
        <v/>
      </c>
      <c r="AA27" s="523" t="str">
        <f t="shared" si="4"/>
        <v/>
      </c>
      <c r="AB27" s="523" t="str">
        <f t="shared" si="5"/>
        <v/>
      </c>
      <c r="AC27" s="523" t="str">
        <f t="shared" si="6"/>
        <v/>
      </c>
      <c r="AD27" s="523" t="e">
        <f>IF(((100-100/$AB$7*données_step[[#This Row],[E_COT]])/100*QTS)&lt;0,NA(),IF(OR(AA27&lt;0,AA27=""),NA(),((100-100/$AB$7*données_step[[#This Row],[E_COT]])/100*QTS)))</f>
        <v>#NUM!</v>
      </c>
      <c r="AE27" s="523" t="str">
        <f>IF(AND($R27&gt;0,données_step[[#This Row],[E_NH4]]&gt;0),données_step[[#This Row],[E_NH4]],"")</f>
        <v/>
      </c>
      <c r="AF27" s="523" t="str">
        <f>IF(AE27="","",(1-données_step[[#This Row],[E_NH4]]/$AH$7)*100)</f>
        <v/>
      </c>
      <c r="AG27" s="523" t="str">
        <f t="shared" si="7"/>
        <v/>
      </c>
      <c r="AH27" s="523" t="str">
        <f t="shared" si="8"/>
        <v/>
      </c>
      <c r="AI27" s="523" t="str">
        <f t="shared" si="9"/>
        <v/>
      </c>
      <c r="AJ27" s="523" t="e">
        <f>IF(((100-100/$AH$7*données_step[[#This Row],[E_NH4]])/100*QTS)&lt;0,NA(),IF(OR(AG27&lt;0,AG27=""),NA(),((100-100/$AH$7*données_step[[#This Row],[E_NH4]])/100*QTS)))</f>
        <v>#NUM!</v>
      </c>
      <c r="AK27" s="523" t="str">
        <f>IF(AND($R27&gt;0,données_step[[#This Row],[E_PTOT]]&gt;0),données_step[[#This Row],[E_PTOT]],"")</f>
        <v/>
      </c>
      <c r="AL27" s="523" t="str">
        <f>IF(AK27="","",(1-données_step[[#This Row],[E_PTOT]]/$AN$7)*100)</f>
        <v/>
      </c>
      <c r="AM27" s="523" t="str">
        <f t="shared" si="10"/>
        <v/>
      </c>
      <c r="AN27" s="523" t="str">
        <f t="shared" si="11"/>
        <v/>
      </c>
      <c r="AO27" s="523" t="str">
        <f t="shared" si="12"/>
        <v/>
      </c>
      <c r="AP27" s="523" t="e">
        <f>IF(((100-100/$AN$7*données_step[[#This Row],[E_PTOT]])/100*QTS)&lt;0,NA(),IF(OR(AM27&lt;0,AM27=""),NA(),((100-100/$AN$7*données_step[[#This Row],[E_PTOT]])/100*QTS)))</f>
        <v>#NUM!</v>
      </c>
      <c r="AQ27" s="524" t="e">
        <f t="shared" si="13"/>
        <v>#NUM!</v>
      </c>
      <c r="AR27" s="524" t="str">
        <f t="shared" si="14"/>
        <v/>
      </c>
      <c r="AT27" s="517">
        <f t="shared" si="15"/>
        <v>0.16</v>
      </c>
      <c r="AU27" s="501">
        <f t="shared" si="16"/>
        <v>16</v>
      </c>
      <c r="AV27" s="525" t="e">
        <f>PERCENTILE(analyses!$F$11:$F$375,$AT27)</f>
        <v>#NUM!</v>
      </c>
      <c r="AW27" s="7" t="e">
        <f>PERCENTILE(analyses!$I$11:$I$375,$AT27)</f>
        <v>#NUM!</v>
      </c>
      <c r="AX27" s="7" t="e">
        <f>PERCENTILE(analyses!$J$11:$J$375,$AT27)</f>
        <v>#NUM!</v>
      </c>
      <c r="AY27" s="523" t="str">
        <f>_xlfn.IFNA(IF(données_step[[#This Row],[E_DCO]]&lt;=0,NA(),charge_entree[[#This Row],[ch_E_DCO]]/constanten!$B$8*1000),"")</f>
        <v/>
      </c>
      <c r="AZ27" s="523" t="str">
        <f>_xlfn.IFNA(IF(données_step[[#This Row],[E_NTOT]]&lt;=0,NA(),charge_entree[[#This Row],[ch_E_NTOT]]/constanten!$B$10*1000),"")</f>
        <v/>
      </c>
      <c r="BA27" s="523" t="str">
        <f>_xlfn.IFNA(IF(données_step[[#This Row],[E_NH4]]&lt;=0,NA(),charge_entree[[#This Row],[ch_E_NH4]]/constanten!$B$12*1000),"")</f>
        <v/>
      </c>
      <c r="BB27" s="523" t="str">
        <f>_xlfn.IFNA(IF(données_step[[#This Row],[E_COT]]&lt;=0,NA(),charge_entree[[#This Row],[ch_E_COT]]/constanten!$B$9*1000),"")</f>
        <v/>
      </c>
      <c r="BC27" s="523" t="str">
        <f>IFERROR(_xlfn.IFNA(IF(données_step[[#This Row],[E_PTOT]]&lt;=0,NA(),charge_entree[[#This Row],[ch_E_PTOT]]/constanten!$B$15*1000),""),"")</f>
        <v/>
      </c>
      <c r="BD27" s="535" t="e">
        <f>calculs!E27 * (1-0.4) / (données_step[[#This Row],[X_BA_VOL]]*données_step[[#This Row],[X_BACONC]])</f>
        <v>#VALUE!</v>
      </c>
      <c r="BE27" s="522" t="e">
        <f>(données_step[[#This Row],[X_BA_VOL]]*données_step[[#This Row],[X_BACONC]])/((données_step[[#This Row],[D_QTRAI2]]*données_step[[#This Row],[S_MES]]/1000)+(données_step[[#This Row],[X_BX_Q]]*données_step[[#This Row],[X_BXCONC]]))</f>
        <v>#VALUE!</v>
      </c>
      <c r="BF27" s="890" t="str">
        <f>IFERROR(données_step[[#This Row],[D_QTRAI]]/AY27*1000,"")</f>
        <v/>
      </c>
      <c r="BG27" s="535" t="str">
        <f>IFERROR(1-données_step[[#This Row],[S_DBO5]]/données_step[[#This Row],[E_DBO5]],"")</f>
        <v/>
      </c>
      <c r="BH27" s="536" t="str">
        <f>IFERROR(1-données_step[[#This Row],[S_DCO]]/données_step[[#This Row],[E_DCO]],"")</f>
        <v/>
      </c>
      <c r="BI27" s="535" t="str">
        <f>IFERROR(1-données_step[[#This Row],[S_COD]]/données_step[[#This Row],[E_COT]],"")</f>
        <v/>
      </c>
      <c r="BJ27" s="535" t="str">
        <f>IFERROR(1-données_step[[#This Row],[S_NH4]]/données_step[[#This Row],[E_NTOT]],"")</f>
        <v/>
      </c>
      <c r="BK27" s="535" t="str">
        <f>IFERROR(1-données_step[[#This Row],[S_PTOT]]/données_step[[#This Row],[E_PTOT]],"")</f>
        <v/>
      </c>
      <c r="BL27" s="521" t="str">
        <f>IFERROR(IF(données_step[[#This Row],[E_DCO]]/données_step[[#This Row],[E_DBO5]]=0,NA(),données_step[[#This Row],[E_DCO]]/données_step[[#This Row],[E_DBO5]]),"")</f>
        <v/>
      </c>
      <c r="BM27" s="521" t="str">
        <f>IFERROR(IF(données_step[[#This Row],[E_NH4]]/données_step[[#This Row],[E_NTOT]]=0,NA(),données_step[[#This Row],[E_NH4]]/données_step[[#This Row],[E_NTOT]]),"")</f>
        <v/>
      </c>
      <c r="BN27" s="521" t="str">
        <f>IFERROR(IF(données_step[[#This Row],[E_NTOT]]/données_step[[#This Row],[E_COT]]=0,NA(),données_step[[#This Row],[E_NTOT]]/données_step[[#This Row],[E_COT]]),"")</f>
        <v/>
      </c>
      <c r="BO27" s="521" t="str">
        <f>IFERROR(IF(données_step[[#This Row],[E_PTOT]]/données_step[[#This Row],[E_COT]]=0,NA(),données_step[[#This Row],[E_PTOT]]/données_step[[#This Row],[E_COT]]),"")</f>
        <v/>
      </c>
      <c r="BP27" s="521" t="e">
        <f>IF(données_step[[#This Row],[E_DCO]]/données_step[[#This Row],[E_COT]]=0,NA(),données_step[[#This Row],[E_DCO]]/données_step[[#This Row],[E_COT]])</f>
        <v>#DIV/0!</v>
      </c>
      <c r="BQ27" s="521" t="e">
        <f>IF(données_step[[#This Row],[E_NTOT]]/données_step[[#This Row],[E_DCO]]=0,NA(),données_step[[#This Row],[E_NTOT]]/données_step[[#This Row],[E_DCO]])</f>
        <v>#DIV/0!</v>
      </c>
      <c r="BR27" s="521" t="e">
        <f>IF(données_step[[#This Row],[E_PTOT]]/données_step[[#This Row],[E_DCO]]=0,NA(),données_step[[#This Row],[E_PTOT]]/données_step[[#This Row],[E_DCO]])</f>
        <v>#DIV/0!</v>
      </c>
      <c r="BS27" s="747" t="e">
        <f ca="1">test_NH4_temp(données_step[[#This Row],[S_NH4]],données_step[[#This Row],[Temp_eaux]])</f>
        <v>#NAME?</v>
      </c>
    </row>
    <row r="28" spans="1:71" x14ac:dyDescent="0.2">
      <c r="A28" s="222">
        <f>données_step[[#This Row],[Datum]]</f>
        <v>44579</v>
      </c>
      <c r="B28" s="223"/>
      <c r="C28" s="224">
        <f t="shared" si="0"/>
        <v>3</v>
      </c>
      <c r="D28" s="523" t="str">
        <f>IF(OR(données_step[[#This Row],[E_DBO5]]&lt;=0,données_step[[#This Row],[E_DBO5]]=""),"",données_step[[#This Row],[D_QTRAI]]*données_step[[#This Row],[E_DBO5]]/1000)</f>
        <v/>
      </c>
      <c r="E28" s="523" t="str">
        <f>IF(OR(données_step[[#This Row],[E_DCO]]&lt;=0,données_step[[#This Row],[E_DCO]]=""),"",données_step[[#This Row],[D_QTRAI]]*données_step[[#This Row],[E_DCO]]/1000)</f>
        <v/>
      </c>
      <c r="F28" s="523" t="str">
        <f>IF(OR(données_step[[#This Row],[E_COT]]&lt;=0,données_step[[#This Row],[E_COT]]=""),"",données_step[[#This Row],[D_QTRAI]]*données_step[[#This Row],[E_COT]]/1000)</f>
        <v/>
      </c>
      <c r="G28" s="523" t="str">
        <f>IF(OR(données_step[[#This Row],[E_NH4]]&lt;=0,données_step[[#This Row],[E_NH4]]=""),"",données_step[[#This Row],[D_QTRAI]]*données_step[[#This Row],[E_NH4]]/1000)</f>
        <v/>
      </c>
      <c r="H28" s="523" t="str">
        <f>IF(OR(données_step[[#This Row],[E_NTOT]]&lt;=0,données_step[[#This Row],[E_NTOT]]=""),"",données_step[[#This Row],[D_QTRAI]]*données_step[[#This Row],[E_NTOT]]/1000)</f>
        <v/>
      </c>
      <c r="I28" s="523" t="str">
        <f>IF(OR(données_step[[#This Row],[E_NTOT]]&lt;=0,données_step[[#This Row],[E_NTOT]]=""),"",données_step[[#This Row],[D_QTRAI]]*données_step[[#This Row],[E_PTOT]]/1000)</f>
        <v/>
      </c>
      <c r="J28" s="523" t="str">
        <f>IF(OR(données_step[[#This Row],[S_DBO5]]&lt;=0,données_step[[#This Row],[S_DBO5]]=""),"",données_step[[#This Row],[D_QTRAI]]*données_step[[#This Row],[S_DBO5]]/1000)</f>
        <v/>
      </c>
      <c r="K28" s="523" t="str">
        <f>IF(OR(données_step[[#This Row],[S_DCO]]&lt;=0,données_step[[#This Row],[S_DCO]]=""),"",données_step[[#This Row],[D_QTRAI]]*données_step[[#This Row],[S_DCO]]/1000)</f>
        <v/>
      </c>
      <c r="L28" s="523" t="str">
        <f>IF(OR(données_step[[#This Row],[S_COD]]&lt;=0,données_step[[#This Row],[S_COD]]=""),"",données_step[[#This Row],[D_QTRAI]]*données_step[[#This Row],[S_COD]]/1000)</f>
        <v/>
      </c>
      <c r="M28" s="523" t="str">
        <f>IF(OR(données_step[[#This Row],[S_NH4]]&lt;=0,données_step[[#This Row],[S_NH4]]=""),"",données_step[[#This Row],[D_QTRAI]]*données_step[[#This Row],[S_NH4]]/1000)</f>
        <v/>
      </c>
      <c r="N28" s="523" t="str">
        <f>IF(OR(données_step[[#This Row],[S_NO2]]&lt;=0,données_step[[#This Row],[S_NO2]]=""),"",données_step[[#This Row],[D_QTRAI]]*données_step[[#This Row],[S_NO2]]/1000)</f>
        <v/>
      </c>
      <c r="O28" s="523" t="str">
        <f>IF(OR(données_step[[#This Row],[S_NO3]]&lt;=0,données_step[[#This Row],[S_NO3]]=""),"",données_step[[#This Row],[D_QTRAI]]*données_step[[#This Row],[S_NO3]]/1000)</f>
        <v/>
      </c>
      <c r="P28" s="523" t="str">
        <f>IF(OR(données_step[[#This Row],[S_PTOT]]&lt;=0,données_step[[#This Row],[S_PTOT]]=""),"",données_step[[#This Row],[D_QTRAI]]*données_step[[#This Row],[S_PTOT]]/1000)</f>
        <v/>
      </c>
      <c r="Q28" s="523" t="str">
        <f>IF(OR(données_step[[#This Row],[S_MES]]&lt;=0,données_step[[#This Row],[S_MES]]=""),"",données_step[[#This Row],[D_QTRAI]]*données_step[[#This Row],[S_MES]]/1000)</f>
        <v/>
      </c>
      <c r="R28" s="523">
        <f>MAX(données_step[[#This Row],[D_QTRAI]],données_step[[#This Row],[D_QTRAI2]])</f>
        <v>0</v>
      </c>
      <c r="S28" s="523" t="str">
        <f>IF(AND($R28&gt;0,données_step[[#This Row],[E_DCO]]&gt;0),données_step[[#This Row],[E_DCO]],"")</f>
        <v/>
      </c>
      <c r="T28" s="523" t="str">
        <f>IF(S28="","",(1-données_step[[#This Row],[E_DCO]]/$V$7)*100)</f>
        <v/>
      </c>
      <c r="U28" s="523" t="str">
        <f t="shared" si="1"/>
        <v/>
      </c>
      <c r="V28" s="523" t="str">
        <f t="shared" si="2"/>
        <v/>
      </c>
      <c r="W28" s="523" t="str">
        <f t="shared" si="3"/>
        <v/>
      </c>
      <c r="X28" s="523" t="e">
        <f>IF(((100-100/$V$7*données_step[[#This Row],[E_DCO]])/100*QTS)&lt;0,NA(),IF(OR(U28&lt;0,U28=""),NA(),((100-100/$V$7*données_step[[#This Row],[E_DCO]])/100*QTS)))</f>
        <v>#NUM!</v>
      </c>
      <c r="Y28" s="523" t="str">
        <f>IF(AND($R28&gt;0,données_step[[#This Row],[E_COT]]&gt;0),données_step[[#This Row],[E_COT]],"")</f>
        <v/>
      </c>
      <c r="Z28" s="523" t="str">
        <f>IF(Y28="","",(1-données_step[[#This Row],[E_COT]]/$AB$7)*100)</f>
        <v/>
      </c>
      <c r="AA28" s="523" t="str">
        <f t="shared" si="4"/>
        <v/>
      </c>
      <c r="AB28" s="523" t="str">
        <f t="shared" si="5"/>
        <v/>
      </c>
      <c r="AC28" s="523" t="str">
        <f t="shared" si="6"/>
        <v/>
      </c>
      <c r="AD28" s="523" t="e">
        <f>IF(((100-100/$AB$7*données_step[[#This Row],[E_COT]])/100*QTS)&lt;0,NA(),IF(OR(AA28&lt;0,AA28=""),NA(),((100-100/$AB$7*données_step[[#This Row],[E_COT]])/100*QTS)))</f>
        <v>#NUM!</v>
      </c>
      <c r="AE28" s="523" t="str">
        <f>IF(AND($R28&gt;0,données_step[[#This Row],[E_NH4]]&gt;0),données_step[[#This Row],[E_NH4]],"")</f>
        <v/>
      </c>
      <c r="AF28" s="523" t="str">
        <f>IF(AE28="","",(1-données_step[[#This Row],[E_NH4]]/$AH$7)*100)</f>
        <v/>
      </c>
      <c r="AG28" s="523" t="str">
        <f t="shared" si="7"/>
        <v/>
      </c>
      <c r="AH28" s="523" t="str">
        <f t="shared" si="8"/>
        <v/>
      </c>
      <c r="AI28" s="523" t="str">
        <f t="shared" si="9"/>
        <v/>
      </c>
      <c r="AJ28" s="523" t="e">
        <f>IF(((100-100/$AH$7*données_step[[#This Row],[E_NH4]])/100*QTS)&lt;0,NA(),IF(OR(AG28&lt;0,AG28=""),NA(),((100-100/$AH$7*données_step[[#This Row],[E_NH4]])/100*QTS)))</f>
        <v>#NUM!</v>
      </c>
      <c r="AK28" s="523" t="str">
        <f>IF(AND($R28&gt;0,données_step[[#This Row],[E_PTOT]]&gt;0),données_step[[#This Row],[E_PTOT]],"")</f>
        <v/>
      </c>
      <c r="AL28" s="523" t="str">
        <f>IF(AK28="","",(1-données_step[[#This Row],[E_PTOT]]/$AN$7)*100)</f>
        <v/>
      </c>
      <c r="AM28" s="523" t="str">
        <f t="shared" si="10"/>
        <v/>
      </c>
      <c r="AN28" s="523" t="str">
        <f t="shared" si="11"/>
        <v/>
      </c>
      <c r="AO28" s="523" t="str">
        <f t="shared" si="12"/>
        <v/>
      </c>
      <c r="AP28" s="523" t="e">
        <f>IF(((100-100/$AN$7*données_step[[#This Row],[E_PTOT]])/100*QTS)&lt;0,NA(),IF(OR(AM28&lt;0,AM28=""),NA(),((100-100/$AN$7*données_step[[#This Row],[E_PTOT]])/100*QTS)))</f>
        <v>#NUM!</v>
      </c>
      <c r="AQ28" s="524" t="e">
        <f t="shared" si="13"/>
        <v>#NUM!</v>
      </c>
      <c r="AR28" s="524" t="str">
        <f t="shared" si="14"/>
        <v/>
      </c>
      <c r="AT28" s="517">
        <f t="shared" si="15"/>
        <v>0.17</v>
      </c>
      <c r="AU28" s="501">
        <f t="shared" si="16"/>
        <v>17</v>
      </c>
      <c r="AV28" s="525" t="e">
        <f>PERCENTILE(analyses!$F$11:$F$375,$AT28)</f>
        <v>#NUM!</v>
      </c>
      <c r="AW28" s="7" t="e">
        <f>PERCENTILE(analyses!$I$11:$I$375,$AT28)</f>
        <v>#NUM!</v>
      </c>
      <c r="AX28" s="7" t="e">
        <f>PERCENTILE(analyses!$J$11:$J$375,$AT28)</f>
        <v>#NUM!</v>
      </c>
      <c r="AY28" s="523" t="str">
        <f>_xlfn.IFNA(IF(données_step[[#This Row],[E_DCO]]&lt;=0,NA(),charge_entree[[#This Row],[ch_E_DCO]]/constanten!$B$8*1000),"")</f>
        <v/>
      </c>
      <c r="AZ28" s="523" t="str">
        <f>_xlfn.IFNA(IF(données_step[[#This Row],[E_NTOT]]&lt;=0,NA(),charge_entree[[#This Row],[ch_E_NTOT]]/constanten!$B$10*1000),"")</f>
        <v/>
      </c>
      <c r="BA28" s="523" t="str">
        <f>_xlfn.IFNA(IF(données_step[[#This Row],[E_NH4]]&lt;=0,NA(),charge_entree[[#This Row],[ch_E_NH4]]/constanten!$B$12*1000),"")</f>
        <v/>
      </c>
      <c r="BB28" s="523" t="str">
        <f>_xlfn.IFNA(IF(données_step[[#This Row],[E_COT]]&lt;=0,NA(),charge_entree[[#This Row],[ch_E_COT]]/constanten!$B$9*1000),"")</f>
        <v/>
      </c>
      <c r="BC28" s="523" t="str">
        <f>IFERROR(_xlfn.IFNA(IF(données_step[[#This Row],[E_PTOT]]&lt;=0,NA(),charge_entree[[#This Row],[ch_E_PTOT]]/constanten!$B$15*1000),""),"")</f>
        <v/>
      </c>
      <c r="BD28" s="535" t="e">
        <f>calculs!E28 * (1-0.4) / (données_step[[#This Row],[X_BA_VOL]]*données_step[[#This Row],[X_BACONC]])</f>
        <v>#VALUE!</v>
      </c>
      <c r="BE28" s="522" t="e">
        <f>(données_step[[#This Row],[X_BA_VOL]]*données_step[[#This Row],[X_BACONC]])/((données_step[[#This Row],[D_QTRAI2]]*données_step[[#This Row],[S_MES]]/1000)+(données_step[[#This Row],[X_BX_Q]]*données_step[[#This Row],[X_BXCONC]]))</f>
        <v>#VALUE!</v>
      </c>
      <c r="BF28" s="890" t="str">
        <f>IFERROR(données_step[[#This Row],[D_QTRAI]]/AY28*1000,"")</f>
        <v/>
      </c>
      <c r="BG28" s="535" t="str">
        <f>IFERROR(1-données_step[[#This Row],[S_DBO5]]/données_step[[#This Row],[E_DBO5]],"")</f>
        <v/>
      </c>
      <c r="BH28" s="536" t="str">
        <f>IFERROR(1-données_step[[#This Row],[S_DCO]]/données_step[[#This Row],[E_DCO]],"")</f>
        <v/>
      </c>
      <c r="BI28" s="535" t="str">
        <f>IFERROR(1-données_step[[#This Row],[S_COD]]/données_step[[#This Row],[E_COT]],"")</f>
        <v/>
      </c>
      <c r="BJ28" s="535" t="str">
        <f>IFERROR(1-données_step[[#This Row],[S_NH4]]/données_step[[#This Row],[E_NTOT]],"")</f>
        <v/>
      </c>
      <c r="BK28" s="535" t="str">
        <f>IFERROR(1-données_step[[#This Row],[S_PTOT]]/données_step[[#This Row],[E_PTOT]],"")</f>
        <v/>
      </c>
      <c r="BL28" s="521" t="str">
        <f>IFERROR(IF(données_step[[#This Row],[E_DCO]]/données_step[[#This Row],[E_DBO5]]=0,NA(),données_step[[#This Row],[E_DCO]]/données_step[[#This Row],[E_DBO5]]),"")</f>
        <v/>
      </c>
      <c r="BM28" s="521" t="str">
        <f>IFERROR(IF(données_step[[#This Row],[E_NH4]]/données_step[[#This Row],[E_NTOT]]=0,NA(),données_step[[#This Row],[E_NH4]]/données_step[[#This Row],[E_NTOT]]),"")</f>
        <v/>
      </c>
      <c r="BN28" s="521" t="str">
        <f>IFERROR(IF(données_step[[#This Row],[E_NTOT]]/données_step[[#This Row],[E_COT]]=0,NA(),données_step[[#This Row],[E_NTOT]]/données_step[[#This Row],[E_COT]]),"")</f>
        <v/>
      </c>
      <c r="BO28" s="521" t="str">
        <f>IFERROR(IF(données_step[[#This Row],[E_PTOT]]/données_step[[#This Row],[E_COT]]=0,NA(),données_step[[#This Row],[E_PTOT]]/données_step[[#This Row],[E_COT]]),"")</f>
        <v/>
      </c>
      <c r="BP28" s="521" t="e">
        <f>IF(données_step[[#This Row],[E_DCO]]/données_step[[#This Row],[E_COT]]=0,NA(),données_step[[#This Row],[E_DCO]]/données_step[[#This Row],[E_COT]])</f>
        <v>#DIV/0!</v>
      </c>
      <c r="BQ28" s="521" t="e">
        <f>IF(données_step[[#This Row],[E_NTOT]]/données_step[[#This Row],[E_DCO]]=0,NA(),données_step[[#This Row],[E_NTOT]]/données_step[[#This Row],[E_DCO]])</f>
        <v>#DIV/0!</v>
      </c>
      <c r="BR28" s="521" t="e">
        <f>IF(données_step[[#This Row],[E_PTOT]]/données_step[[#This Row],[E_DCO]]=0,NA(),données_step[[#This Row],[E_PTOT]]/données_step[[#This Row],[E_DCO]])</f>
        <v>#DIV/0!</v>
      </c>
      <c r="BS28" s="747" t="e">
        <f ca="1">test_NH4_temp(données_step[[#This Row],[S_NH4]],données_step[[#This Row],[Temp_eaux]])</f>
        <v>#NAME?</v>
      </c>
    </row>
    <row r="29" spans="1:71" x14ac:dyDescent="0.2">
      <c r="A29" s="222">
        <f>données_step[[#This Row],[Datum]]</f>
        <v>44580</v>
      </c>
      <c r="B29" s="223"/>
      <c r="C29" s="224">
        <f t="shared" si="0"/>
        <v>4</v>
      </c>
      <c r="D29" s="523" t="str">
        <f>IF(OR(données_step[[#This Row],[E_DBO5]]&lt;=0,données_step[[#This Row],[E_DBO5]]=""),"",données_step[[#This Row],[D_QTRAI]]*données_step[[#This Row],[E_DBO5]]/1000)</f>
        <v/>
      </c>
      <c r="E29" s="523" t="str">
        <f>IF(OR(données_step[[#This Row],[E_DCO]]&lt;=0,données_step[[#This Row],[E_DCO]]=""),"",données_step[[#This Row],[D_QTRAI]]*données_step[[#This Row],[E_DCO]]/1000)</f>
        <v/>
      </c>
      <c r="F29" s="523" t="str">
        <f>IF(OR(données_step[[#This Row],[E_COT]]&lt;=0,données_step[[#This Row],[E_COT]]=""),"",données_step[[#This Row],[D_QTRAI]]*données_step[[#This Row],[E_COT]]/1000)</f>
        <v/>
      </c>
      <c r="G29" s="523" t="str">
        <f>IF(OR(données_step[[#This Row],[E_NH4]]&lt;=0,données_step[[#This Row],[E_NH4]]=""),"",données_step[[#This Row],[D_QTRAI]]*données_step[[#This Row],[E_NH4]]/1000)</f>
        <v/>
      </c>
      <c r="H29" s="523" t="str">
        <f>IF(OR(données_step[[#This Row],[E_NTOT]]&lt;=0,données_step[[#This Row],[E_NTOT]]=""),"",données_step[[#This Row],[D_QTRAI]]*données_step[[#This Row],[E_NTOT]]/1000)</f>
        <v/>
      </c>
      <c r="I29" s="523" t="str">
        <f>IF(OR(données_step[[#This Row],[E_NTOT]]&lt;=0,données_step[[#This Row],[E_NTOT]]=""),"",données_step[[#This Row],[D_QTRAI]]*données_step[[#This Row],[E_PTOT]]/1000)</f>
        <v/>
      </c>
      <c r="J29" s="523" t="str">
        <f>IF(OR(données_step[[#This Row],[S_DBO5]]&lt;=0,données_step[[#This Row],[S_DBO5]]=""),"",données_step[[#This Row],[D_QTRAI]]*données_step[[#This Row],[S_DBO5]]/1000)</f>
        <v/>
      </c>
      <c r="K29" s="523" t="str">
        <f>IF(OR(données_step[[#This Row],[S_DCO]]&lt;=0,données_step[[#This Row],[S_DCO]]=""),"",données_step[[#This Row],[D_QTRAI]]*données_step[[#This Row],[S_DCO]]/1000)</f>
        <v/>
      </c>
      <c r="L29" s="523" t="str">
        <f>IF(OR(données_step[[#This Row],[S_COD]]&lt;=0,données_step[[#This Row],[S_COD]]=""),"",données_step[[#This Row],[D_QTRAI]]*données_step[[#This Row],[S_COD]]/1000)</f>
        <v/>
      </c>
      <c r="M29" s="523" t="str">
        <f>IF(OR(données_step[[#This Row],[S_NH4]]&lt;=0,données_step[[#This Row],[S_NH4]]=""),"",données_step[[#This Row],[D_QTRAI]]*données_step[[#This Row],[S_NH4]]/1000)</f>
        <v/>
      </c>
      <c r="N29" s="523" t="str">
        <f>IF(OR(données_step[[#This Row],[S_NO2]]&lt;=0,données_step[[#This Row],[S_NO2]]=""),"",données_step[[#This Row],[D_QTRAI]]*données_step[[#This Row],[S_NO2]]/1000)</f>
        <v/>
      </c>
      <c r="O29" s="523" t="str">
        <f>IF(OR(données_step[[#This Row],[S_NO3]]&lt;=0,données_step[[#This Row],[S_NO3]]=""),"",données_step[[#This Row],[D_QTRAI]]*données_step[[#This Row],[S_NO3]]/1000)</f>
        <v/>
      </c>
      <c r="P29" s="523" t="str">
        <f>IF(OR(données_step[[#This Row],[S_PTOT]]&lt;=0,données_step[[#This Row],[S_PTOT]]=""),"",données_step[[#This Row],[D_QTRAI]]*données_step[[#This Row],[S_PTOT]]/1000)</f>
        <v/>
      </c>
      <c r="Q29" s="523" t="str">
        <f>IF(OR(données_step[[#This Row],[S_MES]]&lt;=0,données_step[[#This Row],[S_MES]]=""),"",données_step[[#This Row],[D_QTRAI]]*données_step[[#This Row],[S_MES]]/1000)</f>
        <v/>
      </c>
      <c r="R29" s="523">
        <f>MAX(données_step[[#This Row],[D_QTRAI]],données_step[[#This Row],[D_QTRAI2]])</f>
        <v>0</v>
      </c>
      <c r="S29" s="523" t="str">
        <f>IF(AND($R29&gt;0,données_step[[#This Row],[E_DCO]]&gt;0),données_step[[#This Row],[E_DCO]],"")</f>
        <v/>
      </c>
      <c r="T29" s="523" t="str">
        <f>IF(S29="","",(1-données_step[[#This Row],[E_DCO]]/$V$7)*100)</f>
        <v/>
      </c>
      <c r="U29" s="523" t="str">
        <f t="shared" si="1"/>
        <v/>
      </c>
      <c r="V29" s="523" t="str">
        <f t="shared" si="2"/>
        <v/>
      </c>
      <c r="W29" s="523" t="str">
        <f t="shared" si="3"/>
        <v/>
      </c>
      <c r="X29" s="523" t="e">
        <f>IF(((100-100/$V$7*données_step[[#This Row],[E_DCO]])/100*QTS)&lt;0,NA(),IF(OR(U29&lt;0,U29=""),NA(),((100-100/$V$7*données_step[[#This Row],[E_DCO]])/100*QTS)))</f>
        <v>#NUM!</v>
      </c>
      <c r="Y29" s="523" t="str">
        <f>IF(AND($R29&gt;0,données_step[[#This Row],[E_COT]]&gt;0),données_step[[#This Row],[E_COT]],"")</f>
        <v/>
      </c>
      <c r="Z29" s="523" t="str">
        <f>IF(Y29="","",(1-données_step[[#This Row],[E_COT]]/$AB$7)*100)</f>
        <v/>
      </c>
      <c r="AA29" s="523" t="str">
        <f t="shared" si="4"/>
        <v/>
      </c>
      <c r="AB29" s="523" t="str">
        <f t="shared" si="5"/>
        <v/>
      </c>
      <c r="AC29" s="523" t="str">
        <f t="shared" si="6"/>
        <v/>
      </c>
      <c r="AD29" s="523" t="e">
        <f>IF(((100-100/$AB$7*données_step[[#This Row],[E_COT]])/100*QTS)&lt;0,NA(),IF(OR(AA29&lt;0,AA29=""),NA(),((100-100/$AB$7*données_step[[#This Row],[E_COT]])/100*QTS)))</f>
        <v>#NUM!</v>
      </c>
      <c r="AE29" s="523" t="str">
        <f>IF(AND($R29&gt;0,données_step[[#This Row],[E_NH4]]&gt;0),données_step[[#This Row],[E_NH4]],"")</f>
        <v/>
      </c>
      <c r="AF29" s="523" t="str">
        <f>IF(AE29="","",(1-données_step[[#This Row],[E_NH4]]/$AH$7)*100)</f>
        <v/>
      </c>
      <c r="AG29" s="523" t="str">
        <f t="shared" si="7"/>
        <v/>
      </c>
      <c r="AH29" s="523" t="str">
        <f t="shared" si="8"/>
        <v/>
      </c>
      <c r="AI29" s="523" t="str">
        <f t="shared" si="9"/>
        <v/>
      </c>
      <c r="AJ29" s="523" t="e">
        <f>IF(((100-100/$AH$7*données_step[[#This Row],[E_NH4]])/100*QTS)&lt;0,NA(),IF(OR(AG29&lt;0,AG29=""),NA(),((100-100/$AH$7*données_step[[#This Row],[E_NH4]])/100*QTS)))</f>
        <v>#NUM!</v>
      </c>
      <c r="AK29" s="523" t="str">
        <f>IF(AND($R29&gt;0,données_step[[#This Row],[E_PTOT]]&gt;0),données_step[[#This Row],[E_PTOT]],"")</f>
        <v/>
      </c>
      <c r="AL29" s="523" t="str">
        <f>IF(AK29="","",(1-données_step[[#This Row],[E_PTOT]]/$AN$7)*100)</f>
        <v/>
      </c>
      <c r="AM29" s="523" t="str">
        <f t="shared" si="10"/>
        <v/>
      </c>
      <c r="AN29" s="523" t="str">
        <f t="shared" si="11"/>
        <v/>
      </c>
      <c r="AO29" s="523" t="str">
        <f t="shared" si="12"/>
        <v/>
      </c>
      <c r="AP29" s="523" t="e">
        <f>IF(((100-100/$AN$7*données_step[[#This Row],[E_PTOT]])/100*QTS)&lt;0,NA(),IF(OR(AM29&lt;0,AM29=""),NA(),((100-100/$AN$7*données_step[[#This Row],[E_PTOT]])/100*QTS)))</f>
        <v>#NUM!</v>
      </c>
      <c r="AQ29" s="524" t="e">
        <f t="shared" si="13"/>
        <v>#NUM!</v>
      </c>
      <c r="AR29" s="524" t="str">
        <f t="shared" si="14"/>
        <v/>
      </c>
      <c r="AT29" s="517">
        <f t="shared" si="15"/>
        <v>0.18</v>
      </c>
      <c r="AU29" s="501">
        <f t="shared" si="16"/>
        <v>18</v>
      </c>
      <c r="AV29" s="525" t="e">
        <f>PERCENTILE(analyses!$F$11:$F$375,$AT29)</f>
        <v>#NUM!</v>
      </c>
      <c r="AW29" s="7" t="e">
        <f>PERCENTILE(analyses!$I$11:$I$375,$AT29)</f>
        <v>#NUM!</v>
      </c>
      <c r="AX29" s="7" t="e">
        <f>PERCENTILE(analyses!$J$11:$J$375,$AT29)</f>
        <v>#NUM!</v>
      </c>
      <c r="AY29" s="523" t="str">
        <f>_xlfn.IFNA(IF(données_step[[#This Row],[E_DCO]]&lt;=0,NA(),charge_entree[[#This Row],[ch_E_DCO]]/constanten!$B$8*1000),"")</f>
        <v/>
      </c>
      <c r="AZ29" s="523" t="str">
        <f>_xlfn.IFNA(IF(données_step[[#This Row],[E_NTOT]]&lt;=0,NA(),charge_entree[[#This Row],[ch_E_NTOT]]/constanten!$B$10*1000),"")</f>
        <v/>
      </c>
      <c r="BA29" s="523" t="str">
        <f>_xlfn.IFNA(IF(données_step[[#This Row],[E_NH4]]&lt;=0,NA(),charge_entree[[#This Row],[ch_E_NH4]]/constanten!$B$12*1000),"")</f>
        <v/>
      </c>
      <c r="BB29" s="523" t="str">
        <f>_xlfn.IFNA(IF(données_step[[#This Row],[E_COT]]&lt;=0,NA(),charge_entree[[#This Row],[ch_E_COT]]/constanten!$B$9*1000),"")</f>
        <v/>
      </c>
      <c r="BC29" s="523" t="str">
        <f>IFERROR(_xlfn.IFNA(IF(données_step[[#This Row],[E_PTOT]]&lt;=0,NA(),charge_entree[[#This Row],[ch_E_PTOT]]/constanten!$B$15*1000),""),"")</f>
        <v/>
      </c>
      <c r="BD29" s="535" t="e">
        <f>calculs!E29 * (1-0.4) / (données_step[[#This Row],[X_BA_VOL]]*données_step[[#This Row],[X_BACONC]])</f>
        <v>#VALUE!</v>
      </c>
      <c r="BE29" s="522" t="e">
        <f>(données_step[[#This Row],[X_BA_VOL]]*données_step[[#This Row],[X_BACONC]])/((données_step[[#This Row],[D_QTRAI2]]*données_step[[#This Row],[S_MES]]/1000)+(données_step[[#This Row],[X_BX_Q]]*données_step[[#This Row],[X_BXCONC]]))</f>
        <v>#VALUE!</v>
      </c>
      <c r="BF29" s="890" t="str">
        <f>IFERROR(données_step[[#This Row],[D_QTRAI]]/AY29*1000,"")</f>
        <v/>
      </c>
      <c r="BG29" s="535" t="str">
        <f>IFERROR(1-données_step[[#This Row],[S_DBO5]]/données_step[[#This Row],[E_DBO5]],"")</f>
        <v/>
      </c>
      <c r="BH29" s="536" t="str">
        <f>IFERROR(1-données_step[[#This Row],[S_DCO]]/données_step[[#This Row],[E_DCO]],"")</f>
        <v/>
      </c>
      <c r="BI29" s="535" t="str">
        <f>IFERROR(1-données_step[[#This Row],[S_COD]]/données_step[[#This Row],[E_COT]],"")</f>
        <v/>
      </c>
      <c r="BJ29" s="535" t="str">
        <f>IFERROR(1-données_step[[#This Row],[S_NH4]]/données_step[[#This Row],[E_NTOT]],"")</f>
        <v/>
      </c>
      <c r="BK29" s="535" t="str">
        <f>IFERROR(1-données_step[[#This Row],[S_PTOT]]/données_step[[#This Row],[E_PTOT]],"")</f>
        <v/>
      </c>
      <c r="BL29" s="521" t="str">
        <f>IFERROR(IF(données_step[[#This Row],[E_DCO]]/données_step[[#This Row],[E_DBO5]]=0,NA(),données_step[[#This Row],[E_DCO]]/données_step[[#This Row],[E_DBO5]]),"")</f>
        <v/>
      </c>
      <c r="BM29" s="521" t="str">
        <f>IFERROR(IF(données_step[[#This Row],[E_NH4]]/données_step[[#This Row],[E_NTOT]]=0,NA(),données_step[[#This Row],[E_NH4]]/données_step[[#This Row],[E_NTOT]]),"")</f>
        <v/>
      </c>
      <c r="BN29" s="521" t="str">
        <f>IFERROR(IF(données_step[[#This Row],[E_NTOT]]/données_step[[#This Row],[E_COT]]=0,NA(),données_step[[#This Row],[E_NTOT]]/données_step[[#This Row],[E_COT]]),"")</f>
        <v/>
      </c>
      <c r="BO29" s="521" t="str">
        <f>IFERROR(IF(données_step[[#This Row],[E_PTOT]]/données_step[[#This Row],[E_COT]]=0,NA(),données_step[[#This Row],[E_PTOT]]/données_step[[#This Row],[E_COT]]),"")</f>
        <v/>
      </c>
      <c r="BP29" s="521" t="e">
        <f>IF(données_step[[#This Row],[E_DCO]]/données_step[[#This Row],[E_COT]]=0,NA(),données_step[[#This Row],[E_DCO]]/données_step[[#This Row],[E_COT]])</f>
        <v>#DIV/0!</v>
      </c>
      <c r="BQ29" s="521" t="e">
        <f>IF(données_step[[#This Row],[E_NTOT]]/données_step[[#This Row],[E_DCO]]=0,NA(),données_step[[#This Row],[E_NTOT]]/données_step[[#This Row],[E_DCO]])</f>
        <v>#DIV/0!</v>
      </c>
      <c r="BR29" s="521" t="e">
        <f>IF(données_step[[#This Row],[E_PTOT]]/données_step[[#This Row],[E_DCO]]=0,NA(),données_step[[#This Row],[E_PTOT]]/données_step[[#This Row],[E_DCO]])</f>
        <v>#DIV/0!</v>
      </c>
      <c r="BS29" s="747" t="e">
        <f ca="1">test_NH4_temp(données_step[[#This Row],[S_NH4]],données_step[[#This Row],[Temp_eaux]])</f>
        <v>#NAME?</v>
      </c>
    </row>
    <row r="30" spans="1:71" x14ac:dyDescent="0.2">
      <c r="A30" s="222">
        <f>données_step[[#This Row],[Datum]]</f>
        <v>44581</v>
      </c>
      <c r="B30" s="223"/>
      <c r="C30" s="224">
        <f t="shared" si="0"/>
        <v>5</v>
      </c>
      <c r="D30" s="523" t="str">
        <f>IF(OR(données_step[[#This Row],[E_DBO5]]&lt;=0,données_step[[#This Row],[E_DBO5]]=""),"",données_step[[#This Row],[D_QTRAI]]*données_step[[#This Row],[E_DBO5]]/1000)</f>
        <v/>
      </c>
      <c r="E30" s="523" t="str">
        <f>IF(OR(données_step[[#This Row],[E_DCO]]&lt;=0,données_step[[#This Row],[E_DCO]]=""),"",données_step[[#This Row],[D_QTRAI]]*données_step[[#This Row],[E_DCO]]/1000)</f>
        <v/>
      </c>
      <c r="F30" s="523" t="str">
        <f>IF(OR(données_step[[#This Row],[E_COT]]&lt;=0,données_step[[#This Row],[E_COT]]=""),"",données_step[[#This Row],[D_QTRAI]]*données_step[[#This Row],[E_COT]]/1000)</f>
        <v/>
      </c>
      <c r="G30" s="523" t="str">
        <f>IF(OR(données_step[[#This Row],[E_NH4]]&lt;=0,données_step[[#This Row],[E_NH4]]=""),"",données_step[[#This Row],[D_QTRAI]]*données_step[[#This Row],[E_NH4]]/1000)</f>
        <v/>
      </c>
      <c r="H30" s="523" t="str">
        <f>IF(OR(données_step[[#This Row],[E_NTOT]]&lt;=0,données_step[[#This Row],[E_NTOT]]=""),"",données_step[[#This Row],[D_QTRAI]]*données_step[[#This Row],[E_NTOT]]/1000)</f>
        <v/>
      </c>
      <c r="I30" s="523" t="str">
        <f>IF(OR(données_step[[#This Row],[E_NTOT]]&lt;=0,données_step[[#This Row],[E_NTOT]]=""),"",données_step[[#This Row],[D_QTRAI]]*données_step[[#This Row],[E_PTOT]]/1000)</f>
        <v/>
      </c>
      <c r="J30" s="523" t="str">
        <f>IF(OR(données_step[[#This Row],[S_DBO5]]&lt;=0,données_step[[#This Row],[S_DBO5]]=""),"",données_step[[#This Row],[D_QTRAI]]*données_step[[#This Row],[S_DBO5]]/1000)</f>
        <v/>
      </c>
      <c r="K30" s="523" t="str">
        <f>IF(OR(données_step[[#This Row],[S_DCO]]&lt;=0,données_step[[#This Row],[S_DCO]]=""),"",données_step[[#This Row],[D_QTRAI]]*données_step[[#This Row],[S_DCO]]/1000)</f>
        <v/>
      </c>
      <c r="L30" s="523" t="str">
        <f>IF(OR(données_step[[#This Row],[S_COD]]&lt;=0,données_step[[#This Row],[S_COD]]=""),"",données_step[[#This Row],[D_QTRAI]]*données_step[[#This Row],[S_COD]]/1000)</f>
        <v/>
      </c>
      <c r="M30" s="523" t="str">
        <f>IF(OR(données_step[[#This Row],[S_NH4]]&lt;=0,données_step[[#This Row],[S_NH4]]=""),"",données_step[[#This Row],[D_QTRAI]]*données_step[[#This Row],[S_NH4]]/1000)</f>
        <v/>
      </c>
      <c r="N30" s="523" t="str">
        <f>IF(OR(données_step[[#This Row],[S_NO2]]&lt;=0,données_step[[#This Row],[S_NO2]]=""),"",données_step[[#This Row],[D_QTRAI]]*données_step[[#This Row],[S_NO2]]/1000)</f>
        <v/>
      </c>
      <c r="O30" s="523" t="str">
        <f>IF(OR(données_step[[#This Row],[S_NO3]]&lt;=0,données_step[[#This Row],[S_NO3]]=""),"",données_step[[#This Row],[D_QTRAI]]*données_step[[#This Row],[S_NO3]]/1000)</f>
        <v/>
      </c>
      <c r="P30" s="523" t="str">
        <f>IF(OR(données_step[[#This Row],[S_PTOT]]&lt;=0,données_step[[#This Row],[S_PTOT]]=""),"",données_step[[#This Row],[D_QTRAI]]*données_step[[#This Row],[S_PTOT]]/1000)</f>
        <v/>
      </c>
      <c r="Q30" s="523" t="str">
        <f>IF(OR(données_step[[#This Row],[S_MES]]&lt;=0,données_step[[#This Row],[S_MES]]=""),"",données_step[[#This Row],[D_QTRAI]]*données_step[[#This Row],[S_MES]]/1000)</f>
        <v/>
      </c>
      <c r="R30" s="523">
        <f>MAX(données_step[[#This Row],[D_QTRAI]],données_step[[#This Row],[D_QTRAI2]])</f>
        <v>0</v>
      </c>
      <c r="S30" s="523" t="str">
        <f>IF(AND($R30&gt;0,données_step[[#This Row],[E_DCO]]&gt;0),données_step[[#This Row],[E_DCO]],"")</f>
        <v/>
      </c>
      <c r="T30" s="523" t="str">
        <f>IF(S30="","",(1-données_step[[#This Row],[E_DCO]]/$V$7)*100)</f>
        <v/>
      </c>
      <c r="U30" s="523" t="str">
        <f t="shared" si="1"/>
        <v/>
      </c>
      <c r="V30" s="523" t="str">
        <f t="shared" si="2"/>
        <v/>
      </c>
      <c r="W30" s="523" t="str">
        <f t="shared" si="3"/>
        <v/>
      </c>
      <c r="X30" s="523" t="e">
        <f>IF(((100-100/$V$7*données_step[[#This Row],[E_DCO]])/100*QTS)&lt;0,NA(),IF(OR(U30&lt;0,U30=""),NA(),((100-100/$V$7*données_step[[#This Row],[E_DCO]])/100*QTS)))</f>
        <v>#NUM!</v>
      </c>
      <c r="Y30" s="523" t="str">
        <f>IF(AND($R30&gt;0,données_step[[#This Row],[E_COT]]&gt;0),données_step[[#This Row],[E_COT]],"")</f>
        <v/>
      </c>
      <c r="Z30" s="523" t="str">
        <f>IF(Y30="","",(1-données_step[[#This Row],[E_COT]]/$AB$7)*100)</f>
        <v/>
      </c>
      <c r="AA30" s="523" t="str">
        <f t="shared" si="4"/>
        <v/>
      </c>
      <c r="AB30" s="523" t="str">
        <f t="shared" si="5"/>
        <v/>
      </c>
      <c r="AC30" s="523" t="str">
        <f t="shared" si="6"/>
        <v/>
      </c>
      <c r="AD30" s="523" t="e">
        <f>IF(((100-100/$AB$7*données_step[[#This Row],[E_COT]])/100*QTS)&lt;0,NA(),IF(OR(AA30&lt;0,AA30=""),NA(),((100-100/$AB$7*données_step[[#This Row],[E_COT]])/100*QTS)))</f>
        <v>#NUM!</v>
      </c>
      <c r="AE30" s="523" t="str">
        <f>IF(AND($R30&gt;0,données_step[[#This Row],[E_NH4]]&gt;0),données_step[[#This Row],[E_NH4]],"")</f>
        <v/>
      </c>
      <c r="AF30" s="523" t="str">
        <f>IF(AE30="","",(1-données_step[[#This Row],[E_NH4]]/$AH$7)*100)</f>
        <v/>
      </c>
      <c r="AG30" s="523" t="str">
        <f t="shared" si="7"/>
        <v/>
      </c>
      <c r="AH30" s="523" t="str">
        <f t="shared" si="8"/>
        <v/>
      </c>
      <c r="AI30" s="523" t="str">
        <f t="shared" si="9"/>
        <v/>
      </c>
      <c r="AJ30" s="523" t="e">
        <f>IF(((100-100/$AH$7*données_step[[#This Row],[E_NH4]])/100*QTS)&lt;0,NA(),IF(OR(AG30&lt;0,AG30=""),NA(),((100-100/$AH$7*données_step[[#This Row],[E_NH4]])/100*QTS)))</f>
        <v>#NUM!</v>
      </c>
      <c r="AK30" s="523" t="str">
        <f>IF(AND($R30&gt;0,données_step[[#This Row],[E_PTOT]]&gt;0),données_step[[#This Row],[E_PTOT]],"")</f>
        <v/>
      </c>
      <c r="AL30" s="523" t="str">
        <f>IF(AK30="","",(1-données_step[[#This Row],[E_PTOT]]/$AN$7)*100)</f>
        <v/>
      </c>
      <c r="AM30" s="523" t="str">
        <f t="shared" si="10"/>
        <v/>
      </c>
      <c r="AN30" s="523" t="str">
        <f t="shared" si="11"/>
        <v/>
      </c>
      <c r="AO30" s="523" t="str">
        <f t="shared" si="12"/>
        <v/>
      </c>
      <c r="AP30" s="523" t="e">
        <f>IF(((100-100/$AN$7*données_step[[#This Row],[E_PTOT]])/100*QTS)&lt;0,NA(),IF(OR(AM30&lt;0,AM30=""),NA(),((100-100/$AN$7*données_step[[#This Row],[E_PTOT]])/100*QTS)))</f>
        <v>#NUM!</v>
      </c>
      <c r="AQ30" s="524" t="e">
        <f t="shared" si="13"/>
        <v>#NUM!</v>
      </c>
      <c r="AR30" s="524" t="str">
        <f t="shared" si="14"/>
        <v/>
      </c>
      <c r="AT30" s="517">
        <f t="shared" si="15"/>
        <v>0.19</v>
      </c>
      <c r="AU30" s="501">
        <f t="shared" si="16"/>
        <v>19</v>
      </c>
      <c r="AV30" s="525" t="e">
        <f>PERCENTILE(analyses!$F$11:$F$375,$AT30)</f>
        <v>#NUM!</v>
      </c>
      <c r="AW30" s="7" t="e">
        <f>PERCENTILE(analyses!$I$11:$I$375,$AT30)</f>
        <v>#NUM!</v>
      </c>
      <c r="AX30" s="7" t="e">
        <f>PERCENTILE(analyses!$J$11:$J$375,$AT30)</f>
        <v>#NUM!</v>
      </c>
      <c r="AY30" s="523" t="str">
        <f>_xlfn.IFNA(IF(données_step[[#This Row],[E_DCO]]&lt;=0,NA(),charge_entree[[#This Row],[ch_E_DCO]]/constanten!$B$8*1000),"")</f>
        <v/>
      </c>
      <c r="AZ30" s="523" t="str">
        <f>_xlfn.IFNA(IF(données_step[[#This Row],[E_NTOT]]&lt;=0,NA(),charge_entree[[#This Row],[ch_E_NTOT]]/constanten!$B$10*1000),"")</f>
        <v/>
      </c>
      <c r="BA30" s="523" t="str">
        <f>_xlfn.IFNA(IF(données_step[[#This Row],[E_NH4]]&lt;=0,NA(),charge_entree[[#This Row],[ch_E_NH4]]/constanten!$B$12*1000),"")</f>
        <v/>
      </c>
      <c r="BB30" s="523" t="str">
        <f>_xlfn.IFNA(IF(données_step[[#This Row],[E_COT]]&lt;=0,NA(),charge_entree[[#This Row],[ch_E_COT]]/constanten!$B$9*1000),"")</f>
        <v/>
      </c>
      <c r="BC30" s="523" t="str">
        <f>IFERROR(_xlfn.IFNA(IF(données_step[[#This Row],[E_PTOT]]&lt;=0,NA(),charge_entree[[#This Row],[ch_E_PTOT]]/constanten!$B$15*1000),""),"")</f>
        <v/>
      </c>
      <c r="BD30" s="535" t="e">
        <f>calculs!E30 * (1-0.4) / (données_step[[#This Row],[X_BA_VOL]]*données_step[[#This Row],[X_BACONC]])</f>
        <v>#VALUE!</v>
      </c>
      <c r="BE30" s="522" t="e">
        <f>(données_step[[#This Row],[X_BA_VOL]]*données_step[[#This Row],[X_BACONC]])/((données_step[[#This Row],[D_QTRAI2]]*données_step[[#This Row],[S_MES]]/1000)+(données_step[[#This Row],[X_BX_Q]]*données_step[[#This Row],[X_BXCONC]]))</f>
        <v>#VALUE!</v>
      </c>
      <c r="BF30" s="890" t="str">
        <f>IFERROR(données_step[[#This Row],[D_QTRAI]]/AY30*1000,"")</f>
        <v/>
      </c>
      <c r="BG30" s="535" t="str">
        <f>IFERROR(1-données_step[[#This Row],[S_DBO5]]/données_step[[#This Row],[E_DBO5]],"")</f>
        <v/>
      </c>
      <c r="BH30" s="536" t="str">
        <f>IFERROR(1-données_step[[#This Row],[S_DCO]]/données_step[[#This Row],[E_DCO]],"")</f>
        <v/>
      </c>
      <c r="BI30" s="535" t="str">
        <f>IFERROR(1-données_step[[#This Row],[S_COD]]/données_step[[#This Row],[E_COT]],"")</f>
        <v/>
      </c>
      <c r="BJ30" s="535" t="str">
        <f>IFERROR(1-données_step[[#This Row],[S_NH4]]/données_step[[#This Row],[E_NTOT]],"")</f>
        <v/>
      </c>
      <c r="BK30" s="535" t="str">
        <f>IFERROR(1-données_step[[#This Row],[S_PTOT]]/données_step[[#This Row],[E_PTOT]],"")</f>
        <v/>
      </c>
      <c r="BL30" s="521" t="str">
        <f>IFERROR(IF(données_step[[#This Row],[E_DCO]]/données_step[[#This Row],[E_DBO5]]=0,NA(),données_step[[#This Row],[E_DCO]]/données_step[[#This Row],[E_DBO5]]),"")</f>
        <v/>
      </c>
      <c r="BM30" s="521" t="str">
        <f>IFERROR(IF(données_step[[#This Row],[E_NH4]]/données_step[[#This Row],[E_NTOT]]=0,NA(),données_step[[#This Row],[E_NH4]]/données_step[[#This Row],[E_NTOT]]),"")</f>
        <v/>
      </c>
      <c r="BN30" s="521" t="str">
        <f>IFERROR(IF(données_step[[#This Row],[E_NTOT]]/données_step[[#This Row],[E_COT]]=0,NA(),données_step[[#This Row],[E_NTOT]]/données_step[[#This Row],[E_COT]]),"")</f>
        <v/>
      </c>
      <c r="BO30" s="521" t="str">
        <f>IFERROR(IF(données_step[[#This Row],[E_PTOT]]/données_step[[#This Row],[E_COT]]=0,NA(),données_step[[#This Row],[E_PTOT]]/données_step[[#This Row],[E_COT]]),"")</f>
        <v/>
      </c>
      <c r="BP30" s="521" t="e">
        <f>IF(données_step[[#This Row],[E_DCO]]/données_step[[#This Row],[E_COT]]=0,NA(),données_step[[#This Row],[E_DCO]]/données_step[[#This Row],[E_COT]])</f>
        <v>#DIV/0!</v>
      </c>
      <c r="BQ30" s="521" t="e">
        <f>IF(données_step[[#This Row],[E_NTOT]]/données_step[[#This Row],[E_DCO]]=0,NA(),données_step[[#This Row],[E_NTOT]]/données_step[[#This Row],[E_DCO]])</f>
        <v>#DIV/0!</v>
      </c>
      <c r="BR30" s="521" t="e">
        <f>IF(données_step[[#This Row],[E_PTOT]]/données_step[[#This Row],[E_DCO]]=0,NA(),données_step[[#This Row],[E_PTOT]]/données_step[[#This Row],[E_DCO]])</f>
        <v>#DIV/0!</v>
      </c>
      <c r="BS30" s="747" t="e">
        <f ca="1">test_NH4_temp(données_step[[#This Row],[S_NH4]],données_step[[#This Row],[Temp_eaux]])</f>
        <v>#NAME?</v>
      </c>
    </row>
    <row r="31" spans="1:71" x14ac:dyDescent="0.2">
      <c r="A31" s="222">
        <f>données_step[[#This Row],[Datum]]</f>
        <v>44582</v>
      </c>
      <c r="B31" s="223"/>
      <c r="C31" s="224">
        <f t="shared" si="0"/>
        <v>6</v>
      </c>
      <c r="D31" s="523" t="str">
        <f>IF(OR(données_step[[#This Row],[E_DBO5]]&lt;=0,données_step[[#This Row],[E_DBO5]]=""),"",données_step[[#This Row],[D_QTRAI]]*données_step[[#This Row],[E_DBO5]]/1000)</f>
        <v/>
      </c>
      <c r="E31" s="523" t="str">
        <f>IF(OR(données_step[[#This Row],[E_DCO]]&lt;=0,données_step[[#This Row],[E_DCO]]=""),"",données_step[[#This Row],[D_QTRAI]]*données_step[[#This Row],[E_DCO]]/1000)</f>
        <v/>
      </c>
      <c r="F31" s="523" t="str">
        <f>IF(OR(données_step[[#This Row],[E_COT]]&lt;=0,données_step[[#This Row],[E_COT]]=""),"",données_step[[#This Row],[D_QTRAI]]*données_step[[#This Row],[E_COT]]/1000)</f>
        <v/>
      </c>
      <c r="G31" s="523" t="str">
        <f>IF(OR(données_step[[#This Row],[E_NH4]]&lt;=0,données_step[[#This Row],[E_NH4]]=""),"",données_step[[#This Row],[D_QTRAI]]*données_step[[#This Row],[E_NH4]]/1000)</f>
        <v/>
      </c>
      <c r="H31" s="523" t="str">
        <f>IF(OR(données_step[[#This Row],[E_NTOT]]&lt;=0,données_step[[#This Row],[E_NTOT]]=""),"",données_step[[#This Row],[D_QTRAI]]*données_step[[#This Row],[E_NTOT]]/1000)</f>
        <v/>
      </c>
      <c r="I31" s="523" t="str">
        <f>IF(OR(données_step[[#This Row],[E_NTOT]]&lt;=0,données_step[[#This Row],[E_NTOT]]=""),"",données_step[[#This Row],[D_QTRAI]]*données_step[[#This Row],[E_PTOT]]/1000)</f>
        <v/>
      </c>
      <c r="J31" s="523" t="str">
        <f>IF(OR(données_step[[#This Row],[S_DBO5]]&lt;=0,données_step[[#This Row],[S_DBO5]]=""),"",données_step[[#This Row],[D_QTRAI]]*données_step[[#This Row],[S_DBO5]]/1000)</f>
        <v/>
      </c>
      <c r="K31" s="523" t="str">
        <f>IF(OR(données_step[[#This Row],[S_DCO]]&lt;=0,données_step[[#This Row],[S_DCO]]=""),"",données_step[[#This Row],[D_QTRAI]]*données_step[[#This Row],[S_DCO]]/1000)</f>
        <v/>
      </c>
      <c r="L31" s="523" t="str">
        <f>IF(OR(données_step[[#This Row],[S_COD]]&lt;=0,données_step[[#This Row],[S_COD]]=""),"",données_step[[#This Row],[D_QTRAI]]*données_step[[#This Row],[S_COD]]/1000)</f>
        <v/>
      </c>
      <c r="M31" s="523" t="str">
        <f>IF(OR(données_step[[#This Row],[S_NH4]]&lt;=0,données_step[[#This Row],[S_NH4]]=""),"",données_step[[#This Row],[D_QTRAI]]*données_step[[#This Row],[S_NH4]]/1000)</f>
        <v/>
      </c>
      <c r="N31" s="523" t="str">
        <f>IF(OR(données_step[[#This Row],[S_NO2]]&lt;=0,données_step[[#This Row],[S_NO2]]=""),"",données_step[[#This Row],[D_QTRAI]]*données_step[[#This Row],[S_NO2]]/1000)</f>
        <v/>
      </c>
      <c r="O31" s="523" t="str">
        <f>IF(OR(données_step[[#This Row],[S_NO3]]&lt;=0,données_step[[#This Row],[S_NO3]]=""),"",données_step[[#This Row],[D_QTRAI]]*données_step[[#This Row],[S_NO3]]/1000)</f>
        <v/>
      </c>
      <c r="P31" s="523" t="str">
        <f>IF(OR(données_step[[#This Row],[S_PTOT]]&lt;=0,données_step[[#This Row],[S_PTOT]]=""),"",données_step[[#This Row],[D_QTRAI]]*données_step[[#This Row],[S_PTOT]]/1000)</f>
        <v/>
      </c>
      <c r="Q31" s="523" t="str">
        <f>IF(OR(données_step[[#This Row],[S_MES]]&lt;=0,données_step[[#This Row],[S_MES]]=""),"",données_step[[#This Row],[D_QTRAI]]*données_step[[#This Row],[S_MES]]/1000)</f>
        <v/>
      </c>
      <c r="R31" s="523">
        <f>MAX(données_step[[#This Row],[D_QTRAI]],données_step[[#This Row],[D_QTRAI2]])</f>
        <v>0</v>
      </c>
      <c r="S31" s="523" t="str">
        <f>IF(AND($R31&gt;0,données_step[[#This Row],[E_DCO]]&gt;0),données_step[[#This Row],[E_DCO]],"")</f>
        <v/>
      </c>
      <c r="T31" s="523" t="str">
        <f>IF(S31="","",(1-données_step[[#This Row],[E_DCO]]/$V$7)*100)</f>
        <v/>
      </c>
      <c r="U31" s="523" t="str">
        <f t="shared" si="1"/>
        <v/>
      </c>
      <c r="V31" s="523" t="str">
        <f t="shared" si="2"/>
        <v/>
      </c>
      <c r="W31" s="523" t="str">
        <f t="shared" si="3"/>
        <v/>
      </c>
      <c r="X31" s="523" t="e">
        <f>IF(((100-100/$V$7*données_step[[#This Row],[E_DCO]])/100*QTS)&lt;0,NA(),IF(OR(U31&lt;0,U31=""),NA(),((100-100/$V$7*données_step[[#This Row],[E_DCO]])/100*QTS)))</f>
        <v>#NUM!</v>
      </c>
      <c r="Y31" s="523" t="str">
        <f>IF(AND($R31&gt;0,données_step[[#This Row],[E_COT]]&gt;0),données_step[[#This Row],[E_COT]],"")</f>
        <v/>
      </c>
      <c r="Z31" s="523" t="str">
        <f>IF(Y31="","",(1-données_step[[#This Row],[E_COT]]/$AB$7)*100)</f>
        <v/>
      </c>
      <c r="AA31" s="523" t="str">
        <f t="shared" si="4"/>
        <v/>
      </c>
      <c r="AB31" s="523" t="str">
        <f t="shared" si="5"/>
        <v/>
      </c>
      <c r="AC31" s="523" t="str">
        <f t="shared" si="6"/>
        <v/>
      </c>
      <c r="AD31" s="523" t="e">
        <f>IF(((100-100/$AB$7*données_step[[#This Row],[E_COT]])/100*QTS)&lt;0,NA(),IF(OR(AA31&lt;0,AA31=""),NA(),((100-100/$AB$7*données_step[[#This Row],[E_COT]])/100*QTS)))</f>
        <v>#NUM!</v>
      </c>
      <c r="AE31" s="523" t="str">
        <f>IF(AND($R31&gt;0,données_step[[#This Row],[E_NH4]]&gt;0),données_step[[#This Row],[E_NH4]],"")</f>
        <v/>
      </c>
      <c r="AF31" s="523" t="str">
        <f>IF(AE31="","",(1-données_step[[#This Row],[E_NH4]]/$AH$7)*100)</f>
        <v/>
      </c>
      <c r="AG31" s="523" t="str">
        <f t="shared" si="7"/>
        <v/>
      </c>
      <c r="AH31" s="523" t="str">
        <f t="shared" si="8"/>
        <v/>
      </c>
      <c r="AI31" s="523" t="str">
        <f t="shared" si="9"/>
        <v/>
      </c>
      <c r="AJ31" s="523" t="e">
        <f>IF(((100-100/$AH$7*données_step[[#This Row],[E_NH4]])/100*QTS)&lt;0,NA(),IF(OR(AG31&lt;0,AG31=""),NA(),((100-100/$AH$7*données_step[[#This Row],[E_NH4]])/100*QTS)))</f>
        <v>#NUM!</v>
      </c>
      <c r="AK31" s="523" t="str">
        <f>IF(AND($R31&gt;0,données_step[[#This Row],[E_PTOT]]&gt;0),données_step[[#This Row],[E_PTOT]],"")</f>
        <v/>
      </c>
      <c r="AL31" s="523" t="str">
        <f>IF(AK31="","",(1-données_step[[#This Row],[E_PTOT]]/$AN$7)*100)</f>
        <v/>
      </c>
      <c r="AM31" s="523" t="str">
        <f t="shared" si="10"/>
        <v/>
      </c>
      <c r="AN31" s="523" t="str">
        <f t="shared" si="11"/>
        <v/>
      </c>
      <c r="AO31" s="523" t="str">
        <f t="shared" si="12"/>
        <v/>
      </c>
      <c r="AP31" s="523" t="e">
        <f>IF(((100-100/$AN$7*données_step[[#This Row],[E_PTOT]])/100*QTS)&lt;0,NA(),IF(OR(AM31&lt;0,AM31=""),NA(),((100-100/$AN$7*données_step[[#This Row],[E_PTOT]])/100*QTS)))</f>
        <v>#NUM!</v>
      </c>
      <c r="AQ31" s="524" t="e">
        <f t="shared" si="13"/>
        <v>#NUM!</v>
      </c>
      <c r="AR31" s="524" t="str">
        <f t="shared" si="14"/>
        <v/>
      </c>
      <c r="AT31" s="517">
        <f t="shared" si="15"/>
        <v>0.2</v>
      </c>
      <c r="AU31" s="501">
        <f t="shared" si="16"/>
        <v>20</v>
      </c>
      <c r="AV31" s="525" t="e">
        <f>PERCENTILE(analyses!$F$11:$F$375,$AT31)</f>
        <v>#NUM!</v>
      </c>
      <c r="AW31" s="7" t="e">
        <f>PERCENTILE(analyses!$I$11:$I$375,$AT31)</f>
        <v>#NUM!</v>
      </c>
      <c r="AX31" s="7" t="e">
        <f>PERCENTILE(analyses!$J$11:$J$375,$AT31)</f>
        <v>#NUM!</v>
      </c>
      <c r="AY31" s="523" t="str">
        <f>_xlfn.IFNA(IF(données_step[[#This Row],[E_DCO]]&lt;=0,NA(),charge_entree[[#This Row],[ch_E_DCO]]/constanten!$B$8*1000),"")</f>
        <v/>
      </c>
      <c r="AZ31" s="523" t="str">
        <f>_xlfn.IFNA(IF(données_step[[#This Row],[E_NTOT]]&lt;=0,NA(),charge_entree[[#This Row],[ch_E_NTOT]]/constanten!$B$10*1000),"")</f>
        <v/>
      </c>
      <c r="BA31" s="523" t="str">
        <f>_xlfn.IFNA(IF(données_step[[#This Row],[E_NH4]]&lt;=0,NA(),charge_entree[[#This Row],[ch_E_NH4]]/constanten!$B$12*1000),"")</f>
        <v/>
      </c>
      <c r="BB31" s="523" t="str">
        <f>_xlfn.IFNA(IF(données_step[[#This Row],[E_COT]]&lt;=0,NA(),charge_entree[[#This Row],[ch_E_COT]]/constanten!$B$9*1000),"")</f>
        <v/>
      </c>
      <c r="BC31" s="523" t="str">
        <f>IFERROR(_xlfn.IFNA(IF(données_step[[#This Row],[E_PTOT]]&lt;=0,NA(),charge_entree[[#This Row],[ch_E_PTOT]]/constanten!$B$15*1000),""),"")</f>
        <v/>
      </c>
      <c r="BD31" s="535" t="e">
        <f>calculs!E31 * (1-0.4) / (données_step[[#This Row],[X_BA_VOL]]*données_step[[#This Row],[X_BACONC]])</f>
        <v>#VALUE!</v>
      </c>
      <c r="BE31" s="522" t="e">
        <f>(données_step[[#This Row],[X_BA_VOL]]*données_step[[#This Row],[X_BACONC]])/((données_step[[#This Row],[D_QTRAI2]]*données_step[[#This Row],[S_MES]]/1000)+(données_step[[#This Row],[X_BX_Q]]*données_step[[#This Row],[X_BXCONC]]))</f>
        <v>#VALUE!</v>
      </c>
      <c r="BF31" s="890" t="str">
        <f>IFERROR(données_step[[#This Row],[D_QTRAI]]/AY31*1000,"")</f>
        <v/>
      </c>
      <c r="BG31" s="535" t="str">
        <f>IFERROR(1-données_step[[#This Row],[S_DBO5]]/données_step[[#This Row],[E_DBO5]],"")</f>
        <v/>
      </c>
      <c r="BH31" s="536" t="str">
        <f>IFERROR(1-données_step[[#This Row],[S_DCO]]/données_step[[#This Row],[E_DCO]],"")</f>
        <v/>
      </c>
      <c r="BI31" s="535" t="str">
        <f>IFERROR(1-données_step[[#This Row],[S_COD]]/données_step[[#This Row],[E_COT]],"")</f>
        <v/>
      </c>
      <c r="BJ31" s="535" t="str">
        <f>IFERROR(1-données_step[[#This Row],[S_NH4]]/données_step[[#This Row],[E_NTOT]],"")</f>
        <v/>
      </c>
      <c r="BK31" s="535" t="str">
        <f>IFERROR(1-données_step[[#This Row],[S_PTOT]]/données_step[[#This Row],[E_PTOT]],"")</f>
        <v/>
      </c>
      <c r="BL31" s="521" t="str">
        <f>IFERROR(IF(données_step[[#This Row],[E_DCO]]/données_step[[#This Row],[E_DBO5]]=0,NA(),données_step[[#This Row],[E_DCO]]/données_step[[#This Row],[E_DBO5]]),"")</f>
        <v/>
      </c>
      <c r="BM31" s="521" t="str">
        <f>IFERROR(IF(données_step[[#This Row],[E_NH4]]/données_step[[#This Row],[E_NTOT]]=0,NA(),données_step[[#This Row],[E_NH4]]/données_step[[#This Row],[E_NTOT]]),"")</f>
        <v/>
      </c>
      <c r="BN31" s="521" t="str">
        <f>IFERROR(IF(données_step[[#This Row],[E_NTOT]]/données_step[[#This Row],[E_COT]]=0,NA(),données_step[[#This Row],[E_NTOT]]/données_step[[#This Row],[E_COT]]),"")</f>
        <v/>
      </c>
      <c r="BO31" s="521" t="str">
        <f>IFERROR(IF(données_step[[#This Row],[E_PTOT]]/données_step[[#This Row],[E_COT]]=0,NA(),données_step[[#This Row],[E_PTOT]]/données_step[[#This Row],[E_COT]]),"")</f>
        <v/>
      </c>
      <c r="BP31" s="521" t="e">
        <f>IF(données_step[[#This Row],[E_DCO]]/données_step[[#This Row],[E_COT]]=0,NA(),données_step[[#This Row],[E_DCO]]/données_step[[#This Row],[E_COT]])</f>
        <v>#DIV/0!</v>
      </c>
      <c r="BQ31" s="521" t="e">
        <f>IF(données_step[[#This Row],[E_NTOT]]/données_step[[#This Row],[E_DCO]]=0,NA(),données_step[[#This Row],[E_NTOT]]/données_step[[#This Row],[E_DCO]])</f>
        <v>#DIV/0!</v>
      </c>
      <c r="BR31" s="521" t="e">
        <f>IF(données_step[[#This Row],[E_PTOT]]/données_step[[#This Row],[E_DCO]]=0,NA(),données_step[[#This Row],[E_PTOT]]/données_step[[#This Row],[E_DCO]])</f>
        <v>#DIV/0!</v>
      </c>
      <c r="BS31" s="747" t="e">
        <f ca="1">test_NH4_temp(données_step[[#This Row],[S_NH4]],données_step[[#This Row],[Temp_eaux]])</f>
        <v>#NAME?</v>
      </c>
    </row>
    <row r="32" spans="1:71" x14ac:dyDescent="0.2">
      <c r="A32" s="222">
        <f>données_step[[#This Row],[Datum]]</f>
        <v>44583</v>
      </c>
      <c r="B32" s="223"/>
      <c r="C32" s="224">
        <f t="shared" si="0"/>
        <v>7</v>
      </c>
      <c r="D32" s="523" t="str">
        <f>IF(OR(données_step[[#This Row],[E_DBO5]]&lt;=0,données_step[[#This Row],[E_DBO5]]=""),"",données_step[[#This Row],[D_QTRAI]]*données_step[[#This Row],[E_DBO5]]/1000)</f>
        <v/>
      </c>
      <c r="E32" s="523" t="str">
        <f>IF(OR(données_step[[#This Row],[E_DCO]]&lt;=0,données_step[[#This Row],[E_DCO]]=""),"",données_step[[#This Row],[D_QTRAI]]*données_step[[#This Row],[E_DCO]]/1000)</f>
        <v/>
      </c>
      <c r="F32" s="523" t="str">
        <f>IF(OR(données_step[[#This Row],[E_COT]]&lt;=0,données_step[[#This Row],[E_COT]]=""),"",données_step[[#This Row],[D_QTRAI]]*données_step[[#This Row],[E_COT]]/1000)</f>
        <v/>
      </c>
      <c r="G32" s="523" t="str">
        <f>IF(OR(données_step[[#This Row],[E_NH4]]&lt;=0,données_step[[#This Row],[E_NH4]]=""),"",données_step[[#This Row],[D_QTRAI]]*données_step[[#This Row],[E_NH4]]/1000)</f>
        <v/>
      </c>
      <c r="H32" s="523" t="str">
        <f>IF(OR(données_step[[#This Row],[E_NTOT]]&lt;=0,données_step[[#This Row],[E_NTOT]]=""),"",données_step[[#This Row],[D_QTRAI]]*données_step[[#This Row],[E_NTOT]]/1000)</f>
        <v/>
      </c>
      <c r="I32" s="523" t="str">
        <f>IF(OR(données_step[[#This Row],[E_NTOT]]&lt;=0,données_step[[#This Row],[E_NTOT]]=""),"",données_step[[#This Row],[D_QTRAI]]*données_step[[#This Row],[E_PTOT]]/1000)</f>
        <v/>
      </c>
      <c r="J32" s="523" t="str">
        <f>IF(OR(données_step[[#This Row],[S_DBO5]]&lt;=0,données_step[[#This Row],[S_DBO5]]=""),"",données_step[[#This Row],[D_QTRAI]]*données_step[[#This Row],[S_DBO5]]/1000)</f>
        <v/>
      </c>
      <c r="K32" s="523" t="str">
        <f>IF(OR(données_step[[#This Row],[S_DCO]]&lt;=0,données_step[[#This Row],[S_DCO]]=""),"",données_step[[#This Row],[D_QTRAI]]*données_step[[#This Row],[S_DCO]]/1000)</f>
        <v/>
      </c>
      <c r="L32" s="523" t="str">
        <f>IF(OR(données_step[[#This Row],[S_COD]]&lt;=0,données_step[[#This Row],[S_COD]]=""),"",données_step[[#This Row],[D_QTRAI]]*données_step[[#This Row],[S_COD]]/1000)</f>
        <v/>
      </c>
      <c r="M32" s="523" t="str">
        <f>IF(OR(données_step[[#This Row],[S_NH4]]&lt;=0,données_step[[#This Row],[S_NH4]]=""),"",données_step[[#This Row],[D_QTRAI]]*données_step[[#This Row],[S_NH4]]/1000)</f>
        <v/>
      </c>
      <c r="N32" s="523" t="str">
        <f>IF(OR(données_step[[#This Row],[S_NO2]]&lt;=0,données_step[[#This Row],[S_NO2]]=""),"",données_step[[#This Row],[D_QTRAI]]*données_step[[#This Row],[S_NO2]]/1000)</f>
        <v/>
      </c>
      <c r="O32" s="523" t="str">
        <f>IF(OR(données_step[[#This Row],[S_NO3]]&lt;=0,données_step[[#This Row],[S_NO3]]=""),"",données_step[[#This Row],[D_QTRAI]]*données_step[[#This Row],[S_NO3]]/1000)</f>
        <v/>
      </c>
      <c r="P32" s="523" t="str">
        <f>IF(OR(données_step[[#This Row],[S_PTOT]]&lt;=0,données_step[[#This Row],[S_PTOT]]=""),"",données_step[[#This Row],[D_QTRAI]]*données_step[[#This Row],[S_PTOT]]/1000)</f>
        <v/>
      </c>
      <c r="Q32" s="523" t="str">
        <f>IF(OR(données_step[[#This Row],[S_MES]]&lt;=0,données_step[[#This Row],[S_MES]]=""),"",données_step[[#This Row],[D_QTRAI]]*données_step[[#This Row],[S_MES]]/1000)</f>
        <v/>
      </c>
      <c r="R32" s="523">
        <f>MAX(données_step[[#This Row],[D_QTRAI]],données_step[[#This Row],[D_QTRAI2]])</f>
        <v>0</v>
      </c>
      <c r="S32" s="523" t="str">
        <f>IF(AND($R32&gt;0,données_step[[#This Row],[E_DCO]]&gt;0),données_step[[#This Row],[E_DCO]],"")</f>
        <v/>
      </c>
      <c r="T32" s="523" t="str">
        <f>IF(S32="","",(1-données_step[[#This Row],[E_DCO]]/$V$7)*100)</f>
        <v/>
      </c>
      <c r="U32" s="523" t="str">
        <f t="shared" si="1"/>
        <v/>
      </c>
      <c r="V32" s="523" t="str">
        <f t="shared" si="2"/>
        <v/>
      </c>
      <c r="W32" s="523" t="str">
        <f t="shared" si="3"/>
        <v/>
      </c>
      <c r="X32" s="523" t="e">
        <f>IF(((100-100/$V$7*données_step[[#This Row],[E_DCO]])/100*QTS)&lt;0,NA(),IF(OR(U32&lt;0,U32=""),NA(),((100-100/$V$7*données_step[[#This Row],[E_DCO]])/100*QTS)))</f>
        <v>#NUM!</v>
      </c>
      <c r="Y32" s="523" t="str">
        <f>IF(AND($R32&gt;0,données_step[[#This Row],[E_COT]]&gt;0),données_step[[#This Row],[E_COT]],"")</f>
        <v/>
      </c>
      <c r="Z32" s="523" t="str">
        <f>IF(Y32="","",(1-données_step[[#This Row],[E_COT]]/$AB$7)*100)</f>
        <v/>
      </c>
      <c r="AA32" s="523" t="str">
        <f t="shared" si="4"/>
        <v/>
      </c>
      <c r="AB32" s="523" t="str">
        <f t="shared" si="5"/>
        <v/>
      </c>
      <c r="AC32" s="523" t="str">
        <f t="shared" si="6"/>
        <v/>
      </c>
      <c r="AD32" s="523" t="e">
        <f>IF(((100-100/$AB$7*données_step[[#This Row],[E_COT]])/100*QTS)&lt;0,NA(),IF(OR(AA32&lt;0,AA32=""),NA(),((100-100/$AB$7*données_step[[#This Row],[E_COT]])/100*QTS)))</f>
        <v>#NUM!</v>
      </c>
      <c r="AE32" s="523" t="str">
        <f>IF(AND($R32&gt;0,données_step[[#This Row],[E_NH4]]&gt;0),données_step[[#This Row],[E_NH4]],"")</f>
        <v/>
      </c>
      <c r="AF32" s="523" t="str">
        <f>IF(AE32="","",(1-données_step[[#This Row],[E_NH4]]/$AH$7)*100)</f>
        <v/>
      </c>
      <c r="AG32" s="523" t="str">
        <f t="shared" si="7"/>
        <v/>
      </c>
      <c r="AH32" s="523" t="str">
        <f t="shared" si="8"/>
        <v/>
      </c>
      <c r="AI32" s="523" t="str">
        <f t="shared" si="9"/>
        <v/>
      </c>
      <c r="AJ32" s="523" t="e">
        <f>IF(((100-100/$AH$7*données_step[[#This Row],[E_NH4]])/100*QTS)&lt;0,NA(),IF(OR(AG32&lt;0,AG32=""),NA(),((100-100/$AH$7*données_step[[#This Row],[E_NH4]])/100*QTS)))</f>
        <v>#NUM!</v>
      </c>
      <c r="AK32" s="523" t="str">
        <f>IF(AND($R32&gt;0,données_step[[#This Row],[E_PTOT]]&gt;0),données_step[[#This Row],[E_PTOT]],"")</f>
        <v/>
      </c>
      <c r="AL32" s="523" t="str">
        <f>IF(AK32="","",(1-données_step[[#This Row],[E_PTOT]]/$AN$7)*100)</f>
        <v/>
      </c>
      <c r="AM32" s="523" t="str">
        <f t="shared" si="10"/>
        <v/>
      </c>
      <c r="AN32" s="523" t="str">
        <f t="shared" si="11"/>
        <v/>
      </c>
      <c r="AO32" s="523" t="str">
        <f t="shared" si="12"/>
        <v/>
      </c>
      <c r="AP32" s="523" t="e">
        <f>IF(((100-100/$AN$7*données_step[[#This Row],[E_PTOT]])/100*QTS)&lt;0,NA(),IF(OR(AM32&lt;0,AM32=""),NA(),((100-100/$AN$7*données_step[[#This Row],[E_PTOT]])/100*QTS)))</f>
        <v>#NUM!</v>
      </c>
      <c r="AQ32" s="524" t="e">
        <f t="shared" si="13"/>
        <v>#NUM!</v>
      </c>
      <c r="AR32" s="524" t="str">
        <f t="shared" si="14"/>
        <v/>
      </c>
      <c r="AT32" s="517">
        <f t="shared" si="15"/>
        <v>0.21</v>
      </c>
      <c r="AU32" s="501">
        <f t="shared" si="16"/>
        <v>21</v>
      </c>
      <c r="AV32" s="525" t="e">
        <f>PERCENTILE(analyses!$F$11:$F$375,$AT32)</f>
        <v>#NUM!</v>
      </c>
      <c r="AW32" s="7" t="e">
        <f>PERCENTILE(analyses!$I$11:$I$375,$AT32)</f>
        <v>#NUM!</v>
      </c>
      <c r="AX32" s="7" t="e">
        <f>PERCENTILE(analyses!$J$11:$J$375,$AT32)</f>
        <v>#NUM!</v>
      </c>
      <c r="AY32" s="523" t="str">
        <f>_xlfn.IFNA(IF(données_step[[#This Row],[E_DCO]]&lt;=0,NA(),charge_entree[[#This Row],[ch_E_DCO]]/constanten!$B$8*1000),"")</f>
        <v/>
      </c>
      <c r="AZ32" s="523" t="str">
        <f>_xlfn.IFNA(IF(données_step[[#This Row],[E_NTOT]]&lt;=0,NA(),charge_entree[[#This Row],[ch_E_NTOT]]/constanten!$B$10*1000),"")</f>
        <v/>
      </c>
      <c r="BA32" s="523" t="str">
        <f>_xlfn.IFNA(IF(données_step[[#This Row],[E_NH4]]&lt;=0,NA(),charge_entree[[#This Row],[ch_E_NH4]]/constanten!$B$12*1000),"")</f>
        <v/>
      </c>
      <c r="BB32" s="523" t="str">
        <f>_xlfn.IFNA(IF(données_step[[#This Row],[E_COT]]&lt;=0,NA(),charge_entree[[#This Row],[ch_E_COT]]/constanten!$B$9*1000),"")</f>
        <v/>
      </c>
      <c r="BC32" s="523" t="str">
        <f>IFERROR(_xlfn.IFNA(IF(données_step[[#This Row],[E_PTOT]]&lt;=0,NA(),charge_entree[[#This Row],[ch_E_PTOT]]/constanten!$B$15*1000),""),"")</f>
        <v/>
      </c>
      <c r="BD32" s="535" t="e">
        <f>calculs!E32 * (1-0.4) / (données_step[[#This Row],[X_BA_VOL]]*données_step[[#This Row],[X_BACONC]])</f>
        <v>#VALUE!</v>
      </c>
      <c r="BE32" s="522" t="e">
        <f>(données_step[[#This Row],[X_BA_VOL]]*données_step[[#This Row],[X_BACONC]])/((données_step[[#This Row],[D_QTRAI2]]*données_step[[#This Row],[S_MES]]/1000)+(données_step[[#This Row],[X_BX_Q]]*données_step[[#This Row],[X_BXCONC]]))</f>
        <v>#VALUE!</v>
      </c>
      <c r="BF32" s="890" t="str">
        <f>IFERROR(données_step[[#This Row],[D_QTRAI]]/AY32*1000,"")</f>
        <v/>
      </c>
      <c r="BG32" s="535" t="str">
        <f>IFERROR(1-données_step[[#This Row],[S_DBO5]]/données_step[[#This Row],[E_DBO5]],"")</f>
        <v/>
      </c>
      <c r="BH32" s="536" t="str">
        <f>IFERROR(1-données_step[[#This Row],[S_DCO]]/données_step[[#This Row],[E_DCO]],"")</f>
        <v/>
      </c>
      <c r="BI32" s="535" t="str">
        <f>IFERROR(1-données_step[[#This Row],[S_COD]]/données_step[[#This Row],[E_COT]],"")</f>
        <v/>
      </c>
      <c r="BJ32" s="535" t="str">
        <f>IFERROR(1-données_step[[#This Row],[S_NH4]]/données_step[[#This Row],[E_NTOT]],"")</f>
        <v/>
      </c>
      <c r="BK32" s="535" t="str">
        <f>IFERROR(1-données_step[[#This Row],[S_PTOT]]/données_step[[#This Row],[E_PTOT]],"")</f>
        <v/>
      </c>
      <c r="BL32" s="521" t="str">
        <f>IFERROR(IF(données_step[[#This Row],[E_DCO]]/données_step[[#This Row],[E_DBO5]]=0,NA(),données_step[[#This Row],[E_DCO]]/données_step[[#This Row],[E_DBO5]]),"")</f>
        <v/>
      </c>
      <c r="BM32" s="521" t="str">
        <f>IFERROR(IF(données_step[[#This Row],[E_NH4]]/données_step[[#This Row],[E_NTOT]]=0,NA(),données_step[[#This Row],[E_NH4]]/données_step[[#This Row],[E_NTOT]]),"")</f>
        <v/>
      </c>
      <c r="BN32" s="521" t="str">
        <f>IFERROR(IF(données_step[[#This Row],[E_NTOT]]/données_step[[#This Row],[E_COT]]=0,NA(),données_step[[#This Row],[E_NTOT]]/données_step[[#This Row],[E_COT]]),"")</f>
        <v/>
      </c>
      <c r="BO32" s="521" t="str">
        <f>IFERROR(IF(données_step[[#This Row],[E_PTOT]]/données_step[[#This Row],[E_COT]]=0,NA(),données_step[[#This Row],[E_PTOT]]/données_step[[#This Row],[E_COT]]),"")</f>
        <v/>
      </c>
      <c r="BP32" s="521" t="e">
        <f>IF(données_step[[#This Row],[E_DCO]]/données_step[[#This Row],[E_COT]]=0,NA(),données_step[[#This Row],[E_DCO]]/données_step[[#This Row],[E_COT]])</f>
        <v>#DIV/0!</v>
      </c>
      <c r="BQ32" s="521" t="e">
        <f>IF(données_step[[#This Row],[E_NTOT]]/données_step[[#This Row],[E_DCO]]=0,NA(),données_step[[#This Row],[E_NTOT]]/données_step[[#This Row],[E_DCO]])</f>
        <v>#DIV/0!</v>
      </c>
      <c r="BR32" s="521" t="e">
        <f>IF(données_step[[#This Row],[E_PTOT]]/données_step[[#This Row],[E_DCO]]=0,NA(),données_step[[#This Row],[E_PTOT]]/données_step[[#This Row],[E_DCO]])</f>
        <v>#DIV/0!</v>
      </c>
      <c r="BS32" s="747" t="e">
        <f ca="1">test_NH4_temp(données_step[[#This Row],[S_NH4]],données_step[[#This Row],[Temp_eaux]])</f>
        <v>#NAME?</v>
      </c>
    </row>
    <row r="33" spans="1:71" x14ac:dyDescent="0.2">
      <c r="A33" s="222">
        <f>données_step[[#This Row],[Datum]]</f>
        <v>44584</v>
      </c>
      <c r="B33" s="223"/>
      <c r="C33" s="224">
        <f t="shared" si="0"/>
        <v>1</v>
      </c>
      <c r="D33" s="523" t="str">
        <f>IF(OR(données_step[[#This Row],[E_DBO5]]&lt;=0,données_step[[#This Row],[E_DBO5]]=""),"",données_step[[#This Row],[D_QTRAI]]*données_step[[#This Row],[E_DBO5]]/1000)</f>
        <v/>
      </c>
      <c r="E33" s="523" t="str">
        <f>IF(OR(données_step[[#This Row],[E_DCO]]&lt;=0,données_step[[#This Row],[E_DCO]]=""),"",données_step[[#This Row],[D_QTRAI]]*données_step[[#This Row],[E_DCO]]/1000)</f>
        <v/>
      </c>
      <c r="F33" s="523" t="str">
        <f>IF(OR(données_step[[#This Row],[E_COT]]&lt;=0,données_step[[#This Row],[E_COT]]=""),"",données_step[[#This Row],[D_QTRAI]]*données_step[[#This Row],[E_COT]]/1000)</f>
        <v/>
      </c>
      <c r="G33" s="523" t="str">
        <f>IF(OR(données_step[[#This Row],[E_NH4]]&lt;=0,données_step[[#This Row],[E_NH4]]=""),"",données_step[[#This Row],[D_QTRAI]]*données_step[[#This Row],[E_NH4]]/1000)</f>
        <v/>
      </c>
      <c r="H33" s="523" t="str">
        <f>IF(OR(données_step[[#This Row],[E_NTOT]]&lt;=0,données_step[[#This Row],[E_NTOT]]=""),"",données_step[[#This Row],[D_QTRAI]]*données_step[[#This Row],[E_NTOT]]/1000)</f>
        <v/>
      </c>
      <c r="I33" s="523" t="str">
        <f>IF(OR(données_step[[#This Row],[E_NTOT]]&lt;=0,données_step[[#This Row],[E_NTOT]]=""),"",données_step[[#This Row],[D_QTRAI]]*données_step[[#This Row],[E_PTOT]]/1000)</f>
        <v/>
      </c>
      <c r="J33" s="523" t="str">
        <f>IF(OR(données_step[[#This Row],[S_DBO5]]&lt;=0,données_step[[#This Row],[S_DBO5]]=""),"",données_step[[#This Row],[D_QTRAI]]*données_step[[#This Row],[S_DBO5]]/1000)</f>
        <v/>
      </c>
      <c r="K33" s="523" t="str">
        <f>IF(OR(données_step[[#This Row],[S_DCO]]&lt;=0,données_step[[#This Row],[S_DCO]]=""),"",données_step[[#This Row],[D_QTRAI]]*données_step[[#This Row],[S_DCO]]/1000)</f>
        <v/>
      </c>
      <c r="L33" s="523" t="str">
        <f>IF(OR(données_step[[#This Row],[S_COD]]&lt;=0,données_step[[#This Row],[S_COD]]=""),"",données_step[[#This Row],[D_QTRAI]]*données_step[[#This Row],[S_COD]]/1000)</f>
        <v/>
      </c>
      <c r="M33" s="523" t="str">
        <f>IF(OR(données_step[[#This Row],[S_NH4]]&lt;=0,données_step[[#This Row],[S_NH4]]=""),"",données_step[[#This Row],[D_QTRAI]]*données_step[[#This Row],[S_NH4]]/1000)</f>
        <v/>
      </c>
      <c r="N33" s="523" t="str">
        <f>IF(OR(données_step[[#This Row],[S_NO2]]&lt;=0,données_step[[#This Row],[S_NO2]]=""),"",données_step[[#This Row],[D_QTRAI]]*données_step[[#This Row],[S_NO2]]/1000)</f>
        <v/>
      </c>
      <c r="O33" s="523" t="str">
        <f>IF(OR(données_step[[#This Row],[S_NO3]]&lt;=0,données_step[[#This Row],[S_NO3]]=""),"",données_step[[#This Row],[D_QTRAI]]*données_step[[#This Row],[S_NO3]]/1000)</f>
        <v/>
      </c>
      <c r="P33" s="523" t="str">
        <f>IF(OR(données_step[[#This Row],[S_PTOT]]&lt;=0,données_step[[#This Row],[S_PTOT]]=""),"",données_step[[#This Row],[D_QTRAI]]*données_step[[#This Row],[S_PTOT]]/1000)</f>
        <v/>
      </c>
      <c r="Q33" s="523" t="str">
        <f>IF(OR(données_step[[#This Row],[S_MES]]&lt;=0,données_step[[#This Row],[S_MES]]=""),"",données_step[[#This Row],[D_QTRAI]]*données_step[[#This Row],[S_MES]]/1000)</f>
        <v/>
      </c>
      <c r="R33" s="523">
        <f>MAX(données_step[[#This Row],[D_QTRAI]],données_step[[#This Row],[D_QTRAI2]])</f>
        <v>0</v>
      </c>
      <c r="S33" s="523" t="str">
        <f>IF(AND($R33&gt;0,données_step[[#This Row],[E_DCO]]&gt;0),données_step[[#This Row],[E_DCO]],"")</f>
        <v/>
      </c>
      <c r="T33" s="523" t="str">
        <f>IF(S33="","",(1-données_step[[#This Row],[E_DCO]]/$V$7)*100)</f>
        <v/>
      </c>
      <c r="U33" s="523" t="str">
        <f t="shared" si="1"/>
        <v/>
      </c>
      <c r="V33" s="523" t="str">
        <f t="shared" si="2"/>
        <v/>
      </c>
      <c r="W33" s="523" t="str">
        <f t="shared" si="3"/>
        <v/>
      </c>
      <c r="X33" s="523" t="e">
        <f>IF(((100-100/$V$7*données_step[[#This Row],[E_DCO]])/100*QTS)&lt;0,NA(),IF(OR(U33&lt;0,U33=""),NA(),((100-100/$V$7*données_step[[#This Row],[E_DCO]])/100*QTS)))</f>
        <v>#NUM!</v>
      </c>
      <c r="Y33" s="523" t="str">
        <f>IF(AND($R33&gt;0,données_step[[#This Row],[E_COT]]&gt;0),données_step[[#This Row],[E_COT]],"")</f>
        <v/>
      </c>
      <c r="Z33" s="523" t="str">
        <f>IF(Y33="","",(1-données_step[[#This Row],[E_COT]]/$AB$7)*100)</f>
        <v/>
      </c>
      <c r="AA33" s="523" t="str">
        <f t="shared" si="4"/>
        <v/>
      </c>
      <c r="AB33" s="523" t="str">
        <f t="shared" si="5"/>
        <v/>
      </c>
      <c r="AC33" s="523" t="str">
        <f t="shared" si="6"/>
        <v/>
      </c>
      <c r="AD33" s="523" t="e">
        <f>IF(((100-100/$AB$7*données_step[[#This Row],[E_COT]])/100*QTS)&lt;0,NA(),IF(OR(AA33&lt;0,AA33=""),NA(),((100-100/$AB$7*données_step[[#This Row],[E_COT]])/100*QTS)))</f>
        <v>#NUM!</v>
      </c>
      <c r="AE33" s="523" t="str">
        <f>IF(AND($R33&gt;0,données_step[[#This Row],[E_NH4]]&gt;0),données_step[[#This Row],[E_NH4]],"")</f>
        <v/>
      </c>
      <c r="AF33" s="523" t="str">
        <f>IF(AE33="","",(1-données_step[[#This Row],[E_NH4]]/$AH$7)*100)</f>
        <v/>
      </c>
      <c r="AG33" s="523" t="str">
        <f t="shared" si="7"/>
        <v/>
      </c>
      <c r="AH33" s="523" t="str">
        <f t="shared" si="8"/>
        <v/>
      </c>
      <c r="AI33" s="523" t="str">
        <f t="shared" si="9"/>
        <v/>
      </c>
      <c r="AJ33" s="523" t="e">
        <f>IF(((100-100/$AH$7*données_step[[#This Row],[E_NH4]])/100*QTS)&lt;0,NA(),IF(OR(AG33&lt;0,AG33=""),NA(),((100-100/$AH$7*données_step[[#This Row],[E_NH4]])/100*QTS)))</f>
        <v>#NUM!</v>
      </c>
      <c r="AK33" s="523" t="str">
        <f>IF(AND($R33&gt;0,données_step[[#This Row],[E_PTOT]]&gt;0),données_step[[#This Row],[E_PTOT]],"")</f>
        <v/>
      </c>
      <c r="AL33" s="523" t="str">
        <f>IF(AK33="","",(1-données_step[[#This Row],[E_PTOT]]/$AN$7)*100)</f>
        <v/>
      </c>
      <c r="AM33" s="523" t="str">
        <f t="shared" si="10"/>
        <v/>
      </c>
      <c r="AN33" s="523" t="str">
        <f t="shared" si="11"/>
        <v/>
      </c>
      <c r="AO33" s="523" t="str">
        <f t="shared" si="12"/>
        <v/>
      </c>
      <c r="AP33" s="523" t="e">
        <f>IF(((100-100/$AN$7*données_step[[#This Row],[E_PTOT]])/100*QTS)&lt;0,NA(),IF(OR(AM33&lt;0,AM33=""),NA(),((100-100/$AN$7*données_step[[#This Row],[E_PTOT]])/100*QTS)))</f>
        <v>#NUM!</v>
      </c>
      <c r="AQ33" s="524" t="e">
        <f t="shared" si="13"/>
        <v>#NUM!</v>
      </c>
      <c r="AR33" s="524" t="str">
        <f t="shared" si="14"/>
        <v/>
      </c>
      <c r="AT33" s="517">
        <f t="shared" si="15"/>
        <v>0.22</v>
      </c>
      <c r="AU33" s="501">
        <f t="shared" si="16"/>
        <v>22</v>
      </c>
      <c r="AV33" s="525" t="e">
        <f>PERCENTILE(analyses!$F$11:$F$375,$AT33)</f>
        <v>#NUM!</v>
      </c>
      <c r="AW33" s="7" t="e">
        <f>PERCENTILE(analyses!$I$11:$I$375,$AT33)</f>
        <v>#NUM!</v>
      </c>
      <c r="AX33" s="7" t="e">
        <f>PERCENTILE(analyses!$J$11:$J$375,$AT33)</f>
        <v>#NUM!</v>
      </c>
      <c r="AY33" s="523" t="str">
        <f>_xlfn.IFNA(IF(données_step[[#This Row],[E_DCO]]&lt;=0,NA(),charge_entree[[#This Row],[ch_E_DCO]]/constanten!$B$8*1000),"")</f>
        <v/>
      </c>
      <c r="AZ33" s="523" t="str">
        <f>_xlfn.IFNA(IF(données_step[[#This Row],[E_NTOT]]&lt;=0,NA(),charge_entree[[#This Row],[ch_E_NTOT]]/constanten!$B$10*1000),"")</f>
        <v/>
      </c>
      <c r="BA33" s="523" t="str">
        <f>_xlfn.IFNA(IF(données_step[[#This Row],[E_NH4]]&lt;=0,NA(),charge_entree[[#This Row],[ch_E_NH4]]/constanten!$B$12*1000),"")</f>
        <v/>
      </c>
      <c r="BB33" s="523" t="str">
        <f>_xlfn.IFNA(IF(données_step[[#This Row],[E_COT]]&lt;=0,NA(),charge_entree[[#This Row],[ch_E_COT]]/constanten!$B$9*1000),"")</f>
        <v/>
      </c>
      <c r="BC33" s="523" t="str">
        <f>IFERROR(_xlfn.IFNA(IF(données_step[[#This Row],[E_PTOT]]&lt;=0,NA(),charge_entree[[#This Row],[ch_E_PTOT]]/constanten!$B$15*1000),""),"")</f>
        <v/>
      </c>
      <c r="BD33" s="535" t="e">
        <f>calculs!E33 * (1-0.4) / (données_step[[#This Row],[X_BA_VOL]]*données_step[[#This Row],[X_BACONC]])</f>
        <v>#VALUE!</v>
      </c>
      <c r="BE33" s="522" t="e">
        <f>(données_step[[#This Row],[X_BA_VOL]]*données_step[[#This Row],[X_BACONC]])/((données_step[[#This Row],[D_QTRAI2]]*données_step[[#This Row],[S_MES]]/1000)+(données_step[[#This Row],[X_BX_Q]]*données_step[[#This Row],[X_BXCONC]]))</f>
        <v>#VALUE!</v>
      </c>
      <c r="BF33" s="890" t="str">
        <f>IFERROR(données_step[[#This Row],[D_QTRAI]]/AY33*1000,"")</f>
        <v/>
      </c>
      <c r="BG33" s="535" t="str">
        <f>IFERROR(1-données_step[[#This Row],[S_DBO5]]/données_step[[#This Row],[E_DBO5]],"")</f>
        <v/>
      </c>
      <c r="BH33" s="536" t="str">
        <f>IFERROR(1-données_step[[#This Row],[S_DCO]]/données_step[[#This Row],[E_DCO]],"")</f>
        <v/>
      </c>
      <c r="BI33" s="535" t="str">
        <f>IFERROR(1-données_step[[#This Row],[S_COD]]/données_step[[#This Row],[E_COT]],"")</f>
        <v/>
      </c>
      <c r="BJ33" s="535" t="str">
        <f>IFERROR(1-données_step[[#This Row],[S_NH4]]/données_step[[#This Row],[E_NTOT]],"")</f>
        <v/>
      </c>
      <c r="BK33" s="535" t="str">
        <f>IFERROR(1-données_step[[#This Row],[S_PTOT]]/données_step[[#This Row],[E_PTOT]],"")</f>
        <v/>
      </c>
      <c r="BL33" s="521" t="str">
        <f>IFERROR(IF(données_step[[#This Row],[E_DCO]]/données_step[[#This Row],[E_DBO5]]=0,NA(),données_step[[#This Row],[E_DCO]]/données_step[[#This Row],[E_DBO5]]),"")</f>
        <v/>
      </c>
      <c r="BM33" s="521" t="str">
        <f>IFERROR(IF(données_step[[#This Row],[E_NH4]]/données_step[[#This Row],[E_NTOT]]=0,NA(),données_step[[#This Row],[E_NH4]]/données_step[[#This Row],[E_NTOT]]),"")</f>
        <v/>
      </c>
      <c r="BN33" s="521" t="str">
        <f>IFERROR(IF(données_step[[#This Row],[E_NTOT]]/données_step[[#This Row],[E_COT]]=0,NA(),données_step[[#This Row],[E_NTOT]]/données_step[[#This Row],[E_COT]]),"")</f>
        <v/>
      </c>
      <c r="BO33" s="521" t="str">
        <f>IFERROR(IF(données_step[[#This Row],[E_PTOT]]/données_step[[#This Row],[E_COT]]=0,NA(),données_step[[#This Row],[E_PTOT]]/données_step[[#This Row],[E_COT]]),"")</f>
        <v/>
      </c>
      <c r="BP33" s="521" t="e">
        <f>IF(données_step[[#This Row],[E_DCO]]/données_step[[#This Row],[E_COT]]=0,NA(),données_step[[#This Row],[E_DCO]]/données_step[[#This Row],[E_COT]])</f>
        <v>#DIV/0!</v>
      </c>
      <c r="BQ33" s="521" t="e">
        <f>IF(données_step[[#This Row],[E_NTOT]]/données_step[[#This Row],[E_DCO]]=0,NA(),données_step[[#This Row],[E_NTOT]]/données_step[[#This Row],[E_DCO]])</f>
        <v>#DIV/0!</v>
      </c>
      <c r="BR33" s="521" t="e">
        <f>IF(données_step[[#This Row],[E_PTOT]]/données_step[[#This Row],[E_DCO]]=0,NA(),données_step[[#This Row],[E_PTOT]]/données_step[[#This Row],[E_DCO]])</f>
        <v>#DIV/0!</v>
      </c>
      <c r="BS33" s="747" t="e">
        <f ca="1">test_NH4_temp(données_step[[#This Row],[S_NH4]],données_step[[#This Row],[Temp_eaux]])</f>
        <v>#NAME?</v>
      </c>
    </row>
    <row r="34" spans="1:71" ht="12.75" customHeight="1" x14ac:dyDescent="0.2">
      <c r="A34" s="222">
        <f>données_step[[#This Row],[Datum]]</f>
        <v>44585</v>
      </c>
      <c r="B34" s="223"/>
      <c r="C34" s="224">
        <f t="shared" si="0"/>
        <v>2</v>
      </c>
      <c r="D34" s="523" t="str">
        <f>IF(OR(données_step[[#This Row],[E_DBO5]]&lt;=0,données_step[[#This Row],[E_DBO5]]=""),"",données_step[[#This Row],[D_QTRAI]]*données_step[[#This Row],[E_DBO5]]/1000)</f>
        <v/>
      </c>
      <c r="E34" s="523" t="str">
        <f>IF(OR(données_step[[#This Row],[E_DCO]]&lt;=0,données_step[[#This Row],[E_DCO]]=""),"",données_step[[#This Row],[D_QTRAI]]*données_step[[#This Row],[E_DCO]]/1000)</f>
        <v/>
      </c>
      <c r="F34" s="523" t="str">
        <f>IF(OR(données_step[[#This Row],[E_COT]]&lt;=0,données_step[[#This Row],[E_COT]]=""),"",données_step[[#This Row],[D_QTRAI]]*données_step[[#This Row],[E_COT]]/1000)</f>
        <v/>
      </c>
      <c r="G34" s="523" t="str">
        <f>IF(OR(données_step[[#This Row],[E_NH4]]&lt;=0,données_step[[#This Row],[E_NH4]]=""),"",données_step[[#This Row],[D_QTRAI]]*données_step[[#This Row],[E_NH4]]/1000)</f>
        <v/>
      </c>
      <c r="H34" s="523" t="str">
        <f>IF(OR(données_step[[#This Row],[E_NTOT]]&lt;=0,données_step[[#This Row],[E_NTOT]]=""),"",données_step[[#This Row],[D_QTRAI]]*données_step[[#This Row],[E_NTOT]]/1000)</f>
        <v/>
      </c>
      <c r="I34" s="523" t="str">
        <f>IF(OR(données_step[[#This Row],[E_NTOT]]&lt;=0,données_step[[#This Row],[E_NTOT]]=""),"",données_step[[#This Row],[D_QTRAI]]*données_step[[#This Row],[E_PTOT]]/1000)</f>
        <v/>
      </c>
      <c r="J34" s="523" t="str">
        <f>IF(OR(données_step[[#This Row],[S_DBO5]]&lt;=0,données_step[[#This Row],[S_DBO5]]=""),"",données_step[[#This Row],[D_QTRAI]]*données_step[[#This Row],[S_DBO5]]/1000)</f>
        <v/>
      </c>
      <c r="K34" s="523" t="str">
        <f>IF(OR(données_step[[#This Row],[S_DCO]]&lt;=0,données_step[[#This Row],[S_DCO]]=""),"",données_step[[#This Row],[D_QTRAI]]*données_step[[#This Row],[S_DCO]]/1000)</f>
        <v/>
      </c>
      <c r="L34" s="523" t="str">
        <f>IF(OR(données_step[[#This Row],[S_COD]]&lt;=0,données_step[[#This Row],[S_COD]]=""),"",données_step[[#This Row],[D_QTRAI]]*données_step[[#This Row],[S_COD]]/1000)</f>
        <v/>
      </c>
      <c r="M34" s="523" t="str">
        <f>IF(OR(données_step[[#This Row],[S_NH4]]&lt;=0,données_step[[#This Row],[S_NH4]]=""),"",données_step[[#This Row],[D_QTRAI]]*données_step[[#This Row],[S_NH4]]/1000)</f>
        <v/>
      </c>
      <c r="N34" s="523" t="str">
        <f>IF(OR(données_step[[#This Row],[S_NO2]]&lt;=0,données_step[[#This Row],[S_NO2]]=""),"",données_step[[#This Row],[D_QTRAI]]*données_step[[#This Row],[S_NO2]]/1000)</f>
        <v/>
      </c>
      <c r="O34" s="523" t="str">
        <f>IF(OR(données_step[[#This Row],[S_NO3]]&lt;=0,données_step[[#This Row],[S_NO3]]=""),"",données_step[[#This Row],[D_QTRAI]]*données_step[[#This Row],[S_NO3]]/1000)</f>
        <v/>
      </c>
      <c r="P34" s="523" t="str">
        <f>IF(OR(données_step[[#This Row],[S_PTOT]]&lt;=0,données_step[[#This Row],[S_PTOT]]=""),"",données_step[[#This Row],[D_QTRAI]]*données_step[[#This Row],[S_PTOT]]/1000)</f>
        <v/>
      </c>
      <c r="Q34" s="523" t="str">
        <f>IF(OR(données_step[[#This Row],[S_MES]]&lt;=0,données_step[[#This Row],[S_MES]]=""),"",données_step[[#This Row],[D_QTRAI]]*données_step[[#This Row],[S_MES]]/1000)</f>
        <v/>
      </c>
      <c r="R34" s="523">
        <f>MAX(données_step[[#This Row],[D_QTRAI]],données_step[[#This Row],[D_QTRAI2]])</f>
        <v>0</v>
      </c>
      <c r="S34" s="523" t="str">
        <f>IF(AND($R34&gt;0,données_step[[#This Row],[E_DCO]]&gt;0),données_step[[#This Row],[E_DCO]],"")</f>
        <v/>
      </c>
      <c r="T34" s="523" t="str">
        <f>IF(S34="","",(1-données_step[[#This Row],[E_DCO]]/$V$7)*100)</f>
        <v/>
      </c>
      <c r="U34" s="523" t="str">
        <f t="shared" si="1"/>
        <v/>
      </c>
      <c r="V34" s="523" t="str">
        <f t="shared" si="2"/>
        <v/>
      </c>
      <c r="W34" s="523" t="str">
        <f t="shared" si="3"/>
        <v/>
      </c>
      <c r="X34" s="523" t="e">
        <f>IF(((100-100/$V$7*données_step[[#This Row],[E_DCO]])/100*QTS)&lt;0,NA(),IF(OR(U34&lt;0,U34=""),NA(),((100-100/$V$7*données_step[[#This Row],[E_DCO]])/100*QTS)))</f>
        <v>#NUM!</v>
      </c>
      <c r="Y34" s="523" t="str">
        <f>IF(AND($R34&gt;0,données_step[[#This Row],[E_COT]]&gt;0),données_step[[#This Row],[E_COT]],"")</f>
        <v/>
      </c>
      <c r="Z34" s="523" t="str">
        <f>IF(Y34="","",(1-données_step[[#This Row],[E_COT]]/$AB$7)*100)</f>
        <v/>
      </c>
      <c r="AA34" s="523" t="str">
        <f t="shared" si="4"/>
        <v/>
      </c>
      <c r="AB34" s="523" t="str">
        <f t="shared" si="5"/>
        <v/>
      </c>
      <c r="AC34" s="523" t="str">
        <f t="shared" si="6"/>
        <v/>
      </c>
      <c r="AD34" s="523" t="e">
        <f>IF(((100-100/$AB$7*données_step[[#This Row],[E_COT]])/100*QTS)&lt;0,NA(),IF(OR(AA34&lt;0,AA34=""),NA(),((100-100/$AB$7*données_step[[#This Row],[E_COT]])/100*QTS)))</f>
        <v>#NUM!</v>
      </c>
      <c r="AE34" s="523" t="str">
        <f>IF(AND($R34&gt;0,données_step[[#This Row],[E_NH4]]&gt;0),données_step[[#This Row],[E_NH4]],"")</f>
        <v/>
      </c>
      <c r="AF34" s="523" t="str">
        <f>IF(AE34="","",(1-données_step[[#This Row],[E_NH4]]/$AH$7)*100)</f>
        <v/>
      </c>
      <c r="AG34" s="523" t="str">
        <f t="shared" si="7"/>
        <v/>
      </c>
      <c r="AH34" s="523" t="str">
        <f t="shared" si="8"/>
        <v/>
      </c>
      <c r="AI34" s="523" t="str">
        <f t="shared" si="9"/>
        <v/>
      </c>
      <c r="AJ34" s="523" t="e">
        <f>IF(((100-100/$AH$7*données_step[[#This Row],[E_NH4]])/100*QTS)&lt;0,NA(),IF(OR(AG34&lt;0,AG34=""),NA(),((100-100/$AH$7*données_step[[#This Row],[E_NH4]])/100*QTS)))</f>
        <v>#NUM!</v>
      </c>
      <c r="AK34" s="523" t="str">
        <f>IF(AND($R34&gt;0,données_step[[#This Row],[E_PTOT]]&gt;0),données_step[[#This Row],[E_PTOT]],"")</f>
        <v/>
      </c>
      <c r="AL34" s="523" t="str">
        <f>IF(AK34="","",(1-données_step[[#This Row],[E_PTOT]]/$AN$7)*100)</f>
        <v/>
      </c>
      <c r="AM34" s="523" t="str">
        <f t="shared" si="10"/>
        <v/>
      </c>
      <c r="AN34" s="523" t="str">
        <f t="shared" si="11"/>
        <v/>
      </c>
      <c r="AO34" s="523" t="str">
        <f t="shared" si="12"/>
        <v/>
      </c>
      <c r="AP34" s="523" t="e">
        <f>IF(((100-100/$AN$7*données_step[[#This Row],[E_PTOT]])/100*QTS)&lt;0,NA(),IF(OR(AM34&lt;0,AM34=""),NA(),((100-100/$AN$7*données_step[[#This Row],[E_PTOT]])/100*QTS)))</f>
        <v>#NUM!</v>
      </c>
      <c r="AQ34" s="524" t="e">
        <f t="shared" si="13"/>
        <v>#NUM!</v>
      </c>
      <c r="AR34" s="524" t="str">
        <f t="shared" si="14"/>
        <v/>
      </c>
      <c r="AT34" s="517">
        <f t="shared" si="15"/>
        <v>0.23</v>
      </c>
      <c r="AU34" s="501">
        <f t="shared" si="16"/>
        <v>23</v>
      </c>
      <c r="AV34" s="525" t="e">
        <f>PERCENTILE(analyses!$F$11:$F$375,$AT34)</f>
        <v>#NUM!</v>
      </c>
      <c r="AW34" s="7" t="e">
        <f>PERCENTILE(analyses!$I$11:$I$375,$AT34)</f>
        <v>#NUM!</v>
      </c>
      <c r="AX34" s="7" t="e">
        <f>PERCENTILE(analyses!$J$11:$J$375,$AT34)</f>
        <v>#NUM!</v>
      </c>
      <c r="AY34" s="523" t="str">
        <f>_xlfn.IFNA(IF(données_step[[#This Row],[E_DCO]]&lt;=0,NA(),charge_entree[[#This Row],[ch_E_DCO]]/constanten!$B$8*1000),"")</f>
        <v/>
      </c>
      <c r="AZ34" s="523" t="str">
        <f>_xlfn.IFNA(IF(données_step[[#This Row],[E_NTOT]]&lt;=0,NA(),charge_entree[[#This Row],[ch_E_NTOT]]/constanten!$B$10*1000),"")</f>
        <v/>
      </c>
      <c r="BA34" s="523" t="str">
        <f>_xlfn.IFNA(IF(données_step[[#This Row],[E_NH4]]&lt;=0,NA(),charge_entree[[#This Row],[ch_E_NH4]]/constanten!$B$12*1000),"")</f>
        <v/>
      </c>
      <c r="BB34" s="523" t="str">
        <f>_xlfn.IFNA(IF(données_step[[#This Row],[E_COT]]&lt;=0,NA(),charge_entree[[#This Row],[ch_E_COT]]/constanten!$B$9*1000),"")</f>
        <v/>
      </c>
      <c r="BC34" s="523" t="str">
        <f>IFERROR(_xlfn.IFNA(IF(données_step[[#This Row],[E_PTOT]]&lt;=0,NA(),charge_entree[[#This Row],[ch_E_PTOT]]/constanten!$B$15*1000),""),"")</f>
        <v/>
      </c>
      <c r="BD34" s="535" t="e">
        <f>calculs!E34 * (1-0.4) / (données_step[[#This Row],[X_BA_VOL]]*données_step[[#This Row],[X_BACONC]])</f>
        <v>#VALUE!</v>
      </c>
      <c r="BE34" s="522" t="e">
        <f>(données_step[[#This Row],[X_BA_VOL]]*données_step[[#This Row],[X_BACONC]])/((données_step[[#This Row],[D_QTRAI2]]*données_step[[#This Row],[S_MES]]/1000)+(données_step[[#This Row],[X_BX_Q]]*données_step[[#This Row],[X_BXCONC]]))</f>
        <v>#VALUE!</v>
      </c>
      <c r="BF34" s="890" t="str">
        <f>IFERROR(données_step[[#This Row],[D_QTRAI]]/AY34*1000,"")</f>
        <v/>
      </c>
      <c r="BG34" s="535" t="str">
        <f>IFERROR(1-données_step[[#This Row],[S_DBO5]]/données_step[[#This Row],[E_DBO5]],"")</f>
        <v/>
      </c>
      <c r="BH34" s="536" t="str">
        <f>IFERROR(1-données_step[[#This Row],[S_DCO]]/données_step[[#This Row],[E_DCO]],"")</f>
        <v/>
      </c>
      <c r="BI34" s="535" t="str">
        <f>IFERROR(1-données_step[[#This Row],[S_COD]]/données_step[[#This Row],[E_COT]],"")</f>
        <v/>
      </c>
      <c r="BJ34" s="535" t="str">
        <f>IFERROR(1-données_step[[#This Row],[S_NH4]]/données_step[[#This Row],[E_NTOT]],"")</f>
        <v/>
      </c>
      <c r="BK34" s="535" t="str">
        <f>IFERROR(1-données_step[[#This Row],[S_PTOT]]/données_step[[#This Row],[E_PTOT]],"")</f>
        <v/>
      </c>
      <c r="BL34" s="521" t="str">
        <f>IFERROR(IF(données_step[[#This Row],[E_DCO]]/données_step[[#This Row],[E_DBO5]]=0,NA(),données_step[[#This Row],[E_DCO]]/données_step[[#This Row],[E_DBO5]]),"")</f>
        <v/>
      </c>
      <c r="BM34" s="521" t="str">
        <f>IFERROR(IF(données_step[[#This Row],[E_NH4]]/données_step[[#This Row],[E_NTOT]]=0,NA(),données_step[[#This Row],[E_NH4]]/données_step[[#This Row],[E_NTOT]]),"")</f>
        <v/>
      </c>
      <c r="BN34" s="521" t="str">
        <f>IFERROR(IF(données_step[[#This Row],[E_NTOT]]/données_step[[#This Row],[E_COT]]=0,NA(),données_step[[#This Row],[E_NTOT]]/données_step[[#This Row],[E_COT]]),"")</f>
        <v/>
      </c>
      <c r="BO34" s="521" t="str">
        <f>IFERROR(IF(données_step[[#This Row],[E_PTOT]]/données_step[[#This Row],[E_COT]]=0,NA(),données_step[[#This Row],[E_PTOT]]/données_step[[#This Row],[E_COT]]),"")</f>
        <v/>
      </c>
      <c r="BP34" s="521" t="e">
        <f>IF(données_step[[#This Row],[E_DCO]]/données_step[[#This Row],[E_COT]]=0,NA(),données_step[[#This Row],[E_DCO]]/données_step[[#This Row],[E_COT]])</f>
        <v>#DIV/0!</v>
      </c>
      <c r="BQ34" s="521" t="e">
        <f>IF(données_step[[#This Row],[E_NTOT]]/données_step[[#This Row],[E_DCO]]=0,NA(),données_step[[#This Row],[E_NTOT]]/données_step[[#This Row],[E_DCO]])</f>
        <v>#DIV/0!</v>
      </c>
      <c r="BR34" s="521" t="e">
        <f>IF(données_step[[#This Row],[E_PTOT]]/données_step[[#This Row],[E_DCO]]=0,NA(),données_step[[#This Row],[E_PTOT]]/données_step[[#This Row],[E_DCO]])</f>
        <v>#DIV/0!</v>
      </c>
      <c r="BS34" s="747" t="e">
        <f ca="1">test_NH4_temp(données_step[[#This Row],[S_NH4]],données_step[[#This Row],[Temp_eaux]])</f>
        <v>#NAME?</v>
      </c>
    </row>
    <row r="35" spans="1:71" x14ac:dyDescent="0.2">
      <c r="A35" s="222">
        <f>données_step[[#This Row],[Datum]]</f>
        <v>44586</v>
      </c>
      <c r="B35" s="223"/>
      <c r="C35" s="224">
        <f t="shared" si="0"/>
        <v>3</v>
      </c>
      <c r="D35" s="523" t="str">
        <f>IF(OR(données_step[[#This Row],[E_DBO5]]&lt;=0,données_step[[#This Row],[E_DBO5]]=""),"",données_step[[#This Row],[D_QTRAI]]*données_step[[#This Row],[E_DBO5]]/1000)</f>
        <v/>
      </c>
      <c r="E35" s="523" t="str">
        <f>IF(OR(données_step[[#This Row],[E_DCO]]&lt;=0,données_step[[#This Row],[E_DCO]]=""),"",données_step[[#This Row],[D_QTRAI]]*données_step[[#This Row],[E_DCO]]/1000)</f>
        <v/>
      </c>
      <c r="F35" s="523" t="str">
        <f>IF(OR(données_step[[#This Row],[E_COT]]&lt;=0,données_step[[#This Row],[E_COT]]=""),"",données_step[[#This Row],[D_QTRAI]]*données_step[[#This Row],[E_COT]]/1000)</f>
        <v/>
      </c>
      <c r="G35" s="523" t="str">
        <f>IF(OR(données_step[[#This Row],[E_NH4]]&lt;=0,données_step[[#This Row],[E_NH4]]=""),"",données_step[[#This Row],[D_QTRAI]]*données_step[[#This Row],[E_NH4]]/1000)</f>
        <v/>
      </c>
      <c r="H35" s="523" t="str">
        <f>IF(OR(données_step[[#This Row],[E_NTOT]]&lt;=0,données_step[[#This Row],[E_NTOT]]=""),"",données_step[[#This Row],[D_QTRAI]]*données_step[[#This Row],[E_NTOT]]/1000)</f>
        <v/>
      </c>
      <c r="I35" s="523" t="str">
        <f>IF(OR(données_step[[#This Row],[E_NTOT]]&lt;=0,données_step[[#This Row],[E_NTOT]]=""),"",données_step[[#This Row],[D_QTRAI]]*données_step[[#This Row],[E_PTOT]]/1000)</f>
        <v/>
      </c>
      <c r="J35" s="523" t="str">
        <f>IF(OR(données_step[[#This Row],[S_DBO5]]&lt;=0,données_step[[#This Row],[S_DBO5]]=""),"",données_step[[#This Row],[D_QTRAI]]*données_step[[#This Row],[S_DBO5]]/1000)</f>
        <v/>
      </c>
      <c r="K35" s="523" t="str">
        <f>IF(OR(données_step[[#This Row],[S_DCO]]&lt;=0,données_step[[#This Row],[S_DCO]]=""),"",données_step[[#This Row],[D_QTRAI]]*données_step[[#This Row],[S_DCO]]/1000)</f>
        <v/>
      </c>
      <c r="L35" s="523" t="str">
        <f>IF(OR(données_step[[#This Row],[S_COD]]&lt;=0,données_step[[#This Row],[S_COD]]=""),"",données_step[[#This Row],[D_QTRAI]]*données_step[[#This Row],[S_COD]]/1000)</f>
        <v/>
      </c>
      <c r="M35" s="523" t="str">
        <f>IF(OR(données_step[[#This Row],[S_NH4]]&lt;=0,données_step[[#This Row],[S_NH4]]=""),"",données_step[[#This Row],[D_QTRAI]]*données_step[[#This Row],[S_NH4]]/1000)</f>
        <v/>
      </c>
      <c r="N35" s="523" t="str">
        <f>IF(OR(données_step[[#This Row],[S_NO2]]&lt;=0,données_step[[#This Row],[S_NO2]]=""),"",données_step[[#This Row],[D_QTRAI]]*données_step[[#This Row],[S_NO2]]/1000)</f>
        <v/>
      </c>
      <c r="O35" s="523" t="str">
        <f>IF(OR(données_step[[#This Row],[S_NO3]]&lt;=0,données_step[[#This Row],[S_NO3]]=""),"",données_step[[#This Row],[D_QTRAI]]*données_step[[#This Row],[S_NO3]]/1000)</f>
        <v/>
      </c>
      <c r="P35" s="523" t="str">
        <f>IF(OR(données_step[[#This Row],[S_PTOT]]&lt;=0,données_step[[#This Row],[S_PTOT]]=""),"",données_step[[#This Row],[D_QTRAI]]*données_step[[#This Row],[S_PTOT]]/1000)</f>
        <v/>
      </c>
      <c r="Q35" s="523" t="str">
        <f>IF(OR(données_step[[#This Row],[S_MES]]&lt;=0,données_step[[#This Row],[S_MES]]=""),"",données_step[[#This Row],[D_QTRAI]]*données_step[[#This Row],[S_MES]]/1000)</f>
        <v/>
      </c>
      <c r="R35" s="523">
        <f>MAX(données_step[[#This Row],[D_QTRAI]],données_step[[#This Row],[D_QTRAI2]])</f>
        <v>0</v>
      </c>
      <c r="S35" s="523" t="str">
        <f>IF(AND($R35&gt;0,données_step[[#This Row],[E_DCO]]&gt;0),données_step[[#This Row],[E_DCO]],"")</f>
        <v/>
      </c>
      <c r="T35" s="523" t="str">
        <f>IF(S35="","",(1-données_step[[#This Row],[E_DCO]]/$V$7)*100)</f>
        <v/>
      </c>
      <c r="U35" s="523" t="str">
        <f t="shared" si="1"/>
        <v/>
      </c>
      <c r="V35" s="523" t="str">
        <f t="shared" si="2"/>
        <v/>
      </c>
      <c r="W35" s="523" t="str">
        <f t="shared" si="3"/>
        <v/>
      </c>
      <c r="X35" s="523" t="e">
        <f>IF(((100-100/$V$7*données_step[[#This Row],[E_DCO]])/100*QTS)&lt;0,NA(),IF(OR(U35&lt;0,U35=""),NA(),((100-100/$V$7*données_step[[#This Row],[E_DCO]])/100*QTS)))</f>
        <v>#NUM!</v>
      </c>
      <c r="Y35" s="523" t="str">
        <f>IF(AND($R35&gt;0,données_step[[#This Row],[E_COT]]&gt;0),données_step[[#This Row],[E_COT]],"")</f>
        <v/>
      </c>
      <c r="Z35" s="523" t="str">
        <f>IF(Y35="","",(1-données_step[[#This Row],[E_COT]]/$AB$7)*100)</f>
        <v/>
      </c>
      <c r="AA35" s="523" t="str">
        <f t="shared" si="4"/>
        <v/>
      </c>
      <c r="AB35" s="523" t="str">
        <f t="shared" si="5"/>
        <v/>
      </c>
      <c r="AC35" s="523" t="str">
        <f t="shared" si="6"/>
        <v/>
      </c>
      <c r="AD35" s="523" t="e">
        <f>IF(((100-100/$AB$7*données_step[[#This Row],[E_COT]])/100*QTS)&lt;0,NA(),IF(OR(AA35&lt;0,AA35=""),NA(),((100-100/$AB$7*données_step[[#This Row],[E_COT]])/100*QTS)))</f>
        <v>#NUM!</v>
      </c>
      <c r="AE35" s="523" t="str">
        <f>IF(AND($R35&gt;0,données_step[[#This Row],[E_NH4]]&gt;0),données_step[[#This Row],[E_NH4]],"")</f>
        <v/>
      </c>
      <c r="AF35" s="523" t="str">
        <f>IF(AE35="","",(1-données_step[[#This Row],[E_NH4]]/$AH$7)*100)</f>
        <v/>
      </c>
      <c r="AG35" s="523" t="str">
        <f t="shared" si="7"/>
        <v/>
      </c>
      <c r="AH35" s="523" t="str">
        <f t="shared" si="8"/>
        <v/>
      </c>
      <c r="AI35" s="523" t="str">
        <f t="shared" si="9"/>
        <v/>
      </c>
      <c r="AJ35" s="523" t="e">
        <f>IF(((100-100/$AH$7*données_step[[#This Row],[E_NH4]])/100*QTS)&lt;0,NA(),IF(OR(AG35&lt;0,AG35=""),NA(),((100-100/$AH$7*données_step[[#This Row],[E_NH4]])/100*QTS)))</f>
        <v>#NUM!</v>
      </c>
      <c r="AK35" s="523" t="str">
        <f>IF(AND($R35&gt;0,données_step[[#This Row],[E_PTOT]]&gt;0),données_step[[#This Row],[E_PTOT]],"")</f>
        <v/>
      </c>
      <c r="AL35" s="523" t="str">
        <f>IF(AK35="","",(1-données_step[[#This Row],[E_PTOT]]/$AN$7)*100)</f>
        <v/>
      </c>
      <c r="AM35" s="523" t="str">
        <f t="shared" si="10"/>
        <v/>
      </c>
      <c r="AN35" s="523" t="str">
        <f t="shared" si="11"/>
        <v/>
      </c>
      <c r="AO35" s="523" t="str">
        <f t="shared" si="12"/>
        <v/>
      </c>
      <c r="AP35" s="523" t="e">
        <f>IF(((100-100/$AN$7*données_step[[#This Row],[E_PTOT]])/100*QTS)&lt;0,NA(),IF(OR(AM35&lt;0,AM35=""),NA(),((100-100/$AN$7*données_step[[#This Row],[E_PTOT]])/100*QTS)))</f>
        <v>#NUM!</v>
      </c>
      <c r="AQ35" s="524" t="e">
        <f t="shared" si="13"/>
        <v>#NUM!</v>
      </c>
      <c r="AR35" s="524" t="str">
        <f t="shared" si="14"/>
        <v/>
      </c>
      <c r="AT35" s="517">
        <f t="shared" si="15"/>
        <v>0.24</v>
      </c>
      <c r="AU35" s="501">
        <f t="shared" si="16"/>
        <v>24</v>
      </c>
      <c r="AV35" s="525" t="e">
        <f>PERCENTILE(analyses!$F$11:$F$375,$AT35)</f>
        <v>#NUM!</v>
      </c>
      <c r="AW35" s="7" t="e">
        <f>PERCENTILE(analyses!$I$11:$I$375,$AT35)</f>
        <v>#NUM!</v>
      </c>
      <c r="AX35" s="7" t="e">
        <f>PERCENTILE(analyses!$J$11:$J$375,$AT35)</f>
        <v>#NUM!</v>
      </c>
      <c r="AY35" s="523" t="str">
        <f>_xlfn.IFNA(IF(données_step[[#This Row],[E_DCO]]&lt;=0,NA(),charge_entree[[#This Row],[ch_E_DCO]]/constanten!$B$8*1000),"")</f>
        <v/>
      </c>
      <c r="AZ35" s="523" t="str">
        <f>_xlfn.IFNA(IF(données_step[[#This Row],[E_NTOT]]&lt;=0,NA(),charge_entree[[#This Row],[ch_E_NTOT]]/constanten!$B$10*1000),"")</f>
        <v/>
      </c>
      <c r="BA35" s="523" t="str">
        <f>_xlfn.IFNA(IF(données_step[[#This Row],[E_NH4]]&lt;=0,NA(),charge_entree[[#This Row],[ch_E_NH4]]/constanten!$B$12*1000),"")</f>
        <v/>
      </c>
      <c r="BB35" s="523" t="str">
        <f>_xlfn.IFNA(IF(données_step[[#This Row],[E_COT]]&lt;=0,NA(),charge_entree[[#This Row],[ch_E_COT]]/constanten!$B$9*1000),"")</f>
        <v/>
      </c>
      <c r="BC35" s="523" t="str">
        <f>IFERROR(_xlfn.IFNA(IF(données_step[[#This Row],[E_PTOT]]&lt;=0,NA(),charge_entree[[#This Row],[ch_E_PTOT]]/constanten!$B$15*1000),""),"")</f>
        <v/>
      </c>
      <c r="BD35" s="535" t="e">
        <f>calculs!E35 * (1-0.4) / (données_step[[#This Row],[X_BA_VOL]]*données_step[[#This Row],[X_BACONC]])</f>
        <v>#VALUE!</v>
      </c>
      <c r="BE35" s="522" t="e">
        <f>(données_step[[#This Row],[X_BA_VOL]]*données_step[[#This Row],[X_BACONC]])/((données_step[[#This Row],[D_QTRAI2]]*données_step[[#This Row],[S_MES]]/1000)+(données_step[[#This Row],[X_BX_Q]]*données_step[[#This Row],[X_BXCONC]]))</f>
        <v>#VALUE!</v>
      </c>
      <c r="BF35" s="890" t="str">
        <f>IFERROR(données_step[[#This Row],[D_QTRAI]]/AY35*1000,"")</f>
        <v/>
      </c>
      <c r="BG35" s="535" t="str">
        <f>IFERROR(1-données_step[[#This Row],[S_DBO5]]/données_step[[#This Row],[E_DBO5]],"")</f>
        <v/>
      </c>
      <c r="BH35" s="536" t="str">
        <f>IFERROR(1-données_step[[#This Row],[S_DCO]]/données_step[[#This Row],[E_DCO]],"")</f>
        <v/>
      </c>
      <c r="BI35" s="535" t="str">
        <f>IFERROR(1-données_step[[#This Row],[S_COD]]/données_step[[#This Row],[E_COT]],"")</f>
        <v/>
      </c>
      <c r="BJ35" s="535" t="str">
        <f>IFERROR(1-données_step[[#This Row],[S_NH4]]/données_step[[#This Row],[E_NTOT]],"")</f>
        <v/>
      </c>
      <c r="BK35" s="535" t="str">
        <f>IFERROR(1-données_step[[#This Row],[S_PTOT]]/données_step[[#This Row],[E_PTOT]],"")</f>
        <v/>
      </c>
      <c r="BL35" s="521" t="str">
        <f>IFERROR(IF(données_step[[#This Row],[E_DCO]]/données_step[[#This Row],[E_DBO5]]=0,NA(),données_step[[#This Row],[E_DCO]]/données_step[[#This Row],[E_DBO5]]),"")</f>
        <v/>
      </c>
      <c r="BM35" s="521" t="str">
        <f>IFERROR(IF(données_step[[#This Row],[E_NH4]]/données_step[[#This Row],[E_NTOT]]=0,NA(),données_step[[#This Row],[E_NH4]]/données_step[[#This Row],[E_NTOT]]),"")</f>
        <v/>
      </c>
      <c r="BN35" s="521" t="str">
        <f>IFERROR(IF(données_step[[#This Row],[E_NTOT]]/données_step[[#This Row],[E_COT]]=0,NA(),données_step[[#This Row],[E_NTOT]]/données_step[[#This Row],[E_COT]]),"")</f>
        <v/>
      </c>
      <c r="BO35" s="521" t="str">
        <f>IFERROR(IF(données_step[[#This Row],[E_PTOT]]/données_step[[#This Row],[E_COT]]=0,NA(),données_step[[#This Row],[E_PTOT]]/données_step[[#This Row],[E_COT]]),"")</f>
        <v/>
      </c>
      <c r="BP35" s="521" t="e">
        <f>IF(données_step[[#This Row],[E_DCO]]/données_step[[#This Row],[E_COT]]=0,NA(),données_step[[#This Row],[E_DCO]]/données_step[[#This Row],[E_COT]])</f>
        <v>#DIV/0!</v>
      </c>
      <c r="BQ35" s="521" t="e">
        <f>IF(données_step[[#This Row],[E_NTOT]]/données_step[[#This Row],[E_DCO]]=0,NA(),données_step[[#This Row],[E_NTOT]]/données_step[[#This Row],[E_DCO]])</f>
        <v>#DIV/0!</v>
      </c>
      <c r="BR35" s="521" t="e">
        <f>IF(données_step[[#This Row],[E_PTOT]]/données_step[[#This Row],[E_DCO]]=0,NA(),données_step[[#This Row],[E_PTOT]]/données_step[[#This Row],[E_DCO]])</f>
        <v>#DIV/0!</v>
      </c>
      <c r="BS35" s="747" t="e">
        <f ca="1">test_NH4_temp(données_step[[#This Row],[S_NH4]],données_step[[#This Row],[Temp_eaux]])</f>
        <v>#NAME?</v>
      </c>
    </row>
    <row r="36" spans="1:71" x14ac:dyDescent="0.2">
      <c r="A36" s="222">
        <f>données_step[[#This Row],[Datum]]</f>
        <v>44587</v>
      </c>
      <c r="B36" s="223"/>
      <c r="C36" s="224">
        <f t="shared" si="0"/>
        <v>4</v>
      </c>
      <c r="D36" s="523" t="str">
        <f>IF(OR(données_step[[#This Row],[E_DBO5]]&lt;=0,données_step[[#This Row],[E_DBO5]]=""),"",données_step[[#This Row],[D_QTRAI]]*données_step[[#This Row],[E_DBO5]]/1000)</f>
        <v/>
      </c>
      <c r="E36" s="523" t="str">
        <f>IF(OR(données_step[[#This Row],[E_DCO]]&lt;=0,données_step[[#This Row],[E_DCO]]=""),"",données_step[[#This Row],[D_QTRAI]]*données_step[[#This Row],[E_DCO]]/1000)</f>
        <v/>
      </c>
      <c r="F36" s="523" t="str">
        <f>IF(OR(données_step[[#This Row],[E_COT]]&lt;=0,données_step[[#This Row],[E_COT]]=""),"",données_step[[#This Row],[D_QTRAI]]*données_step[[#This Row],[E_COT]]/1000)</f>
        <v/>
      </c>
      <c r="G36" s="523" t="str">
        <f>IF(OR(données_step[[#This Row],[E_NH4]]&lt;=0,données_step[[#This Row],[E_NH4]]=""),"",données_step[[#This Row],[D_QTRAI]]*données_step[[#This Row],[E_NH4]]/1000)</f>
        <v/>
      </c>
      <c r="H36" s="523" t="str">
        <f>IF(OR(données_step[[#This Row],[E_NTOT]]&lt;=0,données_step[[#This Row],[E_NTOT]]=""),"",données_step[[#This Row],[D_QTRAI]]*données_step[[#This Row],[E_NTOT]]/1000)</f>
        <v/>
      </c>
      <c r="I36" s="523" t="str">
        <f>IF(OR(données_step[[#This Row],[E_NTOT]]&lt;=0,données_step[[#This Row],[E_NTOT]]=""),"",données_step[[#This Row],[D_QTRAI]]*données_step[[#This Row],[E_PTOT]]/1000)</f>
        <v/>
      </c>
      <c r="J36" s="523" t="str">
        <f>IF(OR(données_step[[#This Row],[S_DBO5]]&lt;=0,données_step[[#This Row],[S_DBO5]]=""),"",données_step[[#This Row],[D_QTRAI]]*données_step[[#This Row],[S_DBO5]]/1000)</f>
        <v/>
      </c>
      <c r="K36" s="523" t="str">
        <f>IF(OR(données_step[[#This Row],[S_DCO]]&lt;=0,données_step[[#This Row],[S_DCO]]=""),"",données_step[[#This Row],[D_QTRAI]]*données_step[[#This Row],[S_DCO]]/1000)</f>
        <v/>
      </c>
      <c r="L36" s="523" t="str">
        <f>IF(OR(données_step[[#This Row],[S_COD]]&lt;=0,données_step[[#This Row],[S_COD]]=""),"",données_step[[#This Row],[D_QTRAI]]*données_step[[#This Row],[S_COD]]/1000)</f>
        <v/>
      </c>
      <c r="M36" s="523" t="str">
        <f>IF(OR(données_step[[#This Row],[S_NH4]]&lt;=0,données_step[[#This Row],[S_NH4]]=""),"",données_step[[#This Row],[D_QTRAI]]*données_step[[#This Row],[S_NH4]]/1000)</f>
        <v/>
      </c>
      <c r="N36" s="523" t="str">
        <f>IF(OR(données_step[[#This Row],[S_NO2]]&lt;=0,données_step[[#This Row],[S_NO2]]=""),"",données_step[[#This Row],[D_QTRAI]]*données_step[[#This Row],[S_NO2]]/1000)</f>
        <v/>
      </c>
      <c r="O36" s="523" t="str">
        <f>IF(OR(données_step[[#This Row],[S_NO3]]&lt;=0,données_step[[#This Row],[S_NO3]]=""),"",données_step[[#This Row],[D_QTRAI]]*données_step[[#This Row],[S_NO3]]/1000)</f>
        <v/>
      </c>
      <c r="P36" s="523" t="str">
        <f>IF(OR(données_step[[#This Row],[S_PTOT]]&lt;=0,données_step[[#This Row],[S_PTOT]]=""),"",données_step[[#This Row],[D_QTRAI]]*données_step[[#This Row],[S_PTOT]]/1000)</f>
        <v/>
      </c>
      <c r="Q36" s="523" t="str">
        <f>IF(OR(données_step[[#This Row],[S_MES]]&lt;=0,données_step[[#This Row],[S_MES]]=""),"",données_step[[#This Row],[D_QTRAI]]*données_step[[#This Row],[S_MES]]/1000)</f>
        <v/>
      </c>
      <c r="R36" s="523">
        <f>MAX(données_step[[#This Row],[D_QTRAI]],données_step[[#This Row],[D_QTRAI2]])</f>
        <v>0</v>
      </c>
      <c r="S36" s="523" t="str">
        <f>IF(AND($R36&gt;0,données_step[[#This Row],[E_DCO]]&gt;0),données_step[[#This Row],[E_DCO]],"")</f>
        <v/>
      </c>
      <c r="T36" s="523" t="str">
        <f>IF(S36="","",(1-données_step[[#This Row],[E_DCO]]/$V$7)*100)</f>
        <v/>
      </c>
      <c r="U36" s="523" t="str">
        <f t="shared" si="1"/>
        <v/>
      </c>
      <c r="V36" s="523" t="str">
        <f t="shared" si="2"/>
        <v/>
      </c>
      <c r="W36" s="523" t="str">
        <f t="shared" si="3"/>
        <v/>
      </c>
      <c r="X36" s="523" t="e">
        <f>IF(((100-100/$V$7*données_step[[#This Row],[E_DCO]])/100*QTS)&lt;0,NA(),IF(OR(U36&lt;0,U36=""),NA(),((100-100/$V$7*données_step[[#This Row],[E_DCO]])/100*QTS)))</f>
        <v>#NUM!</v>
      </c>
      <c r="Y36" s="523" t="str">
        <f>IF(AND($R36&gt;0,données_step[[#This Row],[E_COT]]&gt;0),données_step[[#This Row],[E_COT]],"")</f>
        <v/>
      </c>
      <c r="Z36" s="523" t="str">
        <f>IF(Y36="","",(1-données_step[[#This Row],[E_COT]]/$AB$7)*100)</f>
        <v/>
      </c>
      <c r="AA36" s="523" t="str">
        <f t="shared" si="4"/>
        <v/>
      </c>
      <c r="AB36" s="523" t="str">
        <f t="shared" si="5"/>
        <v/>
      </c>
      <c r="AC36" s="523" t="str">
        <f t="shared" si="6"/>
        <v/>
      </c>
      <c r="AD36" s="523" t="e">
        <f>IF(((100-100/$AB$7*données_step[[#This Row],[E_COT]])/100*QTS)&lt;0,NA(),IF(OR(AA36&lt;0,AA36=""),NA(),((100-100/$AB$7*données_step[[#This Row],[E_COT]])/100*QTS)))</f>
        <v>#NUM!</v>
      </c>
      <c r="AE36" s="523" t="str">
        <f>IF(AND($R36&gt;0,données_step[[#This Row],[E_NH4]]&gt;0),données_step[[#This Row],[E_NH4]],"")</f>
        <v/>
      </c>
      <c r="AF36" s="523" t="str">
        <f>IF(AE36="","",(1-données_step[[#This Row],[E_NH4]]/$AH$7)*100)</f>
        <v/>
      </c>
      <c r="AG36" s="523" t="str">
        <f t="shared" si="7"/>
        <v/>
      </c>
      <c r="AH36" s="523" t="str">
        <f t="shared" si="8"/>
        <v/>
      </c>
      <c r="AI36" s="523" t="str">
        <f t="shared" si="9"/>
        <v/>
      </c>
      <c r="AJ36" s="523" t="e">
        <f>IF(((100-100/$AH$7*données_step[[#This Row],[E_NH4]])/100*QTS)&lt;0,NA(),IF(OR(AG36&lt;0,AG36=""),NA(),((100-100/$AH$7*données_step[[#This Row],[E_NH4]])/100*QTS)))</f>
        <v>#NUM!</v>
      </c>
      <c r="AK36" s="523" t="str">
        <f>IF(AND($R36&gt;0,données_step[[#This Row],[E_PTOT]]&gt;0),données_step[[#This Row],[E_PTOT]],"")</f>
        <v/>
      </c>
      <c r="AL36" s="523" t="str">
        <f>IF(AK36="","",(1-données_step[[#This Row],[E_PTOT]]/$AN$7)*100)</f>
        <v/>
      </c>
      <c r="AM36" s="523" t="str">
        <f t="shared" si="10"/>
        <v/>
      </c>
      <c r="AN36" s="523" t="str">
        <f t="shared" si="11"/>
        <v/>
      </c>
      <c r="AO36" s="523" t="str">
        <f t="shared" si="12"/>
        <v/>
      </c>
      <c r="AP36" s="523" t="e">
        <f>IF(((100-100/$AN$7*données_step[[#This Row],[E_PTOT]])/100*QTS)&lt;0,NA(),IF(OR(AM36&lt;0,AM36=""),NA(),((100-100/$AN$7*données_step[[#This Row],[E_PTOT]])/100*QTS)))</f>
        <v>#NUM!</v>
      </c>
      <c r="AQ36" s="524" t="e">
        <f t="shared" si="13"/>
        <v>#NUM!</v>
      </c>
      <c r="AR36" s="524" t="str">
        <f t="shared" si="14"/>
        <v/>
      </c>
      <c r="AT36" s="517">
        <f t="shared" si="15"/>
        <v>0.25</v>
      </c>
      <c r="AU36" s="501">
        <f t="shared" si="16"/>
        <v>25</v>
      </c>
      <c r="AV36" s="525" t="e">
        <f>PERCENTILE(analyses!$F$11:$F$375,$AT36)</f>
        <v>#NUM!</v>
      </c>
      <c r="AW36" s="7" t="e">
        <f>PERCENTILE(analyses!$I$11:$I$375,$AT36)</f>
        <v>#NUM!</v>
      </c>
      <c r="AX36" s="7" t="e">
        <f>PERCENTILE(analyses!$J$11:$J$375,$AT36)</f>
        <v>#NUM!</v>
      </c>
      <c r="AY36" s="523" t="str">
        <f>_xlfn.IFNA(IF(données_step[[#This Row],[E_DCO]]&lt;=0,NA(),charge_entree[[#This Row],[ch_E_DCO]]/constanten!$B$8*1000),"")</f>
        <v/>
      </c>
      <c r="AZ36" s="523" t="str">
        <f>_xlfn.IFNA(IF(données_step[[#This Row],[E_NTOT]]&lt;=0,NA(),charge_entree[[#This Row],[ch_E_NTOT]]/constanten!$B$10*1000),"")</f>
        <v/>
      </c>
      <c r="BA36" s="523" t="str">
        <f>_xlfn.IFNA(IF(données_step[[#This Row],[E_NH4]]&lt;=0,NA(),charge_entree[[#This Row],[ch_E_NH4]]/constanten!$B$12*1000),"")</f>
        <v/>
      </c>
      <c r="BB36" s="523" t="str">
        <f>_xlfn.IFNA(IF(données_step[[#This Row],[E_COT]]&lt;=0,NA(),charge_entree[[#This Row],[ch_E_COT]]/constanten!$B$9*1000),"")</f>
        <v/>
      </c>
      <c r="BC36" s="523" t="str">
        <f>IFERROR(_xlfn.IFNA(IF(données_step[[#This Row],[E_PTOT]]&lt;=0,NA(),charge_entree[[#This Row],[ch_E_PTOT]]/constanten!$B$15*1000),""),"")</f>
        <v/>
      </c>
      <c r="BD36" s="535" t="e">
        <f>calculs!E36 * (1-0.4) / (données_step[[#This Row],[X_BA_VOL]]*données_step[[#This Row],[X_BACONC]])</f>
        <v>#VALUE!</v>
      </c>
      <c r="BE36" s="522" t="e">
        <f>(données_step[[#This Row],[X_BA_VOL]]*données_step[[#This Row],[X_BACONC]])/((données_step[[#This Row],[D_QTRAI2]]*données_step[[#This Row],[S_MES]]/1000)+(données_step[[#This Row],[X_BX_Q]]*données_step[[#This Row],[X_BXCONC]]))</f>
        <v>#VALUE!</v>
      </c>
      <c r="BF36" s="890" t="str">
        <f>IFERROR(données_step[[#This Row],[D_QTRAI]]/AY36*1000,"")</f>
        <v/>
      </c>
      <c r="BG36" s="535" t="str">
        <f>IFERROR(1-données_step[[#This Row],[S_DBO5]]/données_step[[#This Row],[E_DBO5]],"")</f>
        <v/>
      </c>
      <c r="BH36" s="536" t="str">
        <f>IFERROR(1-données_step[[#This Row],[S_DCO]]/données_step[[#This Row],[E_DCO]],"")</f>
        <v/>
      </c>
      <c r="BI36" s="535" t="str">
        <f>IFERROR(1-données_step[[#This Row],[S_COD]]/données_step[[#This Row],[E_COT]],"")</f>
        <v/>
      </c>
      <c r="BJ36" s="535" t="str">
        <f>IFERROR(1-données_step[[#This Row],[S_NH4]]/données_step[[#This Row],[E_NTOT]],"")</f>
        <v/>
      </c>
      <c r="BK36" s="535" t="str">
        <f>IFERROR(1-données_step[[#This Row],[S_PTOT]]/données_step[[#This Row],[E_PTOT]],"")</f>
        <v/>
      </c>
      <c r="BL36" s="521" t="str">
        <f>IFERROR(IF(données_step[[#This Row],[E_DCO]]/données_step[[#This Row],[E_DBO5]]=0,NA(),données_step[[#This Row],[E_DCO]]/données_step[[#This Row],[E_DBO5]]),"")</f>
        <v/>
      </c>
      <c r="BM36" s="521" t="str">
        <f>IFERROR(IF(données_step[[#This Row],[E_NH4]]/données_step[[#This Row],[E_NTOT]]=0,NA(),données_step[[#This Row],[E_NH4]]/données_step[[#This Row],[E_NTOT]]),"")</f>
        <v/>
      </c>
      <c r="BN36" s="521" t="str">
        <f>IFERROR(IF(données_step[[#This Row],[E_NTOT]]/données_step[[#This Row],[E_COT]]=0,NA(),données_step[[#This Row],[E_NTOT]]/données_step[[#This Row],[E_COT]]),"")</f>
        <v/>
      </c>
      <c r="BO36" s="521" t="str">
        <f>IFERROR(IF(données_step[[#This Row],[E_PTOT]]/données_step[[#This Row],[E_COT]]=0,NA(),données_step[[#This Row],[E_PTOT]]/données_step[[#This Row],[E_COT]]),"")</f>
        <v/>
      </c>
      <c r="BP36" s="521" t="e">
        <f>IF(données_step[[#This Row],[E_DCO]]/données_step[[#This Row],[E_COT]]=0,NA(),données_step[[#This Row],[E_DCO]]/données_step[[#This Row],[E_COT]])</f>
        <v>#DIV/0!</v>
      </c>
      <c r="BQ36" s="521" t="e">
        <f>IF(données_step[[#This Row],[E_NTOT]]/données_step[[#This Row],[E_DCO]]=0,NA(),données_step[[#This Row],[E_NTOT]]/données_step[[#This Row],[E_DCO]])</f>
        <v>#DIV/0!</v>
      </c>
      <c r="BR36" s="521" t="e">
        <f>IF(données_step[[#This Row],[E_PTOT]]/données_step[[#This Row],[E_DCO]]=0,NA(),données_step[[#This Row],[E_PTOT]]/données_step[[#This Row],[E_DCO]])</f>
        <v>#DIV/0!</v>
      </c>
      <c r="BS36" s="747" t="e">
        <f ca="1">test_NH4_temp(données_step[[#This Row],[S_NH4]],données_step[[#This Row],[Temp_eaux]])</f>
        <v>#NAME?</v>
      </c>
    </row>
    <row r="37" spans="1:71" x14ac:dyDescent="0.2">
      <c r="A37" s="222">
        <f>données_step[[#This Row],[Datum]]</f>
        <v>44588</v>
      </c>
      <c r="B37" s="223"/>
      <c r="C37" s="224">
        <f t="shared" si="0"/>
        <v>5</v>
      </c>
      <c r="D37" s="523" t="str">
        <f>IF(OR(données_step[[#This Row],[E_DBO5]]&lt;=0,données_step[[#This Row],[E_DBO5]]=""),"",données_step[[#This Row],[D_QTRAI]]*données_step[[#This Row],[E_DBO5]]/1000)</f>
        <v/>
      </c>
      <c r="E37" s="523" t="str">
        <f>IF(OR(données_step[[#This Row],[E_DCO]]&lt;=0,données_step[[#This Row],[E_DCO]]=""),"",données_step[[#This Row],[D_QTRAI]]*données_step[[#This Row],[E_DCO]]/1000)</f>
        <v/>
      </c>
      <c r="F37" s="523" t="str">
        <f>IF(OR(données_step[[#This Row],[E_COT]]&lt;=0,données_step[[#This Row],[E_COT]]=""),"",données_step[[#This Row],[D_QTRAI]]*données_step[[#This Row],[E_COT]]/1000)</f>
        <v/>
      </c>
      <c r="G37" s="523" t="str">
        <f>IF(OR(données_step[[#This Row],[E_NH4]]&lt;=0,données_step[[#This Row],[E_NH4]]=""),"",données_step[[#This Row],[D_QTRAI]]*données_step[[#This Row],[E_NH4]]/1000)</f>
        <v/>
      </c>
      <c r="H37" s="523" t="str">
        <f>IF(OR(données_step[[#This Row],[E_NTOT]]&lt;=0,données_step[[#This Row],[E_NTOT]]=""),"",données_step[[#This Row],[D_QTRAI]]*données_step[[#This Row],[E_NTOT]]/1000)</f>
        <v/>
      </c>
      <c r="I37" s="523" t="str">
        <f>IF(OR(données_step[[#This Row],[E_NTOT]]&lt;=0,données_step[[#This Row],[E_NTOT]]=""),"",données_step[[#This Row],[D_QTRAI]]*données_step[[#This Row],[E_PTOT]]/1000)</f>
        <v/>
      </c>
      <c r="J37" s="523" t="str">
        <f>IF(OR(données_step[[#This Row],[S_DBO5]]&lt;=0,données_step[[#This Row],[S_DBO5]]=""),"",données_step[[#This Row],[D_QTRAI]]*données_step[[#This Row],[S_DBO5]]/1000)</f>
        <v/>
      </c>
      <c r="K37" s="523" t="str">
        <f>IF(OR(données_step[[#This Row],[S_DCO]]&lt;=0,données_step[[#This Row],[S_DCO]]=""),"",données_step[[#This Row],[D_QTRAI]]*données_step[[#This Row],[S_DCO]]/1000)</f>
        <v/>
      </c>
      <c r="L37" s="523" t="str">
        <f>IF(OR(données_step[[#This Row],[S_COD]]&lt;=0,données_step[[#This Row],[S_COD]]=""),"",données_step[[#This Row],[D_QTRAI]]*données_step[[#This Row],[S_COD]]/1000)</f>
        <v/>
      </c>
      <c r="M37" s="523" t="str">
        <f>IF(OR(données_step[[#This Row],[S_NH4]]&lt;=0,données_step[[#This Row],[S_NH4]]=""),"",données_step[[#This Row],[D_QTRAI]]*données_step[[#This Row],[S_NH4]]/1000)</f>
        <v/>
      </c>
      <c r="N37" s="523" t="str">
        <f>IF(OR(données_step[[#This Row],[S_NO2]]&lt;=0,données_step[[#This Row],[S_NO2]]=""),"",données_step[[#This Row],[D_QTRAI]]*données_step[[#This Row],[S_NO2]]/1000)</f>
        <v/>
      </c>
      <c r="O37" s="523" t="str">
        <f>IF(OR(données_step[[#This Row],[S_NO3]]&lt;=0,données_step[[#This Row],[S_NO3]]=""),"",données_step[[#This Row],[D_QTRAI]]*données_step[[#This Row],[S_NO3]]/1000)</f>
        <v/>
      </c>
      <c r="P37" s="523" t="str">
        <f>IF(OR(données_step[[#This Row],[S_PTOT]]&lt;=0,données_step[[#This Row],[S_PTOT]]=""),"",données_step[[#This Row],[D_QTRAI]]*données_step[[#This Row],[S_PTOT]]/1000)</f>
        <v/>
      </c>
      <c r="Q37" s="523" t="str">
        <f>IF(OR(données_step[[#This Row],[S_MES]]&lt;=0,données_step[[#This Row],[S_MES]]=""),"",données_step[[#This Row],[D_QTRAI]]*données_step[[#This Row],[S_MES]]/1000)</f>
        <v/>
      </c>
      <c r="R37" s="523">
        <f>MAX(données_step[[#This Row],[D_QTRAI]],données_step[[#This Row],[D_QTRAI2]])</f>
        <v>0</v>
      </c>
      <c r="S37" s="523" t="str">
        <f>IF(AND($R37&gt;0,données_step[[#This Row],[E_DCO]]&gt;0),données_step[[#This Row],[E_DCO]],"")</f>
        <v/>
      </c>
      <c r="T37" s="523" t="str">
        <f>IF(S37="","",(1-données_step[[#This Row],[E_DCO]]/$V$7)*100)</f>
        <v/>
      </c>
      <c r="U37" s="523" t="str">
        <f t="shared" si="1"/>
        <v/>
      </c>
      <c r="V37" s="523" t="str">
        <f t="shared" si="2"/>
        <v/>
      </c>
      <c r="W37" s="523" t="str">
        <f t="shared" si="3"/>
        <v/>
      </c>
      <c r="X37" s="523" t="e">
        <f>IF(((100-100/$V$7*données_step[[#This Row],[E_DCO]])/100*QTS)&lt;0,NA(),IF(OR(U37&lt;0,U37=""),NA(),((100-100/$V$7*données_step[[#This Row],[E_DCO]])/100*QTS)))</f>
        <v>#NUM!</v>
      </c>
      <c r="Y37" s="523" t="str">
        <f>IF(AND($R37&gt;0,données_step[[#This Row],[E_COT]]&gt;0),données_step[[#This Row],[E_COT]],"")</f>
        <v/>
      </c>
      <c r="Z37" s="523" t="str">
        <f>IF(Y37="","",(1-données_step[[#This Row],[E_COT]]/$AB$7)*100)</f>
        <v/>
      </c>
      <c r="AA37" s="523" t="str">
        <f t="shared" si="4"/>
        <v/>
      </c>
      <c r="AB37" s="523" t="str">
        <f t="shared" si="5"/>
        <v/>
      </c>
      <c r="AC37" s="523" t="str">
        <f t="shared" si="6"/>
        <v/>
      </c>
      <c r="AD37" s="523" t="e">
        <f>IF(((100-100/$AB$7*données_step[[#This Row],[E_COT]])/100*QTS)&lt;0,NA(),IF(OR(AA37&lt;0,AA37=""),NA(),((100-100/$AB$7*données_step[[#This Row],[E_COT]])/100*QTS)))</f>
        <v>#NUM!</v>
      </c>
      <c r="AE37" s="523" t="str">
        <f>IF(AND($R37&gt;0,données_step[[#This Row],[E_NH4]]&gt;0),données_step[[#This Row],[E_NH4]],"")</f>
        <v/>
      </c>
      <c r="AF37" s="523" t="str">
        <f>IF(AE37="","",(1-données_step[[#This Row],[E_NH4]]/$AH$7)*100)</f>
        <v/>
      </c>
      <c r="AG37" s="523" t="str">
        <f t="shared" si="7"/>
        <v/>
      </c>
      <c r="AH37" s="523" t="str">
        <f t="shared" si="8"/>
        <v/>
      </c>
      <c r="AI37" s="523" t="str">
        <f t="shared" si="9"/>
        <v/>
      </c>
      <c r="AJ37" s="523" t="e">
        <f>IF(((100-100/$AH$7*données_step[[#This Row],[E_NH4]])/100*QTS)&lt;0,NA(),IF(OR(AG37&lt;0,AG37=""),NA(),((100-100/$AH$7*données_step[[#This Row],[E_NH4]])/100*QTS)))</f>
        <v>#NUM!</v>
      </c>
      <c r="AK37" s="523" t="str">
        <f>IF(AND($R37&gt;0,données_step[[#This Row],[E_PTOT]]&gt;0),données_step[[#This Row],[E_PTOT]],"")</f>
        <v/>
      </c>
      <c r="AL37" s="523" t="str">
        <f>IF(AK37="","",(1-données_step[[#This Row],[E_PTOT]]/$AN$7)*100)</f>
        <v/>
      </c>
      <c r="AM37" s="523" t="str">
        <f t="shared" si="10"/>
        <v/>
      </c>
      <c r="AN37" s="523" t="str">
        <f t="shared" si="11"/>
        <v/>
      </c>
      <c r="AO37" s="523" t="str">
        <f t="shared" si="12"/>
        <v/>
      </c>
      <c r="AP37" s="523" t="e">
        <f>IF(((100-100/$AN$7*données_step[[#This Row],[E_PTOT]])/100*QTS)&lt;0,NA(),IF(OR(AM37&lt;0,AM37=""),NA(),((100-100/$AN$7*données_step[[#This Row],[E_PTOT]])/100*QTS)))</f>
        <v>#NUM!</v>
      </c>
      <c r="AQ37" s="524" t="e">
        <f t="shared" si="13"/>
        <v>#NUM!</v>
      </c>
      <c r="AR37" s="524" t="str">
        <f t="shared" si="14"/>
        <v/>
      </c>
      <c r="AT37" s="517">
        <f t="shared" si="15"/>
        <v>0.26</v>
      </c>
      <c r="AU37" s="501">
        <f t="shared" si="16"/>
        <v>26</v>
      </c>
      <c r="AV37" s="525" t="e">
        <f>PERCENTILE(analyses!$F$11:$F$375,$AT37)</f>
        <v>#NUM!</v>
      </c>
      <c r="AW37" s="7" t="e">
        <f>PERCENTILE(analyses!$I$11:$I$375,$AT37)</f>
        <v>#NUM!</v>
      </c>
      <c r="AX37" s="7" t="e">
        <f>PERCENTILE(analyses!$J$11:$J$375,$AT37)</f>
        <v>#NUM!</v>
      </c>
      <c r="AY37" s="523" t="str">
        <f>_xlfn.IFNA(IF(données_step[[#This Row],[E_DCO]]&lt;=0,NA(),charge_entree[[#This Row],[ch_E_DCO]]/constanten!$B$8*1000),"")</f>
        <v/>
      </c>
      <c r="AZ37" s="523" t="str">
        <f>_xlfn.IFNA(IF(données_step[[#This Row],[E_NTOT]]&lt;=0,NA(),charge_entree[[#This Row],[ch_E_NTOT]]/constanten!$B$10*1000),"")</f>
        <v/>
      </c>
      <c r="BA37" s="523" t="str">
        <f>_xlfn.IFNA(IF(données_step[[#This Row],[E_NH4]]&lt;=0,NA(),charge_entree[[#This Row],[ch_E_NH4]]/constanten!$B$12*1000),"")</f>
        <v/>
      </c>
      <c r="BB37" s="523" t="str">
        <f>_xlfn.IFNA(IF(données_step[[#This Row],[E_COT]]&lt;=0,NA(),charge_entree[[#This Row],[ch_E_COT]]/constanten!$B$9*1000),"")</f>
        <v/>
      </c>
      <c r="BC37" s="523" t="str">
        <f>IFERROR(_xlfn.IFNA(IF(données_step[[#This Row],[E_PTOT]]&lt;=0,NA(),charge_entree[[#This Row],[ch_E_PTOT]]/constanten!$B$15*1000),""),"")</f>
        <v/>
      </c>
      <c r="BD37" s="535" t="e">
        <f>calculs!E37 * (1-0.4) / (données_step[[#This Row],[X_BA_VOL]]*données_step[[#This Row],[X_BACONC]])</f>
        <v>#VALUE!</v>
      </c>
      <c r="BE37" s="522" t="e">
        <f>(données_step[[#This Row],[X_BA_VOL]]*données_step[[#This Row],[X_BACONC]])/((données_step[[#This Row],[D_QTRAI2]]*données_step[[#This Row],[S_MES]]/1000)+(données_step[[#This Row],[X_BX_Q]]*données_step[[#This Row],[X_BXCONC]]))</f>
        <v>#VALUE!</v>
      </c>
      <c r="BF37" s="890" t="str">
        <f>IFERROR(données_step[[#This Row],[D_QTRAI]]/AY37*1000,"")</f>
        <v/>
      </c>
      <c r="BG37" s="535" t="str">
        <f>IFERROR(1-données_step[[#This Row],[S_DBO5]]/données_step[[#This Row],[E_DBO5]],"")</f>
        <v/>
      </c>
      <c r="BH37" s="536" t="str">
        <f>IFERROR(1-données_step[[#This Row],[S_DCO]]/données_step[[#This Row],[E_DCO]],"")</f>
        <v/>
      </c>
      <c r="BI37" s="535" t="str">
        <f>IFERROR(1-données_step[[#This Row],[S_COD]]/données_step[[#This Row],[E_COT]],"")</f>
        <v/>
      </c>
      <c r="BJ37" s="535" t="str">
        <f>IFERROR(1-données_step[[#This Row],[S_NH4]]/données_step[[#This Row],[E_NTOT]],"")</f>
        <v/>
      </c>
      <c r="BK37" s="535" t="str">
        <f>IFERROR(1-données_step[[#This Row],[S_PTOT]]/données_step[[#This Row],[E_PTOT]],"")</f>
        <v/>
      </c>
      <c r="BL37" s="521" t="str">
        <f>IFERROR(IF(données_step[[#This Row],[E_DCO]]/données_step[[#This Row],[E_DBO5]]=0,NA(),données_step[[#This Row],[E_DCO]]/données_step[[#This Row],[E_DBO5]]),"")</f>
        <v/>
      </c>
      <c r="BM37" s="521" t="str">
        <f>IFERROR(IF(données_step[[#This Row],[E_NH4]]/données_step[[#This Row],[E_NTOT]]=0,NA(),données_step[[#This Row],[E_NH4]]/données_step[[#This Row],[E_NTOT]]),"")</f>
        <v/>
      </c>
      <c r="BN37" s="521" t="str">
        <f>IFERROR(IF(données_step[[#This Row],[E_NTOT]]/données_step[[#This Row],[E_COT]]=0,NA(),données_step[[#This Row],[E_NTOT]]/données_step[[#This Row],[E_COT]]),"")</f>
        <v/>
      </c>
      <c r="BO37" s="521" t="str">
        <f>IFERROR(IF(données_step[[#This Row],[E_PTOT]]/données_step[[#This Row],[E_COT]]=0,NA(),données_step[[#This Row],[E_PTOT]]/données_step[[#This Row],[E_COT]]),"")</f>
        <v/>
      </c>
      <c r="BP37" s="521" t="e">
        <f>IF(données_step[[#This Row],[E_DCO]]/données_step[[#This Row],[E_COT]]=0,NA(),données_step[[#This Row],[E_DCO]]/données_step[[#This Row],[E_COT]])</f>
        <v>#DIV/0!</v>
      </c>
      <c r="BQ37" s="521" t="e">
        <f>IF(données_step[[#This Row],[E_NTOT]]/données_step[[#This Row],[E_DCO]]=0,NA(),données_step[[#This Row],[E_NTOT]]/données_step[[#This Row],[E_DCO]])</f>
        <v>#DIV/0!</v>
      </c>
      <c r="BR37" s="521" t="e">
        <f>IF(données_step[[#This Row],[E_PTOT]]/données_step[[#This Row],[E_DCO]]=0,NA(),données_step[[#This Row],[E_PTOT]]/données_step[[#This Row],[E_DCO]])</f>
        <v>#DIV/0!</v>
      </c>
      <c r="BS37" s="747" t="e">
        <f ca="1">test_NH4_temp(données_step[[#This Row],[S_NH4]],données_step[[#This Row],[Temp_eaux]])</f>
        <v>#NAME?</v>
      </c>
    </row>
    <row r="38" spans="1:71" x14ac:dyDescent="0.2">
      <c r="A38" s="222">
        <f>données_step[[#This Row],[Datum]]</f>
        <v>44589</v>
      </c>
      <c r="B38" s="223"/>
      <c r="C38" s="224">
        <f t="shared" si="0"/>
        <v>6</v>
      </c>
      <c r="D38" s="523" t="str">
        <f>IF(OR(données_step[[#This Row],[E_DBO5]]&lt;=0,données_step[[#This Row],[E_DBO5]]=""),"",données_step[[#This Row],[D_QTRAI]]*données_step[[#This Row],[E_DBO5]]/1000)</f>
        <v/>
      </c>
      <c r="E38" s="523" t="str">
        <f>IF(OR(données_step[[#This Row],[E_DCO]]&lt;=0,données_step[[#This Row],[E_DCO]]=""),"",données_step[[#This Row],[D_QTRAI]]*données_step[[#This Row],[E_DCO]]/1000)</f>
        <v/>
      </c>
      <c r="F38" s="523" t="str">
        <f>IF(OR(données_step[[#This Row],[E_COT]]&lt;=0,données_step[[#This Row],[E_COT]]=""),"",données_step[[#This Row],[D_QTRAI]]*données_step[[#This Row],[E_COT]]/1000)</f>
        <v/>
      </c>
      <c r="G38" s="523" t="str">
        <f>IF(OR(données_step[[#This Row],[E_NH4]]&lt;=0,données_step[[#This Row],[E_NH4]]=""),"",données_step[[#This Row],[D_QTRAI]]*données_step[[#This Row],[E_NH4]]/1000)</f>
        <v/>
      </c>
      <c r="H38" s="523" t="str">
        <f>IF(OR(données_step[[#This Row],[E_NTOT]]&lt;=0,données_step[[#This Row],[E_NTOT]]=""),"",données_step[[#This Row],[D_QTRAI]]*données_step[[#This Row],[E_NTOT]]/1000)</f>
        <v/>
      </c>
      <c r="I38" s="523" t="str">
        <f>IF(OR(données_step[[#This Row],[E_NTOT]]&lt;=0,données_step[[#This Row],[E_NTOT]]=""),"",données_step[[#This Row],[D_QTRAI]]*données_step[[#This Row],[E_PTOT]]/1000)</f>
        <v/>
      </c>
      <c r="J38" s="523" t="str">
        <f>IF(OR(données_step[[#This Row],[S_DBO5]]&lt;=0,données_step[[#This Row],[S_DBO5]]=""),"",données_step[[#This Row],[D_QTRAI]]*données_step[[#This Row],[S_DBO5]]/1000)</f>
        <v/>
      </c>
      <c r="K38" s="523" t="str">
        <f>IF(OR(données_step[[#This Row],[S_DCO]]&lt;=0,données_step[[#This Row],[S_DCO]]=""),"",données_step[[#This Row],[D_QTRAI]]*données_step[[#This Row],[S_DCO]]/1000)</f>
        <v/>
      </c>
      <c r="L38" s="523" t="str">
        <f>IF(OR(données_step[[#This Row],[S_COD]]&lt;=0,données_step[[#This Row],[S_COD]]=""),"",données_step[[#This Row],[D_QTRAI]]*données_step[[#This Row],[S_COD]]/1000)</f>
        <v/>
      </c>
      <c r="M38" s="523" t="str">
        <f>IF(OR(données_step[[#This Row],[S_NH4]]&lt;=0,données_step[[#This Row],[S_NH4]]=""),"",données_step[[#This Row],[D_QTRAI]]*données_step[[#This Row],[S_NH4]]/1000)</f>
        <v/>
      </c>
      <c r="N38" s="523" t="str">
        <f>IF(OR(données_step[[#This Row],[S_NO2]]&lt;=0,données_step[[#This Row],[S_NO2]]=""),"",données_step[[#This Row],[D_QTRAI]]*données_step[[#This Row],[S_NO2]]/1000)</f>
        <v/>
      </c>
      <c r="O38" s="523" t="str">
        <f>IF(OR(données_step[[#This Row],[S_NO3]]&lt;=0,données_step[[#This Row],[S_NO3]]=""),"",données_step[[#This Row],[D_QTRAI]]*données_step[[#This Row],[S_NO3]]/1000)</f>
        <v/>
      </c>
      <c r="P38" s="523" t="str">
        <f>IF(OR(données_step[[#This Row],[S_PTOT]]&lt;=0,données_step[[#This Row],[S_PTOT]]=""),"",données_step[[#This Row],[D_QTRAI]]*données_step[[#This Row],[S_PTOT]]/1000)</f>
        <v/>
      </c>
      <c r="Q38" s="523" t="str">
        <f>IF(OR(données_step[[#This Row],[S_MES]]&lt;=0,données_step[[#This Row],[S_MES]]=""),"",données_step[[#This Row],[D_QTRAI]]*données_step[[#This Row],[S_MES]]/1000)</f>
        <v/>
      </c>
      <c r="R38" s="523">
        <f>MAX(données_step[[#This Row],[D_QTRAI]],données_step[[#This Row],[D_QTRAI2]])</f>
        <v>0</v>
      </c>
      <c r="S38" s="523" t="str">
        <f>IF(AND($R38&gt;0,données_step[[#This Row],[E_DCO]]&gt;0),données_step[[#This Row],[E_DCO]],"")</f>
        <v/>
      </c>
      <c r="T38" s="523" t="str">
        <f>IF(S38="","",(1-données_step[[#This Row],[E_DCO]]/$V$7)*100)</f>
        <v/>
      </c>
      <c r="U38" s="523" t="str">
        <f t="shared" si="1"/>
        <v/>
      </c>
      <c r="V38" s="523" t="str">
        <f t="shared" si="2"/>
        <v/>
      </c>
      <c r="W38" s="523" t="str">
        <f t="shared" si="3"/>
        <v/>
      </c>
      <c r="X38" s="523" t="e">
        <f>IF(((100-100/$V$7*données_step[[#This Row],[E_DCO]])/100*QTS)&lt;0,NA(),IF(OR(U38&lt;0,U38=""),NA(),((100-100/$V$7*données_step[[#This Row],[E_DCO]])/100*QTS)))</f>
        <v>#NUM!</v>
      </c>
      <c r="Y38" s="523" t="str">
        <f>IF(AND($R38&gt;0,données_step[[#This Row],[E_COT]]&gt;0),données_step[[#This Row],[E_COT]],"")</f>
        <v/>
      </c>
      <c r="Z38" s="523" t="str">
        <f>IF(Y38="","",(1-données_step[[#This Row],[E_COT]]/$AB$7)*100)</f>
        <v/>
      </c>
      <c r="AA38" s="523" t="str">
        <f t="shared" si="4"/>
        <v/>
      </c>
      <c r="AB38" s="523" t="str">
        <f t="shared" si="5"/>
        <v/>
      </c>
      <c r="AC38" s="523" t="str">
        <f t="shared" si="6"/>
        <v/>
      </c>
      <c r="AD38" s="523" t="e">
        <f>IF(((100-100/$AB$7*données_step[[#This Row],[E_COT]])/100*QTS)&lt;0,NA(),IF(OR(AA38&lt;0,AA38=""),NA(),((100-100/$AB$7*données_step[[#This Row],[E_COT]])/100*QTS)))</f>
        <v>#NUM!</v>
      </c>
      <c r="AE38" s="523" t="str">
        <f>IF(AND($R38&gt;0,données_step[[#This Row],[E_NH4]]&gt;0),données_step[[#This Row],[E_NH4]],"")</f>
        <v/>
      </c>
      <c r="AF38" s="523" t="str">
        <f>IF(AE38="","",(1-données_step[[#This Row],[E_NH4]]/$AH$7)*100)</f>
        <v/>
      </c>
      <c r="AG38" s="523" t="str">
        <f t="shared" si="7"/>
        <v/>
      </c>
      <c r="AH38" s="523" t="str">
        <f t="shared" si="8"/>
        <v/>
      </c>
      <c r="AI38" s="523" t="str">
        <f t="shared" si="9"/>
        <v/>
      </c>
      <c r="AJ38" s="523" t="e">
        <f>IF(((100-100/$AH$7*données_step[[#This Row],[E_NH4]])/100*QTS)&lt;0,NA(),IF(OR(AG38&lt;0,AG38=""),NA(),((100-100/$AH$7*données_step[[#This Row],[E_NH4]])/100*QTS)))</f>
        <v>#NUM!</v>
      </c>
      <c r="AK38" s="523" t="str">
        <f>IF(AND($R38&gt;0,données_step[[#This Row],[E_PTOT]]&gt;0),données_step[[#This Row],[E_PTOT]],"")</f>
        <v/>
      </c>
      <c r="AL38" s="523" t="str">
        <f>IF(AK38="","",(1-données_step[[#This Row],[E_PTOT]]/$AN$7)*100)</f>
        <v/>
      </c>
      <c r="AM38" s="523" t="str">
        <f t="shared" si="10"/>
        <v/>
      </c>
      <c r="AN38" s="523" t="str">
        <f t="shared" si="11"/>
        <v/>
      </c>
      <c r="AO38" s="523" t="str">
        <f t="shared" si="12"/>
        <v/>
      </c>
      <c r="AP38" s="523" t="e">
        <f>IF(((100-100/$AN$7*données_step[[#This Row],[E_PTOT]])/100*QTS)&lt;0,NA(),IF(OR(AM38&lt;0,AM38=""),NA(),((100-100/$AN$7*données_step[[#This Row],[E_PTOT]])/100*QTS)))</f>
        <v>#NUM!</v>
      </c>
      <c r="AQ38" s="524" t="e">
        <f t="shared" si="13"/>
        <v>#NUM!</v>
      </c>
      <c r="AR38" s="524" t="str">
        <f t="shared" si="14"/>
        <v/>
      </c>
      <c r="AT38" s="517">
        <f t="shared" si="15"/>
        <v>0.27</v>
      </c>
      <c r="AU38" s="501">
        <f t="shared" si="16"/>
        <v>27</v>
      </c>
      <c r="AV38" s="525" t="e">
        <f>PERCENTILE(analyses!$F$11:$F$375,$AT38)</f>
        <v>#NUM!</v>
      </c>
      <c r="AW38" s="7" t="e">
        <f>PERCENTILE(analyses!$I$11:$I$375,$AT38)</f>
        <v>#NUM!</v>
      </c>
      <c r="AX38" s="7" t="e">
        <f>PERCENTILE(analyses!$J$11:$J$375,$AT38)</f>
        <v>#NUM!</v>
      </c>
      <c r="AY38" s="523" t="str">
        <f>_xlfn.IFNA(IF(données_step[[#This Row],[E_DCO]]&lt;=0,NA(),charge_entree[[#This Row],[ch_E_DCO]]/constanten!$B$8*1000),"")</f>
        <v/>
      </c>
      <c r="AZ38" s="523" t="str">
        <f>_xlfn.IFNA(IF(données_step[[#This Row],[E_NTOT]]&lt;=0,NA(),charge_entree[[#This Row],[ch_E_NTOT]]/constanten!$B$10*1000),"")</f>
        <v/>
      </c>
      <c r="BA38" s="523" t="str">
        <f>_xlfn.IFNA(IF(données_step[[#This Row],[E_NH4]]&lt;=0,NA(),charge_entree[[#This Row],[ch_E_NH4]]/constanten!$B$12*1000),"")</f>
        <v/>
      </c>
      <c r="BB38" s="523" t="str">
        <f>_xlfn.IFNA(IF(données_step[[#This Row],[E_COT]]&lt;=0,NA(),charge_entree[[#This Row],[ch_E_COT]]/constanten!$B$9*1000),"")</f>
        <v/>
      </c>
      <c r="BC38" s="523" t="str">
        <f>IFERROR(_xlfn.IFNA(IF(données_step[[#This Row],[E_PTOT]]&lt;=0,NA(),charge_entree[[#This Row],[ch_E_PTOT]]/constanten!$B$15*1000),""),"")</f>
        <v/>
      </c>
      <c r="BD38" s="535" t="e">
        <f>calculs!E38 * (1-0.4) / (données_step[[#This Row],[X_BA_VOL]]*données_step[[#This Row],[X_BACONC]])</f>
        <v>#VALUE!</v>
      </c>
      <c r="BE38" s="522" t="e">
        <f>(données_step[[#This Row],[X_BA_VOL]]*données_step[[#This Row],[X_BACONC]])/((données_step[[#This Row],[D_QTRAI2]]*données_step[[#This Row],[S_MES]]/1000)+(données_step[[#This Row],[X_BX_Q]]*données_step[[#This Row],[X_BXCONC]]))</f>
        <v>#VALUE!</v>
      </c>
      <c r="BF38" s="890" t="str">
        <f>IFERROR(données_step[[#This Row],[D_QTRAI]]/AY38*1000,"")</f>
        <v/>
      </c>
      <c r="BG38" s="535" t="str">
        <f>IFERROR(1-données_step[[#This Row],[S_DBO5]]/données_step[[#This Row],[E_DBO5]],"")</f>
        <v/>
      </c>
      <c r="BH38" s="536" t="str">
        <f>IFERROR(1-données_step[[#This Row],[S_DCO]]/données_step[[#This Row],[E_DCO]],"")</f>
        <v/>
      </c>
      <c r="BI38" s="535" t="str">
        <f>IFERROR(1-données_step[[#This Row],[S_COD]]/données_step[[#This Row],[E_COT]],"")</f>
        <v/>
      </c>
      <c r="BJ38" s="535" t="str">
        <f>IFERROR(1-données_step[[#This Row],[S_NH4]]/données_step[[#This Row],[E_NTOT]],"")</f>
        <v/>
      </c>
      <c r="BK38" s="535" t="str">
        <f>IFERROR(1-données_step[[#This Row],[S_PTOT]]/données_step[[#This Row],[E_PTOT]],"")</f>
        <v/>
      </c>
      <c r="BL38" s="521" t="str">
        <f>IFERROR(IF(données_step[[#This Row],[E_DCO]]/données_step[[#This Row],[E_DBO5]]=0,NA(),données_step[[#This Row],[E_DCO]]/données_step[[#This Row],[E_DBO5]]),"")</f>
        <v/>
      </c>
      <c r="BM38" s="521" t="str">
        <f>IFERROR(IF(données_step[[#This Row],[E_NH4]]/données_step[[#This Row],[E_NTOT]]=0,NA(),données_step[[#This Row],[E_NH4]]/données_step[[#This Row],[E_NTOT]]),"")</f>
        <v/>
      </c>
      <c r="BN38" s="521" t="str">
        <f>IFERROR(IF(données_step[[#This Row],[E_NTOT]]/données_step[[#This Row],[E_COT]]=0,NA(),données_step[[#This Row],[E_NTOT]]/données_step[[#This Row],[E_COT]]),"")</f>
        <v/>
      </c>
      <c r="BO38" s="521" t="str">
        <f>IFERROR(IF(données_step[[#This Row],[E_PTOT]]/données_step[[#This Row],[E_COT]]=0,NA(),données_step[[#This Row],[E_PTOT]]/données_step[[#This Row],[E_COT]]),"")</f>
        <v/>
      </c>
      <c r="BP38" s="521" t="e">
        <f>IF(données_step[[#This Row],[E_DCO]]/données_step[[#This Row],[E_COT]]=0,NA(),données_step[[#This Row],[E_DCO]]/données_step[[#This Row],[E_COT]])</f>
        <v>#DIV/0!</v>
      </c>
      <c r="BQ38" s="521" t="e">
        <f>IF(données_step[[#This Row],[E_NTOT]]/données_step[[#This Row],[E_DCO]]=0,NA(),données_step[[#This Row],[E_NTOT]]/données_step[[#This Row],[E_DCO]])</f>
        <v>#DIV/0!</v>
      </c>
      <c r="BR38" s="521" t="e">
        <f>IF(données_step[[#This Row],[E_PTOT]]/données_step[[#This Row],[E_DCO]]=0,NA(),données_step[[#This Row],[E_PTOT]]/données_step[[#This Row],[E_DCO]])</f>
        <v>#DIV/0!</v>
      </c>
      <c r="BS38" s="747" t="e">
        <f ca="1">test_NH4_temp(données_step[[#This Row],[S_NH4]],données_step[[#This Row],[Temp_eaux]])</f>
        <v>#NAME?</v>
      </c>
    </row>
    <row r="39" spans="1:71" ht="26.25" customHeight="1" x14ac:dyDescent="0.2">
      <c r="A39" s="222">
        <f>données_step[[#This Row],[Datum]]</f>
        <v>44590</v>
      </c>
      <c r="B39" s="223"/>
      <c r="C39" s="224">
        <f t="shared" si="0"/>
        <v>7</v>
      </c>
      <c r="D39" s="523" t="str">
        <f>IF(OR(données_step[[#This Row],[E_DBO5]]&lt;=0,données_step[[#This Row],[E_DBO5]]=""),"",données_step[[#This Row],[D_QTRAI]]*données_step[[#This Row],[E_DBO5]]/1000)</f>
        <v/>
      </c>
      <c r="E39" s="523" t="str">
        <f>IF(OR(données_step[[#This Row],[E_DCO]]&lt;=0,données_step[[#This Row],[E_DCO]]=""),"",données_step[[#This Row],[D_QTRAI]]*données_step[[#This Row],[E_DCO]]/1000)</f>
        <v/>
      </c>
      <c r="F39" s="523" t="str">
        <f>IF(OR(données_step[[#This Row],[E_COT]]&lt;=0,données_step[[#This Row],[E_COT]]=""),"",données_step[[#This Row],[D_QTRAI]]*données_step[[#This Row],[E_COT]]/1000)</f>
        <v/>
      </c>
      <c r="G39" s="523" t="str">
        <f>IF(OR(données_step[[#This Row],[E_NH4]]&lt;=0,données_step[[#This Row],[E_NH4]]=""),"",données_step[[#This Row],[D_QTRAI]]*données_step[[#This Row],[E_NH4]]/1000)</f>
        <v/>
      </c>
      <c r="H39" s="523" t="str">
        <f>IF(OR(données_step[[#This Row],[E_NTOT]]&lt;=0,données_step[[#This Row],[E_NTOT]]=""),"",données_step[[#This Row],[D_QTRAI]]*données_step[[#This Row],[E_NTOT]]/1000)</f>
        <v/>
      </c>
      <c r="I39" s="523" t="str">
        <f>IF(OR(données_step[[#This Row],[E_NTOT]]&lt;=0,données_step[[#This Row],[E_NTOT]]=""),"",données_step[[#This Row],[D_QTRAI]]*données_step[[#This Row],[E_PTOT]]/1000)</f>
        <v/>
      </c>
      <c r="J39" s="523" t="str">
        <f>IF(OR(données_step[[#This Row],[S_DBO5]]&lt;=0,données_step[[#This Row],[S_DBO5]]=""),"",données_step[[#This Row],[D_QTRAI]]*données_step[[#This Row],[S_DBO5]]/1000)</f>
        <v/>
      </c>
      <c r="K39" s="523" t="str">
        <f>IF(OR(données_step[[#This Row],[S_DCO]]&lt;=0,données_step[[#This Row],[S_DCO]]=""),"",données_step[[#This Row],[D_QTRAI]]*données_step[[#This Row],[S_DCO]]/1000)</f>
        <v/>
      </c>
      <c r="L39" s="523" t="str">
        <f>IF(OR(données_step[[#This Row],[S_COD]]&lt;=0,données_step[[#This Row],[S_COD]]=""),"",données_step[[#This Row],[D_QTRAI]]*données_step[[#This Row],[S_COD]]/1000)</f>
        <v/>
      </c>
      <c r="M39" s="523" t="str">
        <f>IF(OR(données_step[[#This Row],[S_NH4]]&lt;=0,données_step[[#This Row],[S_NH4]]=""),"",données_step[[#This Row],[D_QTRAI]]*données_step[[#This Row],[S_NH4]]/1000)</f>
        <v/>
      </c>
      <c r="N39" s="523" t="str">
        <f>IF(OR(données_step[[#This Row],[S_NO2]]&lt;=0,données_step[[#This Row],[S_NO2]]=""),"",données_step[[#This Row],[D_QTRAI]]*données_step[[#This Row],[S_NO2]]/1000)</f>
        <v/>
      </c>
      <c r="O39" s="523" t="str">
        <f>IF(OR(données_step[[#This Row],[S_NO3]]&lt;=0,données_step[[#This Row],[S_NO3]]=""),"",données_step[[#This Row],[D_QTRAI]]*données_step[[#This Row],[S_NO3]]/1000)</f>
        <v/>
      </c>
      <c r="P39" s="523" t="str">
        <f>IF(OR(données_step[[#This Row],[S_PTOT]]&lt;=0,données_step[[#This Row],[S_PTOT]]=""),"",données_step[[#This Row],[D_QTRAI]]*données_step[[#This Row],[S_PTOT]]/1000)</f>
        <v/>
      </c>
      <c r="Q39" s="523" t="str">
        <f>IF(OR(données_step[[#This Row],[S_MES]]&lt;=0,données_step[[#This Row],[S_MES]]=""),"",données_step[[#This Row],[D_QTRAI]]*données_step[[#This Row],[S_MES]]/1000)</f>
        <v/>
      </c>
      <c r="R39" s="523">
        <f>MAX(données_step[[#This Row],[D_QTRAI]],données_step[[#This Row],[D_QTRAI2]])</f>
        <v>0</v>
      </c>
      <c r="S39" s="523" t="str">
        <f>IF(AND($R39&gt;0,données_step[[#This Row],[E_DCO]]&gt;0),données_step[[#This Row],[E_DCO]],"")</f>
        <v/>
      </c>
      <c r="T39" s="523" t="str">
        <f>IF(S39="","",(1-données_step[[#This Row],[E_DCO]]/$V$7)*100)</f>
        <v/>
      </c>
      <c r="U39" s="523" t="str">
        <f t="shared" si="1"/>
        <v/>
      </c>
      <c r="V39" s="523" t="str">
        <f t="shared" si="2"/>
        <v/>
      </c>
      <c r="W39" s="523" t="str">
        <f t="shared" si="3"/>
        <v/>
      </c>
      <c r="X39" s="523" t="e">
        <f>IF(((100-100/$V$7*données_step[[#This Row],[E_DCO]])/100*QTS)&lt;0,NA(),IF(OR(U39&lt;0,U39=""),NA(),((100-100/$V$7*données_step[[#This Row],[E_DCO]])/100*QTS)))</f>
        <v>#NUM!</v>
      </c>
      <c r="Y39" s="523" t="str">
        <f>IF(AND($R39&gt;0,données_step[[#This Row],[E_COT]]&gt;0),données_step[[#This Row],[E_COT]],"")</f>
        <v/>
      </c>
      <c r="Z39" s="523" t="str">
        <f>IF(Y39="","",(1-données_step[[#This Row],[E_COT]]/$AB$7)*100)</f>
        <v/>
      </c>
      <c r="AA39" s="523" t="str">
        <f t="shared" si="4"/>
        <v/>
      </c>
      <c r="AB39" s="523" t="str">
        <f t="shared" si="5"/>
        <v/>
      </c>
      <c r="AC39" s="523" t="str">
        <f t="shared" si="6"/>
        <v/>
      </c>
      <c r="AD39" s="523" t="e">
        <f>IF(((100-100/$AB$7*données_step[[#This Row],[E_COT]])/100*QTS)&lt;0,NA(),IF(OR(AA39&lt;0,AA39=""),NA(),((100-100/$AB$7*données_step[[#This Row],[E_COT]])/100*QTS)))</f>
        <v>#NUM!</v>
      </c>
      <c r="AE39" s="523" t="str">
        <f>IF(AND($R39&gt;0,données_step[[#This Row],[E_NH4]]&gt;0),données_step[[#This Row],[E_NH4]],"")</f>
        <v/>
      </c>
      <c r="AF39" s="523" t="str">
        <f>IF(AE39="","",(1-données_step[[#This Row],[E_NH4]]/$AH$7)*100)</f>
        <v/>
      </c>
      <c r="AG39" s="523" t="str">
        <f t="shared" si="7"/>
        <v/>
      </c>
      <c r="AH39" s="523" t="str">
        <f t="shared" si="8"/>
        <v/>
      </c>
      <c r="AI39" s="523" t="str">
        <f t="shared" si="9"/>
        <v/>
      </c>
      <c r="AJ39" s="523" t="e">
        <f>IF(((100-100/$AH$7*données_step[[#This Row],[E_NH4]])/100*QTS)&lt;0,NA(),IF(OR(AG39&lt;0,AG39=""),NA(),((100-100/$AH$7*données_step[[#This Row],[E_NH4]])/100*QTS)))</f>
        <v>#NUM!</v>
      </c>
      <c r="AK39" s="523" t="str">
        <f>IF(AND($R39&gt;0,données_step[[#This Row],[E_PTOT]]&gt;0),données_step[[#This Row],[E_PTOT]],"")</f>
        <v/>
      </c>
      <c r="AL39" s="523" t="str">
        <f>IF(AK39="","",(1-données_step[[#This Row],[E_PTOT]]/$AN$7)*100)</f>
        <v/>
      </c>
      <c r="AM39" s="523" t="str">
        <f t="shared" si="10"/>
        <v/>
      </c>
      <c r="AN39" s="523" t="str">
        <f t="shared" si="11"/>
        <v/>
      </c>
      <c r="AO39" s="523" t="str">
        <f t="shared" si="12"/>
        <v/>
      </c>
      <c r="AP39" s="523" t="e">
        <f>IF(((100-100/$AN$7*données_step[[#This Row],[E_PTOT]])/100*QTS)&lt;0,NA(),IF(OR(AM39&lt;0,AM39=""),NA(),((100-100/$AN$7*données_step[[#This Row],[E_PTOT]])/100*QTS)))</f>
        <v>#NUM!</v>
      </c>
      <c r="AQ39" s="524" t="e">
        <f t="shared" si="13"/>
        <v>#NUM!</v>
      </c>
      <c r="AR39" s="524" t="str">
        <f t="shared" si="14"/>
        <v/>
      </c>
      <c r="AT39" s="517">
        <f t="shared" si="15"/>
        <v>0.28000000000000003</v>
      </c>
      <c r="AU39" s="501">
        <f t="shared" si="16"/>
        <v>28</v>
      </c>
      <c r="AV39" s="525" t="e">
        <f>PERCENTILE(analyses!$F$11:$F$375,$AT39)</f>
        <v>#NUM!</v>
      </c>
      <c r="AW39" s="7" t="e">
        <f>PERCENTILE(analyses!$I$11:$I$375,$AT39)</f>
        <v>#NUM!</v>
      </c>
      <c r="AX39" s="7" t="e">
        <f>PERCENTILE(analyses!$J$11:$J$375,$AT39)</f>
        <v>#NUM!</v>
      </c>
      <c r="AY39" s="523" t="str">
        <f>_xlfn.IFNA(IF(données_step[[#This Row],[E_DCO]]&lt;=0,NA(),charge_entree[[#This Row],[ch_E_DCO]]/constanten!$B$8*1000),"")</f>
        <v/>
      </c>
      <c r="AZ39" s="523" t="str">
        <f>_xlfn.IFNA(IF(données_step[[#This Row],[E_NTOT]]&lt;=0,NA(),charge_entree[[#This Row],[ch_E_NTOT]]/constanten!$B$10*1000),"")</f>
        <v/>
      </c>
      <c r="BA39" s="523" t="str">
        <f>_xlfn.IFNA(IF(données_step[[#This Row],[E_NH4]]&lt;=0,NA(),charge_entree[[#This Row],[ch_E_NH4]]/constanten!$B$12*1000),"")</f>
        <v/>
      </c>
      <c r="BB39" s="523" t="str">
        <f>_xlfn.IFNA(IF(données_step[[#This Row],[E_COT]]&lt;=0,NA(),charge_entree[[#This Row],[ch_E_COT]]/constanten!$B$9*1000),"")</f>
        <v/>
      </c>
      <c r="BC39" s="523" t="str">
        <f>IFERROR(_xlfn.IFNA(IF(données_step[[#This Row],[E_PTOT]]&lt;=0,NA(),charge_entree[[#This Row],[ch_E_PTOT]]/constanten!$B$15*1000),""),"")</f>
        <v/>
      </c>
      <c r="BD39" s="535" t="e">
        <f>calculs!E39 * (1-0.4) / (données_step[[#This Row],[X_BA_VOL]]*données_step[[#This Row],[X_BACONC]])</f>
        <v>#VALUE!</v>
      </c>
      <c r="BE39" s="522" t="e">
        <f>(données_step[[#This Row],[X_BA_VOL]]*données_step[[#This Row],[X_BACONC]])/((données_step[[#This Row],[D_QTRAI2]]*données_step[[#This Row],[S_MES]]/1000)+(données_step[[#This Row],[X_BX_Q]]*données_step[[#This Row],[X_BXCONC]]))</f>
        <v>#VALUE!</v>
      </c>
      <c r="BF39" s="890" t="str">
        <f>IFERROR(données_step[[#This Row],[D_QTRAI]]/AY39*1000,"")</f>
        <v/>
      </c>
      <c r="BG39" s="535" t="str">
        <f>IFERROR(1-données_step[[#This Row],[S_DBO5]]/données_step[[#This Row],[E_DBO5]],"")</f>
        <v/>
      </c>
      <c r="BH39" s="536" t="str">
        <f>IFERROR(1-données_step[[#This Row],[S_DCO]]/données_step[[#This Row],[E_DCO]],"")</f>
        <v/>
      </c>
      <c r="BI39" s="535" t="str">
        <f>IFERROR(1-données_step[[#This Row],[S_COD]]/données_step[[#This Row],[E_COT]],"")</f>
        <v/>
      </c>
      <c r="BJ39" s="535" t="str">
        <f>IFERROR(1-données_step[[#This Row],[S_NH4]]/données_step[[#This Row],[E_NTOT]],"")</f>
        <v/>
      </c>
      <c r="BK39" s="535" t="str">
        <f>IFERROR(1-données_step[[#This Row],[S_PTOT]]/données_step[[#This Row],[E_PTOT]],"")</f>
        <v/>
      </c>
      <c r="BL39" s="521" t="str">
        <f>IFERROR(IF(données_step[[#This Row],[E_DCO]]/données_step[[#This Row],[E_DBO5]]=0,NA(),données_step[[#This Row],[E_DCO]]/données_step[[#This Row],[E_DBO5]]),"")</f>
        <v/>
      </c>
      <c r="BM39" s="521" t="str">
        <f>IFERROR(IF(données_step[[#This Row],[E_NH4]]/données_step[[#This Row],[E_NTOT]]=0,NA(),données_step[[#This Row],[E_NH4]]/données_step[[#This Row],[E_NTOT]]),"")</f>
        <v/>
      </c>
      <c r="BN39" s="521" t="str">
        <f>IFERROR(IF(données_step[[#This Row],[E_NTOT]]/données_step[[#This Row],[E_COT]]=0,NA(),données_step[[#This Row],[E_NTOT]]/données_step[[#This Row],[E_COT]]),"")</f>
        <v/>
      </c>
      <c r="BO39" s="521" t="str">
        <f>IFERROR(IF(données_step[[#This Row],[E_PTOT]]/données_step[[#This Row],[E_COT]]=0,NA(),données_step[[#This Row],[E_PTOT]]/données_step[[#This Row],[E_COT]]),"")</f>
        <v/>
      </c>
      <c r="BP39" s="521" t="e">
        <f>IF(données_step[[#This Row],[E_DCO]]/données_step[[#This Row],[E_COT]]=0,NA(),données_step[[#This Row],[E_DCO]]/données_step[[#This Row],[E_COT]])</f>
        <v>#DIV/0!</v>
      </c>
      <c r="BQ39" s="521" t="e">
        <f>IF(données_step[[#This Row],[E_NTOT]]/données_step[[#This Row],[E_DCO]]=0,NA(),données_step[[#This Row],[E_NTOT]]/données_step[[#This Row],[E_DCO]])</f>
        <v>#DIV/0!</v>
      </c>
      <c r="BR39" s="521" t="e">
        <f>IF(données_step[[#This Row],[E_PTOT]]/données_step[[#This Row],[E_DCO]]=0,NA(),données_step[[#This Row],[E_PTOT]]/données_step[[#This Row],[E_DCO]])</f>
        <v>#DIV/0!</v>
      </c>
      <c r="BS39" s="747" t="e">
        <f ca="1">test_NH4_temp(données_step[[#This Row],[S_NH4]],données_step[[#This Row],[Temp_eaux]])</f>
        <v>#NAME?</v>
      </c>
    </row>
    <row r="40" spans="1:71" x14ac:dyDescent="0.2">
      <c r="A40" s="222">
        <f>données_step[[#This Row],[Datum]]</f>
        <v>44591</v>
      </c>
      <c r="B40" s="223"/>
      <c r="C40" s="224">
        <f t="shared" si="0"/>
        <v>1</v>
      </c>
      <c r="D40" s="523" t="str">
        <f>IF(OR(données_step[[#This Row],[E_DBO5]]&lt;=0,données_step[[#This Row],[E_DBO5]]=""),"",données_step[[#This Row],[D_QTRAI]]*données_step[[#This Row],[E_DBO5]]/1000)</f>
        <v/>
      </c>
      <c r="E40" s="523" t="str">
        <f>IF(OR(données_step[[#This Row],[E_DCO]]&lt;=0,données_step[[#This Row],[E_DCO]]=""),"",données_step[[#This Row],[D_QTRAI]]*données_step[[#This Row],[E_DCO]]/1000)</f>
        <v/>
      </c>
      <c r="F40" s="523" t="str">
        <f>IF(OR(données_step[[#This Row],[E_COT]]&lt;=0,données_step[[#This Row],[E_COT]]=""),"",données_step[[#This Row],[D_QTRAI]]*données_step[[#This Row],[E_COT]]/1000)</f>
        <v/>
      </c>
      <c r="G40" s="523" t="str">
        <f>IF(OR(données_step[[#This Row],[E_NH4]]&lt;=0,données_step[[#This Row],[E_NH4]]=""),"",données_step[[#This Row],[D_QTRAI]]*données_step[[#This Row],[E_NH4]]/1000)</f>
        <v/>
      </c>
      <c r="H40" s="523" t="str">
        <f>IF(OR(données_step[[#This Row],[E_NTOT]]&lt;=0,données_step[[#This Row],[E_NTOT]]=""),"",données_step[[#This Row],[D_QTRAI]]*données_step[[#This Row],[E_NTOT]]/1000)</f>
        <v/>
      </c>
      <c r="I40" s="523" t="str">
        <f>IF(OR(données_step[[#This Row],[E_NTOT]]&lt;=0,données_step[[#This Row],[E_NTOT]]=""),"",données_step[[#This Row],[D_QTRAI]]*données_step[[#This Row],[E_PTOT]]/1000)</f>
        <v/>
      </c>
      <c r="J40" s="523" t="str">
        <f>IF(OR(données_step[[#This Row],[S_DBO5]]&lt;=0,données_step[[#This Row],[S_DBO5]]=""),"",données_step[[#This Row],[D_QTRAI]]*données_step[[#This Row],[S_DBO5]]/1000)</f>
        <v/>
      </c>
      <c r="K40" s="523" t="str">
        <f>IF(OR(données_step[[#This Row],[S_DCO]]&lt;=0,données_step[[#This Row],[S_DCO]]=""),"",données_step[[#This Row],[D_QTRAI]]*données_step[[#This Row],[S_DCO]]/1000)</f>
        <v/>
      </c>
      <c r="L40" s="523" t="str">
        <f>IF(OR(données_step[[#This Row],[S_COD]]&lt;=0,données_step[[#This Row],[S_COD]]=""),"",données_step[[#This Row],[D_QTRAI]]*données_step[[#This Row],[S_COD]]/1000)</f>
        <v/>
      </c>
      <c r="M40" s="523" t="str">
        <f>IF(OR(données_step[[#This Row],[S_NH4]]&lt;=0,données_step[[#This Row],[S_NH4]]=""),"",données_step[[#This Row],[D_QTRAI]]*données_step[[#This Row],[S_NH4]]/1000)</f>
        <v/>
      </c>
      <c r="N40" s="523" t="str">
        <f>IF(OR(données_step[[#This Row],[S_NO2]]&lt;=0,données_step[[#This Row],[S_NO2]]=""),"",données_step[[#This Row],[D_QTRAI]]*données_step[[#This Row],[S_NO2]]/1000)</f>
        <v/>
      </c>
      <c r="O40" s="523" t="str">
        <f>IF(OR(données_step[[#This Row],[S_NO3]]&lt;=0,données_step[[#This Row],[S_NO3]]=""),"",données_step[[#This Row],[D_QTRAI]]*données_step[[#This Row],[S_NO3]]/1000)</f>
        <v/>
      </c>
      <c r="P40" s="523" t="str">
        <f>IF(OR(données_step[[#This Row],[S_PTOT]]&lt;=0,données_step[[#This Row],[S_PTOT]]=""),"",données_step[[#This Row],[D_QTRAI]]*données_step[[#This Row],[S_PTOT]]/1000)</f>
        <v/>
      </c>
      <c r="Q40" s="523" t="str">
        <f>IF(OR(données_step[[#This Row],[S_MES]]&lt;=0,données_step[[#This Row],[S_MES]]=""),"",données_step[[#This Row],[D_QTRAI]]*données_step[[#This Row],[S_MES]]/1000)</f>
        <v/>
      </c>
      <c r="R40" s="523">
        <f>MAX(données_step[[#This Row],[D_QTRAI]],données_step[[#This Row],[D_QTRAI2]])</f>
        <v>0</v>
      </c>
      <c r="S40" s="523" t="str">
        <f>IF(AND($R40&gt;0,données_step[[#This Row],[E_DCO]]&gt;0),données_step[[#This Row],[E_DCO]],"")</f>
        <v/>
      </c>
      <c r="T40" s="523" t="str">
        <f>IF(S40="","",(1-données_step[[#This Row],[E_DCO]]/$V$7)*100)</f>
        <v/>
      </c>
      <c r="U40" s="523" t="str">
        <f t="shared" si="1"/>
        <v/>
      </c>
      <c r="V40" s="523" t="str">
        <f t="shared" si="2"/>
        <v/>
      </c>
      <c r="W40" s="523" t="str">
        <f t="shared" si="3"/>
        <v/>
      </c>
      <c r="X40" s="523" t="e">
        <f>IF(((100-100/$V$7*données_step[[#This Row],[E_DCO]])/100*QTS)&lt;0,NA(),IF(OR(U40&lt;0,U40=""),NA(),((100-100/$V$7*données_step[[#This Row],[E_DCO]])/100*QTS)))</f>
        <v>#NUM!</v>
      </c>
      <c r="Y40" s="523" t="str">
        <f>IF(AND($R40&gt;0,données_step[[#This Row],[E_COT]]&gt;0),données_step[[#This Row],[E_COT]],"")</f>
        <v/>
      </c>
      <c r="Z40" s="523" t="str">
        <f>IF(Y40="","",(1-données_step[[#This Row],[E_COT]]/$AB$7)*100)</f>
        <v/>
      </c>
      <c r="AA40" s="523" t="str">
        <f t="shared" si="4"/>
        <v/>
      </c>
      <c r="AB40" s="523" t="str">
        <f t="shared" si="5"/>
        <v/>
      </c>
      <c r="AC40" s="523" t="str">
        <f t="shared" si="6"/>
        <v/>
      </c>
      <c r="AD40" s="523" t="e">
        <f>IF(((100-100/$AB$7*données_step[[#This Row],[E_COT]])/100*QTS)&lt;0,NA(),IF(OR(AA40&lt;0,AA40=""),NA(),((100-100/$AB$7*données_step[[#This Row],[E_COT]])/100*QTS)))</f>
        <v>#NUM!</v>
      </c>
      <c r="AE40" s="523" t="str">
        <f>IF(AND($R40&gt;0,données_step[[#This Row],[E_NH4]]&gt;0),données_step[[#This Row],[E_NH4]],"")</f>
        <v/>
      </c>
      <c r="AF40" s="523" t="str">
        <f>IF(AE40="","",(1-données_step[[#This Row],[E_NH4]]/$AH$7)*100)</f>
        <v/>
      </c>
      <c r="AG40" s="523" t="str">
        <f t="shared" si="7"/>
        <v/>
      </c>
      <c r="AH40" s="523" t="str">
        <f t="shared" si="8"/>
        <v/>
      </c>
      <c r="AI40" s="523" t="str">
        <f t="shared" si="9"/>
        <v/>
      </c>
      <c r="AJ40" s="523" t="e">
        <f>IF(((100-100/$AH$7*données_step[[#This Row],[E_NH4]])/100*QTS)&lt;0,NA(),IF(OR(AG40&lt;0,AG40=""),NA(),((100-100/$AH$7*données_step[[#This Row],[E_NH4]])/100*QTS)))</f>
        <v>#NUM!</v>
      </c>
      <c r="AK40" s="523" t="str">
        <f>IF(AND($R40&gt;0,données_step[[#This Row],[E_PTOT]]&gt;0),données_step[[#This Row],[E_PTOT]],"")</f>
        <v/>
      </c>
      <c r="AL40" s="523" t="str">
        <f>IF(AK40="","",(1-données_step[[#This Row],[E_PTOT]]/$AN$7)*100)</f>
        <v/>
      </c>
      <c r="AM40" s="523" t="str">
        <f t="shared" si="10"/>
        <v/>
      </c>
      <c r="AN40" s="523" t="str">
        <f t="shared" si="11"/>
        <v/>
      </c>
      <c r="AO40" s="523" t="str">
        <f t="shared" si="12"/>
        <v/>
      </c>
      <c r="AP40" s="523" t="e">
        <f>IF(((100-100/$AN$7*données_step[[#This Row],[E_PTOT]])/100*QTS)&lt;0,NA(),IF(OR(AM40&lt;0,AM40=""),NA(),((100-100/$AN$7*données_step[[#This Row],[E_PTOT]])/100*QTS)))</f>
        <v>#NUM!</v>
      </c>
      <c r="AQ40" s="524" t="e">
        <f t="shared" si="13"/>
        <v>#NUM!</v>
      </c>
      <c r="AR40" s="524" t="str">
        <f t="shared" si="14"/>
        <v/>
      </c>
      <c r="AT40" s="517">
        <f t="shared" si="15"/>
        <v>0.28999999999999998</v>
      </c>
      <c r="AU40" s="501">
        <f t="shared" si="16"/>
        <v>29</v>
      </c>
      <c r="AV40" s="525" t="e">
        <f>PERCENTILE(analyses!$F$11:$F$375,$AT40)</f>
        <v>#NUM!</v>
      </c>
      <c r="AW40" s="7" t="e">
        <f>PERCENTILE(analyses!$I$11:$I$375,$AT40)</f>
        <v>#NUM!</v>
      </c>
      <c r="AX40" s="7" t="e">
        <f>PERCENTILE(analyses!$J$11:$J$375,$AT40)</f>
        <v>#NUM!</v>
      </c>
      <c r="AY40" s="523" t="str">
        <f>_xlfn.IFNA(IF(données_step[[#This Row],[E_DCO]]&lt;=0,NA(),charge_entree[[#This Row],[ch_E_DCO]]/constanten!$B$8*1000),"")</f>
        <v/>
      </c>
      <c r="AZ40" s="523" t="str">
        <f>_xlfn.IFNA(IF(données_step[[#This Row],[E_NTOT]]&lt;=0,NA(),charge_entree[[#This Row],[ch_E_NTOT]]/constanten!$B$10*1000),"")</f>
        <v/>
      </c>
      <c r="BA40" s="523" t="str">
        <f>_xlfn.IFNA(IF(données_step[[#This Row],[E_NH4]]&lt;=0,NA(),charge_entree[[#This Row],[ch_E_NH4]]/constanten!$B$12*1000),"")</f>
        <v/>
      </c>
      <c r="BB40" s="523" t="str">
        <f>_xlfn.IFNA(IF(données_step[[#This Row],[E_COT]]&lt;=0,NA(),charge_entree[[#This Row],[ch_E_COT]]/constanten!$B$9*1000),"")</f>
        <v/>
      </c>
      <c r="BC40" s="523" t="str">
        <f>IFERROR(_xlfn.IFNA(IF(données_step[[#This Row],[E_PTOT]]&lt;=0,NA(),charge_entree[[#This Row],[ch_E_PTOT]]/constanten!$B$15*1000),""),"")</f>
        <v/>
      </c>
      <c r="BD40" s="535" t="e">
        <f>calculs!E40 * (1-0.4) / (données_step[[#This Row],[X_BA_VOL]]*données_step[[#This Row],[X_BACONC]])</f>
        <v>#VALUE!</v>
      </c>
      <c r="BE40" s="522" t="e">
        <f>(données_step[[#This Row],[X_BA_VOL]]*données_step[[#This Row],[X_BACONC]])/((données_step[[#This Row],[D_QTRAI2]]*données_step[[#This Row],[S_MES]]/1000)+(données_step[[#This Row],[X_BX_Q]]*données_step[[#This Row],[X_BXCONC]]))</f>
        <v>#VALUE!</v>
      </c>
      <c r="BF40" s="890" t="str">
        <f>IFERROR(données_step[[#This Row],[D_QTRAI]]/AY40*1000,"")</f>
        <v/>
      </c>
      <c r="BG40" s="535" t="str">
        <f>IFERROR(1-données_step[[#This Row],[S_DBO5]]/données_step[[#This Row],[E_DBO5]],"")</f>
        <v/>
      </c>
      <c r="BH40" s="536" t="str">
        <f>IFERROR(1-données_step[[#This Row],[S_DCO]]/données_step[[#This Row],[E_DCO]],"")</f>
        <v/>
      </c>
      <c r="BI40" s="535" t="str">
        <f>IFERROR(1-données_step[[#This Row],[S_COD]]/données_step[[#This Row],[E_COT]],"")</f>
        <v/>
      </c>
      <c r="BJ40" s="535" t="str">
        <f>IFERROR(1-données_step[[#This Row],[S_NH4]]/données_step[[#This Row],[E_NTOT]],"")</f>
        <v/>
      </c>
      <c r="BK40" s="535" t="str">
        <f>IFERROR(1-données_step[[#This Row],[S_PTOT]]/données_step[[#This Row],[E_PTOT]],"")</f>
        <v/>
      </c>
      <c r="BL40" s="521" t="str">
        <f>IFERROR(IF(données_step[[#This Row],[E_DCO]]/données_step[[#This Row],[E_DBO5]]=0,NA(),données_step[[#This Row],[E_DCO]]/données_step[[#This Row],[E_DBO5]]),"")</f>
        <v/>
      </c>
      <c r="BM40" s="521" t="str">
        <f>IFERROR(IF(données_step[[#This Row],[E_NH4]]/données_step[[#This Row],[E_NTOT]]=0,NA(),données_step[[#This Row],[E_NH4]]/données_step[[#This Row],[E_NTOT]]),"")</f>
        <v/>
      </c>
      <c r="BN40" s="521" t="str">
        <f>IFERROR(IF(données_step[[#This Row],[E_NTOT]]/données_step[[#This Row],[E_COT]]=0,NA(),données_step[[#This Row],[E_NTOT]]/données_step[[#This Row],[E_COT]]),"")</f>
        <v/>
      </c>
      <c r="BO40" s="521" t="str">
        <f>IFERROR(IF(données_step[[#This Row],[E_PTOT]]/données_step[[#This Row],[E_COT]]=0,NA(),données_step[[#This Row],[E_PTOT]]/données_step[[#This Row],[E_COT]]),"")</f>
        <v/>
      </c>
      <c r="BP40" s="521" t="e">
        <f>IF(données_step[[#This Row],[E_DCO]]/données_step[[#This Row],[E_COT]]=0,NA(),données_step[[#This Row],[E_DCO]]/données_step[[#This Row],[E_COT]])</f>
        <v>#DIV/0!</v>
      </c>
      <c r="BQ40" s="521" t="e">
        <f>IF(données_step[[#This Row],[E_NTOT]]/données_step[[#This Row],[E_DCO]]=0,NA(),données_step[[#This Row],[E_NTOT]]/données_step[[#This Row],[E_DCO]])</f>
        <v>#DIV/0!</v>
      </c>
      <c r="BR40" s="521" t="e">
        <f>IF(données_step[[#This Row],[E_PTOT]]/données_step[[#This Row],[E_DCO]]=0,NA(),données_step[[#This Row],[E_PTOT]]/données_step[[#This Row],[E_DCO]])</f>
        <v>#DIV/0!</v>
      </c>
      <c r="BS40" s="747" t="e">
        <f ca="1">test_NH4_temp(données_step[[#This Row],[S_NH4]],données_step[[#This Row],[Temp_eaux]])</f>
        <v>#NAME?</v>
      </c>
    </row>
    <row r="41" spans="1:71" x14ac:dyDescent="0.2">
      <c r="A41" s="222">
        <f>données_step[[#This Row],[Datum]]</f>
        <v>44592</v>
      </c>
      <c r="B41" s="223"/>
      <c r="C41" s="224">
        <f t="shared" si="0"/>
        <v>2</v>
      </c>
      <c r="D41" s="523" t="str">
        <f>IF(OR(données_step[[#This Row],[E_DBO5]]&lt;=0,données_step[[#This Row],[E_DBO5]]=""),"",données_step[[#This Row],[D_QTRAI]]*données_step[[#This Row],[E_DBO5]]/1000)</f>
        <v/>
      </c>
      <c r="E41" s="523" t="str">
        <f>IF(OR(données_step[[#This Row],[E_DCO]]&lt;=0,données_step[[#This Row],[E_DCO]]=""),"",données_step[[#This Row],[D_QTRAI]]*données_step[[#This Row],[E_DCO]]/1000)</f>
        <v/>
      </c>
      <c r="F41" s="523" t="str">
        <f>IF(OR(données_step[[#This Row],[E_COT]]&lt;=0,données_step[[#This Row],[E_COT]]=""),"",données_step[[#This Row],[D_QTRAI]]*données_step[[#This Row],[E_COT]]/1000)</f>
        <v/>
      </c>
      <c r="G41" s="523" t="str">
        <f>IF(OR(données_step[[#This Row],[E_NH4]]&lt;=0,données_step[[#This Row],[E_NH4]]=""),"",données_step[[#This Row],[D_QTRAI]]*données_step[[#This Row],[E_NH4]]/1000)</f>
        <v/>
      </c>
      <c r="H41" s="523" t="str">
        <f>IF(OR(données_step[[#This Row],[E_NTOT]]&lt;=0,données_step[[#This Row],[E_NTOT]]=""),"",données_step[[#This Row],[D_QTRAI]]*données_step[[#This Row],[E_NTOT]]/1000)</f>
        <v/>
      </c>
      <c r="I41" s="523" t="str">
        <f>IF(OR(données_step[[#This Row],[E_NTOT]]&lt;=0,données_step[[#This Row],[E_NTOT]]=""),"",données_step[[#This Row],[D_QTRAI]]*données_step[[#This Row],[E_PTOT]]/1000)</f>
        <v/>
      </c>
      <c r="J41" s="523" t="str">
        <f>IF(OR(données_step[[#This Row],[S_DBO5]]&lt;=0,données_step[[#This Row],[S_DBO5]]=""),"",données_step[[#This Row],[D_QTRAI]]*données_step[[#This Row],[S_DBO5]]/1000)</f>
        <v/>
      </c>
      <c r="K41" s="523" t="str">
        <f>IF(OR(données_step[[#This Row],[S_DCO]]&lt;=0,données_step[[#This Row],[S_DCO]]=""),"",données_step[[#This Row],[D_QTRAI]]*données_step[[#This Row],[S_DCO]]/1000)</f>
        <v/>
      </c>
      <c r="L41" s="523" t="str">
        <f>IF(OR(données_step[[#This Row],[S_COD]]&lt;=0,données_step[[#This Row],[S_COD]]=""),"",données_step[[#This Row],[D_QTRAI]]*données_step[[#This Row],[S_COD]]/1000)</f>
        <v/>
      </c>
      <c r="M41" s="523" t="str">
        <f>IF(OR(données_step[[#This Row],[S_NH4]]&lt;=0,données_step[[#This Row],[S_NH4]]=""),"",données_step[[#This Row],[D_QTRAI]]*données_step[[#This Row],[S_NH4]]/1000)</f>
        <v/>
      </c>
      <c r="N41" s="523" t="str">
        <f>IF(OR(données_step[[#This Row],[S_NO2]]&lt;=0,données_step[[#This Row],[S_NO2]]=""),"",données_step[[#This Row],[D_QTRAI]]*données_step[[#This Row],[S_NO2]]/1000)</f>
        <v/>
      </c>
      <c r="O41" s="523" t="str">
        <f>IF(OR(données_step[[#This Row],[S_NO3]]&lt;=0,données_step[[#This Row],[S_NO3]]=""),"",données_step[[#This Row],[D_QTRAI]]*données_step[[#This Row],[S_NO3]]/1000)</f>
        <v/>
      </c>
      <c r="P41" s="523" t="str">
        <f>IF(OR(données_step[[#This Row],[S_PTOT]]&lt;=0,données_step[[#This Row],[S_PTOT]]=""),"",données_step[[#This Row],[D_QTRAI]]*données_step[[#This Row],[S_PTOT]]/1000)</f>
        <v/>
      </c>
      <c r="Q41" s="523" t="str">
        <f>IF(OR(données_step[[#This Row],[S_MES]]&lt;=0,données_step[[#This Row],[S_MES]]=""),"",données_step[[#This Row],[D_QTRAI]]*données_step[[#This Row],[S_MES]]/1000)</f>
        <v/>
      </c>
      <c r="R41" s="523">
        <f>MAX(données_step[[#This Row],[D_QTRAI]],données_step[[#This Row],[D_QTRAI2]])</f>
        <v>0</v>
      </c>
      <c r="S41" s="523" t="str">
        <f>IF(AND($R41&gt;0,données_step[[#This Row],[E_DCO]]&gt;0),données_step[[#This Row],[E_DCO]],"")</f>
        <v/>
      </c>
      <c r="T41" s="523" t="str">
        <f>IF(S41="","",(1-données_step[[#This Row],[E_DCO]]/$V$7)*100)</f>
        <v/>
      </c>
      <c r="U41" s="523" t="str">
        <f t="shared" si="1"/>
        <v/>
      </c>
      <c r="V41" s="523" t="str">
        <f t="shared" si="2"/>
        <v/>
      </c>
      <c r="W41" s="523" t="str">
        <f t="shared" si="3"/>
        <v/>
      </c>
      <c r="X41" s="523" t="e">
        <f>IF(((100-100/$V$7*données_step[[#This Row],[E_DCO]])/100*QTS)&lt;0,NA(),IF(OR(U41&lt;0,U41=""),NA(),((100-100/$V$7*données_step[[#This Row],[E_DCO]])/100*QTS)))</f>
        <v>#NUM!</v>
      </c>
      <c r="Y41" s="523" t="str">
        <f>IF(AND($R41&gt;0,données_step[[#This Row],[E_COT]]&gt;0),données_step[[#This Row],[E_COT]],"")</f>
        <v/>
      </c>
      <c r="Z41" s="523" t="str">
        <f>IF(Y41="","",(1-données_step[[#This Row],[E_COT]]/$AB$7)*100)</f>
        <v/>
      </c>
      <c r="AA41" s="523" t="str">
        <f t="shared" si="4"/>
        <v/>
      </c>
      <c r="AB41" s="523" t="str">
        <f t="shared" si="5"/>
        <v/>
      </c>
      <c r="AC41" s="523" t="str">
        <f t="shared" si="6"/>
        <v/>
      </c>
      <c r="AD41" s="523" t="e">
        <f>IF(((100-100/$AB$7*données_step[[#This Row],[E_COT]])/100*QTS)&lt;0,NA(),IF(OR(AA41&lt;0,AA41=""),NA(),((100-100/$AB$7*données_step[[#This Row],[E_COT]])/100*QTS)))</f>
        <v>#NUM!</v>
      </c>
      <c r="AE41" s="523" t="str">
        <f>IF(AND($R41&gt;0,données_step[[#This Row],[E_NH4]]&gt;0),données_step[[#This Row],[E_NH4]],"")</f>
        <v/>
      </c>
      <c r="AF41" s="523" t="str">
        <f>IF(AE41="","",(1-données_step[[#This Row],[E_NH4]]/$AH$7)*100)</f>
        <v/>
      </c>
      <c r="AG41" s="523" t="str">
        <f t="shared" si="7"/>
        <v/>
      </c>
      <c r="AH41" s="523" t="str">
        <f t="shared" si="8"/>
        <v/>
      </c>
      <c r="AI41" s="523" t="str">
        <f t="shared" si="9"/>
        <v/>
      </c>
      <c r="AJ41" s="523" t="e">
        <f>IF(((100-100/$AH$7*données_step[[#This Row],[E_NH4]])/100*QTS)&lt;0,NA(),IF(OR(AG41&lt;0,AG41=""),NA(),((100-100/$AH$7*données_step[[#This Row],[E_NH4]])/100*QTS)))</f>
        <v>#NUM!</v>
      </c>
      <c r="AK41" s="523" t="str">
        <f>IF(AND($R41&gt;0,données_step[[#This Row],[E_PTOT]]&gt;0),données_step[[#This Row],[E_PTOT]],"")</f>
        <v/>
      </c>
      <c r="AL41" s="523" t="str">
        <f>IF(AK41="","",(1-données_step[[#This Row],[E_PTOT]]/$AN$7)*100)</f>
        <v/>
      </c>
      <c r="AM41" s="523" t="str">
        <f t="shared" si="10"/>
        <v/>
      </c>
      <c r="AN41" s="523" t="str">
        <f t="shared" si="11"/>
        <v/>
      </c>
      <c r="AO41" s="523" t="str">
        <f t="shared" si="12"/>
        <v/>
      </c>
      <c r="AP41" s="523" t="e">
        <f>IF(((100-100/$AN$7*données_step[[#This Row],[E_PTOT]])/100*QTS)&lt;0,NA(),IF(OR(AM41&lt;0,AM41=""),NA(),((100-100/$AN$7*données_step[[#This Row],[E_PTOT]])/100*QTS)))</f>
        <v>#NUM!</v>
      </c>
      <c r="AQ41" s="524" t="e">
        <f t="shared" si="13"/>
        <v>#NUM!</v>
      </c>
      <c r="AR41" s="524" t="str">
        <f t="shared" si="14"/>
        <v/>
      </c>
      <c r="AT41" s="517">
        <f t="shared" si="15"/>
        <v>0.3</v>
      </c>
      <c r="AU41" s="501">
        <f t="shared" si="16"/>
        <v>30</v>
      </c>
      <c r="AV41" s="525" t="e">
        <f>PERCENTILE(analyses!$F$11:$F$375,$AT41)</f>
        <v>#NUM!</v>
      </c>
      <c r="AW41" s="7" t="e">
        <f>PERCENTILE(analyses!$I$11:$I$375,$AT41)</f>
        <v>#NUM!</v>
      </c>
      <c r="AX41" s="7" t="e">
        <f>PERCENTILE(analyses!$J$11:$J$375,$AT41)</f>
        <v>#NUM!</v>
      </c>
      <c r="AY41" s="523" t="str">
        <f>_xlfn.IFNA(IF(données_step[[#This Row],[E_DCO]]&lt;=0,NA(),charge_entree[[#This Row],[ch_E_DCO]]/constanten!$B$8*1000),"")</f>
        <v/>
      </c>
      <c r="AZ41" s="523" t="str">
        <f>_xlfn.IFNA(IF(données_step[[#This Row],[E_NTOT]]&lt;=0,NA(),charge_entree[[#This Row],[ch_E_NTOT]]/constanten!$B$10*1000),"")</f>
        <v/>
      </c>
      <c r="BA41" s="523" t="str">
        <f>_xlfn.IFNA(IF(données_step[[#This Row],[E_NH4]]&lt;=0,NA(),charge_entree[[#This Row],[ch_E_NH4]]/constanten!$B$12*1000),"")</f>
        <v/>
      </c>
      <c r="BB41" s="523" t="str">
        <f>_xlfn.IFNA(IF(données_step[[#This Row],[E_COT]]&lt;=0,NA(),charge_entree[[#This Row],[ch_E_COT]]/constanten!$B$9*1000),"")</f>
        <v/>
      </c>
      <c r="BC41" s="523" t="str">
        <f>IFERROR(_xlfn.IFNA(IF(données_step[[#This Row],[E_PTOT]]&lt;=0,NA(),charge_entree[[#This Row],[ch_E_PTOT]]/constanten!$B$15*1000),""),"")</f>
        <v/>
      </c>
      <c r="BD41" s="535" t="e">
        <f>calculs!E41 * (1-0.4) / (données_step[[#This Row],[X_BA_VOL]]*données_step[[#This Row],[X_BACONC]])</f>
        <v>#VALUE!</v>
      </c>
      <c r="BE41" s="522" t="e">
        <f>(données_step[[#This Row],[X_BA_VOL]]*données_step[[#This Row],[X_BACONC]])/((données_step[[#This Row],[D_QTRAI2]]*données_step[[#This Row],[S_MES]]/1000)+(données_step[[#This Row],[X_BX_Q]]*données_step[[#This Row],[X_BXCONC]]))</f>
        <v>#VALUE!</v>
      </c>
      <c r="BF41" s="890" t="str">
        <f>IFERROR(données_step[[#This Row],[D_QTRAI]]/AY41*1000,"")</f>
        <v/>
      </c>
      <c r="BG41" s="535" t="str">
        <f>IFERROR(1-données_step[[#This Row],[S_DBO5]]/données_step[[#This Row],[E_DBO5]],"")</f>
        <v/>
      </c>
      <c r="BH41" s="536" t="str">
        <f>IFERROR(1-données_step[[#This Row],[S_DCO]]/données_step[[#This Row],[E_DCO]],"")</f>
        <v/>
      </c>
      <c r="BI41" s="535" t="str">
        <f>IFERROR(1-données_step[[#This Row],[S_COD]]/données_step[[#This Row],[E_COT]],"")</f>
        <v/>
      </c>
      <c r="BJ41" s="535" t="str">
        <f>IFERROR(1-données_step[[#This Row],[S_NH4]]/données_step[[#This Row],[E_NTOT]],"")</f>
        <v/>
      </c>
      <c r="BK41" s="535" t="str">
        <f>IFERROR(1-données_step[[#This Row],[S_PTOT]]/données_step[[#This Row],[E_PTOT]],"")</f>
        <v/>
      </c>
      <c r="BL41" s="521" t="str">
        <f>IFERROR(IF(données_step[[#This Row],[E_DCO]]/données_step[[#This Row],[E_DBO5]]=0,NA(),données_step[[#This Row],[E_DCO]]/données_step[[#This Row],[E_DBO5]]),"")</f>
        <v/>
      </c>
      <c r="BM41" s="521" t="str">
        <f>IFERROR(IF(données_step[[#This Row],[E_NH4]]/données_step[[#This Row],[E_NTOT]]=0,NA(),données_step[[#This Row],[E_NH4]]/données_step[[#This Row],[E_NTOT]]),"")</f>
        <v/>
      </c>
      <c r="BN41" s="521" t="str">
        <f>IFERROR(IF(données_step[[#This Row],[E_NTOT]]/données_step[[#This Row],[E_COT]]=0,NA(),données_step[[#This Row],[E_NTOT]]/données_step[[#This Row],[E_COT]]),"")</f>
        <v/>
      </c>
      <c r="BO41" s="521" t="str">
        <f>IFERROR(IF(données_step[[#This Row],[E_PTOT]]/données_step[[#This Row],[E_COT]]=0,NA(),données_step[[#This Row],[E_PTOT]]/données_step[[#This Row],[E_COT]]),"")</f>
        <v/>
      </c>
      <c r="BP41" s="521" t="e">
        <f>IF(données_step[[#This Row],[E_DCO]]/données_step[[#This Row],[E_COT]]=0,NA(),données_step[[#This Row],[E_DCO]]/données_step[[#This Row],[E_COT]])</f>
        <v>#DIV/0!</v>
      </c>
      <c r="BQ41" s="521" t="e">
        <f>IF(données_step[[#This Row],[E_NTOT]]/données_step[[#This Row],[E_DCO]]=0,NA(),données_step[[#This Row],[E_NTOT]]/données_step[[#This Row],[E_DCO]])</f>
        <v>#DIV/0!</v>
      </c>
      <c r="BR41" s="521" t="e">
        <f>IF(données_step[[#This Row],[E_PTOT]]/données_step[[#This Row],[E_DCO]]=0,NA(),données_step[[#This Row],[E_PTOT]]/données_step[[#This Row],[E_DCO]])</f>
        <v>#DIV/0!</v>
      </c>
      <c r="BS41" s="747" t="e">
        <f ca="1">test_NH4_temp(données_step[[#This Row],[S_NH4]],données_step[[#This Row],[Temp_eaux]])</f>
        <v>#NAME?</v>
      </c>
    </row>
    <row r="42" spans="1:71" x14ac:dyDescent="0.2">
      <c r="A42" s="222">
        <f>données_step[[#This Row],[Datum]]</f>
        <v>44593</v>
      </c>
      <c r="B42" s="223"/>
      <c r="C42" s="224">
        <f t="shared" si="0"/>
        <v>3</v>
      </c>
      <c r="D42" s="523" t="str">
        <f>IF(OR(données_step[[#This Row],[E_DBO5]]&lt;=0,données_step[[#This Row],[E_DBO5]]=""),"",données_step[[#This Row],[D_QTRAI]]*données_step[[#This Row],[E_DBO5]]/1000)</f>
        <v/>
      </c>
      <c r="E42" s="523" t="str">
        <f>IF(OR(données_step[[#This Row],[E_DCO]]&lt;=0,données_step[[#This Row],[E_DCO]]=""),"",données_step[[#This Row],[D_QTRAI]]*données_step[[#This Row],[E_DCO]]/1000)</f>
        <v/>
      </c>
      <c r="F42" s="523" t="str">
        <f>IF(OR(données_step[[#This Row],[E_COT]]&lt;=0,données_step[[#This Row],[E_COT]]=""),"",données_step[[#This Row],[D_QTRAI]]*données_step[[#This Row],[E_COT]]/1000)</f>
        <v/>
      </c>
      <c r="G42" s="523" t="str">
        <f>IF(OR(données_step[[#This Row],[E_NH4]]&lt;=0,données_step[[#This Row],[E_NH4]]=""),"",données_step[[#This Row],[D_QTRAI]]*données_step[[#This Row],[E_NH4]]/1000)</f>
        <v/>
      </c>
      <c r="H42" s="523" t="str">
        <f>IF(OR(données_step[[#This Row],[E_NTOT]]&lt;=0,données_step[[#This Row],[E_NTOT]]=""),"",données_step[[#This Row],[D_QTRAI]]*données_step[[#This Row],[E_NTOT]]/1000)</f>
        <v/>
      </c>
      <c r="I42" s="523" t="str">
        <f>IF(OR(données_step[[#This Row],[E_NTOT]]&lt;=0,données_step[[#This Row],[E_NTOT]]=""),"",données_step[[#This Row],[D_QTRAI]]*données_step[[#This Row],[E_PTOT]]/1000)</f>
        <v/>
      </c>
      <c r="J42" s="523" t="str">
        <f>IF(OR(données_step[[#This Row],[S_DBO5]]&lt;=0,données_step[[#This Row],[S_DBO5]]=""),"",données_step[[#This Row],[D_QTRAI]]*données_step[[#This Row],[S_DBO5]]/1000)</f>
        <v/>
      </c>
      <c r="K42" s="523" t="str">
        <f>IF(OR(données_step[[#This Row],[S_DCO]]&lt;=0,données_step[[#This Row],[S_DCO]]=""),"",données_step[[#This Row],[D_QTRAI]]*données_step[[#This Row],[S_DCO]]/1000)</f>
        <v/>
      </c>
      <c r="L42" s="523" t="str">
        <f>IF(OR(données_step[[#This Row],[S_COD]]&lt;=0,données_step[[#This Row],[S_COD]]=""),"",données_step[[#This Row],[D_QTRAI]]*données_step[[#This Row],[S_COD]]/1000)</f>
        <v/>
      </c>
      <c r="M42" s="523" t="str">
        <f>IF(OR(données_step[[#This Row],[S_NH4]]&lt;=0,données_step[[#This Row],[S_NH4]]=""),"",données_step[[#This Row],[D_QTRAI]]*données_step[[#This Row],[S_NH4]]/1000)</f>
        <v/>
      </c>
      <c r="N42" s="523" t="str">
        <f>IF(OR(données_step[[#This Row],[S_NO2]]&lt;=0,données_step[[#This Row],[S_NO2]]=""),"",données_step[[#This Row],[D_QTRAI]]*données_step[[#This Row],[S_NO2]]/1000)</f>
        <v/>
      </c>
      <c r="O42" s="523" t="str">
        <f>IF(OR(données_step[[#This Row],[S_NO3]]&lt;=0,données_step[[#This Row],[S_NO3]]=""),"",données_step[[#This Row],[D_QTRAI]]*données_step[[#This Row],[S_NO3]]/1000)</f>
        <v/>
      </c>
      <c r="P42" s="523" t="str">
        <f>IF(OR(données_step[[#This Row],[S_PTOT]]&lt;=0,données_step[[#This Row],[S_PTOT]]=""),"",données_step[[#This Row],[D_QTRAI]]*données_step[[#This Row],[S_PTOT]]/1000)</f>
        <v/>
      </c>
      <c r="Q42" s="523" t="str">
        <f>IF(OR(données_step[[#This Row],[S_MES]]&lt;=0,données_step[[#This Row],[S_MES]]=""),"",données_step[[#This Row],[D_QTRAI]]*données_step[[#This Row],[S_MES]]/1000)</f>
        <v/>
      </c>
      <c r="R42" s="523">
        <f>MAX(données_step[[#This Row],[D_QTRAI]],données_step[[#This Row],[D_QTRAI2]])</f>
        <v>0</v>
      </c>
      <c r="S42" s="523" t="str">
        <f>IF(AND($R42&gt;0,données_step[[#This Row],[E_DCO]]&gt;0),données_step[[#This Row],[E_DCO]],"")</f>
        <v/>
      </c>
      <c r="T42" s="523" t="str">
        <f>IF(S42="","",(1-données_step[[#This Row],[E_DCO]]/$V$7)*100)</f>
        <v/>
      </c>
      <c r="U42" s="523" t="str">
        <f t="shared" si="1"/>
        <v/>
      </c>
      <c r="V42" s="523" t="str">
        <f t="shared" si="2"/>
        <v/>
      </c>
      <c r="W42" s="523" t="str">
        <f t="shared" si="3"/>
        <v/>
      </c>
      <c r="X42" s="523" t="e">
        <f>IF(((100-100/$V$7*données_step[[#This Row],[E_DCO]])/100*QTS)&lt;0,NA(),IF(OR(U42&lt;0,U42=""),NA(),((100-100/$V$7*données_step[[#This Row],[E_DCO]])/100*QTS)))</f>
        <v>#NUM!</v>
      </c>
      <c r="Y42" s="523" t="str">
        <f>IF(AND($R42&gt;0,données_step[[#This Row],[E_COT]]&gt;0),données_step[[#This Row],[E_COT]],"")</f>
        <v/>
      </c>
      <c r="Z42" s="523" t="str">
        <f>IF(Y42="","",(1-données_step[[#This Row],[E_COT]]/$AB$7)*100)</f>
        <v/>
      </c>
      <c r="AA42" s="523" t="str">
        <f t="shared" si="4"/>
        <v/>
      </c>
      <c r="AB42" s="523" t="str">
        <f t="shared" si="5"/>
        <v/>
      </c>
      <c r="AC42" s="523" t="str">
        <f t="shared" si="6"/>
        <v/>
      </c>
      <c r="AD42" s="523" t="e">
        <f>IF(((100-100/$AB$7*données_step[[#This Row],[E_COT]])/100*QTS)&lt;0,NA(),IF(OR(AA42&lt;0,AA42=""),NA(),((100-100/$AB$7*données_step[[#This Row],[E_COT]])/100*QTS)))</f>
        <v>#NUM!</v>
      </c>
      <c r="AE42" s="523" t="str">
        <f>IF(AND($R42&gt;0,données_step[[#This Row],[E_NH4]]&gt;0),données_step[[#This Row],[E_NH4]],"")</f>
        <v/>
      </c>
      <c r="AF42" s="523" t="str">
        <f>IF(AE42="","",(1-données_step[[#This Row],[E_NH4]]/$AH$7)*100)</f>
        <v/>
      </c>
      <c r="AG42" s="523" t="str">
        <f t="shared" si="7"/>
        <v/>
      </c>
      <c r="AH42" s="523" t="str">
        <f t="shared" si="8"/>
        <v/>
      </c>
      <c r="AI42" s="523" t="str">
        <f t="shared" si="9"/>
        <v/>
      </c>
      <c r="AJ42" s="523" t="e">
        <f>IF(((100-100/$AH$7*données_step[[#This Row],[E_NH4]])/100*QTS)&lt;0,NA(),IF(OR(AG42&lt;0,AG42=""),NA(),((100-100/$AH$7*données_step[[#This Row],[E_NH4]])/100*QTS)))</f>
        <v>#NUM!</v>
      </c>
      <c r="AK42" s="523" t="str">
        <f>IF(AND($R42&gt;0,données_step[[#This Row],[E_PTOT]]&gt;0),données_step[[#This Row],[E_PTOT]],"")</f>
        <v/>
      </c>
      <c r="AL42" s="523" t="str">
        <f>IF(AK42="","",(1-données_step[[#This Row],[E_PTOT]]/$AN$7)*100)</f>
        <v/>
      </c>
      <c r="AM42" s="523" t="str">
        <f t="shared" si="10"/>
        <v/>
      </c>
      <c r="AN42" s="523" t="str">
        <f t="shared" si="11"/>
        <v/>
      </c>
      <c r="AO42" s="523" t="str">
        <f t="shared" si="12"/>
        <v/>
      </c>
      <c r="AP42" s="523" t="e">
        <f>IF(((100-100/$AN$7*données_step[[#This Row],[E_PTOT]])/100*QTS)&lt;0,NA(),IF(OR(AM42&lt;0,AM42=""),NA(),((100-100/$AN$7*données_step[[#This Row],[E_PTOT]])/100*QTS)))</f>
        <v>#NUM!</v>
      </c>
      <c r="AQ42" s="524" t="e">
        <f t="shared" si="13"/>
        <v>#NUM!</v>
      </c>
      <c r="AR42" s="524" t="str">
        <f t="shared" si="14"/>
        <v/>
      </c>
      <c r="AT42" s="517">
        <f t="shared" si="15"/>
        <v>0.31</v>
      </c>
      <c r="AU42" s="501">
        <f t="shared" si="16"/>
        <v>31</v>
      </c>
      <c r="AV42" s="525" t="e">
        <f>PERCENTILE(analyses!$F$11:$F$375,$AT42)</f>
        <v>#NUM!</v>
      </c>
      <c r="AW42" s="7" t="e">
        <f>PERCENTILE(analyses!$I$11:$I$375,$AT42)</f>
        <v>#NUM!</v>
      </c>
      <c r="AX42" s="7" t="e">
        <f>PERCENTILE(analyses!$J$11:$J$375,$AT42)</f>
        <v>#NUM!</v>
      </c>
      <c r="AY42" s="523" t="str">
        <f>_xlfn.IFNA(IF(données_step[[#This Row],[E_DCO]]&lt;=0,NA(),charge_entree[[#This Row],[ch_E_DCO]]/constanten!$B$8*1000),"")</f>
        <v/>
      </c>
      <c r="AZ42" s="523" t="str">
        <f>_xlfn.IFNA(IF(données_step[[#This Row],[E_NTOT]]&lt;=0,NA(),charge_entree[[#This Row],[ch_E_NTOT]]/constanten!$B$10*1000),"")</f>
        <v/>
      </c>
      <c r="BA42" s="523" t="str">
        <f>_xlfn.IFNA(IF(données_step[[#This Row],[E_NH4]]&lt;=0,NA(),charge_entree[[#This Row],[ch_E_NH4]]/constanten!$B$12*1000),"")</f>
        <v/>
      </c>
      <c r="BB42" s="523" t="str">
        <f>_xlfn.IFNA(IF(données_step[[#This Row],[E_COT]]&lt;=0,NA(),charge_entree[[#This Row],[ch_E_COT]]/constanten!$B$9*1000),"")</f>
        <v/>
      </c>
      <c r="BC42" s="523" t="str">
        <f>IFERROR(_xlfn.IFNA(IF(données_step[[#This Row],[E_PTOT]]&lt;=0,NA(),charge_entree[[#This Row],[ch_E_PTOT]]/constanten!$B$15*1000),""),"")</f>
        <v/>
      </c>
      <c r="BD42" s="535" t="e">
        <f>calculs!E42 * (1-0.4) / (données_step[[#This Row],[X_BA_VOL]]*données_step[[#This Row],[X_BACONC]])</f>
        <v>#VALUE!</v>
      </c>
      <c r="BE42" s="522" t="e">
        <f>(données_step[[#This Row],[X_BA_VOL]]*données_step[[#This Row],[X_BACONC]])/((données_step[[#This Row],[D_QTRAI2]]*données_step[[#This Row],[S_MES]]/1000)+(données_step[[#This Row],[X_BX_Q]]*données_step[[#This Row],[X_BXCONC]]))</f>
        <v>#VALUE!</v>
      </c>
      <c r="BF42" s="890" t="str">
        <f>IFERROR(données_step[[#This Row],[D_QTRAI]]/AY42*1000,"")</f>
        <v/>
      </c>
      <c r="BG42" s="535" t="str">
        <f>IFERROR(1-données_step[[#This Row],[S_DBO5]]/données_step[[#This Row],[E_DBO5]],"")</f>
        <v/>
      </c>
      <c r="BH42" s="536" t="str">
        <f>IFERROR(1-données_step[[#This Row],[S_DCO]]/données_step[[#This Row],[E_DCO]],"")</f>
        <v/>
      </c>
      <c r="BI42" s="535" t="str">
        <f>IFERROR(1-données_step[[#This Row],[S_COD]]/données_step[[#This Row],[E_COT]],"")</f>
        <v/>
      </c>
      <c r="BJ42" s="535" t="str">
        <f>IFERROR(1-données_step[[#This Row],[S_NH4]]/données_step[[#This Row],[E_NTOT]],"")</f>
        <v/>
      </c>
      <c r="BK42" s="535" t="str">
        <f>IFERROR(1-données_step[[#This Row],[S_PTOT]]/données_step[[#This Row],[E_PTOT]],"")</f>
        <v/>
      </c>
      <c r="BL42" s="521" t="str">
        <f>IFERROR(IF(données_step[[#This Row],[E_DCO]]/données_step[[#This Row],[E_DBO5]]=0,NA(),données_step[[#This Row],[E_DCO]]/données_step[[#This Row],[E_DBO5]]),"")</f>
        <v/>
      </c>
      <c r="BM42" s="521" t="str">
        <f>IFERROR(IF(données_step[[#This Row],[E_NH4]]/données_step[[#This Row],[E_NTOT]]=0,NA(),données_step[[#This Row],[E_NH4]]/données_step[[#This Row],[E_NTOT]]),"")</f>
        <v/>
      </c>
      <c r="BN42" s="521" t="str">
        <f>IFERROR(IF(données_step[[#This Row],[E_NTOT]]/données_step[[#This Row],[E_COT]]=0,NA(),données_step[[#This Row],[E_NTOT]]/données_step[[#This Row],[E_COT]]),"")</f>
        <v/>
      </c>
      <c r="BO42" s="521" t="str">
        <f>IFERROR(IF(données_step[[#This Row],[E_PTOT]]/données_step[[#This Row],[E_COT]]=0,NA(),données_step[[#This Row],[E_PTOT]]/données_step[[#This Row],[E_COT]]),"")</f>
        <v/>
      </c>
      <c r="BP42" s="521" t="e">
        <f>IF(données_step[[#This Row],[E_DCO]]/données_step[[#This Row],[E_COT]]=0,NA(),données_step[[#This Row],[E_DCO]]/données_step[[#This Row],[E_COT]])</f>
        <v>#DIV/0!</v>
      </c>
      <c r="BQ42" s="521" t="e">
        <f>IF(données_step[[#This Row],[E_NTOT]]/données_step[[#This Row],[E_DCO]]=0,NA(),données_step[[#This Row],[E_NTOT]]/données_step[[#This Row],[E_DCO]])</f>
        <v>#DIV/0!</v>
      </c>
      <c r="BR42" s="521" t="e">
        <f>IF(données_step[[#This Row],[E_PTOT]]/données_step[[#This Row],[E_DCO]]=0,NA(),données_step[[#This Row],[E_PTOT]]/données_step[[#This Row],[E_DCO]])</f>
        <v>#DIV/0!</v>
      </c>
      <c r="BS42" s="747" t="e">
        <f ca="1">test_NH4_temp(données_step[[#This Row],[S_NH4]],données_step[[#This Row],[Temp_eaux]])</f>
        <v>#NAME?</v>
      </c>
    </row>
    <row r="43" spans="1:71" x14ac:dyDescent="0.2">
      <c r="A43" s="222">
        <f>données_step[[#This Row],[Datum]]</f>
        <v>44594</v>
      </c>
      <c r="B43" s="223"/>
      <c r="C43" s="224">
        <f t="shared" si="0"/>
        <v>4</v>
      </c>
      <c r="D43" s="523" t="str">
        <f>IF(OR(données_step[[#This Row],[E_DBO5]]&lt;=0,données_step[[#This Row],[E_DBO5]]=""),"",données_step[[#This Row],[D_QTRAI]]*données_step[[#This Row],[E_DBO5]]/1000)</f>
        <v/>
      </c>
      <c r="E43" s="523" t="str">
        <f>IF(OR(données_step[[#This Row],[E_DCO]]&lt;=0,données_step[[#This Row],[E_DCO]]=""),"",données_step[[#This Row],[D_QTRAI]]*données_step[[#This Row],[E_DCO]]/1000)</f>
        <v/>
      </c>
      <c r="F43" s="523" t="str">
        <f>IF(OR(données_step[[#This Row],[E_COT]]&lt;=0,données_step[[#This Row],[E_COT]]=""),"",données_step[[#This Row],[D_QTRAI]]*données_step[[#This Row],[E_COT]]/1000)</f>
        <v/>
      </c>
      <c r="G43" s="523" t="str">
        <f>IF(OR(données_step[[#This Row],[E_NH4]]&lt;=0,données_step[[#This Row],[E_NH4]]=""),"",données_step[[#This Row],[D_QTRAI]]*données_step[[#This Row],[E_NH4]]/1000)</f>
        <v/>
      </c>
      <c r="H43" s="523" t="str">
        <f>IF(OR(données_step[[#This Row],[E_NTOT]]&lt;=0,données_step[[#This Row],[E_NTOT]]=""),"",données_step[[#This Row],[D_QTRAI]]*données_step[[#This Row],[E_NTOT]]/1000)</f>
        <v/>
      </c>
      <c r="I43" s="523" t="str">
        <f>IF(OR(données_step[[#This Row],[E_NTOT]]&lt;=0,données_step[[#This Row],[E_NTOT]]=""),"",données_step[[#This Row],[D_QTRAI]]*données_step[[#This Row],[E_PTOT]]/1000)</f>
        <v/>
      </c>
      <c r="J43" s="523" t="str">
        <f>IF(OR(données_step[[#This Row],[S_DBO5]]&lt;=0,données_step[[#This Row],[S_DBO5]]=""),"",données_step[[#This Row],[D_QTRAI]]*données_step[[#This Row],[S_DBO5]]/1000)</f>
        <v/>
      </c>
      <c r="K43" s="523" t="str">
        <f>IF(OR(données_step[[#This Row],[S_DCO]]&lt;=0,données_step[[#This Row],[S_DCO]]=""),"",données_step[[#This Row],[D_QTRAI]]*données_step[[#This Row],[S_DCO]]/1000)</f>
        <v/>
      </c>
      <c r="L43" s="523" t="str">
        <f>IF(OR(données_step[[#This Row],[S_COD]]&lt;=0,données_step[[#This Row],[S_COD]]=""),"",données_step[[#This Row],[D_QTRAI]]*données_step[[#This Row],[S_COD]]/1000)</f>
        <v/>
      </c>
      <c r="M43" s="523" t="str">
        <f>IF(OR(données_step[[#This Row],[S_NH4]]&lt;=0,données_step[[#This Row],[S_NH4]]=""),"",données_step[[#This Row],[D_QTRAI]]*données_step[[#This Row],[S_NH4]]/1000)</f>
        <v/>
      </c>
      <c r="N43" s="523" t="str">
        <f>IF(OR(données_step[[#This Row],[S_NO2]]&lt;=0,données_step[[#This Row],[S_NO2]]=""),"",données_step[[#This Row],[D_QTRAI]]*données_step[[#This Row],[S_NO2]]/1000)</f>
        <v/>
      </c>
      <c r="O43" s="523" t="str">
        <f>IF(OR(données_step[[#This Row],[S_NO3]]&lt;=0,données_step[[#This Row],[S_NO3]]=""),"",données_step[[#This Row],[D_QTRAI]]*données_step[[#This Row],[S_NO3]]/1000)</f>
        <v/>
      </c>
      <c r="P43" s="523" t="str">
        <f>IF(OR(données_step[[#This Row],[S_PTOT]]&lt;=0,données_step[[#This Row],[S_PTOT]]=""),"",données_step[[#This Row],[D_QTRAI]]*données_step[[#This Row],[S_PTOT]]/1000)</f>
        <v/>
      </c>
      <c r="Q43" s="523" t="str">
        <f>IF(OR(données_step[[#This Row],[S_MES]]&lt;=0,données_step[[#This Row],[S_MES]]=""),"",données_step[[#This Row],[D_QTRAI]]*données_step[[#This Row],[S_MES]]/1000)</f>
        <v/>
      </c>
      <c r="R43" s="523">
        <f>MAX(données_step[[#This Row],[D_QTRAI]],données_step[[#This Row],[D_QTRAI2]])</f>
        <v>0</v>
      </c>
      <c r="S43" s="523" t="str">
        <f>IF(AND($R43&gt;0,données_step[[#This Row],[E_DCO]]&gt;0),données_step[[#This Row],[E_DCO]],"")</f>
        <v/>
      </c>
      <c r="T43" s="523" t="str">
        <f>IF(S43="","",(1-données_step[[#This Row],[E_DCO]]/$V$7)*100)</f>
        <v/>
      </c>
      <c r="U43" s="523" t="str">
        <f t="shared" si="1"/>
        <v/>
      </c>
      <c r="V43" s="523" t="str">
        <f t="shared" si="2"/>
        <v/>
      </c>
      <c r="W43" s="523" t="str">
        <f t="shared" si="3"/>
        <v/>
      </c>
      <c r="X43" s="523" t="e">
        <f>IF(((100-100/$V$7*données_step[[#This Row],[E_DCO]])/100*QTS)&lt;0,NA(),IF(OR(U43&lt;0,U43=""),NA(),((100-100/$V$7*données_step[[#This Row],[E_DCO]])/100*QTS)))</f>
        <v>#NUM!</v>
      </c>
      <c r="Y43" s="523" t="str">
        <f>IF(AND($R43&gt;0,données_step[[#This Row],[E_COT]]&gt;0),données_step[[#This Row],[E_COT]],"")</f>
        <v/>
      </c>
      <c r="Z43" s="523" t="str">
        <f>IF(Y43="","",(1-données_step[[#This Row],[E_COT]]/$AB$7)*100)</f>
        <v/>
      </c>
      <c r="AA43" s="523" t="str">
        <f t="shared" si="4"/>
        <v/>
      </c>
      <c r="AB43" s="523" t="str">
        <f t="shared" si="5"/>
        <v/>
      </c>
      <c r="AC43" s="523" t="str">
        <f t="shared" si="6"/>
        <v/>
      </c>
      <c r="AD43" s="523" t="e">
        <f>IF(((100-100/$AB$7*données_step[[#This Row],[E_COT]])/100*QTS)&lt;0,NA(),IF(OR(AA43&lt;0,AA43=""),NA(),((100-100/$AB$7*données_step[[#This Row],[E_COT]])/100*QTS)))</f>
        <v>#NUM!</v>
      </c>
      <c r="AE43" s="523" t="str">
        <f>IF(AND($R43&gt;0,données_step[[#This Row],[E_NH4]]&gt;0),données_step[[#This Row],[E_NH4]],"")</f>
        <v/>
      </c>
      <c r="AF43" s="523" t="str">
        <f>IF(AE43="","",(1-données_step[[#This Row],[E_NH4]]/$AH$7)*100)</f>
        <v/>
      </c>
      <c r="AG43" s="523" t="str">
        <f t="shared" si="7"/>
        <v/>
      </c>
      <c r="AH43" s="523" t="str">
        <f t="shared" si="8"/>
        <v/>
      </c>
      <c r="AI43" s="523" t="str">
        <f t="shared" si="9"/>
        <v/>
      </c>
      <c r="AJ43" s="523" t="e">
        <f>IF(((100-100/$AH$7*données_step[[#This Row],[E_NH4]])/100*QTS)&lt;0,NA(),IF(OR(AG43&lt;0,AG43=""),NA(),((100-100/$AH$7*données_step[[#This Row],[E_NH4]])/100*QTS)))</f>
        <v>#NUM!</v>
      </c>
      <c r="AK43" s="523" t="str">
        <f>IF(AND($R43&gt;0,données_step[[#This Row],[E_PTOT]]&gt;0),données_step[[#This Row],[E_PTOT]],"")</f>
        <v/>
      </c>
      <c r="AL43" s="523" t="str">
        <f>IF(AK43="","",(1-données_step[[#This Row],[E_PTOT]]/$AN$7)*100)</f>
        <v/>
      </c>
      <c r="AM43" s="523" t="str">
        <f t="shared" si="10"/>
        <v/>
      </c>
      <c r="AN43" s="523" t="str">
        <f t="shared" si="11"/>
        <v/>
      </c>
      <c r="AO43" s="523" t="str">
        <f t="shared" si="12"/>
        <v/>
      </c>
      <c r="AP43" s="523" t="e">
        <f>IF(((100-100/$AN$7*données_step[[#This Row],[E_PTOT]])/100*QTS)&lt;0,NA(),IF(OR(AM43&lt;0,AM43=""),NA(),((100-100/$AN$7*données_step[[#This Row],[E_PTOT]])/100*QTS)))</f>
        <v>#NUM!</v>
      </c>
      <c r="AQ43" s="524" t="e">
        <f t="shared" si="13"/>
        <v>#NUM!</v>
      </c>
      <c r="AR43" s="524" t="str">
        <f t="shared" si="14"/>
        <v/>
      </c>
      <c r="AT43" s="517">
        <f t="shared" si="15"/>
        <v>0.32</v>
      </c>
      <c r="AU43" s="501">
        <f t="shared" si="16"/>
        <v>32</v>
      </c>
      <c r="AV43" s="525" t="e">
        <f>PERCENTILE(analyses!$F$11:$F$375,$AT43)</f>
        <v>#NUM!</v>
      </c>
      <c r="AW43" s="7" t="e">
        <f>PERCENTILE(analyses!$I$11:$I$375,$AT43)</f>
        <v>#NUM!</v>
      </c>
      <c r="AX43" s="7" t="e">
        <f>PERCENTILE(analyses!$J$11:$J$375,$AT43)</f>
        <v>#NUM!</v>
      </c>
      <c r="AY43" s="523" t="str">
        <f>_xlfn.IFNA(IF(données_step[[#This Row],[E_DCO]]&lt;=0,NA(),charge_entree[[#This Row],[ch_E_DCO]]/constanten!$B$8*1000),"")</f>
        <v/>
      </c>
      <c r="AZ43" s="523" t="str">
        <f>_xlfn.IFNA(IF(données_step[[#This Row],[E_NTOT]]&lt;=0,NA(),charge_entree[[#This Row],[ch_E_NTOT]]/constanten!$B$10*1000),"")</f>
        <v/>
      </c>
      <c r="BA43" s="523" t="str">
        <f>_xlfn.IFNA(IF(données_step[[#This Row],[E_NH4]]&lt;=0,NA(),charge_entree[[#This Row],[ch_E_NH4]]/constanten!$B$12*1000),"")</f>
        <v/>
      </c>
      <c r="BB43" s="523" t="str">
        <f>_xlfn.IFNA(IF(données_step[[#This Row],[E_COT]]&lt;=0,NA(),charge_entree[[#This Row],[ch_E_COT]]/constanten!$B$9*1000),"")</f>
        <v/>
      </c>
      <c r="BC43" s="523" t="str">
        <f>IFERROR(_xlfn.IFNA(IF(données_step[[#This Row],[E_PTOT]]&lt;=0,NA(),charge_entree[[#This Row],[ch_E_PTOT]]/constanten!$B$15*1000),""),"")</f>
        <v/>
      </c>
      <c r="BD43" s="535" t="e">
        <f>calculs!E43 * (1-0.4) / (données_step[[#This Row],[X_BA_VOL]]*données_step[[#This Row],[X_BACONC]])</f>
        <v>#VALUE!</v>
      </c>
      <c r="BE43" s="522" t="e">
        <f>(données_step[[#This Row],[X_BA_VOL]]*données_step[[#This Row],[X_BACONC]])/((données_step[[#This Row],[D_QTRAI2]]*données_step[[#This Row],[S_MES]]/1000)+(données_step[[#This Row],[X_BX_Q]]*données_step[[#This Row],[X_BXCONC]]))</f>
        <v>#VALUE!</v>
      </c>
      <c r="BF43" s="890" t="str">
        <f>IFERROR(données_step[[#This Row],[D_QTRAI]]/AY43*1000,"")</f>
        <v/>
      </c>
      <c r="BG43" s="535" t="str">
        <f>IFERROR(1-données_step[[#This Row],[S_DBO5]]/données_step[[#This Row],[E_DBO5]],"")</f>
        <v/>
      </c>
      <c r="BH43" s="536" t="str">
        <f>IFERROR(1-données_step[[#This Row],[S_DCO]]/données_step[[#This Row],[E_DCO]],"")</f>
        <v/>
      </c>
      <c r="BI43" s="535" t="str">
        <f>IFERROR(1-données_step[[#This Row],[S_COD]]/données_step[[#This Row],[E_COT]],"")</f>
        <v/>
      </c>
      <c r="BJ43" s="535" t="str">
        <f>IFERROR(1-données_step[[#This Row],[S_NH4]]/données_step[[#This Row],[E_NTOT]],"")</f>
        <v/>
      </c>
      <c r="BK43" s="535" t="str">
        <f>IFERROR(1-données_step[[#This Row],[S_PTOT]]/données_step[[#This Row],[E_PTOT]],"")</f>
        <v/>
      </c>
      <c r="BL43" s="521" t="str">
        <f>IFERROR(IF(données_step[[#This Row],[E_DCO]]/données_step[[#This Row],[E_DBO5]]=0,NA(),données_step[[#This Row],[E_DCO]]/données_step[[#This Row],[E_DBO5]]),"")</f>
        <v/>
      </c>
      <c r="BM43" s="521" t="str">
        <f>IFERROR(IF(données_step[[#This Row],[E_NH4]]/données_step[[#This Row],[E_NTOT]]=0,NA(),données_step[[#This Row],[E_NH4]]/données_step[[#This Row],[E_NTOT]]),"")</f>
        <v/>
      </c>
      <c r="BN43" s="521" t="str">
        <f>IFERROR(IF(données_step[[#This Row],[E_NTOT]]/données_step[[#This Row],[E_COT]]=0,NA(),données_step[[#This Row],[E_NTOT]]/données_step[[#This Row],[E_COT]]),"")</f>
        <v/>
      </c>
      <c r="BO43" s="521" t="str">
        <f>IFERROR(IF(données_step[[#This Row],[E_PTOT]]/données_step[[#This Row],[E_COT]]=0,NA(),données_step[[#This Row],[E_PTOT]]/données_step[[#This Row],[E_COT]]),"")</f>
        <v/>
      </c>
      <c r="BP43" s="521" t="e">
        <f>IF(données_step[[#This Row],[E_DCO]]/données_step[[#This Row],[E_COT]]=0,NA(),données_step[[#This Row],[E_DCO]]/données_step[[#This Row],[E_COT]])</f>
        <v>#DIV/0!</v>
      </c>
      <c r="BQ43" s="521" t="e">
        <f>IF(données_step[[#This Row],[E_NTOT]]/données_step[[#This Row],[E_DCO]]=0,NA(),données_step[[#This Row],[E_NTOT]]/données_step[[#This Row],[E_DCO]])</f>
        <v>#DIV/0!</v>
      </c>
      <c r="BR43" s="521" t="e">
        <f>IF(données_step[[#This Row],[E_PTOT]]/données_step[[#This Row],[E_DCO]]=0,NA(),données_step[[#This Row],[E_PTOT]]/données_step[[#This Row],[E_DCO]])</f>
        <v>#DIV/0!</v>
      </c>
      <c r="BS43" s="747" t="e">
        <f ca="1">test_NH4_temp(données_step[[#This Row],[S_NH4]],données_step[[#This Row],[Temp_eaux]])</f>
        <v>#NAME?</v>
      </c>
    </row>
    <row r="44" spans="1:71" x14ac:dyDescent="0.2">
      <c r="A44" s="222">
        <f>données_step[[#This Row],[Datum]]</f>
        <v>44595</v>
      </c>
      <c r="B44" s="223"/>
      <c r="C44" s="224">
        <f t="shared" si="0"/>
        <v>5</v>
      </c>
      <c r="D44" s="523" t="str">
        <f>IF(OR(données_step[[#This Row],[E_DBO5]]&lt;=0,données_step[[#This Row],[E_DBO5]]=""),"",données_step[[#This Row],[D_QTRAI]]*données_step[[#This Row],[E_DBO5]]/1000)</f>
        <v/>
      </c>
      <c r="E44" s="523" t="str">
        <f>IF(OR(données_step[[#This Row],[E_DCO]]&lt;=0,données_step[[#This Row],[E_DCO]]=""),"",données_step[[#This Row],[D_QTRAI]]*données_step[[#This Row],[E_DCO]]/1000)</f>
        <v/>
      </c>
      <c r="F44" s="523" t="str">
        <f>IF(OR(données_step[[#This Row],[E_COT]]&lt;=0,données_step[[#This Row],[E_COT]]=""),"",données_step[[#This Row],[D_QTRAI]]*données_step[[#This Row],[E_COT]]/1000)</f>
        <v/>
      </c>
      <c r="G44" s="523" t="str">
        <f>IF(OR(données_step[[#This Row],[E_NH4]]&lt;=0,données_step[[#This Row],[E_NH4]]=""),"",données_step[[#This Row],[D_QTRAI]]*données_step[[#This Row],[E_NH4]]/1000)</f>
        <v/>
      </c>
      <c r="H44" s="523" t="str">
        <f>IF(OR(données_step[[#This Row],[E_NTOT]]&lt;=0,données_step[[#This Row],[E_NTOT]]=""),"",données_step[[#This Row],[D_QTRAI]]*données_step[[#This Row],[E_NTOT]]/1000)</f>
        <v/>
      </c>
      <c r="I44" s="523" t="str">
        <f>IF(OR(données_step[[#This Row],[E_NTOT]]&lt;=0,données_step[[#This Row],[E_NTOT]]=""),"",données_step[[#This Row],[D_QTRAI]]*données_step[[#This Row],[E_PTOT]]/1000)</f>
        <v/>
      </c>
      <c r="J44" s="523" t="str">
        <f>IF(OR(données_step[[#This Row],[S_DBO5]]&lt;=0,données_step[[#This Row],[S_DBO5]]=""),"",données_step[[#This Row],[D_QTRAI]]*données_step[[#This Row],[S_DBO5]]/1000)</f>
        <v/>
      </c>
      <c r="K44" s="523" t="str">
        <f>IF(OR(données_step[[#This Row],[S_DCO]]&lt;=0,données_step[[#This Row],[S_DCO]]=""),"",données_step[[#This Row],[D_QTRAI]]*données_step[[#This Row],[S_DCO]]/1000)</f>
        <v/>
      </c>
      <c r="L44" s="523" t="str">
        <f>IF(OR(données_step[[#This Row],[S_COD]]&lt;=0,données_step[[#This Row],[S_COD]]=""),"",données_step[[#This Row],[D_QTRAI]]*données_step[[#This Row],[S_COD]]/1000)</f>
        <v/>
      </c>
      <c r="M44" s="523" t="str">
        <f>IF(OR(données_step[[#This Row],[S_NH4]]&lt;=0,données_step[[#This Row],[S_NH4]]=""),"",données_step[[#This Row],[D_QTRAI]]*données_step[[#This Row],[S_NH4]]/1000)</f>
        <v/>
      </c>
      <c r="N44" s="523" t="str">
        <f>IF(OR(données_step[[#This Row],[S_NO2]]&lt;=0,données_step[[#This Row],[S_NO2]]=""),"",données_step[[#This Row],[D_QTRAI]]*données_step[[#This Row],[S_NO2]]/1000)</f>
        <v/>
      </c>
      <c r="O44" s="523" t="str">
        <f>IF(OR(données_step[[#This Row],[S_NO3]]&lt;=0,données_step[[#This Row],[S_NO3]]=""),"",données_step[[#This Row],[D_QTRAI]]*données_step[[#This Row],[S_NO3]]/1000)</f>
        <v/>
      </c>
      <c r="P44" s="523" t="str">
        <f>IF(OR(données_step[[#This Row],[S_PTOT]]&lt;=0,données_step[[#This Row],[S_PTOT]]=""),"",données_step[[#This Row],[D_QTRAI]]*données_step[[#This Row],[S_PTOT]]/1000)</f>
        <v/>
      </c>
      <c r="Q44" s="523" t="str">
        <f>IF(OR(données_step[[#This Row],[S_MES]]&lt;=0,données_step[[#This Row],[S_MES]]=""),"",données_step[[#This Row],[D_QTRAI]]*données_step[[#This Row],[S_MES]]/1000)</f>
        <v/>
      </c>
      <c r="R44" s="523">
        <f>MAX(données_step[[#This Row],[D_QTRAI]],données_step[[#This Row],[D_QTRAI2]])</f>
        <v>0</v>
      </c>
      <c r="S44" s="523" t="str">
        <f>IF(AND($R44&gt;0,données_step[[#This Row],[E_DCO]]&gt;0),données_step[[#This Row],[E_DCO]],"")</f>
        <v/>
      </c>
      <c r="T44" s="523" t="str">
        <f>IF(S44="","",(1-données_step[[#This Row],[E_DCO]]/$V$7)*100)</f>
        <v/>
      </c>
      <c r="U44" s="523" t="str">
        <f t="shared" si="1"/>
        <v/>
      </c>
      <c r="V44" s="523" t="str">
        <f t="shared" si="2"/>
        <v/>
      </c>
      <c r="W44" s="523" t="str">
        <f t="shared" si="3"/>
        <v/>
      </c>
      <c r="X44" s="523" t="e">
        <f>IF(((100-100/$V$7*données_step[[#This Row],[E_DCO]])/100*QTS)&lt;0,NA(),IF(OR(U44&lt;0,U44=""),NA(),((100-100/$V$7*données_step[[#This Row],[E_DCO]])/100*QTS)))</f>
        <v>#NUM!</v>
      </c>
      <c r="Y44" s="523" t="str">
        <f>IF(AND($R44&gt;0,données_step[[#This Row],[E_COT]]&gt;0),données_step[[#This Row],[E_COT]],"")</f>
        <v/>
      </c>
      <c r="Z44" s="523" t="str">
        <f>IF(Y44="","",(1-données_step[[#This Row],[E_COT]]/$AB$7)*100)</f>
        <v/>
      </c>
      <c r="AA44" s="523" t="str">
        <f t="shared" si="4"/>
        <v/>
      </c>
      <c r="AB44" s="523" t="str">
        <f t="shared" si="5"/>
        <v/>
      </c>
      <c r="AC44" s="523" t="str">
        <f t="shared" si="6"/>
        <v/>
      </c>
      <c r="AD44" s="523" t="e">
        <f>IF(((100-100/$AB$7*données_step[[#This Row],[E_COT]])/100*QTS)&lt;0,NA(),IF(OR(AA44&lt;0,AA44=""),NA(),((100-100/$AB$7*données_step[[#This Row],[E_COT]])/100*QTS)))</f>
        <v>#NUM!</v>
      </c>
      <c r="AE44" s="523" t="str">
        <f>IF(AND($R44&gt;0,données_step[[#This Row],[E_NH4]]&gt;0),données_step[[#This Row],[E_NH4]],"")</f>
        <v/>
      </c>
      <c r="AF44" s="523" t="str">
        <f>IF(AE44="","",(1-données_step[[#This Row],[E_NH4]]/$AH$7)*100)</f>
        <v/>
      </c>
      <c r="AG44" s="523" t="str">
        <f t="shared" si="7"/>
        <v/>
      </c>
      <c r="AH44" s="523" t="str">
        <f t="shared" si="8"/>
        <v/>
      </c>
      <c r="AI44" s="523" t="str">
        <f t="shared" si="9"/>
        <v/>
      </c>
      <c r="AJ44" s="523" t="e">
        <f>IF(((100-100/$AH$7*données_step[[#This Row],[E_NH4]])/100*QTS)&lt;0,NA(),IF(OR(AG44&lt;0,AG44=""),NA(),((100-100/$AH$7*données_step[[#This Row],[E_NH4]])/100*QTS)))</f>
        <v>#NUM!</v>
      </c>
      <c r="AK44" s="523" t="str">
        <f>IF(AND($R44&gt;0,données_step[[#This Row],[E_PTOT]]&gt;0),données_step[[#This Row],[E_PTOT]],"")</f>
        <v/>
      </c>
      <c r="AL44" s="523" t="str">
        <f>IF(AK44="","",(1-données_step[[#This Row],[E_PTOT]]/$AN$7)*100)</f>
        <v/>
      </c>
      <c r="AM44" s="523" t="str">
        <f t="shared" si="10"/>
        <v/>
      </c>
      <c r="AN44" s="523" t="str">
        <f t="shared" si="11"/>
        <v/>
      </c>
      <c r="AO44" s="523" t="str">
        <f t="shared" si="12"/>
        <v/>
      </c>
      <c r="AP44" s="523" t="e">
        <f>IF(((100-100/$AN$7*données_step[[#This Row],[E_PTOT]])/100*QTS)&lt;0,NA(),IF(OR(AM44&lt;0,AM44=""),NA(),((100-100/$AN$7*données_step[[#This Row],[E_PTOT]])/100*QTS)))</f>
        <v>#NUM!</v>
      </c>
      <c r="AQ44" s="524" t="e">
        <f t="shared" si="13"/>
        <v>#NUM!</v>
      </c>
      <c r="AR44" s="524" t="str">
        <f t="shared" si="14"/>
        <v/>
      </c>
      <c r="AT44" s="517">
        <f t="shared" si="15"/>
        <v>0.33</v>
      </c>
      <c r="AU44" s="501">
        <f t="shared" si="16"/>
        <v>33</v>
      </c>
      <c r="AV44" s="525" t="e">
        <f>PERCENTILE(analyses!$F$11:$F$375,$AT44)</f>
        <v>#NUM!</v>
      </c>
      <c r="AW44" s="7" t="e">
        <f>PERCENTILE(analyses!$I$11:$I$375,$AT44)</f>
        <v>#NUM!</v>
      </c>
      <c r="AX44" s="7" t="e">
        <f>PERCENTILE(analyses!$J$11:$J$375,$AT44)</f>
        <v>#NUM!</v>
      </c>
      <c r="AY44" s="523" t="str">
        <f>_xlfn.IFNA(IF(données_step[[#This Row],[E_DCO]]&lt;=0,NA(),charge_entree[[#This Row],[ch_E_DCO]]/constanten!$B$8*1000),"")</f>
        <v/>
      </c>
      <c r="AZ44" s="523" t="str">
        <f>_xlfn.IFNA(IF(données_step[[#This Row],[E_NTOT]]&lt;=0,NA(),charge_entree[[#This Row],[ch_E_NTOT]]/constanten!$B$10*1000),"")</f>
        <v/>
      </c>
      <c r="BA44" s="523" t="str">
        <f>_xlfn.IFNA(IF(données_step[[#This Row],[E_NH4]]&lt;=0,NA(),charge_entree[[#This Row],[ch_E_NH4]]/constanten!$B$12*1000),"")</f>
        <v/>
      </c>
      <c r="BB44" s="523" t="str">
        <f>_xlfn.IFNA(IF(données_step[[#This Row],[E_COT]]&lt;=0,NA(),charge_entree[[#This Row],[ch_E_COT]]/constanten!$B$9*1000),"")</f>
        <v/>
      </c>
      <c r="BC44" s="523" t="str">
        <f>IFERROR(_xlfn.IFNA(IF(données_step[[#This Row],[E_PTOT]]&lt;=0,NA(),charge_entree[[#This Row],[ch_E_PTOT]]/constanten!$B$15*1000),""),"")</f>
        <v/>
      </c>
      <c r="BD44" s="535" t="e">
        <f>calculs!E44 * (1-0.4) / (données_step[[#This Row],[X_BA_VOL]]*données_step[[#This Row],[X_BACONC]])</f>
        <v>#VALUE!</v>
      </c>
      <c r="BE44" s="522" t="e">
        <f>(données_step[[#This Row],[X_BA_VOL]]*données_step[[#This Row],[X_BACONC]])/((données_step[[#This Row],[D_QTRAI2]]*données_step[[#This Row],[S_MES]]/1000)+(données_step[[#This Row],[X_BX_Q]]*données_step[[#This Row],[X_BXCONC]]))</f>
        <v>#VALUE!</v>
      </c>
      <c r="BF44" s="890" t="str">
        <f>IFERROR(données_step[[#This Row],[D_QTRAI]]/AY44*1000,"")</f>
        <v/>
      </c>
      <c r="BG44" s="535" t="str">
        <f>IFERROR(1-données_step[[#This Row],[S_DBO5]]/données_step[[#This Row],[E_DBO5]],"")</f>
        <v/>
      </c>
      <c r="BH44" s="536" t="str">
        <f>IFERROR(1-données_step[[#This Row],[S_DCO]]/données_step[[#This Row],[E_DCO]],"")</f>
        <v/>
      </c>
      <c r="BI44" s="535" t="str">
        <f>IFERROR(1-données_step[[#This Row],[S_COD]]/données_step[[#This Row],[E_COT]],"")</f>
        <v/>
      </c>
      <c r="BJ44" s="535" t="str">
        <f>IFERROR(1-données_step[[#This Row],[S_NH4]]/données_step[[#This Row],[E_NTOT]],"")</f>
        <v/>
      </c>
      <c r="BK44" s="535" t="str">
        <f>IFERROR(1-données_step[[#This Row],[S_PTOT]]/données_step[[#This Row],[E_PTOT]],"")</f>
        <v/>
      </c>
      <c r="BL44" s="521" t="str">
        <f>IFERROR(IF(données_step[[#This Row],[E_DCO]]/données_step[[#This Row],[E_DBO5]]=0,NA(),données_step[[#This Row],[E_DCO]]/données_step[[#This Row],[E_DBO5]]),"")</f>
        <v/>
      </c>
      <c r="BM44" s="521" t="str">
        <f>IFERROR(IF(données_step[[#This Row],[E_NH4]]/données_step[[#This Row],[E_NTOT]]=0,NA(),données_step[[#This Row],[E_NH4]]/données_step[[#This Row],[E_NTOT]]),"")</f>
        <v/>
      </c>
      <c r="BN44" s="521" t="str">
        <f>IFERROR(IF(données_step[[#This Row],[E_NTOT]]/données_step[[#This Row],[E_COT]]=0,NA(),données_step[[#This Row],[E_NTOT]]/données_step[[#This Row],[E_COT]]),"")</f>
        <v/>
      </c>
      <c r="BO44" s="521" t="str">
        <f>IFERROR(IF(données_step[[#This Row],[E_PTOT]]/données_step[[#This Row],[E_COT]]=0,NA(),données_step[[#This Row],[E_PTOT]]/données_step[[#This Row],[E_COT]]),"")</f>
        <v/>
      </c>
      <c r="BP44" s="521" t="e">
        <f>IF(données_step[[#This Row],[E_DCO]]/données_step[[#This Row],[E_COT]]=0,NA(),données_step[[#This Row],[E_DCO]]/données_step[[#This Row],[E_COT]])</f>
        <v>#DIV/0!</v>
      </c>
      <c r="BQ44" s="521" t="e">
        <f>IF(données_step[[#This Row],[E_NTOT]]/données_step[[#This Row],[E_DCO]]=0,NA(),données_step[[#This Row],[E_NTOT]]/données_step[[#This Row],[E_DCO]])</f>
        <v>#DIV/0!</v>
      </c>
      <c r="BR44" s="521" t="e">
        <f>IF(données_step[[#This Row],[E_PTOT]]/données_step[[#This Row],[E_DCO]]=0,NA(),données_step[[#This Row],[E_PTOT]]/données_step[[#This Row],[E_DCO]])</f>
        <v>#DIV/0!</v>
      </c>
      <c r="BS44" s="747" t="e">
        <f ca="1">test_NH4_temp(données_step[[#This Row],[S_NH4]],données_step[[#This Row],[Temp_eaux]])</f>
        <v>#NAME?</v>
      </c>
    </row>
    <row r="45" spans="1:71" x14ac:dyDescent="0.2">
      <c r="A45" s="222">
        <f>données_step[[#This Row],[Datum]]</f>
        <v>44596</v>
      </c>
      <c r="B45" s="223"/>
      <c r="C45" s="224">
        <f t="shared" si="0"/>
        <v>6</v>
      </c>
      <c r="D45" s="523" t="str">
        <f>IF(OR(données_step[[#This Row],[E_DBO5]]&lt;=0,données_step[[#This Row],[E_DBO5]]=""),"",données_step[[#This Row],[D_QTRAI]]*données_step[[#This Row],[E_DBO5]]/1000)</f>
        <v/>
      </c>
      <c r="E45" s="523" t="str">
        <f>IF(OR(données_step[[#This Row],[E_DCO]]&lt;=0,données_step[[#This Row],[E_DCO]]=""),"",données_step[[#This Row],[D_QTRAI]]*données_step[[#This Row],[E_DCO]]/1000)</f>
        <v/>
      </c>
      <c r="F45" s="523" t="str">
        <f>IF(OR(données_step[[#This Row],[E_COT]]&lt;=0,données_step[[#This Row],[E_COT]]=""),"",données_step[[#This Row],[D_QTRAI]]*données_step[[#This Row],[E_COT]]/1000)</f>
        <v/>
      </c>
      <c r="G45" s="523" t="str">
        <f>IF(OR(données_step[[#This Row],[E_NH4]]&lt;=0,données_step[[#This Row],[E_NH4]]=""),"",données_step[[#This Row],[D_QTRAI]]*données_step[[#This Row],[E_NH4]]/1000)</f>
        <v/>
      </c>
      <c r="H45" s="523" t="str">
        <f>IF(OR(données_step[[#This Row],[E_NTOT]]&lt;=0,données_step[[#This Row],[E_NTOT]]=""),"",données_step[[#This Row],[D_QTRAI]]*données_step[[#This Row],[E_NTOT]]/1000)</f>
        <v/>
      </c>
      <c r="I45" s="523" t="str">
        <f>IF(OR(données_step[[#This Row],[E_NTOT]]&lt;=0,données_step[[#This Row],[E_NTOT]]=""),"",données_step[[#This Row],[D_QTRAI]]*données_step[[#This Row],[E_PTOT]]/1000)</f>
        <v/>
      </c>
      <c r="J45" s="523" t="str">
        <f>IF(OR(données_step[[#This Row],[S_DBO5]]&lt;=0,données_step[[#This Row],[S_DBO5]]=""),"",données_step[[#This Row],[D_QTRAI]]*données_step[[#This Row],[S_DBO5]]/1000)</f>
        <v/>
      </c>
      <c r="K45" s="523" t="str">
        <f>IF(OR(données_step[[#This Row],[S_DCO]]&lt;=0,données_step[[#This Row],[S_DCO]]=""),"",données_step[[#This Row],[D_QTRAI]]*données_step[[#This Row],[S_DCO]]/1000)</f>
        <v/>
      </c>
      <c r="L45" s="523" t="str">
        <f>IF(OR(données_step[[#This Row],[S_COD]]&lt;=0,données_step[[#This Row],[S_COD]]=""),"",données_step[[#This Row],[D_QTRAI]]*données_step[[#This Row],[S_COD]]/1000)</f>
        <v/>
      </c>
      <c r="M45" s="523" t="str">
        <f>IF(OR(données_step[[#This Row],[S_NH4]]&lt;=0,données_step[[#This Row],[S_NH4]]=""),"",données_step[[#This Row],[D_QTRAI]]*données_step[[#This Row],[S_NH4]]/1000)</f>
        <v/>
      </c>
      <c r="N45" s="523" t="str">
        <f>IF(OR(données_step[[#This Row],[S_NO2]]&lt;=0,données_step[[#This Row],[S_NO2]]=""),"",données_step[[#This Row],[D_QTRAI]]*données_step[[#This Row],[S_NO2]]/1000)</f>
        <v/>
      </c>
      <c r="O45" s="523" t="str">
        <f>IF(OR(données_step[[#This Row],[S_NO3]]&lt;=0,données_step[[#This Row],[S_NO3]]=""),"",données_step[[#This Row],[D_QTRAI]]*données_step[[#This Row],[S_NO3]]/1000)</f>
        <v/>
      </c>
      <c r="P45" s="523" t="str">
        <f>IF(OR(données_step[[#This Row],[S_PTOT]]&lt;=0,données_step[[#This Row],[S_PTOT]]=""),"",données_step[[#This Row],[D_QTRAI]]*données_step[[#This Row],[S_PTOT]]/1000)</f>
        <v/>
      </c>
      <c r="Q45" s="523" t="str">
        <f>IF(OR(données_step[[#This Row],[S_MES]]&lt;=0,données_step[[#This Row],[S_MES]]=""),"",données_step[[#This Row],[D_QTRAI]]*données_step[[#This Row],[S_MES]]/1000)</f>
        <v/>
      </c>
      <c r="R45" s="523">
        <f>MAX(données_step[[#This Row],[D_QTRAI]],données_step[[#This Row],[D_QTRAI2]])</f>
        <v>0</v>
      </c>
      <c r="S45" s="523" t="str">
        <f>IF(AND($R45&gt;0,données_step[[#This Row],[E_DCO]]&gt;0),données_step[[#This Row],[E_DCO]],"")</f>
        <v/>
      </c>
      <c r="T45" s="523" t="str">
        <f>IF(S45="","",(1-données_step[[#This Row],[E_DCO]]/$V$7)*100)</f>
        <v/>
      </c>
      <c r="U45" s="523" t="str">
        <f t="shared" si="1"/>
        <v/>
      </c>
      <c r="V45" s="523" t="str">
        <f t="shared" si="2"/>
        <v/>
      </c>
      <c r="W45" s="523" t="str">
        <f t="shared" si="3"/>
        <v/>
      </c>
      <c r="X45" s="523" t="e">
        <f>IF(((100-100/$V$7*données_step[[#This Row],[E_DCO]])/100*QTS)&lt;0,NA(),IF(OR(U45&lt;0,U45=""),NA(),((100-100/$V$7*données_step[[#This Row],[E_DCO]])/100*QTS)))</f>
        <v>#NUM!</v>
      </c>
      <c r="Y45" s="523" t="str">
        <f>IF(AND($R45&gt;0,données_step[[#This Row],[E_COT]]&gt;0),données_step[[#This Row],[E_COT]],"")</f>
        <v/>
      </c>
      <c r="Z45" s="523" t="str">
        <f>IF(Y45="","",(1-données_step[[#This Row],[E_COT]]/$AB$7)*100)</f>
        <v/>
      </c>
      <c r="AA45" s="523" t="str">
        <f t="shared" si="4"/>
        <v/>
      </c>
      <c r="AB45" s="523" t="str">
        <f t="shared" si="5"/>
        <v/>
      </c>
      <c r="AC45" s="523" t="str">
        <f t="shared" si="6"/>
        <v/>
      </c>
      <c r="AD45" s="523" t="e">
        <f>IF(((100-100/$AB$7*données_step[[#This Row],[E_COT]])/100*QTS)&lt;0,NA(),IF(OR(AA45&lt;0,AA45=""),NA(),((100-100/$AB$7*données_step[[#This Row],[E_COT]])/100*QTS)))</f>
        <v>#NUM!</v>
      </c>
      <c r="AE45" s="523" t="str">
        <f>IF(AND($R45&gt;0,données_step[[#This Row],[E_NH4]]&gt;0),données_step[[#This Row],[E_NH4]],"")</f>
        <v/>
      </c>
      <c r="AF45" s="523" t="str">
        <f>IF(AE45="","",(1-données_step[[#This Row],[E_NH4]]/$AH$7)*100)</f>
        <v/>
      </c>
      <c r="AG45" s="523" t="str">
        <f t="shared" si="7"/>
        <v/>
      </c>
      <c r="AH45" s="523" t="str">
        <f t="shared" si="8"/>
        <v/>
      </c>
      <c r="AI45" s="523" t="str">
        <f t="shared" si="9"/>
        <v/>
      </c>
      <c r="AJ45" s="523" t="e">
        <f>IF(((100-100/$AH$7*données_step[[#This Row],[E_NH4]])/100*QTS)&lt;0,NA(),IF(OR(AG45&lt;0,AG45=""),NA(),((100-100/$AH$7*données_step[[#This Row],[E_NH4]])/100*QTS)))</f>
        <v>#NUM!</v>
      </c>
      <c r="AK45" s="523" t="str">
        <f>IF(AND($R45&gt;0,données_step[[#This Row],[E_PTOT]]&gt;0),données_step[[#This Row],[E_PTOT]],"")</f>
        <v/>
      </c>
      <c r="AL45" s="523" t="str">
        <f>IF(AK45="","",(1-données_step[[#This Row],[E_PTOT]]/$AN$7)*100)</f>
        <v/>
      </c>
      <c r="AM45" s="523" t="str">
        <f t="shared" si="10"/>
        <v/>
      </c>
      <c r="AN45" s="523" t="str">
        <f t="shared" si="11"/>
        <v/>
      </c>
      <c r="AO45" s="523" t="str">
        <f t="shared" si="12"/>
        <v/>
      </c>
      <c r="AP45" s="523" t="e">
        <f>IF(((100-100/$AN$7*données_step[[#This Row],[E_PTOT]])/100*QTS)&lt;0,NA(),IF(OR(AM45&lt;0,AM45=""),NA(),((100-100/$AN$7*données_step[[#This Row],[E_PTOT]])/100*QTS)))</f>
        <v>#NUM!</v>
      </c>
      <c r="AQ45" s="524" t="e">
        <f t="shared" si="13"/>
        <v>#NUM!</v>
      </c>
      <c r="AR45" s="524" t="str">
        <f t="shared" si="14"/>
        <v/>
      </c>
      <c r="AT45" s="517">
        <f t="shared" si="15"/>
        <v>0.34</v>
      </c>
      <c r="AU45" s="501">
        <f t="shared" si="16"/>
        <v>34</v>
      </c>
      <c r="AV45" s="525" t="e">
        <f>PERCENTILE(analyses!$F$11:$F$375,$AT45)</f>
        <v>#NUM!</v>
      </c>
      <c r="AW45" s="7" t="e">
        <f>PERCENTILE(analyses!$I$11:$I$375,$AT45)</f>
        <v>#NUM!</v>
      </c>
      <c r="AX45" s="7" t="e">
        <f>PERCENTILE(analyses!$J$11:$J$375,$AT45)</f>
        <v>#NUM!</v>
      </c>
      <c r="AY45" s="523" t="str">
        <f>_xlfn.IFNA(IF(données_step[[#This Row],[E_DCO]]&lt;=0,NA(),charge_entree[[#This Row],[ch_E_DCO]]/constanten!$B$8*1000),"")</f>
        <v/>
      </c>
      <c r="AZ45" s="523" t="str">
        <f>_xlfn.IFNA(IF(données_step[[#This Row],[E_NTOT]]&lt;=0,NA(),charge_entree[[#This Row],[ch_E_NTOT]]/constanten!$B$10*1000),"")</f>
        <v/>
      </c>
      <c r="BA45" s="523" t="str">
        <f>_xlfn.IFNA(IF(données_step[[#This Row],[E_NH4]]&lt;=0,NA(),charge_entree[[#This Row],[ch_E_NH4]]/constanten!$B$12*1000),"")</f>
        <v/>
      </c>
      <c r="BB45" s="523" t="str">
        <f>_xlfn.IFNA(IF(données_step[[#This Row],[E_COT]]&lt;=0,NA(),charge_entree[[#This Row],[ch_E_COT]]/constanten!$B$9*1000),"")</f>
        <v/>
      </c>
      <c r="BC45" s="523" t="str">
        <f>IFERROR(_xlfn.IFNA(IF(données_step[[#This Row],[E_PTOT]]&lt;=0,NA(),charge_entree[[#This Row],[ch_E_PTOT]]/constanten!$B$15*1000),""),"")</f>
        <v/>
      </c>
      <c r="BD45" s="535" t="e">
        <f>calculs!E45 * (1-0.4) / (données_step[[#This Row],[X_BA_VOL]]*données_step[[#This Row],[X_BACONC]])</f>
        <v>#VALUE!</v>
      </c>
      <c r="BE45" s="522" t="e">
        <f>(données_step[[#This Row],[X_BA_VOL]]*données_step[[#This Row],[X_BACONC]])/((données_step[[#This Row],[D_QTRAI2]]*données_step[[#This Row],[S_MES]]/1000)+(données_step[[#This Row],[X_BX_Q]]*données_step[[#This Row],[X_BXCONC]]))</f>
        <v>#VALUE!</v>
      </c>
      <c r="BF45" s="890" t="str">
        <f>IFERROR(données_step[[#This Row],[D_QTRAI]]/AY45*1000,"")</f>
        <v/>
      </c>
      <c r="BG45" s="535" t="str">
        <f>IFERROR(1-données_step[[#This Row],[S_DBO5]]/données_step[[#This Row],[E_DBO5]],"")</f>
        <v/>
      </c>
      <c r="BH45" s="536" t="str">
        <f>IFERROR(1-données_step[[#This Row],[S_DCO]]/données_step[[#This Row],[E_DCO]],"")</f>
        <v/>
      </c>
      <c r="BI45" s="535" t="str">
        <f>IFERROR(1-données_step[[#This Row],[S_COD]]/données_step[[#This Row],[E_COT]],"")</f>
        <v/>
      </c>
      <c r="BJ45" s="535" t="str">
        <f>IFERROR(1-données_step[[#This Row],[S_NH4]]/données_step[[#This Row],[E_NTOT]],"")</f>
        <v/>
      </c>
      <c r="BK45" s="535" t="str">
        <f>IFERROR(1-données_step[[#This Row],[S_PTOT]]/données_step[[#This Row],[E_PTOT]],"")</f>
        <v/>
      </c>
      <c r="BL45" s="521" t="str">
        <f>IFERROR(IF(données_step[[#This Row],[E_DCO]]/données_step[[#This Row],[E_DBO5]]=0,NA(),données_step[[#This Row],[E_DCO]]/données_step[[#This Row],[E_DBO5]]),"")</f>
        <v/>
      </c>
      <c r="BM45" s="521" t="str">
        <f>IFERROR(IF(données_step[[#This Row],[E_NH4]]/données_step[[#This Row],[E_NTOT]]=0,NA(),données_step[[#This Row],[E_NH4]]/données_step[[#This Row],[E_NTOT]]),"")</f>
        <v/>
      </c>
      <c r="BN45" s="521" t="str">
        <f>IFERROR(IF(données_step[[#This Row],[E_NTOT]]/données_step[[#This Row],[E_COT]]=0,NA(),données_step[[#This Row],[E_NTOT]]/données_step[[#This Row],[E_COT]]),"")</f>
        <v/>
      </c>
      <c r="BO45" s="521" t="str">
        <f>IFERROR(IF(données_step[[#This Row],[E_PTOT]]/données_step[[#This Row],[E_COT]]=0,NA(),données_step[[#This Row],[E_PTOT]]/données_step[[#This Row],[E_COT]]),"")</f>
        <v/>
      </c>
      <c r="BP45" s="521" t="e">
        <f>IF(données_step[[#This Row],[E_DCO]]/données_step[[#This Row],[E_COT]]=0,NA(),données_step[[#This Row],[E_DCO]]/données_step[[#This Row],[E_COT]])</f>
        <v>#DIV/0!</v>
      </c>
      <c r="BQ45" s="521" t="e">
        <f>IF(données_step[[#This Row],[E_NTOT]]/données_step[[#This Row],[E_DCO]]=0,NA(),données_step[[#This Row],[E_NTOT]]/données_step[[#This Row],[E_DCO]])</f>
        <v>#DIV/0!</v>
      </c>
      <c r="BR45" s="521" t="e">
        <f>IF(données_step[[#This Row],[E_PTOT]]/données_step[[#This Row],[E_DCO]]=0,NA(),données_step[[#This Row],[E_PTOT]]/données_step[[#This Row],[E_DCO]])</f>
        <v>#DIV/0!</v>
      </c>
      <c r="BS45" s="747" t="e">
        <f ca="1">test_NH4_temp(données_step[[#This Row],[S_NH4]],données_step[[#This Row],[Temp_eaux]])</f>
        <v>#NAME?</v>
      </c>
    </row>
    <row r="46" spans="1:71" x14ac:dyDescent="0.2">
      <c r="A46" s="222">
        <f>données_step[[#This Row],[Datum]]</f>
        <v>44597</v>
      </c>
      <c r="B46" s="223"/>
      <c r="C46" s="224">
        <f t="shared" si="0"/>
        <v>7</v>
      </c>
      <c r="D46" s="523" t="str">
        <f>IF(OR(données_step[[#This Row],[E_DBO5]]&lt;=0,données_step[[#This Row],[E_DBO5]]=""),"",données_step[[#This Row],[D_QTRAI]]*données_step[[#This Row],[E_DBO5]]/1000)</f>
        <v/>
      </c>
      <c r="E46" s="523" t="str">
        <f>IF(OR(données_step[[#This Row],[E_DCO]]&lt;=0,données_step[[#This Row],[E_DCO]]=""),"",données_step[[#This Row],[D_QTRAI]]*données_step[[#This Row],[E_DCO]]/1000)</f>
        <v/>
      </c>
      <c r="F46" s="523" t="str">
        <f>IF(OR(données_step[[#This Row],[E_COT]]&lt;=0,données_step[[#This Row],[E_COT]]=""),"",données_step[[#This Row],[D_QTRAI]]*données_step[[#This Row],[E_COT]]/1000)</f>
        <v/>
      </c>
      <c r="G46" s="523" t="str">
        <f>IF(OR(données_step[[#This Row],[E_NH4]]&lt;=0,données_step[[#This Row],[E_NH4]]=""),"",données_step[[#This Row],[D_QTRAI]]*données_step[[#This Row],[E_NH4]]/1000)</f>
        <v/>
      </c>
      <c r="H46" s="523" t="str">
        <f>IF(OR(données_step[[#This Row],[E_NTOT]]&lt;=0,données_step[[#This Row],[E_NTOT]]=""),"",données_step[[#This Row],[D_QTRAI]]*données_step[[#This Row],[E_NTOT]]/1000)</f>
        <v/>
      </c>
      <c r="I46" s="523" t="str">
        <f>IF(OR(données_step[[#This Row],[E_NTOT]]&lt;=0,données_step[[#This Row],[E_NTOT]]=""),"",données_step[[#This Row],[D_QTRAI]]*données_step[[#This Row],[E_PTOT]]/1000)</f>
        <v/>
      </c>
      <c r="J46" s="523" t="str">
        <f>IF(OR(données_step[[#This Row],[S_DBO5]]&lt;=0,données_step[[#This Row],[S_DBO5]]=""),"",données_step[[#This Row],[D_QTRAI]]*données_step[[#This Row],[S_DBO5]]/1000)</f>
        <v/>
      </c>
      <c r="K46" s="523" t="str">
        <f>IF(OR(données_step[[#This Row],[S_DCO]]&lt;=0,données_step[[#This Row],[S_DCO]]=""),"",données_step[[#This Row],[D_QTRAI]]*données_step[[#This Row],[S_DCO]]/1000)</f>
        <v/>
      </c>
      <c r="L46" s="523" t="str">
        <f>IF(OR(données_step[[#This Row],[S_COD]]&lt;=0,données_step[[#This Row],[S_COD]]=""),"",données_step[[#This Row],[D_QTRAI]]*données_step[[#This Row],[S_COD]]/1000)</f>
        <v/>
      </c>
      <c r="M46" s="523" t="str">
        <f>IF(OR(données_step[[#This Row],[S_NH4]]&lt;=0,données_step[[#This Row],[S_NH4]]=""),"",données_step[[#This Row],[D_QTRAI]]*données_step[[#This Row],[S_NH4]]/1000)</f>
        <v/>
      </c>
      <c r="N46" s="523" t="str">
        <f>IF(OR(données_step[[#This Row],[S_NO2]]&lt;=0,données_step[[#This Row],[S_NO2]]=""),"",données_step[[#This Row],[D_QTRAI]]*données_step[[#This Row],[S_NO2]]/1000)</f>
        <v/>
      </c>
      <c r="O46" s="523" t="str">
        <f>IF(OR(données_step[[#This Row],[S_NO3]]&lt;=0,données_step[[#This Row],[S_NO3]]=""),"",données_step[[#This Row],[D_QTRAI]]*données_step[[#This Row],[S_NO3]]/1000)</f>
        <v/>
      </c>
      <c r="P46" s="523" t="str">
        <f>IF(OR(données_step[[#This Row],[S_PTOT]]&lt;=0,données_step[[#This Row],[S_PTOT]]=""),"",données_step[[#This Row],[D_QTRAI]]*données_step[[#This Row],[S_PTOT]]/1000)</f>
        <v/>
      </c>
      <c r="Q46" s="523" t="str">
        <f>IF(OR(données_step[[#This Row],[S_MES]]&lt;=0,données_step[[#This Row],[S_MES]]=""),"",données_step[[#This Row],[D_QTRAI]]*données_step[[#This Row],[S_MES]]/1000)</f>
        <v/>
      </c>
      <c r="R46" s="523">
        <f>MAX(données_step[[#This Row],[D_QTRAI]],données_step[[#This Row],[D_QTRAI2]])</f>
        <v>0</v>
      </c>
      <c r="S46" s="523" t="str">
        <f>IF(AND($R46&gt;0,données_step[[#This Row],[E_DCO]]&gt;0),données_step[[#This Row],[E_DCO]],"")</f>
        <v/>
      </c>
      <c r="T46" s="523" t="str">
        <f>IF(S46="","",(1-données_step[[#This Row],[E_DCO]]/$V$7)*100)</f>
        <v/>
      </c>
      <c r="U46" s="523" t="str">
        <f t="shared" si="1"/>
        <v/>
      </c>
      <c r="V46" s="523" t="str">
        <f t="shared" si="2"/>
        <v/>
      </c>
      <c r="W46" s="523" t="str">
        <f t="shared" si="3"/>
        <v/>
      </c>
      <c r="X46" s="523" t="e">
        <f>IF(((100-100/$V$7*données_step[[#This Row],[E_DCO]])/100*QTS)&lt;0,NA(),IF(OR(U46&lt;0,U46=""),NA(),((100-100/$V$7*données_step[[#This Row],[E_DCO]])/100*QTS)))</f>
        <v>#NUM!</v>
      </c>
      <c r="Y46" s="523" t="str">
        <f>IF(AND($R46&gt;0,données_step[[#This Row],[E_COT]]&gt;0),données_step[[#This Row],[E_COT]],"")</f>
        <v/>
      </c>
      <c r="Z46" s="523" t="str">
        <f>IF(Y46="","",(1-données_step[[#This Row],[E_COT]]/$AB$7)*100)</f>
        <v/>
      </c>
      <c r="AA46" s="523" t="str">
        <f t="shared" si="4"/>
        <v/>
      </c>
      <c r="AB46" s="523" t="str">
        <f t="shared" si="5"/>
        <v/>
      </c>
      <c r="AC46" s="523" t="str">
        <f t="shared" si="6"/>
        <v/>
      </c>
      <c r="AD46" s="523" t="e">
        <f>IF(((100-100/$AB$7*données_step[[#This Row],[E_COT]])/100*QTS)&lt;0,NA(),IF(OR(AA46&lt;0,AA46=""),NA(),((100-100/$AB$7*données_step[[#This Row],[E_COT]])/100*QTS)))</f>
        <v>#NUM!</v>
      </c>
      <c r="AE46" s="523" t="str">
        <f>IF(AND($R46&gt;0,données_step[[#This Row],[E_NH4]]&gt;0),données_step[[#This Row],[E_NH4]],"")</f>
        <v/>
      </c>
      <c r="AF46" s="523" t="str">
        <f>IF(AE46="","",(1-données_step[[#This Row],[E_NH4]]/$AH$7)*100)</f>
        <v/>
      </c>
      <c r="AG46" s="523" t="str">
        <f t="shared" si="7"/>
        <v/>
      </c>
      <c r="AH46" s="523" t="str">
        <f t="shared" si="8"/>
        <v/>
      </c>
      <c r="AI46" s="523" t="str">
        <f t="shared" si="9"/>
        <v/>
      </c>
      <c r="AJ46" s="523" t="e">
        <f>IF(((100-100/$AH$7*données_step[[#This Row],[E_NH4]])/100*QTS)&lt;0,NA(),IF(OR(AG46&lt;0,AG46=""),NA(),((100-100/$AH$7*données_step[[#This Row],[E_NH4]])/100*QTS)))</f>
        <v>#NUM!</v>
      </c>
      <c r="AK46" s="523" t="str">
        <f>IF(AND($R46&gt;0,données_step[[#This Row],[E_PTOT]]&gt;0),données_step[[#This Row],[E_PTOT]],"")</f>
        <v/>
      </c>
      <c r="AL46" s="523" t="str">
        <f>IF(AK46="","",(1-données_step[[#This Row],[E_PTOT]]/$AN$7)*100)</f>
        <v/>
      </c>
      <c r="AM46" s="523" t="str">
        <f t="shared" si="10"/>
        <v/>
      </c>
      <c r="AN46" s="523" t="str">
        <f t="shared" si="11"/>
        <v/>
      </c>
      <c r="AO46" s="523" t="str">
        <f t="shared" si="12"/>
        <v/>
      </c>
      <c r="AP46" s="523" t="e">
        <f>IF(((100-100/$AN$7*données_step[[#This Row],[E_PTOT]])/100*QTS)&lt;0,NA(),IF(OR(AM46&lt;0,AM46=""),NA(),((100-100/$AN$7*données_step[[#This Row],[E_PTOT]])/100*QTS)))</f>
        <v>#NUM!</v>
      </c>
      <c r="AQ46" s="524" t="e">
        <f t="shared" si="13"/>
        <v>#NUM!</v>
      </c>
      <c r="AR46" s="524" t="str">
        <f t="shared" si="14"/>
        <v/>
      </c>
      <c r="AT46" s="517">
        <f t="shared" si="15"/>
        <v>0.35</v>
      </c>
      <c r="AU46" s="501">
        <f t="shared" si="16"/>
        <v>35</v>
      </c>
      <c r="AV46" s="525" t="e">
        <f>PERCENTILE(analyses!$F$11:$F$375,$AT46)</f>
        <v>#NUM!</v>
      </c>
      <c r="AW46" s="7" t="e">
        <f>PERCENTILE(analyses!$I$11:$I$375,$AT46)</f>
        <v>#NUM!</v>
      </c>
      <c r="AX46" s="7" t="e">
        <f>PERCENTILE(analyses!$J$11:$J$375,$AT46)</f>
        <v>#NUM!</v>
      </c>
      <c r="AY46" s="523" t="str">
        <f>_xlfn.IFNA(IF(données_step[[#This Row],[E_DCO]]&lt;=0,NA(),charge_entree[[#This Row],[ch_E_DCO]]/constanten!$B$8*1000),"")</f>
        <v/>
      </c>
      <c r="AZ46" s="523" t="str">
        <f>_xlfn.IFNA(IF(données_step[[#This Row],[E_NTOT]]&lt;=0,NA(),charge_entree[[#This Row],[ch_E_NTOT]]/constanten!$B$10*1000),"")</f>
        <v/>
      </c>
      <c r="BA46" s="523" t="str">
        <f>_xlfn.IFNA(IF(données_step[[#This Row],[E_NH4]]&lt;=0,NA(),charge_entree[[#This Row],[ch_E_NH4]]/constanten!$B$12*1000),"")</f>
        <v/>
      </c>
      <c r="BB46" s="523" t="str">
        <f>_xlfn.IFNA(IF(données_step[[#This Row],[E_COT]]&lt;=0,NA(),charge_entree[[#This Row],[ch_E_COT]]/constanten!$B$9*1000),"")</f>
        <v/>
      </c>
      <c r="BC46" s="523" t="str">
        <f>IFERROR(_xlfn.IFNA(IF(données_step[[#This Row],[E_PTOT]]&lt;=0,NA(),charge_entree[[#This Row],[ch_E_PTOT]]/constanten!$B$15*1000),""),"")</f>
        <v/>
      </c>
      <c r="BD46" s="535" t="e">
        <f>calculs!E46 * (1-0.4) / (données_step[[#This Row],[X_BA_VOL]]*données_step[[#This Row],[X_BACONC]])</f>
        <v>#VALUE!</v>
      </c>
      <c r="BE46" s="522" t="e">
        <f>(données_step[[#This Row],[X_BA_VOL]]*données_step[[#This Row],[X_BACONC]])/((données_step[[#This Row],[D_QTRAI2]]*données_step[[#This Row],[S_MES]]/1000)+(données_step[[#This Row],[X_BX_Q]]*données_step[[#This Row],[X_BXCONC]]))</f>
        <v>#VALUE!</v>
      </c>
      <c r="BF46" s="890" t="str">
        <f>IFERROR(données_step[[#This Row],[D_QTRAI]]/AY46*1000,"")</f>
        <v/>
      </c>
      <c r="BG46" s="535" t="str">
        <f>IFERROR(1-données_step[[#This Row],[S_DBO5]]/données_step[[#This Row],[E_DBO5]],"")</f>
        <v/>
      </c>
      <c r="BH46" s="536" t="str">
        <f>IFERROR(1-données_step[[#This Row],[S_DCO]]/données_step[[#This Row],[E_DCO]],"")</f>
        <v/>
      </c>
      <c r="BI46" s="535" t="str">
        <f>IFERROR(1-données_step[[#This Row],[S_COD]]/données_step[[#This Row],[E_COT]],"")</f>
        <v/>
      </c>
      <c r="BJ46" s="535" t="str">
        <f>IFERROR(1-données_step[[#This Row],[S_NH4]]/données_step[[#This Row],[E_NTOT]],"")</f>
        <v/>
      </c>
      <c r="BK46" s="535" t="str">
        <f>IFERROR(1-données_step[[#This Row],[S_PTOT]]/données_step[[#This Row],[E_PTOT]],"")</f>
        <v/>
      </c>
      <c r="BL46" s="521" t="str">
        <f>IFERROR(IF(données_step[[#This Row],[E_DCO]]/données_step[[#This Row],[E_DBO5]]=0,NA(),données_step[[#This Row],[E_DCO]]/données_step[[#This Row],[E_DBO5]]),"")</f>
        <v/>
      </c>
      <c r="BM46" s="521" t="str">
        <f>IFERROR(IF(données_step[[#This Row],[E_NH4]]/données_step[[#This Row],[E_NTOT]]=0,NA(),données_step[[#This Row],[E_NH4]]/données_step[[#This Row],[E_NTOT]]),"")</f>
        <v/>
      </c>
      <c r="BN46" s="521" t="str">
        <f>IFERROR(IF(données_step[[#This Row],[E_NTOT]]/données_step[[#This Row],[E_COT]]=0,NA(),données_step[[#This Row],[E_NTOT]]/données_step[[#This Row],[E_COT]]),"")</f>
        <v/>
      </c>
      <c r="BO46" s="521" t="str">
        <f>IFERROR(IF(données_step[[#This Row],[E_PTOT]]/données_step[[#This Row],[E_COT]]=0,NA(),données_step[[#This Row],[E_PTOT]]/données_step[[#This Row],[E_COT]]),"")</f>
        <v/>
      </c>
      <c r="BP46" s="521" t="e">
        <f>IF(données_step[[#This Row],[E_DCO]]/données_step[[#This Row],[E_COT]]=0,NA(),données_step[[#This Row],[E_DCO]]/données_step[[#This Row],[E_COT]])</f>
        <v>#DIV/0!</v>
      </c>
      <c r="BQ46" s="521" t="e">
        <f>IF(données_step[[#This Row],[E_NTOT]]/données_step[[#This Row],[E_DCO]]=0,NA(),données_step[[#This Row],[E_NTOT]]/données_step[[#This Row],[E_DCO]])</f>
        <v>#DIV/0!</v>
      </c>
      <c r="BR46" s="521" t="e">
        <f>IF(données_step[[#This Row],[E_PTOT]]/données_step[[#This Row],[E_DCO]]=0,NA(),données_step[[#This Row],[E_PTOT]]/données_step[[#This Row],[E_DCO]])</f>
        <v>#DIV/0!</v>
      </c>
      <c r="BS46" s="747" t="e">
        <f ca="1">test_NH4_temp(données_step[[#This Row],[S_NH4]],données_step[[#This Row],[Temp_eaux]])</f>
        <v>#NAME?</v>
      </c>
    </row>
    <row r="47" spans="1:71" x14ac:dyDescent="0.2">
      <c r="A47" s="222">
        <f>données_step[[#This Row],[Datum]]</f>
        <v>44598</v>
      </c>
      <c r="B47" s="223"/>
      <c r="C47" s="224">
        <f t="shared" si="0"/>
        <v>1</v>
      </c>
      <c r="D47" s="523" t="str">
        <f>IF(OR(données_step[[#This Row],[E_DBO5]]&lt;=0,données_step[[#This Row],[E_DBO5]]=""),"",données_step[[#This Row],[D_QTRAI]]*données_step[[#This Row],[E_DBO5]]/1000)</f>
        <v/>
      </c>
      <c r="E47" s="523" t="str">
        <f>IF(OR(données_step[[#This Row],[E_DCO]]&lt;=0,données_step[[#This Row],[E_DCO]]=""),"",données_step[[#This Row],[D_QTRAI]]*données_step[[#This Row],[E_DCO]]/1000)</f>
        <v/>
      </c>
      <c r="F47" s="523" t="str">
        <f>IF(OR(données_step[[#This Row],[E_COT]]&lt;=0,données_step[[#This Row],[E_COT]]=""),"",données_step[[#This Row],[D_QTRAI]]*données_step[[#This Row],[E_COT]]/1000)</f>
        <v/>
      </c>
      <c r="G47" s="523" t="str">
        <f>IF(OR(données_step[[#This Row],[E_NH4]]&lt;=0,données_step[[#This Row],[E_NH4]]=""),"",données_step[[#This Row],[D_QTRAI]]*données_step[[#This Row],[E_NH4]]/1000)</f>
        <v/>
      </c>
      <c r="H47" s="523" t="str">
        <f>IF(OR(données_step[[#This Row],[E_NTOT]]&lt;=0,données_step[[#This Row],[E_NTOT]]=""),"",données_step[[#This Row],[D_QTRAI]]*données_step[[#This Row],[E_NTOT]]/1000)</f>
        <v/>
      </c>
      <c r="I47" s="523" t="str">
        <f>IF(OR(données_step[[#This Row],[E_NTOT]]&lt;=0,données_step[[#This Row],[E_NTOT]]=""),"",données_step[[#This Row],[D_QTRAI]]*données_step[[#This Row],[E_PTOT]]/1000)</f>
        <v/>
      </c>
      <c r="J47" s="523" t="str">
        <f>IF(OR(données_step[[#This Row],[S_DBO5]]&lt;=0,données_step[[#This Row],[S_DBO5]]=""),"",données_step[[#This Row],[D_QTRAI]]*données_step[[#This Row],[S_DBO5]]/1000)</f>
        <v/>
      </c>
      <c r="K47" s="523" t="str">
        <f>IF(OR(données_step[[#This Row],[S_DCO]]&lt;=0,données_step[[#This Row],[S_DCO]]=""),"",données_step[[#This Row],[D_QTRAI]]*données_step[[#This Row],[S_DCO]]/1000)</f>
        <v/>
      </c>
      <c r="L47" s="523" t="str">
        <f>IF(OR(données_step[[#This Row],[S_COD]]&lt;=0,données_step[[#This Row],[S_COD]]=""),"",données_step[[#This Row],[D_QTRAI]]*données_step[[#This Row],[S_COD]]/1000)</f>
        <v/>
      </c>
      <c r="M47" s="523" t="str">
        <f>IF(OR(données_step[[#This Row],[S_NH4]]&lt;=0,données_step[[#This Row],[S_NH4]]=""),"",données_step[[#This Row],[D_QTRAI]]*données_step[[#This Row],[S_NH4]]/1000)</f>
        <v/>
      </c>
      <c r="N47" s="523" t="str">
        <f>IF(OR(données_step[[#This Row],[S_NO2]]&lt;=0,données_step[[#This Row],[S_NO2]]=""),"",données_step[[#This Row],[D_QTRAI]]*données_step[[#This Row],[S_NO2]]/1000)</f>
        <v/>
      </c>
      <c r="O47" s="523" t="str">
        <f>IF(OR(données_step[[#This Row],[S_NO3]]&lt;=0,données_step[[#This Row],[S_NO3]]=""),"",données_step[[#This Row],[D_QTRAI]]*données_step[[#This Row],[S_NO3]]/1000)</f>
        <v/>
      </c>
      <c r="P47" s="523" t="str">
        <f>IF(OR(données_step[[#This Row],[S_PTOT]]&lt;=0,données_step[[#This Row],[S_PTOT]]=""),"",données_step[[#This Row],[D_QTRAI]]*données_step[[#This Row],[S_PTOT]]/1000)</f>
        <v/>
      </c>
      <c r="Q47" s="523" t="str">
        <f>IF(OR(données_step[[#This Row],[S_MES]]&lt;=0,données_step[[#This Row],[S_MES]]=""),"",données_step[[#This Row],[D_QTRAI]]*données_step[[#This Row],[S_MES]]/1000)</f>
        <v/>
      </c>
      <c r="R47" s="523">
        <f>MAX(données_step[[#This Row],[D_QTRAI]],données_step[[#This Row],[D_QTRAI2]])</f>
        <v>0</v>
      </c>
      <c r="S47" s="523" t="str">
        <f>IF(AND($R47&gt;0,données_step[[#This Row],[E_DCO]]&gt;0),données_step[[#This Row],[E_DCO]],"")</f>
        <v/>
      </c>
      <c r="T47" s="523" t="str">
        <f>IF(S47="","",(1-données_step[[#This Row],[E_DCO]]/$V$7)*100)</f>
        <v/>
      </c>
      <c r="U47" s="523" t="str">
        <f t="shared" si="1"/>
        <v/>
      </c>
      <c r="V47" s="523" t="str">
        <f t="shared" si="2"/>
        <v/>
      </c>
      <c r="W47" s="523" t="str">
        <f t="shared" si="3"/>
        <v/>
      </c>
      <c r="X47" s="523" t="e">
        <f>IF(((100-100/$V$7*données_step[[#This Row],[E_DCO]])/100*QTS)&lt;0,NA(),IF(OR(U47&lt;0,U47=""),NA(),((100-100/$V$7*données_step[[#This Row],[E_DCO]])/100*QTS)))</f>
        <v>#NUM!</v>
      </c>
      <c r="Y47" s="523" t="str">
        <f>IF(AND($R47&gt;0,données_step[[#This Row],[E_COT]]&gt;0),données_step[[#This Row],[E_COT]],"")</f>
        <v/>
      </c>
      <c r="Z47" s="523" t="str">
        <f>IF(Y47="","",(1-données_step[[#This Row],[E_COT]]/$AB$7)*100)</f>
        <v/>
      </c>
      <c r="AA47" s="523" t="str">
        <f t="shared" si="4"/>
        <v/>
      </c>
      <c r="AB47" s="523" t="str">
        <f t="shared" si="5"/>
        <v/>
      </c>
      <c r="AC47" s="523" t="str">
        <f t="shared" si="6"/>
        <v/>
      </c>
      <c r="AD47" s="523" t="e">
        <f>IF(((100-100/$AB$7*données_step[[#This Row],[E_COT]])/100*QTS)&lt;0,NA(),IF(OR(AA47&lt;0,AA47=""),NA(),((100-100/$AB$7*données_step[[#This Row],[E_COT]])/100*QTS)))</f>
        <v>#NUM!</v>
      </c>
      <c r="AE47" s="523" t="str">
        <f>IF(AND($R47&gt;0,données_step[[#This Row],[E_NH4]]&gt;0),données_step[[#This Row],[E_NH4]],"")</f>
        <v/>
      </c>
      <c r="AF47" s="523" t="str">
        <f>IF(AE47="","",(1-données_step[[#This Row],[E_NH4]]/$AH$7)*100)</f>
        <v/>
      </c>
      <c r="AG47" s="523" t="str">
        <f t="shared" si="7"/>
        <v/>
      </c>
      <c r="AH47" s="523" t="str">
        <f t="shared" si="8"/>
        <v/>
      </c>
      <c r="AI47" s="523" t="str">
        <f t="shared" si="9"/>
        <v/>
      </c>
      <c r="AJ47" s="523" t="e">
        <f>IF(((100-100/$AH$7*données_step[[#This Row],[E_NH4]])/100*QTS)&lt;0,NA(),IF(OR(AG47&lt;0,AG47=""),NA(),((100-100/$AH$7*données_step[[#This Row],[E_NH4]])/100*QTS)))</f>
        <v>#NUM!</v>
      </c>
      <c r="AK47" s="523" t="str">
        <f>IF(AND($R47&gt;0,données_step[[#This Row],[E_PTOT]]&gt;0),données_step[[#This Row],[E_PTOT]],"")</f>
        <v/>
      </c>
      <c r="AL47" s="523" t="str">
        <f>IF(AK47="","",(1-données_step[[#This Row],[E_PTOT]]/$AN$7)*100)</f>
        <v/>
      </c>
      <c r="AM47" s="523" t="str">
        <f t="shared" si="10"/>
        <v/>
      </c>
      <c r="AN47" s="523" t="str">
        <f t="shared" si="11"/>
        <v/>
      </c>
      <c r="AO47" s="523" t="str">
        <f t="shared" si="12"/>
        <v/>
      </c>
      <c r="AP47" s="523" t="e">
        <f>IF(((100-100/$AN$7*données_step[[#This Row],[E_PTOT]])/100*QTS)&lt;0,NA(),IF(OR(AM47&lt;0,AM47=""),NA(),((100-100/$AN$7*données_step[[#This Row],[E_PTOT]])/100*QTS)))</f>
        <v>#NUM!</v>
      </c>
      <c r="AQ47" s="524" t="e">
        <f t="shared" si="13"/>
        <v>#NUM!</v>
      </c>
      <c r="AR47" s="524" t="str">
        <f t="shared" si="14"/>
        <v/>
      </c>
      <c r="AT47" s="517">
        <f t="shared" si="15"/>
        <v>0.36</v>
      </c>
      <c r="AU47" s="501">
        <f t="shared" si="16"/>
        <v>36</v>
      </c>
      <c r="AV47" s="525" t="e">
        <f>PERCENTILE(analyses!$F$11:$F$375,$AT47)</f>
        <v>#NUM!</v>
      </c>
      <c r="AW47" s="7" t="e">
        <f>PERCENTILE(analyses!$I$11:$I$375,$AT47)</f>
        <v>#NUM!</v>
      </c>
      <c r="AX47" s="7" t="e">
        <f>PERCENTILE(analyses!$J$11:$J$375,$AT47)</f>
        <v>#NUM!</v>
      </c>
      <c r="AY47" s="523" t="str">
        <f>_xlfn.IFNA(IF(données_step[[#This Row],[E_DCO]]&lt;=0,NA(),charge_entree[[#This Row],[ch_E_DCO]]/constanten!$B$8*1000),"")</f>
        <v/>
      </c>
      <c r="AZ47" s="523" t="str">
        <f>_xlfn.IFNA(IF(données_step[[#This Row],[E_NTOT]]&lt;=0,NA(),charge_entree[[#This Row],[ch_E_NTOT]]/constanten!$B$10*1000),"")</f>
        <v/>
      </c>
      <c r="BA47" s="523" t="str">
        <f>_xlfn.IFNA(IF(données_step[[#This Row],[E_NH4]]&lt;=0,NA(),charge_entree[[#This Row],[ch_E_NH4]]/constanten!$B$12*1000),"")</f>
        <v/>
      </c>
      <c r="BB47" s="523" t="str">
        <f>_xlfn.IFNA(IF(données_step[[#This Row],[E_COT]]&lt;=0,NA(),charge_entree[[#This Row],[ch_E_COT]]/constanten!$B$9*1000),"")</f>
        <v/>
      </c>
      <c r="BC47" s="523" t="str">
        <f>IFERROR(_xlfn.IFNA(IF(données_step[[#This Row],[E_PTOT]]&lt;=0,NA(),charge_entree[[#This Row],[ch_E_PTOT]]/constanten!$B$15*1000),""),"")</f>
        <v/>
      </c>
      <c r="BD47" s="535" t="e">
        <f>calculs!E47 * (1-0.4) / (données_step[[#This Row],[X_BA_VOL]]*données_step[[#This Row],[X_BACONC]])</f>
        <v>#VALUE!</v>
      </c>
      <c r="BE47" s="522" t="e">
        <f>(données_step[[#This Row],[X_BA_VOL]]*données_step[[#This Row],[X_BACONC]])/((données_step[[#This Row],[D_QTRAI2]]*données_step[[#This Row],[S_MES]]/1000)+(données_step[[#This Row],[X_BX_Q]]*données_step[[#This Row],[X_BXCONC]]))</f>
        <v>#VALUE!</v>
      </c>
      <c r="BF47" s="890" t="str">
        <f>IFERROR(données_step[[#This Row],[D_QTRAI]]/AY47*1000,"")</f>
        <v/>
      </c>
      <c r="BG47" s="535" t="str">
        <f>IFERROR(1-données_step[[#This Row],[S_DBO5]]/données_step[[#This Row],[E_DBO5]],"")</f>
        <v/>
      </c>
      <c r="BH47" s="536" t="str">
        <f>IFERROR(1-données_step[[#This Row],[S_DCO]]/données_step[[#This Row],[E_DCO]],"")</f>
        <v/>
      </c>
      <c r="BI47" s="535" t="str">
        <f>IFERROR(1-données_step[[#This Row],[S_COD]]/données_step[[#This Row],[E_COT]],"")</f>
        <v/>
      </c>
      <c r="BJ47" s="535" t="str">
        <f>IFERROR(1-données_step[[#This Row],[S_NH4]]/données_step[[#This Row],[E_NTOT]],"")</f>
        <v/>
      </c>
      <c r="BK47" s="535" t="str">
        <f>IFERROR(1-données_step[[#This Row],[S_PTOT]]/données_step[[#This Row],[E_PTOT]],"")</f>
        <v/>
      </c>
      <c r="BL47" s="521" t="str">
        <f>IFERROR(IF(données_step[[#This Row],[E_DCO]]/données_step[[#This Row],[E_DBO5]]=0,NA(),données_step[[#This Row],[E_DCO]]/données_step[[#This Row],[E_DBO5]]),"")</f>
        <v/>
      </c>
      <c r="BM47" s="521" t="str">
        <f>IFERROR(IF(données_step[[#This Row],[E_NH4]]/données_step[[#This Row],[E_NTOT]]=0,NA(),données_step[[#This Row],[E_NH4]]/données_step[[#This Row],[E_NTOT]]),"")</f>
        <v/>
      </c>
      <c r="BN47" s="521" t="str">
        <f>IFERROR(IF(données_step[[#This Row],[E_NTOT]]/données_step[[#This Row],[E_COT]]=0,NA(),données_step[[#This Row],[E_NTOT]]/données_step[[#This Row],[E_COT]]),"")</f>
        <v/>
      </c>
      <c r="BO47" s="521" t="str">
        <f>IFERROR(IF(données_step[[#This Row],[E_PTOT]]/données_step[[#This Row],[E_COT]]=0,NA(),données_step[[#This Row],[E_PTOT]]/données_step[[#This Row],[E_COT]]),"")</f>
        <v/>
      </c>
      <c r="BP47" s="521" t="e">
        <f>IF(données_step[[#This Row],[E_DCO]]/données_step[[#This Row],[E_COT]]=0,NA(),données_step[[#This Row],[E_DCO]]/données_step[[#This Row],[E_COT]])</f>
        <v>#DIV/0!</v>
      </c>
      <c r="BQ47" s="521" t="e">
        <f>IF(données_step[[#This Row],[E_NTOT]]/données_step[[#This Row],[E_DCO]]=0,NA(),données_step[[#This Row],[E_NTOT]]/données_step[[#This Row],[E_DCO]])</f>
        <v>#DIV/0!</v>
      </c>
      <c r="BR47" s="521" t="e">
        <f>IF(données_step[[#This Row],[E_PTOT]]/données_step[[#This Row],[E_DCO]]=0,NA(),données_step[[#This Row],[E_PTOT]]/données_step[[#This Row],[E_DCO]])</f>
        <v>#DIV/0!</v>
      </c>
      <c r="BS47" s="747" t="e">
        <f ca="1">test_NH4_temp(données_step[[#This Row],[S_NH4]],données_step[[#This Row],[Temp_eaux]])</f>
        <v>#NAME?</v>
      </c>
    </row>
    <row r="48" spans="1:71" x14ac:dyDescent="0.2">
      <c r="A48" s="222">
        <f>données_step[[#This Row],[Datum]]</f>
        <v>44599</v>
      </c>
      <c r="B48" s="223"/>
      <c r="C48" s="224">
        <f t="shared" si="0"/>
        <v>2</v>
      </c>
      <c r="D48" s="523" t="str">
        <f>IF(OR(données_step[[#This Row],[E_DBO5]]&lt;=0,données_step[[#This Row],[E_DBO5]]=""),"",données_step[[#This Row],[D_QTRAI]]*données_step[[#This Row],[E_DBO5]]/1000)</f>
        <v/>
      </c>
      <c r="E48" s="523" t="str">
        <f>IF(OR(données_step[[#This Row],[E_DCO]]&lt;=0,données_step[[#This Row],[E_DCO]]=""),"",données_step[[#This Row],[D_QTRAI]]*données_step[[#This Row],[E_DCO]]/1000)</f>
        <v/>
      </c>
      <c r="F48" s="523" t="str">
        <f>IF(OR(données_step[[#This Row],[E_COT]]&lt;=0,données_step[[#This Row],[E_COT]]=""),"",données_step[[#This Row],[D_QTRAI]]*données_step[[#This Row],[E_COT]]/1000)</f>
        <v/>
      </c>
      <c r="G48" s="523" t="str">
        <f>IF(OR(données_step[[#This Row],[E_NH4]]&lt;=0,données_step[[#This Row],[E_NH4]]=""),"",données_step[[#This Row],[D_QTRAI]]*données_step[[#This Row],[E_NH4]]/1000)</f>
        <v/>
      </c>
      <c r="H48" s="523" t="str">
        <f>IF(OR(données_step[[#This Row],[E_NTOT]]&lt;=0,données_step[[#This Row],[E_NTOT]]=""),"",données_step[[#This Row],[D_QTRAI]]*données_step[[#This Row],[E_NTOT]]/1000)</f>
        <v/>
      </c>
      <c r="I48" s="523" t="str">
        <f>IF(OR(données_step[[#This Row],[E_NTOT]]&lt;=0,données_step[[#This Row],[E_NTOT]]=""),"",données_step[[#This Row],[D_QTRAI]]*données_step[[#This Row],[E_PTOT]]/1000)</f>
        <v/>
      </c>
      <c r="J48" s="523" t="str">
        <f>IF(OR(données_step[[#This Row],[S_DBO5]]&lt;=0,données_step[[#This Row],[S_DBO5]]=""),"",données_step[[#This Row],[D_QTRAI]]*données_step[[#This Row],[S_DBO5]]/1000)</f>
        <v/>
      </c>
      <c r="K48" s="523" t="str">
        <f>IF(OR(données_step[[#This Row],[S_DCO]]&lt;=0,données_step[[#This Row],[S_DCO]]=""),"",données_step[[#This Row],[D_QTRAI]]*données_step[[#This Row],[S_DCO]]/1000)</f>
        <v/>
      </c>
      <c r="L48" s="523" t="str">
        <f>IF(OR(données_step[[#This Row],[S_COD]]&lt;=0,données_step[[#This Row],[S_COD]]=""),"",données_step[[#This Row],[D_QTRAI]]*données_step[[#This Row],[S_COD]]/1000)</f>
        <v/>
      </c>
      <c r="M48" s="523" t="str">
        <f>IF(OR(données_step[[#This Row],[S_NH4]]&lt;=0,données_step[[#This Row],[S_NH4]]=""),"",données_step[[#This Row],[D_QTRAI]]*données_step[[#This Row],[S_NH4]]/1000)</f>
        <v/>
      </c>
      <c r="N48" s="523" t="str">
        <f>IF(OR(données_step[[#This Row],[S_NO2]]&lt;=0,données_step[[#This Row],[S_NO2]]=""),"",données_step[[#This Row],[D_QTRAI]]*données_step[[#This Row],[S_NO2]]/1000)</f>
        <v/>
      </c>
      <c r="O48" s="523" t="str">
        <f>IF(OR(données_step[[#This Row],[S_NO3]]&lt;=0,données_step[[#This Row],[S_NO3]]=""),"",données_step[[#This Row],[D_QTRAI]]*données_step[[#This Row],[S_NO3]]/1000)</f>
        <v/>
      </c>
      <c r="P48" s="523" t="str">
        <f>IF(OR(données_step[[#This Row],[S_PTOT]]&lt;=0,données_step[[#This Row],[S_PTOT]]=""),"",données_step[[#This Row],[D_QTRAI]]*données_step[[#This Row],[S_PTOT]]/1000)</f>
        <v/>
      </c>
      <c r="Q48" s="523" t="str">
        <f>IF(OR(données_step[[#This Row],[S_MES]]&lt;=0,données_step[[#This Row],[S_MES]]=""),"",données_step[[#This Row],[D_QTRAI]]*données_step[[#This Row],[S_MES]]/1000)</f>
        <v/>
      </c>
      <c r="R48" s="523">
        <f>MAX(données_step[[#This Row],[D_QTRAI]],données_step[[#This Row],[D_QTRAI2]])</f>
        <v>0</v>
      </c>
      <c r="S48" s="523" t="str">
        <f>IF(AND($R48&gt;0,données_step[[#This Row],[E_DCO]]&gt;0),données_step[[#This Row],[E_DCO]],"")</f>
        <v/>
      </c>
      <c r="T48" s="523" t="str">
        <f>IF(S48="","",(1-données_step[[#This Row],[E_DCO]]/$V$7)*100)</f>
        <v/>
      </c>
      <c r="U48" s="523" t="str">
        <f t="shared" si="1"/>
        <v/>
      </c>
      <c r="V48" s="523" t="str">
        <f t="shared" si="2"/>
        <v/>
      </c>
      <c r="W48" s="523" t="str">
        <f t="shared" si="3"/>
        <v/>
      </c>
      <c r="X48" s="523" t="e">
        <f>IF(((100-100/$V$7*données_step[[#This Row],[E_DCO]])/100*QTS)&lt;0,NA(),IF(OR(U48&lt;0,U48=""),NA(),((100-100/$V$7*données_step[[#This Row],[E_DCO]])/100*QTS)))</f>
        <v>#NUM!</v>
      </c>
      <c r="Y48" s="523" t="str">
        <f>IF(AND($R48&gt;0,données_step[[#This Row],[E_COT]]&gt;0),données_step[[#This Row],[E_COT]],"")</f>
        <v/>
      </c>
      <c r="Z48" s="523" t="str">
        <f>IF(Y48="","",(1-données_step[[#This Row],[E_COT]]/$AB$7)*100)</f>
        <v/>
      </c>
      <c r="AA48" s="523" t="str">
        <f t="shared" si="4"/>
        <v/>
      </c>
      <c r="AB48" s="523" t="str">
        <f t="shared" si="5"/>
        <v/>
      </c>
      <c r="AC48" s="523" t="str">
        <f t="shared" si="6"/>
        <v/>
      </c>
      <c r="AD48" s="523" t="e">
        <f>IF(((100-100/$AB$7*données_step[[#This Row],[E_COT]])/100*QTS)&lt;0,NA(),IF(OR(AA48&lt;0,AA48=""),NA(),((100-100/$AB$7*données_step[[#This Row],[E_COT]])/100*QTS)))</f>
        <v>#NUM!</v>
      </c>
      <c r="AE48" s="523" t="str">
        <f>IF(AND($R48&gt;0,données_step[[#This Row],[E_NH4]]&gt;0),données_step[[#This Row],[E_NH4]],"")</f>
        <v/>
      </c>
      <c r="AF48" s="523" t="str">
        <f>IF(AE48="","",(1-données_step[[#This Row],[E_NH4]]/$AH$7)*100)</f>
        <v/>
      </c>
      <c r="AG48" s="523" t="str">
        <f t="shared" si="7"/>
        <v/>
      </c>
      <c r="AH48" s="523" t="str">
        <f t="shared" si="8"/>
        <v/>
      </c>
      <c r="AI48" s="523" t="str">
        <f t="shared" si="9"/>
        <v/>
      </c>
      <c r="AJ48" s="523" t="e">
        <f>IF(((100-100/$AH$7*données_step[[#This Row],[E_NH4]])/100*QTS)&lt;0,NA(),IF(OR(AG48&lt;0,AG48=""),NA(),((100-100/$AH$7*données_step[[#This Row],[E_NH4]])/100*QTS)))</f>
        <v>#NUM!</v>
      </c>
      <c r="AK48" s="523" t="str">
        <f>IF(AND($R48&gt;0,données_step[[#This Row],[E_PTOT]]&gt;0),données_step[[#This Row],[E_PTOT]],"")</f>
        <v/>
      </c>
      <c r="AL48" s="523" t="str">
        <f>IF(AK48="","",(1-données_step[[#This Row],[E_PTOT]]/$AN$7)*100)</f>
        <v/>
      </c>
      <c r="AM48" s="523" t="str">
        <f t="shared" si="10"/>
        <v/>
      </c>
      <c r="AN48" s="523" t="str">
        <f t="shared" si="11"/>
        <v/>
      </c>
      <c r="AO48" s="523" t="str">
        <f t="shared" si="12"/>
        <v/>
      </c>
      <c r="AP48" s="523" t="e">
        <f>IF(((100-100/$AN$7*données_step[[#This Row],[E_PTOT]])/100*QTS)&lt;0,NA(),IF(OR(AM48&lt;0,AM48=""),NA(),((100-100/$AN$7*données_step[[#This Row],[E_PTOT]])/100*QTS)))</f>
        <v>#NUM!</v>
      </c>
      <c r="AQ48" s="524" t="e">
        <f t="shared" si="13"/>
        <v>#NUM!</v>
      </c>
      <c r="AR48" s="524" t="str">
        <f t="shared" si="14"/>
        <v/>
      </c>
      <c r="AT48" s="517">
        <f t="shared" si="15"/>
        <v>0.37</v>
      </c>
      <c r="AU48" s="501">
        <f t="shared" si="16"/>
        <v>37</v>
      </c>
      <c r="AV48" s="525" t="e">
        <f>PERCENTILE(analyses!$F$11:$F$375,$AT48)</f>
        <v>#NUM!</v>
      </c>
      <c r="AW48" s="7" t="e">
        <f>PERCENTILE(analyses!$I$11:$I$375,$AT48)</f>
        <v>#NUM!</v>
      </c>
      <c r="AX48" s="7" t="e">
        <f>PERCENTILE(analyses!$J$11:$J$375,$AT48)</f>
        <v>#NUM!</v>
      </c>
      <c r="AY48" s="523" t="str">
        <f>_xlfn.IFNA(IF(données_step[[#This Row],[E_DCO]]&lt;=0,NA(),charge_entree[[#This Row],[ch_E_DCO]]/constanten!$B$8*1000),"")</f>
        <v/>
      </c>
      <c r="AZ48" s="523" t="str">
        <f>_xlfn.IFNA(IF(données_step[[#This Row],[E_NTOT]]&lt;=0,NA(),charge_entree[[#This Row],[ch_E_NTOT]]/constanten!$B$10*1000),"")</f>
        <v/>
      </c>
      <c r="BA48" s="523" t="str">
        <f>_xlfn.IFNA(IF(données_step[[#This Row],[E_NH4]]&lt;=0,NA(),charge_entree[[#This Row],[ch_E_NH4]]/constanten!$B$12*1000),"")</f>
        <v/>
      </c>
      <c r="BB48" s="523" t="str">
        <f>_xlfn.IFNA(IF(données_step[[#This Row],[E_COT]]&lt;=0,NA(),charge_entree[[#This Row],[ch_E_COT]]/constanten!$B$9*1000),"")</f>
        <v/>
      </c>
      <c r="BC48" s="523" t="str">
        <f>IFERROR(_xlfn.IFNA(IF(données_step[[#This Row],[E_PTOT]]&lt;=0,NA(),charge_entree[[#This Row],[ch_E_PTOT]]/constanten!$B$15*1000),""),"")</f>
        <v/>
      </c>
      <c r="BD48" s="535" t="e">
        <f>calculs!E48 * (1-0.4) / (données_step[[#This Row],[X_BA_VOL]]*données_step[[#This Row],[X_BACONC]])</f>
        <v>#VALUE!</v>
      </c>
      <c r="BE48" s="522" t="e">
        <f>(données_step[[#This Row],[X_BA_VOL]]*données_step[[#This Row],[X_BACONC]])/((données_step[[#This Row],[D_QTRAI2]]*données_step[[#This Row],[S_MES]]/1000)+(données_step[[#This Row],[X_BX_Q]]*données_step[[#This Row],[X_BXCONC]]))</f>
        <v>#VALUE!</v>
      </c>
      <c r="BF48" s="890" t="str">
        <f>IFERROR(données_step[[#This Row],[D_QTRAI]]/AY48*1000,"")</f>
        <v/>
      </c>
      <c r="BG48" s="535" t="str">
        <f>IFERROR(1-données_step[[#This Row],[S_DBO5]]/données_step[[#This Row],[E_DBO5]],"")</f>
        <v/>
      </c>
      <c r="BH48" s="536" t="str">
        <f>IFERROR(1-données_step[[#This Row],[S_DCO]]/données_step[[#This Row],[E_DCO]],"")</f>
        <v/>
      </c>
      <c r="BI48" s="535" t="str">
        <f>IFERROR(1-données_step[[#This Row],[S_COD]]/données_step[[#This Row],[E_COT]],"")</f>
        <v/>
      </c>
      <c r="BJ48" s="535" t="str">
        <f>IFERROR(1-données_step[[#This Row],[S_NH4]]/données_step[[#This Row],[E_NTOT]],"")</f>
        <v/>
      </c>
      <c r="BK48" s="535" t="str">
        <f>IFERROR(1-données_step[[#This Row],[S_PTOT]]/données_step[[#This Row],[E_PTOT]],"")</f>
        <v/>
      </c>
      <c r="BL48" s="521" t="str">
        <f>IFERROR(IF(données_step[[#This Row],[E_DCO]]/données_step[[#This Row],[E_DBO5]]=0,NA(),données_step[[#This Row],[E_DCO]]/données_step[[#This Row],[E_DBO5]]),"")</f>
        <v/>
      </c>
      <c r="BM48" s="521" t="str">
        <f>IFERROR(IF(données_step[[#This Row],[E_NH4]]/données_step[[#This Row],[E_NTOT]]=0,NA(),données_step[[#This Row],[E_NH4]]/données_step[[#This Row],[E_NTOT]]),"")</f>
        <v/>
      </c>
      <c r="BN48" s="521" t="str">
        <f>IFERROR(IF(données_step[[#This Row],[E_NTOT]]/données_step[[#This Row],[E_COT]]=0,NA(),données_step[[#This Row],[E_NTOT]]/données_step[[#This Row],[E_COT]]),"")</f>
        <v/>
      </c>
      <c r="BO48" s="521" t="str">
        <f>IFERROR(IF(données_step[[#This Row],[E_PTOT]]/données_step[[#This Row],[E_COT]]=0,NA(),données_step[[#This Row],[E_PTOT]]/données_step[[#This Row],[E_COT]]),"")</f>
        <v/>
      </c>
      <c r="BP48" s="521" t="e">
        <f>IF(données_step[[#This Row],[E_DCO]]/données_step[[#This Row],[E_COT]]=0,NA(),données_step[[#This Row],[E_DCO]]/données_step[[#This Row],[E_COT]])</f>
        <v>#DIV/0!</v>
      </c>
      <c r="BQ48" s="521" t="e">
        <f>IF(données_step[[#This Row],[E_NTOT]]/données_step[[#This Row],[E_DCO]]=0,NA(),données_step[[#This Row],[E_NTOT]]/données_step[[#This Row],[E_DCO]])</f>
        <v>#DIV/0!</v>
      </c>
      <c r="BR48" s="521" t="e">
        <f>IF(données_step[[#This Row],[E_PTOT]]/données_step[[#This Row],[E_DCO]]=0,NA(),données_step[[#This Row],[E_PTOT]]/données_step[[#This Row],[E_DCO]])</f>
        <v>#DIV/0!</v>
      </c>
      <c r="BS48" s="747" t="e">
        <f ca="1">test_NH4_temp(données_step[[#This Row],[S_NH4]],données_step[[#This Row],[Temp_eaux]])</f>
        <v>#NAME?</v>
      </c>
    </row>
    <row r="49" spans="1:71" x14ac:dyDescent="0.2">
      <c r="A49" s="222">
        <f>données_step[[#This Row],[Datum]]</f>
        <v>44600</v>
      </c>
      <c r="B49" s="223"/>
      <c r="C49" s="224">
        <f t="shared" si="0"/>
        <v>3</v>
      </c>
      <c r="D49" s="523" t="str">
        <f>IF(OR(données_step[[#This Row],[E_DBO5]]&lt;=0,données_step[[#This Row],[E_DBO5]]=""),"",données_step[[#This Row],[D_QTRAI]]*données_step[[#This Row],[E_DBO5]]/1000)</f>
        <v/>
      </c>
      <c r="E49" s="523" t="str">
        <f>IF(OR(données_step[[#This Row],[E_DCO]]&lt;=0,données_step[[#This Row],[E_DCO]]=""),"",données_step[[#This Row],[D_QTRAI]]*données_step[[#This Row],[E_DCO]]/1000)</f>
        <v/>
      </c>
      <c r="F49" s="523" t="str">
        <f>IF(OR(données_step[[#This Row],[E_COT]]&lt;=0,données_step[[#This Row],[E_COT]]=""),"",données_step[[#This Row],[D_QTRAI]]*données_step[[#This Row],[E_COT]]/1000)</f>
        <v/>
      </c>
      <c r="G49" s="523" t="str">
        <f>IF(OR(données_step[[#This Row],[E_NH4]]&lt;=0,données_step[[#This Row],[E_NH4]]=""),"",données_step[[#This Row],[D_QTRAI]]*données_step[[#This Row],[E_NH4]]/1000)</f>
        <v/>
      </c>
      <c r="H49" s="523" t="str">
        <f>IF(OR(données_step[[#This Row],[E_NTOT]]&lt;=0,données_step[[#This Row],[E_NTOT]]=""),"",données_step[[#This Row],[D_QTRAI]]*données_step[[#This Row],[E_NTOT]]/1000)</f>
        <v/>
      </c>
      <c r="I49" s="523" t="str">
        <f>IF(OR(données_step[[#This Row],[E_NTOT]]&lt;=0,données_step[[#This Row],[E_NTOT]]=""),"",données_step[[#This Row],[D_QTRAI]]*données_step[[#This Row],[E_PTOT]]/1000)</f>
        <v/>
      </c>
      <c r="J49" s="523" t="str">
        <f>IF(OR(données_step[[#This Row],[S_DBO5]]&lt;=0,données_step[[#This Row],[S_DBO5]]=""),"",données_step[[#This Row],[D_QTRAI]]*données_step[[#This Row],[S_DBO5]]/1000)</f>
        <v/>
      </c>
      <c r="K49" s="523" t="str">
        <f>IF(OR(données_step[[#This Row],[S_DCO]]&lt;=0,données_step[[#This Row],[S_DCO]]=""),"",données_step[[#This Row],[D_QTRAI]]*données_step[[#This Row],[S_DCO]]/1000)</f>
        <v/>
      </c>
      <c r="L49" s="523" t="str">
        <f>IF(OR(données_step[[#This Row],[S_COD]]&lt;=0,données_step[[#This Row],[S_COD]]=""),"",données_step[[#This Row],[D_QTRAI]]*données_step[[#This Row],[S_COD]]/1000)</f>
        <v/>
      </c>
      <c r="M49" s="523" t="str">
        <f>IF(OR(données_step[[#This Row],[S_NH4]]&lt;=0,données_step[[#This Row],[S_NH4]]=""),"",données_step[[#This Row],[D_QTRAI]]*données_step[[#This Row],[S_NH4]]/1000)</f>
        <v/>
      </c>
      <c r="N49" s="523" t="str">
        <f>IF(OR(données_step[[#This Row],[S_NO2]]&lt;=0,données_step[[#This Row],[S_NO2]]=""),"",données_step[[#This Row],[D_QTRAI]]*données_step[[#This Row],[S_NO2]]/1000)</f>
        <v/>
      </c>
      <c r="O49" s="523" t="str">
        <f>IF(OR(données_step[[#This Row],[S_NO3]]&lt;=0,données_step[[#This Row],[S_NO3]]=""),"",données_step[[#This Row],[D_QTRAI]]*données_step[[#This Row],[S_NO3]]/1000)</f>
        <v/>
      </c>
      <c r="P49" s="523" t="str">
        <f>IF(OR(données_step[[#This Row],[S_PTOT]]&lt;=0,données_step[[#This Row],[S_PTOT]]=""),"",données_step[[#This Row],[D_QTRAI]]*données_step[[#This Row],[S_PTOT]]/1000)</f>
        <v/>
      </c>
      <c r="Q49" s="523" t="str">
        <f>IF(OR(données_step[[#This Row],[S_MES]]&lt;=0,données_step[[#This Row],[S_MES]]=""),"",données_step[[#This Row],[D_QTRAI]]*données_step[[#This Row],[S_MES]]/1000)</f>
        <v/>
      </c>
      <c r="R49" s="523">
        <f>MAX(données_step[[#This Row],[D_QTRAI]],données_step[[#This Row],[D_QTRAI2]])</f>
        <v>0</v>
      </c>
      <c r="S49" s="523" t="str">
        <f>IF(AND($R49&gt;0,données_step[[#This Row],[E_DCO]]&gt;0),données_step[[#This Row],[E_DCO]],"")</f>
        <v/>
      </c>
      <c r="T49" s="523" t="str">
        <f>IF(S49="","",(1-données_step[[#This Row],[E_DCO]]/$V$7)*100)</f>
        <v/>
      </c>
      <c r="U49" s="523" t="str">
        <f t="shared" si="1"/>
        <v/>
      </c>
      <c r="V49" s="523" t="str">
        <f t="shared" si="2"/>
        <v/>
      </c>
      <c r="W49" s="523" t="str">
        <f t="shared" si="3"/>
        <v/>
      </c>
      <c r="X49" s="523" t="e">
        <f>IF(((100-100/$V$7*données_step[[#This Row],[E_DCO]])/100*QTS)&lt;0,NA(),IF(OR(U49&lt;0,U49=""),NA(),((100-100/$V$7*données_step[[#This Row],[E_DCO]])/100*QTS)))</f>
        <v>#NUM!</v>
      </c>
      <c r="Y49" s="523" t="str">
        <f>IF(AND($R49&gt;0,données_step[[#This Row],[E_COT]]&gt;0),données_step[[#This Row],[E_COT]],"")</f>
        <v/>
      </c>
      <c r="Z49" s="523" t="str">
        <f>IF(Y49="","",(1-données_step[[#This Row],[E_COT]]/$AB$7)*100)</f>
        <v/>
      </c>
      <c r="AA49" s="523" t="str">
        <f t="shared" si="4"/>
        <v/>
      </c>
      <c r="AB49" s="523" t="str">
        <f t="shared" si="5"/>
        <v/>
      </c>
      <c r="AC49" s="523" t="str">
        <f t="shared" si="6"/>
        <v/>
      </c>
      <c r="AD49" s="523" t="e">
        <f>IF(((100-100/$AB$7*données_step[[#This Row],[E_COT]])/100*QTS)&lt;0,NA(),IF(OR(AA49&lt;0,AA49=""),NA(),((100-100/$AB$7*données_step[[#This Row],[E_COT]])/100*QTS)))</f>
        <v>#NUM!</v>
      </c>
      <c r="AE49" s="523" t="str">
        <f>IF(AND($R49&gt;0,données_step[[#This Row],[E_NH4]]&gt;0),données_step[[#This Row],[E_NH4]],"")</f>
        <v/>
      </c>
      <c r="AF49" s="523" t="str">
        <f>IF(AE49="","",(1-données_step[[#This Row],[E_NH4]]/$AH$7)*100)</f>
        <v/>
      </c>
      <c r="AG49" s="523" t="str">
        <f t="shared" si="7"/>
        <v/>
      </c>
      <c r="AH49" s="523" t="str">
        <f t="shared" si="8"/>
        <v/>
      </c>
      <c r="AI49" s="523" t="str">
        <f t="shared" si="9"/>
        <v/>
      </c>
      <c r="AJ49" s="523" t="e">
        <f>IF(((100-100/$AH$7*données_step[[#This Row],[E_NH4]])/100*QTS)&lt;0,NA(),IF(OR(AG49&lt;0,AG49=""),NA(),((100-100/$AH$7*données_step[[#This Row],[E_NH4]])/100*QTS)))</f>
        <v>#NUM!</v>
      </c>
      <c r="AK49" s="523" t="str">
        <f>IF(AND($R49&gt;0,données_step[[#This Row],[E_PTOT]]&gt;0),données_step[[#This Row],[E_PTOT]],"")</f>
        <v/>
      </c>
      <c r="AL49" s="523" t="str">
        <f>IF(AK49="","",(1-données_step[[#This Row],[E_PTOT]]/$AN$7)*100)</f>
        <v/>
      </c>
      <c r="AM49" s="523" t="str">
        <f t="shared" si="10"/>
        <v/>
      </c>
      <c r="AN49" s="523" t="str">
        <f t="shared" si="11"/>
        <v/>
      </c>
      <c r="AO49" s="523" t="str">
        <f t="shared" si="12"/>
        <v/>
      </c>
      <c r="AP49" s="523" t="e">
        <f>IF(((100-100/$AN$7*données_step[[#This Row],[E_PTOT]])/100*QTS)&lt;0,NA(),IF(OR(AM49&lt;0,AM49=""),NA(),((100-100/$AN$7*données_step[[#This Row],[E_PTOT]])/100*QTS)))</f>
        <v>#NUM!</v>
      </c>
      <c r="AQ49" s="524" t="e">
        <f t="shared" si="13"/>
        <v>#NUM!</v>
      </c>
      <c r="AR49" s="524" t="str">
        <f t="shared" si="14"/>
        <v/>
      </c>
      <c r="AT49" s="517">
        <f t="shared" si="15"/>
        <v>0.38</v>
      </c>
      <c r="AU49" s="501">
        <f t="shared" si="16"/>
        <v>38</v>
      </c>
      <c r="AV49" s="525" t="e">
        <f>PERCENTILE(analyses!$F$11:$F$375,$AT49)</f>
        <v>#NUM!</v>
      </c>
      <c r="AW49" s="7" t="e">
        <f>PERCENTILE(analyses!$I$11:$I$375,$AT49)</f>
        <v>#NUM!</v>
      </c>
      <c r="AX49" s="7" t="e">
        <f>PERCENTILE(analyses!$J$11:$J$375,$AT49)</f>
        <v>#NUM!</v>
      </c>
      <c r="AY49" s="523" t="str">
        <f>_xlfn.IFNA(IF(données_step[[#This Row],[E_DCO]]&lt;=0,NA(),charge_entree[[#This Row],[ch_E_DCO]]/constanten!$B$8*1000),"")</f>
        <v/>
      </c>
      <c r="AZ49" s="523" t="str">
        <f>_xlfn.IFNA(IF(données_step[[#This Row],[E_NTOT]]&lt;=0,NA(),charge_entree[[#This Row],[ch_E_NTOT]]/constanten!$B$10*1000),"")</f>
        <v/>
      </c>
      <c r="BA49" s="523" t="str">
        <f>_xlfn.IFNA(IF(données_step[[#This Row],[E_NH4]]&lt;=0,NA(),charge_entree[[#This Row],[ch_E_NH4]]/constanten!$B$12*1000),"")</f>
        <v/>
      </c>
      <c r="BB49" s="523" t="str">
        <f>_xlfn.IFNA(IF(données_step[[#This Row],[E_COT]]&lt;=0,NA(),charge_entree[[#This Row],[ch_E_COT]]/constanten!$B$9*1000),"")</f>
        <v/>
      </c>
      <c r="BC49" s="523" t="str">
        <f>IFERROR(_xlfn.IFNA(IF(données_step[[#This Row],[E_PTOT]]&lt;=0,NA(),charge_entree[[#This Row],[ch_E_PTOT]]/constanten!$B$15*1000),""),"")</f>
        <v/>
      </c>
      <c r="BD49" s="535" t="e">
        <f>calculs!E49 * (1-0.4) / (données_step[[#This Row],[X_BA_VOL]]*données_step[[#This Row],[X_BACONC]])</f>
        <v>#VALUE!</v>
      </c>
      <c r="BE49" s="522" t="e">
        <f>(données_step[[#This Row],[X_BA_VOL]]*données_step[[#This Row],[X_BACONC]])/((données_step[[#This Row],[D_QTRAI2]]*données_step[[#This Row],[S_MES]]/1000)+(données_step[[#This Row],[X_BX_Q]]*données_step[[#This Row],[X_BXCONC]]))</f>
        <v>#VALUE!</v>
      </c>
      <c r="BF49" s="890" t="str">
        <f>IFERROR(données_step[[#This Row],[D_QTRAI]]/AY49*1000,"")</f>
        <v/>
      </c>
      <c r="BG49" s="535" t="str">
        <f>IFERROR(1-données_step[[#This Row],[S_DBO5]]/données_step[[#This Row],[E_DBO5]],"")</f>
        <v/>
      </c>
      <c r="BH49" s="536" t="str">
        <f>IFERROR(1-données_step[[#This Row],[S_DCO]]/données_step[[#This Row],[E_DCO]],"")</f>
        <v/>
      </c>
      <c r="BI49" s="535" t="str">
        <f>IFERROR(1-données_step[[#This Row],[S_COD]]/données_step[[#This Row],[E_COT]],"")</f>
        <v/>
      </c>
      <c r="BJ49" s="535" t="str">
        <f>IFERROR(1-données_step[[#This Row],[S_NH4]]/données_step[[#This Row],[E_NTOT]],"")</f>
        <v/>
      </c>
      <c r="BK49" s="535" t="str">
        <f>IFERROR(1-données_step[[#This Row],[S_PTOT]]/données_step[[#This Row],[E_PTOT]],"")</f>
        <v/>
      </c>
      <c r="BL49" s="521" t="str">
        <f>IFERROR(IF(données_step[[#This Row],[E_DCO]]/données_step[[#This Row],[E_DBO5]]=0,NA(),données_step[[#This Row],[E_DCO]]/données_step[[#This Row],[E_DBO5]]),"")</f>
        <v/>
      </c>
      <c r="BM49" s="521" t="str">
        <f>IFERROR(IF(données_step[[#This Row],[E_NH4]]/données_step[[#This Row],[E_NTOT]]=0,NA(),données_step[[#This Row],[E_NH4]]/données_step[[#This Row],[E_NTOT]]),"")</f>
        <v/>
      </c>
      <c r="BN49" s="521" t="str">
        <f>IFERROR(IF(données_step[[#This Row],[E_NTOT]]/données_step[[#This Row],[E_COT]]=0,NA(),données_step[[#This Row],[E_NTOT]]/données_step[[#This Row],[E_COT]]),"")</f>
        <v/>
      </c>
      <c r="BO49" s="521" t="str">
        <f>IFERROR(IF(données_step[[#This Row],[E_PTOT]]/données_step[[#This Row],[E_COT]]=0,NA(),données_step[[#This Row],[E_PTOT]]/données_step[[#This Row],[E_COT]]),"")</f>
        <v/>
      </c>
      <c r="BP49" s="521" t="e">
        <f>IF(données_step[[#This Row],[E_DCO]]/données_step[[#This Row],[E_COT]]=0,NA(),données_step[[#This Row],[E_DCO]]/données_step[[#This Row],[E_COT]])</f>
        <v>#DIV/0!</v>
      </c>
      <c r="BQ49" s="521" t="e">
        <f>IF(données_step[[#This Row],[E_NTOT]]/données_step[[#This Row],[E_DCO]]=0,NA(),données_step[[#This Row],[E_NTOT]]/données_step[[#This Row],[E_DCO]])</f>
        <v>#DIV/0!</v>
      </c>
      <c r="BR49" s="521" t="e">
        <f>IF(données_step[[#This Row],[E_PTOT]]/données_step[[#This Row],[E_DCO]]=0,NA(),données_step[[#This Row],[E_PTOT]]/données_step[[#This Row],[E_DCO]])</f>
        <v>#DIV/0!</v>
      </c>
      <c r="BS49" s="747" t="e">
        <f ca="1">test_NH4_temp(données_step[[#This Row],[S_NH4]],données_step[[#This Row],[Temp_eaux]])</f>
        <v>#NAME?</v>
      </c>
    </row>
    <row r="50" spans="1:71" x14ac:dyDescent="0.2">
      <c r="A50" s="222">
        <f>données_step[[#This Row],[Datum]]</f>
        <v>44601</v>
      </c>
      <c r="B50" s="223"/>
      <c r="C50" s="224">
        <f t="shared" si="0"/>
        <v>4</v>
      </c>
      <c r="D50" s="523" t="str">
        <f>IF(OR(données_step[[#This Row],[E_DBO5]]&lt;=0,données_step[[#This Row],[E_DBO5]]=""),"",données_step[[#This Row],[D_QTRAI]]*données_step[[#This Row],[E_DBO5]]/1000)</f>
        <v/>
      </c>
      <c r="E50" s="523" t="str">
        <f>IF(OR(données_step[[#This Row],[E_DCO]]&lt;=0,données_step[[#This Row],[E_DCO]]=""),"",données_step[[#This Row],[D_QTRAI]]*données_step[[#This Row],[E_DCO]]/1000)</f>
        <v/>
      </c>
      <c r="F50" s="523" t="str">
        <f>IF(OR(données_step[[#This Row],[E_COT]]&lt;=0,données_step[[#This Row],[E_COT]]=""),"",données_step[[#This Row],[D_QTRAI]]*données_step[[#This Row],[E_COT]]/1000)</f>
        <v/>
      </c>
      <c r="G50" s="523" t="str">
        <f>IF(OR(données_step[[#This Row],[E_NH4]]&lt;=0,données_step[[#This Row],[E_NH4]]=""),"",données_step[[#This Row],[D_QTRAI]]*données_step[[#This Row],[E_NH4]]/1000)</f>
        <v/>
      </c>
      <c r="H50" s="523" t="str">
        <f>IF(OR(données_step[[#This Row],[E_NTOT]]&lt;=0,données_step[[#This Row],[E_NTOT]]=""),"",données_step[[#This Row],[D_QTRAI]]*données_step[[#This Row],[E_NTOT]]/1000)</f>
        <v/>
      </c>
      <c r="I50" s="523" t="str">
        <f>IF(OR(données_step[[#This Row],[E_NTOT]]&lt;=0,données_step[[#This Row],[E_NTOT]]=""),"",données_step[[#This Row],[D_QTRAI]]*données_step[[#This Row],[E_PTOT]]/1000)</f>
        <v/>
      </c>
      <c r="J50" s="523" t="str">
        <f>IF(OR(données_step[[#This Row],[S_DBO5]]&lt;=0,données_step[[#This Row],[S_DBO5]]=""),"",données_step[[#This Row],[D_QTRAI]]*données_step[[#This Row],[S_DBO5]]/1000)</f>
        <v/>
      </c>
      <c r="K50" s="523" t="str">
        <f>IF(OR(données_step[[#This Row],[S_DCO]]&lt;=0,données_step[[#This Row],[S_DCO]]=""),"",données_step[[#This Row],[D_QTRAI]]*données_step[[#This Row],[S_DCO]]/1000)</f>
        <v/>
      </c>
      <c r="L50" s="523" t="str">
        <f>IF(OR(données_step[[#This Row],[S_COD]]&lt;=0,données_step[[#This Row],[S_COD]]=""),"",données_step[[#This Row],[D_QTRAI]]*données_step[[#This Row],[S_COD]]/1000)</f>
        <v/>
      </c>
      <c r="M50" s="523" t="str">
        <f>IF(OR(données_step[[#This Row],[S_NH4]]&lt;=0,données_step[[#This Row],[S_NH4]]=""),"",données_step[[#This Row],[D_QTRAI]]*données_step[[#This Row],[S_NH4]]/1000)</f>
        <v/>
      </c>
      <c r="N50" s="523" t="str">
        <f>IF(OR(données_step[[#This Row],[S_NO2]]&lt;=0,données_step[[#This Row],[S_NO2]]=""),"",données_step[[#This Row],[D_QTRAI]]*données_step[[#This Row],[S_NO2]]/1000)</f>
        <v/>
      </c>
      <c r="O50" s="523" t="str">
        <f>IF(OR(données_step[[#This Row],[S_NO3]]&lt;=0,données_step[[#This Row],[S_NO3]]=""),"",données_step[[#This Row],[D_QTRAI]]*données_step[[#This Row],[S_NO3]]/1000)</f>
        <v/>
      </c>
      <c r="P50" s="523" t="str">
        <f>IF(OR(données_step[[#This Row],[S_PTOT]]&lt;=0,données_step[[#This Row],[S_PTOT]]=""),"",données_step[[#This Row],[D_QTRAI]]*données_step[[#This Row],[S_PTOT]]/1000)</f>
        <v/>
      </c>
      <c r="Q50" s="523" t="str">
        <f>IF(OR(données_step[[#This Row],[S_MES]]&lt;=0,données_step[[#This Row],[S_MES]]=""),"",données_step[[#This Row],[D_QTRAI]]*données_step[[#This Row],[S_MES]]/1000)</f>
        <v/>
      </c>
      <c r="R50" s="523">
        <f>MAX(données_step[[#This Row],[D_QTRAI]],données_step[[#This Row],[D_QTRAI2]])</f>
        <v>0</v>
      </c>
      <c r="S50" s="523" t="str">
        <f>IF(AND($R50&gt;0,données_step[[#This Row],[E_DCO]]&gt;0),données_step[[#This Row],[E_DCO]],"")</f>
        <v/>
      </c>
      <c r="T50" s="523" t="str">
        <f>IF(S50="","",(1-données_step[[#This Row],[E_DCO]]/$V$7)*100)</f>
        <v/>
      </c>
      <c r="U50" s="523" t="str">
        <f t="shared" si="1"/>
        <v/>
      </c>
      <c r="V50" s="523" t="str">
        <f t="shared" si="2"/>
        <v/>
      </c>
      <c r="W50" s="523" t="str">
        <f t="shared" si="3"/>
        <v/>
      </c>
      <c r="X50" s="523" t="e">
        <f>IF(((100-100/$V$7*données_step[[#This Row],[E_DCO]])/100*QTS)&lt;0,NA(),IF(OR(U50&lt;0,U50=""),NA(),((100-100/$V$7*données_step[[#This Row],[E_DCO]])/100*QTS)))</f>
        <v>#NUM!</v>
      </c>
      <c r="Y50" s="523" t="str">
        <f>IF(AND($R50&gt;0,données_step[[#This Row],[E_COT]]&gt;0),données_step[[#This Row],[E_COT]],"")</f>
        <v/>
      </c>
      <c r="Z50" s="523" t="str">
        <f>IF(Y50="","",(1-données_step[[#This Row],[E_COT]]/$AB$7)*100)</f>
        <v/>
      </c>
      <c r="AA50" s="523" t="str">
        <f t="shared" si="4"/>
        <v/>
      </c>
      <c r="AB50" s="523" t="str">
        <f t="shared" si="5"/>
        <v/>
      </c>
      <c r="AC50" s="523" t="str">
        <f t="shared" si="6"/>
        <v/>
      </c>
      <c r="AD50" s="523" t="e">
        <f>IF(((100-100/$AB$7*données_step[[#This Row],[E_COT]])/100*QTS)&lt;0,NA(),IF(OR(AA50&lt;0,AA50=""),NA(),((100-100/$AB$7*données_step[[#This Row],[E_COT]])/100*QTS)))</f>
        <v>#NUM!</v>
      </c>
      <c r="AE50" s="523" t="str">
        <f>IF(AND($R50&gt;0,données_step[[#This Row],[E_NH4]]&gt;0),données_step[[#This Row],[E_NH4]],"")</f>
        <v/>
      </c>
      <c r="AF50" s="523" t="str">
        <f>IF(AE50="","",(1-données_step[[#This Row],[E_NH4]]/$AH$7)*100)</f>
        <v/>
      </c>
      <c r="AG50" s="523" t="str">
        <f t="shared" si="7"/>
        <v/>
      </c>
      <c r="AH50" s="523" t="str">
        <f t="shared" si="8"/>
        <v/>
      </c>
      <c r="AI50" s="523" t="str">
        <f t="shared" si="9"/>
        <v/>
      </c>
      <c r="AJ50" s="523" t="e">
        <f>IF(((100-100/$AH$7*données_step[[#This Row],[E_NH4]])/100*QTS)&lt;0,NA(),IF(OR(AG50&lt;0,AG50=""),NA(),((100-100/$AH$7*données_step[[#This Row],[E_NH4]])/100*QTS)))</f>
        <v>#NUM!</v>
      </c>
      <c r="AK50" s="523" t="str">
        <f>IF(AND($R50&gt;0,données_step[[#This Row],[E_PTOT]]&gt;0),données_step[[#This Row],[E_PTOT]],"")</f>
        <v/>
      </c>
      <c r="AL50" s="523" t="str">
        <f>IF(AK50="","",(1-données_step[[#This Row],[E_PTOT]]/$AN$7)*100)</f>
        <v/>
      </c>
      <c r="AM50" s="523" t="str">
        <f t="shared" si="10"/>
        <v/>
      </c>
      <c r="AN50" s="523" t="str">
        <f t="shared" si="11"/>
        <v/>
      </c>
      <c r="AO50" s="523" t="str">
        <f t="shared" si="12"/>
        <v/>
      </c>
      <c r="AP50" s="523" t="e">
        <f>IF(((100-100/$AN$7*données_step[[#This Row],[E_PTOT]])/100*QTS)&lt;0,NA(),IF(OR(AM50&lt;0,AM50=""),NA(),((100-100/$AN$7*données_step[[#This Row],[E_PTOT]])/100*QTS)))</f>
        <v>#NUM!</v>
      </c>
      <c r="AQ50" s="524" t="e">
        <f t="shared" si="13"/>
        <v>#NUM!</v>
      </c>
      <c r="AR50" s="524" t="str">
        <f t="shared" si="14"/>
        <v/>
      </c>
      <c r="AT50" s="517">
        <f t="shared" si="15"/>
        <v>0.39</v>
      </c>
      <c r="AU50" s="501">
        <f t="shared" si="16"/>
        <v>39</v>
      </c>
      <c r="AV50" s="525" t="e">
        <f>PERCENTILE(analyses!$F$11:$F$375,$AT50)</f>
        <v>#NUM!</v>
      </c>
      <c r="AW50" s="7" t="e">
        <f>PERCENTILE(analyses!$I$11:$I$375,$AT50)</f>
        <v>#NUM!</v>
      </c>
      <c r="AX50" s="7" t="e">
        <f>PERCENTILE(analyses!$J$11:$J$375,$AT50)</f>
        <v>#NUM!</v>
      </c>
      <c r="AY50" s="523" t="str">
        <f>_xlfn.IFNA(IF(données_step[[#This Row],[E_DCO]]&lt;=0,NA(),charge_entree[[#This Row],[ch_E_DCO]]/constanten!$B$8*1000),"")</f>
        <v/>
      </c>
      <c r="AZ50" s="523" t="str">
        <f>_xlfn.IFNA(IF(données_step[[#This Row],[E_NTOT]]&lt;=0,NA(),charge_entree[[#This Row],[ch_E_NTOT]]/constanten!$B$10*1000),"")</f>
        <v/>
      </c>
      <c r="BA50" s="523" t="str">
        <f>_xlfn.IFNA(IF(données_step[[#This Row],[E_NH4]]&lt;=0,NA(),charge_entree[[#This Row],[ch_E_NH4]]/constanten!$B$12*1000),"")</f>
        <v/>
      </c>
      <c r="BB50" s="523" t="str">
        <f>_xlfn.IFNA(IF(données_step[[#This Row],[E_COT]]&lt;=0,NA(),charge_entree[[#This Row],[ch_E_COT]]/constanten!$B$9*1000),"")</f>
        <v/>
      </c>
      <c r="BC50" s="523" t="str">
        <f>IFERROR(_xlfn.IFNA(IF(données_step[[#This Row],[E_PTOT]]&lt;=0,NA(),charge_entree[[#This Row],[ch_E_PTOT]]/constanten!$B$15*1000),""),"")</f>
        <v/>
      </c>
      <c r="BD50" s="535" t="e">
        <f>calculs!E50 * (1-0.4) / (données_step[[#This Row],[X_BA_VOL]]*données_step[[#This Row],[X_BACONC]])</f>
        <v>#VALUE!</v>
      </c>
      <c r="BE50" s="522" t="e">
        <f>(données_step[[#This Row],[X_BA_VOL]]*données_step[[#This Row],[X_BACONC]])/((données_step[[#This Row],[D_QTRAI2]]*données_step[[#This Row],[S_MES]]/1000)+(données_step[[#This Row],[X_BX_Q]]*données_step[[#This Row],[X_BXCONC]]))</f>
        <v>#VALUE!</v>
      </c>
      <c r="BF50" s="890" t="str">
        <f>IFERROR(données_step[[#This Row],[D_QTRAI]]/AY50*1000,"")</f>
        <v/>
      </c>
      <c r="BG50" s="535" t="str">
        <f>IFERROR(1-données_step[[#This Row],[S_DBO5]]/données_step[[#This Row],[E_DBO5]],"")</f>
        <v/>
      </c>
      <c r="BH50" s="536" t="str">
        <f>IFERROR(1-données_step[[#This Row],[S_DCO]]/données_step[[#This Row],[E_DCO]],"")</f>
        <v/>
      </c>
      <c r="BI50" s="535" t="str">
        <f>IFERROR(1-données_step[[#This Row],[S_COD]]/données_step[[#This Row],[E_COT]],"")</f>
        <v/>
      </c>
      <c r="BJ50" s="535" t="str">
        <f>IFERROR(1-données_step[[#This Row],[S_NH4]]/données_step[[#This Row],[E_NTOT]],"")</f>
        <v/>
      </c>
      <c r="BK50" s="535" t="str">
        <f>IFERROR(1-données_step[[#This Row],[S_PTOT]]/données_step[[#This Row],[E_PTOT]],"")</f>
        <v/>
      </c>
      <c r="BL50" s="521" t="str">
        <f>IFERROR(IF(données_step[[#This Row],[E_DCO]]/données_step[[#This Row],[E_DBO5]]=0,NA(),données_step[[#This Row],[E_DCO]]/données_step[[#This Row],[E_DBO5]]),"")</f>
        <v/>
      </c>
      <c r="BM50" s="521" t="str">
        <f>IFERROR(IF(données_step[[#This Row],[E_NH4]]/données_step[[#This Row],[E_NTOT]]=0,NA(),données_step[[#This Row],[E_NH4]]/données_step[[#This Row],[E_NTOT]]),"")</f>
        <v/>
      </c>
      <c r="BN50" s="521" t="str">
        <f>IFERROR(IF(données_step[[#This Row],[E_NTOT]]/données_step[[#This Row],[E_COT]]=0,NA(),données_step[[#This Row],[E_NTOT]]/données_step[[#This Row],[E_COT]]),"")</f>
        <v/>
      </c>
      <c r="BO50" s="521" t="str">
        <f>IFERROR(IF(données_step[[#This Row],[E_PTOT]]/données_step[[#This Row],[E_COT]]=0,NA(),données_step[[#This Row],[E_PTOT]]/données_step[[#This Row],[E_COT]]),"")</f>
        <v/>
      </c>
      <c r="BP50" s="521" t="e">
        <f>IF(données_step[[#This Row],[E_DCO]]/données_step[[#This Row],[E_COT]]=0,NA(),données_step[[#This Row],[E_DCO]]/données_step[[#This Row],[E_COT]])</f>
        <v>#DIV/0!</v>
      </c>
      <c r="BQ50" s="521" t="e">
        <f>IF(données_step[[#This Row],[E_NTOT]]/données_step[[#This Row],[E_DCO]]=0,NA(),données_step[[#This Row],[E_NTOT]]/données_step[[#This Row],[E_DCO]])</f>
        <v>#DIV/0!</v>
      </c>
      <c r="BR50" s="521" t="e">
        <f>IF(données_step[[#This Row],[E_PTOT]]/données_step[[#This Row],[E_DCO]]=0,NA(),données_step[[#This Row],[E_PTOT]]/données_step[[#This Row],[E_DCO]])</f>
        <v>#DIV/0!</v>
      </c>
      <c r="BS50" s="747" t="e">
        <f ca="1">test_NH4_temp(données_step[[#This Row],[S_NH4]],données_step[[#This Row],[Temp_eaux]])</f>
        <v>#NAME?</v>
      </c>
    </row>
    <row r="51" spans="1:71" x14ac:dyDescent="0.2">
      <c r="A51" s="222">
        <f>données_step[[#This Row],[Datum]]</f>
        <v>44602</v>
      </c>
      <c r="B51" s="223"/>
      <c r="C51" s="224">
        <f t="shared" si="0"/>
        <v>5</v>
      </c>
      <c r="D51" s="523" t="str">
        <f>IF(OR(données_step[[#This Row],[E_DBO5]]&lt;=0,données_step[[#This Row],[E_DBO5]]=""),"",données_step[[#This Row],[D_QTRAI]]*données_step[[#This Row],[E_DBO5]]/1000)</f>
        <v/>
      </c>
      <c r="E51" s="523" t="str">
        <f>IF(OR(données_step[[#This Row],[E_DCO]]&lt;=0,données_step[[#This Row],[E_DCO]]=""),"",données_step[[#This Row],[D_QTRAI]]*données_step[[#This Row],[E_DCO]]/1000)</f>
        <v/>
      </c>
      <c r="F51" s="523" t="str">
        <f>IF(OR(données_step[[#This Row],[E_COT]]&lt;=0,données_step[[#This Row],[E_COT]]=""),"",données_step[[#This Row],[D_QTRAI]]*données_step[[#This Row],[E_COT]]/1000)</f>
        <v/>
      </c>
      <c r="G51" s="523" t="str">
        <f>IF(OR(données_step[[#This Row],[E_NH4]]&lt;=0,données_step[[#This Row],[E_NH4]]=""),"",données_step[[#This Row],[D_QTRAI]]*données_step[[#This Row],[E_NH4]]/1000)</f>
        <v/>
      </c>
      <c r="H51" s="523" t="str">
        <f>IF(OR(données_step[[#This Row],[E_NTOT]]&lt;=0,données_step[[#This Row],[E_NTOT]]=""),"",données_step[[#This Row],[D_QTRAI]]*données_step[[#This Row],[E_NTOT]]/1000)</f>
        <v/>
      </c>
      <c r="I51" s="523" t="str">
        <f>IF(OR(données_step[[#This Row],[E_NTOT]]&lt;=0,données_step[[#This Row],[E_NTOT]]=""),"",données_step[[#This Row],[D_QTRAI]]*données_step[[#This Row],[E_PTOT]]/1000)</f>
        <v/>
      </c>
      <c r="J51" s="523" t="str">
        <f>IF(OR(données_step[[#This Row],[S_DBO5]]&lt;=0,données_step[[#This Row],[S_DBO5]]=""),"",données_step[[#This Row],[D_QTRAI]]*données_step[[#This Row],[S_DBO5]]/1000)</f>
        <v/>
      </c>
      <c r="K51" s="523" t="str">
        <f>IF(OR(données_step[[#This Row],[S_DCO]]&lt;=0,données_step[[#This Row],[S_DCO]]=""),"",données_step[[#This Row],[D_QTRAI]]*données_step[[#This Row],[S_DCO]]/1000)</f>
        <v/>
      </c>
      <c r="L51" s="523" t="str">
        <f>IF(OR(données_step[[#This Row],[S_COD]]&lt;=0,données_step[[#This Row],[S_COD]]=""),"",données_step[[#This Row],[D_QTRAI]]*données_step[[#This Row],[S_COD]]/1000)</f>
        <v/>
      </c>
      <c r="M51" s="523" t="str">
        <f>IF(OR(données_step[[#This Row],[S_NH4]]&lt;=0,données_step[[#This Row],[S_NH4]]=""),"",données_step[[#This Row],[D_QTRAI]]*données_step[[#This Row],[S_NH4]]/1000)</f>
        <v/>
      </c>
      <c r="N51" s="523" t="str">
        <f>IF(OR(données_step[[#This Row],[S_NO2]]&lt;=0,données_step[[#This Row],[S_NO2]]=""),"",données_step[[#This Row],[D_QTRAI]]*données_step[[#This Row],[S_NO2]]/1000)</f>
        <v/>
      </c>
      <c r="O51" s="523" t="str">
        <f>IF(OR(données_step[[#This Row],[S_NO3]]&lt;=0,données_step[[#This Row],[S_NO3]]=""),"",données_step[[#This Row],[D_QTRAI]]*données_step[[#This Row],[S_NO3]]/1000)</f>
        <v/>
      </c>
      <c r="P51" s="523" t="str">
        <f>IF(OR(données_step[[#This Row],[S_PTOT]]&lt;=0,données_step[[#This Row],[S_PTOT]]=""),"",données_step[[#This Row],[D_QTRAI]]*données_step[[#This Row],[S_PTOT]]/1000)</f>
        <v/>
      </c>
      <c r="Q51" s="523" t="str">
        <f>IF(OR(données_step[[#This Row],[S_MES]]&lt;=0,données_step[[#This Row],[S_MES]]=""),"",données_step[[#This Row],[D_QTRAI]]*données_step[[#This Row],[S_MES]]/1000)</f>
        <v/>
      </c>
      <c r="R51" s="523">
        <f>MAX(données_step[[#This Row],[D_QTRAI]],données_step[[#This Row],[D_QTRAI2]])</f>
        <v>0</v>
      </c>
      <c r="S51" s="523" t="str">
        <f>IF(AND($R51&gt;0,données_step[[#This Row],[E_DCO]]&gt;0),données_step[[#This Row],[E_DCO]],"")</f>
        <v/>
      </c>
      <c r="T51" s="523" t="str">
        <f>IF(S51="","",(1-données_step[[#This Row],[E_DCO]]/$V$7)*100)</f>
        <v/>
      </c>
      <c r="U51" s="523" t="str">
        <f t="shared" si="1"/>
        <v/>
      </c>
      <c r="V51" s="523" t="str">
        <f t="shared" si="2"/>
        <v/>
      </c>
      <c r="W51" s="523" t="str">
        <f t="shared" si="3"/>
        <v/>
      </c>
      <c r="X51" s="523" t="e">
        <f>IF(((100-100/$V$7*données_step[[#This Row],[E_DCO]])/100*QTS)&lt;0,NA(),IF(OR(U51&lt;0,U51=""),NA(),((100-100/$V$7*données_step[[#This Row],[E_DCO]])/100*QTS)))</f>
        <v>#NUM!</v>
      </c>
      <c r="Y51" s="523" t="str">
        <f>IF(AND($R51&gt;0,données_step[[#This Row],[E_COT]]&gt;0),données_step[[#This Row],[E_COT]],"")</f>
        <v/>
      </c>
      <c r="Z51" s="523" t="str">
        <f>IF(Y51="","",(1-données_step[[#This Row],[E_COT]]/$AB$7)*100)</f>
        <v/>
      </c>
      <c r="AA51" s="523" t="str">
        <f t="shared" si="4"/>
        <v/>
      </c>
      <c r="AB51" s="523" t="str">
        <f t="shared" si="5"/>
        <v/>
      </c>
      <c r="AC51" s="523" t="str">
        <f t="shared" si="6"/>
        <v/>
      </c>
      <c r="AD51" s="523" t="e">
        <f>IF(((100-100/$AB$7*données_step[[#This Row],[E_COT]])/100*QTS)&lt;0,NA(),IF(OR(AA51&lt;0,AA51=""),NA(),((100-100/$AB$7*données_step[[#This Row],[E_COT]])/100*QTS)))</f>
        <v>#NUM!</v>
      </c>
      <c r="AE51" s="523" t="str">
        <f>IF(AND($R51&gt;0,données_step[[#This Row],[E_NH4]]&gt;0),données_step[[#This Row],[E_NH4]],"")</f>
        <v/>
      </c>
      <c r="AF51" s="523" t="str">
        <f>IF(AE51="","",(1-données_step[[#This Row],[E_NH4]]/$AH$7)*100)</f>
        <v/>
      </c>
      <c r="AG51" s="523" t="str">
        <f t="shared" si="7"/>
        <v/>
      </c>
      <c r="AH51" s="523" t="str">
        <f t="shared" si="8"/>
        <v/>
      </c>
      <c r="AI51" s="523" t="str">
        <f t="shared" si="9"/>
        <v/>
      </c>
      <c r="AJ51" s="523" t="e">
        <f>IF(((100-100/$AH$7*données_step[[#This Row],[E_NH4]])/100*QTS)&lt;0,NA(),IF(OR(AG51&lt;0,AG51=""),NA(),((100-100/$AH$7*données_step[[#This Row],[E_NH4]])/100*QTS)))</f>
        <v>#NUM!</v>
      </c>
      <c r="AK51" s="523" t="str">
        <f>IF(AND($R51&gt;0,données_step[[#This Row],[E_PTOT]]&gt;0),données_step[[#This Row],[E_PTOT]],"")</f>
        <v/>
      </c>
      <c r="AL51" s="523" t="str">
        <f>IF(AK51="","",(1-données_step[[#This Row],[E_PTOT]]/$AN$7)*100)</f>
        <v/>
      </c>
      <c r="AM51" s="523" t="str">
        <f t="shared" si="10"/>
        <v/>
      </c>
      <c r="AN51" s="523" t="str">
        <f t="shared" si="11"/>
        <v/>
      </c>
      <c r="AO51" s="523" t="str">
        <f t="shared" si="12"/>
        <v/>
      </c>
      <c r="AP51" s="523" t="e">
        <f>IF(((100-100/$AN$7*données_step[[#This Row],[E_PTOT]])/100*QTS)&lt;0,NA(),IF(OR(AM51&lt;0,AM51=""),NA(),((100-100/$AN$7*données_step[[#This Row],[E_PTOT]])/100*QTS)))</f>
        <v>#NUM!</v>
      </c>
      <c r="AQ51" s="524" t="e">
        <f t="shared" si="13"/>
        <v>#NUM!</v>
      </c>
      <c r="AR51" s="524" t="str">
        <f t="shared" si="14"/>
        <v/>
      </c>
      <c r="AT51" s="517">
        <f t="shared" si="15"/>
        <v>0.4</v>
      </c>
      <c r="AU51" s="501">
        <f t="shared" si="16"/>
        <v>40</v>
      </c>
      <c r="AV51" s="525" t="e">
        <f>PERCENTILE(analyses!$F$11:$F$375,$AT51)</f>
        <v>#NUM!</v>
      </c>
      <c r="AW51" s="7" t="e">
        <f>PERCENTILE(analyses!$I$11:$I$375,$AT51)</f>
        <v>#NUM!</v>
      </c>
      <c r="AX51" s="7" t="e">
        <f>PERCENTILE(analyses!$J$11:$J$375,$AT51)</f>
        <v>#NUM!</v>
      </c>
      <c r="AY51" s="523" t="str">
        <f>_xlfn.IFNA(IF(données_step[[#This Row],[E_DCO]]&lt;=0,NA(),charge_entree[[#This Row],[ch_E_DCO]]/constanten!$B$8*1000),"")</f>
        <v/>
      </c>
      <c r="AZ51" s="523" t="str">
        <f>_xlfn.IFNA(IF(données_step[[#This Row],[E_NTOT]]&lt;=0,NA(),charge_entree[[#This Row],[ch_E_NTOT]]/constanten!$B$10*1000),"")</f>
        <v/>
      </c>
      <c r="BA51" s="523" t="str">
        <f>_xlfn.IFNA(IF(données_step[[#This Row],[E_NH4]]&lt;=0,NA(),charge_entree[[#This Row],[ch_E_NH4]]/constanten!$B$12*1000),"")</f>
        <v/>
      </c>
      <c r="BB51" s="523" t="str">
        <f>_xlfn.IFNA(IF(données_step[[#This Row],[E_COT]]&lt;=0,NA(),charge_entree[[#This Row],[ch_E_COT]]/constanten!$B$9*1000),"")</f>
        <v/>
      </c>
      <c r="BC51" s="523" t="str">
        <f>IFERROR(_xlfn.IFNA(IF(données_step[[#This Row],[E_PTOT]]&lt;=0,NA(),charge_entree[[#This Row],[ch_E_PTOT]]/constanten!$B$15*1000),""),"")</f>
        <v/>
      </c>
      <c r="BD51" s="535" t="e">
        <f>calculs!E51 * (1-0.4) / (données_step[[#This Row],[X_BA_VOL]]*données_step[[#This Row],[X_BACONC]])</f>
        <v>#VALUE!</v>
      </c>
      <c r="BE51" s="522" t="e">
        <f>(données_step[[#This Row],[X_BA_VOL]]*données_step[[#This Row],[X_BACONC]])/((données_step[[#This Row],[D_QTRAI2]]*données_step[[#This Row],[S_MES]]/1000)+(données_step[[#This Row],[X_BX_Q]]*données_step[[#This Row],[X_BXCONC]]))</f>
        <v>#VALUE!</v>
      </c>
      <c r="BF51" s="890" t="str">
        <f>IFERROR(données_step[[#This Row],[D_QTRAI]]/AY51*1000,"")</f>
        <v/>
      </c>
      <c r="BG51" s="535" t="str">
        <f>IFERROR(1-données_step[[#This Row],[S_DBO5]]/données_step[[#This Row],[E_DBO5]],"")</f>
        <v/>
      </c>
      <c r="BH51" s="536" t="str">
        <f>IFERROR(1-données_step[[#This Row],[S_DCO]]/données_step[[#This Row],[E_DCO]],"")</f>
        <v/>
      </c>
      <c r="BI51" s="535" t="str">
        <f>IFERROR(1-données_step[[#This Row],[S_COD]]/données_step[[#This Row],[E_COT]],"")</f>
        <v/>
      </c>
      <c r="BJ51" s="535" t="str">
        <f>IFERROR(1-données_step[[#This Row],[S_NH4]]/données_step[[#This Row],[E_NTOT]],"")</f>
        <v/>
      </c>
      <c r="BK51" s="535" t="str">
        <f>IFERROR(1-données_step[[#This Row],[S_PTOT]]/données_step[[#This Row],[E_PTOT]],"")</f>
        <v/>
      </c>
      <c r="BL51" s="521" t="str">
        <f>IFERROR(IF(données_step[[#This Row],[E_DCO]]/données_step[[#This Row],[E_DBO5]]=0,NA(),données_step[[#This Row],[E_DCO]]/données_step[[#This Row],[E_DBO5]]),"")</f>
        <v/>
      </c>
      <c r="BM51" s="521" t="str">
        <f>IFERROR(IF(données_step[[#This Row],[E_NH4]]/données_step[[#This Row],[E_NTOT]]=0,NA(),données_step[[#This Row],[E_NH4]]/données_step[[#This Row],[E_NTOT]]),"")</f>
        <v/>
      </c>
      <c r="BN51" s="521" t="str">
        <f>IFERROR(IF(données_step[[#This Row],[E_NTOT]]/données_step[[#This Row],[E_COT]]=0,NA(),données_step[[#This Row],[E_NTOT]]/données_step[[#This Row],[E_COT]]),"")</f>
        <v/>
      </c>
      <c r="BO51" s="521" t="str">
        <f>IFERROR(IF(données_step[[#This Row],[E_PTOT]]/données_step[[#This Row],[E_COT]]=0,NA(),données_step[[#This Row],[E_PTOT]]/données_step[[#This Row],[E_COT]]),"")</f>
        <v/>
      </c>
      <c r="BP51" s="521" t="e">
        <f>IF(données_step[[#This Row],[E_DCO]]/données_step[[#This Row],[E_COT]]=0,NA(),données_step[[#This Row],[E_DCO]]/données_step[[#This Row],[E_COT]])</f>
        <v>#DIV/0!</v>
      </c>
      <c r="BQ51" s="521" t="e">
        <f>IF(données_step[[#This Row],[E_NTOT]]/données_step[[#This Row],[E_DCO]]=0,NA(),données_step[[#This Row],[E_NTOT]]/données_step[[#This Row],[E_DCO]])</f>
        <v>#DIV/0!</v>
      </c>
      <c r="BR51" s="521" t="e">
        <f>IF(données_step[[#This Row],[E_PTOT]]/données_step[[#This Row],[E_DCO]]=0,NA(),données_step[[#This Row],[E_PTOT]]/données_step[[#This Row],[E_DCO]])</f>
        <v>#DIV/0!</v>
      </c>
      <c r="BS51" s="747" t="e">
        <f ca="1">test_NH4_temp(données_step[[#This Row],[S_NH4]],données_step[[#This Row],[Temp_eaux]])</f>
        <v>#NAME?</v>
      </c>
    </row>
    <row r="52" spans="1:71" x14ac:dyDescent="0.2">
      <c r="A52" s="222">
        <f>données_step[[#This Row],[Datum]]</f>
        <v>44603</v>
      </c>
      <c r="B52" s="223"/>
      <c r="C52" s="224">
        <f t="shared" si="0"/>
        <v>6</v>
      </c>
      <c r="D52" s="523" t="str">
        <f>IF(OR(données_step[[#This Row],[E_DBO5]]&lt;=0,données_step[[#This Row],[E_DBO5]]=""),"",données_step[[#This Row],[D_QTRAI]]*données_step[[#This Row],[E_DBO5]]/1000)</f>
        <v/>
      </c>
      <c r="E52" s="523" t="str">
        <f>IF(OR(données_step[[#This Row],[E_DCO]]&lt;=0,données_step[[#This Row],[E_DCO]]=""),"",données_step[[#This Row],[D_QTRAI]]*données_step[[#This Row],[E_DCO]]/1000)</f>
        <v/>
      </c>
      <c r="F52" s="523" t="str">
        <f>IF(OR(données_step[[#This Row],[E_COT]]&lt;=0,données_step[[#This Row],[E_COT]]=""),"",données_step[[#This Row],[D_QTRAI]]*données_step[[#This Row],[E_COT]]/1000)</f>
        <v/>
      </c>
      <c r="G52" s="523" t="str">
        <f>IF(OR(données_step[[#This Row],[E_NH4]]&lt;=0,données_step[[#This Row],[E_NH4]]=""),"",données_step[[#This Row],[D_QTRAI]]*données_step[[#This Row],[E_NH4]]/1000)</f>
        <v/>
      </c>
      <c r="H52" s="523" t="str">
        <f>IF(OR(données_step[[#This Row],[E_NTOT]]&lt;=0,données_step[[#This Row],[E_NTOT]]=""),"",données_step[[#This Row],[D_QTRAI]]*données_step[[#This Row],[E_NTOT]]/1000)</f>
        <v/>
      </c>
      <c r="I52" s="523" t="str">
        <f>IF(OR(données_step[[#This Row],[E_NTOT]]&lt;=0,données_step[[#This Row],[E_NTOT]]=""),"",données_step[[#This Row],[D_QTRAI]]*données_step[[#This Row],[E_PTOT]]/1000)</f>
        <v/>
      </c>
      <c r="J52" s="523" t="str">
        <f>IF(OR(données_step[[#This Row],[S_DBO5]]&lt;=0,données_step[[#This Row],[S_DBO5]]=""),"",données_step[[#This Row],[D_QTRAI]]*données_step[[#This Row],[S_DBO5]]/1000)</f>
        <v/>
      </c>
      <c r="K52" s="523" t="str">
        <f>IF(OR(données_step[[#This Row],[S_DCO]]&lt;=0,données_step[[#This Row],[S_DCO]]=""),"",données_step[[#This Row],[D_QTRAI]]*données_step[[#This Row],[S_DCO]]/1000)</f>
        <v/>
      </c>
      <c r="L52" s="523" t="str">
        <f>IF(OR(données_step[[#This Row],[S_COD]]&lt;=0,données_step[[#This Row],[S_COD]]=""),"",données_step[[#This Row],[D_QTRAI]]*données_step[[#This Row],[S_COD]]/1000)</f>
        <v/>
      </c>
      <c r="M52" s="523" t="str">
        <f>IF(OR(données_step[[#This Row],[S_NH4]]&lt;=0,données_step[[#This Row],[S_NH4]]=""),"",données_step[[#This Row],[D_QTRAI]]*données_step[[#This Row],[S_NH4]]/1000)</f>
        <v/>
      </c>
      <c r="N52" s="523" t="str">
        <f>IF(OR(données_step[[#This Row],[S_NO2]]&lt;=0,données_step[[#This Row],[S_NO2]]=""),"",données_step[[#This Row],[D_QTRAI]]*données_step[[#This Row],[S_NO2]]/1000)</f>
        <v/>
      </c>
      <c r="O52" s="523" t="str">
        <f>IF(OR(données_step[[#This Row],[S_NO3]]&lt;=0,données_step[[#This Row],[S_NO3]]=""),"",données_step[[#This Row],[D_QTRAI]]*données_step[[#This Row],[S_NO3]]/1000)</f>
        <v/>
      </c>
      <c r="P52" s="523" t="str">
        <f>IF(OR(données_step[[#This Row],[S_PTOT]]&lt;=0,données_step[[#This Row],[S_PTOT]]=""),"",données_step[[#This Row],[D_QTRAI]]*données_step[[#This Row],[S_PTOT]]/1000)</f>
        <v/>
      </c>
      <c r="Q52" s="523" t="str">
        <f>IF(OR(données_step[[#This Row],[S_MES]]&lt;=0,données_step[[#This Row],[S_MES]]=""),"",données_step[[#This Row],[D_QTRAI]]*données_step[[#This Row],[S_MES]]/1000)</f>
        <v/>
      </c>
      <c r="R52" s="523">
        <f>MAX(données_step[[#This Row],[D_QTRAI]],données_step[[#This Row],[D_QTRAI2]])</f>
        <v>0</v>
      </c>
      <c r="S52" s="523" t="str">
        <f>IF(AND($R52&gt;0,données_step[[#This Row],[E_DCO]]&gt;0),données_step[[#This Row],[E_DCO]],"")</f>
        <v/>
      </c>
      <c r="T52" s="523" t="str">
        <f>IF(S52="","",(1-données_step[[#This Row],[E_DCO]]/$V$7)*100)</f>
        <v/>
      </c>
      <c r="U52" s="523" t="str">
        <f t="shared" si="1"/>
        <v/>
      </c>
      <c r="V52" s="523" t="str">
        <f t="shared" si="2"/>
        <v/>
      </c>
      <c r="W52" s="523" t="str">
        <f t="shared" si="3"/>
        <v/>
      </c>
      <c r="X52" s="523" t="e">
        <f>IF(((100-100/$V$7*données_step[[#This Row],[E_DCO]])/100*QTS)&lt;0,NA(),IF(OR(U52&lt;0,U52=""),NA(),((100-100/$V$7*données_step[[#This Row],[E_DCO]])/100*QTS)))</f>
        <v>#NUM!</v>
      </c>
      <c r="Y52" s="523" t="str">
        <f>IF(AND($R52&gt;0,données_step[[#This Row],[E_COT]]&gt;0),données_step[[#This Row],[E_COT]],"")</f>
        <v/>
      </c>
      <c r="Z52" s="523" t="str">
        <f>IF(Y52="","",(1-données_step[[#This Row],[E_COT]]/$AB$7)*100)</f>
        <v/>
      </c>
      <c r="AA52" s="523" t="str">
        <f t="shared" si="4"/>
        <v/>
      </c>
      <c r="AB52" s="523" t="str">
        <f t="shared" si="5"/>
        <v/>
      </c>
      <c r="AC52" s="523" t="str">
        <f t="shared" si="6"/>
        <v/>
      </c>
      <c r="AD52" s="523" t="e">
        <f>IF(((100-100/$AB$7*données_step[[#This Row],[E_COT]])/100*QTS)&lt;0,NA(),IF(OR(AA52&lt;0,AA52=""),NA(),((100-100/$AB$7*données_step[[#This Row],[E_COT]])/100*QTS)))</f>
        <v>#NUM!</v>
      </c>
      <c r="AE52" s="523" t="str">
        <f>IF(AND($R52&gt;0,données_step[[#This Row],[E_NH4]]&gt;0),données_step[[#This Row],[E_NH4]],"")</f>
        <v/>
      </c>
      <c r="AF52" s="523" t="str">
        <f>IF(AE52="","",(1-données_step[[#This Row],[E_NH4]]/$AH$7)*100)</f>
        <v/>
      </c>
      <c r="AG52" s="523" t="str">
        <f t="shared" si="7"/>
        <v/>
      </c>
      <c r="AH52" s="523" t="str">
        <f t="shared" si="8"/>
        <v/>
      </c>
      <c r="AI52" s="523" t="str">
        <f t="shared" si="9"/>
        <v/>
      </c>
      <c r="AJ52" s="523" t="e">
        <f>IF(((100-100/$AH$7*données_step[[#This Row],[E_NH4]])/100*QTS)&lt;0,NA(),IF(OR(AG52&lt;0,AG52=""),NA(),((100-100/$AH$7*données_step[[#This Row],[E_NH4]])/100*QTS)))</f>
        <v>#NUM!</v>
      </c>
      <c r="AK52" s="523" t="str">
        <f>IF(AND($R52&gt;0,données_step[[#This Row],[E_PTOT]]&gt;0),données_step[[#This Row],[E_PTOT]],"")</f>
        <v/>
      </c>
      <c r="AL52" s="523" t="str">
        <f>IF(AK52="","",(1-données_step[[#This Row],[E_PTOT]]/$AN$7)*100)</f>
        <v/>
      </c>
      <c r="AM52" s="523" t="str">
        <f t="shared" si="10"/>
        <v/>
      </c>
      <c r="AN52" s="523" t="str">
        <f t="shared" si="11"/>
        <v/>
      </c>
      <c r="AO52" s="523" t="str">
        <f t="shared" si="12"/>
        <v/>
      </c>
      <c r="AP52" s="523" t="e">
        <f>IF(((100-100/$AN$7*données_step[[#This Row],[E_PTOT]])/100*QTS)&lt;0,NA(),IF(OR(AM52&lt;0,AM52=""),NA(),((100-100/$AN$7*données_step[[#This Row],[E_PTOT]])/100*QTS)))</f>
        <v>#NUM!</v>
      </c>
      <c r="AQ52" s="524" t="e">
        <f t="shared" si="13"/>
        <v>#NUM!</v>
      </c>
      <c r="AR52" s="524" t="str">
        <f t="shared" si="14"/>
        <v/>
      </c>
      <c r="AT52" s="517">
        <f t="shared" si="15"/>
        <v>0.41</v>
      </c>
      <c r="AU52" s="501">
        <f t="shared" si="16"/>
        <v>41</v>
      </c>
      <c r="AV52" s="525" t="e">
        <f>PERCENTILE(analyses!$F$11:$F$375,$AT52)</f>
        <v>#NUM!</v>
      </c>
      <c r="AW52" s="7" t="e">
        <f>PERCENTILE(analyses!$I$11:$I$375,$AT52)</f>
        <v>#NUM!</v>
      </c>
      <c r="AX52" s="7" t="e">
        <f>PERCENTILE(analyses!$J$11:$J$375,$AT52)</f>
        <v>#NUM!</v>
      </c>
      <c r="AY52" s="523" t="str">
        <f>_xlfn.IFNA(IF(données_step[[#This Row],[E_DCO]]&lt;=0,NA(),charge_entree[[#This Row],[ch_E_DCO]]/constanten!$B$8*1000),"")</f>
        <v/>
      </c>
      <c r="AZ52" s="523" t="str">
        <f>_xlfn.IFNA(IF(données_step[[#This Row],[E_NTOT]]&lt;=0,NA(),charge_entree[[#This Row],[ch_E_NTOT]]/constanten!$B$10*1000),"")</f>
        <v/>
      </c>
      <c r="BA52" s="523" t="str">
        <f>_xlfn.IFNA(IF(données_step[[#This Row],[E_NH4]]&lt;=0,NA(),charge_entree[[#This Row],[ch_E_NH4]]/constanten!$B$12*1000),"")</f>
        <v/>
      </c>
      <c r="BB52" s="523" t="str">
        <f>_xlfn.IFNA(IF(données_step[[#This Row],[E_COT]]&lt;=0,NA(),charge_entree[[#This Row],[ch_E_COT]]/constanten!$B$9*1000),"")</f>
        <v/>
      </c>
      <c r="BC52" s="523" t="str">
        <f>IFERROR(_xlfn.IFNA(IF(données_step[[#This Row],[E_PTOT]]&lt;=0,NA(),charge_entree[[#This Row],[ch_E_PTOT]]/constanten!$B$15*1000),""),"")</f>
        <v/>
      </c>
      <c r="BD52" s="535" t="e">
        <f>calculs!E52 * (1-0.4) / (données_step[[#This Row],[X_BA_VOL]]*données_step[[#This Row],[X_BACONC]])</f>
        <v>#VALUE!</v>
      </c>
      <c r="BE52" s="522" t="e">
        <f>(données_step[[#This Row],[X_BA_VOL]]*données_step[[#This Row],[X_BACONC]])/((données_step[[#This Row],[D_QTRAI2]]*données_step[[#This Row],[S_MES]]/1000)+(données_step[[#This Row],[X_BX_Q]]*données_step[[#This Row],[X_BXCONC]]))</f>
        <v>#VALUE!</v>
      </c>
      <c r="BF52" s="890" t="str">
        <f>IFERROR(données_step[[#This Row],[D_QTRAI]]/AY52*1000,"")</f>
        <v/>
      </c>
      <c r="BG52" s="535" t="str">
        <f>IFERROR(1-données_step[[#This Row],[S_DBO5]]/données_step[[#This Row],[E_DBO5]],"")</f>
        <v/>
      </c>
      <c r="BH52" s="536" t="str">
        <f>IFERROR(1-données_step[[#This Row],[S_DCO]]/données_step[[#This Row],[E_DCO]],"")</f>
        <v/>
      </c>
      <c r="BI52" s="535" t="str">
        <f>IFERROR(1-données_step[[#This Row],[S_COD]]/données_step[[#This Row],[E_COT]],"")</f>
        <v/>
      </c>
      <c r="BJ52" s="535" t="str">
        <f>IFERROR(1-données_step[[#This Row],[S_NH4]]/données_step[[#This Row],[E_NTOT]],"")</f>
        <v/>
      </c>
      <c r="BK52" s="535" t="str">
        <f>IFERROR(1-données_step[[#This Row],[S_PTOT]]/données_step[[#This Row],[E_PTOT]],"")</f>
        <v/>
      </c>
      <c r="BL52" s="521" t="str">
        <f>IFERROR(IF(données_step[[#This Row],[E_DCO]]/données_step[[#This Row],[E_DBO5]]=0,NA(),données_step[[#This Row],[E_DCO]]/données_step[[#This Row],[E_DBO5]]),"")</f>
        <v/>
      </c>
      <c r="BM52" s="521" t="str">
        <f>IFERROR(IF(données_step[[#This Row],[E_NH4]]/données_step[[#This Row],[E_NTOT]]=0,NA(),données_step[[#This Row],[E_NH4]]/données_step[[#This Row],[E_NTOT]]),"")</f>
        <v/>
      </c>
      <c r="BN52" s="521" t="str">
        <f>IFERROR(IF(données_step[[#This Row],[E_NTOT]]/données_step[[#This Row],[E_COT]]=0,NA(),données_step[[#This Row],[E_NTOT]]/données_step[[#This Row],[E_COT]]),"")</f>
        <v/>
      </c>
      <c r="BO52" s="521" t="str">
        <f>IFERROR(IF(données_step[[#This Row],[E_PTOT]]/données_step[[#This Row],[E_COT]]=0,NA(),données_step[[#This Row],[E_PTOT]]/données_step[[#This Row],[E_COT]]),"")</f>
        <v/>
      </c>
      <c r="BP52" s="521" t="e">
        <f>IF(données_step[[#This Row],[E_DCO]]/données_step[[#This Row],[E_COT]]=0,NA(),données_step[[#This Row],[E_DCO]]/données_step[[#This Row],[E_COT]])</f>
        <v>#DIV/0!</v>
      </c>
      <c r="BQ52" s="521" t="e">
        <f>IF(données_step[[#This Row],[E_NTOT]]/données_step[[#This Row],[E_DCO]]=0,NA(),données_step[[#This Row],[E_NTOT]]/données_step[[#This Row],[E_DCO]])</f>
        <v>#DIV/0!</v>
      </c>
      <c r="BR52" s="521" t="e">
        <f>IF(données_step[[#This Row],[E_PTOT]]/données_step[[#This Row],[E_DCO]]=0,NA(),données_step[[#This Row],[E_PTOT]]/données_step[[#This Row],[E_DCO]])</f>
        <v>#DIV/0!</v>
      </c>
      <c r="BS52" s="747" t="e">
        <f ca="1">test_NH4_temp(données_step[[#This Row],[S_NH4]],données_step[[#This Row],[Temp_eaux]])</f>
        <v>#NAME?</v>
      </c>
    </row>
    <row r="53" spans="1:71" x14ac:dyDescent="0.2">
      <c r="A53" s="222">
        <f>données_step[[#This Row],[Datum]]</f>
        <v>44604</v>
      </c>
      <c r="B53" s="223"/>
      <c r="C53" s="224">
        <f t="shared" si="0"/>
        <v>7</v>
      </c>
      <c r="D53" s="523" t="str">
        <f>IF(OR(données_step[[#This Row],[E_DBO5]]&lt;=0,données_step[[#This Row],[E_DBO5]]=""),"",données_step[[#This Row],[D_QTRAI]]*données_step[[#This Row],[E_DBO5]]/1000)</f>
        <v/>
      </c>
      <c r="E53" s="523" t="str">
        <f>IF(OR(données_step[[#This Row],[E_DCO]]&lt;=0,données_step[[#This Row],[E_DCO]]=""),"",données_step[[#This Row],[D_QTRAI]]*données_step[[#This Row],[E_DCO]]/1000)</f>
        <v/>
      </c>
      <c r="F53" s="523" t="str">
        <f>IF(OR(données_step[[#This Row],[E_COT]]&lt;=0,données_step[[#This Row],[E_COT]]=""),"",données_step[[#This Row],[D_QTRAI]]*données_step[[#This Row],[E_COT]]/1000)</f>
        <v/>
      </c>
      <c r="G53" s="523" t="str">
        <f>IF(OR(données_step[[#This Row],[E_NH4]]&lt;=0,données_step[[#This Row],[E_NH4]]=""),"",données_step[[#This Row],[D_QTRAI]]*données_step[[#This Row],[E_NH4]]/1000)</f>
        <v/>
      </c>
      <c r="H53" s="523" t="str">
        <f>IF(OR(données_step[[#This Row],[E_NTOT]]&lt;=0,données_step[[#This Row],[E_NTOT]]=""),"",données_step[[#This Row],[D_QTRAI]]*données_step[[#This Row],[E_NTOT]]/1000)</f>
        <v/>
      </c>
      <c r="I53" s="523" t="str">
        <f>IF(OR(données_step[[#This Row],[E_NTOT]]&lt;=0,données_step[[#This Row],[E_NTOT]]=""),"",données_step[[#This Row],[D_QTRAI]]*données_step[[#This Row],[E_PTOT]]/1000)</f>
        <v/>
      </c>
      <c r="J53" s="523" t="str">
        <f>IF(OR(données_step[[#This Row],[S_DBO5]]&lt;=0,données_step[[#This Row],[S_DBO5]]=""),"",données_step[[#This Row],[D_QTRAI]]*données_step[[#This Row],[S_DBO5]]/1000)</f>
        <v/>
      </c>
      <c r="K53" s="523" t="str">
        <f>IF(OR(données_step[[#This Row],[S_DCO]]&lt;=0,données_step[[#This Row],[S_DCO]]=""),"",données_step[[#This Row],[D_QTRAI]]*données_step[[#This Row],[S_DCO]]/1000)</f>
        <v/>
      </c>
      <c r="L53" s="523" t="str">
        <f>IF(OR(données_step[[#This Row],[S_COD]]&lt;=0,données_step[[#This Row],[S_COD]]=""),"",données_step[[#This Row],[D_QTRAI]]*données_step[[#This Row],[S_COD]]/1000)</f>
        <v/>
      </c>
      <c r="M53" s="523" t="str">
        <f>IF(OR(données_step[[#This Row],[S_NH4]]&lt;=0,données_step[[#This Row],[S_NH4]]=""),"",données_step[[#This Row],[D_QTRAI]]*données_step[[#This Row],[S_NH4]]/1000)</f>
        <v/>
      </c>
      <c r="N53" s="523" t="str">
        <f>IF(OR(données_step[[#This Row],[S_NO2]]&lt;=0,données_step[[#This Row],[S_NO2]]=""),"",données_step[[#This Row],[D_QTRAI]]*données_step[[#This Row],[S_NO2]]/1000)</f>
        <v/>
      </c>
      <c r="O53" s="523" t="str">
        <f>IF(OR(données_step[[#This Row],[S_NO3]]&lt;=0,données_step[[#This Row],[S_NO3]]=""),"",données_step[[#This Row],[D_QTRAI]]*données_step[[#This Row],[S_NO3]]/1000)</f>
        <v/>
      </c>
      <c r="P53" s="523" t="str">
        <f>IF(OR(données_step[[#This Row],[S_PTOT]]&lt;=0,données_step[[#This Row],[S_PTOT]]=""),"",données_step[[#This Row],[D_QTRAI]]*données_step[[#This Row],[S_PTOT]]/1000)</f>
        <v/>
      </c>
      <c r="Q53" s="523" t="str">
        <f>IF(OR(données_step[[#This Row],[S_MES]]&lt;=0,données_step[[#This Row],[S_MES]]=""),"",données_step[[#This Row],[D_QTRAI]]*données_step[[#This Row],[S_MES]]/1000)</f>
        <v/>
      </c>
      <c r="R53" s="523">
        <f>MAX(données_step[[#This Row],[D_QTRAI]],données_step[[#This Row],[D_QTRAI2]])</f>
        <v>0</v>
      </c>
      <c r="S53" s="523" t="str">
        <f>IF(AND($R53&gt;0,données_step[[#This Row],[E_DCO]]&gt;0),données_step[[#This Row],[E_DCO]],"")</f>
        <v/>
      </c>
      <c r="T53" s="523" t="str">
        <f>IF(S53="","",(1-données_step[[#This Row],[E_DCO]]/$V$7)*100)</f>
        <v/>
      </c>
      <c r="U53" s="523" t="str">
        <f t="shared" si="1"/>
        <v/>
      </c>
      <c r="V53" s="523" t="str">
        <f t="shared" si="2"/>
        <v/>
      </c>
      <c r="W53" s="523" t="str">
        <f t="shared" si="3"/>
        <v/>
      </c>
      <c r="X53" s="523" t="e">
        <f>IF(((100-100/$V$7*données_step[[#This Row],[E_DCO]])/100*QTS)&lt;0,NA(),IF(OR(U53&lt;0,U53=""),NA(),((100-100/$V$7*données_step[[#This Row],[E_DCO]])/100*QTS)))</f>
        <v>#NUM!</v>
      </c>
      <c r="Y53" s="523" t="str">
        <f>IF(AND($R53&gt;0,données_step[[#This Row],[E_COT]]&gt;0),données_step[[#This Row],[E_COT]],"")</f>
        <v/>
      </c>
      <c r="Z53" s="523" t="str">
        <f>IF(Y53="","",(1-données_step[[#This Row],[E_COT]]/$AB$7)*100)</f>
        <v/>
      </c>
      <c r="AA53" s="523" t="str">
        <f t="shared" si="4"/>
        <v/>
      </c>
      <c r="AB53" s="523" t="str">
        <f t="shared" si="5"/>
        <v/>
      </c>
      <c r="AC53" s="523" t="str">
        <f t="shared" si="6"/>
        <v/>
      </c>
      <c r="AD53" s="523" t="e">
        <f>IF(((100-100/$AB$7*données_step[[#This Row],[E_COT]])/100*QTS)&lt;0,NA(),IF(OR(AA53&lt;0,AA53=""),NA(),((100-100/$AB$7*données_step[[#This Row],[E_COT]])/100*QTS)))</f>
        <v>#NUM!</v>
      </c>
      <c r="AE53" s="523" t="str">
        <f>IF(AND($R53&gt;0,données_step[[#This Row],[E_NH4]]&gt;0),données_step[[#This Row],[E_NH4]],"")</f>
        <v/>
      </c>
      <c r="AF53" s="523" t="str">
        <f>IF(AE53="","",(1-données_step[[#This Row],[E_NH4]]/$AH$7)*100)</f>
        <v/>
      </c>
      <c r="AG53" s="523" t="str">
        <f t="shared" si="7"/>
        <v/>
      </c>
      <c r="AH53" s="523" t="str">
        <f t="shared" si="8"/>
        <v/>
      </c>
      <c r="AI53" s="523" t="str">
        <f t="shared" si="9"/>
        <v/>
      </c>
      <c r="AJ53" s="523" t="e">
        <f>IF(((100-100/$AH$7*données_step[[#This Row],[E_NH4]])/100*QTS)&lt;0,NA(),IF(OR(AG53&lt;0,AG53=""),NA(),((100-100/$AH$7*données_step[[#This Row],[E_NH4]])/100*QTS)))</f>
        <v>#NUM!</v>
      </c>
      <c r="AK53" s="523" t="str">
        <f>IF(AND($R53&gt;0,données_step[[#This Row],[E_PTOT]]&gt;0),données_step[[#This Row],[E_PTOT]],"")</f>
        <v/>
      </c>
      <c r="AL53" s="523" t="str">
        <f>IF(AK53="","",(1-données_step[[#This Row],[E_PTOT]]/$AN$7)*100)</f>
        <v/>
      </c>
      <c r="AM53" s="523" t="str">
        <f t="shared" si="10"/>
        <v/>
      </c>
      <c r="AN53" s="523" t="str">
        <f t="shared" si="11"/>
        <v/>
      </c>
      <c r="AO53" s="523" t="str">
        <f t="shared" si="12"/>
        <v/>
      </c>
      <c r="AP53" s="523" t="e">
        <f>IF(((100-100/$AN$7*données_step[[#This Row],[E_PTOT]])/100*QTS)&lt;0,NA(),IF(OR(AM53&lt;0,AM53=""),NA(),((100-100/$AN$7*données_step[[#This Row],[E_PTOT]])/100*QTS)))</f>
        <v>#NUM!</v>
      </c>
      <c r="AQ53" s="524" t="e">
        <f t="shared" si="13"/>
        <v>#NUM!</v>
      </c>
      <c r="AR53" s="524" t="str">
        <f t="shared" si="14"/>
        <v/>
      </c>
      <c r="AT53" s="517">
        <f t="shared" si="15"/>
        <v>0.42</v>
      </c>
      <c r="AU53" s="501">
        <f t="shared" si="16"/>
        <v>42</v>
      </c>
      <c r="AV53" s="525" t="e">
        <f>PERCENTILE(analyses!$F$11:$F$375,$AT53)</f>
        <v>#NUM!</v>
      </c>
      <c r="AW53" s="7" t="e">
        <f>PERCENTILE(analyses!$I$11:$I$375,$AT53)</f>
        <v>#NUM!</v>
      </c>
      <c r="AX53" s="7" t="e">
        <f>PERCENTILE(analyses!$J$11:$J$375,$AT53)</f>
        <v>#NUM!</v>
      </c>
      <c r="AY53" s="523" t="str">
        <f>_xlfn.IFNA(IF(données_step[[#This Row],[E_DCO]]&lt;=0,NA(),charge_entree[[#This Row],[ch_E_DCO]]/constanten!$B$8*1000),"")</f>
        <v/>
      </c>
      <c r="AZ53" s="523" t="str">
        <f>_xlfn.IFNA(IF(données_step[[#This Row],[E_NTOT]]&lt;=0,NA(),charge_entree[[#This Row],[ch_E_NTOT]]/constanten!$B$10*1000),"")</f>
        <v/>
      </c>
      <c r="BA53" s="523" t="str">
        <f>_xlfn.IFNA(IF(données_step[[#This Row],[E_NH4]]&lt;=0,NA(),charge_entree[[#This Row],[ch_E_NH4]]/constanten!$B$12*1000),"")</f>
        <v/>
      </c>
      <c r="BB53" s="523" t="str">
        <f>_xlfn.IFNA(IF(données_step[[#This Row],[E_COT]]&lt;=0,NA(),charge_entree[[#This Row],[ch_E_COT]]/constanten!$B$9*1000),"")</f>
        <v/>
      </c>
      <c r="BC53" s="523" t="str">
        <f>IFERROR(_xlfn.IFNA(IF(données_step[[#This Row],[E_PTOT]]&lt;=0,NA(),charge_entree[[#This Row],[ch_E_PTOT]]/constanten!$B$15*1000),""),"")</f>
        <v/>
      </c>
      <c r="BD53" s="535" t="e">
        <f>calculs!E53 * (1-0.4) / (données_step[[#This Row],[X_BA_VOL]]*données_step[[#This Row],[X_BACONC]])</f>
        <v>#VALUE!</v>
      </c>
      <c r="BE53" s="522" t="e">
        <f>(données_step[[#This Row],[X_BA_VOL]]*données_step[[#This Row],[X_BACONC]])/((données_step[[#This Row],[D_QTRAI2]]*données_step[[#This Row],[S_MES]]/1000)+(données_step[[#This Row],[X_BX_Q]]*données_step[[#This Row],[X_BXCONC]]))</f>
        <v>#VALUE!</v>
      </c>
      <c r="BF53" s="890" t="str">
        <f>IFERROR(données_step[[#This Row],[D_QTRAI]]/AY53*1000,"")</f>
        <v/>
      </c>
      <c r="BG53" s="535" t="str">
        <f>IFERROR(1-données_step[[#This Row],[S_DBO5]]/données_step[[#This Row],[E_DBO5]],"")</f>
        <v/>
      </c>
      <c r="BH53" s="536" t="str">
        <f>IFERROR(1-données_step[[#This Row],[S_DCO]]/données_step[[#This Row],[E_DCO]],"")</f>
        <v/>
      </c>
      <c r="BI53" s="535" t="str">
        <f>IFERROR(1-données_step[[#This Row],[S_COD]]/données_step[[#This Row],[E_COT]],"")</f>
        <v/>
      </c>
      <c r="BJ53" s="535" t="str">
        <f>IFERROR(1-données_step[[#This Row],[S_NH4]]/données_step[[#This Row],[E_NTOT]],"")</f>
        <v/>
      </c>
      <c r="BK53" s="535" t="str">
        <f>IFERROR(1-données_step[[#This Row],[S_PTOT]]/données_step[[#This Row],[E_PTOT]],"")</f>
        <v/>
      </c>
      <c r="BL53" s="521" t="str">
        <f>IFERROR(IF(données_step[[#This Row],[E_DCO]]/données_step[[#This Row],[E_DBO5]]=0,NA(),données_step[[#This Row],[E_DCO]]/données_step[[#This Row],[E_DBO5]]),"")</f>
        <v/>
      </c>
      <c r="BM53" s="521" t="str">
        <f>IFERROR(IF(données_step[[#This Row],[E_NH4]]/données_step[[#This Row],[E_NTOT]]=0,NA(),données_step[[#This Row],[E_NH4]]/données_step[[#This Row],[E_NTOT]]),"")</f>
        <v/>
      </c>
      <c r="BN53" s="521" t="str">
        <f>IFERROR(IF(données_step[[#This Row],[E_NTOT]]/données_step[[#This Row],[E_COT]]=0,NA(),données_step[[#This Row],[E_NTOT]]/données_step[[#This Row],[E_COT]]),"")</f>
        <v/>
      </c>
      <c r="BO53" s="521" t="str">
        <f>IFERROR(IF(données_step[[#This Row],[E_PTOT]]/données_step[[#This Row],[E_COT]]=0,NA(),données_step[[#This Row],[E_PTOT]]/données_step[[#This Row],[E_COT]]),"")</f>
        <v/>
      </c>
      <c r="BP53" s="521" t="e">
        <f>IF(données_step[[#This Row],[E_DCO]]/données_step[[#This Row],[E_COT]]=0,NA(),données_step[[#This Row],[E_DCO]]/données_step[[#This Row],[E_COT]])</f>
        <v>#DIV/0!</v>
      </c>
      <c r="BQ53" s="521" t="e">
        <f>IF(données_step[[#This Row],[E_NTOT]]/données_step[[#This Row],[E_DCO]]=0,NA(),données_step[[#This Row],[E_NTOT]]/données_step[[#This Row],[E_DCO]])</f>
        <v>#DIV/0!</v>
      </c>
      <c r="BR53" s="521" t="e">
        <f>IF(données_step[[#This Row],[E_PTOT]]/données_step[[#This Row],[E_DCO]]=0,NA(),données_step[[#This Row],[E_PTOT]]/données_step[[#This Row],[E_DCO]])</f>
        <v>#DIV/0!</v>
      </c>
      <c r="BS53" s="747" t="e">
        <f ca="1">test_NH4_temp(données_step[[#This Row],[S_NH4]],données_step[[#This Row],[Temp_eaux]])</f>
        <v>#NAME?</v>
      </c>
    </row>
    <row r="54" spans="1:71" x14ac:dyDescent="0.2">
      <c r="A54" s="222">
        <f>données_step[[#This Row],[Datum]]</f>
        <v>44605</v>
      </c>
      <c r="B54" s="223"/>
      <c r="C54" s="224">
        <f t="shared" si="0"/>
        <v>1</v>
      </c>
      <c r="D54" s="523" t="str">
        <f>IF(OR(données_step[[#This Row],[E_DBO5]]&lt;=0,données_step[[#This Row],[E_DBO5]]=""),"",données_step[[#This Row],[D_QTRAI]]*données_step[[#This Row],[E_DBO5]]/1000)</f>
        <v/>
      </c>
      <c r="E54" s="523" t="str">
        <f>IF(OR(données_step[[#This Row],[E_DCO]]&lt;=0,données_step[[#This Row],[E_DCO]]=""),"",données_step[[#This Row],[D_QTRAI]]*données_step[[#This Row],[E_DCO]]/1000)</f>
        <v/>
      </c>
      <c r="F54" s="523" t="str">
        <f>IF(OR(données_step[[#This Row],[E_COT]]&lt;=0,données_step[[#This Row],[E_COT]]=""),"",données_step[[#This Row],[D_QTRAI]]*données_step[[#This Row],[E_COT]]/1000)</f>
        <v/>
      </c>
      <c r="G54" s="523" t="str">
        <f>IF(OR(données_step[[#This Row],[E_NH4]]&lt;=0,données_step[[#This Row],[E_NH4]]=""),"",données_step[[#This Row],[D_QTRAI]]*données_step[[#This Row],[E_NH4]]/1000)</f>
        <v/>
      </c>
      <c r="H54" s="523" t="str">
        <f>IF(OR(données_step[[#This Row],[E_NTOT]]&lt;=0,données_step[[#This Row],[E_NTOT]]=""),"",données_step[[#This Row],[D_QTRAI]]*données_step[[#This Row],[E_NTOT]]/1000)</f>
        <v/>
      </c>
      <c r="I54" s="523" t="str">
        <f>IF(OR(données_step[[#This Row],[E_NTOT]]&lt;=0,données_step[[#This Row],[E_NTOT]]=""),"",données_step[[#This Row],[D_QTRAI]]*données_step[[#This Row],[E_PTOT]]/1000)</f>
        <v/>
      </c>
      <c r="J54" s="523" t="str">
        <f>IF(OR(données_step[[#This Row],[S_DBO5]]&lt;=0,données_step[[#This Row],[S_DBO5]]=""),"",données_step[[#This Row],[D_QTRAI]]*données_step[[#This Row],[S_DBO5]]/1000)</f>
        <v/>
      </c>
      <c r="K54" s="523" t="str">
        <f>IF(OR(données_step[[#This Row],[S_DCO]]&lt;=0,données_step[[#This Row],[S_DCO]]=""),"",données_step[[#This Row],[D_QTRAI]]*données_step[[#This Row],[S_DCO]]/1000)</f>
        <v/>
      </c>
      <c r="L54" s="523" t="str">
        <f>IF(OR(données_step[[#This Row],[S_COD]]&lt;=0,données_step[[#This Row],[S_COD]]=""),"",données_step[[#This Row],[D_QTRAI]]*données_step[[#This Row],[S_COD]]/1000)</f>
        <v/>
      </c>
      <c r="M54" s="523" t="str">
        <f>IF(OR(données_step[[#This Row],[S_NH4]]&lt;=0,données_step[[#This Row],[S_NH4]]=""),"",données_step[[#This Row],[D_QTRAI]]*données_step[[#This Row],[S_NH4]]/1000)</f>
        <v/>
      </c>
      <c r="N54" s="523" t="str">
        <f>IF(OR(données_step[[#This Row],[S_NO2]]&lt;=0,données_step[[#This Row],[S_NO2]]=""),"",données_step[[#This Row],[D_QTRAI]]*données_step[[#This Row],[S_NO2]]/1000)</f>
        <v/>
      </c>
      <c r="O54" s="523" t="str">
        <f>IF(OR(données_step[[#This Row],[S_NO3]]&lt;=0,données_step[[#This Row],[S_NO3]]=""),"",données_step[[#This Row],[D_QTRAI]]*données_step[[#This Row],[S_NO3]]/1000)</f>
        <v/>
      </c>
      <c r="P54" s="523" t="str">
        <f>IF(OR(données_step[[#This Row],[S_PTOT]]&lt;=0,données_step[[#This Row],[S_PTOT]]=""),"",données_step[[#This Row],[D_QTRAI]]*données_step[[#This Row],[S_PTOT]]/1000)</f>
        <v/>
      </c>
      <c r="Q54" s="523" t="str">
        <f>IF(OR(données_step[[#This Row],[S_MES]]&lt;=0,données_step[[#This Row],[S_MES]]=""),"",données_step[[#This Row],[D_QTRAI]]*données_step[[#This Row],[S_MES]]/1000)</f>
        <v/>
      </c>
      <c r="R54" s="523">
        <f>MAX(données_step[[#This Row],[D_QTRAI]],données_step[[#This Row],[D_QTRAI2]])</f>
        <v>0</v>
      </c>
      <c r="S54" s="523" t="str">
        <f>IF(AND($R54&gt;0,données_step[[#This Row],[E_DCO]]&gt;0),données_step[[#This Row],[E_DCO]],"")</f>
        <v/>
      </c>
      <c r="T54" s="523" t="str">
        <f>IF(S54="","",(1-données_step[[#This Row],[E_DCO]]/$V$7)*100)</f>
        <v/>
      </c>
      <c r="U54" s="523" t="str">
        <f t="shared" si="1"/>
        <v/>
      </c>
      <c r="V54" s="523" t="str">
        <f t="shared" si="2"/>
        <v/>
      </c>
      <c r="W54" s="523" t="str">
        <f t="shared" si="3"/>
        <v/>
      </c>
      <c r="X54" s="523" t="e">
        <f>IF(((100-100/$V$7*données_step[[#This Row],[E_DCO]])/100*QTS)&lt;0,NA(),IF(OR(U54&lt;0,U54=""),NA(),((100-100/$V$7*données_step[[#This Row],[E_DCO]])/100*QTS)))</f>
        <v>#NUM!</v>
      </c>
      <c r="Y54" s="523" t="str">
        <f>IF(AND($R54&gt;0,données_step[[#This Row],[E_COT]]&gt;0),données_step[[#This Row],[E_COT]],"")</f>
        <v/>
      </c>
      <c r="Z54" s="523" t="str">
        <f>IF(Y54="","",(1-données_step[[#This Row],[E_COT]]/$AB$7)*100)</f>
        <v/>
      </c>
      <c r="AA54" s="523" t="str">
        <f t="shared" si="4"/>
        <v/>
      </c>
      <c r="AB54" s="523" t="str">
        <f t="shared" si="5"/>
        <v/>
      </c>
      <c r="AC54" s="523" t="str">
        <f t="shared" si="6"/>
        <v/>
      </c>
      <c r="AD54" s="523" t="e">
        <f>IF(((100-100/$AB$7*données_step[[#This Row],[E_COT]])/100*QTS)&lt;0,NA(),IF(OR(AA54&lt;0,AA54=""),NA(),((100-100/$AB$7*données_step[[#This Row],[E_COT]])/100*QTS)))</f>
        <v>#NUM!</v>
      </c>
      <c r="AE54" s="523" t="str">
        <f>IF(AND($R54&gt;0,données_step[[#This Row],[E_NH4]]&gt;0),données_step[[#This Row],[E_NH4]],"")</f>
        <v/>
      </c>
      <c r="AF54" s="523" t="str">
        <f>IF(AE54="","",(1-données_step[[#This Row],[E_NH4]]/$AH$7)*100)</f>
        <v/>
      </c>
      <c r="AG54" s="523" t="str">
        <f t="shared" si="7"/>
        <v/>
      </c>
      <c r="AH54" s="523" t="str">
        <f t="shared" si="8"/>
        <v/>
      </c>
      <c r="AI54" s="523" t="str">
        <f t="shared" si="9"/>
        <v/>
      </c>
      <c r="AJ54" s="523" t="e">
        <f>IF(((100-100/$AH$7*données_step[[#This Row],[E_NH4]])/100*QTS)&lt;0,NA(),IF(OR(AG54&lt;0,AG54=""),NA(),((100-100/$AH$7*données_step[[#This Row],[E_NH4]])/100*QTS)))</f>
        <v>#NUM!</v>
      </c>
      <c r="AK54" s="523" t="str">
        <f>IF(AND($R54&gt;0,données_step[[#This Row],[E_PTOT]]&gt;0),données_step[[#This Row],[E_PTOT]],"")</f>
        <v/>
      </c>
      <c r="AL54" s="523" t="str">
        <f>IF(AK54="","",(1-données_step[[#This Row],[E_PTOT]]/$AN$7)*100)</f>
        <v/>
      </c>
      <c r="AM54" s="523" t="str">
        <f t="shared" si="10"/>
        <v/>
      </c>
      <c r="AN54" s="523" t="str">
        <f t="shared" si="11"/>
        <v/>
      </c>
      <c r="AO54" s="523" t="str">
        <f t="shared" si="12"/>
        <v/>
      </c>
      <c r="AP54" s="523" t="e">
        <f>IF(((100-100/$AN$7*données_step[[#This Row],[E_PTOT]])/100*QTS)&lt;0,NA(),IF(OR(AM54&lt;0,AM54=""),NA(),((100-100/$AN$7*données_step[[#This Row],[E_PTOT]])/100*QTS)))</f>
        <v>#NUM!</v>
      </c>
      <c r="AQ54" s="524" t="e">
        <f t="shared" si="13"/>
        <v>#NUM!</v>
      </c>
      <c r="AR54" s="524" t="str">
        <f t="shared" si="14"/>
        <v/>
      </c>
      <c r="AT54" s="517">
        <f t="shared" si="15"/>
        <v>0.43</v>
      </c>
      <c r="AU54" s="501">
        <f t="shared" si="16"/>
        <v>43</v>
      </c>
      <c r="AV54" s="525" t="e">
        <f>PERCENTILE(analyses!$F$11:$F$375,$AT54)</f>
        <v>#NUM!</v>
      </c>
      <c r="AW54" s="7" t="e">
        <f>PERCENTILE(analyses!$I$11:$I$375,$AT54)</f>
        <v>#NUM!</v>
      </c>
      <c r="AX54" s="7" t="e">
        <f>PERCENTILE(analyses!$J$11:$J$375,$AT54)</f>
        <v>#NUM!</v>
      </c>
      <c r="AY54" s="523" t="str">
        <f>_xlfn.IFNA(IF(données_step[[#This Row],[E_DCO]]&lt;=0,NA(),charge_entree[[#This Row],[ch_E_DCO]]/constanten!$B$8*1000),"")</f>
        <v/>
      </c>
      <c r="AZ54" s="523" t="str">
        <f>_xlfn.IFNA(IF(données_step[[#This Row],[E_NTOT]]&lt;=0,NA(),charge_entree[[#This Row],[ch_E_NTOT]]/constanten!$B$10*1000),"")</f>
        <v/>
      </c>
      <c r="BA54" s="523" t="str">
        <f>_xlfn.IFNA(IF(données_step[[#This Row],[E_NH4]]&lt;=0,NA(),charge_entree[[#This Row],[ch_E_NH4]]/constanten!$B$12*1000),"")</f>
        <v/>
      </c>
      <c r="BB54" s="523" t="str">
        <f>_xlfn.IFNA(IF(données_step[[#This Row],[E_COT]]&lt;=0,NA(),charge_entree[[#This Row],[ch_E_COT]]/constanten!$B$9*1000),"")</f>
        <v/>
      </c>
      <c r="BC54" s="523" t="str">
        <f>IFERROR(_xlfn.IFNA(IF(données_step[[#This Row],[E_PTOT]]&lt;=0,NA(),charge_entree[[#This Row],[ch_E_PTOT]]/constanten!$B$15*1000),""),"")</f>
        <v/>
      </c>
      <c r="BD54" s="535" t="e">
        <f>calculs!E54 * (1-0.4) / (données_step[[#This Row],[X_BA_VOL]]*données_step[[#This Row],[X_BACONC]])</f>
        <v>#VALUE!</v>
      </c>
      <c r="BE54" s="522" t="e">
        <f>(données_step[[#This Row],[X_BA_VOL]]*données_step[[#This Row],[X_BACONC]])/((données_step[[#This Row],[D_QTRAI2]]*données_step[[#This Row],[S_MES]]/1000)+(données_step[[#This Row],[X_BX_Q]]*données_step[[#This Row],[X_BXCONC]]))</f>
        <v>#VALUE!</v>
      </c>
      <c r="BF54" s="890" t="str">
        <f>IFERROR(données_step[[#This Row],[D_QTRAI]]/AY54*1000,"")</f>
        <v/>
      </c>
      <c r="BG54" s="535" t="str">
        <f>IFERROR(1-données_step[[#This Row],[S_DBO5]]/données_step[[#This Row],[E_DBO5]],"")</f>
        <v/>
      </c>
      <c r="BH54" s="536" t="str">
        <f>IFERROR(1-données_step[[#This Row],[S_DCO]]/données_step[[#This Row],[E_DCO]],"")</f>
        <v/>
      </c>
      <c r="BI54" s="535" t="str">
        <f>IFERROR(1-données_step[[#This Row],[S_COD]]/données_step[[#This Row],[E_COT]],"")</f>
        <v/>
      </c>
      <c r="BJ54" s="535" t="str">
        <f>IFERROR(1-données_step[[#This Row],[S_NH4]]/données_step[[#This Row],[E_NTOT]],"")</f>
        <v/>
      </c>
      <c r="BK54" s="535" t="str">
        <f>IFERROR(1-données_step[[#This Row],[S_PTOT]]/données_step[[#This Row],[E_PTOT]],"")</f>
        <v/>
      </c>
      <c r="BL54" s="521" t="str">
        <f>IFERROR(IF(données_step[[#This Row],[E_DCO]]/données_step[[#This Row],[E_DBO5]]=0,NA(),données_step[[#This Row],[E_DCO]]/données_step[[#This Row],[E_DBO5]]),"")</f>
        <v/>
      </c>
      <c r="BM54" s="521" t="str">
        <f>IFERROR(IF(données_step[[#This Row],[E_NH4]]/données_step[[#This Row],[E_NTOT]]=0,NA(),données_step[[#This Row],[E_NH4]]/données_step[[#This Row],[E_NTOT]]),"")</f>
        <v/>
      </c>
      <c r="BN54" s="521" t="str">
        <f>IFERROR(IF(données_step[[#This Row],[E_NTOT]]/données_step[[#This Row],[E_COT]]=0,NA(),données_step[[#This Row],[E_NTOT]]/données_step[[#This Row],[E_COT]]),"")</f>
        <v/>
      </c>
      <c r="BO54" s="521" t="str">
        <f>IFERROR(IF(données_step[[#This Row],[E_PTOT]]/données_step[[#This Row],[E_COT]]=0,NA(),données_step[[#This Row],[E_PTOT]]/données_step[[#This Row],[E_COT]]),"")</f>
        <v/>
      </c>
      <c r="BP54" s="521" t="e">
        <f>IF(données_step[[#This Row],[E_DCO]]/données_step[[#This Row],[E_COT]]=0,NA(),données_step[[#This Row],[E_DCO]]/données_step[[#This Row],[E_COT]])</f>
        <v>#DIV/0!</v>
      </c>
      <c r="BQ54" s="521" t="e">
        <f>IF(données_step[[#This Row],[E_NTOT]]/données_step[[#This Row],[E_DCO]]=0,NA(),données_step[[#This Row],[E_NTOT]]/données_step[[#This Row],[E_DCO]])</f>
        <v>#DIV/0!</v>
      </c>
      <c r="BR54" s="521" t="e">
        <f>IF(données_step[[#This Row],[E_PTOT]]/données_step[[#This Row],[E_DCO]]=0,NA(),données_step[[#This Row],[E_PTOT]]/données_step[[#This Row],[E_DCO]])</f>
        <v>#DIV/0!</v>
      </c>
      <c r="BS54" s="747" t="e">
        <f ca="1">test_NH4_temp(données_step[[#This Row],[S_NH4]],données_step[[#This Row],[Temp_eaux]])</f>
        <v>#NAME?</v>
      </c>
    </row>
    <row r="55" spans="1:71" x14ac:dyDescent="0.2">
      <c r="A55" s="222">
        <f>données_step[[#This Row],[Datum]]</f>
        <v>44606</v>
      </c>
      <c r="B55" s="223"/>
      <c r="C55" s="224">
        <f t="shared" si="0"/>
        <v>2</v>
      </c>
      <c r="D55" s="523" t="str">
        <f>IF(OR(données_step[[#This Row],[E_DBO5]]&lt;=0,données_step[[#This Row],[E_DBO5]]=""),"",données_step[[#This Row],[D_QTRAI]]*données_step[[#This Row],[E_DBO5]]/1000)</f>
        <v/>
      </c>
      <c r="E55" s="523" t="str">
        <f>IF(OR(données_step[[#This Row],[E_DCO]]&lt;=0,données_step[[#This Row],[E_DCO]]=""),"",données_step[[#This Row],[D_QTRAI]]*données_step[[#This Row],[E_DCO]]/1000)</f>
        <v/>
      </c>
      <c r="F55" s="523" t="str">
        <f>IF(OR(données_step[[#This Row],[E_COT]]&lt;=0,données_step[[#This Row],[E_COT]]=""),"",données_step[[#This Row],[D_QTRAI]]*données_step[[#This Row],[E_COT]]/1000)</f>
        <v/>
      </c>
      <c r="G55" s="523" t="str">
        <f>IF(OR(données_step[[#This Row],[E_NH4]]&lt;=0,données_step[[#This Row],[E_NH4]]=""),"",données_step[[#This Row],[D_QTRAI]]*données_step[[#This Row],[E_NH4]]/1000)</f>
        <v/>
      </c>
      <c r="H55" s="523" t="str">
        <f>IF(OR(données_step[[#This Row],[E_NTOT]]&lt;=0,données_step[[#This Row],[E_NTOT]]=""),"",données_step[[#This Row],[D_QTRAI]]*données_step[[#This Row],[E_NTOT]]/1000)</f>
        <v/>
      </c>
      <c r="I55" s="523" t="str">
        <f>IF(OR(données_step[[#This Row],[E_NTOT]]&lt;=0,données_step[[#This Row],[E_NTOT]]=""),"",données_step[[#This Row],[D_QTRAI]]*données_step[[#This Row],[E_PTOT]]/1000)</f>
        <v/>
      </c>
      <c r="J55" s="523" t="str">
        <f>IF(OR(données_step[[#This Row],[S_DBO5]]&lt;=0,données_step[[#This Row],[S_DBO5]]=""),"",données_step[[#This Row],[D_QTRAI]]*données_step[[#This Row],[S_DBO5]]/1000)</f>
        <v/>
      </c>
      <c r="K55" s="523" t="str">
        <f>IF(OR(données_step[[#This Row],[S_DCO]]&lt;=0,données_step[[#This Row],[S_DCO]]=""),"",données_step[[#This Row],[D_QTRAI]]*données_step[[#This Row],[S_DCO]]/1000)</f>
        <v/>
      </c>
      <c r="L55" s="523" t="str">
        <f>IF(OR(données_step[[#This Row],[S_COD]]&lt;=0,données_step[[#This Row],[S_COD]]=""),"",données_step[[#This Row],[D_QTRAI]]*données_step[[#This Row],[S_COD]]/1000)</f>
        <v/>
      </c>
      <c r="M55" s="523" t="str">
        <f>IF(OR(données_step[[#This Row],[S_NH4]]&lt;=0,données_step[[#This Row],[S_NH4]]=""),"",données_step[[#This Row],[D_QTRAI]]*données_step[[#This Row],[S_NH4]]/1000)</f>
        <v/>
      </c>
      <c r="N55" s="523" t="str">
        <f>IF(OR(données_step[[#This Row],[S_NO2]]&lt;=0,données_step[[#This Row],[S_NO2]]=""),"",données_step[[#This Row],[D_QTRAI]]*données_step[[#This Row],[S_NO2]]/1000)</f>
        <v/>
      </c>
      <c r="O55" s="523" t="str">
        <f>IF(OR(données_step[[#This Row],[S_NO3]]&lt;=0,données_step[[#This Row],[S_NO3]]=""),"",données_step[[#This Row],[D_QTRAI]]*données_step[[#This Row],[S_NO3]]/1000)</f>
        <v/>
      </c>
      <c r="P55" s="523" t="str">
        <f>IF(OR(données_step[[#This Row],[S_PTOT]]&lt;=0,données_step[[#This Row],[S_PTOT]]=""),"",données_step[[#This Row],[D_QTRAI]]*données_step[[#This Row],[S_PTOT]]/1000)</f>
        <v/>
      </c>
      <c r="Q55" s="523" t="str">
        <f>IF(OR(données_step[[#This Row],[S_MES]]&lt;=0,données_step[[#This Row],[S_MES]]=""),"",données_step[[#This Row],[D_QTRAI]]*données_step[[#This Row],[S_MES]]/1000)</f>
        <v/>
      </c>
      <c r="R55" s="523">
        <f>MAX(données_step[[#This Row],[D_QTRAI]],données_step[[#This Row],[D_QTRAI2]])</f>
        <v>0</v>
      </c>
      <c r="S55" s="523" t="str">
        <f>IF(AND($R55&gt;0,données_step[[#This Row],[E_DCO]]&gt;0),données_step[[#This Row],[E_DCO]],"")</f>
        <v/>
      </c>
      <c r="T55" s="523" t="str">
        <f>IF(S55="","",(1-données_step[[#This Row],[E_DCO]]/$V$7)*100)</f>
        <v/>
      </c>
      <c r="U55" s="523" t="str">
        <f t="shared" si="1"/>
        <v/>
      </c>
      <c r="V55" s="523" t="str">
        <f t="shared" si="2"/>
        <v/>
      </c>
      <c r="W55" s="523" t="str">
        <f t="shared" si="3"/>
        <v/>
      </c>
      <c r="X55" s="523" t="e">
        <f>IF(((100-100/$V$7*données_step[[#This Row],[E_DCO]])/100*QTS)&lt;0,NA(),IF(OR(U55&lt;0,U55=""),NA(),((100-100/$V$7*données_step[[#This Row],[E_DCO]])/100*QTS)))</f>
        <v>#NUM!</v>
      </c>
      <c r="Y55" s="523" t="str">
        <f>IF(AND($R55&gt;0,données_step[[#This Row],[E_COT]]&gt;0),données_step[[#This Row],[E_COT]],"")</f>
        <v/>
      </c>
      <c r="Z55" s="523" t="str">
        <f>IF(Y55="","",(1-données_step[[#This Row],[E_COT]]/$AB$7)*100)</f>
        <v/>
      </c>
      <c r="AA55" s="523" t="str">
        <f t="shared" si="4"/>
        <v/>
      </c>
      <c r="AB55" s="523" t="str">
        <f t="shared" si="5"/>
        <v/>
      </c>
      <c r="AC55" s="523" t="str">
        <f t="shared" si="6"/>
        <v/>
      </c>
      <c r="AD55" s="523" t="e">
        <f>IF(((100-100/$AB$7*données_step[[#This Row],[E_COT]])/100*QTS)&lt;0,NA(),IF(OR(AA55&lt;0,AA55=""),NA(),((100-100/$AB$7*données_step[[#This Row],[E_COT]])/100*QTS)))</f>
        <v>#NUM!</v>
      </c>
      <c r="AE55" s="523" t="str">
        <f>IF(AND($R55&gt;0,données_step[[#This Row],[E_NH4]]&gt;0),données_step[[#This Row],[E_NH4]],"")</f>
        <v/>
      </c>
      <c r="AF55" s="523" t="str">
        <f>IF(AE55="","",(1-données_step[[#This Row],[E_NH4]]/$AH$7)*100)</f>
        <v/>
      </c>
      <c r="AG55" s="523" t="str">
        <f t="shared" si="7"/>
        <v/>
      </c>
      <c r="AH55" s="523" t="str">
        <f t="shared" si="8"/>
        <v/>
      </c>
      <c r="AI55" s="523" t="str">
        <f t="shared" si="9"/>
        <v/>
      </c>
      <c r="AJ55" s="523" t="e">
        <f>IF(((100-100/$AH$7*données_step[[#This Row],[E_NH4]])/100*QTS)&lt;0,NA(),IF(OR(AG55&lt;0,AG55=""),NA(),((100-100/$AH$7*données_step[[#This Row],[E_NH4]])/100*QTS)))</f>
        <v>#NUM!</v>
      </c>
      <c r="AK55" s="523" t="str">
        <f>IF(AND($R55&gt;0,données_step[[#This Row],[E_PTOT]]&gt;0),données_step[[#This Row],[E_PTOT]],"")</f>
        <v/>
      </c>
      <c r="AL55" s="523" t="str">
        <f>IF(AK55="","",(1-données_step[[#This Row],[E_PTOT]]/$AN$7)*100)</f>
        <v/>
      </c>
      <c r="AM55" s="523" t="str">
        <f t="shared" si="10"/>
        <v/>
      </c>
      <c r="AN55" s="523" t="str">
        <f t="shared" si="11"/>
        <v/>
      </c>
      <c r="AO55" s="523" t="str">
        <f t="shared" si="12"/>
        <v/>
      </c>
      <c r="AP55" s="523" t="e">
        <f>IF(((100-100/$AN$7*données_step[[#This Row],[E_PTOT]])/100*QTS)&lt;0,NA(),IF(OR(AM55&lt;0,AM55=""),NA(),((100-100/$AN$7*données_step[[#This Row],[E_PTOT]])/100*QTS)))</f>
        <v>#NUM!</v>
      </c>
      <c r="AQ55" s="524" t="e">
        <f t="shared" si="13"/>
        <v>#NUM!</v>
      </c>
      <c r="AR55" s="524" t="str">
        <f t="shared" si="14"/>
        <v/>
      </c>
      <c r="AT55" s="517">
        <f t="shared" si="15"/>
        <v>0.44</v>
      </c>
      <c r="AU55" s="501">
        <f t="shared" si="16"/>
        <v>44</v>
      </c>
      <c r="AV55" s="525" t="e">
        <f>PERCENTILE(analyses!$F$11:$F$375,$AT55)</f>
        <v>#NUM!</v>
      </c>
      <c r="AW55" s="7" t="e">
        <f>PERCENTILE(analyses!$I$11:$I$375,$AT55)</f>
        <v>#NUM!</v>
      </c>
      <c r="AX55" s="7" t="e">
        <f>PERCENTILE(analyses!$J$11:$J$375,$AT55)</f>
        <v>#NUM!</v>
      </c>
      <c r="AY55" s="523" t="str">
        <f>_xlfn.IFNA(IF(données_step[[#This Row],[E_DCO]]&lt;=0,NA(),charge_entree[[#This Row],[ch_E_DCO]]/constanten!$B$8*1000),"")</f>
        <v/>
      </c>
      <c r="AZ55" s="523" t="str">
        <f>_xlfn.IFNA(IF(données_step[[#This Row],[E_NTOT]]&lt;=0,NA(),charge_entree[[#This Row],[ch_E_NTOT]]/constanten!$B$10*1000),"")</f>
        <v/>
      </c>
      <c r="BA55" s="523" t="str">
        <f>_xlfn.IFNA(IF(données_step[[#This Row],[E_NH4]]&lt;=0,NA(),charge_entree[[#This Row],[ch_E_NH4]]/constanten!$B$12*1000),"")</f>
        <v/>
      </c>
      <c r="BB55" s="523" t="str">
        <f>_xlfn.IFNA(IF(données_step[[#This Row],[E_COT]]&lt;=0,NA(),charge_entree[[#This Row],[ch_E_COT]]/constanten!$B$9*1000),"")</f>
        <v/>
      </c>
      <c r="BC55" s="523" t="str">
        <f>IFERROR(_xlfn.IFNA(IF(données_step[[#This Row],[E_PTOT]]&lt;=0,NA(),charge_entree[[#This Row],[ch_E_PTOT]]/constanten!$B$15*1000),""),"")</f>
        <v/>
      </c>
      <c r="BD55" s="535" t="e">
        <f>calculs!E55 * (1-0.4) / (données_step[[#This Row],[X_BA_VOL]]*données_step[[#This Row],[X_BACONC]])</f>
        <v>#VALUE!</v>
      </c>
      <c r="BE55" s="522" t="e">
        <f>(données_step[[#This Row],[X_BA_VOL]]*données_step[[#This Row],[X_BACONC]])/((données_step[[#This Row],[D_QTRAI2]]*données_step[[#This Row],[S_MES]]/1000)+(données_step[[#This Row],[X_BX_Q]]*données_step[[#This Row],[X_BXCONC]]))</f>
        <v>#VALUE!</v>
      </c>
      <c r="BF55" s="890" t="str">
        <f>IFERROR(données_step[[#This Row],[D_QTRAI]]/AY55*1000,"")</f>
        <v/>
      </c>
      <c r="BG55" s="535" t="str">
        <f>IFERROR(1-données_step[[#This Row],[S_DBO5]]/données_step[[#This Row],[E_DBO5]],"")</f>
        <v/>
      </c>
      <c r="BH55" s="536" t="str">
        <f>IFERROR(1-données_step[[#This Row],[S_DCO]]/données_step[[#This Row],[E_DCO]],"")</f>
        <v/>
      </c>
      <c r="BI55" s="535" t="str">
        <f>IFERROR(1-données_step[[#This Row],[S_COD]]/données_step[[#This Row],[E_COT]],"")</f>
        <v/>
      </c>
      <c r="BJ55" s="535" t="str">
        <f>IFERROR(1-données_step[[#This Row],[S_NH4]]/données_step[[#This Row],[E_NTOT]],"")</f>
        <v/>
      </c>
      <c r="BK55" s="535" t="str">
        <f>IFERROR(1-données_step[[#This Row],[S_PTOT]]/données_step[[#This Row],[E_PTOT]],"")</f>
        <v/>
      </c>
      <c r="BL55" s="521" t="str">
        <f>IFERROR(IF(données_step[[#This Row],[E_DCO]]/données_step[[#This Row],[E_DBO5]]=0,NA(),données_step[[#This Row],[E_DCO]]/données_step[[#This Row],[E_DBO5]]),"")</f>
        <v/>
      </c>
      <c r="BM55" s="521" t="str">
        <f>IFERROR(IF(données_step[[#This Row],[E_NH4]]/données_step[[#This Row],[E_NTOT]]=0,NA(),données_step[[#This Row],[E_NH4]]/données_step[[#This Row],[E_NTOT]]),"")</f>
        <v/>
      </c>
      <c r="BN55" s="521" t="str">
        <f>IFERROR(IF(données_step[[#This Row],[E_NTOT]]/données_step[[#This Row],[E_COT]]=0,NA(),données_step[[#This Row],[E_NTOT]]/données_step[[#This Row],[E_COT]]),"")</f>
        <v/>
      </c>
      <c r="BO55" s="521" t="str">
        <f>IFERROR(IF(données_step[[#This Row],[E_PTOT]]/données_step[[#This Row],[E_COT]]=0,NA(),données_step[[#This Row],[E_PTOT]]/données_step[[#This Row],[E_COT]]),"")</f>
        <v/>
      </c>
      <c r="BP55" s="521" t="e">
        <f>IF(données_step[[#This Row],[E_DCO]]/données_step[[#This Row],[E_COT]]=0,NA(),données_step[[#This Row],[E_DCO]]/données_step[[#This Row],[E_COT]])</f>
        <v>#DIV/0!</v>
      </c>
      <c r="BQ55" s="521" t="e">
        <f>IF(données_step[[#This Row],[E_NTOT]]/données_step[[#This Row],[E_DCO]]=0,NA(),données_step[[#This Row],[E_NTOT]]/données_step[[#This Row],[E_DCO]])</f>
        <v>#DIV/0!</v>
      </c>
      <c r="BR55" s="521" t="e">
        <f>IF(données_step[[#This Row],[E_PTOT]]/données_step[[#This Row],[E_DCO]]=0,NA(),données_step[[#This Row],[E_PTOT]]/données_step[[#This Row],[E_DCO]])</f>
        <v>#DIV/0!</v>
      </c>
      <c r="BS55" s="747" t="e">
        <f ca="1">test_NH4_temp(données_step[[#This Row],[S_NH4]],données_step[[#This Row],[Temp_eaux]])</f>
        <v>#NAME?</v>
      </c>
    </row>
    <row r="56" spans="1:71" x14ac:dyDescent="0.2">
      <c r="A56" s="222">
        <f>données_step[[#This Row],[Datum]]</f>
        <v>44607</v>
      </c>
      <c r="B56" s="223"/>
      <c r="C56" s="224">
        <f t="shared" si="0"/>
        <v>3</v>
      </c>
      <c r="D56" s="523" t="str">
        <f>IF(OR(données_step[[#This Row],[E_DBO5]]&lt;=0,données_step[[#This Row],[E_DBO5]]=""),"",données_step[[#This Row],[D_QTRAI]]*données_step[[#This Row],[E_DBO5]]/1000)</f>
        <v/>
      </c>
      <c r="E56" s="523" t="str">
        <f>IF(OR(données_step[[#This Row],[E_DCO]]&lt;=0,données_step[[#This Row],[E_DCO]]=""),"",données_step[[#This Row],[D_QTRAI]]*données_step[[#This Row],[E_DCO]]/1000)</f>
        <v/>
      </c>
      <c r="F56" s="523" t="str">
        <f>IF(OR(données_step[[#This Row],[E_COT]]&lt;=0,données_step[[#This Row],[E_COT]]=""),"",données_step[[#This Row],[D_QTRAI]]*données_step[[#This Row],[E_COT]]/1000)</f>
        <v/>
      </c>
      <c r="G56" s="523" t="str">
        <f>IF(OR(données_step[[#This Row],[E_NH4]]&lt;=0,données_step[[#This Row],[E_NH4]]=""),"",données_step[[#This Row],[D_QTRAI]]*données_step[[#This Row],[E_NH4]]/1000)</f>
        <v/>
      </c>
      <c r="H56" s="523" t="str">
        <f>IF(OR(données_step[[#This Row],[E_NTOT]]&lt;=0,données_step[[#This Row],[E_NTOT]]=""),"",données_step[[#This Row],[D_QTRAI]]*données_step[[#This Row],[E_NTOT]]/1000)</f>
        <v/>
      </c>
      <c r="I56" s="523" t="str">
        <f>IF(OR(données_step[[#This Row],[E_NTOT]]&lt;=0,données_step[[#This Row],[E_NTOT]]=""),"",données_step[[#This Row],[D_QTRAI]]*données_step[[#This Row],[E_PTOT]]/1000)</f>
        <v/>
      </c>
      <c r="J56" s="523" t="str">
        <f>IF(OR(données_step[[#This Row],[S_DBO5]]&lt;=0,données_step[[#This Row],[S_DBO5]]=""),"",données_step[[#This Row],[D_QTRAI]]*données_step[[#This Row],[S_DBO5]]/1000)</f>
        <v/>
      </c>
      <c r="K56" s="523" t="str">
        <f>IF(OR(données_step[[#This Row],[S_DCO]]&lt;=0,données_step[[#This Row],[S_DCO]]=""),"",données_step[[#This Row],[D_QTRAI]]*données_step[[#This Row],[S_DCO]]/1000)</f>
        <v/>
      </c>
      <c r="L56" s="523" t="str">
        <f>IF(OR(données_step[[#This Row],[S_COD]]&lt;=0,données_step[[#This Row],[S_COD]]=""),"",données_step[[#This Row],[D_QTRAI]]*données_step[[#This Row],[S_COD]]/1000)</f>
        <v/>
      </c>
      <c r="M56" s="523" t="str">
        <f>IF(OR(données_step[[#This Row],[S_NH4]]&lt;=0,données_step[[#This Row],[S_NH4]]=""),"",données_step[[#This Row],[D_QTRAI]]*données_step[[#This Row],[S_NH4]]/1000)</f>
        <v/>
      </c>
      <c r="N56" s="523" t="str">
        <f>IF(OR(données_step[[#This Row],[S_NO2]]&lt;=0,données_step[[#This Row],[S_NO2]]=""),"",données_step[[#This Row],[D_QTRAI]]*données_step[[#This Row],[S_NO2]]/1000)</f>
        <v/>
      </c>
      <c r="O56" s="523" t="str">
        <f>IF(OR(données_step[[#This Row],[S_NO3]]&lt;=0,données_step[[#This Row],[S_NO3]]=""),"",données_step[[#This Row],[D_QTRAI]]*données_step[[#This Row],[S_NO3]]/1000)</f>
        <v/>
      </c>
      <c r="P56" s="523" t="str">
        <f>IF(OR(données_step[[#This Row],[S_PTOT]]&lt;=0,données_step[[#This Row],[S_PTOT]]=""),"",données_step[[#This Row],[D_QTRAI]]*données_step[[#This Row],[S_PTOT]]/1000)</f>
        <v/>
      </c>
      <c r="Q56" s="523" t="str">
        <f>IF(OR(données_step[[#This Row],[S_MES]]&lt;=0,données_step[[#This Row],[S_MES]]=""),"",données_step[[#This Row],[D_QTRAI]]*données_step[[#This Row],[S_MES]]/1000)</f>
        <v/>
      </c>
      <c r="R56" s="523">
        <f>MAX(données_step[[#This Row],[D_QTRAI]],données_step[[#This Row],[D_QTRAI2]])</f>
        <v>0</v>
      </c>
      <c r="S56" s="523" t="str">
        <f>IF(AND($R56&gt;0,données_step[[#This Row],[E_DCO]]&gt;0),données_step[[#This Row],[E_DCO]],"")</f>
        <v/>
      </c>
      <c r="T56" s="523" t="str">
        <f>IF(S56="","",(1-données_step[[#This Row],[E_DCO]]/$V$7)*100)</f>
        <v/>
      </c>
      <c r="U56" s="523" t="str">
        <f t="shared" si="1"/>
        <v/>
      </c>
      <c r="V56" s="523" t="str">
        <f t="shared" si="2"/>
        <v/>
      </c>
      <c r="W56" s="523" t="str">
        <f t="shared" si="3"/>
        <v/>
      </c>
      <c r="X56" s="523" t="e">
        <f>IF(((100-100/$V$7*données_step[[#This Row],[E_DCO]])/100*QTS)&lt;0,NA(),IF(OR(U56&lt;0,U56=""),NA(),((100-100/$V$7*données_step[[#This Row],[E_DCO]])/100*QTS)))</f>
        <v>#NUM!</v>
      </c>
      <c r="Y56" s="523" t="str">
        <f>IF(AND($R56&gt;0,données_step[[#This Row],[E_COT]]&gt;0),données_step[[#This Row],[E_COT]],"")</f>
        <v/>
      </c>
      <c r="Z56" s="523" t="str">
        <f>IF(Y56="","",(1-données_step[[#This Row],[E_COT]]/$AB$7)*100)</f>
        <v/>
      </c>
      <c r="AA56" s="523" t="str">
        <f t="shared" si="4"/>
        <v/>
      </c>
      <c r="AB56" s="523" t="str">
        <f t="shared" si="5"/>
        <v/>
      </c>
      <c r="AC56" s="523" t="str">
        <f t="shared" si="6"/>
        <v/>
      </c>
      <c r="AD56" s="523" t="e">
        <f>IF(((100-100/$AB$7*données_step[[#This Row],[E_COT]])/100*QTS)&lt;0,NA(),IF(OR(AA56&lt;0,AA56=""),NA(),((100-100/$AB$7*données_step[[#This Row],[E_COT]])/100*QTS)))</f>
        <v>#NUM!</v>
      </c>
      <c r="AE56" s="523" t="str">
        <f>IF(AND($R56&gt;0,données_step[[#This Row],[E_NH4]]&gt;0),données_step[[#This Row],[E_NH4]],"")</f>
        <v/>
      </c>
      <c r="AF56" s="523" t="str">
        <f>IF(AE56="","",(1-données_step[[#This Row],[E_NH4]]/$AH$7)*100)</f>
        <v/>
      </c>
      <c r="AG56" s="523" t="str">
        <f t="shared" si="7"/>
        <v/>
      </c>
      <c r="AH56" s="523" t="str">
        <f t="shared" si="8"/>
        <v/>
      </c>
      <c r="AI56" s="523" t="str">
        <f t="shared" si="9"/>
        <v/>
      </c>
      <c r="AJ56" s="523" t="e">
        <f>IF(((100-100/$AH$7*données_step[[#This Row],[E_NH4]])/100*QTS)&lt;0,NA(),IF(OR(AG56&lt;0,AG56=""),NA(),((100-100/$AH$7*données_step[[#This Row],[E_NH4]])/100*QTS)))</f>
        <v>#NUM!</v>
      </c>
      <c r="AK56" s="523" t="str">
        <f>IF(AND($R56&gt;0,données_step[[#This Row],[E_PTOT]]&gt;0),données_step[[#This Row],[E_PTOT]],"")</f>
        <v/>
      </c>
      <c r="AL56" s="523" t="str">
        <f>IF(AK56="","",(1-données_step[[#This Row],[E_PTOT]]/$AN$7)*100)</f>
        <v/>
      </c>
      <c r="AM56" s="523" t="str">
        <f t="shared" si="10"/>
        <v/>
      </c>
      <c r="AN56" s="523" t="str">
        <f t="shared" si="11"/>
        <v/>
      </c>
      <c r="AO56" s="523" t="str">
        <f t="shared" si="12"/>
        <v/>
      </c>
      <c r="AP56" s="523" t="e">
        <f>IF(((100-100/$AN$7*données_step[[#This Row],[E_PTOT]])/100*QTS)&lt;0,NA(),IF(OR(AM56&lt;0,AM56=""),NA(),((100-100/$AN$7*données_step[[#This Row],[E_PTOT]])/100*QTS)))</f>
        <v>#NUM!</v>
      </c>
      <c r="AQ56" s="524" t="e">
        <f t="shared" si="13"/>
        <v>#NUM!</v>
      </c>
      <c r="AR56" s="524" t="str">
        <f t="shared" si="14"/>
        <v/>
      </c>
      <c r="AT56" s="517">
        <f t="shared" si="15"/>
        <v>0.45</v>
      </c>
      <c r="AU56" s="501">
        <f t="shared" si="16"/>
        <v>45</v>
      </c>
      <c r="AV56" s="525" t="e">
        <f>PERCENTILE(analyses!$F$11:$F$375,$AT56)</f>
        <v>#NUM!</v>
      </c>
      <c r="AW56" s="7" t="e">
        <f>PERCENTILE(analyses!$I$11:$I$375,$AT56)</f>
        <v>#NUM!</v>
      </c>
      <c r="AX56" s="7" t="e">
        <f>PERCENTILE(analyses!$J$11:$J$375,$AT56)</f>
        <v>#NUM!</v>
      </c>
      <c r="AY56" s="523" t="str">
        <f>_xlfn.IFNA(IF(données_step[[#This Row],[E_DCO]]&lt;=0,NA(),charge_entree[[#This Row],[ch_E_DCO]]/constanten!$B$8*1000),"")</f>
        <v/>
      </c>
      <c r="AZ56" s="523" t="str">
        <f>_xlfn.IFNA(IF(données_step[[#This Row],[E_NTOT]]&lt;=0,NA(),charge_entree[[#This Row],[ch_E_NTOT]]/constanten!$B$10*1000),"")</f>
        <v/>
      </c>
      <c r="BA56" s="523" t="str">
        <f>_xlfn.IFNA(IF(données_step[[#This Row],[E_NH4]]&lt;=0,NA(),charge_entree[[#This Row],[ch_E_NH4]]/constanten!$B$12*1000),"")</f>
        <v/>
      </c>
      <c r="BB56" s="523" t="str">
        <f>_xlfn.IFNA(IF(données_step[[#This Row],[E_COT]]&lt;=0,NA(),charge_entree[[#This Row],[ch_E_COT]]/constanten!$B$9*1000),"")</f>
        <v/>
      </c>
      <c r="BC56" s="523" t="str">
        <f>IFERROR(_xlfn.IFNA(IF(données_step[[#This Row],[E_PTOT]]&lt;=0,NA(),charge_entree[[#This Row],[ch_E_PTOT]]/constanten!$B$15*1000),""),"")</f>
        <v/>
      </c>
      <c r="BD56" s="535" t="e">
        <f>calculs!E56 * (1-0.4) / (données_step[[#This Row],[X_BA_VOL]]*données_step[[#This Row],[X_BACONC]])</f>
        <v>#VALUE!</v>
      </c>
      <c r="BE56" s="522" t="e">
        <f>(données_step[[#This Row],[X_BA_VOL]]*données_step[[#This Row],[X_BACONC]])/((données_step[[#This Row],[D_QTRAI2]]*données_step[[#This Row],[S_MES]]/1000)+(données_step[[#This Row],[X_BX_Q]]*données_step[[#This Row],[X_BXCONC]]))</f>
        <v>#VALUE!</v>
      </c>
      <c r="BF56" s="890" t="str">
        <f>IFERROR(données_step[[#This Row],[D_QTRAI]]/AY56*1000,"")</f>
        <v/>
      </c>
      <c r="BG56" s="535" t="str">
        <f>IFERROR(1-données_step[[#This Row],[S_DBO5]]/données_step[[#This Row],[E_DBO5]],"")</f>
        <v/>
      </c>
      <c r="BH56" s="536" t="str">
        <f>IFERROR(1-données_step[[#This Row],[S_DCO]]/données_step[[#This Row],[E_DCO]],"")</f>
        <v/>
      </c>
      <c r="BI56" s="535" t="str">
        <f>IFERROR(1-données_step[[#This Row],[S_COD]]/données_step[[#This Row],[E_COT]],"")</f>
        <v/>
      </c>
      <c r="BJ56" s="535" t="str">
        <f>IFERROR(1-données_step[[#This Row],[S_NH4]]/données_step[[#This Row],[E_NTOT]],"")</f>
        <v/>
      </c>
      <c r="BK56" s="535" t="str">
        <f>IFERROR(1-données_step[[#This Row],[S_PTOT]]/données_step[[#This Row],[E_PTOT]],"")</f>
        <v/>
      </c>
      <c r="BL56" s="521" t="str">
        <f>IFERROR(IF(données_step[[#This Row],[E_DCO]]/données_step[[#This Row],[E_DBO5]]=0,NA(),données_step[[#This Row],[E_DCO]]/données_step[[#This Row],[E_DBO5]]),"")</f>
        <v/>
      </c>
      <c r="BM56" s="521" t="str">
        <f>IFERROR(IF(données_step[[#This Row],[E_NH4]]/données_step[[#This Row],[E_NTOT]]=0,NA(),données_step[[#This Row],[E_NH4]]/données_step[[#This Row],[E_NTOT]]),"")</f>
        <v/>
      </c>
      <c r="BN56" s="521" t="str">
        <f>IFERROR(IF(données_step[[#This Row],[E_NTOT]]/données_step[[#This Row],[E_COT]]=0,NA(),données_step[[#This Row],[E_NTOT]]/données_step[[#This Row],[E_COT]]),"")</f>
        <v/>
      </c>
      <c r="BO56" s="521" t="str">
        <f>IFERROR(IF(données_step[[#This Row],[E_PTOT]]/données_step[[#This Row],[E_COT]]=0,NA(),données_step[[#This Row],[E_PTOT]]/données_step[[#This Row],[E_COT]]),"")</f>
        <v/>
      </c>
      <c r="BP56" s="521" t="e">
        <f>IF(données_step[[#This Row],[E_DCO]]/données_step[[#This Row],[E_COT]]=0,NA(),données_step[[#This Row],[E_DCO]]/données_step[[#This Row],[E_COT]])</f>
        <v>#DIV/0!</v>
      </c>
      <c r="BQ56" s="521" t="e">
        <f>IF(données_step[[#This Row],[E_NTOT]]/données_step[[#This Row],[E_DCO]]=0,NA(),données_step[[#This Row],[E_NTOT]]/données_step[[#This Row],[E_DCO]])</f>
        <v>#DIV/0!</v>
      </c>
      <c r="BR56" s="521" t="e">
        <f>IF(données_step[[#This Row],[E_PTOT]]/données_step[[#This Row],[E_DCO]]=0,NA(),données_step[[#This Row],[E_PTOT]]/données_step[[#This Row],[E_DCO]])</f>
        <v>#DIV/0!</v>
      </c>
      <c r="BS56" s="747" t="e">
        <f ca="1">test_NH4_temp(données_step[[#This Row],[S_NH4]],données_step[[#This Row],[Temp_eaux]])</f>
        <v>#NAME?</v>
      </c>
    </row>
    <row r="57" spans="1:71" x14ac:dyDescent="0.2">
      <c r="A57" s="222">
        <f>données_step[[#This Row],[Datum]]</f>
        <v>44608</v>
      </c>
      <c r="B57" s="223"/>
      <c r="C57" s="224">
        <f t="shared" si="0"/>
        <v>4</v>
      </c>
      <c r="D57" s="523" t="str">
        <f>IF(OR(données_step[[#This Row],[E_DBO5]]&lt;=0,données_step[[#This Row],[E_DBO5]]=""),"",données_step[[#This Row],[D_QTRAI]]*données_step[[#This Row],[E_DBO5]]/1000)</f>
        <v/>
      </c>
      <c r="E57" s="523" t="str">
        <f>IF(OR(données_step[[#This Row],[E_DCO]]&lt;=0,données_step[[#This Row],[E_DCO]]=""),"",données_step[[#This Row],[D_QTRAI]]*données_step[[#This Row],[E_DCO]]/1000)</f>
        <v/>
      </c>
      <c r="F57" s="523" t="str">
        <f>IF(OR(données_step[[#This Row],[E_COT]]&lt;=0,données_step[[#This Row],[E_COT]]=""),"",données_step[[#This Row],[D_QTRAI]]*données_step[[#This Row],[E_COT]]/1000)</f>
        <v/>
      </c>
      <c r="G57" s="523" t="str">
        <f>IF(OR(données_step[[#This Row],[E_NH4]]&lt;=0,données_step[[#This Row],[E_NH4]]=""),"",données_step[[#This Row],[D_QTRAI]]*données_step[[#This Row],[E_NH4]]/1000)</f>
        <v/>
      </c>
      <c r="H57" s="523" t="str">
        <f>IF(OR(données_step[[#This Row],[E_NTOT]]&lt;=0,données_step[[#This Row],[E_NTOT]]=""),"",données_step[[#This Row],[D_QTRAI]]*données_step[[#This Row],[E_NTOT]]/1000)</f>
        <v/>
      </c>
      <c r="I57" s="523" t="str">
        <f>IF(OR(données_step[[#This Row],[E_NTOT]]&lt;=0,données_step[[#This Row],[E_NTOT]]=""),"",données_step[[#This Row],[D_QTRAI]]*données_step[[#This Row],[E_PTOT]]/1000)</f>
        <v/>
      </c>
      <c r="J57" s="523" t="str">
        <f>IF(OR(données_step[[#This Row],[S_DBO5]]&lt;=0,données_step[[#This Row],[S_DBO5]]=""),"",données_step[[#This Row],[D_QTRAI]]*données_step[[#This Row],[S_DBO5]]/1000)</f>
        <v/>
      </c>
      <c r="K57" s="523" t="str">
        <f>IF(OR(données_step[[#This Row],[S_DCO]]&lt;=0,données_step[[#This Row],[S_DCO]]=""),"",données_step[[#This Row],[D_QTRAI]]*données_step[[#This Row],[S_DCO]]/1000)</f>
        <v/>
      </c>
      <c r="L57" s="523" t="str">
        <f>IF(OR(données_step[[#This Row],[S_COD]]&lt;=0,données_step[[#This Row],[S_COD]]=""),"",données_step[[#This Row],[D_QTRAI]]*données_step[[#This Row],[S_COD]]/1000)</f>
        <v/>
      </c>
      <c r="M57" s="523" t="str">
        <f>IF(OR(données_step[[#This Row],[S_NH4]]&lt;=0,données_step[[#This Row],[S_NH4]]=""),"",données_step[[#This Row],[D_QTRAI]]*données_step[[#This Row],[S_NH4]]/1000)</f>
        <v/>
      </c>
      <c r="N57" s="523" t="str">
        <f>IF(OR(données_step[[#This Row],[S_NO2]]&lt;=0,données_step[[#This Row],[S_NO2]]=""),"",données_step[[#This Row],[D_QTRAI]]*données_step[[#This Row],[S_NO2]]/1000)</f>
        <v/>
      </c>
      <c r="O57" s="523" t="str">
        <f>IF(OR(données_step[[#This Row],[S_NO3]]&lt;=0,données_step[[#This Row],[S_NO3]]=""),"",données_step[[#This Row],[D_QTRAI]]*données_step[[#This Row],[S_NO3]]/1000)</f>
        <v/>
      </c>
      <c r="P57" s="523" t="str">
        <f>IF(OR(données_step[[#This Row],[S_PTOT]]&lt;=0,données_step[[#This Row],[S_PTOT]]=""),"",données_step[[#This Row],[D_QTRAI]]*données_step[[#This Row],[S_PTOT]]/1000)</f>
        <v/>
      </c>
      <c r="Q57" s="523" t="str">
        <f>IF(OR(données_step[[#This Row],[S_MES]]&lt;=0,données_step[[#This Row],[S_MES]]=""),"",données_step[[#This Row],[D_QTRAI]]*données_step[[#This Row],[S_MES]]/1000)</f>
        <v/>
      </c>
      <c r="R57" s="523">
        <f>MAX(données_step[[#This Row],[D_QTRAI]],données_step[[#This Row],[D_QTRAI2]])</f>
        <v>0</v>
      </c>
      <c r="S57" s="523" t="str">
        <f>IF(AND($R57&gt;0,données_step[[#This Row],[E_DCO]]&gt;0),données_step[[#This Row],[E_DCO]],"")</f>
        <v/>
      </c>
      <c r="T57" s="523" t="str">
        <f>IF(S57="","",(1-données_step[[#This Row],[E_DCO]]/$V$7)*100)</f>
        <v/>
      </c>
      <c r="U57" s="523" t="str">
        <f t="shared" si="1"/>
        <v/>
      </c>
      <c r="V57" s="523" t="str">
        <f t="shared" si="2"/>
        <v/>
      </c>
      <c r="W57" s="523" t="str">
        <f t="shared" si="3"/>
        <v/>
      </c>
      <c r="X57" s="523" t="e">
        <f>IF(((100-100/$V$7*données_step[[#This Row],[E_DCO]])/100*QTS)&lt;0,NA(),IF(OR(U57&lt;0,U57=""),NA(),((100-100/$V$7*données_step[[#This Row],[E_DCO]])/100*QTS)))</f>
        <v>#NUM!</v>
      </c>
      <c r="Y57" s="523" t="str">
        <f>IF(AND($R57&gt;0,données_step[[#This Row],[E_COT]]&gt;0),données_step[[#This Row],[E_COT]],"")</f>
        <v/>
      </c>
      <c r="Z57" s="523" t="str">
        <f>IF(Y57="","",(1-données_step[[#This Row],[E_COT]]/$AB$7)*100)</f>
        <v/>
      </c>
      <c r="AA57" s="523" t="str">
        <f t="shared" si="4"/>
        <v/>
      </c>
      <c r="AB57" s="523" t="str">
        <f t="shared" si="5"/>
        <v/>
      </c>
      <c r="AC57" s="523" t="str">
        <f t="shared" si="6"/>
        <v/>
      </c>
      <c r="AD57" s="523" t="e">
        <f>IF(((100-100/$AB$7*données_step[[#This Row],[E_COT]])/100*QTS)&lt;0,NA(),IF(OR(AA57&lt;0,AA57=""),NA(),((100-100/$AB$7*données_step[[#This Row],[E_COT]])/100*QTS)))</f>
        <v>#NUM!</v>
      </c>
      <c r="AE57" s="523" t="str">
        <f>IF(AND($R57&gt;0,données_step[[#This Row],[E_NH4]]&gt;0),données_step[[#This Row],[E_NH4]],"")</f>
        <v/>
      </c>
      <c r="AF57" s="523" t="str">
        <f>IF(AE57="","",(1-données_step[[#This Row],[E_NH4]]/$AH$7)*100)</f>
        <v/>
      </c>
      <c r="AG57" s="523" t="str">
        <f t="shared" si="7"/>
        <v/>
      </c>
      <c r="AH57" s="523" t="str">
        <f t="shared" si="8"/>
        <v/>
      </c>
      <c r="AI57" s="523" t="str">
        <f t="shared" si="9"/>
        <v/>
      </c>
      <c r="AJ57" s="523" t="e">
        <f>IF(((100-100/$AH$7*données_step[[#This Row],[E_NH4]])/100*QTS)&lt;0,NA(),IF(OR(AG57&lt;0,AG57=""),NA(),((100-100/$AH$7*données_step[[#This Row],[E_NH4]])/100*QTS)))</f>
        <v>#NUM!</v>
      </c>
      <c r="AK57" s="523" t="str">
        <f>IF(AND($R57&gt;0,données_step[[#This Row],[E_PTOT]]&gt;0),données_step[[#This Row],[E_PTOT]],"")</f>
        <v/>
      </c>
      <c r="AL57" s="523" t="str">
        <f>IF(AK57="","",(1-données_step[[#This Row],[E_PTOT]]/$AN$7)*100)</f>
        <v/>
      </c>
      <c r="AM57" s="523" t="str">
        <f t="shared" si="10"/>
        <v/>
      </c>
      <c r="AN57" s="523" t="str">
        <f t="shared" si="11"/>
        <v/>
      </c>
      <c r="AO57" s="523" t="str">
        <f t="shared" si="12"/>
        <v/>
      </c>
      <c r="AP57" s="523" t="e">
        <f>IF(((100-100/$AN$7*données_step[[#This Row],[E_PTOT]])/100*QTS)&lt;0,NA(),IF(OR(AM57&lt;0,AM57=""),NA(),((100-100/$AN$7*données_step[[#This Row],[E_PTOT]])/100*QTS)))</f>
        <v>#NUM!</v>
      </c>
      <c r="AQ57" s="524" t="e">
        <f t="shared" si="13"/>
        <v>#NUM!</v>
      </c>
      <c r="AR57" s="524" t="str">
        <f t="shared" si="14"/>
        <v/>
      </c>
      <c r="AT57" s="517">
        <f t="shared" si="15"/>
        <v>0.46</v>
      </c>
      <c r="AU57" s="501">
        <f t="shared" si="16"/>
        <v>46</v>
      </c>
      <c r="AV57" s="525" t="e">
        <f>PERCENTILE(analyses!$F$11:$F$375,$AT57)</f>
        <v>#NUM!</v>
      </c>
      <c r="AW57" s="7" t="e">
        <f>PERCENTILE(analyses!$I$11:$I$375,$AT57)</f>
        <v>#NUM!</v>
      </c>
      <c r="AX57" s="7" t="e">
        <f>PERCENTILE(analyses!$J$11:$J$375,$AT57)</f>
        <v>#NUM!</v>
      </c>
      <c r="AY57" s="523" t="str">
        <f>_xlfn.IFNA(IF(données_step[[#This Row],[E_DCO]]&lt;=0,NA(),charge_entree[[#This Row],[ch_E_DCO]]/constanten!$B$8*1000),"")</f>
        <v/>
      </c>
      <c r="AZ57" s="523" t="str">
        <f>_xlfn.IFNA(IF(données_step[[#This Row],[E_NTOT]]&lt;=0,NA(),charge_entree[[#This Row],[ch_E_NTOT]]/constanten!$B$10*1000),"")</f>
        <v/>
      </c>
      <c r="BA57" s="523" t="str">
        <f>_xlfn.IFNA(IF(données_step[[#This Row],[E_NH4]]&lt;=0,NA(),charge_entree[[#This Row],[ch_E_NH4]]/constanten!$B$12*1000),"")</f>
        <v/>
      </c>
      <c r="BB57" s="523" t="str">
        <f>_xlfn.IFNA(IF(données_step[[#This Row],[E_COT]]&lt;=0,NA(),charge_entree[[#This Row],[ch_E_COT]]/constanten!$B$9*1000),"")</f>
        <v/>
      </c>
      <c r="BC57" s="523" t="str">
        <f>IFERROR(_xlfn.IFNA(IF(données_step[[#This Row],[E_PTOT]]&lt;=0,NA(),charge_entree[[#This Row],[ch_E_PTOT]]/constanten!$B$15*1000),""),"")</f>
        <v/>
      </c>
      <c r="BD57" s="535" t="e">
        <f>calculs!E57 * (1-0.4) / (données_step[[#This Row],[X_BA_VOL]]*données_step[[#This Row],[X_BACONC]])</f>
        <v>#VALUE!</v>
      </c>
      <c r="BE57" s="522" t="e">
        <f>(données_step[[#This Row],[X_BA_VOL]]*données_step[[#This Row],[X_BACONC]])/((données_step[[#This Row],[D_QTRAI2]]*données_step[[#This Row],[S_MES]]/1000)+(données_step[[#This Row],[X_BX_Q]]*données_step[[#This Row],[X_BXCONC]]))</f>
        <v>#VALUE!</v>
      </c>
      <c r="BF57" s="890" t="str">
        <f>IFERROR(données_step[[#This Row],[D_QTRAI]]/AY57*1000,"")</f>
        <v/>
      </c>
      <c r="BG57" s="535" t="str">
        <f>IFERROR(1-données_step[[#This Row],[S_DBO5]]/données_step[[#This Row],[E_DBO5]],"")</f>
        <v/>
      </c>
      <c r="BH57" s="536" t="str">
        <f>IFERROR(1-données_step[[#This Row],[S_DCO]]/données_step[[#This Row],[E_DCO]],"")</f>
        <v/>
      </c>
      <c r="BI57" s="535" t="str">
        <f>IFERROR(1-données_step[[#This Row],[S_COD]]/données_step[[#This Row],[E_COT]],"")</f>
        <v/>
      </c>
      <c r="BJ57" s="535" t="str">
        <f>IFERROR(1-données_step[[#This Row],[S_NH4]]/données_step[[#This Row],[E_NTOT]],"")</f>
        <v/>
      </c>
      <c r="BK57" s="535" t="str">
        <f>IFERROR(1-données_step[[#This Row],[S_PTOT]]/données_step[[#This Row],[E_PTOT]],"")</f>
        <v/>
      </c>
      <c r="BL57" s="521" t="str">
        <f>IFERROR(IF(données_step[[#This Row],[E_DCO]]/données_step[[#This Row],[E_DBO5]]=0,NA(),données_step[[#This Row],[E_DCO]]/données_step[[#This Row],[E_DBO5]]),"")</f>
        <v/>
      </c>
      <c r="BM57" s="521" t="str">
        <f>IFERROR(IF(données_step[[#This Row],[E_NH4]]/données_step[[#This Row],[E_NTOT]]=0,NA(),données_step[[#This Row],[E_NH4]]/données_step[[#This Row],[E_NTOT]]),"")</f>
        <v/>
      </c>
      <c r="BN57" s="521" t="str">
        <f>IFERROR(IF(données_step[[#This Row],[E_NTOT]]/données_step[[#This Row],[E_COT]]=0,NA(),données_step[[#This Row],[E_NTOT]]/données_step[[#This Row],[E_COT]]),"")</f>
        <v/>
      </c>
      <c r="BO57" s="521" t="str">
        <f>IFERROR(IF(données_step[[#This Row],[E_PTOT]]/données_step[[#This Row],[E_COT]]=0,NA(),données_step[[#This Row],[E_PTOT]]/données_step[[#This Row],[E_COT]]),"")</f>
        <v/>
      </c>
      <c r="BP57" s="521" t="e">
        <f>IF(données_step[[#This Row],[E_DCO]]/données_step[[#This Row],[E_COT]]=0,NA(),données_step[[#This Row],[E_DCO]]/données_step[[#This Row],[E_COT]])</f>
        <v>#DIV/0!</v>
      </c>
      <c r="BQ57" s="521" t="e">
        <f>IF(données_step[[#This Row],[E_NTOT]]/données_step[[#This Row],[E_DCO]]=0,NA(),données_step[[#This Row],[E_NTOT]]/données_step[[#This Row],[E_DCO]])</f>
        <v>#DIV/0!</v>
      </c>
      <c r="BR57" s="521" t="e">
        <f>IF(données_step[[#This Row],[E_PTOT]]/données_step[[#This Row],[E_DCO]]=0,NA(),données_step[[#This Row],[E_PTOT]]/données_step[[#This Row],[E_DCO]])</f>
        <v>#DIV/0!</v>
      </c>
      <c r="BS57" s="747" t="e">
        <f ca="1">test_NH4_temp(données_step[[#This Row],[S_NH4]],données_step[[#This Row],[Temp_eaux]])</f>
        <v>#NAME?</v>
      </c>
    </row>
    <row r="58" spans="1:71" x14ac:dyDescent="0.2">
      <c r="A58" s="222">
        <f>données_step[[#This Row],[Datum]]</f>
        <v>44609</v>
      </c>
      <c r="B58" s="223"/>
      <c r="C58" s="224">
        <f t="shared" si="0"/>
        <v>5</v>
      </c>
      <c r="D58" s="523" t="str">
        <f>IF(OR(données_step[[#This Row],[E_DBO5]]&lt;=0,données_step[[#This Row],[E_DBO5]]=""),"",données_step[[#This Row],[D_QTRAI]]*données_step[[#This Row],[E_DBO5]]/1000)</f>
        <v/>
      </c>
      <c r="E58" s="523" t="str">
        <f>IF(OR(données_step[[#This Row],[E_DCO]]&lt;=0,données_step[[#This Row],[E_DCO]]=""),"",données_step[[#This Row],[D_QTRAI]]*données_step[[#This Row],[E_DCO]]/1000)</f>
        <v/>
      </c>
      <c r="F58" s="523" t="str">
        <f>IF(OR(données_step[[#This Row],[E_COT]]&lt;=0,données_step[[#This Row],[E_COT]]=""),"",données_step[[#This Row],[D_QTRAI]]*données_step[[#This Row],[E_COT]]/1000)</f>
        <v/>
      </c>
      <c r="G58" s="523" t="str">
        <f>IF(OR(données_step[[#This Row],[E_NH4]]&lt;=0,données_step[[#This Row],[E_NH4]]=""),"",données_step[[#This Row],[D_QTRAI]]*données_step[[#This Row],[E_NH4]]/1000)</f>
        <v/>
      </c>
      <c r="H58" s="523" t="str">
        <f>IF(OR(données_step[[#This Row],[E_NTOT]]&lt;=0,données_step[[#This Row],[E_NTOT]]=""),"",données_step[[#This Row],[D_QTRAI]]*données_step[[#This Row],[E_NTOT]]/1000)</f>
        <v/>
      </c>
      <c r="I58" s="523" t="str">
        <f>IF(OR(données_step[[#This Row],[E_NTOT]]&lt;=0,données_step[[#This Row],[E_NTOT]]=""),"",données_step[[#This Row],[D_QTRAI]]*données_step[[#This Row],[E_PTOT]]/1000)</f>
        <v/>
      </c>
      <c r="J58" s="523" t="str">
        <f>IF(OR(données_step[[#This Row],[S_DBO5]]&lt;=0,données_step[[#This Row],[S_DBO5]]=""),"",données_step[[#This Row],[D_QTRAI]]*données_step[[#This Row],[S_DBO5]]/1000)</f>
        <v/>
      </c>
      <c r="K58" s="523" t="str">
        <f>IF(OR(données_step[[#This Row],[S_DCO]]&lt;=0,données_step[[#This Row],[S_DCO]]=""),"",données_step[[#This Row],[D_QTRAI]]*données_step[[#This Row],[S_DCO]]/1000)</f>
        <v/>
      </c>
      <c r="L58" s="523" t="str">
        <f>IF(OR(données_step[[#This Row],[S_COD]]&lt;=0,données_step[[#This Row],[S_COD]]=""),"",données_step[[#This Row],[D_QTRAI]]*données_step[[#This Row],[S_COD]]/1000)</f>
        <v/>
      </c>
      <c r="M58" s="523" t="str">
        <f>IF(OR(données_step[[#This Row],[S_NH4]]&lt;=0,données_step[[#This Row],[S_NH4]]=""),"",données_step[[#This Row],[D_QTRAI]]*données_step[[#This Row],[S_NH4]]/1000)</f>
        <v/>
      </c>
      <c r="N58" s="523" t="str">
        <f>IF(OR(données_step[[#This Row],[S_NO2]]&lt;=0,données_step[[#This Row],[S_NO2]]=""),"",données_step[[#This Row],[D_QTRAI]]*données_step[[#This Row],[S_NO2]]/1000)</f>
        <v/>
      </c>
      <c r="O58" s="523" t="str">
        <f>IF(OR(données_step[[#This Row],[S_NO3]]&lt;=0,données_step[[#This Row],[S_NO3]]=""),"",données_step[[#This Row],[D_QTRAI]]*données_step[[#This Row],[S_NO3]]/1000)</f>
        <v/>
      </c>
      <c r="P58" s="523" t="str">
        <f>IF(OR(données_step[[#This Row],[S_PTOT]]&lt;=0,données_step[[#This Row],[S_PTOT]]=""),"",données_step[[#This Row],[D_QTRAI]]*données_step[[#This Row],[S_PTOT]]/1000)</f>
        <v/>
      </c>
      <c r="Q58" s="523" t="str">
        <f>IF(OR(données_step[[#This Row],[S_MES]]&lt;=0,données_step[[#This Row],[S_MES]]=""),"",données_step[[#This Row],[D_QTRAI]]*données_step[[#This Row],[S_MES]]/1000)</f>
        <v/>
      </c>
      <c r="R58" s="523">
        <f>MAX(données_step[[#This Row],[D_QTRAI]],données_step[[#This Row],[D_QTRAI2]])</f>
        <v>0</v>
      </c>
      <c r="S58" s="523" t="str">
        <f>IF(AND($R58&gt;0,données_step[[#This Row],[E_DCO]]&gt;0),données_step[[#This Row],[E_DCO]],"")</f>
        <v/>
      </c>
      <c r="T58" s="523" t="str">
        <f>IF(S58="","",(1-données_step[[#This Row],[E_DCO]]/$V$7)*100)</f>
        <v/>
      </c>
      <c r="U58" s="523" t="str">
        <f t="shared" si="1"/>
        <v/>
      </c>
      <c r="V58" s="523" t="str">
        <f t="shared" si="2"/>
        <v/>
      </c>
      <c r="W58" s="523" t="str">
        <f t="shared" si="3"/>
        <v/>
      </c>
      <c r="X58" s="523" t="e">
        <f>IF(((100-100/$V$7*données_step[[#This Row],[E_DCO]])/100*QTS)&lt;0,NA(),IF(OR(U58&lt;0,U58=""),NA(),((100-100/$V$7*données_step[[#This Row],[E_DCO]])/100*QTS)))</f>
        <v>#NUM!</v>
      </c>
      <c r="Y58" s="523" t="str">
        <f>IF(AND($R58&gt;0,données_step[[#This Row],[E_COT]]&gt;0),données_step[[#This Row],[E_COT]],"")</f>
        <v/>
      </c>
      <c r="Z58" s="523" t="str">
        <f>IF(Y58="","",(1-données_step[[#This Row],[E_COT]]/$AB$7)*100)</f>
        <v/>
      </c>
      <c r="AA58" s="523" t="str">
        <f t="shared" si="4"/>
        <v/>
      </c>
      <c r="AB58" s="523" t="str">
        <f t="shared" si="5"/>
        <v/>
      </c>
      <c r="AC58" s="523" t="str">
        <f t="shared" si="6"/>
        <v/>
      </c>
      <c r="AD58" s="523" t="e">
        <f>IF(((100-100/$AB$7*données_step[[#This Row],[E_COT]])/100*QTS)&lt;0,NA(),IF(OR(AA58&lt;0,AA58=""),NA(),((100-100/$AB$7*données_step[[#This Row],[E_COT]])/100*QTS)))</f>
        <v>#NUM!</v>
      </c>
      <c r="AE58" s="523" t="str">
        <f>IF(AND($R58&gt;0,données_step[[#This Row],[E_NH4]]&gt;0),données_step[[#This Row],[E_NH4]],"")</f>
        <v/>
      </c>
      <c r="AF58" s="523" t="str">
        <f>IF(AE58="","",(1-données_step[[#This Row],[E_NH4]]/$AH$7)*100)</f>
        <v/>
      </c>
      <c r="AG58" s="523" t="str">
        <f t="shared" si="7"/>
        <v/>
      </c>
      <c r="AH58" s="523" t="str">
        <f t="shared" si="8"/>
        <v/>
      </c>
      <c r="AI58" s="523" t="str">
        <f t="shared" si="9"/>
        <v/>
      </c>
      <c r="AJ58" s="523" t="e">
        <f>IF(((100-100/$AH$7*données_step[[#This Row],[E_NH4]])/100*QTS)&lt;0,NA(),IF(OR(AG58&lt;0,AG58=""),NA(),((100-100/$AH$7*données_step[[#This Row],[E_NH4]])/100*QTS)))</f>
        <v>#NUM!</v>
      </c>
      <c r="AK58" s="523" t="str">
        <f>IF(AND($R58&gt;0,données_step[[#This Row],[E_PTOT]]&gt;0),données_step[[#This Row],[E_PTOT]],"")</f>
        <v/>
      </c>
      <c r="AL58" s="523" t="str">
        <f>IF(AK58="","",(1-données_step[[#This Row],[E_PTOT]]/$AN$7)*100)</f>
        <v/>
      </c>
      <c r="AM58" s="523" t="str">
        <f t="shared" si="10"/>
        <v/>
      </c>
      <c r="AN58" s="523" t="str">
        <f t="shared" si="11"/>
        <v/>
      </c>
      <c r="AO58" s="523" t="str">
        <f t="shared" si="12"/>
        <v/>
      </c>
      <c r="AP58" s="523" t="e">
        <f>IF(((100-100/$AN$7*données_step[[#This Row],[E_PTOT]])/100*QTS)&lt;0,NA(),IF(OR(AM58&lt;0,AM58=""),NA(),((100-100/$AN$7*données_step[[#This Row],[E_PTOT]])/100*QTS)))</f>
        <v>#NUM!</v>
      </c>
      <c r="AQ58" s="524" t="e">
        <f t="shared" si="13"/>
        <v>#NUM!</v>
      </c>
      <c r="AR58" s="524" t="str">
        <f t="shared" si="14"/>
        <v/>
      </c>
      <c r="AT58" s="517">
        <f t="shared" si="15"/>
        <v>0.47</v>
      </c>
      <c r="AU58" s="501">
        <f t="shared" si="16"/>
        <v>47</v>
      </c>
      <c r="AV58" s="525" t="e">
        <f>PERCENTILE(analyses!$F$11:$F$375,$AT58)</f>
        <v>#NUM!</v>
      </c>
      <c r="AW58" s="7" t="e">
        <f>PERCENTILE(analyses!$I$11:$I$375,$AT58)</f>
        <v>#NUM!</v>
      </c>
      <c r="AX58" s="7" t="e">
        <f>PERCENTILE(analyses!$J$11:$J$375,$AT58)</f>
        <v>#NUM!</v>
      </c>
      <c r="AY58" s="523" t="str">
        <f>_xlfn.IFNA(IF(données_step[[#This Row],[E_DCO]]&lt;=0,NA(),charge_entree[[#This Row],[ch_E_DCO]]/constanten!$B$8*1000),"")</f>
        <v/>
      </c>
      <c r="AZ58" s="523" t="str">
        <f>_xlfn.IFNA(IF(données_step[[#This Row],[E_NTOT]]&lt;=0,NA(),charge_entree[[#This Row],[ch_E_NTOT]]/constanten!$B$10*1000),"")</f>
        <v/>
      </c>
      <c r="BA58" s="523" t="str">
        <f>_xlfn.IFNA(IF(données_step[[#This Row],[E_NH4]]&lt;=0,NA(),charge_entree[[#This Row],[ch_E_NH4]]/constanten!$B$12*1000),"")</f>
        <v/>
      </c>
      <c r="BB58" s="523" t="str">
        <f>_xlfn.IFNA(IF(données_step[[#This Row],[E_COT]]&lt;=0,NA(),charge_entree[[#This Row],[ch_E_COT]]/constanten!$B$9*1000),"")</f>
        <v/>
      </c>
      <c r="BC58" s="523" t="str">
        <f>IFERROR(_xlfn.IFNA(IF(données_step[[#This Row],[E_PTOT]]&lt;=0,NA(),charge_entree[[#This Row],[ch_E_PTOT]]/constanten!$B$15*1000),""),"")</f>
        <v/>
      </c>
      <c r="BD58" s="535" t="e">
        <f>calculs!E58 * (1-0.4) / (données_step[[#This Row],[X_BA_VOL]]*données_step[[#This Row],[X_BACONC]])</f>
        <v>#VALUE!</v>
      </c>
      <c r="BE58" s="522" t="e">
        <f>(données_step[[#This Row],[X_BA_VOL]]*données_step[[#This Row],[X_BACONC]])/((données_step[[#This Row],[D_QTRAI2]]*données_step[[#This Row],[S_MES]]/1000)+(données_step[[#This Row],[X_BX_Q]]*données_step[[#This Row],[X_BXCONC]]))</f>
        <v>#VALUE!</v>
      </c>
      <c r="BF58" s="890" t="str">
        <f>IFERROR(données_step[[#This Row],[D_QTRAI]]/AY58*1000,"")</f>
        <v/>
      </c>
      <c r="BG58" s="535" t="str">
        <f>IFERROR(1-données_step[[#This Row],[S_DBO5]]/données_step[[#This Row],[E_DBO5]],"")</f>
        <v/>
      </c>
      <c r="BH58" s="536" t="str">
        <f>IFERROR(1-données_step[[#This Row],[S_DCO]]/données_step[[#This Row],[E_DCO]],"")</f>
        <v/>
      </c>
      <c r="BI58" s="535" t="str">
        <f>IFERROR(1-données_step[[#This Row],[S_COD]]/données_step[[#This Row],[E_COT]],"")</f>
        <v/>
      </c>
      <c r="BJ58" s="535" t="str">
        <f>IFERROR(1-données_step[[#This Row],[S_NH4]]/données_step[[#This Row],[E_NTOT]],"")</f>
        <v/>
      </c>
      <c r="BK58" s="535" t="str">
        <f>IFERROR(1-données_step[[#This Row],[S_PTOT]]/données_step[[#This Row],[E_PTOT]],"")</f>
        <v/>
      </c>
      <c r="BL58" s="521" t="str">
        <f>IFERROR(IF(données_step[[#This Row],[E_DCO]]/données_step[[#This Row],[E_DBO5]]=0,NA(),données_step[[#This Row],[E_DCO]]/données_step[[#This Row],[E_DBO5]]),"")</f>
        <v/>
      </c>
      <c r="BM58" s="521" t="str">
        <f>IFERROR(IF(données_step[[#This Row],[E_NH4]]/données_step[[#This Row],[E_NTOT]]=0,NA(),données_step[[#This Row],[E_NH4]]/données_step[[#This Row],[E_NTOT]]),"")</f>
        <v/>
      </c>
      <c r="BN58" s="521" t="str">
        <f>IFERROR(IF(données_step[[#This Row],[E_NTOT]]/données_step[[#This Row],[E_COT]]=0,NA(),données_step[[#This Row],[E_NTOT]]/données_step[[#This Row],[E_COT]]),"")</f>
        <v/>
      </c>
      <c r="BO58" s="521" t="str">
        <f>IFERROR(IF(données_step[[#This Row],[E_PTOT]]/données_step[[#This Row],[E_COT]]=0,NA(),données_step[[#This Row],[E_PTOT]]/données_step[[#This Row],[E_COT]]),"")</f>
        <v/>
      </c>
      <c r="BP58" s="521" t="e">
        <f>IF(données_step[[#This Row],[E_DCO]]/données_step[[#This Row],[E_COT]]=0,NA(),données_step[[#This Row],[E_DCO]]/données_step[[#This Row],[E_COT]])</f>
        <v>#DIV/0!</v>
      </c>
      <c r="BQ58" s="521" t="e">
        <f>IF(données_step[[#This Row],[E_NTOT]]/données_step[[#This Row],[E_DCO]]=0,NA(),données_step[[#This Row],[E_NTOT]]/données_step[[#This Row],[E_DCO]])</f>
        <v>#DIV/0!</v>
      </c>
      <c r="BR58" s="521" t="e">
        <f>IF(données_step[[#This Row],[E_PTOT]]/données_step[[#This Row],[E_DCO]]=0,NA(),données_step[[#This Row],[E_PTOT]]/données_step[[#This Row],[E_DCO]])</f>
        <v>#DIV/0!</v>
      </c>
      <c r="BS58" s="747" t="e">
        <f ca="1">test_NH4_temp(données_step[[#This Row],[S_NH4]],données_step[[#This Row],[Temp_eaux]])</f>
        <v>#NAME?</v>
      </c>
    </row>
    <row r="59" spans="1:71" x14ac:dyDescent="0.2">
      <c r="A59" s="222">
        <f>données_step[[#This Row],[Datum]]</f>
        <v>44610</v>
      </c>
      <c r="B59" s="223"/>
      <c r="C59" s="224">
        <f t="shared" si="0"/>
        <v>6</v>
      </c>
      <c r="D59" s="523" t="str">
        <f>IF(OR(données_step[[#This Row],[E_DBO5]]&lt;=0,données_step[[#This Row],[E_DBO5]]=""),"",données_step[[#This Row],[D_QTRAI]]*données_step[[#This Row],[E_DBO5]]/1000)</f>
        <v/>
      </c>
      <c r="E59" s="523" t="str">
        <f>IF(OR(données_step[[#This Row],[E_DCO]]&lt;=0,données_step[[#This Row],[E_DCO]]=""),"",données_step[[#This Row],[D_QTRAI]]*données_step[[#This Row],[E_DCO]]/1000)</f>
        <v/>
      </c>
      <c r="F59" s="523" t="str">
        <f>IF(OR(données_step[[#This Row],[E_COT]]&lt;=0,données_step[[#This Row],[E_COT]]=""),"",données_step[[#This Row],[D_QTRAI]]*données_step[[#This Row],[E_COT]]/1000)</f>
        <v/>
      </c>
      <c r="G59" s="523" t="str">
        <f>IF(OR(données_step[[#This Row],[E_NH4]]&lt;=0,données_step[[#This Row],[E_NH4]]=""),"",données_step[[#This Row],[D_QTRAI]]*données_step[[#This Row],[E_NH4]]/1000)</f>
        <v/>
      </c>
      <c r="H59" s="523" t="str">
        <f>IF(OR(données_step[[#This Row],[E_NTOT]]&lt;=0,données_step[[#This Row],[E_NTOT]]=""),"",données_step[[#This Row],[D_QTRAI]]*données_step[[#This Row],[E_NTOT]]/1000)</f>
        <v/>
      </c>
      <c r="I59" s="523" t="str">
        <f>IF(OR(données_step[[#This Row],[E_NTOT]]&lt;=0,données_step[[#This Row],[E_NTOT]]=""),"",données_step[[#This Row],[D_QTRAI]]*données_step[[#This Row],[E_PTOT]]/1000)</f>
        <v/>
      </c>
      <c r="J59" s="523" t="str">
        <f>IF(OR(données_step[[#This Row],[S_DBO5]]&lt;=0,données_step[[#This Row],[S_DBO5]]=""),"",données_step[[#This Row],[D_QTRAI]]*données_step[[#This Row],[S_DBO5]]/1000)</f>
        <v/>
      </c>
      <c r="K59" s="523" t="str">
        <f>IF(OR(données_step[[#This Row],[S_DCO]]&lt;=0,données_step[[#This Row],[S_DCO]]=""),"",données_step[[#This Row],[D_QTRAI]]*données_step[[#This Row],[S_DCO]]/1000)</f>
        <v/>
      </c>
      <c r="L59" s="523" t="str">
        <f>IF(OR(données_step[[#This Row],[S_COD]]&lt;=0,données_step[[#This Row],[S_COD]]=""),"",données_step[[#This Row],[D_QTRAI]]*données_step[[#This Row],[S_COD]]/1000)</f>
        <v/>
      </c>
      <c r="M59" s="523" t="str">
        <f>IF(OR(données_step[[#This Row],[S_NH4]]&lt;=0,données_step[[#This Row],[S_NH4]]=""),"",données_step[[#This Row],[D_QTRAI]]*données_step[[#This Row],[S_NH4]]/1000)</f>
        <v/>
      </c>
      <c r="N59" s="523" t="str">
        <f>IF(OR(données_step[[#This Row],[S_NO2]]&lt;=0,données_step[[#This Row],[S_NO2]]=""),"",données_step[[#This Row],[D_QTRAI]]*données_step[[#This Row],[S_NO2]]/1000)</f>
        <v/>
      </c>
      <c r="O59" s="523" t="str">
        <f>IF(OR(données_step[[#This Row],[S_NO3]]&lt;=0,données_step[[#This Row],[S_NO3]]=""),"",données_step[[#This Row],[D_QTRAI]]*données_step[[#This Row],[S_NO3]]/1000)</f>
        <v/>
      </c>
      <c r="P59" s="523" t="str">
        <f>IF(OR(données_step[[#This Row],[S_PTOT]]&lt;=0,données_step[[#This Row],[S_PTOT]]=""),"",données_step[[#This Row],[D_QTRAI]]*données_step[[#This Row],[S_PTOT]]/1000)</f>
        <v/>
      </c>
      <c r="Q59" s="523" t="str">
        <f>IF(OR(données_step[[#This Row],[S_MES]]&lt;=0,données_step[[#This Row],[S_MES]]=""),"",données_step[[#This Row],[D_QTRAI]]*données_step[[#This Row],[S_MES]]/1000)</f>
        <v/>
      </c>
      <c r="R59" s="523">
        <f>MAX(données_step[[#This Row],[D_QTRAI]],données_step[[#This Row],[D_QTRAI2]])</f>
        <v>0</v>
      </c>
      <c r="S59" s="523" t="str">
        <f>IF(AND($R59&gt;0,données_step[[#This Row],[E_DCO]]&gt;0),données_step[[#This Row],[E_DCO]],"")</f>
        <v/>
      </c>
      <c r="T59" s="523" t="str">
        <f>IF(S59="","",(1-données_step[[#This Row],[E_DCO]]/$V$7)*100)</f>
        <v/>
      </c>
      <c r="U59" s="523" t="str">
        <f t="shared" si="1"/>
        <v/>
      </c>
      <c r="V59" s="523" t="str">
        <f t="shared" si="2"/>
        <v/>
      </c>
      <c r="W59" s="523" t="str">
        <f t="shared" si="3"/>
        <v/>
      </c>
      <c r="X59" s="523" t="e">
        <f>IF(((100-100/$V$7*données_step[[#This Row],[E_DCO]])/100*QTS)&lt;0,NA(),IF(OR(U59&lt;0,U59=""),NA(),((100-100/$V$7*données_step[[#This Row],[E_DCO]])/100*QTS)))</f>
        <v>#NUM!</v>
      </c>
      <c r="Y59" s="523" t="str">
        <f>IF(AND($R59&gt;0,données_step[[#This Row],[E_COT]]&gt;0),données_step[[#This Row],[E_COT]],"")</f>
        <v/>
      </c>
      <c r="Z59" s="523" t="str">
        <f>IF(Y59="","",(1-données_step[[#This Row],[E_COT]]/$AB$7)*100)</f>
        <v/>
      </c>
      <c r="AA59" s="523" t="str">
        <f t="shared" si="4"/>
        <v/>
      </c>
      <c r="AB59" s="523" t="str">
        <f t="shared" si="5"/>
        <v/>
      </c>
      <c r="AC59" s="523" t="str">
        <f t="shared" si="6"/>
        <v/>
      </c>
      <c r="AD59" s="523" t="e">
        <f>IF(((100-100/$AB$7*données_step[[#This Row],[E_COT]])/100*QTS)&lt;0,NA(),IF(OR(AA59&lt;0,AA59=""),NA(),((100-100/$AB$7*données_step[[#This Row],[E_COT]])/100*QTS)))</f>
        <v>#NUM!</v>
      </c>
      <c r="AE59" s="523" t="str">
        <f>IF(AND($R59&gt;0,données_step[[#This Row],[E_NH4]]&gt;0),données_step[[#This Row],[E_NH4]],"")</f>
        <v/>
      </c>
      <c r="AF59" s="523" t="str">
        <f>IF(AE59="","",(1-données_step[[#This Row],[E_NH4]]/$AH$7)*100)</f>
        <v/>
      </c>
      <c r="AG59" s="523" t="str">
        <f t="shared" si="7"/>
        <v/>
      </c>
      <c r="AH59" s="523" t="str">
        <f t="shared" si="8"/>
        <v/>
      </c>
      <c r="AI59" s="523" t="str">
        <f t="shared" si="9"/>
        <v/>
      </c>
      <c r="AJ59" s="523" t="e">
        <f>IF(((100-100/$AH$7*données_step[[#This Row],[E_NH4]])/100*QTS)&lt;0,NA(),IF(OR(AG59&lt;0,AG59=""),NA(),((100-100/$AH$7*données_step[[#This Row],[E_NH4]])/100*QTS)))</f>
        <v>#NUM!</v>
      </c>
      <c r="AK59" s="523" t="str">
        <f>IF(AND($R59&gt;0,données_step[[#This Row],[E_PTOT]]&gt;0),données_step[[#This Row],[E_PTOT]],"")</f>
        <v/>
      </c>
      <c r="AL59" s="523" t="str">
        <f>IF(AK59="","",(1-données_step[[#This Row],[E_PTOT]]/$AN$7)*100)</f>
        <v/>
      </c>
      <c r="AM59" s="523" t="str">
        <f t="shared" si="10"/>
        <v/>
      </c>
      <c r="AN59" s="523" t="str">
        <f t="shared" si="11"/>
        <v/>
      </c>
      <c r="AO59" s="523" t="str">
        <f t="shared" si="12"/>
        <v/>
      </c>
      <c r="AP59" s="523" t="e">
        <f>IF(((100-100/$AN$7*données_step[[#This Row],[E_PTOT]])/100*QTS)&lt;0,NA(),IF(OR(AM59&lt;0,AM59=""),NA(),((100-100/$AN$7*données_step[[#This Row],[E_PTOT]])/100*QTS)))</f>
        <v>#NUM!</v>
      </c>
      <c r="AQ59" s="524" t="e">
        <f t="shared" si="13"/>
        <v>#NUM!</v>
      </c>
      <c r="AR59" s="524" t="str">
        <f t="shared" si="14"/>
        <v/>
      </c>
      <c r="AT59" s="517">
        <f t="shared" si="15"/>
        <v>0.48</v>
      </c>
      <c r="AU59" s="501">
        <f t="shared" si="16"/>
        <v>48</v>
      </c>
      <c r="AV59" s="525" t="e">
        <f>PERCENTILE(analyses!$F$11:$F$375,$AT59)</f>
        <v>#NUM!</v>
      </c>
      <c r="AW59" s="7" t="e">
        <f>PERCENTILE(analyses!$I$11:$I$375,$AT59)</f>
        <v>#NUM!</v>
      </c>
      <c r="AX59" s="7" t="e">
        <f>PERCENTILE(analyses!$J$11:$J$375,$AT59)</f>
        <v>#NUM!</v>
      </c>
      <c r="AY59" s="523" t="str">
        <f>_xlfn.IFNA(IF(données_step[[#This Row],[E_DCO]]&lt;=0,NA(),charge_entree[[#This Row],[ch_E_DCO]]/constanten!$B$8*1000),"")</f>
        <v/>
      </c>
      <c r="AZ59" s="523" t="str">
        <f>_xlfn.IFNA(IF(données_step[[#This Row],[E_NTOT]]&lt;=0,NA(),charge_entree[[#This Row],[ch_E_NTOT]]/constanten!$B$10*1000),"")</f>
        <v/>
      </c>
      <c r="BA59" s="523" t="str">
        <f>_xlfn.IFNA(IF(données_step[[#This Row],[E_NH4]]&lt;=0,NA(),charge_entree[[#This Row],[ch_E_NH4]]/constanten!$B$12*1000),"")</f>
        <v/>
      </c>
      <c r="BB59" s="523" t="str">
        <f>_xlfn.IFNA(IF(données_step[[#This Row],[E_COT]]&lt;=0,NA(),charge_entree[[#This Row],[ch_E_COT]]/constanten!$B$9*1000),"")</f>
        <v/>
      </c>
      <c r="BC59" s="523" t="str">
        <f>IFERROR(_xlfn.IFNA(IF(données_step[[#This Row],[E_PTOT]]&lt;=0,NA(),charge_entree[[#This Row],[ch_E_PTOT]]/constanten!$B$15*1000),""),"")</f>
        <v/>
      </c>
      <c r="BD59" s="535" t="e">
        <f>calculs!E59 * (1-0.4) / (données_step[[#This Row],[X_BA_VOL]]*données_step[[#This Row],[X_BACONC]])</f>
        <v>#VALUE!</v>
      </c>
      <c r="BE59" s="522" t="e">
        <f>(données_step[[#This Row],[X_BA_VOL]]*données_step[[#This Row],[X_BACONC]])/((données_step[[#This Row],[D_QTRAI2]]*données_step[[#This Row],[S_MES]]/1000)+(données_step[[#This Row],[X_BX_Q]]*données_step[[#This Row],[X_BXCONC]]))</f>
        <v>#VALUE!</v>
      </c>
      <c r="BF59" s="890" t="str">
        <f>IFERROR(données_step[[#This Row],[D_QTRAI]]/AY59*1000,"")</f>
        <v/>
      </c>
      <c r="BG59" s="535" t="str">
        <f>IFERROR(1-données_step[[#This Row],[S_DBO5]]/données_step[[#This Row],[E_DBO5]],"")</f>
        <v/>
      </c>
      <c r="BH59" s="536" t="str">
        <f>IFERROR(1-données_step[[#This Row],[S_DCO]]/données_step[[#This Row],[E_DCO]],"")</f>
        <v/>
      </c>
      <c r="BI59" s="535" t="str">
        <f>IFERROR(1-données_step[[#This Row],[S_COD]]/données_step[[#This Row],[E_COT]],"")</f>
        <v/>
      </c>
      <c r="BJ59" s="535" t="str">
        <f>IFERROR(1-données_step[[#This Row],[S_NH4]]/données_step[[#This Row],[E_NTOT]],"")</f>
        <v/>
      </c>
      <c r="BK59" s="535" t="str">
        <f>IFERROR(1-données_step[[#This Row],[S_PTOT]]/données_step[[#This Row],[E_PTOT]],"")</f>
        <v/>
      </c>
      <c r="BL59" s="521" t="str">
        <f>IFERROR(IF(données_step[[#This Row],[E_DCO]]/données_step[[#This Row],[E_DBO5]]=0,NA(),données_step[[#This Row],[E_DCO]]/données_step[[#This Row],[E_DBO5]]),"")</f>
        <v/>
      </c>
      <c r="BM59" s="521" t="str">
        <f>IFERROR(IF(données_step[[#This Row],[E_NH4]]/données_step[[#This Row],[E_NTOT]]=0,NA(),données_step[[#This Row],[E_NH4]]/données_step[[#This Row],[E_NTOT]]),"")</f>
        <v/>
      </c>
      <c r="BN59" s="521" t="str">
        <f>IFERROR(IF(données_step[[#This Row],[E_NTOT]]/données_step[[#This Row],[E_COT]]=0,NA(),données_step[[#This Row],[E_NTOT]]/données_step[[#This Row],[E_COT]]),"")</f>
        <v/>
      </c>
      <c r="BO59" s="521" t="str">
        <f>IFERROR(IF(données_step[[#This Row],[E_PTOT]]/données_step[[#This Row],[E_COT]]=0,NA(),données_step[[#This Row],[E_PTOT]]/données_step[[#This Row],[E_COT]]),"")</f>
        <v/>
      </c>
      <c r="BP59" s="521" t="e">
        <f>IF(données_step[[#This Row],[E_DCO]]/données_step[[#This Row],[E_COT]]=0,NA(),données_step[[#This Row],[E_DCO]]/données_step[[#This Row],[E_COT]])</f>
        <v>#DIV/0!</v>
      </c>
      <c r="BQ59" s="521" t="e">
        <f>IF(données_step[[#This Row],[E_NTOT]]/données_step[[#This Row],[E_DCO]]=0,NA(),données_step[[#This Row],[E_NTOT]]/données_step[[#This Row],[E_DCO]])</f>
        <v>#DIV/0!</v>
      </c>
      <c r="BR59" s="521" t="e">
        <f>IF(données_step[[#This Row],[E_PTOT]]/données_step[[#This Row],[E_DCO]]=0,NA(),données_step[[#This Row],[E_PTOT]]/données_step[[#This Row],[E_DCO]])</f>
        <v>#DIV/0!</v>
      </c>
      <c r="BS59" s="747" t="e">
        <f ca="1">test_NH4_temp(données_step[[#This Row],[S_NH4]],données_step[[#This Row],[Temp_eaux]])</f>
        <v>#NAME?</v>
      </c>
    </row>
    <row r="60" spans="1:71" x14ac:dyDescent="0.2">
      <c r="A60" s="222">
        <f>données_step[[#This Row],[Datum]]</f>
        <v>44611</v>
      </c>
      <c r="B60" s="223"/>
      <c r="C60" s="224">
        <f t="shared" si="0"/>
        <v>7</v>
      </c>
      <c r="D60" s="523" t="str">
        <f>IF(OR(données_step[[#This Row],[E_DBO5]]&lt;=0,données_step[[#This Row],[E_DBO5]]=""),"",données_step[[#This Row],[D_QTRAI]]*données_step[[#This Row],[E_DBO5]]/1000)</f>
        <v/>
      </c>
      <c r="E60" s="523" t="str">
        <f>IF(OR(données_step[[#This Row],[E_DCO]]&lt;=0,données_step[[#This Row],[E_DCO]]=""),"",données_step[[#This Row],[D_QTRAI]]*données_step[[#This Row],[E_DCO]]/1000)</f>
        <v/>
      </c>
      <c r="F60" s="523" t="str">
        <f>IF(OR(données_step[[#This Row],[E_COT]]&lt;=0,données_step[[#This Row],[E_COT]]=""),"",données_step[[#This Row],[D_QTRAI]]*données_step[[#This Row],[E_COT]]/1000)</f>
        <v/>
      </c>
      <c r="G60" s="523" t="str">
        <f>IF(OR(données_step[[#This Row],[E_NH4]]&lt;=0,données_step[[#This Row],[E_NH4]]=""),"",données_step[[#This Row],[D_QTRAI]]*données_step[[#This Row],[E_NH4]]/1000)</f>
        <v/>
      </c>
      <c r="H60" s="523" t="str">
        <f>IF(OR(données_step[[#This Row],[E_NTOT]]&lt;=0,données_step[[#This Row],[E_NTOT]]=""),"",données_step[[#This Row],[D_QTRAI]]*données_step[[#This Row],[E_NTOT]]/1000)</f>
        <v/>
      </c>
      <c r="I60" s="523" t="str">
        <f>IF(OR(données_step[[#This Row],[E_NTOT]]&lt;=0,données_step[[#This Row],[E_NTOT]]=""),"",données_step[[#This Row],[D_QTRAI]]*données_step[[#This Row],[E_PTOT]]/1000)</f>
        <v/>
      </c>
      <c r="J60" s="523" t="str">
        <f>IF(OR(données_step[[#This Row],[S_DBO5]]&lt;=0,données_step[[#This Row],[S_DBO5]]=""),"",données_step[[#This Row],[D_QTRAI]]*données_step[[#This Row],[S_DBO5]]/1000)</f>
        <v/>
      </c>
      <c r="K60" s="523" t="str">
        <f>IF(OR(données_step[[#This Row],[S_DCO]]&lt;=0,données_step[[#This Row],[S_DCO]]=""),"",données_step[[#This Row],[D_QTRAI]]*données_step[[#This Row],[S_DCO]]/1000)</f>
        <v/>
      </c>
      <c r="L60" s="523" t="str">
        <f>IF(OR(données_step[[#This Row],[S_COD]]&lt;=0,données_step[[#This Row],[S_COD]]=""),"",données_step[[#This Row],[D_QTRAI]]*données_step[[#This Row],[S_COD]]/1000)</f>
        <v/>
      </c>
      <c r="M60" s="523" t="str">
        <f>IF(OR(données_step[[#This Row],[S_NH4]]&lt;=0,données_step[[#This Row],[S_NH4]]=""),"",données_step[[#This Row],[D_QTRAI]]*données_step[[#This Row],[S_NH4]]/1000)</f>
        <v/>
      </c>
      <c r="N60" s="523" t="str">
        <f>IF(OR(données_step[[#This Row],[S_NO2]]&lt;=0,données_step[[#This Row],[S_NO2]]=""),"",données_step[[#This Row],[D_QTRAI]]*données_step[[#This Row],[S_NO2]]/1000)</f>
        <v/>
      </c>
      <c r="O60" s="523" t="str">
        <f>IF(OR(données_step[[#This Row],[S_NO3]]&lt;=0,données_step[[#This Row],[S_NO3]]=""),"",données_step[[#This Row],[D_QTRAI]]*données_step[[#This Row],[S_NO3]]/1000)</f>
        <v/>
      </c>
      <c r="P60" s="523" t="str">
        <f>IF(OR(données_step[[#This Row],[S_PTOT]]&lt;=0,données_step[[#This Row],[S_PTOT]]=""),"",données_step[[#This Row],[D_QTRAI]]*données_step[[#This Row],[S_PTOT]]/1000)</f>
        <v/>
      </c>
      <c r="Q60" s="523" t="str">
        <f>IF(OR(données_step[[#This Row],[S_MES]]&lt;=0,données_step[[#This Row],[S_MES]]=""),"",données_step[[#This Row],[D_QTRAI]]*données_step[[#This Row],[S_MES]]/1000)</f>
        <v/>
      </c>
      <c r="R60" s="523">
        <f>MAX(données_step[[#This Row],[D_QTRAI]],données_step[[#This Row],[D_QTRAI2]])</f>
        <v>0</v>
      </c>
      <c r="S60" s="523" t="str">
        <f>IF(AND($R60&gt;0,données_step[[#This Row],[E_DCO]]&gt;0),données_step[[#This Row],[E_DCO]],"")</f>
        <v/>
      </c>
      <c r="T60" s="523" t="str">
        <f>IF(S60="","",(1-données_step[[#This Row],[E_DCO]]/$V$7)*100)</f>
        <v/>
      </c>
      <c r="U60" s="523" t="str">
        <f t="shared" si="1"/>
        <v/>
      </c>
      <c r="V60" s="523" t="str">
        <f t="shared" si="2"/>
        <v/>
      </c>
      <c r="W60" s="523" t="str">
        <f t="shared" si="3"/>
        <v/>
      </c>
      <c r="X60" s="523" t="e">
        <f>IF(((100-100/$V$7*données_step[[#This Row],[E_DCO]])/100*QTS)&lt;0,NA(),IF(OR(U60&lt;0,U60=""),NA(),((100-100/$V$7*données_step[[#This Row],[E_DCO]])/100*QTS)))</f>
        <v>#NUM!</v>
      </c>
      <c r="Y60" s="523" t="str">
        <f>IF(AND($R60&gt;0,données_step[[#This Row],[E_COT]]&gt;0),données_step[[#This Row],[E_COT]],"")</f>
        <v/>
      </c>
      <c r="Z60" s="523" t="str">
        <f>IF(Y60="","",(1-données_step[[#This Row],[E_COT]]/$AB$7)*100)</f>
        <v/>
      </c>
      <c r="AA60" s="523" t="str">
        <f t="shared" si="4"/>
        <v/>
      </c>
      <c r="AB60" s="523" t="str">
        <f t="shared" si="5"/>
        <v/>
      </c>
      <c r="AC60" s="523" t="str">
        <f t="shared" si="6"/>
        <v/>
      </c>
      <c r="AD60" s="523" t="e">
        <f>IF(((100-100/$AB$7*données_step[[#This Row],[E_COT]])/100*QTS)&lt;0,NA(),IF(OR(AA60&lt;0,AA60=""),NA(),((100-100/$AB$7*données_step[[#This Row],[E_COT]])/100*QTS)))</f>
        <v>#NUM!</v>
      </c>
      <c r="AE60" s="523" t="str">
        <f>IF(AND($R60&gt;0,données_step[[#This Row],[E_NH4]]&gt;0),données_step[[#This Row],[E_NH4]],"")</f>
        <v/>
      </c>
      <c r="AF60" s="523" t="str">
        <f>IF(AE60="","",(1-données_step[[#This Row],[E_NH4]]/$AH$7)*100)</f>
        <v/>
      </c>
      <c r="AG60" s="523" t="str">
        <f t="shared" si="7"/>
        <v/>
      </c>
      <c r="AH60" s="523" t="str">
        <f t="shared" si="8"/>
        <v/>
      </c>
      <c r="AI60" s="523" t="str">
        <f t="shared" si="9"/>
        <v/>
      </c>
      <c r="AJ60" s="523" t="e">
        <f>IF(((100-100/$AH$7*données_step[[#This Row],[E_NH4]])/100*QTS)&lt;0,NA(),IF(OR(AG60&lt;0,AG60=""),NA(),((100-100/$AH$7*données_step[[#This Row],[E_NH4]])/100*QTS)))</f>
        <v>#NUM!</v>
      </c>
      <c r="AK60" s="523" t="str">
        <f>IF(AND($R60&gt;0,données_step[[#This Row],[E_PTOT]]&gt;0),données_step[[#This Row],[E_PTOT]],"")</f>
        <v/>
      </c>
      <c r="AL60" s="523" t="str">
        <f>IF(AK60="","",(1-données_step[[#This Row],[E_PTOT]]/$AN$7)*100)</f>
        <v/>
      </c>
      <c r="AM60" s="523" t="str">
        <f t="shared" si="10"/>
        <v/>
      </c>
      <c r="AN60" s="523" t="str">
        <f t="shared" si="11"/>
        <v/>
      </c>
      <c r="AO60" s="523" t="str">
        <f t="shared" si="12"/>
        <v/>
      </c>
      <c r="AP60" s="523" t="e">
        <f>IF(((100-100/$AN$7*données_step[[#This Row],[E_PTOT]])/100*QTS)&lt;0,NA(),IF(OR(AM60&lt;0,AM60=""),NA(),((100-100/$AN$7*données_step[[#This Row],[E_PTOT]])/100*QTS)))</f>
        <v>#NUM!</v>
      </c>
      <c r="AQ60" s="524" t="e">
        <f t="shared" si="13"/>
        <v>#NUM!</v>
      </c>
      <c r="AR60" s="524" t="str">
        <f t="shared" si="14"/>
        <v/>
      </c>
      <c r="AT60" s="517">
        <f t="shared" si="15"/>
        <v>0.49</v>
      </c>
      <c r="AU60" s="501">
        <f t="shared" si="16"/>
        <v>49</v>
      </c>
      <c r="AV60" s="525" t="e">
        <f>PERCENTILE(analyses!$F$11:$F$375,$AT60)</f>
        <v>#NUM!</v>
      </c>
      <c r="AW60" s="7" t="e">
        <f>PERCENTILE(analyses!$I$11:$I$375,$AT60)</f>
        <v>#NUM!</v>
      </c>
      <c r="AX60" s="7" t="e">
        <f>PERCENTILE(analyses!$J$11:$J$375,$AT60)</f>
        <v>#NUM!</v>
      </c>
      <c r="AY60" s="523" t="str">
        <f>_xlfn.IFNA(IF(données_step[[#This Row],[E_DCO]]&lt;=0,NA(),charge_entree[[#This Row],[ch_E_DCO]]/constanten!$B$8*1000),"")</f>
        <v/>
      </c>
      <c r="AZ60" s="523" t="str">
        <f>_xlfn.IFNA(IF(données_step[[#This Row],[E_NTOT]]&lt;=0,NA(),charge_entree[[#This Row],[ch_E_NTOT]]/constanten!$B$10*1000),"")</f>
        <v/>
      </c>
      <c r="BA60" s="523" t="str">
        <f>_xlfn.IFNA(IF(données_step[[#This Row],[E_NH4]]&lt;=0,NA(),charge_entree[[#This Row],[ch_E_NH4]]/constanten!$B$12*1000),"")</f>
        <v/>
      </c>
      <c r="BB60" s="523" t="str">
        <f>_xlfn.IFNA(IF(données_step[[#This Row],[E_COT]]&lt;=0,NA(),charge_entree[[#This Row],[ch_E_COT]]/constanten!$B$9*1000),"")</f>
        <v/>
      </c>
      <c r="BC60" s="523" t="str">
        <f>IFERROR(_xlfn.IFNA(IF(données_step[[#This Row],[E_PTOT]]&lt;=0,NA(),charge_entree[[#This Row],[ch_E_PTOT]]/constanten!$B$15*1000),""),"")</f>
        <v/>
      </c>
      <c r="BD60" s="535" t="e">
        <f>calculs!E60 * (1-0.4) / (données_step[[#This Row],[X_BA_VOL]]*données_step[[#This Row],[X_BACONC]])</f>
        <v>#VALUE!</v>
      </c>
      <c r="BE60" s="522" t="e">
        <f>(données_step[[#This Row],[X_BA_VOL]]*données_step[[#This Row],[X_BACONC]])/((données_step[[#This Row],[D_QTRAI2]]*données_step[[#This Row],[S_MES]]/1000)+(données_step[[#This Row],[X_BX_Q]]*données_step[[#This Row],[X_BXCONC]]))</f>
        <v>#VALUE!</v>
      </c>
      <c r="BF60" s="890" t="str">
        <f>IFERROR(données_step[[#This Row],[D_QTRAI]]/AY60*1000,"")</f>
        <v/>
      </c>
      <c r="BG60" s="535" t="str">
        <f>IFERROR(1-données_step[[#This Row],[S_DBO5]]/données_step[[#This Row],[E_DBO5]],"")</f>
        <v/>
      </c>
      <c r="BH60" s="536" t="str">
        <f>IFERROR(1-données_step[[#This Row],[S_DCO]]/données_step[[#This Row],[E_DCO]],"")</f>
        <v/>
      </c>
      <c r="BI60" s="535" t="str">
        <f>IFERROR(1-données_step[[#This Row],[S_COD]]/données_step[[#This Row],[E_COT]],"")</f>
        <v/>
      </c>
      <c r="BJ60" s="535" t="str">
        <f>IFERROR(1-données_step[[#This Row],[S_NH4]]/données_step[[#This Row],[E_NTOT]],"")</f>
        <v/>
      </c>
      <c r="BK60" s="535" t="str">
        <f>IFERROR(1-données_step[[#This Row],[S_PTOT]]/données_step[[#This Row],[E_PTOT]],"")</f>
        <v/>
      </c>
      <c r="BL60" s="521" t="str">
        <f>IFERROR(IF(données_step[[#This Row],[E_DCO]]/données_step[[#This Row],[E_DBO5]]=0,NA(),données_step[[#This Row],[E_DCO]]/données_step[[#This Row],[E_DBO5]]),"")</f>
        <v/>
      </c>
      <c r="BM60" s="521" t="str">
        <f>IFERROR(IF(données_step[[#This Row],[E_NH4]]/données_step[[#This Row],[E_NTOT]]=0,NA(),données_step[[#This Row],[E_NH4]]/données_step[[#This Row],[E_NTOT]]),"")</f>
        <v/>
      </c>
      <c r="BN60" s="521" t="str">
        <f>IFERROR(IF(données_step[[#This Row],[E_NTOT]]/données_step[[#This Row],[E_COT]]=0,NA(),données_step[[#This Row],[E_NTOT]]/données_step[[#This Row],[E_COT]]),"")</f>
        <v/>
      </c>
      <c r="BO60" s="521" t="str">
        <f>IFERROR(IF(données_step[[#This Row],[E_PTOT]]/données_step[[#This Row],[E_COT]]=0,NA(),données_step[[#This Row],[E_PTOT]]/données_step[[#This Row],[E_COT]]),"")</f>
        <v/>
      </c>
      <c r="BP60" s="521" t="e">
        <f>IF(données_step[[#This Row],[E_DCO]]/données_step[[#This Row],[E_COT]]=0,NA(),données_step[[#This Row],[E_DCO]]/données_step[[#This Row],[E_COT]])</f>
        <v>#DIV/0!</v>
      </c>
      <c r="BQ60" s="521" t="e">
        <f>IF(données_step[[#This Row],[E_NTOT]]/données_step[[#This Row],[E_DCO]]=0,NA(),données_step[[#This Row],[E_NTOT]]/données_step[[#This Row],[E_DCO]])</f>
        <v>#DIV/0!</v>
      </c>
      <c r="BR60" s="521" t="e">
        <f>IF(données_step[[#This Row],[E_PTOT]]/données_step[[#This Row],[E_DCO]]=0,NA(),données_step[[#This Row],[E_PTOT]]/données_step[[#This Row],[E_DCO]])</f>
        <v>#DIV/0!</v>
      </c>
      <c r="BS60" s="747" t="e">
        <f ca="1">test_NH4_temp(données_step[[#This Row],[S_NH4]],données_step[[#This Row],[Temp_eaux]])</f>
        <v>#NAME?</v>
      </c>
    </row>
    <row r="61" spans="1:71" x14ac:dyDescent="0.2">
      <c r="A61" s="222">
        <f>données_step[[#This Row],[Datum]]</f>
        <v>44612</v>
      </c>
      <c r="B61" s="223"/>
      <c r="C61" s="224">
        <f t="shared" si="0"/>
        <v>1</v>
      </c>
      <c r="D61" s="523" t="str">
        <f>IF(OR(données_step[[#This Row],[E_DBO5]]&lt;=0,données_step[[#This Row],[E_DBO5]]=""),"",données_step[[#This Row],[D_QTRAI]]*données_step[[#This Row],[E_DBO5]]/1000)</f>
        <v/>
      </c>
      <c r="E61" s="523" t="str">
        <f>IF(OR(données_step[[#This Row],[E_DCO]]&lt;=0,données_step[[#This Row],[E_DCO]]=""),"",données_step[[#This Row],[D_QTRAI]]*données_step[[#This Row],[E_DCO]]/1000)</f>
        <v/>
      </c>
      <c r="F61" s="523" t="str">
        <f>IF(OR(données_step[[#This Row],[E_COT]]&lt;=0,données_step[[#This Row],[E_COT]]=""),"",données_step[[#This Row],[D_QTRAI]]*données_step[[#This Row],[E_COT]]/1000)</f>
        <v/>
      </c>
      <c r="G61" s="523" t="str">
        <f>IF(OR(données_step[[#This Row],[E_NH4]]&lt;=0,données_step[[#This Row],[E_NH4]]=""),"",données_step[[#This Row],[D_QTRAI]]*données_step[[#This Row],[E_NH4]]/1000)</f>
        <v/>
      </c>
      <c r="H61" s="523" t="str">
        <f>IF(OR(données_step[[#This Row],[E_NTOT]]&lt;=0,données_step[[#This Row],[E_NTOT]]=""),"",données_step[[#This Row],[D_QTRAI]]*données_step[[#This Row],[E_NTOT]]/1000)</f>
        <v/>
      </c>
      <c r="I61" s="523" t="str">
        <f>IF(OR(données_step[[#This Row],[E_NTOT]]&lt;=0,données_step[[#This Row],[E_NTOT]]=""),"",données_step[[#This Row],[D_QTRAI]]*données_step[[#This Row],[E_PTOT]]/1000)</f>
        <v/>
      </c>
      <c r="J61" s="523" t="str">
        <f>IF(OR(données_step[[#This Row],[S_DBO5]]&lt;=0,données_step[[#This Row],[S_DBO5]]=""),"",données_step[[#This Row],[D_QTRAI]]*données_step[[#This Row],[S_DBO5]]/1000)</f>
        <v/>
      </c>
      <c r="K61" s="523" t="str">
        <f>IF(OR(données_step[[#This Row],[S_DCO]]&lt;=0,données_step[[#This Row],[S_DCO]]=""),"",données_step[[#This Row],[D_QTRAI]]*données_step[[#This Row],[S_DCO]]/1000)</f>
        <v/>
      </c>
      <c r="L61" s="523" t="str">
        <f>IF(OR(données_step[[#This Row],[S_COD]]&lt;=0,données_step[[#This Row],[S_COD]]=""),"",données_step[[#This Row],[D_QTRAI]]*données_step[[#This Row],[S_COD]]/1000)</f>
        <v/>
      </c>
      <c r="M61" s="523" t="str">
        <f>IF(OR(données_step[[#This Row],[S_NH4]]&lt;=0,données_step[[#This Row],[S_NH4]]=""),"",données_step[[#This Row],[D_QTRAI]]*données_step[[#This Row],[S_NH4]]/1000)</f>
        <v/>
      </c>
      <c r="N61" s="523" t="str">
        <f>IF(OR(données_step[[#This Row],[S_NO2]]&lt;=0,données_step[[#This Row],[S_NO2]]=""),"",données_step[[#This Row],[D_QTRAI]]*données_step[[#This Row],[S_NO2]]/1000)</f>
        <v/>
      </c>
      <c r="O61" s="523" t="str">
        <f>IF(OR(données_step[[#This Row],[S_NO3]]&lt;=0,données_step[[#This Row],[S_NO3]]=""),"",données_step[[#This Row],[D_QTRAI]]*données_step[[#This Row],[S_NO3]]/1000)</f>
        <v/>
      </c>
      <c r="P61" s="523" t="str">
        <f>IF(OR(données_step[[#This Row],[S_PTOT]]&lt;=0,données_step[[#This Row],[S_PTOT]]=""),"",données_step[[#This Row],[D_QTRAI]]*données_step[[#This Row],[S_PTOT]]/1000)</f>
        <v/>
      </c>
      <c r="Q61" s="523" t="str">
        <f>IF(OR(données_step[[#This Row],[S_MES]]&lt;=0,données_step[[#This Row],[S_MES]]=""),"",données_step[[#This Row],[D_QTRAI]]*données_step[[#This Row],[S_MES]]/1000)</f>
        <v/>
      </c>
      <c r="R61" s="523">
        <f>MAX(données_step[[#This Row],[D_QTRAI]],données_step[[#This Row],[D_QTRAI2]])</f>
        <v>0</v>
      </c>
      <c r="S61" s="523" t="str">
        <f>IF(AND($R61&gt;0,données_step[[#This Row],[E_DCO]]&gt;0),données_step[[#This Row],[E_DCO]],"")</f>
        <v/>
      </c>
      <c r="T61" s="523" t="str">
        <f>IF(S61="","",(1-données_step[[#This Row],[E_DCO]]/$V$7)*100)</f>
        <v/>
      </c>
      <c r="U61" s="523" t="str">
        <f t="shared" si="1"/>
        <v/>
      </c>
      <c r="V61" s="523" t="str">
        <f t="shared" si="2"/>
        <v/>
      </c>
      <c r="W61" s="523" t="str">
        <f t="shared" si="3"/>
        <v/>
      </c>
      <c r="X61" s="523" t="e">
        <f>IF(((100-100/$V$7*données_step[[#This Row],[E_DCO]])/100*QTS)&lt;0,NA(),IF(OR(U61&lt;0,U61=""),NA(),((100-100/$V$7*données_step[[#This Row],[E_DCO]])/100*QTS)))</f>
        <v>#NUM!</v>
      </c>
      <c r="Y61" s="523" t="str">
        <f>IF(AND($R61&gt;0,données_step[[#This Row],[E_COT]]&gt;0),données_step[[#This Row],[E_COT]],"")</f>
        <v/>
      </c>
      <c r="Z61" s="523" t="str">
        <f>IF(Y61="","",(1-données_step[[#This Row],[E_COT]]/$AB$7)*100)</f>
        <v/>
      </c>
      <c r="AA61" s="523" t="str">
        <f t="shared" si="4"/>
        <v/>
      </c>
      <c r="AB61" s="523" t="str">
        <f t="shared" si="5"/>
        <v/>
      </c>
      <c r="AC61" s="523" t="str">
        <f t="shared" si="6"/>
        <v/>
      </c>
      <c r="AD61" s="523" t="e">
        <f>IF(((100-100/$AB$7*données_step[[#This Row],[E_COT]])/100*QTS)&lt;0,NA(),IF(OR(AA61&lt;0,AA61=""),NA(),((100-100/$AB$7*données_step[[#This Row],[E_COT]])/100*QTS)))</f>
        <v>#NUM!</v>
      </c>
      <c r="AE61" s="523" t="str">
        <f>IF(AND($R61&gt;0,données_step[[#This Row],[E_NH4]]&gt;0),données_step[[#This Row],[E_NH4]],"")</f>
        <v/>
      </c>
      <c r="AF61" s="523" t="str">
        <f>IF(AE61="","",(1-données_step[[#This Row],[E_NH4]]/$AH$7)*100)</f>
        <v/>
      </c>
      <c r="AG61" s="523" t="str">
        <f t="shared" si="7"/>
        <v/>
      </c>
      <c r="AH61" s="523" t="str">
        <f t="shared" si="8"/>
        <v/>
      </c>
      <c r="AI61" s="523" t="str">
        <f t="shared" si="9"/>
        <v/>
      </c>
      <c r="AJ61" s="523" t="e">
        <f>IF(((100-100/$AH$7*données_step[[#This Row],[E_NH4]])/100*QTS)&lt;0,NA(),IF(OR(AG61&lt;0,AG61=""),NA(),((100-100/$AH$7*données_step[[#This Row],[E_NH4]])/100*QTS)))</f>
        <v>#NUM!</v>
      </c>
      <c r="AK61" s="523" t="str">
        <f>IF(AND($R61&gt;0,données_step[[#This Row],[E_PTOT]]&gt;0),données_step[[#This Row],[E_PTOT]],"")</f>
        <v/>
      </c>
      <c r="AL61" s="523" t="str">
        <f>IF(AK61="","",(1-données_step[[#This Row],[E_PTOT]]/$AN$7)*100)</f>
        <v/>
      </c>
      <c r="AM61" s="523" t="str">
        <f t="shared" si="10"/>
        <v/>
      </c>
      <c r="AN61" s="523" t="str">
        <f t="shared" si="11"/>
        <v/>
      </c>
      <c r="AO61" s="523" t="str">
        <f t="shared" si="12"/>
        <v/>
      </c>
      <c r="AP61" s="523" t="e">
        <f>IF(((100-100/$AN$7*données_step[[#This Row],[E_PTOT]])/100*QTS)&lt;0,NA(),IF(OR(AM61&lt;0,AM61=""),NA(),((100-100/$AN$7*données_step[[#This Row],[E_PTOT]])/100*QTS)))</f>
        <v>#NUM!</v>
      </c>
      <c r="AQ61" s="524" t="e">
        <f t="shared" si="13"/>
        <v>#NUM!</v>
      </c>
      <c r="AR61" s="524" t="str">
        <f t="shared" si="14"/>
        <v/>
      </c>
      <c r="AT61" s="517">
        <f t="shared" si="15"/>
        <v>0.5</v>
      </c>
      <c r="AU61" s="501">
        <f t="shared" si="16"/>
        <v>50</v>
      </c>
      <c r="AV61" s="525" t="e">
        <f>PERCENTILE(analyses!$F$11:$F$375,$AT61)</f>
        <v>#NUM!</v>
      </c>
      <c r="AW61" s="7" t="e">
        <f>PERCENTILE(analyses!$I$11:$I$375,$AT61)</f>
        <v>#NUM!</v>
      </c>
      <c r="AX61" s="7" t="e">
        <f>PERCENTILE(analyses!$J$11:$J$375,$AT61)</f>
        <v>#NUM!</v>
      </c>
      <c r="AY61" s="523" t="str">
        <f>_xlfn.IFNA(IF(données_step[[#This Row],[E_DCO]]&lt;=0,NA(),charge_entree[[#This Row],[ch_E_DCO]]/constanten!$B$8*1000),"")</f>
        <v/>
      </c>
      <c r="AZ61" s="523" t="str">
        <f>_xlfn.IFNA(IF(données_step[[#This Row],[E_NTOT]]&lt;=0,NA(),charge_entree[[#This Row],[ch_E_NTOT]]/constanten!$B$10*1000),"")</f>
        <v/>
      </c>
      <c r="BA61" s="523" t="str">
        <f>_xlfn.IFNA(IF(données_step[[#This Row],[E_NH4]]&lt;=0,NA(),charge_entree[[#This Row],[ch_E_NH4]]/constanten!$B$12*1000),"")</f>
        <v/>
      </c>
      <c r="BB61" s="523" t="str">
        <f>_xlfn.IFNA(IF(données_step[[#This Row],[E_COT]]&lt;=0,NA(),charge_entree[[#This Row],[ch_E_COT]]/constanten!$B$9*1000),"")</f>
        <v/>
      </c>
      <c r="BC61" s="523" t="str">
        <f>IFERROR(_xlfn.IFNA(IF(données_step[[#This Row],[E_PTOT]]&lt;=0,NA(),charge_entree[[#This Row],[ch_E_PTOT]]/constanten!$B$15*1000),""),"")</f>
        <v/>
      </c>
      <c r="BD61" s="535" t="e">
        <f>calculs!E61 * (1-0.4) / (données_step[[#This Row],[X_BA_VOL]]*données_step[[#This Row],[X_BACONC]])</f>
        <v>#VALUE!</v>
      </c>
      <c r="BE61" s="522" t="e">
        <f>(données_step[[#This Row],[X_BA_VOL]]*données_step[[#This Row],[X_BACONC]])/((données_step[[#This Row],[D_QTRAI2]]*données_step[[#This Row],[S_MES]]/1000)+(données_step[[#This Row],[X_BX_Q]]*données_step[[#This Row],[X_BXCONC]]))</f>
        <v>#VALUE!</v>
      </c>
      <c r="BF61" s="890" t="str">
        <f>IFERROR(données_step[[#This Row],[D_QTRAI]]/AY61*1000,"")</f>
        <v/>
      </c>
      <c r="BG61" s="535" t="str">
        <f>IFERROR(1-données_step[[#This Row],[S_DBO5]]/données_step[[#This Row],[E_DBO5]],"")</f>
        <v/>
      </c>
      <c r="BH61" s="536" t="str">
        <f>IFERROR(1-données_step[[#This Row],[S_DCO]]/données_step[[#This Row],[E_DCO]],"")</f>
        <v/>
      </c>
      <c r="BI61" s="535" t="str">
        <f>IFERROR(1-données_step[[#This Row],[S_COD]]/données_step[[#This Row],[E_COT]],"")</f>
        <v/>
      </c>
      <c r="BJ61" s="535" t="str">
        <f>IFERROR(1-données_step[[#This Row],[S_NH4]]/données_step[[#This Row],[E_NTOT]],"")</f>
        <v/>
      </c>
      <c r="BK61" s="535" t="str">
        <f>IFERROR(1-données_step[[#This Row],[S_PTOT]]/données_step[[#This Row],[E_PTOT]],"")</f>
        <v/>
      </c>
      <c r="BL61" s="521" t="str">
        <f>IFERROR(IF(données_step[[#This Row],[E_DCO]]/données_step[[#This Row],[E_DBO5]]=0,NA(),données_step[[#This Row],[E_DCO]]/données_step[[#This Row],[E_DBO5]]),"")</f>
        <v/>
      </c>
      <c r="BM61" s="521" t="str">
        <f>IFERROR(IF(données_step[[#This Row],[E_NH4]]/données_step[[#This Row],[E_NTOT]]=0,NA(),données_step[[#This Row],[E_NH4]]/données_step[[#This Row],[E_NTOT]]),"")</f>
        <v/>
      </c>
      <c r="BN61" s="521" t="str">
        <f>IFERROR(IF(données_step[[#This Row],[E_NTOT]]/données_step[[#This Row],[E_COT]]=0,NA(),données_step[[#This Row],[E_NTOT]]/données_step[[#This Row],[E_COT]]),"")</f>
        <v/>
      </c>
      <c r="BO61" s="521" t="str">
        <f>IFERROR(IF(données_step[[#This Row],[E_PTOT]]/données_step[[#This Row],[E_COT]]=0,NA(),données_step[[#This Row],[E_PTOT]]/données_step[[#This Row],[E_COT]]),"")</f>
        <v/>
      </c>
      <c r="BP61" s="521" t="e">
        <f>IF(données_step[[#This Row],[E_DCO]]/données_step[[#This Row],[E_COT]]=0,NA(),données_step[[#This Row],[E_DCO]]/données_step[[#This Row],[E_COT]])</f>
        <v>#DIV/0!</v>
      </c>
      <c r="BQ61" s="521" t="e">
        <f>IF(données_step[[#This Row],[E_NTOT]]/données_step[[#This Row],[E_DCO]]=0,NA(),données_step[[#This Row],[E_NTOT]]/données_step[[#This Row],[E_DCO]])</f>
        <v>#DIV/0!</v>
      </c>
      <c r="BR61" s="521" t="e">
        <f>IF(données_step[[#This Row],[E_PTOT]]/données_step[[#This Row],[E_DCO]]=0,NA(),données_step[[#This Row],[E_PTOT]]/données_step[[#This Row],[E_DCO]])</f>
        <v>#DIV/0!</v>
      </c>
      <c r="BS61" s="747" t="e">
        <f ca="1">test_NH4_temp(données_step[[#This Row],[S_NH4]],données_step[[#This Row],[Temp_eaux]])</f>
        <v>#NAME?</v>
      </c>
    </row>
    <row r="62" spans="1:71" x14ac:dyDescent="0.2">
      <c r="A62" s="222">
        <f>données_step[[#This Row],[Datum]]</f>
        <v>44613</v>
      </c>
      <c r="B62" s="223"/>
      <c r="C62" s="224">
        <f t="shared" si="0"/>
        <v>2</v>
      </c>
      <c r="D62" s="523" t="str">
        <f>IF(OR(données_step[[#This Row],[E_DBO5]]&lt;=0,données_step[[#This Row],[E_DBO5]]=""),"",données_step[[#This Row],[D_QTRAI]]*données_step[[#This Row],[E_DBO5]]/1000)</f>
        <v/>
      </c>
      <c r="E62" s="523" t="str">
        <f>IF(OR(données_step[[#This Row],[E_DCO]]&lt;=0,données_step[[#This Row],[E_DCO]]=""),"",données_step[[#This Row],[D_QTRAI]]*données_step[[#This Row],[E_DCO]]/1000)</f>
        <v/>
      </c>
      <c r="F62" s="523" t="str">
        <f>IF(OR(données_step[[#This Row],[E_COT]]&lt;=0,données_step[[#This Row],[E_COT]]=""),"",données_step[[#This Row],[D_QTRAI]]*données_step[[#This Row],[E_COT]]/1000)</f>
        <v/>
      </c>
      <c r="G62" s="523" t="str">
        <f>IF(OR(données_step[[#This Row],[E_NH4]]&lt;=0,données_step[[#This Row],[E_NH4]]=""),"",données_step[[#This Row],[D_QTRAI]]*données_step[[#This Row],[E_NH4]]/1000)</f>
        <v/>
      </c>
      <c r="H62" s="523" t="str">
        <f>IF(OR(données_step[[#This Row],[E_NTOT]]&lt;=0,données_step[[#This Row],[E_NTOT]]=""),"",données_step[[#This Row],[D_QTRAI]]*données_step[[#This Row],[E_NTOT]]/1000)</f>
        <v/>
      </c>
      <c r="I62" s="523" t="str">
        <f>IF(OR(données_step[[#This Row],[E_NTOT]]&lt;=0,données_step[[#This Row],[E_NTOT]]=""),"",données_step[[#This Row],[D_QTRAI]]*données_step[[#This Row],[E_PTOT]]/1000)</f>
        <v/>
      </c>
      <c r="J62" s="523" t="str">
        <f>IF(OR(données_step[[#This Row],[S_DBO5]]&lt;=0,données_step[[#This Row],[S_DBO5]]=""),"",données_step[[#This Row],[D_QTRAI]]*données_step[[#This Row],[S_DBO5]]/1000)</f>
        <v/>
      </c>
      <c r="K62" s="523" t="str">
        <f>IF(OR(données_step[[#This Row],[S_DCO]]&lt;=0,données_step[[#This Row],[S_DCO]]=""),"",données_step[[#This Row],[D_QTRAI]]*données_step[[#This Row],[S_DCO]]/1000)</f>
        <v/>
      </c>
      <c r="L62" s="523" t="str">
        <f>IF(OR(données_step[[#This Row],[S_COD]]&lt;=0,données_step[[#This Row],[S_COD]]=""),"",données_step[[#This Row],[D_QTRAI]]*données_step[[#This Row],[S_COD]]/1000)</f>
        <v/>
      </c>
      <c r="M62" s="523" t="str">
        <f>IF(OR(données_step[[#This Row],[S_NH4]]&lt;=0,données_step[[#This Row],[S_NH4]]=""),"",données_step[[#This Row],[D_QTRAI]]*données_step[[#This Row],[S_NH4]]/1000)</f>
        <v/>
      </c>
      <c r="N62" s="523" t="str">
        <f>IF(OR(données_step[[#This Row],[S_NO2]]&lt;=0,données_step[[#This Row],[S_NO2]]=""),"",données_step[[#This Row],[D_QTRAI]]*données_step[[#This Row],[S_NO2]]/1000)</f>
        <v/>
      </c>
      <c r="O62" s="523" t="str">
        <f>IF(OR(données_step[[#This Row],[S_NO3]]&lt;=0,données_step[[#This Row],[S_NO3]]=""),"",données_step[[#This Row],[D_QTRAI]]*données_step[[#This Row],[S_NO3]]/1000)</f>
        <v/>
      </c>
      <c r="P62" s="523" t="str">
        <f>IF(OR(données_step[[#This Row],[S_PTOT]]&lt;=0,données_step[[#This Row],[S_PTOT]]=""),"",données_step[[#This Row],[D_QTRAI]]*données_step[[#This Row],[S_PTOT]]/1000)</f>
        <v/>
      </c>
      <c r="Q62" s="523" t="str">
        <f>IF(OR(données_step[[#This Row],[S_MES]]&lt;=0,données_step[[#This Row],[S_MES]]=""),"",données_step[[#This Row],[D_QTRAI]]*données_step[[#This Row],[S_MES]]/1000)</f>
        <v/>
      </c>
      <c r="R62" s="523">
        <f>MAX(données_step[[#This Row],[D_QTRAI]],données_step[[#This Row],[D_QTRAI2]])</f>
        <v>0</v>
      </c>
      <c r="S62" s="523" t="str">
        <f>IF(AND($R62&gt;0,données_step[[#This Row],[E_DCO]]&gt;0),données_step[[#This Row],[E_DCO]],"")</f>
        <v/>
      </c>
      <c r="T62" s="523" t="str">
        <f>IF(S62="","",(1-données_step[[#This Row],[E_DCO]]/$V$7)*100)</f>
        <v/>
      </c>
      <c r="U62" s="523" t="str">
        <f t="shared" si="1"/>
        <v/>
      </c>
      <c r="V62" s="523" t="str">
        <f t="shared" si="2"/>
        <v/>
      </c>
      <c r="W62" s="523" t="str">
        <f t="shared" si="3"/>
        <v/>
      </c>
      <c r="X62" s="523" t="e">
        <f>IF(((100-100/$V$7*données_step[[#This Row],[E_DCO]])/100*QTS)&lt;0,NA(),IF(OR(U62&lt;0,U62=""),NA(),((100-100/$V$7*données_step[[#This Row],[E_DCO]])/100*QTS)))</f>
        <v>#NUM!</v>
      </c>
      <c r="Y62" s="523" t="str">
        <f>IF(AND($R62&gt;0,données_step[[#This Row],[E_COT]]&gt;0),données_step[[#This Row],[E_COT]],"")</f>
        <v/>
      </c>
      <c r="Z62" s="523" t="str">
        <f>IF(Y62="","",(1-données_step[[#This Row],[E_COT]]/$AB$7)*100)</f>
        <v/>
      </c>
      <c r="AA62" s="523" t="str">
        <f t="shared" si="4"/>
        <v/>
      </c>
      <c r="AB62" s="523" t="str">
        <f t="shared" si="5"/>
        <v/>
      </c>
      <c r="AC62" s="523" t="str">
        <f t="shared" si="6"/>
        <v/>
      </c>
      <c r="AD62" s="523" t="e">
        <f>IF(((100-100/$AB$7*données_step[[#This Row],[E_COT]])/100*QTS)&lt;0,NA(),IF(OR(AA62&lt;0,AA62=""),NA(),((100-100/$AB$7*données_step[[#This Row],[E_COT]])/100*QTS)))</f>
        <v>#NUM!</v>
      </c>
      <c r="AE62" s="523" t="str">
        <f>IF(AND($R62&gt;0,données_step[[#This Row],[E_NH4]]&gt;0),données_step[[#This Row],[E_NH4]],"")</f>
        <v/>
      </c>
      <c r="AF62" s="523" t="str">
        <f>IF(AE62="","",(1-données_step[[#This Row],[E_NH4]]/$AH$7)*100)</f>
        <v/>
      </c>
      <c r="AG62" s="523" t="str">
        <f t="shared" si="7"/>
        <v/>
      </c>
      <c r="AH62" s="523" t="str">
        <f t="shared" si="8"/>
        <v/>
      </c>
      <c r="AI62" s="523" t="str">
        <f t="shared" si="9"/>
        <v/>
      </c>
      <c r="AJ62" s="523" t="e">
        <f>IF(((100-100/$AH$7*données_step[[#This Row],[E_NH4]])/100*QTS)&lt;0,NA(),IF(OR(AG62&lt;0,AG62=""),NA(),((100-100/$AH$7*données_step[[#This Row],[E_NH4]])/100*QTS)))</f>
        <v>#NUM!</v>
      </c>
      <c r="AK62" s="523" t="str">
        <f>IF(AND($R62&gt;0,données_step[[#This Row],[E_PTOT]]&gt;0),données_step[[#This Row],[E_PTOT]],"")</f>
        <v/>
      </c>
      <c r="AL62" s="523" t="str">
        <f>IF(AK62="","",(1-données_step[[#This Row],[E_PTOT]]/$AN$7)*100)</f>
        <v/>
      </c>
      <c r="AM62" s="523" t="str">
        <f t="shared" si="10"/>
        <v/>
      </c>
      <c r="AN62" s="523" t="str">
        <f t="shared" si="11"/>
        <v/>
      </c>
      <c r="AO62" s="523" t="str">
        <f t="shared" si="12"/>
        <v/>
      </c>
      <c r="AP62" s="523" t="e">
        <f>IF(((100-100/$AN$7*données_step[[#This Row],[E_PTOT]])/100*QTS)&lt;0,NA(),IF(OR(AM62&lt;0,AM62=""),NA(),((100-100/$AN$7*données_step[[#This Row],[E_PTOT]])/100*QTS)))</f>
        <v>#NUM!</v>
      </c>
      <c r="AQ62" s="524" t="e">
        <f t="shared" si="13"/>
        <v>#NUM!</v>
      </c>
      <c r="AR62" s="524" t="str">
        <f t="shared" si="14"/>
        <v/>
      </c>
      <c r="AT62" s="517">
        <f t="shared" si="15"/>
        <v>0.51</v>
      </c>
      <c r="AU62" s="501">
        <f t="shared" si="16"/>
        <v>51</v>
      </c>
      <c r="AV62" s="525" t="e">
        <f>PERCENTILE(analyses!$F$11:$F$375,$AT62)</f>
        <v>#NUM!</v>
      </c>
      <c r="AW62" s="7" t="e">
        <f>PERCENTILE(analyses!$I$11:$I$375,$AT62)</f>
        <v>#NUM!</v>
      </c>
      <c r="AX62" s="7" t="e">
        <f>PERCENTILE(analyses!$J$11:$J$375,$AT62)</f>
        <v>#NUM!</v>
      </c>
      <c r="AY62" s="523" t="str">
        <f>_xlfn.IFNA(IF(données_step[[#This Row],[E_DCO]]&lt;=0,NA(),charge_entree[[#This Row],[ch_E_DCO]]/constanten!$B$8*1000),"")</f>
        <v/>
      </c>
      <c r="AZ62" s="523" t="str">
        <f>_xlfn.IFNA(IF(données_step[[#This Row],[E_NTOT]]&lt;=0,NA(),charge_entree[[#This Row],[ch_E_NTOT]]/constanten!$B$10*1000),"")</f>
        <v/>
      </c>
      <c r="BA62" s="523" t="str">
        <f>_xlfn.IFNA(IF(données_step[[#This Row],[E_NH4]]&lt;=0,NA(),charge_entree[[#This Row],[ch_E_NH4]]/constanten!$B$12*1000),"")</f>
        <v/>
      </c>
      <c r="BB62" s="523" t="str">
        <f>_xlfn.IFNA(IF(données_step[[#This Row],[E_COT]]&lt;=0,NA(),charge_entree[[#This Row],[ch_E_COT]]/constanten!$B$9*1000),"")</f>
        <v/>
      </c>
      <c r="BC62" s="523" t="str">
        <f>IFERROR(_xlfn.IFNA(IF(données_step[[#This Row],[E_PTOT]]&lt;=0,NA(),charge_entree[[#This Row],[ch_E_PTOT]]/constanten!$B$15*1000),""),"")</f>
        <v/>
      </c>
      <c r="BD62" s="535" t="e">
        <f>calculs!E62 * (1-0.4) / (données_step[[#This Row],[X_BA_VOL]]*données_step[[#This Row],[X_BACONC]])</f>
        <v>#VALUE!</v>
      </c>
      <c r="BE62" s="522" t="e">
        <f>(données_step[[#This Row],[X_BA_VOL]]*données_step[[#This Row],[X_BACONC]])/((données_step[[#This Row],[D_QTRAI2]]*données_step[[#This Row],[S_MES]]/1000)+(données_step[[#This Row],[X_BX_Q]]*données_step[[#This Row],[X_BXCONC]]))</f>
        <v>#VALUE!</v>
      </c>
      <c r="BF62" s="890" t="str">
        <f>IFERROR(données_step[[#This Row],[D_QTRAI]]/AY62*1000,"")</f>
        <v/>
      </c>
      <c r="BG62" s="535" t="str">
        <f>IFERROR(1-données_step[[#This Row],[S_DBO5]]/données_step[[#This Row],[E_DBO5]],"")</f>
        <v/>
      </c>
      <c r="BH62" s="536" t="str">
        <f>IFERROR(1-données_step[[#This Row],[S_DCO]]/données_step[[#This Row],[E_DCO]],"")</f>
        <v/>
      </c>
      <c r="BI62" s="535" t="str">
        <f>IFERROR(1-données_step[[#This Row],[S_COD]]/données_step[[#This Row],[E_COT]],"")</f>
        <v/>
      </c>
      <c r="BJ62" s="535" t="str">
        <f>IFERROR(1-données_step[[#This Row],[S_NH4]]/données_step[[#This Row],[E_NTOT]],"")</f>
        <v/>
      </c>
      <c r="BK62" s="535" t="str">
        <f>IFERROR(1-données_step[[#This Row],[S_PTOT]]/données_step[[#This Row],[E_PTOT]],"")</f>
        <v/>
      </c>
      <c r="BL62" s="521" t="str">
        <f>IFERROR(IF(données_step[[#This Row],[E_DCO]]/données_step[[#This Row],[E_DBO5]]=0,NA(),données_step[[#This Row],[E_DCO]]/données_step[[#This Row],[E_DBO5]]),"")</f>
        <v/>
      </c>
      <c r="BM62" s="521" t="str">
        <f>IFERROR(IF(données_step[[#This Row],[E_NH4]]/données_step[[#This Row],[E_NTOT]]=0,NA(),données_step[[#This Row],[E_NH4]]/données_step[[#This Row],[E_NTOT]]),"")</f>
        <v/>
      </c>
      <c r="BN62" s="521" t="str">
        <f>IFERROR(IF(données_step[[#This Row],[E_NTOT]]/données_step[[#This Row],[E_COT]]=0,NA(),données_step[[#This Row],[E_NTOT]]/données_step[[#This Row],[E_COT]]),"")</f>
        <v/>
      </c>
      <c r="BO62" s="521" t="str">
        <f>IFERROR(IF(données_step[[#This Row],[E_PTOT]]/données_step[[#This Row],[E_COT]]=0,NA(),données_step[[#This Row],[E_PTOT]]/données_step[[#This Row],[E_COT]]),"")</f>
        <v/>
      </c>
      <c r="BP62" s="521" t="e">
        <f>IF(données_step[[#This Row],[E_DCO]]/données_step[[#This Row],[E_COT]]=0,NA(),données_step[[#This Row],[E_DCO]]/données_step[[#This Row],[E_COT]])</f>
        <v>#DIV/0!</v>
      </c>
      <c r="BQ62" s="521" t="e">
        <f>IF(données_step[[#This Row],[E_NTOT]]/données_step[[#This Row],[E_DCO]]=0,NA(),données_step[[#This Row],[E_NTOT]]/données_step[[#This Row],[E_DCO]])</f>
        <v>#DIV/0!</v>
      </c>
      <c r="BR62" s="521" t="e">
        <f>IF(données_step[[#This Row],[E_PTOT]]/données_step[[#This Row],[E_DCO]]=0,NA(),données_step[[#This Row],[E_PTOT]]/données_step[[#This Row],[E_DCO]])</f>
        <v>#DIV/0!</v>
      </c>
      <c r="BS62" s="747" t="e">
        <f ca="1">test_NH4_temp(données_step[[#This Row],[S_NH4]],données_step[[#This Row],[Temp_eaux]])</f>
        <v>#NAME?</v>
      </c>
    </row>
    <row r="63" spans="1:71" x14ac:dyDescent="0.2">
      <c r="A63" s="222">
        <f>données_step[[#This Row],[Datum]]</f>
        <v>44614</v>
      </c>
      <c r="B63" s="223"/>
      <c r="C63" s="224">
        <f t="shared" si="0"/>
        <v>3</v>
      </c>
      <c r="D63" s="523" t="str">
        <f>IF(OR(données_step[[#This Row],[E_DBO5]]&lt;=0,données_step[[#This Row],[E_DBO5]]=""),"",données_step[[#This Row],[D_QTRAI]]*données_step[[#This Row],[E_DBO5]]/1000)</f>
        <v/>
      </c>
      <c r="E63" s="523" t="str">
        <f>IF(OR(données_step[[#This Row],[E_DCO]]&lt;=0,données_step[[#This Row],[E_DCO]]=""),"",données_step[[#This Row],[D_QTRAI]]*données_step[[#This Row],[E_DCO]]/1000)</f>
        <v/>
      </c>
      <c r="F63" s="523" t="str">
        <f>IF(OR(données_step[[#This Row],[E_COT]]&lt;=0,données_step[[#This Row],[E_COT]]=""),"",données_step[[#This Row],[D_QTRAI]]*données_step[[#This Row],[E_COT]]/1000)</f>
        <v/>
      </c>
      <c r="G63" s="523" t="str">
        <f>IF(OR(données_step[[#This Row],[E_NH4]]&lt;=0,données_step[[#This Row],[E_NH4]]=""),"",données_step[[#This Row],[D_QTRAI]]*données_step[[#This Row],[E_NH4]]/1000)</f>
        <v/>
      </c>
      <c r="H63" s="523" t="str">
        <f>IF(OR(données_step[[#This Row],[E_NTOT]]&lt;=0,données_step[[#This Row],[E_NTOT]]=""),"",données_step[[#This Row],[D_QTRAI]]*données_step[[#This Row],[E_NTOT]]/1000)</f>
        <v/>
      </c>
      <c r="I63" s="523" t="str">
        <f>IF(OR(données_step[[#This Row],[E_NTOT]]&lt;=0,données_step[[#This Row],[E_NTOT]]=""),"",données_step[[#This Row],[D_QTRAI]]*données_step[[#This Row],[E_PTOT]]/1000)</f>
        <v/>
      </c>
      <c r="J63" s="523" t="str">
        <f>IF(OR(données_step[[#This Row],[S_DBO5]]&lt;=0,données_step[[#This Row],[S_DBO5]]=""),"",données_step[[#This Row],[D_QTRAI]]*données_step[[#This Row],[S_DBO5]]/1000)</f>
        <v/>
      </c>
      <c r="K63" s="523" t="str">
        <f>IF(OR(données_step[[#This Row],[S_DCO]]&lt;=0,données_step[[#This Row],[S_DCO]]=""),"",données_step[[#This Row],[D_QTRAI]]*données_step[[#This Row],[S_DCO]]/1000)</f>
        <v/>
      </c>
      <c r="L63" s="523" t="str">
        <f>IF(OR(données_step[[#This Row],[S_COD]]&lt;=0,données_step[[#This Row],[S_COD]]=""),"",données_step[[#This Row],[D_QTRAI]]*données_step[[#This Row],[S_COD]]/1000)</f>
        <v/>
      </c>
      <c r="M63" s="523" t="str">
        <f>IF(OR(données_step[[#This Row],[S_NH4]]&lt;=0,données_step[[#This Row],[S_NH4]]=""),"",données_step[[#This Row],[D_QTRAI]]*données_step[[#This Row],[S_NH4]]/1000)</f>
        <v/>
      </c>
      <c r="N63" s="523" t="str">
        <f>IF(OR(données_step[[#This Row],[S_NO2]]&lt;=0,données_step[[#This Row],[S_NO2]]=""),"",données_step[[#This Row],[D_QTRAI]]*données_step[[#This Row],[S_NO2]]/1000)</f>
        <v/>
      </c>
      <c r="O63" s="523" t="str">
        <f>IF(OR(données_step[[#This Row],[S_NO3]]&lt;=0,données_step[[#This Row],[S_NO3]]=""),"",données_step[[#This Row],[D_QTRAI]]*données_step[[#This Row],[S_NO3]]/1000)</f>
        <v/>
      </c>
      <c r="P63" s="523" t="str">
        <f>IF(OR(données_step[[#This Row],[S_PTOT]]&lt;=0,données_step[[#This Row],[S_PTOT]]=""),"",données_step[[#This Row],[D_QTRAI]]*données_step[[#This Row],[S_PTOT]]/1000)</f>
        <v/>
      </c>
      <c r="Q63" s="523" t="str">
        <f>IF(OR(données_step[[#This Row],[S_MES]]&lt;=0,données_step[[#This Row],[S_MES]]=""),"",données_step[[#This Row],[D_QTRAI]]*données_step[[#This Row],[S_MES]]/1000)</f>
        <v/>
      </c>
      <c r="R63" s="523">
        <f>MAX(données_step[[#This Row],[D_QTRAI]],données_step[[#This Row],[D_QTRAI2]])</f>
        <v>0</v>
      </c>
      <c r="S63" s="523" t="str">
        <f>IF(AND($R63&gt;0,données_step[[#This Row],[E_DCO]]&gt;0),données_step[[#This Row],[E_DCO]],"")</f>
        <v/>
      </c>
      <c r="T63" s="523" t="str">
        <f>IF(S63="","",(1-données_step[[#This Row],[E_DCO]]/$V$7)*100)</f>
        <v/>
      </c>
      <c r="U63" s="523" t="str">
        <f t="shared" si="1"/>
        <v/>
      </c>
      <c r="V63" s="523" t="str">
        <f t="shared" si="2"/>
        <v/>
      </c>
      <c r="W63" s="523" t="str">
        <f t="shared" si="3"/>
        <v/>
      </c>
      <c r="X63" s="523" t="e">
        <f>IF(((100-100/$V$7*données_step[[#This Row],[E_DCO]])/100*QTS)&lt;0,NA(),IF(OR(U63&lt;0,U63=""),NA(),((100-100/$V$7*données_step[[#This Row],[E_DCO]])/100*QTS)))</f>
        <v>#NUM!</v>
      </c>
      <c r="Y63" s="523" t="str">
        <f>IF(AND($R63&gt;0,données_step[[#This Row],[E_COT]]&gt;0),données_step[[#This Row],[E_COT]],"")</f>
        <v/>
      </c>
      <c r="Z63" s="523" t="str">
        <f>IF(Y63="","",(1-données_step[[#This Row],[E_COT]]/$AB$7)*100)</f>
        <v/>
      </c>
      <c r="AA63" s="523" t="str">
        <f t="shared" si="4"/>
        <v/>
      </c>
      <c r="AB63" s="523" t="str">
        <f t="shared" si="5"/>
        <v/>
      </c>
      <c r="AC63" s="523" t="str">
        <f t="shared" si="6"/>
        <v/>
      </c>
      <c r="AD63" s="523" t="e">
        <f>IF(((100-100/$AB$7*données_step[[#This Row],[E_COT]])/100*QTS)&lt;0,NA(),IF(OR(AA63&lt;0,AA63=""),NA(),((100-100/$AB$7*données_step[[#This Row],[E_COT]])/100*QTS)))</f>
        <v>#NUM!</v>
      </c>
      <c r="AE63" s="523" t="str">
        <f>IF(AND($R63&gt;0,données_step[[#This Row],[E_NH4]]&gt;0),données_step[[#This Row],[E_NH4]],"")</f>
        <v/>
      </c>
      <c r="AF63" s="523" t="str">
        <f>IF(AE63="","",(1-données_step[[#This Row],[E_NH4]]/$AH$7)*100)</f>
        <v/>
      </c>
      <c r="AG63" s="523" t="str">
        <f t="shared" si="7"/>
        <v/>
      </c>
      <c r="AH63" s="523" t="str">
        <f t="shared" si="8"/>
        <v/>
      </c>
      <c r="AI63" s="523" t="str">
        <f t="shared" si="9"/>
        <v/>
      </c>
      <c r="AJ63" s="523" t="e">
        <f>IF(((100-100/$AH$7*données_step[[#This Row],[E_NH4]])/100*QTS)&lt;0,NA(),IF(OR(AG63&lt;0,AG63=""),NA(),((100-100/$AH$7*données_step[[#This Row],[E_NH4]])/100*QTS)))</f>
        <v>#NUM!</v>
      </c>
      <c r="AK63" s="523" t="str">
        <f>IF(AND($R63&gt;0,données_step[[#This Row],[E_PTOT]]&gt;0),données_step[[#This Row],[E_PTOT]],"")</f>
        <v/>
      </c>
      <c r="AL63" s="523" t="str">
        <f>IF(AK63="","",(1-données_step[[#This Row],[E_PTOT]]/$AN$7)*100)</f>
        <v/>
      </c>
      <c r="AM63" s="523" t="str">
        <f t="shared" si="10"/>
        <v/>
      </c>
      <c r="AN63" s="523" t="str">
        <f t="shared" si="11"/>
        <v/>
      </c>
      <c r="AO63" s="523" t="str">
        <f t="shared" si="12"/>
        <v/>
      </c>
      <c r="AP63" s="523" t="e">
        <f>IF(((100-100/$AN$7*données_step[[#This Row],[E_PTOT]])/100*QTS)&lt;0,NA(),IF(OR(AM63&lt;0,AM63=""),NA(),((100-100/$AN$7*données_step[[#This Row],[E_PTOT]])/100*QTS)))</f>
        <v>#NUM!</v>
      </c>
      <c r="AQ63" s="524" t="e">
        <f t="shared" si="13"/>
        <v>#NUM!</v>
      </c>
      <c r="AR63" s="524" t="str">
        <f t="shared" si="14"/>
        <v/>
      </c>
      <c r="AT63" s="517">
        <f t="shared" si="15"/>
        <v>0.52</v>
      </c>
      <c r="AU63" s="501">
        <f t="shared" si="16"/>
        <v>52</v>
      </c>
      <c r="AV63" s="525" t="e">
        <f>PERCENTILE(analyses!$F$11:$F$375,$AT63)</f>
        <v>#NUM!</v>
      </c>
      <c r="AW63" s="7" t="e">
        <f>PERCENTILE(analyses!$I$11:$I$375,$AT63)</f>
        <v>#NUM!</v>
      </c>
      <c r="AX63" s="7" t="e">
        <f>PERCENTILE(analyses!$J$11:$J$375,$AT63)</f>
        <v>#NUM!</v>
      </c>
      <c r="AY63" s="523" t="str">
        <f>_xlfn.IFNA(IF(données_step[[#This Row],[E_DCO]]&lt;=0,NA(),charge_entree[[#This Row],[ch_E_DCO]]/constanten!$B$8*1000),"")</f>
        <v/>
      </c>
      <c r="AZ63" s="523" t="str">
        <f>_xlfn.IFNA(IF(données_step[[#This Row],[E_NTOT]]&lt;=0,NA(),charge_entree[[#This Row],[ch_E_NTOT]]/constanten!$B$10*1000),"")</f>
        <v/>
      </c>
      <c r="BA63" s="523" t="str">
        <f>_xlfn.IFNA(IF(données_step[[#This Row],[E_NH4]]&lt;=0,NA(),charge_entree[[#This Row],[ch_E_NH4]]/constanten!$B$12*1000),"")</f>
        <v/>
      </c>
      <c r="BB63" s="523" t="str">
        <f>_xlfn.IFNA(IF(données_step[[#This Row],[E_COT]]&lt;=0,NA(),charge_entree[[#This Row],[ch_E_COT]]/constanten!$B$9*1000),"")</f>
        <v/>
      </c>
      <c r="BC63" s="523" t="str">
        <f>IFERROR(_xlfn.IFNA(IF(données_step[[#This Row],[E_PTOT]]&lt;=0,NA(),charge_entree[[#This Row],[ch_E_PTOT]]/constanten!$B$15*1000),""),"")</f>
        <v/>
      </c>
      <c r="BD63" s="535" t="e">
        <f>calculs!E63 * (1-0.4) / (données_step[[#This Row],[X_BA_VOL]]*données_step[[#This Row],[X_BACONC]])</f>
        <v>#VALUE!</v>
      </c>
      <c r="BE63" s="522" t="e">
        <f>(données_step[[#This Row],[X_BA_VOL]]*données_step[[#This Row],[X_BACONC]])/((données_step[[#This Row],[D_QTRAI2]]*données_step[[#This Row],[S_MES]]/1000)+(données_step[[#This Row],[X_BX_Q]]*données_step[[#This Row],[X_BXCONC]]))</f>
        <v>#VALUE!</v>
      </c>
      <c r="BF63" s="890" t="str">
        <f>IFERROR(données_step[[#This Row],[D_QTRAI]]/AY63*1000,"")</f>
        <v/>
      </c>
      <c r="BG63" s="535" t="str">
        <f>IFERROR(1-données_step[[#This Row],[S_DBO5]]/données_step[[#This Row],[E_DBO5]],"")</f>
        <v/>
      </c>
      <c r="BH63" s="536" t="str">
        <f>IFERROR(1-données_step[[#This Row],[S_DCO]]/données_step[[#This Row],[E_DCO]],"")</f>
        <v/>
      </c>
      <c r="BI63" s="535" t="str">
        <f>IFERROR(1-données_step[[#This Row],[S_COD]]/données_step[[#This Row],[E_COT]],"")</f>
        <v/>
      </c>
      <c r="BJ63" s="535" t="str">
        <f>IFERROR(1-données_step[[#This Row],[S_NH4]]/données_step[[#This Row],[E_NTOT]],"")</f>
        <v/>
      </c>
      <c r="BK63" s="535" t="str">
        <f>IFERROR(1-données_step[[#This Row],[S_PTOT]]/données_step[[#This Row],[E_PTOT]],"")</f>
        <v/>
      </c>
      <c r="BL63" s="521" t="str">
        <f>IFERROR(IF(données_step[[#This Row],[E_DCO]]/données_step[[#This Row],[E_DBO5]]=0,NA(),données_step[[#This Row],[E_DCO]]/données_step[[#This Row],[E_DBO5]]),"")</f>
        <v/>
      </c>
      <c r="BM63" s="521" t="str">
        <f>IFERROR(IF(données_step[[#This Row],[E_NH4]]/données_step[[#This Row],[E_NTOT]]=0,NA(),données_step[[#This Row],[E_NH4]]/données_step[[#This Row],[E_NTOT]]),"")</f>
        <v/>
      </c>
      <c r="BN63" s="521" t="str">
        <f>IFERROR(IF(données_step[[#This Row],[E_NTOT]]/données_step[[#This Row],[E_COT]]=0,NA(),données_step[[#This Row],[E_NTOT]]/données_step[[#This Row],[E_COT]]),"")</f>
        <v/>
      </c>
      <c r="BO63" s="521" t="str">
        <f>IFERROR(IF(données_step[[#This Row],[E_PTOT]]/données_step[[#This Row],[E_COT]]=0,NA(),données_step[[#This Row],[E_PTOT]]/données_step[[#This Row],[E_COT]]),"")</f>
        <v/>
      </c>
      <c r="BP63" s="521" t="e">
        <f>IF(données_step[[#This Row],[E_DCO]]/données_step[[#This Row],[E_COT]]=0,NA(),données_step[[#This Row],[E_DCO]]/données_step[[#This Row],[E_COT]])</f>
        <v>#DIV/0!</v>
      </c>
      <c r="BQ63" s="521" t="e">
        <f>IF(données_step[[#This Row],[E_NTOT]]/données_step[[#This Row],[E_DCO]]=0,NA(),données_step[[#This Row],[E_NTOT]]/données_step[[#This Row],[E_DCO]])</f>
        <v>#DIV/0!</v>
      </c>
      <c r="BR63" s="521" t="e">
        <f>IF(données_step[[#This Row],[E_PTOT]]/données_step[[#This Row],[E_DCO]]=0,NA(),données_step[[#This Row],[E_PTOT]]/données_step[[#This Row],[E_DCO]])</f>
        <v>#DIV/0!</v>
      </c>
      <c r="BS63" s="747" t="e">
        <f ca="1">test_NH4_temp(données_step[[#This Row],[S_NH4]],données_step[[#This Row],[Temp_eaux]])</f>
        <v>#NAME?</v>
      </c>
    </row>
    <row r="64" spans="1:71" x14ac:dyDescent="0.2">
      <c r="A64" s="222">
        <f>données_step[[#This Row],[Datum]]</f>
        <v>44615</v>
      </c>
      <c r="B64" s="223"/>
      <c r="C64" s="224">
        <f t="shared" si="0"/>
        <v>4</v>
      </c>
      <c r="D64" s="523" t="str">
        <f>IF(OR(données_step[[#This Row],[E_DBO5]]&lt;=0,données_step[[#This Row],[E_DBO5]]=""),"",données_step[[#This Row],[D_QTRAI]]*données_step[[#This Row],[E_DBO5]]/1000)</f>
        <v/>
      </c>
      <c r="E64" s="523" t="str">
        <f>IF(OR(données_step[[#This Row],[E_DCO]]&lt;=0,données_step[[#This Row],[E_DCO]]=""),"",données_step[[#This Row],[D_QTRAI]]*données_step[[#This Row],[E_DCO]]/1000)</f>
        <v/>
      </c>
      <c r="F64" s="523" t="str">
        <f>IF(OR(données_step[[#This Row],[E_COT]]&lt;=0,données_step[[#This Row],[E_COT]]=""),"",données_step[[#This Row],[D_QTRAI]]*données_step[[#This Row],[E_COT]]/1000)</f>
        <v/>
      </c>
      <c r="G64" s="523" t="str">
        <f>IF(OR(données_step[[#This Row],[E_NH4]]&lt;=0,données_step[[#This Row],[E_NH4]]=""),"",données_step[[#This Row],[D_QTRAI]]*données_step[[#This Row],[E_NH4]]/1000)</f>
        <v/>
      </c>
      <c r="H64" s="523" t="str">
        <f>IF(OR(données_step[[#This Row],[E_NTOT]]&lt;=0,données_step[[#This Row],[E_NTOT]]=""),"",données_step[[#This Row],[D_QTRAI]]*données_step[[#This Row],[E_NTOT]]/1000)</f>
        <v/>
      </c>
      <c r="I64" s="523" t="str">
        <f>IF(OR(données_step[[#This Row],[E_NTOT]]&lt;=0,données_step[[#This Row],[E_NTOT]]=""),"",données_step[[#This Row],[D_QTRAI]]*données_step[[#This Row],[E_PTOT]]/1000)</f>
        <v/>
      </c>
      <c r="J64" s="523" t="str">
        <f>IF(OR(données_step[[#This Row],[S_DBO5]]&lt;=0,données_step[[#This Row],[S_DBO5]]=""),"",données_step[[#This Row],[D_QTRAI]]*données_step[[#This Row],[S_DBO5]]/1000)</f>
        <v/>
      </c>
      <c r="K64" s="523" t="str">
        <f>IF(OR(données_step[[#This Row],[S_DCO]]&lt;=0,données_step[[#This Row],[S_DCO]]=""),"",données_step[[#This Row],[D_QTRAI]]*données_step[[#This Row],[S_DCO]]/1000)</f>
        <v/>
      </c>
      <c r="L64" s="523" t="str">
        <f>IF(OR(données_step[[#This Row],[S_COD]]&lt;=0,données_step[[#This Row],[S_COD]]=""),"",données_step[[#This Row],[D_QTRAI]]*données_step[[#This Row],[S_COD]]/1000)</f>
        <v/>
      </c>
      <c r="M64" s="523" t="str">
        <f>IF(OR(données_step[[#This Row],[S_NH4]]&lt;=0,données_step[[#This Row],[S_NH4]]=""),"",données_step[[#This Row],[D_QTRAI]]*données_step[[#This Row],[S_NH4]]/1000)</f>
        <v/>
      </c>
      <c r="N64" s="523" t="str">
        <f>IF(OR(données_step[[#This Row],[S_NO2]]&lt;=0,données_step[[#This Row],[S_NO2]]=""),"",données_step[[#This Row],[D_QTRAI]]*données_step[[#This Row],[S_NO2]]/1000)</f>
        <v/>
      </c>
      <c r="O64" s="523" t="str">
        <f>IF(OR(données_step[[#This Row],[S_NO3]]&lt;=0,données_step[[#This Row],[S_NO3]]=""),"",données_step[[#This Row],[D_QTRAI]]*données_step[[#This Row],[S_NO3]]/1000)</f>
        <v/>
      </c>
      <c r="P64" s="523" t="str">
        <f>IF(OR(données_step[[#This Row],[S_PTOT]]&lt;=0,données_step[[#This Row],[S_PTOT]]=""),"",données_step[[#This Row],[D_QTRAI]]*données_step[[#This Row],[S_PTOT]]/1000)</f>
        <v/>
      </c>
      <c r="Q64" s="523" t="str">
        <f>IF(OR(données_step[[#This Row],[S_MES]]&lt;=0,données_step[[#This Row],[S_MES]]=""),"",données_step[[#This Row],[D_QTRAI]]*données_step[[#This Row],[S_MES]]/1000)</f>
        <v/>
      </c>
      <c r="R64" s="523">
        <f>MAX(données_step[[#This Row],[D_QTRAI]],données_step[[#This Row],[D_QTRAI2]])</f>
        <v>0</v>
      </c>
      <c r="S64" s="523" t="str">
        <f>IF(AND($R64&gt;0,données_step[[#This Row],[E_DCO]]&gt;0),données_step[[#This Row],[E_DCO]],"")</f>
        <v/>
      </c>
      <c r="T64" s="523" t="str">
        <f>IF(S64="","",(1-données_step[[#This Row],[E_DCO]]/$V$7)*100)</f>
        <v/>
      </c>
      <c r="U64" s="523" t="str">
        <f t="shared" si="1"/>
        <v/>
      </c>
      <c r="V64" s="523" t="str">
        <f t="shared" si="2"/>
        <v/>
      </c>
      <c r="W64" s="523" t="str">
        <f t="shared" si="3"/>
        <v/>
      </c>
      <c r="X64" s="523" t="e">
        <f>IF(((100-100/$V$7*données_step[[#This Row],[E_DCO]])/100*QTS)&lt;0,NA(),IF(OR(U64&lt;0,U64=""),NA(),((100-100/$V$7*données_step[[#This Row],[E_DCO]])/100*QTS)))</f>
        <v>#NUM!</v>
      </c>
      <c r="Y64" s="523" t="str">
        <f>IF(AND($R64&gt;0,données_step[[#This Row],[E_COT]]&gt;0),données_step[[#This Row],[E_COT]],"")</f>
        <v/>
      </c>
      <c r="Z64" s="523" t="str">
        <f>IF(Y64="","",(1-données_step[[#This Row],[E_COT]]/$AB$7)*100)</f>
        <v/>
      </c>
      <c r="AA64" s="523" t="str">
        <f t="shared" si="4"/>
        <v/>
      </c>
      <c r="AB64" s="523" t="str">
        <f t="shared" si="5"/>
        <v/>
      </c>
      <c r="AC64" s="523" t="str">
        <f t="shared" si="6"/>
        <v/>
      </c>
      <c r="AD64" s="523" t="e">
        <f>IF(((100-100/$AB$7*données_step[[#This Row],[E_COT]])/100*QTS)&lt;0,NA(),IF(OR(AA64&lt;0,AA64=""),NA(),((100-100/$AB$7*données_step[[#This Row],[E_COT]])/100*QTS)))</f>
        <v>#NUM!</v>
      </c>
      <c r="AE64" s="523" t="str">
        <f>IF(AND($R64&gt;0,données_step[[#This Row],[E_NH4]]&gt;0),données_step[[#This Row],[E_NH4]],"")</f>
        <v/>
      </c>
      <c r="AF64" s="523" t="str">
        <f>IF(AE64="","",(1-données_step[[#This Row],[E_NH4]]/$AH$7)*100)</f>
        <v/>
      </c>
      <c r="AG64" s="523" t="str">
        <f t="shared" si="7"/>
        <v/>
      </c>
      <c r="AH64" s="523" t="str">
        <f t="shared" si="8"/>
        <v/>
      </c>
      <c r="AI64" s="523" t="str">
        <f t="shared" si="9"/>
        <v/>
      </c>
      <c r="AJ64" s="523" t="e">
        <f>IF(((100-100/$AH$7*données_step[[#This Row],[E_NH4]])/100*QTS)&lt;0,NA(),IF(OR(AG64&lt;0,AG64=""),NA(),((100-100/$AH$7*données_step[[#This Row],[E_NH4]])/100*QTS)))</f>
        <v>#NUM!</v>
      </c>
      <c r="AK64" s="523" t="str">
        <f>IF(AND($R64&gt;0,données_step[[#This Row],[E_PTOT]]&gt;0),données_step[[#This Row],[E_PTOT]],"")</f>
        <v/>
      </c>
      <c r="AL64" s="523" t="str">
        <f>IF(AK64="","",(1-données_step[[#This Row],[E_PTOT]]/$AN$7)*100)</f>
        <v/>
      </c>
      <c r="AM64" s="523" t="str">
        <f t="shared" si="10"/>
        <v/>
      </c>
      <c r="AN64" s="523" t="str">
        <f t="shared" si="11"/>
        <v/>
      </c>
      <c r="AO64" s="523" t="str">
        <f t="shared" si="12"/>
        <v/>
      </c>
      <c r="AP64" s="523" t="e">
        <f>IF(((100-100/$AN$7*données_step[[#This Row],[E_PTOT]])/100*QTS)&lt;0,NA(),IF(OR(AM64&lt;0,AM64=""),NA(),((100-100/$AN$7*données_step[[#This Row],[E_PTOT]])/100*QTS)))</f>
        <v>#NUM!</v>
      </c>
      <c r="AQ64" s="524" t="e">
        <f t="shared" si="13"/>
        <v>#NUM!</v>
      </c>
      <c r="AR64" s="524" t="str">
        <f t="shared" si="14"/>
        <v/>
      </c>
      <c r="AT64" s="517">
        <f t="shared" si="15"/>
        <v>0.53</v>
      </c>
      <c r="AU64" s="501">
        <f t="shared" si="16"/>
        <v>53</v>
      </c>
      <c r="AV64" s="525" t="e">
        <f>PERCENTILE(analyses!$F$11:$F$375,$AT64)</f>
        <v>#NUM!</v>
      </c>
      <c r="AW64" s="7" t="e">
        <f>PERCENTILE(analyses!$I$11:$I$375,$AT64)</f>
        <v>#NUM!</v>
      </c>
      <c r="AX64" s="7" t="e">
        <f>PERCENTILE(analyses!$J$11:$J$375,$AT64)</f>
        <v>#NUM!</v>
      </c>
      <c r="AY64" s="523" t="str">
        <f>_xlfn.IFNA(IF(données_step[[#This Row],[E_DCO]]&lt;=0,NA(),charge_entree[[#This Row],[ch_E_DCO]]/constanten!$B$8*1000),"")</f>
        <v/>
      </c>
      <c r="AZ64" s="523" t="str">
        <f>_xlfn.IFNA(IF(données_step[[#This Row],[E_NTOT]]&lt;=0,NA(),charge_entree[[#This Row],[ch_E_NTOT]]/constanten!$B$10*1000),"")</f>
        <v/>
      </c>
      <c r="BA64" s="523" t="str">
        <f>_xlfn.IFNA(IF(données_step[[#This Row],[E_NH4]]&lt;=0,NA(),charge_entree[[#This Row],[ch_E_NH4]]/constanten!$B$12*1000),"")</f>
        <v/>
      </c>
      <c r="BB64" s="523" t="str">
        <f>_xlfn.IFNA(IF(données_step[[#This Row],[E_COT]]&lt;=0,NA(),charge_entree[[#This Row],[ch_E_COT]]/constanten!$B$9*1000),"")</f>
        <v/>
      </c>
      <c r="BC64" s="523" t="str">
        <f>IFERROR(_xlfn.IFNA(IF(données_step[[#This Row],[E_PTOT]]&lt;=0,NA(),charge_entree[[#This Row],[ch_E_PTOT]]/constanten!$B$15*1000),""),"")</f>
        <v/>
      </c>
      <c r="BD64" s="535" t="e">
        <f>calculs!E64 * (1-0.4) / (données_step[[#This Row],[X_BA_VOL]]*données_step[[#This Row],[X_BACONC]])</f>
        <v>#VALUE!</v>
      </c>
      <c r="BE64" s="522" t="e">
        <f>(données_step[[#This Row],[X_BA_VOL]]*données_step[[#This Row],[X_BACONC]])/((données_step[[#This Row],[D_QTRAI2]]*données_step[[#This Row],[S_MES]]/1000)+(données_step[[#This Row],[X_BX_Q]]*données_step[[#This Row],[X_BXCONC]]))</f>
        <v>#VALUE!</v>
      </c>
      <c r="BF64" s="890" t="str">
        <f>IFERROR(données_step[[#This Row],[D_QTRAI]]/AY64*1000,"")</f>
        <v/>
      </c>
      <c r="BG64" s="535" t="str">
        <f>IFERROR(1-données_step[[#This Row],[S_DBO5]]/données_step[[#This Row],[E_DBO5]],"")</f>
        <v/>
      </c>
      <c r="BH64" s="536" t="str">
        <f>IFERROR(1-données_step[[#This Row],[S_DCO]]/données_step[[#This Row],[E_DCO]],"")</f>
        <v/>
      </c>
      <c r="BI64" s="535" t="str">
        <f>IFERROR(1-données_step[[#This Row],[S_COD]]/données_step[[#This Row],[E_COT]],"")</f>
        <v/>
      </c>
      <c r="BJ64" s="535" t="str">
        <f>IFERROR(1-données_step[[#This Row],[S_NH4]]/données_step[[#This Row],[E_NTOT]],"")</f>
        <v/>
      </c>
      <c r="BK64" s="535" t="str">
        <f>IFERROR(1-données_step[[#This Row],[S_PTOT]]/données_step[[#This Row],[E_PTOT]],"")</f>
        <v/>
      </c>
      <c r="BL64" s="521" t="str">
        <f>IFERROR(IF(données_step[[#This Row],[E_DCO]]/données_step[[#This Row],[E_DBO5]]=0,NA(),données_step[[#This Row],[E_DCO]]/données_step[[#This Row],[E_DBO5]]),"")</f>
        <v/>
      </c>
      <c r="BM64" s="521" t="str">
        <f>IFERROR(IF(données_step[[#This Row],[E_NH4]]/données_step[[#This Row],[E_NTOT]]=0,NA(),données_step[[#This Row],[E_NH4]]/données_step[[#This Row],[E_NTOT]]),"")</f>
        <v/>
      </c>
      <c r="BN64" s="521" t="str">
        <f>IFERROR(IF(données_step[[#This Row],[E_NTOT]]/données_step[[#This Row],[E_COT]]=0,NA(),données_step[[#This Row],[E_NTOT]]/données_step[[#This Row],[E_COT]]),"")</f>
        <v/>
      </c>
      <c r="BO64" s="521" t="str">
        <f>IFERROR(IF(données_step[[#This Row],[E_PTOT]]/données_step[[#This Row],[E_COT]]=0,NA(),données_step[[#This Row],[E_PTOT]]/données_step[[#This Row],[E_COT]]),"")</f>
        <v/>
      </c>
      <c r="BP64" s="521" t="e">
        <f>IF(données_step[[#This Row],[E_DCO]]/données_step[[#This Row],[E_COT]]=0,NA(),données_step[[#This Row],[E_DCO]]/données_step[[#This Row],[E_COT]])</f>
        <v>#DIV/0!</v>
      </c>
      <c r="BQ64" s="521" t="e">
        <f>IF(données_step[[#This Row],[E_NTOT]]/données_step[[#This Row],[E_DCO]]=0,NA(),données_step[[#This Row],[E_NTOT]]/données_step[[#This Row],[E_DCO]])</f>
        <v>#DIV/0!</v>
      </c>
      <c r="BR64" s="521" t="e">
        <f>IF(données_step[[#This Row],[E_PTOT]]/données_step[[#This Row],[E_DCO]]=0,NA(),données_step[[#This Row],[E_PTOT]]/données_step[[#This Row],[E_DCO]])</f>
        <v>#DIV/0!</v>
      </c>
      <c r="BS64" s="747" t="e">
        <f ca="1">test_NH4_temp(données_step[[#This Row],[S_NH4]],données_step[[#This Row],[Temp_eaux]])</f>
        <v>#NAME?</v>
      </c>
    </row>
    <row r="65" spans="1:71" x14ac:dyDescent="0.2">
      <c r="A65" s="222">
        <f>données_step[[#This Row],[Datum]]</f>
        <v>44616</v>
      </c>
      <c r="B65" s="223"/>
      <c r="C65" s="224">
        <f t="shared" si="0"/>
        <v>5</v>
      </c>
      <c r="D65" s="523" t="str">
        <f>IF(OR(données_step[[#This Row],[E_DBO5]]&lt;=0,données_step[[#This Row],[E_DBO5]]=""),"",données_step[[#This Row],[D_QTRAI]]*données_step[[#This Row],[E_DBO5]]/1000)</f>
        <v/>
      </c>
      <c r="E65" s="523" t="str">
        <f>IF(OR(données_step[[#This Row],[E_DCO]]&lt;=0,données_step[[#This Row],[E_DCO]]=""),"",données_step[[#This Row],[D_QTRAI]]*données_step[[#This Row],[E_DCO]]/1000)</f>
        <v/>
      </c>
      <c r="F65" s="523" t="str">
        <f>IF(OR(données_step[[#This Row],[E_COT]]&lt;=0,données_step[[#This Row],[E_COT]]=""),"",données_step[[#This Row],[D_QTRAI]]*données_step[[#This Row],[E_COT]]/1000)</f>
        <v/>
      </c>
      <c r="G65" s="523" t="str">
        <f>IF(OR(données_step[[#This Row],[E_NH4]]&lt;=0,données_step[[#This Row],[E_NH4]]=""),"",données_step[[#This Row],[D_QTRAI]]*données_step[[#This Row],[E_NH4]]/1000)</f>
        <v/>
      </c>
      <c r="H65" s="523" t="str">
        <f>IF(OR(données_step[[#This Row],[E_NTOT]]&lt;=0,données_step[[#This Row],[E_NTOT]]=""),"",données_step[[#This Row],[D_QTRAI]]*données_step[[#This Row],[E_NTOT]]/1000)</f>
        <v/>
      </c>
      <c r="I65" s="523" t="str">
        <f>IF(OR(données_step[[#This Row],[E_NTOT]]&lt;=0,données_step[[#This Row],[E_NTOT]]=""),"",données_step[[#This Row],[D_QTRAI]]*données_step[[#This Row],[E_PTOT]]/1000)</f>
        <v/>
      </c>
      <c r="J65" s="523" t="str">
        <f>IF(OR(données_step[[#This Row],[S_DBO5]]&lt;=0,données_step[[#This Row],[S_DBO5]]=""),"",données_step[[#This Row],[D_QTRAI]]*données_step[[#This Row],[S_DBO5]]/1000)</f>
        <v/>
      </c>
      <c r="K65" s="523" t="str">
        <f>IF(OR(données_step[[#This Row],[S_DCO]]&lt;=0,données_step[[#This Row],[S_DCO]]=""),"",données_step[[#This Row],[D_QTRAI]]*données_step[[#This Row],[S_DCO]]/1000)</f>
        <v/>
      </c>
      <c r="L65" s="523" t="str">
        <f>IF(OR(données_step[[#This Row],[S_COD]]&lt;=0,données_step[[#This Row],[S_COD]]=""),"",données_step[[#This Row],[D_QTRAI]]*données_step[[#This Row],[S_COD]]/1000)</f>
        <v/>
      </c>
      <c r="M65" s="523" t="str">
        <f>IF(OR(données_step[[#This Row],[S_NH4]]&lt;=0,données_step[[#This Row],[S_NH4]]=""),"",données_step[[#This Row],[D_QTRAI]]*données_step[[#This Row],[S_NH4]]/1000)</f>
        <v/>
      </c>
      <c r="N65" s="523" t="str">
        <f>IF(OR(données_step[[#This Row],[S_NO2]]&lt;=0,données_step[[#This Row],[S_NO2]]=""),"",données_step[[#This Row],[D_QTRAI]]*données_step[[#This Row],[S_NO2]]/1000)</f>
        <v/>
      </c>
      <c r="O65" s="523" t="str">
        <f>IF(OR(données_step[[#This Row],[S_NO3]]&lt;=0,données_step[[#This Row],[S_NO3]]=""),"",données_step[[#This Row],[D_QTRAI]]*données_step[[#This Row],[S_NO3]]/1000)</f>
        <v/>
      </c>
      <c r="P65" s="523" t="str">
        <f>IF(OR(données_step[[#This Row],[S_PTOT]]&lt;=0,données_step[[#This Row],[S_PTOT]]=""),"",données_step[[#This Row],[D_QTRAI]]*données_step[[#This Row],[S_PTOT]]/1000)</f>
        <v/>
      </c>
      <c r="Q65" s="523" t="str">
        <f>IF(OR(données_step[[#This Row],[S_MES]]&lt;=0,données_step[[#This Row],[S_MES]]=""),"",données_step[[#This Row],[D_QTRAI]]*données_step[[#This Row],[S_MES]]/1000)</f>
        <v/>
      </c>
      <c r="R65" s="523">
        <f>MAX(données_step[[#This Row],[D_QTRAI]],données_step[[#This Row],[D_QTRAI2]])</f>
        <v>0</v>
      </c>
      <c r="S65" s="523" t="str">
        <f>IF(AND($R65&gt;0,données_step[[#This Row],[E_DCO]]&gt;0),données_step[[#This Row],[E_DCO]],"")</f>
        <v/>
      </c>
      <c r="T65" s="523" t="str">
        <f>IF(S65="","",(1-données_step[[#This Row],[E_DCO]]/$V$7)*100)</f>
        <v/>
      </c>
      <c r="U65" s="523" t="str">
        <f t="shared" si="1"/>
        <v/>
      </c>
      <c r="V65" s="523" t="str">
        <f t="shared" si="2"/>
        <v/>
      </c>
      <c r="W65" s="523" t="str">
        <f t="shared" si="3"/>
        <v/>
      </c>
      <c r="X65" s="523" t="e">
        <f>IF(((100-100/$V$7*données_step[[#This Row],[E_DCO]])/100*QTS)&lt;0,NA(),IF(OR(U65&lt;0,U65=""),NA(),((100-100/$V$7*données_step[[#This Row],[E_DCO]])/100*QTS)))</f>
        <v>#NUM!</v>
      </c>
      <c r="Y65" s="523" t="str">
        <f>IF(AND($R65&gt;0,données_step[[#This Row],[E_COT]]&gt;0),données_step[[#This Row],[E_COT]],"")</f>
        <v/>
      </c>
      <c r="Z65" s="523" t="str">
        <f>IF(Y65="","",(1-données_step[[#This Row],[E_COT]]/$AB$7)*100)</f>
        <v/>
      </c>
      <c r="AA65" s="523" t="str">
        <f t="shared" si="4"/>
        <v/>
      </c>
      <c r="AB65" s="523" t="str">
        <f t="shared" si="5"/>
        <v/>
      </c>
      <c r="AC65" s="523" t="str">
        <f t="shared" si="6"/>
        <v/>
      </c>
      <c r="AD65" s="523" t="e">
        <f>IF(((100-100/$AB$7*données_step[[#This Row],[E_COT]])/100*QTS)&lt;0,NA(),IF(OR(AA65&lt;0,AA65=""),NA(),((100-100/$AB$7*données_step[[#This Row],[E_COT]])/100*QTS)))</f>
        <v>#NUM!</v>
      </c>
      <c r="AE65" s="523" t="str">
        <f>IF(AND($R65&gt;0,données_step[[#This Row],[E_NH4]]&gt;0),données_step[[#This Row],[E_NH4]],"")</f>
        <v/>
      </c>
      <c r="AF65" s="523" t="str">
        <f>IF(AE65="","",(1-données_step[[#This Row],[E_NH4]]/$AH$7)*100)</f>
        <v/>
      </c>
      <c r="AG65" s="523" t="str">
        <f t="shared" si="7"/>
        <v/>
      </c>
      <c r="AH65" s="523" t="str">
        <f t="shared" si="8"/>
        <v/>
      </c>
      <c r="AI65" s="523" t="str">
        <f t="shared" si="9"/>
        <v/>
      </c>
      <c r="AJ65" s="523" t="e">
        <f>IF(((100-100/$AH$7*données_step[[#This Row],[E_NH4]])/100*QTS)&lt;0,NA(),IF(OR(AG65&lt;0,AG65=""),NA(),((100-100/$AH$7*données_step[[#This Row],[E_NH4]])/100*QTS)))</f>
        <v>#NUM!</v>
      </c>
      <c r="AK65" s="523" t="str">
        <f>IF(AND($R65&gt;0,données_step[[#This Row],[E_PTOT]]&gt;0),données_step[[#This Row],[E_PTOT]],"")</f>
        <v/>
      </c>
      <c r="AL65" s="523" t="str">
        <f>IF(AK65="","",(1-données_step[[#This Row],[E_PTOT]]/$AN$7)*100)</f>
        <v/>
      </c>
      <c r="AM65" s="523" t="str">
        <f t="shared" si="10"/>
        <v/>
      </c>
      <c r="AN65" s="523" t="str">
        <f t="shared" si="11"/>
        <v/>
      </c>
      <c r="AO65" s="523" t="str">
        <f t="shared" si="12"/>
        <v/>
      </c>
      <c r="AP65" s="523" t="e">
        <f>IF(((100-100/$AN$7*données_step[[#This Row],[E_PTOT]])/100*QTS)&lt;0,NA(),IF(OR(AM65&lt;0,AM65=""),NA(),((100-100/$AN$7*données_step[[#This Row],[E_PTOT]])/100*QTS)))</f>
        <v>#NUM!</v>
      </c>
      <c r="AQ65" s="524" t="e">
        <f t="shared" si="13"/>
        <v>#NUM!</v>
      </c>
      <c r="AR65" s="524" t="str">
        <f t="shared" si="14"/>
        <v/>
      </c>
      <c r="AT65" s="517">
        <f t="shared" si="15"/>
        <v>0.54</v>
      </c>
      <c r="AU65" s="501">
        <f t="shared" si="16"/>
        <v>54</v>
      </c>
      <c r="AV65" s="525" t="e">
        <f>PERCENTILE(analyses!$F$11:$F$375,$AT65)</f>
        <v>#NUM!</v>
      </c>
      <c r="AW65" s="7" t="e">
        <f>PERCENTILE(analyses!$I$11:$I$375,$AT65)</f>
        <v>#NUM!</v>
      </c>
      <c r="AX65" s="7" t="e">
        <f>PERCENTILE(analyses!$J$11:$J$375,$AT65)</f>
        <v>#NUM!</v>
      </c>
      <c r="AY65" s="523" t="str">
        <f>_xlfn.IFNA(IF(données_step[[#This Row],[E_DCO]]&lt;=0,NA(),charge_entree[[#This Row],[ch_E_DCO]]/constanten!$B$8*1000),"")</f>
        <v/>
      </c>
      <c r="AZ65" s="523" t="str">
        <f>_xlfn.IFNA(IF(données_step[[#This Row],[E_NTOT]]&lt;=0,NA(),charge_entree[[#This Row],[ch_E_NTOT]]/constanten!$B$10*1000),"")</f>
        <v/>
      </c>
      <c r="BA65" s="523" t="str">
        <f>_xlfn.IFNA(IF(données_step[[#This Row],[E_NH4]]&lt;=0,NA(),charge_entree[[#This Row],[ch_E_NH4]]/constanten!$B$12*1000),"")</f>
        <v/>
      </c>
      <c r="BB65" s="523" t="str">
        <f>_xlfn.IFNA(IF(données_step[[#This Row],[E_COT]]&lt;=0,NA(),charge_entree[[#This Row],[ch_E_COT]]/constanten!$B$9*1000),"")</f>
        <v/>
      </c>
      <c r="BC65" s="523" t="str">
        <f>IFERROR(_xlfn.IFNA(IF(données_step[[#This Row],[E_PTOT]]&lt;=0,NA(),charge_entree[[#This Row],[ch_E_PTOT]]/constanten!$B$15*1000),""),"")</f>
        <v/>
      </c>
      <c r="BD65" s="535" t="e">
        <f>calculs!E65 * (1-0.4) / (données_step[[#This Row],[X_BA_VOL]]*données_step[[#This Row],[X_BACONC]])</f>
        <v>#VALUE!</v>
      </c>
      <c r="BE65" s="522" t="e">
        <f>(données_step[[#This Row],[X_BA_VOL]]*données_step[[#This Row],[X_BACONC]])/((données_step[[#This Row],[D_QTRAI2]]*données_step[[#This Row],[S_MES]]/1000)+(données_step[[#This Row],[X_BX_Q]]*données_step[[#This Row],[X_BXCONC]]))</f>
        <v>#VALUE!</v>
      </c>
      <c r="BF65" s="890" t="str">
        <f>IFERROR(données_step[[#This Row],[D_QTRAI]]/AY65*1000,"")</f>
        <v/>
      </c>
      <c r="BG65" s="535" t="str">
        <f>IFERROR(1-données_step[[#This Row],[S_DBO5]]/données_step[[#This Row],[E_DBO5]],"")</f>
        <v/>
      </c>
      <c r="BH65" s="536" t="str">
        <f>IFERROR(1-données_step[[#This Row],[S_DCO]]/données_step[[#This Row],[E_DCO]],"")</f>
        <v/>
      </c>
      <c r="BI65" s="535" t="str">
        <f>IFERROR(1-données_step[[#This Row],[S_COD]]/données_step[[#This Row],[E_COT]],"")</f>
        <v/>
      </c>
      <c r="BJ65" s="535" t="str">
        <f>IFERROR(1-données_step[[#This Row],[S_NH4]]/données_step[[#This Row],[E_NTOT]],"")</f>
        <v/>
      </c>
      <c r="BK65" s="535" t="str">
        <f>IFERROR(1-données_step[[#This Row],[S_PTOT]]/données_step[[#This Row],[E_PTOT]],"")</f>
        <v/>
      </c>
      <c r="BL65" s="521" t="str">
        <f>IFERROR(IF(données_step[[#This Row],[E_DCO]]/données_step[[#This Row],[E_DBO5]]=0,NA(),données_step[[#This Row],[E_DCO]]/données_step[[#This Row],[E_DBO5]]),"")</f>
        <v/>
      </c>
      <c r="BM65" s="521" t="str">
        <f>IFERROR(IF(données_step[[#This Row],[E_NH4]]/données_step[[#This Row],[E_NTOT]]=0,NA(),données_step[[#This Row],[E_NH4]]/données_step[[#This Row],[E_NTOT]]),"")</f>
        <v/>
      </c>
      <c r="BN65" s="521" t="str">
        <f>IFERROR(IF(données_step[[#This Row],[E_NTOT]]/données_step[[#This Row],[E_COT]]=0,NA(),données_step[[#This Row],[E_NTOT]]/données_step[[#This Row],[E_COT]]),"")</f>
        <v/>
      </c>
      <c r="BO65" s="521" t="str">
        <f>IFERROR(IF(données_step[[#This Row],[E_PTOT]]/données_step[[#This Row],[E_COT]]=0,NA(),données_step[[#This Row],[E_PTOT]]/données_step[[#This Row],[E_COT]]),"")</f>
        <v/>
      </c>
      <c r="BP65" s="521" t="e">
        <f>IF(données_step[[#This Row],[E_DCO]]/données_step[[#This Row],[E_COT]]=0,NA(),données_step[[#This Row],[E_DCO]]/données_step[[#This Row],[E_COT]])</f>
        <v>#DIV/0!</v>
      </c>
      <c r="BQ65" s="521" t="e">
        <f>IF(données_step[[#This Row],[E_NTOT]]/données_step[[#This Row],[E_DCO]]=0,NA(),données_step[[#This Row],[E_NTOT]]/données_step[[#This Row],[E_DCO]])</f>
        <v>#DIV/0!</v>
      </c>
      <c r="BR65" s="521" t="e">
        <f>IF(données_step[[#This Row],[E_PTOT]]/données_step[[#This Row],[E_DCO]]=0,NA(),données_step[[#This Row],[E_PTOT]]/données_step[[#This Row],[E_DCO]])</f>
        <v>#DIV/0!</v>
      </c>
      <c r="BS65" s="747" t="e">
        <f ca="1">test_NH4_temp(données_step[[#This Row],[S_NH4]],données_step[[#This Row],[Temp_eaux]])</f>
        <v>#NAME?</v>
      </c>
    </row>
    <row r="66" spans="1:71" x14ac:dyDescent="0.2">
      <c r="A66" s="222">
        <f>données_step[[#This Row],[Datum]]</f>
        <v>44617</v>
      </c>
      <c r="B66" s="223"/>
      <c r="C66" s="224">
        <f t="shared" si="0"/>
        <v>6</v>
      </c>
      <c r="D66" s="523" t="str">
        <f>IF(OR(données_step[[#This Row],[E_DBO5]]&lt;=0,données_step[[#This Row],[E_DBO5]]=""),"",données_step[[#This Row],[D_QTRAI]]*données_step[[#This Row],[E_DBO5]]/1000)</f>
        <v/>
      </c>
      <c r="E66" s="523" t="str">
        <f>IF(OR(données_step[[#This Row],[E_DCO]]&lt;=0,données_step[[#This Row],[E_DCO]]=""),"",données_step[[#This Row],[D_QTRAI]]*données_step[[#This Row],[E_DCO]]/1000)</f>
        <v/>
      </c>
      <c r="F66" s="523" t="str">
        <f>IF(OR(données_step[[#This Row],[E_COT]]&lt;=0,données_step[[#This Row],[E_COT]]=""),"",données_step[[#This Row],[D_QTRAI]]*données_step[[#This Row],[E_COT]]/1000)</f>
        <v/>
      </c>
      <c r="G66" s="523" t="str">
        <f>IF(OR(données_step[[#This Row],[E_NH4]]&lt;=0,données_step[[#This Row],[E_NH4]]=""),"",données_step[[#This Row],[D_QTRAI]]*données_step[[#This Row],[E_NH4]]/1000)</f>
        <v/>
      </c>
      <c r="H66" s="523" t="str">
        <f>IF(OR(données_step[[#This Row],[E_NTOT]]&lt;=0,données_step[[#This Row],[E_NTOT]]=""),"",données_step[[#This Row],[D_QTRAI]]*données_step[[#This Row],[E_NTOT]]/1000)</f>
        <v/>
      </c>
      <c r="I66" s="523" t="str">
        <f>IF(OR(données_step[[#This Row],[E_NTOT]]&lt;=0,données_step[[#This Row],[E_NTOT]]=""),"",données_step[[#This Row],[D_QTRAI]]*données_step[[#This Row],[E_PTOT]]/1000)</f>
        <v/>
      </c>
      <c r="J66" s="523" t="str">
        <f>IF(OR(données_step[[#This Row],[S_DBO5]]&lt;=0,données_step[[#This Row],[S_DBO5]]=""),"",données_step[[#This Row],[D_QTRAI]]*données_step[[#This Row],[S_DBO5]]/1000)</f>
        <v/>
      </c>
      <c r="K66" s="523" t="str">
        <f>IF(OR(données_step[[#This Row],[S_DCO]]&lt;=0,données_step[[#This Row],[S_DCO]]=""),"",données_step[[#This Row],[D_QTRAI]]*données_step[[#This Row],[S_DCO]]/1000)</f>
        <v/>
      </c>
      <c r="L66" s="523" t="str">
        <f>IF(OR(données_step[[#This Row],[S_COD]]&lt;=0,données_step[[#This Row],[S_COD]]=""),"",données_step[[#This Row],[D_QTRAI]]*données_step[[#This Row],[S_COD]]/1000)</f>
        <v/>
      </c>
      <c r="M66" s="523" t="str">
        <f>IF(OR(données_step[[#This Row],[S_NH4]]&lt;=0,données_step[[#This Row],[S_NH4]]=""),"",données_step[[#This Row],[D_QTRAI]]*données_step[[#This Row],[S_NH4]]/1000)</f>
        <v/>
      </c>
      <c r="N66" s="523" t="str">
        <f>IF(OR(données_step[[#This Row],[S_NO2]]&lt;=0,données_step[[#This Row],[S_NO2]]=""),"",données_step[[#This Row],[D_QTRAI]]*données_step[[#This Row],[S_NO2]]/1000)</f>
        <v/>
      </c>
      <c r="O66" s="523" t="str">
        <f>IF(OR(données_step[[#This Row],[S_NO3]]&lt;=0,données_step[[#This Row],[S_NO3]]=""),"",données_step[[#This Row],[D_QTRAI]]*données_step[[#This Row],[S_NO3]]/1000)</f>
        <v/>
      </c>
      <c r="P66" s="523" t="str">
        <f>IF(OR(données_step[[#This Row],[S_PTOT]]&lt;=0,données_step[[#This Row],[S_PTOT]]=""),"",données_step[[#This Row],[D_QTRAI]]*données_step[[#This Row],[S_PTOT]]/1000)</f>
        <v/>
      </c>
      <c r="Q66" s="523" t="str">
        <f>IF(OR(données_step[[#This Row],[S_MES]]&lt;=0,données_step[[#This Row],[S_MES]]=""),"",données_step[[#This Row],[D_QTRAI]]*données_step[[#This Row],[S_MES]]/1000)</f>
        <v/>
      </c>
      <c r="R66" s="523">
        <f>MAX(données_step[[#This Row],[D_QTRAI]],données_step[[#This Row],[D_QTRAI2]])</f>
        <v>0</v>
      </c>
      <c r="S66" s="523" t="str">
        <f>IF(AND($R66&gt;0,données_step[[#This Row],[E_DCO]]&gt;0),données_step[[#This Row],[E_DCO]],"")</f>
        <v/>
      </c>
      <c r="T66" s="523" t="str">
        <f>IF(S66="","",(1-données_step[[#This Row],[E_DCO]]/$V$7)*100)</f>
        <v/>
      </c>
      <c r="U66" s="523" t="str">
        <f t="shared" si="1"/>
        <v/>
      </c>
      <c r="V66" s="523" t="str">
        <f t="shared" si="2"/>
        <v/>
      </c>
      <c r="W66" s="523" t="str">
        <f t="shared" si="3"/>
        <v/>
      </c>
      <c r="X66" s="523" t="e">
        <f>IF(((100-100/$V$7*données_step[[#This Row],[E_DCO]])/100*QTS)&lt;0,NA(),IF(OR(U66&lt;0,U66=""),NA(),((100-100/$V$7*données_step[[#This Row],[E_DCO]])/100*QTS)))</f>
        <v>#NUM!</v>
      </c>
      <c r="Y66" s="523" t="str">
        <f>IF(AND($R66&gt;0,données_step[[#This Row],[E_COT]]&gt;0),données_step[[#This Row],[E_COT]],"")</f>
        <v/>
      </c>
      <c r="Z66" s="523" t="str">
        <f>IF(Y66="","",(1-données_step[[#This Row],[E_COT]]/$AB$7)*100)</f>
        <v/>
      </c>
      <c r="AA66" s="523" t="str">
        <f t="shared" si="4"/>
        <v/>
      </c>
      <c r="AB66" s="523" t="str">
        <f t="shared" si="5"/>
        <v/>
      </c>
      <c r="AC66" s="523" t="str">
        <f t="shared" si="6"/>
        <v/>
      </c>
      <c r="AD66" s="523" t="e">
        <f>IF(((100-100/$AB$7*données_step[[#This Row],[E_COT]])/100*QTS)&lt;0,NA(),IF(OR(AA66&lt;0,AA66=""),NA(),((100-100/$AB$7*données_step[[#This Row],[E_COT]])/100*QTS)))</f>
        <v>#NUM!</v>
      </c>
      <c r="AE66" s="523" t="str">
        <f>IF(AND($R66&gt;0,données_step[[#This Row],[E_NH4]]&gt;0),données_step[[#This Row],[E_NH4]],"")</f>
        <v/>
      </c>
      <c r="AF66" s="523" t="str">
        <f>IF(AE66="","",(1-données_step[[#This Row],[E_NH4]]/$AH$7)*100)</f>
        <v/>
      </c>
      <c r="AG66" s="523" t="str">
        <f t="shared" si="7"/>
        <v/>
      </c>
      <c r="AH66" s="523" t="str">
        <f t="shared" si="8"/>
        <v/>
      </c>
      <c r="AI66" s="523" t="str">
        <f t="shared" si="9"/>
        <v/>
      </c>
      <c r="AJ66" s="523" t="e">
        <f>IF(((100-100/$AH$7*données_step[[#This Row],[E_NH4]])/100*QTS)&lt;0,NA(),IF(OR(AG66&lt;0,AG66=""),NA(),((100-100/$AH$7*données_step[[#This Row],[E_NH4]])/100*QTS)))</f>
        <v>#NUM!</v>
      </c>
      <c r="AK66" s="523" t="str">
        <f>IF(AND($R66&gt;0,données_step[[#This Row],[E_PTOT]]&gt;0),données_step[[#This Row],[E_PTOT]],"")</f>
        <v/>
      </c>
      <c r="AL66" s="523" t="str">
        <f>IF(AK66="","",(1-données_step[[#This Row],[E_PTOT]]/$AN$7)*100)</f>
        <v/>
      </c>
      <c r="AM66" s="523" t="str">
        <f t="shared" si="10"/>
        <v/>
      </c>
      <c r="AN66" s="523" t="str">
        <f t="shared" si="11"/>
        <v/>
      </c>
      <c r="AO66" s="523" t="str">
        <f t="shared" si="12"/>
        <v/>
      </c>
      <c r="AP66" s="523" t="e">
        <f>IF(((100-100/$AN$7*données_step[[#This Row],[E_PTOT]])/100*QTS)&lt;0,NA(),IF(OR(AM66&lt;0,AM66=""),NA(),((100-100/$AN$7*données_step[[#This Row],[E_PTOT]])/100*QTS)))</f>
        <v>#NUM!</v>
      </c>
      <c r="AQ66" s="524" t="e">
        <f t="shared" si="13"/>
        <v>#NUM!</v>
      </c>
      <c r="AR66" s="524" t="str">
        <f t="shared" si="14"/>
        <v/>
      </c>
      <c r="AT66" s="517">
        <f t="shared" si="15"/>
        <v>0.55000000000000004</v>
      </c>
      <c r="AU66" s="501">
        <f t="shared" si="16"/>
        <v>55</v>
      </c>
      <c r="AV66" s="525" t="e">
        <f>PERCENTILE(analyses!$F$11:$F$375,$AT66)</f>
        <v>#NUM!</v>
      </c>
      <c r="AW66" s="7" t="e">
        <f>PERCENTILE(analyses!$I$11:$I$375,$AT66)</f>
        <v>#NUM!</v>
      </c>
      <c r="AX66" s="7" t="e">
        <f>PERCENTILE(analyses!$J$11:$J$375,$AT66)</f>
        <v>#NUM!</v>
      </c>
      <c r="AY66" s="523" t="str">
        <f>_xlfn.IFNA(IF(données_step[[#This Row],[E_DCO]]&lt;=0,NA(),charge_entree[[#This Row],[ch_E_DCO]]/constanten!$B$8*1000),"")</f>
        <v/>
      </c>
      <c r="AZ66" s="523" t="str">
        <f>_xlfn.IFNA(IF(données_step[[#This Row],[E_NTOT]]&lt;=0,NA(),charge_entree[[#This Row],[ch_E_NTOT]]/constanten!$B$10*1000),"")</f>
        <v/>
      </c>
      <c r="BA66" s="523" t="str">
        <f>_xlfn.IFNA(IF(données_step[[#This Row],[E_NH4]]&lt;=0,NA(),charge_entree[[#This Row],[ch_E_NH4]]/constanten!$B$12*1000),"")</f>
        <v/>
      </c>
      <c r="BB66" s="523" t="str">
        <f>_xlfn.IFNA(IF(données_step[[#This Row],[E_COT]]&lt;=0,NA(),charge_entree[[#This Row],[ch_E_COT]]/constanten!$B$9*1000),"")</f>
        <v/>
      </c>
      <c r="BC66" s="523" t="str">
        <f>IFERROR(_xlfn.IFNA(IF(données_step[[#This Row],[E_PTOT]]&lt;=0,NA(),charge_entree[[#This Row],[ch_E_PTOT]]/constanten!$B$15*1000),""),"")</f>
        <v/>
      </c>
      <c r="BD66" s="535" t="e">
        <f>calculs!E66 * (1-0.4) / (données_step[[#This Row],[X_BA_VOL]]*données_step[[#This Row],[X_BACONC]])</f>
        <v>#VALUE!</v>
      </c>
      <c r="BE66" s="522" t="e">
        <f>(données_step[[#This Row],[X_BA_VOL]]*données_step[[#This Row],[X_BACONC]])/((données_step[[#This Row],[D_QTRAI2]]*données_step[[#This Row],[S_MES]]/1000)+(données_step[[#This Row],[X_BX_Q]]*données_step[[#This Row],[X_BXCONC]]))</f>
        <v>#VALUE!</v>
      </c>
      <c r="BF66" s="890" t="str">
        <f>IFERROR(données_step[[#This Row],[D_QTRAI]]/AY66*1000,"")</f>
        <v/>
      </c>
      <c r="BG66" s="535" t="str">
        <f>IFERROR(1-données_step[[#This Row],[S_DBO5]]/données_step[[#This Row],[E_DBO5]],"")</f>
        <v/>
      </c>
      <c r="BH66" s="536" t="str">
        <f>IFERROR(1-données_step[[#This Row],[S_DCO]]/données_step[[#This Row],[E_DCO]],"")</f>
        <v/>
      </c>
      <c r="BI66" s="535" t="str">
        <f>IFERROR(1-données_step[[#This Row],[S_COD]]/données_step[[#This Row],[E_COT]],"")</f>
        <v/>
      </c>
      <c r="BJ66" s="535" t="str">
        <f>IFERROR(1-données_step[[#This Row],[S_NH4]]/données_step[[#This Row],[E_NTOT]],"")</f>
        <v/>
      </c>
      <c r="BK66" s="535" t="str">
        <f>IFERROR(1-données_step[[#This Row],[S_PTOT]]/données_step[[#This Row],[E_PTOT]],"")</f>
        <v/>
      </c>
      <c r="BL66" s="521" t="str">
        <f>IFERROR(IF(données_step[[#This Row],[E_DCO]]/données_step[[#This Row],[E_DBO5]]=0,NA(),données_step[[#This Row],[E_DCO]]/données_step[[#This Row],[E_DBO5]]),"")</f>
        <v/>
      </c>
      <c r="BM66" s="521" t="str">
        <f>IFERROR(IF(données_step[[#This Row],[E_NH4]]/données_step[[#This Row],[E_NTOT]]=0,NA(),données_step[[#This Row],[E_NH4]]/données_step[[#This Row],[E_NTOT]]),"")</f>
        <v/>
      </c>
      <c r="BN66" s="521" t="str">
        <f>IFERROR(IF(données_step[[#This Row],[E_NTOT]]/données_step[[#This Row],[E_COT]]=0,NA(),données_step[[#This Row],[E_NTOT]]/données_step[[#This Row],[E_COT]]),"")</f>
        <v/>
      </c>
      <c r="BO66" s="521" t="str">
        <f>IFERROR(IF(données_step[[#This Row],[E_PTOT]]/données_step[[#This Row],[E_COT]]=0,NA(),données_step[[#This Row],[E_PTOT]]/données_step[[#This Row],[E_COT]]),"")</f>
        <v/>
      </c>
      <c r="BP66" s="521" t="e">
        <f>IF(données_step[[#This Row],[E_DCO]]/données_step[[#This Row],[E_COT]]=0,NA(),données_step[[#This Row],[E_DCO]]/données_step[[#This Row],[E_COT]])</f>
        <v>#DIV/0!</v>
      </c>
      <c r="BQ66" s="521" t="e">
        <f>IF(données_step[[#This Row],[E_NTOT]]/données_step[[#This Row],[E_DCO]]=0,NA(),données_step[[#This Row],[E_NTOT]]/données_step[[#This Row],[E_DCO]])</f>
        <v>#DIV/0!</v>
      </c>
      <c r="BR66" s="521" t="e">
        <f>IF(données_step[[#This Row],[E_PTOT]]/données_step[[#This Row],[E_DCO]]=0,NA(),données_step[[#This Row],[E_PTOT]]/données_step[[#This Row],[E_DCO]])</f>
        <v>#DIV/0!</v>
      </c>
      <c r="BS66" s="747" t="e">
        <f ca="1">test_NH4_temp(données_step[[#This Row],[S_NH4]],données_step[[#This Row],[Temp_eaux]])</f>
        <v>#NAME?</v>
      </c>
    </row>
    <row r="67" spans="1:71" x14ac:dyDescent="0.2">
      <c r="A67" s="222">
        <f>données_step[[#This Row],[Datum]]</f>
        <v>44618</v>
      </c>
      <c r="B67" s="223"/>
      <c r="C67" s="224">
        <f t="shared" si="0"/>
        <v>7</v>
      </c>
      <c r="D67" s="523" t="str">
        <f>IF(OR(données_step[[#This Row],[E_DBO5]]&lt;=0,données_step[[#This Row],[E_DBO5]]=""),"",données_step[[#This Row],[D_QTRAI]]*données_step[[#This Row],[E_DBO5]]/1000)</f>
        <v/>
      </c>
      <c r="E67" s="523" t="str">
        <f>IF(OR(données_step[[#This Row],[E_DCO]]&lt;=0,données_step[[#This Row],[E_DCO]]=""),"",données_step[[#This Row],[D_QTRAI]]*données_step[[#This Row],[E_DCO]]/1000)</f>
        <v/>
      </c>
      <c r="F67" s="523" t="str">
        <f>IF(OR(données_step[[#This Row],[E_COT]]&lt;=0,données_step[[#This Row],[E_COT]]=""),"",données_step[[#This Row],[D_QTRAI]]*données_step[[#This Row],[E_COT]]/1000)</f>
        <v/>
      </c>
      <c r="G67" s="523" t="str">
        <f>IF(OR(données_step[[#This Row],[E_NH4]]&lt;=0,données_step[[#This Row],[E_NH4]]=""),"",données_step[[#This Row],[D_QTRAI]]*données_step[[#This Row],[E_NH4]]/1000)</f>
        <v/>
      </c>
      <c r="H67" s="523" t="str">
        <f>IF(OR(données_step[[#This Row],[E_NTOT]]&lt;=0,données_step[[#This Row],[E_NTOT]]=""),"",données_step[[#This Row],[D_QTRAI]]*données_step[[#This Row],[E_NTOT]]/1000)</f>
        <v/>
      </c>
      <c r="I67" s="523" t="str">
        <f>IF(OR(données_step[[#This Row],[E_NTOT]]&lt;=0,données_step[[#This Row],[E_NTOT]]=""),"",données_step[[#This Row],[D_QTRAI]]*données_step[[#This Row],[E_PTOT]]/1000)</f>
        <v/>
      </c>
      <c r="J67" s="523" t="str">
        <f>IF(OR(données_step[[#This Row],[S_DBO5]]&lt;=0,données_step[[#This Row],[S_DBO5]]=""),"",données_step[[#This Row],[D_QTRAI]]*données_step[[#This Row],[S_DBO5]]/1000)</f>
        <v/>
      </c>
      <c r="K67" s="523" t="str">
        <f>IF(OR(données_step[[#This Row],[S_DCO]]&lt;=0,données_step[[#This Row],[S_DCO]]=""),"",données_step[[#This Row],[D_QTRAI]]*données_step[[#This Row],[S_DCO]]/1000)</f>
        <v/>
      </c>
      <c r="L67" s="523" t="str">
        <f>IF(OR(données_step[[#This Row],[S_COD]]&lt;=0,données_step[[#This Row],[S_COD]]=""),"",données_step[[#This Row],[D_QTRAI]]*données_step[[#This Row],[S_COD]]/1000)</f>
        <v/>
      </c>
      <c r="M67" s="523" t="str">
        <f>IF(OR(données_step[[#This Row],[S_NH4]]&lt;=0,données_step[[#This Row],[S_NH4]]=""),"",données_step[[#This Row],[D_QTRAI]]*données_step[[#This Row],[S_NH4]]/1000)</f>
        <v/>
      </c>
      <c r="N67" s="523" t="str">
        <f>IF(OR(données_step[[#This Row],[S_NO2]]&lt;=0,données_step[[#This Row],[S_NO2]]=""),"",données_step[[#This Row],[D_QTRAI]]*données_step[[#This Row],[S_NO2]]/1000)</f>
        <v/>
      </c>
      <c r="O67" s="523" t="str">
        <f>IF(OR(données_step[[#This Row],[S_NO3]]&lt;=0,données_step[[#This Row],[S_NO3]]=""),"",données_step[[#This Row],[D_QTRAI]]*données_step[[#This Row],[S_NO3]]/1000)</f>
        <v/>
      </c>
      <c r="P67" s="523" t="str">
        <f>IF(OR(données_step[[#This Row],[S_PTOT]]&lt;=0,données_step[[#This Row],[S_PTOT]]=""),"",données_step[[#This Row],[D_QTRAI]]*données_step[[#This Row],[S_PTOT]]/1000)</f>
        <v/>
      </c>
      <c r="Q67" s="523" t="str">
        <f>IF(OR(données_step[[#This Row],[S_MES]]&lt;=0,données_step[[#This Row],[S_MES]]=""),"",données_step[[#This Row],[D_QTRAI]]*données_step[[#This Row],[S_MES]]/1000)</f>
        <v/>
      </c>
      <c r="R67" s="523">
        <f>MAX(données_step[[#This Row],[D_QTRAI]],données_step[[#This Row],[D_QTRAI2]])</f>
        <v>0</v>
      </c>
      <c r="S67" s="523" t="str">
        <f>IF(AND($R67&gt;0,données_step[[#This Row],[E_DCO]]&gt;0),données_step[[#This Row],[E_DCO]],"")</f>
        <v/>
      </c>
      <c r="T67" s="523" t="str">
        <f>IF(S67="","",(1-données_step[[#This Row],[E_DCO]]/$V$7)*100)</f>
        <v/>
      </c>
      <c r="U67" s="523" t="str">
        <f t="shared" si="1"/>
        <v/>
      </c>
      <c r="V67" s="523" t="str">
        <f t="shared" si="2"/>
        <v/>
      </c>
      <c r="W67" s="523" t="str">
        <f t="shared" si="3"/>
        <v/>
      </c>
      <c r="X67" s="523" t="e">
        <f>IF(((100-100/$V$7*données_step[[#This Row],[E_DCO]])/100*QTS)&lt;0,NA(),IF(OR(U67&lt;0,U67=""),NA(),((100-100/$V$7*données_step[[#This Row],[E_DCO]])/100*QTS)))</f>
        <v>#NUM!</v>
      </c>
      <c r="Y67" s="523" t="str">
        <f>IF(AND($R67&gt;0,données_step[[#This Row],[E_COT]]&gt;0),données_step[[#This Row],[E_COT]],"")</f>
        <v/>
      </c>
      <c r="Z67" s="523" t="str">
        <f>IF(Y67="","",(1-données_step[[#This Row],[E_COT]]/$AB$7)*100)</f>
        <v/>
      </c>
      <c r="AA67" s="523" t="str">
        <f t="shared" si="4"/>
        <v/>
      </c>
      <c r="AB67" s="523" t="str">
        <f t="shared" si="5"/>
        <v/>
      </c>
      <c r="AC67" s="523" t="str">
        <f t="shared" si="6"/>
        <v/>
      </c>
      <c r="AD67" s="523" t="e">
        <f>IF(((100-100/$AB$7*données_step[[#This Row],[E_COT]])/100*QTS)&lt;0,NA(),IF(OR(AA67&lt;0,AA67=""),NA(),((100-100/$AB$7*données_step[[#This Row],[E_COT]])/100*QTS)))</f>
        <v>#NUM!</v>
      </c>
      <c r="AE67" s="523" t="str">
        <f>IF(AND($R67&gt;0,données_step[[#This Row],[E_NH4]]&gt;0),données_step[[#This Row],[E_NH4]],"")</f>
        <v/>
      </c>
      <c r="AF67" s="523" t="str">
        <f>IF(AE67="","",(1-données_step[[#This Row],[E_NH4]]/$AH$7)*100)</f>
        <v/>
      </c>
      <c r="AG67" s="523" t="str">
        <f t="shared" si="7"/>
        <v/>
      </c>
      <c r="AH67" s="523" t="str">
        <f t="shared" si="8"/>
        <v/>
      </c>
      <c r="AI67" s="523" t="str">
        <f t="shared" si="9"/>
        <v/>
      </c>
      <c r="AJ67" s="523" t="e">
        <f>IF(((100-100/$AH$7*données_step[[#This Row],[E_NH4]])/100*QTS)&lt;0,NA(),IF(OR(AG67&lt;0,AG67=""),NA(),((100-100/$AH$7*données_step[[#This Row],[E_NH4]])/100*QTS)))</f>
        <v>#NUM!</v>
      </c>
      <c r="AK67" s="523" t="str">
        <f>IF(AND($R67&gt;0,données_step[[#This Row],[E_PTOT]]&gt;0),données_step[[#This Row],[E_PTOT]],"")</f>
        <v/>
      </c>
      <c r="AL67" s="523" t="str">
        <f>IF(AK67="","",(1-données_step[[#This Row],[E_PTOT]]/$AN$7)*100)</f>
        <v/>
      </c>
      <c r="AM67" s="523" t="str">
        <f t="shared" si="10"/>
        <v/>
      </c>
      <c r="AN67" s="523" t="str">
        <f t="shared" si="11"/>
        <v/>
      </c>
      <c r="AO67" s="523" t="str">
        <f t="shared" si="12"/>
        <v/>
      </c>
      <c r="AP67" s="523" t="e">
        <f>IF(((100-100/$AN$7*données_step[[#This Row],[E_PTOT]])/100*QTS)&lt;0,NA(),IF(OR(AM67&lt;0,AM67=""),NA(),((100-100/$AN$7*données_step[[#This Row],[E_PTOT]])/100*QTS)))</f>
        <v>#NUM!</v>
      </c>
      <c r="AQ67" s="524" t="e">
        <f t="shared" si="13"/>
        <v>#NUM!</v>
      </c>
      <c r="AR67" s="524" t="str">
        <f t="shared" si="14"/>
        <v/>
      </c>
      <c r="AT67" s="517">
        <f t="shared" si="15"/>
        <v>0.56000000000000005</v>
      </c>
      <c r="AU67" s="501">
        <f t="shared" si="16"/>
        <v>56</v>
      </c>
      <c r="AV67" s="525" t="e">
        <f>PERCENTILE(analyses!$F$11:$F$375,$AT67)</f>
        <v>#NUM!</v>
      </c>
      <c r="AW67" s="7" t="e">
        <f>PERCENTILE(analyses!$I$11:$I$375,$AT67)</f>
        <v>#NUM!</v>
      </c>
      <c r="AX67" s="7" t="e">
        <f>PERCENTILE(analyses!$J$11:$J$375,$AT67)</f>
        <v>#NUM!</v>
      </c>
      <c r="AY67" s="523" t="str">
        <f>_xlfn.IFNA(IF(données_step[[#This Row],[E_DCO]]&lt;=0,NA(),charge_entree[[#This Row],[ch_E_DCO]]/constanten!$B$8*1000),"")</f>
        <v/>
      </c>
      <c r="AZ67" s="523" t="str">
        <f>_xlfn.IFNA(IF(données_step[[#This Row],[E_NTOT]]&lt;=0,NA(),charge_entree[[#This Row],[ch_E_NTOT]]/constanten!$B$10*1000),"")</f>
        <v/>
      </c>
      <c r="BA67" s="523" t="str">
        <f>_xlfn.IFNA(IF(données_step[[#This Row],[E_NH4]]&lt;=0,NA(),charge_entree[[#This Row],[ch_E_NH4]]/constanten!$B$12*1000),"")</f>
        <v/>
      </c>
      <c r="BB67" s="523" t="str">
        <f>_xlfn.IFNA(IF(données_step[[#This Row],[E_COT]]&lt;=0,NA(),charge_entree[[#This Row],[ch_E_COT]]/constanten!$B$9*1000),"")</f>
        <v/>
      </c>
      <c r="BC67" s="523" t="str">
        <f>IFERROR(_xlfn.IFNA(IF(données_step[[#This Row],[E_PTOT]]&lt;=0,NA(),charge_entree[[#This Row],[ch_E_PTOT]]/constanten!$B$15*1000),""),"")</f>
        <v/>
      </c>
      <c r="BD67" s="535" t="e">
        <f>calculs!E67 * (1-0.4) / (données_step[[#This Row],[X_BA_VOL]]*données_step[[#This Row],[X_BACONC]])</f>
        <v>#VALUE!</v>
      </c>
      <c r="BE67" s="522" t="e">
        <f>(données_step[[#This Row],[X_BA_VOL]]*données_step[[#This Row],[X_BACONC]])/((données_step[[#This Row],[D_QTRAI2]]*données_step[[#This Row],[S_MES]]/1000)+(données_step[[#This Row],[X_BX_Q]]*données_step[[#This Row],[X_BXCONC]]))</f>
        <v>#VALUE!</v>
      </c>
      <c r="BF67" s="890" t="str">
        <f>IFERROR(données_step[[#This Row],[D_QTRAI]]/AY67*1000,"")</f>
        <v/>
      </c>
      <c r="BG67" s="535" t="str">
        <f>IFERROR(1-données_step[[#This Row],[S_DBO5]]/données_step[[#This Row],[E_DBO5]],"")</f>
        <v/>
      </c>
      <c r="BH67" s="536" t="str">
        <f>IFERROR(1-données_step[[#This Row],[S_DCO]]/données_step[[#This Row],[E_DCO]],"")</f>
        <v/>
      </c>
      <c r="BI67" s="535" t="str">
        <f>IFERROR(1-données_step[[#This Row],[S_COD]]/données_step[[#This Row],[E_COT]],"")</f>
        <v/>
      </c>
      <c r="BJ67" s="535" t="str">
        <f>IFERROR(1-données_step[[#This Row],[S_NH4]]/données_step[[#This Row],[E_NTOT]],"")</f>
        <v/>
      </c>
      <c r="BK67" s="535" t="str">
        <f>IFERROR(1-données_step[[#This Row],[S_PTOT]]/données_step[[#This Row],[E_PTOT]],"")</f>
        <v/>
      </c>
      <c r="BL67" s="521" t="str">
        <f>IFERROR(IF(données_step[[#This Row],[E_DCO]]/données_step[[#This Row],[E_DBO5]]=0,NA(),données_step[[#This Row],[E_DCO]]/données_step[[#This Row],[E_DBO5]]),"")</f>
        <v/>
      </c>
      <c r="BM67" s="521" t="str">
        <f>IFERROR(IF(données_step[[#This Row],[E_NH4]]/données_step[[#This Row],[E_NTOT]]=0,NA(),données_step[[#This Row],[E_NH4]]/données_step[[#This Row],[E_NTOT]]),"")</f>
        <v/>
      </c>
      <c r="BN67" s="521" t="str">
        <f>IFERROR(IF(données_step[[#This Row],[E_NTOT]]/données_step[[#This Row],[E_COT]]=0,NA(),données_step[[#This Row],[E_NTOT]]/données_step[[#This Row],[E_COT]]),"")</f>
        <v/>
      </c>
      <c r="BO67" s="521" t="str">
        <f>IFERROR(IF(données_step[[#This Row],[E_PTOT]]/données_step[[#This Row],[E_COT]]=0,NA(),données_step[[#This Row],[E_PTOT]]/données_step[[#This Row],[E_COT]]),"")</f>
        <v/>
      </c>
      <c r="BP67" s="521" t="e">
        <f>IF(données_step[[#This Row],[E_DCO]]/données_step[[#This Row],[E_COT]]=0,NA(),données_step[[#This Row],[E_DCO]]/données_step[[#This Row],[E_COT]])</f>
        <v>#DIV/0!</v>
      </c>
      <c r="BQ67" s="521" t="e">
        <f>IF(données_step[[#This Row],[E_NTOT]]/données_step[[#This Row],[E_DCO]]=0,NA(),données_step[[#This Row],[E_NTOT]]/données_step[[#This Row],[E_DCO]])</f>
        <v>#DIV/0!</v>
      </c>
      <c r="BR67" s="521" t="e">
        <f>IF(données_step[[#This Row],[E_PTOT]]/données_step[[#This Row],[E_DCO]]=0,NA(),données_step[[#This Row],[E_PTOT]]/données_step[[#This Row],[E_DCO]])</f>
        <v>#DIV/0!</v>
      </c>
      <c r="BS67" s="747" t="e">
        <f ca="1">test_NH4_temp(données_step[[#This Row],[S_NH4]],données_step[[#This Row],[Temp_eaux]])</f>
        <v>#NAME?</v>
      </c>
    </row>
    <row r="68" spans="1:71" x14ac:dyDescent="0.2">
      <c r="A68" s="222">
        <f>données_step[[#This Row],[Datum]]</f>
        <v>44619</v>
      </c>
      <c r="B68" s="223"/>
      <c r="C68" s="224">
        <f t="shared" si="0"/>
        <v>1</v>
      </c>
      <c r="D68" s="523" t="str">
        <f>IF(OR(données_step[[#This Row],[E_DBO5]]&lt;=0,données_step[[#This Row],[E_DBO5]]=""),"",données_step[[#This Row],[D_QTRAI]]*données_step[[#This Row],[E_DBO5]]/1000)</f>
        <v/>
      </c>
      <c r="E68" s="523" t="str">
        <f>IF(OR(données_step[[#This Row],[E_DCO]]&lt;=0,données_step[[#This Row],[E_DCO]]=""),"",données_step[[#This Row],[D_QTRAI]]*données_step[[#This Row],[E_DCO]]/1000)</f>
        <v/>
      </c>
      <c r="F68" s="523" t="str">
        <f>IF(OR(données_step[[#This Row],[E_COT]]&lt;=0,données_step[[#This Row],[E_COT]]=""),"",données_step[[#This Row],[D_QTRAI]]*données_step[[#This Row],[E_COT]]/1000)</f>
        <v/>
      </c>
      <c r="G68" s="523" t="str">
        <f>IF(OR(données_step[[#This Row],[E_NH4]]&lt;=0,données_step[[#This Row],[E_NH4]]=""),"",données_step[[#This Row],[D_QTRAI]]*données_step[[#This Row],[E_NH4]]/1000)</f>
        <v/>
      </c>
      <c r="H68" s="523" t="str">
        <f>IF(OR(données_step[[#This Row],[E_NTOT]]&lt;=0,données_step[[#This Row],[E_NTOT]]=""),"",données_step[[#This Row],[D_QTRAI]]*données_step[[#This Row],[E_NTOT]]/1000)</f>
        <v/>
      </c>
      <c r="I68" s="523" t="str">
        <f>IF(OR(données_step[[#This Row],[E_NTOT]]&lt;=0,données_step[[#This Row],[E_NTOT]]=""),"",données_step[[#This Row],[D_QTRAI]]*données_step[[#This Row],[E_PTOT]]/1000)</f>
        <v/>
      </c>
      <c r="J68" s="523" t="str">
        <f>IF(OR(données_step[[#This Row],[S_DBO5]]&lt;=0,données_step[[#This Row],[S_DBO5]]=""),"",données_step[[#This Row],[D_QTRAI]]*données_step[[#This Row],[S_DBO5]]/1000)</f>
        <v/>
      </c>
      <c r="K68" s="523" t="str">
        <f>IF(OR(données_step[[#This Row],[S_DCO]]&lt;=0,données_step[[#This Row],[S_DCO]]=""),"",données_step[[#This Row],[D_QTRAI]]*données_step[[#This Row],[S_DCO]]/1000)</f>
        <v/>
      </c>
      <c r="L68" s="523" t="str">
        <f>IF(OR(données_step[[#This Row],[S_COD]]&lt;=0,données_step[[#This Row],[S_COD]]=""),"",données_step[[#This Row],[D_QTRAI]]*données_step[[#This Row],[S_COD]]/1000)</f>
        <v/>
      </c>
      <c r="M68" s="523" t="str">
        <f>IF(OR(données_step[[#This Row],[S_NH4]]&lt;=0,données_step[[#This Row],[S_NH4]]=""),"",données_step[[#This Row],[D_QTRAI]]*données_step[[#This Row],[S_NH4]]/1000)</f>
        <v/>
      </c>
      <c r="N68" s="523" t="str">
        <f>IF(OR(données_step[[#This Row],[S_NO2]]&lt;=0,données_step[[#This Row],[S_NO2]]=""),"",données_step[[#This Row],[D_QTRAI]]*données_step[[#This Row],[S_NO2]]/1000)</f>
        <v/>
      </c>
      <c r="O68" s="523" t="str">
        <f>IF(OR(données_step[[#This Row],[S_NO3]]&lt;=0,données_step[[#This Row],[S_NO3]]=""),"",données_step[[#This Row],[D_QTRAI]]*données_step[[#This Row],[S_NO3]]/1000)</f>
        <v/>
      </c>
      <c r="P68" s="523" t="str">
        <f>IF(OR(données_step[[#This Row],[S_PTOT]]&lt;=0,données_step[[#This Row],[S_PTOT]]=""),"",données_step[[#This Row],[D_QTRAI]]*données_step[[#This Row],[S_PTOT]]/1000)</f>
        <v/>
      </c>
      <c r="Q68" s="523" t="str">
        <f>IF(OR(données_step[[#This Row],[S_MES]]&lt;=0,données_step[[#This Row],[S_MES]]=""),"",données_step[[#This Row],[D_QTRAI]]*données_step[[#This Row],[S_MES]]/1000)</f>
        <v/>
      </c>
      <c r="R68" s="523">
        <f>MAX(données_step[[#This Row],[D_QTRAI]],données_step[[#This Row],[D_QTRAI2]])</f>
        <v>0</v>
      </c>
      <c r="S68" s="523" t="str">
        <f>IF(AND($R68&gt;0,données_step[[#This Row],[E_DCO]]&gt;0),données_step[[#This Row],[E_DCO]],"")</f>
        <v/>
      </c>
      <c r="T68" s="523" t="str">
        <f>IF(S68="","",(1-données_step[[#This Row],[E_DCO]]/$V$7)*100)</f>
        <v/>
      </c>
      <c r="U68" s="523" t="str">
        <f t="shared" si="1"/>
        <v/>
      </c>
      <c r="V68" s="523" t="str">
        <f t="shared" si="2"/>
        <v/>
      </c>
      <c r="W68" s="523" t="str">
        <f t="shared" si="3"/>
        <v/>
      </c>
      <c r="X68" s="523" t="e">
        <f>IF(((100-100/$V$7*données_step[[#This Row],[E_DCO]])/100*QTS)&lt;0,NA(),IF(OR(U68&lt;0,U68=""),NA(),((100-100/$V$7*données_step[[#This Row],[E_DCO]])/100*QTS)))</f>
        <v>#NUM!</v>
      </c>
      <c r="Y68" s="523" t="str">
        <f>IF(AND($R68&gt;0,données_step[[#This Row],[E_COT]]&gt;0),données_step[[#This Row],[E_COT]],"")</f>
        <v/>
      </c>
      <c r="Z68" s="523" t="str">
        <f>IF(Y68="","",(1-données_step[[#This Row],[E_COT]]/$AB$7)*100)</f>
        <v/>
      </c>
      <c r="AA68" s="523" t="str">
        <f t="shared" si="4"/>
        <v/>
      </c>
      <c r="AB68" s="523" t="str">
        <f t="shared" si="5"/>
        <v/>
      </c>
      <c r="AC68" s="523" t="str">
        <f t="shared" si="6"/>
        <v/>
      </c>
      <c r="AD68" s="523" t="e">
        <f>IF(((100-100/$AB$7*données_step[[#This Row],[E_COT]])/100*QTS)&lt;0,NA(),IF(OR(AA68&lt;0,AA68=""),NA(),((100-100/$AB$7*données_step[[#This Row],[E_COT]])/100*QTS)))</f>
        <v>#NUM!</v>
      </c>
      <c r="AE68" s="523" t="str">
        <f>IF(AND($R68&gt;0,données_step[[#This Row],[E_NH4]]&gt;0),données_step[[#This Row],[E_NH4]],"")</f>
        <v/>
      </c>
      <c r="AF68" s="523" t="str">
        <f>IF(AE68="","",(1-données_step[[#This Row],[E_NH4]]/$AH$7)*100)</f>
        <v/>
      </c>
      <c r="AG68" s="523" t="str">
        <f t="shared" si="7"/>
        <v/>
      </c>
      <c r="AH68" s="523" t="str">
        <f t="shared" si="8"/>
        <v/>
      </c>
      <c r="AI68" s="523" t="str">
        <f t="shared" si="9"/>
        <v/>
      </c>
      <c r="AJ68" s="523" t="e">
        <f>IF(((100-100/$AH$7*données_step[[#This Row],[E_NH4]])/100*QTS)&lt;0,NA(),IF(OR(AG68&lt;0,AG68=""),NA(),((100-100/$AH$7*données_step[[#This Row],[E_NH4]])/100*QTS)))</f>
        <v>#NUM!</v>
      </c>
      <c r="AK68" s="523" t="str">
        <f>IF(AND($R68&gt;0,données_step[[#This Row],[E_PTOT]]&gt;0),données_step[[#This Row],[E_PTOT]],"")</f>
        <v/>
      </c>
      <c r="AL68" s="523" t="str">
        <f>IF(AK68="","",(1-données_step[[#This Row],[E_PTOT]]/$AN$7)*100)</f>
        <v/>
      </c>
      <c r="AM68" s="523" t="str">
        <f t="shared" si="10"/>
        <v/>
      </c>
      <c r="AN68" s="523" t="str">
        <f t="shared" si="11"/>
        <v/>
      </c>
      <c r="AO68" s="523" t="str">
        <f t="shared" si="12"/>
        <v/>
      </c>
      <c r="AP68" s="523" t="e">
        <f>IF(((100-100/$AN$7*données_step[[#This Row],[E_PTOT]])/100*QTS)&lt;0,NA(),IF(OR(AM68&lt;0,AM68=""),NA(),((100-100/$AN$7*données_step[[#This Row],[E_PTOT]])/100*QTS)))</f>
        <v>#NUM!</v>
      </c>
      <c r="AQ68" s="524" t="e">
        <f t="shared" si="13"/>
        <v>#NUM!</v>
      </c>
      <c r="AR68" s="524" t="str">
        <f t="shared" si="14"/>
        <v/>
      </c>
      <c r="AT68" s="517">
        <f t="shared" si="15"/>
        <v>0.56999999999999995</v>
      </c>
      <c r="AU68" s="501">
        <f t="shared" si="16"/>
        <v>57</v>
      </c>
      <c r="AV68" s="525" t="e">
        <f>PERCENTILE(analyses!$F$11:$F$375,$AT68)</f>
        <v>#NUM!</v>
      </c>
      <c r="AW68" s="7" t="e">
        <f>PERCENTILE(analyses!$I$11:$I$375,$AT68)</f>
        <v>#NUM!</v>
      </c>
      <c r="AX68" s="7" t="e">
        <f>PERCENTILE(analyses!$J$11:$J$375,$AT68)</f>
        <v>#NUM!</v>
      </c>
      <c r="AY68" s="523" t="str">
        <f>_xlfn.IFNA(IF(données_step[[#This Row],[E_DCO]]&lt;=0,NA(),charge_entree[[#This Row],[ch_E_DCO]]/constanten!$B$8*1000),"")</f>
        <v/>
      </c>
      <c r="AZ68" s="523" t="str">
        <f>_xlfn.IFNA(IF(données_step[[#This Row],[E_NTOT]]&lt;=0,NA(),charge_entree[[#This Row],[ch_E_NTOT]]/constanten!$B$10*1000),"")</f>
        <v/>
      </c>
      <c r="BA68" s="523" t="str">
        <f>_xlfn.IFNA(IF(données_step[[#This Row],[E_NH4]]&lt;=0,NA(),charge_entree[[#This Row],[ch_E_NH4]]/constanten!$B$12*1000),"")</f>
        <v/>
      </c>
      <c r="BB68" s="523" t="str">
        <f>_xlfn.IFNA(IF(données_step[[#This Row],[E_COT]]&lt;=0,NA(),charge_entree[[#This Row],[ch_E_COT]]/constanten!$B$9*1000),"")</f>
        <v/>
      </c>
      <c r="BC68" s="523" t="str">
        <f>IFERROR(_xlfn.IFNA(IF(données_step[[#This Row],[E_PTOT]]&lt;=0,NA(),charge_entree[[#This Row],[ch_E_PTOT]]/constanten!$B$15*1000),""),"")</f>
        <v/>
      </c>
      <c r="BD68" s="535" t="e">
        <f>calculs!E68 * (1-0.4) / (données_step[[#This Row],[X_BA_VOL]]*données_step[[#This Row],[X_BACONC]])</f>
        <v>#VALUE!</v>
      </c>
      <c r="BE68" s="522" t="e">
        <f>(données_step[[#This Row],[X_BA_VOL]]*données_step[[#This Row],[X_BACONC]])/((données_step[[#This Row],[D_QTRAI2]]*données_step[[#This Row],[S_MES]]/1000)+(données_step[[#This Row],[X_BX_Q]]*données_step[[#This Row],[X_BXCONC]]))</f>
        <v>#VALUE!</v>
      </c>
      <c r="BF68" s="890" t="str">
        <f>IFERROR(données_step[[#This Row],[D_QTRAI]]/AY68*1000,"")</f>
        <v/>
      </c>
      <c r="BG68" s="535" t="str">
        <f>IFERROR(1-données_step[[#This Row],[S_DBO5]]/données_step[[#This Row],[E_DBO5]],"")</f>
        <v/>
      </c>
      <c r="BH68" s="536" t="str">
        <f>IFERROR(1-données_step[[#This Row],[S_DCO]]/données_step[[#This Row],[E_DCO]],"")</f>
        <v/>
      </c>
      <c r="BI68" s="535" t="str">
        <f>IFERROR(1-données_step[[#This Row],[S_COD]]/données_step[[#This Row],[E_COT]],"")</f>
        <v/>
      </c>
      <c r="BJ68" s="535" t="str">
        <f>IFERROR(1-données_step[[#This Row],[S_NH4]]/données_step[[#This Row],[E_NTOT]],"")</f>
        <v/>
      </c>
      <c r="BK68" s="535" t="str">
        <f>IFERROR(1-données_step[[#This Row],[S_PTOT]]/données_step[[#This Row],[E_PTOT]],"")</f>
        <v/>
      </c>
      <c r="BL68" s="521" t="str">
        <f>IFERROR(IF(données_step[[#This Row],[E_DCO]]/données_step[[#This Row],[E_DBO5]]=0,NA(),données_step[[#This Row],[E_DCO]]/données_step[[#This Row],[E_DBO5]]),"")</f>
        <v/>
      </c>
      <c r="BM68" s="521" t="str">
        <f>IFERROR(IF(données_step[[#This Row],[E_NH4]]/données_step[[#This Row],[E_NTOT]]=0,NA(),données_step[[#This Row],[E_NH4]]/données_step[[#This Row],[E_NTOT]]),"")</f>
        <v/>
      </c>
      <c r="BN68" s="521" t="str">
        <f>IFERROR(IF(données_step[[#This Row],[E_NTOT]]/données_step[[#This Row],[E_COT]]=0,NA(),données_step[[#This Row],[E_NTOT]]/données_step[[#This Row],[E_COT]]),"")</f>
        <v/>
      </c>
      <c r="BO68" s="521" t="str">
        <f>IFERROR(IF(données_step[[#This Row],[E_PTOT]]/données_step[[#This Row],[E_COT]]=0,NA(),données_step[[#This Row],[E_PTOT]]/données_step[[#This Row],[E_COT]]),"")</f>
        <v/>
      </c>
      <c r="BP68" s="521" t="e">
        <f>IF(données_step[[#This Row],[E_DCO]]/données_step[[#This Row],[E_COT]]=0,NA(),données_step[[#This Row],[E_DCO]]/données_step[[#This Row],[E_COT]])</f>
        <v>#DIV/0!</v>
      </c>
      <c r="BQ68" s="521" t="e">
        <f>IF(données_step[[#This Row],[E_NTOT]]/données_step[[#This Row],[E_DCO]]=0,NA(),données_step[[#This Row],[E_NTOT]]/données_step[[#This Row],[E_DCO]])</f>
        <v>#DIV/0!</v>
      </c>
      <c r="BR68" s="521" t="e">
        <f>IF(données_step[[#This Row],[E_PTOT]]/données_step[[#This Row],[E_DCO]]=0,NA(),données_step[[#This Row],[E_PTOT]]/données_step[[#This Row],[E_DCO]])</f>
        <v>#DIV/0!</v>
      </c>
      <c r="BS68" s="747" t="e">
        <f ca="1">test_NH4_temp(données_step[[#This Row],[S_NH4]],données_step[[#This Row],[Temp_eaux]])</f>
        <v>#NAME?</v>
      </c>
    </row>
    <row r="69" spans="1:71" x14ac:dyDescent="0.2">
      <c r="A69" s="222">
        <f>données_step[[#This Row],[Datum]]</f>
        <v>44620</v>
      </c>
      <c r="B69" s="223"/>
      <c r="C69" s="224">
        <f t="shared" si="0"/>
        <v>2</v>
      </c>
      <c r="D69" s="523" t="str">
        <f>IF(OR(données_step[[#This Row],[E_DBO5]]&lt;=0,données_step[[#This Row],[E_DBO5]]=""),"",données_step[[#This Row],[D_QTRAI]]*données_step[[#This Row],[E_DBO5]]/1000)</f>
        <v/>
      </c>
      <c r="E69" s="523" t="str">
        <f>IF(OR(données_step[[#This Row],[E_DCO]]&lt;=0,données_step[[#This Row],[E_DCO]]=""),"",données_step[[#This Row],[D_QTRAI]]*données_step[[#This Row],[E_DCO]]/1000)</f>
        <v/>
      </c>
      <c r="F69" s="523" t="str">
        <f>IF(OR(données_step[[#This Row],[E_COT]]&lt;=0,données_step[[#This Row],[E_COT]]=""),"",données_step[[#This Row],[D_QTRAI]]*données_step[[#This Row],[E_COT]]/1000)</f>
        <v/>
      </c>
      <c r="G69" s="523" t="str">
        <f>IF(OR(données_step[[#This Row],[E_NH4]]&lt;=0,données_step[[#This Row],[E_NH4]]=""),"",données_step[[#This Row],[D_QTRAI]]*données_step[[#This Row],[E_NH4]]/1000)</f>
        <v/>
      </c>
      <c r="H69" s="523" t="str">
        <f>IF(OR(données_step[[#This Row],[E_NTOT]]&lt;=0,données_step[[#This Row],[E_NTOT]]=""),"",données_step[[#This Row],[D_QTRAI]]*données_step[[#This Row],[E_NTOT]]/1000)</f>
        <v/>
      </c>
      <c r="I69" s="523" t="str">
        <f>IF(OR(données_step[[#This Row],[E_NTOT]]&lt;=0,données_step[[#This Row],[E_NTOT]]=""),"",données_step[[#This Row],[D_QTRAI]]*données_step[[#This Row],[E_PTOT]]/1000)</f>
        <v/>
      </c>
      <c r="J69" s="523" t="str">
        <f>IF(OR(données_step[[#This Row],[S_DBO5]]&lt;=0,données_step[[#This Row],[S_DBO5]]=""),"",données_step[[#This Row],[D_QTRAI]]*données_step[[#This Row],[S_DBO5]]/1000)</f>
        <v/>
      </c>
      <c r="K69" s="523" t="str">
        <f>IF(OR(données_step[[#This Row],[S_DCO]]&lt;=0,données_step[[#This Row],[S_DCO]]=""),"",données_step[[#This Row],[D_QTRAI]]*données_step[[#This Row],[S_DCO]]/1000)</f>
        <v/>
      </c>
      <c r="L69" s="523" t="str">
        <f>IF(OR(données_step[[#This Row],[S_COD]]&lt;=0,données_step[[#This Row],[S_COD]]=""),"",données_step[[#This Row],[D_QTRAI]]*données_step[[#This Row],[S_COD]]/1000)</f>
        <v/>
      </c>
      <c r="M69" s="523" t="str">
        <f>IF(OR(données_step[[#This Row],[S_NH4]]&lt;=0,données_step[[#This Row],[S_NH4]]=""),"",données_step[[#This Row],[D_QTRAI]]*données_step[[#This Row],[S_NH4]]/1000)</f>
        <v/>
      </c>
      <c r="N69" s="523" t="str">
        <f>IF(OR(données_step[[#This Row],[S_NO2]]&lt;=0,données_step[[#This Row],[S_NO2]]=""),"",données_step[[#This Row],[D_QTRAI]]*données_step[[#This Row],[S_NO2]]/1000)</f>
        <v/>
      </c>
      <c r="O69" s="523" t="str">
        <f>IF(OR(données_step[[#This Row],[S_NO3]]&lt;=0,données_step[[#This Row],[S_NO3]]=""),"",données_step[[#This Row],[D_QTRAI]]*données_step[[#This Row],[S_NO3]]/1000)</f>
        <v/>
      </c>
      <c r="P69" s="523" t="str">
        <f>IF(OR(données_step[[#This Row],[S_PTOT]]&lt;=0,données_step[[#This Row],[S_PTOT]]=""),"",données_step[[#This Row],[D_QTRAI]]*données_step[[#This Row],[S_PTOT]]/1000)</f>
        <v/>
      </c>
      <c r="Q69" s="523" t="str">
        <f>IF(OR(données_step[[#This Row],[S_MES]]&lt;=0,données_step[[#This Row],[S_MES]]=""),"",données_step[[#This Row],[D_QTRAI]]*données_step[[#This Row],[S_MES]]/1000)</f>
        <v/>
      </c>
      <c r="R69" s="523">
        <f>MAX(données_step[[#This Row],[D_QTRAI]],données_step[[#This Row],[D_QTRAI2]])</f>
        <v>0</v>
      </c>
      <c r="S69" s="523" t="str">
        <f>IF(AND($R69&gt;0,données_step[[#This Row],[E_DCO]]&gt;0),données_step[[#This Row],[E_DCO]],"")</f>
        <v/>
      </c>
      <c r="T69" s="523" t="str">
        <f>IF(S69="","",(1-données_step[[#This Row],[E_DCO]]/$V$7)*100)</f>
        <v/>
      </c>
      <c r="U69" s="523" t="str">
        <f t="shared" si="1"/>
        <v/>
      </c>
      <c r="V69" s="523" t="str">
        <f t="shared" si="2"/>
        <v/>
      </c>
      <c r="W69" s="523" t="str">
        <f t="shared" si="3"/>
        <v/>
      </c>
      <c r="X69" s="523" t="e">
        <f>IF(((100-100/$V$7*données_step[[#This Row],[E_DCO]])/100*QTS)&lt;0,NA(),IF(OR(U69&lt;0,U69=""),NA(),((100-100/$V$7*données_step[[#This Row],[E_DCO]])/100*QTS)))</f>
        <v>#NUM!</v>
      </c>
      <c r="Y69" s="523" t="str">
        <f>IF(AND($R69&gt;0,données_step[[#This Row],[E_COT]]&gt;0),données_step[[#This Row],[E_COT]],"")</f>
        <v/>
      </c>
      <c r="Z69" s="523" t="str">
        <f>IF(Y69="","",(1-données_step[[#This Row],[E_COT]]/$AB$7)*100)</f>
        <v/>
      </c>
      <c r="AA69" s="523" t="str">
        <f t="shared" si="4"/>
        <v/>
      </c>
      <c r="AB69" s="523" t="str">
        <f t="shared" si="5"/>
        <v/>
      </c>
      <c r="AC69" s="523" t="str">
        <f t="shared" si="6"/>
        <v/>
      </c>
      <c r="AD69" s="523" t="e">
        <f>IF(((100-100/$AB$7*données_step[[#This Row],[E_COT]])/100*QTS)&lt;0,NA(),IF(OR(AA69&lt;0,AA69=""),NA(),((100-100/$AB$7*données_step[[#This Row],[E_COT]])/100*QTS)))</f>
        <v>#NUM!</v>
      </c>
      <c r="AE69" s="523" t="str">
        <f>IF(AND($R69&gt;0,données_step[[#This Row],[E_NH4]]&gt;0),données_step[[#This Row],[E_NH4]],"")</f>
        <v/>
      </c>
      <c r="AF69" s="523" t="str">
        <f>IF(AE69="","",(1-données_step[[#This Row],[E_NH4]]/$AH$7)*100)</f>
        <v/>
      </c>
      <c r="AG69" s="523" t="str">
        <f t="shared" si="7"/>
        <v/>
      </c>
      <c r="AH69" s="523" t="str">
        <f t="shared" si="8"/>
        <v/>
      </c>
      <c r="AI69" s="523" t="str">
        <f t="shared" si="9"/>
        <v/>
      </c>
      <c r="AJ69" s="523" t="e">
        <f>IF(((100-100/$AH$7*données_step[[#This Row],[E_NH4]])/100*QTS)&lt;0,NA(),IF(OR(AG69&lt;0,AG69=""),NA(),((100-100/$AH$7*données_step[[#This Row],[E_NH4]])/100*QTS)))</f>
        <v>#NUM!</v>
      </c>
      <c r="AK69" s="523" t="str">
        <f>IF(AND($R69&gt;0,données_step[[#This Row],[E_PTOT]]&gt;0),données_step[[#This Row],[E_PTOT]],"")</f>
        <v/>
      </c>
      <c r="AL69" s="523" t="str">
        <f>IF(AK69="","",(1-données_step[[#This Row],[E_PTOT]]/$AN$7)*100)</f>
        <v/>
      </c>
      <c r="AM69" s="523" t="str">
        <f t="shared" si="10"/>
        <v/>
      </c>
      <c r="AN69" s="523" t="str">
        <f t="shared" si="11"/>
        <v/>
      </c>
      <c r="AO69" s="523" t="str">
        <f t="shared" si="12"/>
        <v/>
      </c>
      <c r="AP69" s="523" t="e">
        <f>IF(((100-100/$AN$7*données_step[[#This Row],[E_PTOT]])/100*QTS)&lt;0,NA(),IF(OR(AM69&lt;0,AM69=""),NA(),((100-100/$AN$7*données_step[[#This Row],[E_PTOT]])/100*QTS)))</f>
        <v>#NUM!</v>
      </c>
      <c r="AQ69" s="524" t="e">
        <f t="shared" si="13"/>
        <v>#NUM!</v>
      </c>
      <c r="AR69" s="524" t="str">
        <f t="shared" si="14"/>
        <v/>
      </c>
      <c r="AT69" s="517">
        <f t="shared" si="15"/>
        <v>0.57999999999999996</v>
      </c>
      <c r="AU69" s="501">
        <f t="shared" si="16"/>
        <v>58</v>
      </c>
      <c r="AV69" s="525" t="e">
        <f>PERCENTILE(analyses!$F$11:$F$375,$AT69)</f>
        <v>#NUM!</v>
      </c>
      <c r="AW69" s="7" t="e">
        <f>PERCENTILE(analyses!$I$11:$I$375,$AT69)</f>
        <v>#NUM!</v>
      </c>
      <c r="AX69" s="7" t="e">
        <f>PERCENTILE(analyses!$J$11:$J$375,$AT69)</f>
        <v>#NUM!</v>
      </c>
      <c r="AY69" s="523" t="str">
        <f>_xlfn.IFNA(IF(données_step[[#This Row],[E_DCO]]&lt;=0,NA(),charge_entree[[#This Row],[ch_E_DCO]]/constanten!$B$8*1000),"")</f>
        <v/>
      </c>
      <c r="AZ69" s="523" t="str">
        <f>_xlfn.IFNA(IF(données_step[[#This Row],[E_NTOT]]&lt;=0,NA(),charge_entree[[#This Row],[ch_E_NTOT]]/constanten!$B$10*1000),"")</f>
        <v/>
      </c>
      <c r="BA69" s="523" t="str">
        <f>_xlfn.IFNA(IF(données_step[[#This Row],[E_NH4]]&lt;=0,NA(),charge_entree[[#This Row],[ch_E_NH4]]/constanten!$B$12*1000),"")</f>
        <v/>
      </c>
      <c r="BB69" s="523" t="str">
        <f>_xlfn.IFNA(IF(données_step[[#This Row],[E_COT]]&lt;=0,NA(),charge_entree[[#This Row],[ch_E_COT]]/constanten!$B$9*1000),"")</f>
        <v/>
      </c>
      <c r="BC69" s="523" t="str">
        <f>IFERROR(_xlfn.IFNA(IF(données_step[[#This Row],[E_PTOT]]&lt;=0,NA(),charge_entree[[#This Row],[ch_E_PTOT]]/constanten!$B$15*1000),""),"")</f>
        <v/>
      </c>
      <c r="BD69" s="535" t="e">
        <f>calculs!E69 * (1-0.4) / (données_step[[#This Row],[X_BA_VOL]]*données_step[[#This Row],[X_BACONC]])</f>
        <v>#VALUE!</v>
      </c>
      <c r="BE69" s="522" t="e">
        <f>(données_step[[#This Row],[X_BA_VOL]]*données_step[[#This Row],[X_BACONC]])/((données_step[[#This Row],[D_QTRAI2]]*données_step[[#This Row],[S_MES]]/1000)+(données_step[[#This Row],[X_BX_Q]]*données_step[[#This Row],[X_BXCONC]]))</f>
        <v>#VALUE!</v>
      </c>
      <c r="BF69" s="890" t="str">
        <f>IFERROR(données_step[[#This Row],[D_QTRAI]]/AY69*1000,"")</f>
        <v/>
      </c>
      <c r="BG69" s="535" t="str">
        <f>IFERROR(1-données_step[[#This Row],[S_DBO5]]/données_step[[#This Row],[E_DBO5]],"")</f>
        <v/>
      </c>
      <c r="BH69" s="536" t="str">
        <f>IFERROR(1-données_step[[#This Row],[S_DCO]]/données_step[[#This Row],[E_DCO]],"")</f>
        <v/>
      </c>
      <c r="BI69" s="535" t="str">
        <f>IFERROR(1-données_step[[#This Row],[S_COD]]/données_step[[#This Row],[E_COT]],"")</f>
        <v/>
      </c>
      <c r="BJ69" s="535" t="str">
        <f>IFERROR(1-données_step[[#This Row],[S_NH4]]/données_step[[#This Row],[E_NTOT]],"")</f>
        <v/>
      </c>
      <c r="BK69" s="535" t="str">
        <f>IFERROR(1-données_step[[#This Row],[S_PTOT]]/données_step[[#This Row],[E_PTOT]],"")</f>
        <v/>
      </c>
      <c r="BL69" s="521" t="str">
        <f>IFERROR(IF(données_step[[#This Row],[E_DCO]]/données_step[[#This Row],[E_DBO5]]=0,NA(),données_step[[#This Row],[E_DCO]]/données_step[[#This Row],[E_DBO5]]),"")</f>
        <v/>
      </c>
      <c r="BM69" s="521" t="str">
        <f>IFERROR(IF(données_step[[#This Row],[E_NH4]]/données_step[[#This Row],[E_NTOT]]=0,NA(),données_step[[#This Row],[E_NH4]]/données_step[[#This Row],[E_NTOT]]),"")</f>
        <v/>
      </c>
      <c r="BN69" s="521" t="str">
        <f>IFERROR(IF(données_step[[#This Row],[E_NTOT]]/données_step[[#This Row],[E_COT]]=0,NA(),données_step[[#This Row],[E_NTOT]]/données_step[[#This Row],[E_COT]]),"")</f>
        <v/>
      </c>
      <c r="BO69" s="521" t="str">
        <f>IFERROR(IF(données_step[[#This Row],[E_PTOT]]/données_step[[#This Row],[E_COT]]=0,NA(),données_step[[#This Row],[E_PTOT]]/données_step[[#This Row],[E_COT]]),"")</f>
        <v/>
      </c>
      <c r="BP69" s="521" t="e">
        <f>IF(données_step[[#This Row],[E_DCO]]/données_step[[#This Row],[E_COT]]=0,NA(),données_step[[#This Row],[E_DCO]]/données_step[[#This Row],[E_COT]])</f>
        <v>#DIV/0!</v>
      </c>
      <c r="BQ69" s="521" t="e">
        <f>IF(données_step[[#This Row],[E_NTOT]]/données_step[[#This Row],[E_DCO]]=0,NA(),données_step[[#This Row],[E_NTOT]]/données_step[[#This Row],[E_DCO]])</f>
        <v>#DIV/0!</v>
      </c>
      <c r="BR69" s="521" t="e">
        <f>IF(données_step[[#This Row],[E_PTOT]]/données_step[[#This Row],[E_DCO]]=0,NA(),données_step[[#This Row],[E_PTOT]]/données_step[[#This Row],[E_DCO]])</f>
        <v>#DIV/0!</v>
      </c>
      <c r="BS69" s="747" t="e">
        <f ca="1">test_NH4_temp(données_step[[#This Row],[S_NH4]],données_step[[#This Row],[Temp_eaux]])</f>
        <v>#NAME?</v>
      </c>
    </row>
    <row r="70" spans="1:71" x14ac:dyDescent="0.2">
      <c r="A70" s="222">
        <f>données_step[[#This Row],[Datum]]</f>
        <v>44621</v>
      </c>
      <c r="B70" s="223"/>
      <c r="C70" s="224">
        <f t="shared" si="0"/>
        <v>3</v>
      </c>
      <c r="D70" s="523" t="str">
        <f>IF(OR(données_step[[#This Row],[E_DBO5]]&lt;=0,données_step[[#This Row],[E_DBO5]]=""),"",données_step[[#This Row],[D_QTRAI]]*données_step[[#This Row],[E_DBO5]]/1000)</f>
        <v/>
      </c>
      <c r="E70" s="523" t="str">
        <f>IF(OR(données_step[[#This Row],[E_DCO]]&lt;=0,données_step[[#This Row],[E_DCO]]=""),"",données_step[[#This Row],[D_QTRAI]]*données_step[[#This Row],[E_DCO]]/1000)</f>
        <v/>
      </c>
      <c r="F70" s="523" t="str">
        <f>IF(OR(données_step[[#This Row],[E_COT]]&lt;=0,données_step[[#This Row],[E_COT]]=""),"",données_step[[#This Row],[D_QTRAI]]*données_step[[#This Row],[E_COT]]/1000)</f>
        <v/>
      </c>
      <c r="G70" s="523" t="str">
        <f>IF(OR(données_step[[#This Row],[E_NH4]]&lt;=0,données_step[[#This Row],[E_NH4]]=""),"",données_step[[#This Row],[D_QTRAI]]*données_step[[#This Row],[E_NH4]]/1000)</f>
        <v/>
      </c>
      <c r="H70" s="523" t="str">
        <f>IF(OR(données_step[[#This Row],[E_NTOT]]&lt;=0,données_step[[#This Row],[E_NTOT]]=""),"",données_step[[#This Row],[D_QTRAI]]*données_step[[#This Row],[E_NTOT]]/1000)</f>
        <v/>
      </c>
      <c r="I70" s="523" t="str">
        <f>IF(OR(données_step[[#This Row],[E_NTOT]]&lt;=0,données_step[[#This Row],[E_NTOT]]=""),"",données_step[[#This Row],[D_QTRAI]]*données_step[[#This Row],[E_PTOT]]/1000)</f>
        <v/>
      </c>
      <c r="J70" s="523" t="str">
        <f>IF(OR(données_step[[#This Row],[S_DBO5]]&lt;=0,données_step[[#This Row],[S_DBO5]]=""),"",données_step[[#This Row],[D_QTRAI]]*données_step[[#This Row],[S_DBO5]]/1000)</f>
        <v/>
      </c>
      <c r="K70" s="523" t="str">
        <f>IF(OR(données_step[[#This Row],[S_DCO]]&lt;=0,données_step[[#This Row],[S_DCO]]=""),"",données_step[[#This Row],[D_QTRAI]]*données_step[[#This Row],[S_DCO]]/1000)</f>
        <v/>
      </c>
      <c r="L70" s="523" t="str">
        <f>IF(OR(données_step[[#This Row],[S_COD]]&lt;=0,données_step[[#This Row],[S_COD]]=""),"",données_step[[#This Row],[D_QTRAI]]*données_step[[#This Row],[S_COD]]/1000)</f>
        <v/>
      </c>
      <c r="M70" s="523" t="str">
        <f>IF(OR(données_step[[#This Row],[S_NH4]]&lt;=0,données_step[[#This Row],[S_NH4]]=""),"",données_step[[#This Row],[D_QTRAI]]*données_step[[#This Row],[S_NH4]]/1000)</f>
        <v/>
      </c>
      <c r="N70" s="523" t="str">
        <f>IF(OR(données_step[[#This Row],[S_NO2]]&lt;=0,données_step[[#This Row],[S_NO2]]=""),"",données_step[[#This Row],[D_QTRAI]]*données_step[[#This Row],[S_NO2]]/1000)</f>
        <v/>
      </c>
      <c r="O70" s="523" t="str">
        <f>IF(OR(données_step[[#This Row],[S_NO3]]&lt;=0,données_step[[#This Row],[S_NO3]]=""),"",données_step[[#This Row],[D_QTRAI]]*données_step[[#This Row],[S_NO3]]/1000)</f>
        <v/>
      </c>
      <c r="P70" s="523" t="str">
        <f>IF(OR(données_step[[#This Row],[S_PTOT]]&lt;=0,données_step[[#This Row],[S_PTOT]]=""),"",données_step[[#This Row],[D_QTRAI]]*données_step[[#This Row],[S_PTOT]]/1000)</f>
        <v/>
      </c>
      <c r="Q70" s="523" t="str">
        <f>IF(OR(données_step[[#This Row],[S_MES]]&lt;=0,données_step[[#This Row],[S_MES]]=""),"",données_step[[#This Row],[D_QTRAI]]*données_step[[#This Row],[S_MES]]/1000)</f>
        <v/>
      </c>
      <c r="R70" s="523">
        <f>MAX(données_step[[#This Row],[D_QTRAI]],données_step[[#This Row],[D_QTRAI2]])</f>
        <v>0</v>
      </c>
      <c r="S70" s="523" t="str">
        <f>IF(AND($R70&gt;0,données_step[[#This Row],[E_DCO]]&gt;0),données_step[[#This Row],[E_DCO]],"")</f>
        <v/>
      </c>
      <c r="T70" s="523" t="str">
        <f>IF(S70="","",(1-données_step[[#This Row],[E_DCO]]/$V$7)*100)</f>
        <v/>
      </c>
      <c r="U70" s="523" t="str">
        <f t="shared" si="1"/>
        <v/>
      </c>
      <c r="V70" s="523" t="str">
        <f t="shared" si="2"/>
        <v/>
      </c>
      <c r="W70" s="523" t="str">
        <f t="shared" si="3"/>
        <v/>
      </c>
      <c r="X70" s="523" t="e">
        <f>IF(((100-100/$V$7*données_step[[#This Row],[E_DCO]])/100*QTS)&lt;0,NA(),IF(OR(U70&lt;0,U70=""),NA(),((100-100/$V$7*données_step[[#This Row],[E_DCO]])/100*QTS)))</f>
        <v>#NUM!</v>
      </c>
      <c r="Y70" s="523" t="str">
        <f>IF(AND($R70&gt;0,données_step[[#This Row],[E_COT]]&gt;0),données_step[[#This Row],[E_COT]],"")</f>
        <v/>
      </c>
      <c r="Z70" s="523" t="str">
        <f>IF(Y70="","",(1-données_step[[#This Row],[E_COT]]/$AB$7)*100)</f>
        <v/>
      </c>
      <c r="AA70" s="523" t="str">
        <f t="shared" si="4"/>
        <v/>
      </c>
      <c r="AB70" s="523" t="str">
        <f t="shared" si="5"/>
        <v/>
      </c>
      <c r="AC70" s="523" t="str">
        <f t="shared" si="6"/>
        <v/>
      </c>
      <c r="AD70" s="523" t="e">
        <f>IF(((100-100/$AB$7*données_step[[#This Row],[E_COT]])/100*QTS)&lt;0,NA(),IF(OR(AA70&lt;0,AA70=""),NA(),((100-100/$AB$7*données_step[[#This Row],[E_COT]])/100*QTS)))</f>
        <v>#NUM!</v>
      </c>
      <c r="AE70" s="523" t="str">
        <f>IF(AND($R70&gt;0,données_step[[#This Row],[E_NH4]]&gt;0),données_step[[#This Row],[E_NH4]],"")</f>
        <v/>
      </c>
      <c r="AF70" s="523" t="str">
        <f>IF(AE70="","",(1-données_step[[#This Row],[E_NH4]]/$AH$7)*100)</f>
        <v/>
      </c>
      <c r="AG70" s="523" t="str">
        <f t="shared" si="7"/>
        <v/>
      </c>
      <c r="AH70" s="523" t="str">
        <f t="shared" si="8"/>
        <v/>
      </c>
      <c r="AI70" s="523" t="str">
        <f t="shared" si="9"/>
        <v/>
      </c>
      <c r="AJ70" s="523" t="e">
        <f>IF(((100-100/$AH$7*données_step[[#This Row],[E_NH4]])/100*QTS)&lt;0,NA(),IF(OR(AG70&lt;0,AG70=""),NA(),((100-100/$AH$7*données_step[[#This Row],[E_NH4]])/100*QTS)))</f>
        <v>#NUM!</v>
      </c>
      <c r="AK70" s="523" t="str">
        <f>IF(AND($R70&gt;0,données_step[[#This Row],[E_PTOT]]&gt;0),données_step[[#This Row],[E_PTOT]],"")</f>
        <v/>
      </c>
      <c r="AL70" s="523" t="str">
        <f>IF(AK70="","",(1-données_step[[#This Row],[E_PTOT]]/$AN$7)*100)</f>
        <v/>
      </c>
      <c r="AM70" s="523" t="str">
        <f t="shared" si="10"/>
        <v/>
      </c>
      <c r="AN70" s="523" t="str">
        <f t="shared" si="11"/>
        <v/>
      </c>
      <c r="AO70" s="523" t="str">
        <f t="shared" si="12"/>
        <v/>
      </c>
      <c r="AP70" s="523" t="e">
        <f>IF(((100-100/$AN$7*données_step[[#This Row],[E_PTOT]])/100*QTS)&lt;0,NA(),IF(OR(AM70&lt;0,AM70=""),NA(),((100-100/$AN$7*données_step[[#This Row],[E_PTOT]])/100*QTS)))</f>
        <v>#NUM!</v>
      </c>
      <c r="AQ70" s="524" t="e">
        <f t="shared" si="13"/>
        <v>#NUM!</v>
      </c>
      <c r="AR70" s="524" t="str">
        <f t="shared" si="14"/>
        <v/>
      </c>
      <c r="AT70" s="517">
        <f t="shared" si="15"/>
        <v>0.59</v>
      </c>
      <c r="AU70" s="501">
        <f t="shared" si="16"/>
        <v>59</v>
      </c>
      <c r="AV70" s="525" t="e">
        <f>PERCENTILE(analyses!$F$11:$F$375,$AT70)</f>
        <v>#NUM!</v>
      </c>
      <c r="AW70" s="7" t="e">
        <f>PERCENTILE(analyses!$I$11:$I$375,$AT70)</f>
        <v>#NUM!</v>
      </c>
      <c r="AX70" s="7" t="e">
        <f>PERCENTILE(analyses!$J$11:$J$375,$AT70)</f>
        <v>#NUM!</v>
      </c>
      <c r="AY70" s="523" t="str">
        <f>_xlfn.IFNA(IF(données_step[[#This Row],[E_DCO]]&lt;=0,NA(),charge_entree[[#This Row],[ch_E_DCO]]/constanten!$B$8*1000),"")</f>
        <v/>
      </c>
      <c r="AZ70" s="523" t="str">
        <f>_xlfn.IFNA(IF(données_step[[#This Row],[E_NTOT]]&lt;=0,NA(),charge_entree[[#This Row],[ch_E_NTOT]]/constanten!$B$10*1000),"")</f>
        <v/>
      </c>
      <c r="BA70" s="523" t="str">
        <f>_xlfn.IFNA(IF(données_step[[#This Row],[E_NH4]]&lt;=0,NA(),charge_entree[[#This Row],[ch_E_NH4]]/constanten!$B$12*1000),"")</f>
        <v/>
      </c>
      <c r="BB70" s="523" t="str">
        <f>_xlfn.IFNA(IF(données_step[[#This Row],[E_COT]]&lt;=0,NA(),charge_entree[[#This Row],[ch_E_COT]]/constanten!$B$9*1000),"")</f>
        <v/>
      </c>
      <c r="BC70" s="523" t="str">
        <f>IFERROR(_xlfn.IFNA(IF(données_step[[#This Row],[E_PTOT]]&lt;=0,NA(),charge_entree[[#This Row],[ch_E_PTOT]]/constanten!$B$15*1000),""),"")</f>
        <v/>
      </c>
      <c r="BD70" s="535" t="e">
        <f>calculs!E70 * (1-0.4) / (données_step[[#This Row],[X_BA_VOL]]*données_step[[#This Row],[X_BACONC]])</f>
        <v>#VALUE!</v>
      </c>
      <c r="BE70" s="522" t="e">
        <f>(données_step[[#This Row],[X_BA_VOL]]*données_step[[#This Row],[X_BACONC]])/((données_step[[#This Row],[D_QTRAI2]]*données_step[[#This Row],[S_MES]]/1000)+(données_step[[#This Row],[X_BX_Q]]*données_step[[#This Row],[X_BXCONC]]))</f>
        <v>#VALUE!</v>
      </c>
      <c r="BF70" s="890" t="str">
        <f>IFERROR(données_step[[#This Row],[D_QTRAI]]/AY70*1000,"")</f>
        <v/>
      </c>
      <c r="BG70" s="535" t="str">
        <f>IFERROR(1-données_step[[#This Row],[S_DBO5]]/données_step[[#This Row],[E_DBO5]],"")</f>
        <v/>
      </c>
      <c r="BH70" s="536" t="str">
        <f>IFERROR(1-données_step[[#This Row],[S_DCO]]/données_step[[#This Row],[E_DCO]],"")</f>
        <v/>
      </c>
      <c r="BI70" s="535" t="str">
        <f>IFERROR(1-données_step[[#This Row],[S_COD]]/données_step[[#This Row],[E_COT]],"")</f>
        <v/>
      </c>
      <c r="BJ70" s="535" t="str">
        <f>IFERROR(1-données_step[[#This Row],[S_NH4]]/données_step[[#This Row],[E_NTOT]],"")</f>
        <v/>
      </c>
      <c r="BK70" s="535" t="str">
        <f>IFERROR(1-données_step[[#This Row],[S_PTOT]]/données_step[[#This Row],[E_PTOT]],"")</f>
        <v/>
      </c>
      <c r="BL70" s="521" t="str">
        <f>IFERROR(IF(données_step[[#This Row],[E_DCO]]/données_step[[#This Row],[E_DBO5]]=0,NA(),données_step[[#This Row],[E_DCO]]/données_step[[#This Row],[E_DBO5]]),"")</f>
        <v/>
      </c>
      <c r="BM70" s="521" t="str">
        <f>IFERROR(IF(données_step[[#This Row],[E_NH4]]/données_step[[#This Row],[E_NTOT]]=0,NA(),données_step[[#This Row],[E_NH4]]/données_step[[#This Row],[E_NTOT]]),"")</f>
        <v/>
      </c>
      <c r="BN70" s="521" t="str">
        <f>IFERROR(IF(données_step[[#This Row],[E_NTOT]]/données_step[[#This Row],[E_COT]]=0,NA(),données_step[[#This Row],[E_NTOT]]/données_step[[#This Row],[E_COT]]),"")</f>
        <v/>
      </c>
      <c r="BO70" s="521" t="str">
        <f>IFERROR(IF(données_step[[#This Row],[E_PTOT]]/données_step[[#This Row],[E_COT]]=0,NA(),données_step[[#This Row],[E_PTOT]]/données_step[[#This Row],[E_COT]]),"")</f>
        <v/>
      </c>
      <c r="BP70" s="521" t="e">
        <f>IF(données_step[[#This Row],[E_DCO]]/données_step[[#This Row],[E_COT]]=0,NA(),données_step[[#This Row],[E_DCO]]/données_step[[#This Row],[E_COT]])</f>
        <v>#DIV/0!</v>
      </c>
      <c r="BQ70" s="521" t="e">
        <f>IF(données_step[[#This Row],[E_NTOT]]/données_step[[#This Row],[E_DCO]]=0,NA(),données_step[[#This Row],[E_NTOT]]/données_step[[#This Row],[E_DCO]])</f>
        <v>#DIV/0!</v>
      </c>
      <c r="BR70" s="521" t="e">
        <f>IF(données_step[[#This Row],[E_PTOT]]/données_step[[#This Row],[E_DCO]]=0,NA(),données_step[[#This Row],[E_PTOT]]/données_step[[#This Row],[E_DCO]])</f>
        <v>#DIV/0!</v>
      </c>
      <c r="BS70" s="747" t="e">
        <f ca="1">test_NH4_temp(données_step[[#This Row],[S_NH4]],données_step[[#This Row],[Temp_eaux]])</f>
        <v>#NAME?</v>
      </c>
    </row>
    <row r="71" spans="1:71" x14ac:dyDescent="0.2">
      <c r="A71" s="222">
        <f>données_step[[#This Row],[Datum]]</f>
        <v>44622</v>
      </c>
      <c r="B71" s="223"/>
      <c r="C71" s="224">
        <f t="shared" si="0"/>
        <v>4</v>
      </c>
      <c r="D71" s="523" t="str">
        <f>IF(OR(données_step[[#This Row],[E_DBO5]]&lt;=0,données_step[[#This Row],[E_DBO5]]=""),"",données_step[[#This Row],[D_QTRAI]]*données_step[[#This Row],[E_DBO5]]/1000)</f>
        <v/>
      </c>
      <c r="E71" s="523" t="str">
        <f>IF(OR(données_step[[#This Row],[E_DCO]]&lt;=0,données_step[[#This Row],[E_DCO]]=""),"",données_step[[#This Row],[D_QTRAI]]*données_step[[#This Row],[E_DCO]]/1000)</f>
        <v/>
      </c>
      <c r="F71" s="523" t="str">
        <f>IF(OR(données_step[[#This Row],[E_COT]]&lt;=0,données_step[[#This Row],[E_COT]]=""),"",données_step[[#This Row],[D_QTRAI]]*données_step[[#This Row],[E_COT]]/1000)</f>
        <v/>
      </c>
      <c r="G71" s="523" t="str">
        <f>IF(OR(données_step[[#This Row],[E_NH4]]&lt;=0,données_step[[#This Row],[E_NH4]]=""),"",données_step[[#This Row],[D_QTRAI]]*données_step[[#This Row],[E_NH4]]/1000)</f>
        <v/>
      </c>
      <c r="H71" s="523" t="str">
        <f>IF(OR(données_step[[#This Row],[E_NTOT]]&lt;=0,données_step[[#This Row],[E_NTOT]]=""),"",données_step[[#This Row],[D_QTRAI]]*données_step[[#This Row],[E_NTOT]]/1000)</f>
        <v/>
      </c>
      <c r="I71" s="523" t="str">
        <f>IF(OR(données_step[[#This Row],[E_NTOT]]&lt;=0,données_step[[#This Row],[E_NTOT]]=""),"",données_step[[#This Row],[D_QTRAI]]*données_step[[#This Row],[E_PTOT]]/1000)</f>
        <v/>
      </c>
      <c r="J71" s="523" t="str">
        <f>IF(OR(données_step[[#This Row],[S_DBO5]]&lt;=0,données_step[[#This Row],[S_DBO5]]=""),"",données_step[[#This Row],[D_QTRAI]]*données_step[[#This Row],[S_DBO5]]/1000)</f>
        <v/>
      </c>
      <c r="K71" s="523" t="str">
        <f>IF(OR(données_step[[#This Row],[S_DCO]]&lt;=0,données_step[[#This Row],[S_DCO]]=""),"",données_step[[#This Row],[D_QTRAI]]*données_step[[#This Row],[S_DCO]]/1000)</f>
        <v/>
      </c>
      <c r="L71" s="523" t="str">
        <f>IF(OR(données_step[[#This Row],[S_COD]]&lt;=0,données_step[[#This Row],[S_COD]]=""),"",données_step[[#This Row],[D_QTRAI]]*données_step[[#This Row],[S_COD]]/1000)</f>
        <v/>
      </c>
      <c r="M71" s="523" t="str">
        <f>IF(OR(données_step[[#This Row],[S_NH4]]&lt;=0,données_step[[#This Row],[S_NH4]]=""),"",données_step[[#This Row],[D_QTRAI]]*données_step[[#This Row],[S_NH4]]/1000)</f>
        <v/>
      </c>
      <c r="N71" s="523" t="str">
        <f>IF(OR(données_step[[#This Row],[S_NO2]]&lt;=0,données_step[[#This Row],[S_NO2]]=""),"",données_step[[#This Row],[D_QTRAI]]*données_step[[#This Row],[S_NO2]]/1000)</f>
        <v/>
      </c>
      <c r="O71" s="523" t="str">
        <f>IF(OR(données_step[[#This Row],[S_NO3]]&lt;=0,données_step[[#This Row],[S_NO3]]=""),"",données_step[[#This Row],[D_QTRAI]]*données_step[[#This Row],[S_NO3]]/1000)</f>
        <v/>
      </c>
      <c r="P71" s="523" t="str">
        <f>IF(OR(données_step[[#This Row],[S_PTOT]]&lt;=0,données_step[[#This Row],[S_PTOT]]=""),"",données_step[[#This Row],[D_QTRAI]]*données_step[[#This Row],[S_PTOT]]/1000)</f>
        <v/>
      </c>
      <c r="Q71" s="523" t="str">
        <f>IF(OR(données_step[[#This Row],[S_MES]]&lt;=0,données_step[[#This Row],[S_MES]]=""),"",données_step[[#This Row],[D_QTRAI]]*données_step[[#This Row],[S_MES]]/1000)</f>
        <v/>
      </c>
      <c r="R71" s="523">
        <f>MAX(données_step[[#This Row],[D_QTRAI]],données_step[[#This Row],[D_QTRAI2]])</f>
        <v>0</v>
      </c>
      <c r="S71" s="523" t="str">
        <f>IF(AND($R71&gt;0,données_step[[#This Row],[E_DCO]]&gt;0),données_step[[#This Row],[E_DCO]],"")</f>
        <v/>
      </c>
      <c r="T71" s="523" t="str">
        <f>IF(S71="","",(1-données_step[[#This Row],[E_DCO]]/$V$7)*100)</f>
        <v/>
      </c>
      <c r="U71" s="523" t="str">
        <f t="shared" si="1"/>
        <v/>
      </c>
      <c r="V71" s="523" t="str">
        <f t="shared" si="2"/>
        <v/>
      </c>
      <c r="W71" s="523" t="str">
        <f t="shared" si="3"/>
        <v/>
      </c>
      <c r="X71" s="523" t="e">
        <f>IF(((100-100/$V$7*données_step[[#This Row],[E_DCO]])/100*QTS)&lt;0,NA(),IF(OR(U71&lt;0,U71=""),NA(),((100-100/$V$7*données_step[[#This Row],[E_DCO]])/100*QTS)))</f>
        <v>#NUM!</v>
      </c>
      <c r="Y71" s="523" t="str">
        <f>IF(AND($R71&gt;0,données_step[[#This Row],[E_COT]]&gt;0),données_step[[#This Row],[E_COT]],"")</f>
        <v/>
      </c>
      <c r="Z71" s="523" t="str">
        <f>IF(Y71="","",(1-données_step[[#This Row],[E_COT]]/$AB$7)*100)</f>
        <v/>
      </c>
      <c r="AA71" s="523" t="str">
        <f t="shared" si="4"/>
        <v/>
      </c>
      <c r="AB71" s="523" t="str">
        <f t="shared" si="5"/>
        <v/>
      </c>
      <c r="AC71" s="523" t="str">
        <f t="shared" si="6"/>
        <v/>
      </c>
      <c r="AD71" s="523" t="e">
        <f>IF(((100-100/$AB$7*données_step[[#This Row],[E_COT]])/100*QTS)&lt;0,NA(),IF(OR(AA71&lt;0,AA71=""),NA(),((100-100/$AB$7*données_step[[#This Row],[E_COT]])/100*QTS)))</f>
        <v>#NUM!</v>
      </c>
      <c r="AE71" s="523" t="str">
        <f>IF(AND($R71&gt;0,données_step[[#This Row],[E_NH4]]&gt;0),données_step[[#This Row],[E_NH4]],"")</f>
        <v/>
      </c>
      <c r="AF71" s="523" t="str">
        <f>IF(AE71="","",(1-données_step[[#This Row],[E_NH4]]/$AH$7)*100)</f>
        <v/>
      </c>
      <c r="AG71" s="523" t="str">
        <f t="shared" si="7"/>
        <v/>
      </c>
      <c r="AH71" s="523" t="str">
        <f t="shared" si="8"/>
        <v/>
      </c>
      <c r="AI71" s="523" t="str">
        <f t="shared" si="9"/>
        <v/>
      </c>
      <c r="AJ71" s="523" t="e">
        <f>IF(((100-100/$AH$7*données_step[[#This Row],[E_NH4]])/100*QTS)&lt;0,NA(),IF(OR(AG71&lt;0,AG71=""),NA(),((100-100/$AH$7*données_step[[#This Row],[E_NH4]])/100*QTS)))</f>
        <v>#NUM!</v>
      </c>
      <c r="AK71" s="523" t="str">
        <f>IF(AND($R71&gt;0,données_step[[#This Row],[E_PTOT]]&gt;0),données_step[[#This Row],[E_PTOT]],"")</f>
        <v/>
      </c>
      <c r="AL71" s="523" t="str">
        <f>IF(AK71="","",(1-données_step[[#This Row],[E_PTOT]]/$AN$7)*100)</f>
        <v/>
      </c>
      <c r="AM71" s="523" t="str">
        <f t="shared" si="10"/>
        <v/>
      </c>
      <c r="AN71" s="523" t="str">
        <f t="shared" si="11"/>
        <v/>
      </c>
      <c r="AO71" s="523" t="str">
        <f t="shared" si="12"/>
        <v/>
      </c>
      <c r="AP71" s="523" t="e">
        <f>IF(((100-100/$AN$7*données_step[[#This Row],[E_PTOT]])/100*QTS)&lt;0,NA(),IF(OR(AM71&lt;0,AM71=""),NA(),((100-100/$AN$7*données_step[[#This Row],[E_PTOT]])/100*QTS)))</f>
        <v>#NUM!</v>
      </c>
      <c r="AQ71" s="524" t="e">
        <f t="shared" si="13"/>
        <v>#NUM!</v>
      </c>
      <c r="AR71" s="524" t="str">
        <f t="shared" si="14"/>
        <v/>
      </c>
      <c r="AT71" s="517">
        <f t="shared" si="15"/>
        <v>0.6</v>
      </c>
      <c r="AU71" s="501">
        <f t="shared" si="16"/>
        <v>60</v>
      </c>
      <c r="AV71" s="525" t="e">
        <f>PERCENTILE(analyses!$F$11:$F$375,$AT71)</f>
        <v>#NUM!</v>
      </c>
      <c r="AW71" s="7" t="e">
        <f>PERCENTILE(analyses!$I$11:$I$375,$AT71)</f>
        <v>#NUM!</v>
      </c>
      <c r="AX71" s="7" t="e">
        <f>PERCENTILE(analyses!$J$11:$J$375,$AT71)</f>
        <v>#NUM!</v>
      </c>
      <c r="AY71" s="523" t="str">
        <f>_xlfn.IFNA(IF(données_step[[#This Row],[E_DCO]]&lt;=0,NA(),charge_entree[[#This Row],[ch_E_DCO]]/constanten!$B$8*1000),"")</f>
        <v/>
      </c>
      <c r="AZ71" s="523" t="str">
        <f>_xlfn.IFNA(IF(données_step[[#This Row],[E_NTOT]]&lt;=0,NA(),charge_entree[[#This Row],[ch_E_NTOT]]/constanten!$B$10*1000),"")</f>
        <v/>
      </c>
      <c r="BA71" s="523" t="str">
        <f>_xlfn.IFNA(IF(données_step[[#This Row],[E_NH4]]&lt;=0,NA(),charge_entree[[#This Row],[ch_E_NH4]]/constanten!$B$12*1000),"")</f>
        <v/>
      </c>
      <c r="BB71" s="523" t="str">
        <f>_xlfn.IFNA(IF(données_step[[#This Row],[E_COT]]&lt;=0,NA(),charge_entree[[#This Row],[ch_E_COT]]/constanten!$B$9*1000),"")</f>
        <v/>
      </c>
      <c r="BC71" s="523" t="str">
        <f>IFERROR(_xlfn.IFNA(IF(données_step[[#This Row],[E_PTOT]]&lt;=0,NA(),charge_entree[[#This Row],[ch_E_PTOT]]/constanten!$B$15*1000),""),"")</f>
        <v/>
      </c>
      <c r="BD71" s="535" t="e">
        <f>calculs!E71 * (1-0.4) / (données_step[[#This Row],[X_BA_VOL]]*données_step[[#This Row],[X_BACONC]])</f>
        <v>#VALUE!</v>
      </c>
      <c r="BE71" s="522" t="e">
        <f>(données_step[[#This Row],[X_BA_VOL]]*données_step[[#This Row],[X_BACONC]])/((données_step[[#This Row],[D_QTRAI2]]*données_step[[#This Row],[S_MES]]/1000)+(données_step[[#This Row],[X_BX_Q]]*données_step[[#This Row],[X_BXCONC]]))</f>
        <v>#VALUE!</v>
      </c>
      <c r="BF71" s="890" t="str">
        <f>IFERROR(données_step[[#This Row],[D_QTRAI]]/AY71*1000,"")</f>
        <v/>
      </c>
      <c r="BG71" s="535" t="str">
        <f>IFERROR(1-données_step[[#This Row],[S_DBO5]]/données_step[[#This Row],[E_DBO5]],"")</f>
        <v/>
      </c>
      <c r="BH71" s="536" t="str">
        <f>IFERROR(1-données_step[[#This Row],[S_DCO]]/données_step[[#This Row],[E_DCO]],"")</f>
        <v/>
      </c>
      <c r="BI71" s="535" t="str">
        <f>IFERROR(1-données_step[[#This Row],[S_COD]]/données_step[[#This Row],[E_COT]],"")</f>
        <v/>
      </c>
      <c r="BJ71" s="535" t="str">
        <f>IFERROR(1-données_step[[#This Row],[S_NH4]]/données_step[[#This Row],[E_NTOT]],"")</f>
        <v/>
      </c>
      <c r="BK71" s="535" t="str">
        <f>IFERROR(1-données_step[[#This Row],[S_PTOT]]/données_step[[#This Row],[E_PTOT]],"")</f>
        <v/>
      </c>
      <c r="BL71" s="521" t="str">
        <f>IFERROR(IF(données_step[[#This Row],[E_DCO]]/données_step[[#This Row],[E_DBO5]]=0,NA(),données_step[[#This Row],[E_DCO]]/données_step[[#This Row],[E_DBO5]]),"")</f>
        <v/>
      </c>
      <c r="BM71" s="521" t="str">
        <f>IFERROR(IF(données_step[[#This Row],[E_NH4]]/données_step[[#This Row],[E_NTOT]]=0,NA(),données_step[[#This Row],[E_NH4]]/données_step[[#This Row],[E_NTOT]]),"")</f>
        <v/>
      </c>
      <c r="BN71" s="521" t="str">
        <f>IFERROR(IF(données_step[[#This Row],[E_NTOT]]/données_step[[#This Row],[E_COT]]=0,NA(),données_step[[#This Row],[E_NTOT]]/données_step[[#This Row],[E_COT]]),"")</f>
        <v/>
      </c>
      <c r="BO71" s="521" t="str">
        <f>IFERROR(IF(données_step[[#This Row],[E_PTOT]]/données_step[[#This Row],[E_COT]]=0,NA(),données_step[[#This Row],[E_PTOT]]/données_step[[#This Row],[E_COT]]),"")</f>
        <v/>
      </c>
      <c r="BP71" s="521" t="e">
        <f>IF(données_step[[#This Row],[E_DCO]]/données_step[[#This Row],[E_COT]]=0,NA(),données_step[[#This Row],[E_DCO]]/données_step[[#This Row],[E_COT]])</f>
        <v>#DIV/0!</v>
      </c>
      <c r="BQ71" s="521" t="e">
        <f>IF(données_step[[#This Row],[E_NTOT]]/données_step[[#This Row],[E_DCO]]=0,NA(),données_step[[#This Row],[E_NTOT]]/données_step[[#This Row],[E_DCO]])</f>
        <v>#DIV/0!</v>
      </c>
      <c r="BR71" s="521" t="e">
        <f>IF(données_step[[#This Row],[E_PTOT]]/données_step[[#This Row],[E_DCO]]=0,NA(),données_step[[#This Row],[E_PTOT]]/données_step[[#This Row],[E_DCO]])</f>
        <v>#DIV/0!</v>
      </c>
      <c r="BS71" s="747" t="e">
        <f ca="1">test_NH4_temp(données_step[[#This Row],[S_NH4]],données_step[[#This Row],[Temp_eaux]])</f>
        <v>#NAME?</v>
      </c>
    </row>
    <row r="72" spans="1:71" x14ac:dyDescent="0.2">
      <c r="A72" s="222">
        <f>données_step[[#This Row],[Datum]]</f>
        <v>44623</v>
      </c>
      <c r="B72" s="223"/>
      <c r="C72" s="224">
        <f t="shared" si="0"/>
        <v>5</v>
      </c>
      <c r="D72" s="523" t="str">
        <f>IF(OR(données_step[[#This Row],[E_DBO5]]&lt;=0,données_step[[#This Row],[E_DBO5]]=""),"",données_step[[#This Row],[D_QTRAI]]*données_step[[#This Row],[E_DBO5]]/1000)</f>
        <v/>
      </c>
      <c r="E72" s="523" t="str">
        <f>IF(OR(données_step[[#This Row],[E_DCO]]&lt;=0,données_step[[#This Row],[E_DCO]]=""),"",données_step[[#This Row],[D_QTRAI]]*données_step[[#This Row],[E_DCO]]/1000)</f>
        <v/>
      </c>
      <c r="F72" s="523" t="str">
        <f>IF(OR(données_step[[#This Row],[E_COT]]&lt;=0,données_step[[#This Row],[E_COT]]=""),"",données_step[[#This Row],[D_QTRAI]]*données_step[[#This Row],[E_COT]]/1000)</f>
        <v/>
      </c>
      <c r="G72" s="523" t="str">
        <f>IF(OR(données_step[[#This Row],[E_NH4]]&lt;=0,données_step[[#This Row],[E_NH4]]=""),"",données_step[[#This Row],[D_QTRAI]]*données_step[[#This Row],[E_NH4]]/1000)</f>
        <v/>
      </c>
      <c r="H72" s="523" t="str">
        <f>IF(OR(données_step[[#This Row],[E_NTOT]]&lt;=0,données_step[[#This Row],[E_NTOT]]=""),"",données_step[[#This Row],[D_QTRAI]]*données_step[[#This Row],[E_NTOT]]/1000)</f>
        <v/>
      </c>
      <c r="I72" s="523" t="str">
        <f>IF(OR(données_step[[#This Row],[E_NTOT]]&lt;=0,données_step[[#This Row],[E_NTOT]]=""),"",données_step[[#This Row],[D_QTRAI]]*données_step[[#This Row],[E_PTOT]]/1000)</f>
        <v/>
      </c>
      <c r="J72" s="523" t="str">
        <f>IF(OR(données_step[[#This Row],[S_DBO5]]&lt;=0,données_step[[#This Row],[S_DBO5]]=""),"",données_step[[#This Row],[D_QTRAI]]*données_step[[#This Row],[S_DBO5]]/1000)</f>
        <v/>
      </c>
      <c r="K72" s="523" t="str">
        <f>IF(OR(données_step[[#This Row],[S_DCO]]&lt;=0,données_step[[#This Row],[S_DCO]]=""),"",données_step[[#This Row],[D_QTRAI]]*données_step[[#This Row],[S_DCO]]/1000)</f>
        <v/>
      </c>
      <c r="L72" s="523" t="str">
        <f>IF(OR(données_step[[#This Row],[S_COD]]&lt;=0,données_step[[#This Row],[S_COD]]=""),"",données_step[[#This Row],[D_QTRAI]]*données_step[[#This Row],[S_COD]]/1000)</f>
        <v/>
      </c>
      <c r="M72" s="523" t="str">
        <f>IF(OR(données_step[[#This Row],[S_NH4]]&lt;=0,données_step[[#This Row],[S_NH4]]=""),"",données_step[[#This Row],[D_QTRAI]]*données_step[[#This Row],[S_NH4]]/1000)</f>
        <v/>
      </c>
      <c r="N72" s="523" t="str">
        <f>IF(OR(données_step[[#This Row],[S_NO2]]&lt;=0,données_step[[#This Row],[S_NO2]]=""),"",données_step[[#This Row],[D_QTRAI]]*données_step[[#This Row],[S_NO2]]/1000)</f>
        <v/>
      </c>
      <c r="O72" s="523" t="str">
        <f>IF(OR(données_step[[#This Row],[S_NO3]]&lt;=0,données_step[[#This Row],[S_NO3]]=""),"",données_step[[#This Row],[D_QTRAI]]*données_step[[#This Row],[S_NO3]]/1000)</f>
        <v/>
      </c>
      <c r="P72" s="523" t="str">
        <f>IF(OR(données_step[[#This Row],[S_PTOT]]&lt;=0,données_step[[#This Row],[S_PTOT]]=""),"",données_step[[#This Row],[D_QTRAI]]*données_step[[#This Row],[S_PTOT]]/1000)</f>
        <v/>
      </c>
      <c r="Q72" s="523" t="str">
        <f>IF(OR(données_step[[#This Row],[S_MES]]&lt;=0,données_step[[#This Row],[S_MES]]=""),"",données_step[[#This Row],[D_QTRAI]]*données_step[[#This Row],[S_MES]]/1000)</f>
        <v/>
      </c>
      <c r="R72" s="523">
        <f>MAX(données_step[[#This Row],[D_QTRAI]],données_step[[#This Row],[D_QTRAI2]])</f>
        <v>0</v>
      </c>
      <c r="S72" s="523" t="str">
        <f>IF(AND($R72&gt;0,données_step[[#This Row],[E_DCO]]&gt;0),données_step[[#This Row],[E_DCO]],"")</f>
        <v/>
      </c>
      <c r="T72" s="523" t="str">
        <f>IF(S72="","",(1-données_step[[#This Row],[E_DCO]]/$V$7)*100)</f>
        <v/>
      </c>
      <c r="U72" s="523" t="str">
        <f t="shared" si="1"/>
        <v/>
      </c>
      <c r="V72" s="523" t="str">
        <f t="shared" si="2"/>
        <v/>
      </c>
      <c r="W72" s="523" t="str">
        <f t="shared" si="3"/>
        <v/>
      </c>
      <c r="X72" s="523" t="e">
        <f>IF(((100-100/$V$7*données_step[[#This Row],[E_DCO]])/100*QTS)&lt;0,NA(),IF(OR(U72&lt;0,U72=""),NA(),((100-100/$V$7*données_step[[#This Row],[E_DCO]])/100*QTS)))</f>
        <v>#NUM!</v>
      </c>
      <c r="Y72" s="523" t="str">
        <f>IF(AND($R72&gt;0,données_step[[#This Row],[E_COT]]&gt;0),données_step[[#This Row],[E_COT]],"")</f>
        <v/>
      </c>
      <c r="Z72" s="523" t="str">
        <f>IF(Y72="","",(1-données_step[[#This Row],[E_COT]]/$AB$7)*100)</f>
        <v/>
      </c>
      <c r="AA72" s="523" t="str">
        <f t="shared" si="4"/>
        <v/>
      </c>
      <c r="AB72" s="523" t="str">
        <f t="shared" si="5"/>
        <v/>
      </c>
      <c r="AC72" s="523" t="str">
        <f t="shared" si="6"/>
        <v/>
      </c>
      <c r="AD72" s="523" t="e">
        <f>IF(((100-100/$AB$7*données_step[[#This Row],[E_COT]])/100*QTS)&lt;0,NA(),IF(OR(AA72&lt;0,AA72=""),NA(),((100-100/$AB$7*données_step[[#This Row],[E_COT]])/100*QTS)))</f>
        <v>#NUM!</v>
      </c>
      <c r="AE72" s="523" t="str">
        <f>IF(AND($R72&gt;0,données_step[[#This Row],[E_NH4]]&gt;0),données_step[[#This Row],[E_NH4]],"")</f>
        <v/>
      </c>
      <c r="AF72" s="523" t="str">
        <f>IF(AE72="","",(1-données_step[[#This Row],[E_NH4]]/$AH$7)*100)</f>
        <v/>
      </c>
      <c r="AG72" s="523" t="str">
        <f t="shared" si="7"/>
        <v/>
      </c>
      <c r="AH72" s="523" t="str">
        <f t="shared" si="8"/>
        <v/>
      </c>
      <c r="AI72" s="523" t="str">
        <f t="shared" si="9"/>
        <v/>
      </c>
      <c r="AJ72" s="523" t="e">
        <f>IF(((100-100/$AH$7*données_step[[#This Row],[E_NH4]])/100*QTS)&lt;0,NA(),IF(OR(AG72&lt;0,AG72=""),NA(),((100-100/$AH$7*données_step[[#This Row],[E_NH4]])/100*QTS)))</f>
        <v>#NUM!</v>
      </c>
      <c r="AK72" s="523" t="str">
        <f>IF(AND($R72&gt;0,données_step[[#This Row],[E_PTOT]]&gt;0),données_step[[#This Row],[E_PTOT]],"")</f>
        <v/>
      </c>
      <c r="AL72" s="523" t="str">
        <f>IF(AK72="","",(1-données_step[[#This Row],[E_PTOT]]/$AN$7)*100)</f>
        <v/>
      </c>
      <c r="AM72" s="523" t="str">
        <f t="shared" si="10"/>
        <v/>
      </c>
      <c r="AN72" s="523" t="str">
        <f t="shared" si="11"/>
        <v/>
      </c>
      <c r="AO72" s="523" t="str">
        <f t="shared" si="12"/>
        <v/>
      </c>
      <c r="AP72" s="523" t="e">
        <f>IF(((100-100/$AN$7*données_step[[#This Row],[E_PTOT]])/100*QTS)&lt;0,NA(),IF(OR(AM72&lt;0,AM72=""),NA(),((100-100/$AN$7*données_step[[#This Row],[E_PTOT]])/100*QTS)))</f>
        <v>#NUM!</v>
      </c>
      <c r="AQ72" s="524" t="e">
        <f t="shared" si="13"/>
        <v>#NUM!</v>
      </c>
      <c r="AR72" s="524" t="str">
        <f t="shared" si="14"/>
        <v/>
      </c>
      <c r="AT72" s="517">
        <f t="shared" si="15"/>
        <v>0.61</v>
      </c>
      <c r="AU72" s="501">
        <f t="shared" si="16"/>
        <v>61</v>
      </c>
      <c r="AV72" s="525" t="e">
        <f>PERCENTILE(analyses!$F$11:$F$375,$AT72)</f>
        <v>#NUM!</v>
      </c>
      <c r="AW72" s="7" t="e">
        <f>PERCENTILE(analyses!$I$11:$I$375,$AT72)</f>
        <v>#NUM!</v>
      </c>
      <c r="AX72" s="7" t="e">
        <f>PERCENTILE(analyses!$J$11:$J$375,$AT72)</f>
        <v>#NUM!</v>
      </c>
      <c r="AY72" s="523" t="str">
        <f>_xlfn.IFNA(IF(données_step[[#This Row],[E_DCO]]&lt;=0,NA(),charge_entree[[#This Row],[ch_E_DCO]]/constanten!$B$8*1000),"")</f>
        <v/>
      </c>
      <c r="AZ72" s="523" t="str">
        <f>_xlfn.IFNA(IF(données_step[[#This Row],[E_NTOT]]&lt;=0,NA(),charge_entree[[#This Row],[ch_E_NTOT]]/constanten!$B$10*1000),"")</f>
        <v/>
      </c>
      <c r="BA72" s="523" t="str">
        <f>_xlfn.IFNA(IF(données_step[[#This Row],[E_NH4]]&lt;=0,NA(),charge_entree[[#This Row],[ch_E_NH4]]/constanten!$B$12*1000),"")</f>
        <v/>
      </c>
      <c r="BB72" s="523" t="str">
        <f>_xlfn.IFNA(IF(données_step[[#This Row],[E_COT]]&lt;=0,NA(),charge_entree[[#This Row],[ch_E_COT]]/constanten!$B$9*1000),"")</f>
        <v/>
      </c>
      <c r="BC72" s="523" t="str">
        <f>IFERROR(_xlfn.IFNA(IF(données_step[[#This Row],[E_PTOT]]&lt;=0,NA(),charge_entree[[#This Row],[ch_E_PTOT]]/constanten!$B$15*1000),""),"")</f>
        <v/>
      </c>
      <c r="BD72" s="535" t="e">
        <f>calculs!E72 * (1-0.4) / (données_step[[#This Row],[X_BA_VOL]]*données_step[[#This Row],[X_BACONC]])</f>
        <v>#VALUE!</v>
      </c>
      <c r="BE72" s="522" t="e">
        <f>(données_step[[#This Row],[X_BA_VOL]]*données_step[[#This Row],[X_BACONC]])/((données_step[[#This Row],[D_QTRAI2]]*données_step[[#This Row],[S_MES]]/1000)+(données_step[[#This Row],[X_BX_Q]]*données_step[[#This Row],[X_BXCONC]]))</f>
        <v>#VALUE!</v>
      </c>
      <c r="BF72" s="890" t="str">
        <f>IFERROR(données_step[[#This Row],[D_QTRAI]]/AY72*1000,"")</f>
        <v/>
      </c>
      <c r="BG72" s="535" t="str">
        <f>IFERROR(1-données_step[[#This Row],[S_DBO5]]/données_step[[#This Row],[E_DBO5]],"")</f>
        <v/>
      </c>
      <c r="BH72" s="536" t="str">
        <f>IFERROR(1-données_step[[#This Row],[S_DCO]]/données_step[[#This Row],[E_DCO]],"")</f>
        <v/>
      </c>
      <c r="BI72" s="535" t="str">
        <f>IFERROR(1-données_step[[#This Row],[S_COD]]/données_step[[#This Row],[E_COT]],"")</f>
        <v/>
      </c>
      <c r="BJ72" s="535" t="str">
        <f>IFERROR(1-données_step[[#This Row],[S_NH4]]/données_step[[#This Row],[E_NTOT]],"")</f>
        <v/>
      </c>
      <c r="BK72" s="535" t="str">
        <f>IFERROR(1-données_step[[#This Row],[S_PTOT]]/données_step[[#This Row],[E_PTOT]],"")</f>
        <v/>
      </c>
      <c r="BL72" s="521" t="str">
        <f>IFERROR(IF(données_step[[#This Row],[E_DCO]]/données_step[[#This Row],[E_DBO5]]=0,NA(),données_step[[#This Row],[E_DCO]]/données_step[[#This Row],[E_DBO5]]),"")</f>
        <v/>
      </c>
      <c r="BM72" s="521" t="str">
        <f>IFERROR(IF(données_step[[#This Row],[E_NH4]]/données_step[[#This Row],[E_NTOT]]=0,NA(),données_step[[#This Row],[E_NH4]]/données_step[[#This Row],[E_NTOT]]),"")</f>
        <v/>
      </c>
      <c r="BN72" s="521" t="str">
        <f>IFERROR(IF(données_step[[#This Row],[E_NTOT]]/données_step[[#This Row],[E_COT]]=0,NA(),données_step[[#This Row],[E_NTOT]]/données_step[[#This Row],[E_COT]]),"")</f>
        <v/>
      </c>
      <c r="BO72" s="521" t="str">
        <f>IFERROR(IF(données_step[[#This Row],[E_PTOT]]/données_step[[#This Row],[E_COT]]=0,NA(),données_step[[#This Row],[E_PTOT]]/données_step[[#This Row],[E_COT]]),"")</f>
        <v/>
      </c>
      <c r="BP72" s="521" t="e">
        <f>IF(données_step[[#This Row],[E_DCO]]/données_step[[#This Row],[E_COT]]=0,NA(),données_step[[#This Row],[E_DCO]]/données_step[[#This Row],[E_COT]])</f>
        <v>#DIV/0!</v>
      </c>
      <c r="BQ72" s="521" t="e">
        <f>IF(données_step[[#This Row],[E_NTOT]]/données_step[[#This Row],[E_DCO]]=0,NA(),données_step[[#This Row],[E_NTOT]]/données_step[[#This Row],[E_DCO]])</f>
        <v>#DIV/0!</v>
      </c>
      <c r="BR72" s="521" t="e">
        <f>IF(données_step[[#This Row],[E_PTOT]]/données_step[[#This Row],[E_DCO]]=0,NA(),données_step[[#This Row],[E_PTOT]]/données_step[[#This Row],[E_DCO]])</f>
        <v>#DIV/0!</v>
      </c>
      <c r="BS72" s="747" t="e">
        <f ca="1">test_NH4_temp(données_step[[#This Row],[S_NH4]],données_step[[#This Row],[Temp_eaux]])</f>
        <v>#NAME?</v>
      </c>
    </row>
    <row r="73" spans="1:71" x14ac:dyDescent="0.2">
      <c r="A73" s="222">
        <f>données_step[[#This Row],[Datum]]</f>
        <v>44624</v>
      </c>
      <c r="B73" s="223"/>
      <c r="C73" s="224">
        <f t="shared" si="0"/>
        <v>6</v>
      </c>
      <c r="D73" s="523" t="str">
        <f>IF(OR(données_step[[#This Row],[E_DBO5]]&lt;=0,données_step[[#This Row],[E_DBO5]]=""),"",données_step[[#This Row],[D_QTRAI]]*données_step[[#This Row],[E_DBO5]]/1000)</f>
        <v/>
      </c>
      <c r="E73" s="523" t="str">
        <f>IF(OR(données_step[[#This Row],[E_DCO]]&lt;=0,données_step[[#This Row],[E_DCO]]=""),"",données_step[[#This Row],[D_QTRAI]]*données_step[[#This Row],[E_DCO]]/1000)</f>
        <v/>
      </c>
      <c r="F73" s="523" t="str">
        <f>IF(OR(données_step[[#This Row],[E_COT]]&lt;=0,données_step[[#This Row],[E_COT]]=""),"",données_step[[#This Row],[D_QTRAI]]*données_step[[#This Row],[E_COT]]/1000)</f>
        <v/>
      </c>
      <c r="G73" s="523" t="str">
        <f>IF(OR(données_step[[#This Row],[E_NH4]]&lt;=0,données_step[[#This Row],[E_NH4]]=""),"",données_step[[#This Row],[D_QTRAI]]*données_step[[#This Row],[E_NH4]]/1000)</f>
        <v/>
      </c>
      <c r="H73" s="523" t="str">
        <f>IF(OR(données_step[[#This Row],[E_NTOT]]&lt;=0,données_step[[#This Row],[E_NTOT]]=""),"",données_step[[#This Row],[D_QTRAI]]*données_step[[#This Row],[E_NTOT]]/1000)</f>
        <v/>
      </c>
      <c r="I73" s="523" t="str">
        <f>IF(OR(données_step[[#This Row],[E_NTOT]]&lt;=0,données_step[[#This Row],[E_NTOT]]=""),"",données_step[[#This Row],[D_QTRAI]]*données_step[[#This Row],[E_PTOT]]/1000)</f>
        <v/>
      </c>
      <c r="J73" s="523" t="str">
        <f>IF(OR(données_step[[#This Row],[S_DBO5]]&lt;=0,données_step[[#This Row],[S_DBO5]]=""),"",données_step[[#This Row],[D_QTRAI]]*données_step[[#This Row],[S_DBO5]]/1000)</f>
        <v/>
      </c>
      <c r="K73" s="523" t="str">
        <f>IF(OR(données_step[[#This Row],[S_DCO]]&lt;=0,données_step[[#This Row],[S_DCO]]=""),"",données_step[[#This Row],[D_QTRAI]]*données_step[[#This Row],[S_DCO]]/1000)</f>
        <v/>
      </c>
      <c r="L73" s="523" t="str">
        <f>IF(OR(données_step[[#This Row],[S_COD]]&lt;=0,données_step[[#This Row],[S_COD]]=""),"",données_step[[#This Row],[D_QTRAI]]*données_step[[#This Row],[S_COD]]/1000)</f>
        <v/>
      </c>
      <c r="M73" s="523" t="str">
        <f>IF(OR(données_step[[#This Row],[S_NH4]]&lt;=0,données_step[[#This Row],[S_NH4]]=""),"",données_step[[#This Row],[D_QTRAI]]*données_step[[#This Row],[S_NH4]]/1000)</f>
        <v/>
      </c>
      <c r="N73" s="523" t="str">
        <f>IF(OR(données_step[[#This Row],[S_NO2]]&lt;=0,données_step[[#This Row],[S_NO2]]=""),"",données_step[[#This Row],[D_QTRAI]]*données_step[[#This Row],[S_NO2]]/1000)</f>
        <v/>
      </c>
      <c r="O73" s="523" t="str">
        <f>IF(OR(données_step[[#This Row],[S_NO3]]&lt;=0,données_step[[#This Row],[S_NO3]]=""),"",données_step[[#This Row],[D_QTRAI]]*données_step[[#This Row],[S_NO3]]/1000)</f>
        <v/>
      </c>
      <c r="P73" s="523" t="str">
        <f>IF(OR(données_step[[#This Row],[S_PTOT]]&lt;=0,données_step[[#This Row],[S_PTOT]]=""),"",données_step[[#This Row],[D_QTRAI]]*données_step[[#This Row],[S_PTOT]]/1000)</f>
        <v/>
      </c>
      <c r="Q73" s="523" t="str">
        <f>IF(OR(données_step[[#This Row],[S_MES]]&lt;=0,données_step[[#This Row],[S_MES]]=""),"",données_step[[#This Row],[D_QTRAI]]*données_step[[#This Row],[S_MES]]/1000)</f>
        <v/>
      </c>
      <c r="R73" s="523">
        <f>MAX(données_step[[#This Row],[D_QTRAI]],données_step[[#This Row],[D_QTRAI2]])</f>
        <v>0</v>
      </c>
      <c r="S73" s="523" t="str">
        <f>IF(AND($R73&gt;0,données_step[[#This Row],[E_DCO]]&gt;0),données_step[[#This Row],[E_DCO]],"")</f>
        <v/>
      </c>
      <c r="T73" s="523" t="str">
        <f>IF(S73="","",(1-données_step[[#This Row],[E_DCO]]/$V$7)*100)</f>
        <v/>
      </c>
      <c r="U73" s="523" t="str">
        <f t="shared" si="1"/>
        <v/>
      </c>
      <c r="V73" s="523" t="str">
        <f t="shared" si="2"/>
        <v/>
      </c>
      <c r="W73" s="523" t="str">
        <f t="shared" si="3"/>
        <v/>
      </c>
      <c r="X73" s="523" t="e">
        <f>IF(((100-100/$V$7*données_step[[#This Row],[E_DCO]])/100*QTS)&lt;0,NA(),IF(OR(U73&lt;0,U73=""),NA(),((100-100/$V$7*données_step[[#This Row],[E_DCO]])/100*QTS)))</f>
        <v>#NUM!</v>
      </c>
      <c r="Y73" s="523" t="str">
        <f>IF(AND($R73&gt;0,données_step[[#This Row],[E_COT]]&gt;0),données_step[[#This Row],[E_COT]],"")</f>
        <v/>
      </c>
      <c r="Z73" s="523" t="str">
        <f>IF(Y73="","",(1-données_step[[#This Row],[E_COT]]/$AB$7)*100)</f>
        <v/>
      </c>
      <c r="AA73" s="523" t="str">
        <f t="shared" si="4"/>
        <v/>
      </c>
      <c r="AB73" s="523" t="str">
        <f t="shared" si="5"/>
        <v/>
      </c>
      <c r="AC73" s="523" t="str">
        <f t="shared" si="6"/>
        <v/>
      </c>
      <c r="AD73" s="523" t="e">
        <f>IF(((100-100/$AB$7*données_step[[#This Row],[E_COT]])/100*QTS)&lt;0,NA(),IF(OR(AA73&lt;0,AA73=""),NA(),((100-100/$AB$7*données_step[[#This Row],[E_COT]])/100*QTS)))</f>
        <v>#NUM!</v>
      </c>
      <c r="AE73" s="523" t="str">
        <f>IF(AND($R73&gt;0,données_step[[#This Row],[E_NH4]]&gt;0),données_step[[#This Row],[E_NH4]],"")</f>
        <v/>
      </c>
      <c r="AF73" s="523" t="str">
        <f>IF(AE73="","",(1-données_step[[#This Row],[E_NH4]]/$AH$7)*100)</f>
        <v/>
      </c>
      <c r="AG73" s="523" t="str">
        <f t="shared" si="7"/>
        <v/>
      </c>
      <c r="AH73" s="523" t="str">
        <f t="shared" si="8"/>
        <v/>
      </c>
      <c r="AI73" s="523" t="str">
        <f t="shared" si="9"/>
        <v/>
      </c>
      <c r="AJ73" s="523" t="e">
        <f>IF(((100-100/$AH$7*données_step[[#This Row],[E_NH4]])/100*QTS)&lt;0,NA(),IF(OR(AG73&lt;0,AG73=""),NA(),((100-100/$AH$7*données_step[[#This Row],[E_NH4]])/100*QTS)))</f>
        <v>#NUM!</v>
      </c>
      <c r="AK73" s="523" t="str">
        <f>IF(AND($R73&gt;0,données_step[[#This Row],[E_PTOT]]&gt;0),données_step[[#This Row],[E_PTOT]],"")</f>
        <v/>
      </c>
      <c r="AL73" s="523" t="str">
        <f>IF(AK73="","",(1-données_step[[#This Row],[E_PTOT]]/$AN$7)*100)</f>
        <v/>
      </c>
      <c r="AM73" s="523" t="str">
        <f t="shared" si="10"/>
        <v/>
      </c>
      <c r="AN73" s="523" t="str">
        <f t="shared" si="11"/>
        <v/>
      </c>
      <c r="AO73" s="523" t="str">
        <f t="shared" si="12"/>
        <v/>
      </c>
      <c r="AP73" s="523" t="e">
        <f>IF(((100-100/$AN$7*données_step[[#This Row],[E_PTOT]])/100*QTS)&lt;0,NA(),IF(OR(AM73&lt;0,AM73=""),NA(),((100-100/$AN$7*données_step[[#This Row],[E_PTOT]])/100*QTS)))</f>
        <v>#NUM!</v>
      </c>
      <c r="AQ73" s="524" t="e">
        <f t="shared" si="13"/>
        <v>#NUM!</v>
      </c>
      <c r="AR73" s="524" t="str">
        <f t="shared" si="14"/>
        <v/>
      </c>
      <c r="AT73" s="517">
        <f t="shared" si="15"/>
        <v>0.62</v>
      </c>
      <c r="AU73" s="501">
        <f t="shared" si="16"/>
        <v>62</v>
      </c>
      <c r="AV73" s="525" t="e">
        <f>PERCENTILE(analyses!$F$11:$F$375,$AT73)</f>
        <v>#NUM!</v>
      </c>
      <c r="AW73" s="7" t="e">
        <f>PERCENTILE(analyses!$I$11:$I$375,$AT73)</f>
        <v>#NUM!</v>
      </c>
      <c r="AX73" s="7" t="e">
        <f>PERCENTILE(analyses!$J$11:$J$375,$AT73)</f>
        <v>#NUM!</v>
      </c>
      <c r="AY73" s="523" t="str">
        <f>_xlfn.IFNA(IF(données_step[[#This Row],[E_DCO]]&lt;=0,NA(),charge_entree[[#This Row],[ch_E_DCO]]/constanten!$B$8*1000),"")</f>
        <v/>
      </c>
      <c r="AZ73" s="523" t="str">
        <f>_xlfn.IFNA(IF(données_step[[#This Row],[E_NTOT]]&lt;=0,NA(),charge_entree[[#This Row],[ch_E_NTOT]]/constanten!$B$10*1000),"")</f>
        <v/>
      </c>
      <c r="BA73" s="523" t="str">
        <f>_xlfn.IFNA(IF(données_step[[#This Row],[E_NH4]]&lt;=0,NA(),charge_entree[[#This Row],[ch_E_NH4]]/constanten!$B$12*1000),"")</f>
        <v/>
      </c>
      <c r="BB73" s="523" t="str">
        <f>_xlfn.IFNA(IF(données_step[[#This Row],[E_COT]]&lt;=0,NA(),charge_entree[[#This Row],[ch_E_COT]]/constanten!$B$9*1000),"")</f>
        <v/>
      </c>
      <c r="BC73" s="523" t="str">
        <f>IFERROR(_xlfn.IFNA(IF(données_step[[#This Row],[E_PTOT]]&lt;=0,NA(),charge_entree[[#This Row],[ch_E_PTOT]]/constanten!$B$15*1000),""),"")</f>
        <v/>
      </c>
      <c r="BD73" s="535" t="e">
        <f>calculs!E73 * (1-0.4) / (données_step[[#This Row],[X_BA_VOL]]*données_step[[#This Row],[X_BACONC]])</f>
        <v>#VALUE!</v>
      </c>
      <c r="BE73" s="522" t="e">
        <f>(données_step[[#This Row],[X_BA_VOL]]*données_step[[#This Row],[X_BACONC]])/((données_step[[#This Row],[D_QTRAI2]]*données_step[[#This Row],[S_MES]]/1000)+(données_step[[#This Row],[X_BX_Q]]*données_step[[#This Row],[X_BXCONC]]))</f>
        <v>#VALUE!</v>
      </c>
      <c r="BF73" s="890" t="str">
        <f>IFERROR(données_step[[#This Row],[D_QTRAI]]/AY73*1000,"")</f>
        <v/>
      </c>
      <c r="BG73" s="535" t="str">
        <f>IFERROR(1-données_step[[#This Row],[S_DBO5]]/données_step[[#This Row],[E_DBO5]],"")</f>
        <v/>
      </c>
      <c r="BH73" s="536" t="str">
        <f>IFERROR(1-données_step[[#This Row],[S_DCO]]/données_step[[#This Row],[E_DCO]],"")</f>
        <v/>
      </c>
      <c r="BI73" s="535" t="str">
        <f>IFERROR(1-données_step[[#This Row],[S_COD]]/données_step[[#This Row],[E_COT]],"")</f>
        <v/>
      </c>
      <c r="BJ73" s="535" t="str">
        <f>IFERROR(1-données_step[[#This Row],[S_NH4]]/données_step[[#This Row],[E_NTOT]],"")</f>
        <v/>
      </c>
      <c r="BK73" s="535" t="str">
        <f>IFERROR(1-données_step[[#This Row],[S_PTOT]]/données_step[[#This Row],[E_PTOT]],"")</f>
        <v/>
      </c>
      <c r="BL73" s="521" t="str">
        <f>IFERROR(IF(données_step[[#This Row],[E_DCO]]/données_step[[#This Row],[E_DBO5]]=0,NA(),données_step[[#This Row],[E_DCO]]/données_step[[#This Row],[E_DBO5]]),"")</f>
        <v/>
      </c>
      <c r="BM73" s="521" t="str">
        <f>IFERROR(IF(données_step[[#This Row],[E_NH4]]/données_step[[#This Row],[E_NTOT]]=0,NA(),données_step[[#This Row],[E_NH4]]/données_step[[#This Row],[E_NTOT]]),"")</f>
        <v/>
      </c>
      <c r="BN73" s="521" t="str">
        <f>IFERROR(IF(données_step[[#This Row],[E_NTOT]]/données_step[[#This Row],[E_COT]]=0,NA(),données_step[[#This Row],[E_NTOT]]/données_step[[#This Row],[E_COT]]),"")</f>
        <v/>
      </c>
      <c r="BO73" s="521" t="str">
        <f>IFERROR(IF(données_step[[#This Row],[E_PTOT]]/données_step[[#This Row],[E_COT]]=0,NA(),données_step[[#This Row],[E_PTOT]]/données_step[[#This Row],[E_COT]]),"")</f>
        <v/>
      </c>
      <c r="BP73" s="521" t="e">
        <f>IF(données_step[[#This Row],[E_DCO]]/données_step[[#This Row],[E_COT]]=0,NA(),données_step[[#This Row],[E_DCO]]/données_step[[#This Row],[E_COT]])</f>
        <v>#DIV/0!</v>
      </c>
      <c r="BQ73" s="521" t="e">
        <f>IF(données_step[[#This Row],[E_NTOT]]/données_step[[#This Row],[E_DCO]]=0,NA(),données_step[[#This Row],[E_NTOT]]/données_step[[#This Row],[E_DCO]])</f>
        <v>#DIV/0!</v>
      </c>
      <c r="BR73" s="521" t="e">
        <f>IF(données_step[[#This Row],[E_PTOT]]/données_step[[#This Row],[E_DCO]]=0,NA(),données_step[[#This Row],[E_PTOT]]/données_step[[#This Row],[E_DCO]])</f>
        <v>#DIV/0!</v>
      </c>
      <c r="BS73" s="747" t="e">
        <f ca="1">test_NH4_temp(données_step[[#This Row],[S_NH4]],données_step[[#This Row],[Temp_eaux]])</f>
        <v>#NAME?</v>
      </c>
    </row>
    <row r="74" spans="1:71" x14ac:dyDescent="0.2">
      <c r="A74" s="222">
        <f>données_step[[#This Row],[Datum]]</f>
        <v>44625</v>
      </c>
      <c r="B74" s="223"/>
      <c r="C74" s="224">
        <f t="shared" si="0"/>
        <v>7</v>
      </c>
      <c r="D74" s="523" t="str">
        <f>IF(OR(données_step[[#This Row],[E_DBO5]]&lt;=0,données_step[[#This Row],[E_DBO5]]=""),"",données_step[[#This Row],[D_QTRAI]]*données_step[[#This Row],[E_DBO5]]/1000)</f>
        <v/>
      </c>
      <c r="E74" s="523" t="str">
        <f>IF(OR(données_step[[#This Row],[E_DCO]]&lt;=0,données_step[[#This Row],[E_DCO]]=""),"",données_step[[#This Row],[D_QTRAI]]*données_step[[#This Row],[E_DCO]]/1000)</f>
        <v/>
      </c>
      <c r="F74" s="523" t="str">
        <f>IF(OR(données_step[[#This Row],[E_COT]]&lt;=0,données_step[[#This Row],[E_COT]]=""),"",données_step[[#This Row],[D_QTRAI]]*données_step[[#This Row],[E_COT]]/1000)</f>
        <v/>
      </c>
      <c r="G74" s="523" t="str">
        <f>IF(OR(données_step[[#This Row],[E_NH4]]&lt;=0,données_step[[#This Row],[E_NH4]]=""),"",données_step[[#This Row],[D_QTRAI]]*données_step[[#This Row],[E_NH4]]/1000)</f>
        <v/>
      </c>
      <c r="H74" s="523" t="str">
        <f>IF(OR(données_step[[#This Row],[E_NTOT]]&lt;=0,données_step[[#This Row],[E_NTOT]]=""),"",données_step[[#This Row],[D_QTRAI]]*données_step[[#This Row],[E_NTOT]]/1000)</f>
        <v/>
      </c>
      <c r="I74" s="523" t="str">
        <f>IF(OR(données_step[[#This Row],[E_NTOT]]&lt;=0,données_step[[#This Row],[E_NTOT]]=""),"",données_step[[#This Row],[D_QTRAI]]*données_step[[#This Row],[E_PTOT]]/1000)</f>
        <v/>
      </c>
      <c r="J74" s="523" t="str">
        <f>IF(OR(données_step[[#This Row],[S_DBO5]]&lt;=0,données_step[[#This Row],[S_DBO5]]=""),"",données_step[[#This Row],[D_QTRAI]]*données_step[[#This Row],[S_DBO5]]/1000)</f>
        <v/>
      </c>
      <c r="K74" s="523" t="str">
        <f>IF(OR(données_step[[#This Row],[S_DCO]]&lt;=0,données_step[[#This Row],[S_DCO]]=""),"",données_step[[#This Row],[D_QTRAI]]*données_step[[#This Row],[S_DCO]]/1000)</f>
        <v/>
      </c>
      <c r="L74" s="523" t="str">
        <f>IF(OR(données_step[[#This Row],[S_COD]]&lt;=0,données_step[[#This Row],[S_COD]]=""),"",données_step[[#This Row],[D_QTRAI]]*données_step[[#This Row],[S_COD]]/1000)</f>
        <v/>
      </c>
      <c r="M74" s="523" t="str">
        <f>IF(OR(données_step[[#This Row],[S_NH4]]&lt;=0,données_step[[#This Row],[S_NH4]]=""),"",données_step[[#This Row],[D_QTRAI]]*données_step[[#This Row],[S_NH4]]/1000)</f>
        <v/>
      </c>
      <c r="N74" s="523" t="str">
        <f>IF(OR(données_step[[#This Row],[S_NO2]]&lt;=0,données_step[[#This Row],[S_NO2]]=""),"",données_step[[#This Row],[D_QTRAI]]*données_step[[#This Row],[S_NO2]]/1000)</f>
        <v/>
      </c>
      <c r="O74" s="523" t="str">
        <f>IF(OR(données_step[[#This Row],[S_NO3]]&lt;=0,données_step[[#This Row],[S_NO3]]=""),"",données_step[[#This Row],[D_QTRAI]]*données_step[[#This Row],[S_NO3]]/1000)</f>
        <v/>
      </c>
      <c r="P74" s="523" t="str">
        <f>IF(OR(données_step[[#This Row],[S_PTOT]]&lt;=0,données_step[[#This Row],[S_PTOT]]=""),"",données_step[[#This Row],[D_QTRAI]]*données_step[[#This Row],[S_PTOT]]/1000)</f>
        <v/>
      </c>
      <c r="Q74" s="523" t="str">
        <f>IF(OR(données_step[[#This Row],[S_MES]]&lt;=0,données_step[[#This Row],[S_MES]]=""),"",données_step[[#This Row],[D_QTRAI]]*données_step[[#This Row],[S_MES]]/1000)</f>
        <v/>
      </c>
      <c r="R74" s="523">
        <f>MAX(données_step[[#This Row],[D_QTRAI]],données_step[[#This Row],[D_QTRAI2]])</f>
        <v>0</v>
      </c>
      <c r="S74" s="523" t="str">
        <f>IF(AND($R74&gt;0,données_step[[#This Row],[E_DCO]]&gt;0),données_step[[#This Row],[E_DCO]],"")</f>
        <v/>
      </c>
      <c r="T74" s="523" t="str">
        <f>IF(S74="","",(1-données_step[[#This Row],[E_DCO]]/$V$7)*100)</f>
        <v/>
      </c>
      <c r="U74" s="523" t="str">
        <f t="shared" si="1"/>
        <v/>
      </c>
      <c r="V74" s="523" t="str">
        <f t="shared" si="2"/>
        <v/>
      </c>
      <c r="W74" s="523" t="str">
        <f t="shared" si="3"/>
        <v/>
      </c>
      <c r="X74" s="523" t="e">
        <f>IF(((100-100/$V$7*données_step[[#This Row],[E_DCO]])/100*QTS)&lt;0,NA(),IF(OR(U74&lt;0,U74=""),NA(),((100-100/$V$7*données_step[[#This Row],[E_DCO]])/100*QTS)))</f>
        <v>#NUM!</v>
      </c>
      <c r="Y74" s="523" t="str">
        <f>IF(AND($R74&gt;0,données_step[[#This Row],[E_COT]]&gt;0),données_step[[#This Row],[E_COT]],"")</f>
        <v/>
      </c>
      <c r="Z74" s="523" t="str">
        <f>IF(Y74="","",(1-données_step[[#This Row],[E_COT]]/$AB$7)*100)</f>
        <v/>
      </c>
      <c r="AA74" s="523" t="str">
        <f t="shared" si="4"/>
        <v/>
      </c>
      <c r="AB74" s="523" t="str">
        <f t="shared" si="5"/>
        <v/>
      </c>
      <c r="AC74" s="523" t="str">
        <f t="shared" si="6"/>
        <v/>
      </c>
      <c r="AD74" s="523" t="e">
        <f>IF(((100-100/$AB$7*données_step[[#This Row],[E_COT]])/100*QTS)&lt;0,NA(),IF(OR(AA74&lt;0,AA74=""),NA(),((100-100/$AB$7*données_step[[#This Row],[E_COT]])/100*QTS)))</f>
        <v>#NUM!</v>
      </c>
      <c r="AE74" s="523" t="str">
        <f>IF(AND($R74&gt;0,données_step[[#This Row],[E_NH4]]&gt;0),données_step[[#This Row],[E_NH4]],"")</f>
        <v/>
      </c>
      <c r="AF74" s="523" t="str">
        <f>IF(AE74="","",(1-données_step[[#This Row],[E_NH4]]/$AH$7)*100)</f>
        <v/>
      </c>
      <c r="AG74" s="523" t="str">
        <f t="shared" si="7"/>
        <v/>
      </c>
      <c r="AH74" s="523" t="str">
        <f t="shared" si="8"/>
        <v/>
      </c>
      <c r="AI74" s="523" t="str">
        <f t="shared" si="9"/>
        <v/>
      </c>
      <c r="AJ74" s="523" t="e">
        <f>IF(((100-100/$AH$7*données_step[[#This Row],[E_NH4]])/100*QTS)&lt;0,NA(),IF(OR(AG74&lt;0,AG74=""),NA(),((100-100/$AH$7*données_step[[#This Row],[E_NH4]])/100*QTS)))</f>
        <v>#NUM!</v>
      </c>
      <c r="AK74" s="523" t="str">
        <f>IF(AND($R74&gt;0,données_step[[#This Row],[E_PTOT]]&gt;0),données_step[[#This Row],[E_PTOT]],"")</f>
        <v/>
      </c>
      <c r="AL74" s="523" t="str">
        <f>IF(AK74="","",(1-données_step[[#This Row],[E_PTOT]]/$AN$7)*100)</f>
        <v/>
      </c>
      <c r="AM74" s="523" t="str">
        <f t="shared" si="10"/>
        <v/>
      </c>
      <c r="AN74" s="523" t="str">
        <f t="shared" si="11"/>
        <v/>
      </c>
      <c r="AO74" s="523" t="str">
        <f t="shared" si="12"/>
        <v/>
      </c>
      <c r="AP74" s="523" t="e">
        <f>IF(((100-100/$AN$7*données_step[[#This Row],[E_PTOT]])/100*QTS)&lt;0,NA(),IF(OR(AM74&lt;0,AM74=""),NA(),((100-100/$AN$7*données_step[[#This Row],[E_PTOT]])/100*QTS)))</f>
        <v>#NUM!</v>
      </c>
      <c r="AQ74" s="524" t="e">
        <f t="shared" si="13"/>
        <v>#NUM!</v>
      </c>
      <c r="AR74" s="524" t="str">
        <f t="shared" si="14"/>
        <v/>
      </c>
      <c r="AT74" s="517">
        <f t="shared" si="15"/>
        <v>0.63</v>
      </c>
      <c r="AU74" s="501">
        <f t="shared" si="16"/>
        <v>63</v>
      </c>
      <c r="AV74" s="525" t="e">
        <f>PERCENTILE(analyses!$F$11:$F$375,$AT74)</f>
        <v>#NUM!</v>
      </c>
      <c r="AW74" s="7" t="e">
        <f>PERCENTILE(analyses!$I$11:$I$375,$AT74)</f>
        <v>#NUM!</v>
      </c>
      <c r="AX74" s="7" t="e">
        <f>PERCENTILE(analyses!$J$11:$J$375,$AT74)</f>
        <v>#NUM!</v>
      </c>
      <c r="AY74" s="523" t="str">
        <f>_xlfn.IFNA(IF(données_step[[#This Row],[E_DCO]]&lt;=0,NA(),charge_entree[[#This Row],[ch_E_DCO]]/constanten!$B$8*1000),"")</f>
        <v/>
      </c>
      <c r="AZ74" s="523" t="str">
        <f>_xlfn.IFNA(IF(données_step[[#This Row],[E_NTOT]]&lt;=0,NA(),charge_entree[[#This Row],[ch_E_NTOT]]/constanten!$B$10*1000),"")</f>
        <v/>
      </c>
      <c r="BA74" s="523" t="str">
        <f>_xlfn.IFNA(IF(données_step[[#This Row],[E_NH4]]&lt;=0,NA(),charge_entree[[#This Row],[ch_E_NH4]]/constanten!$B$12*1000),"")</f>
        <v/>
      </c>
      <c r="BB74" s="523" t="str">
        <f>_xlfn.IFNA(IF(données_step[[#This Row],[E_COT]]&lt;=0,NA(),charge_entree[[#This Row],[ch_E_COT]]/constanten!$B$9*1000),"")</f>
        <v/>
      </c>
      <c r="BC74" s="523" t="str">
        <f>IFERROR(_xlfn.IFNA(IF(données_step[[#This Row],[E_PTOT]]&lt;=0,NA(),charge_entree[[#This Row],[ch_E_PTOT]]/constanten!$B$15*1000),""),"")</f>
        <v/>
      </c>
      <c r="BD74" s="535" t="e">
        <f>calculs!E74 * (1-0.4) / (données_step[[#This Row],[X_BA_VOL]]*données_step[[#This Row],[X_BACONC]])</f>
        <v>#VALUE!</v>
      </c>
      <c r="BE74" s="522" t="e">
        <f>(données_step[[#This Row],[X_BA_VOL]]*données_step[[#This Row],[X_BACONC]])/((données_step[[#This Row],[D_QTRAI2]]*données_step[[#This Row],[S_MES]]/1000)+(données_step[[#This Row],[X_BX_Q]]*données_step[[#This Row],[X_BXCONC]]))</f>
        <v>#VALUE!</v>
      </c>
      <c r="BF74" s="890" t="str">
        <f>IFERROR(données_step[[#This Row],[D_QTRAI]]/AY74*1000,"")</f>
        <v/>
      </c>
      <c r="BG74" s="535" t="str">
        <f>IFERROR(1-données_step[[#This Row],[S_DBO5]]/données_step[[#This Row],[E_DBO5]],"")</f>
        <v/>
      </c>
      <c r="BH74" s="536" t="str">
        <f>IFERROR(1-données_step[[#This Row],[S_DCO]]/données_step[[#This Row],[E_DCO]],"")</f>
        <v/>
      </c>
      <c r="BI74" s="535" t="str">
        <f>IFERROR(1-données_step[[#This Row],[S_COD]]/données_step[[#This Row],[E_COT]],"")</f>
        <v/>
      </c>
      <c r="BJ74" s="535" t="str">
        <f>IFERROR(1-données_step[[#This Row],[S_NH4]]/données_step[[#This Row],[E_NTOT]],"")</f>
        <v/>
      </c>
      <c r="BK74" s="535" t="str">
        <f>IFERROR(1-données_step[[#This Row],[S_PTOT]]/données_step[[#This Row],[E_PTOT]],"")</f>
        <v/>
      </c>
      <c r="BL74" s="521" t="str">
        <f>IFERROR(IF(données_step[[#This Row],[E_DCO]]/données_step[[#This Row],[E_DBO5]]=0,NA(),données_step[[#This Row],[E_DCO]]/données_step[[#This Row],[E_DBO5]]),"")</f>
        <v/>
      </c>
      <c r="BM74" s="521" t="str">
        <f>IFERROR(IF(données_step[[#This Row],[E_NH4]]/données_step[[#This Row],[E_NTOT]]=0,NA(),données_step[[#This Row],[E_NH4]]/données_step[[#This Row],[E_NTOT]]),"")</f>
        <v/>
      </c>
      <c r="BN74" s="521" t="str">
        <f>IFERROR(IF(données_step[[#This Row],[E_NTOT]]/données_step[[#This Row],[E_COT]]=0,NA(),données_step[[#This Row],[E_NTOT]]/données_step[[#This Row],[E_COT]]),"")</f>
        <v/>
      </c>
      <c r="BO74" s="521" t="str">
        <f>IFERROR(IF(données_step[[#This Row],[E_PTOT]]/données_step[[#This Row],[E_COT]]=0,NA(),données_step[[#This Row],[E_PTOT]]/données_step[[#This Row],[E_COT]]),"")</f>
        <v/>
      </c>
      <c r="BP74" s="521" t="e">
        <f>IF(données_step[[#This Row],[E_DCO]]/données_step[[#This Row],[E_COT]]=0,NA(),données_step[[#This Row],[E_DCO]]/données_step[[#This Row],[E_COT]])</f>
        <v>#DIV/0!</v>
      </c>
      <c r="BQ74" s="521" t="e">
        <f>IF(données_step[[#This Row],[E_NTOT]]/données_step[[#This Row],[E_DCO]]=0,NA(),données_step[[#This Row],[E_NTOT]]/données_step[[#This Row],[E_DCO]])</f>
        <v>#DIV/0!</v>
      </c>
      <c r="BR74" s="521" t="e">
        <f>IF(données_step[[#This Row],[E_PTOT]]/données_step[[#This Row],[E_DCO]]=0,NA(),données_step[[#This Row],[E_PTOT]]/données_step[[#This Row],[E_DCO]])</f>
        <v>#DIV/0!</v>
      </c>
      <c r="BS74" s="747" t="e">
        <f ca="1">test_NH4_temp(données_step[[#This Row],[S_NH4]],données_step[[#This Row],[Temp_eaux]])</f>
        <v>#NAME?</v>
      </c>
    </row>
    <row r="75" spans="1:71" x14ac:dyDescent="0.2">
      <c r="A75" s="222">
        <f>données_step[[#This Row],[Datum]]</f>
        <v>44626</v>
      </c>
      <c r="B75" s="223"/>
      <c r="C75" s="224">
        <f t="shared" si="0"/>
        <v>1</v>
      </c>
      <c r="D75" s="523" t="str">
        <f>IF(OR(données_step[[#This Row],[E_DBO5]]&lt;=0,données_step[[#This Row],[E_DBO5]]=""),"",données_step[[#This Row],[D_QTRAI]]*données_step[[#This Row],[E_DBO5]]/1000)</f>
        <v/>
      </c>
      <c r="E75" s="523" t="str">
        <f>IF(OR(données_step[[#This Row],[E_DCO]]&lt;=0,données_step[[#This Row],[E_DCO]]=""),"",données_step[[#This Row],[D_QTRAI]]*données_step[[#This Row],[E_DCO]]/1000)</f>
        <v/>
      </c>
      <c r="F75" s="523" t="str">
        <f>IF(OR(données_step[[#This Row],[E_COT]]&lt;=0,données_step[[#This Row],[E_COT]]=""),"",données_step[[#This Row],[D_QTRAI]]*données_step[[#This Row],[E_COT]]/1000)</f>
        <v/>
      </c>
      <c r="G75" s="523" t="str">
        <f>IF(OR(données_step[[#This Row],[E_NH4]]&lt;=0,données_step[[#This Row],[E_NH4]]=""),"",données_step[[#This Row],[D_QTRAI]]*données_step[[#This Row],[E_NH4]]/1000)</f>
        <v/>
      </c>
      <c r="H75" s="523" t="str">
        <f>IF(OR(données_step[[#This Row],[E_NTOT]]&lt;=0,données_step[[#This Row],[E_NTOT]]=""),"",données_step[[#This Row],[D_QTRAI]]*données_step[[#This Row],[E_NTOT]]/1000)</f>
        <v/>
      </c>
      <c r="I75" s="523" t="str">
        <f>IF(OR(données_step[[#This Row],[E_NTOT]]&lt;=0,données_step[[#This Row],[E_NTOT]]=""),"",données_step[[#This Row],[D_QTRAI]]*données_step[[#This Row],[E_PTOT]]/1000)</f>
        <v/>
      </c>
      <c r="J75" s="523" t="str">
        <f>IF(OR(données_step[[#This Row],[S_DBO5]]&lt;=0,données_step[[#This Row],[S_DBO5]]=""),"",données_step[[#This Row],[D_QTRAI]]*données_step[[#This Row],[S_DBO5]]/1000)</f>
        <v/>
      </c>
      <c r="K75" s="523" t="str">
        <f>IF(OR(données_step[[#This Row],[S_DCO]]&lt;=0,données_step[[#This Row],[S_DCO]]=""),"",données_step[[#This Row],[D_QTRAI]]*données_step[[#This Row],[S_DCO]]/1000)</f>
        <v/>
      </c>
      <c r="L75" s="523" t="str">
        <f>IF(OR(données_step[[#This Row],[S_COD]]&lt;=0,données_step[[#This Row],[S_COD]]=""),"",données_step[[#This Row],[D_QTRAI]]*données_step[[#This Row],[S_COD]]/1000)</f>
        <v/>
      </c>
      <c r="M75" s="523" t="str">
        <f>IF(OR(données_step[[#This Row],[S_NH4]]&lt;=0,données_step[[#This Row],[S_NH4]]=""),"",données_step[[#This Row],[D_QTRAI]]*données_step[[#This Row],[S_NH4]]/1000)</f>
        <v/>
      </c>
      <c r="N75" s="523" t="str">
        <f>IF(OR(données_step[[#This Row],[S_NO2]]&lt;=0,données_step[[#This Row],[S_NO2]]=""),"",données_step[[#This Row],[D_QTRAI]]*données_step[[#This Row],[S_NO2]]/1000)</f>
        <v/>
      </c>
      <c r="O75" s="523" t="str">
        <f>IF(OR(données_step[[#This Row],[S_NO3]]&lt;=0,données_step[[#This Row],[S_NO3]]=""),"",données_step[[#This Row],[D_QTRAI]]*données_step[[#This Row],[S_NO3]]/1000)</f>
        <v/>
      </c>
      <c r="P75" s="523" t="str">
        <f>IF(OR(données_step[[#This Row],[S_PTOT]]&lt;=0,données_step[[#This Row],[S_PTOT]]=""),"",données_step[[#This Row],[D_QTRAI]]*données_step[[#This Row],[S_PTOT]]/1000)</f>
        <v/>
      </c>
      <c r="Q75" s="523" t="str">
        <f>IF(OR(données_step[[#This Row],[S_MES]]&lt;=0,données_step[[#This Row],[S_MES]]=""),"",données_step[[#This Row],[D_QTRAI]]*données_step[[#This Row],[S_MES]]/1000)</f>
        <v/>
      </c>
      <c r="R75" s="523">
        <f>MAX(données_step[[#This Row],[D_QTRAI]],données_step[[#This Row],[D_QTRAI2]])</f>
        <v>0</v>
      </c>
      <c r="S75" s="523" t="str">
        <f>IF(AND($R75&gt;0,données_step[[#This Row],[E_DCO]]&gt;0),données_step[[#This Row],[E_DCO]],"")</f>
        <v/>
      </c>
      <c r="T75" s="523" t="str">
        <f>IF(S75="","",(1-données_step[[#This Row],[E_DCO]]/$V$7)*100)</f>
        <v/>
      </c>
      <c r="U75" s="523" t="str">
        <f t="shared" si="1"/>
        <v/>
      </c>
      <c r="V75" s="523" t="str">
        <f t="shared" si="2"/>
        <v/>
      </c>
      <c r="W75" s="523" t="str">
        <f t="shared" si="3"/>
        <v/>
      </c>
      <c r="X75" s="523" t="e">
        <f>IF(((100-100/$V$7*données_step[[#This Row],[E_DCO]])/100*QTS)&lt;0,NA(),IF(OR(U75&lt;0,U75=""),NA(),((100-100/$V$7*données_step[[#This Row],[E_DCO]])/100*QTS)))</f>
        <v>#NUM!</v>
      </c>
      <c r="Y75" s="523" t="str">
        <f>IF(AND($R75&gt;0,données_step[[#This Row],[E_COT]]&gt;0),données_step[[#This Row],[E_COT]],"")</f>
        <v/>
      </c>
      <c r="Z75" s="523" t="str">
        <f>IF(Y75="","",(1-données_step[[#This Row],[E_COT]]/$AB$7)*100)</f>
        <v/>
      </c>
      <c r="AA75" s="523" t="str">
        <f t="shared" si="4"/>
        <v/>
      </c>
      <c r="AB75" s="523" t="str">
        <f t="shared" si="5"/>
        <v/>
      </c>
      <c r="AC75" s="523" t="str">
        <f t="shared" si="6"/>
        <v/>
      </c>
      <c r="AD75" s="523" t="e">
        <f>IF(((100-100/$AB$7*données_step[[#This Row],[E_COT]])/100*QTS)&lt;0,NA(),IF(OR(AA75&lt;0,AA75=""),NA(),((100-100/$AB$7*données_step[[#This Row],[E_COT]])/100*QTS)))</f>
        <v>#NUM!</v>
      </c>
      <c r="AE75" s="523" t="str">
        <f>IF(AND($R75&gt;0,données_step[[#This Row],[E_NH4]]&gt;0),données_step[[#This Row],[E_NH4]],"")</f>
        <v/>
      </c>
      <c r="AF75" s="523" t="str">
        <f>IF(AE75="","",(1-données_step[[#This Row],[E_NH4]]/$AH$7)*100)</f>
        <v/>
      </c>
      <c r="AG75" s="523" t="str">
        <f t="shared" si="7"/>
        <v/>
      </c>
      <c r="AH75" s="523" t="str">
        <f t="shared" si="8"/>
        <v/>
      </c>
      <c r="AI75" s="523" t="str">
        <f t="shared" si="9"/>
        <v/>
      </c>
      <c r="AJ75" s="523" t="e">
        <f>IF(((100-100/$AH$7*données_step[[#This Row],[E_NH4]])/100*QTS)&lt;0,NA(),IF(OR(AG75&lt;0,AG75=""),NA(),((100-100/$AH$7*données_step[[#This Row],[E_NH4]])/100*QTS)))</f>
        <v>#NUM!</v>
      </c>
      <c r="AK75" s="523" t="str">
        <f>IF(AND($R75&gt;0,données_step[[#This Row],[E_PTOT]]&gt;0),données_step[[#This Row],[E_PTOT]],"")</f>
        <v/>
      </c>
      <c r="AL75" s="523" t="str">
        <f>IF(AK75="","",(1-données_step[[#This Row],[E_PTOT]]/$AN$7)*100)</f>
        <v/>
      </c>
      <c r="AM75" s="523" t="str">
        <f t="shared" si="10"/>
        <v/>
      </c>
      <c r="AN75" s="523" t="str">
        <f t="shared" si="11"/>
        <v/>
      </c>
      <c r="AO75" s="523" t="str">
        <f t="shared" si="12"/>
        <v/>
      </c>
      <c r="AP75" s="523" t="e">
        <f>IF(((100-100/$AN$7*données_step[[#This Row],[E_PTOT]])/100*QTS)&lt;0,NA(),IF(OR(AM75&lt;0,AM75=""),NA(),((100-100/$AN$7*données_step[[#This Row],[E_PTOT]])/100*QTS)))</f>
        <v>#NUM!</v>
      </c>
      <c r="AQ75" s="524" t="e">
        <f t="shared" si="13"/>
        <v>#NUM!</v>
      </c>
      <c r="AR75" s="524" t="str">
        <f t="shared" si="14"/>
        <v/>
      </c>
      <c r="AT75" s="517">
        <f t="shared" si="15"/>
        <v>0.64</v>
      </c>
      <c r="AU75" s="501">
        <f t="shared" si="16"/>
        <v>64</v>
      </c>
      <c r="AV75" s="525" t="e">
        <f>PERCENTILE(analyses!$F$11:$F$375,$AT75)</f>
        <v>#NUM!</v>
      </c>
      <c r="AW75" s="7" t="e">
        <f>PERCENTILE(analyses!$I$11:$I$375,$AT75)</f>
        <v>#NUM!</v>
      </c>
      <c r="AX75" s="7" t="e">
        <f>PERCENTILE(analyses!$J$11:$J$375,$AT75)</f>
        <v>#NUM!</v>
      </c>
      <c r="AY75" s="523" t="str">
        <f>_xlfn.IFNA(IF(données_step[[#This Row],[E_DCO]]&lt;=0,NA(),charge_entree[[#This Row],[ch_E_DCO]]/constanten!$B$8*1000),"")</f>
        <v/>
      </c>
      <c r="AZ75" s="523" t="str">
        <f>_xlfn.IFNA(IF(données_step[[#This Row],[E_NTOT]]&lt;=0,NA(),charge_entree[[#This Row],[ch_E_NTOT]]/constanten!$B$10*1000),"")</f>
        <v/>
      </c>
      <c r="BA75" s="523" t="str">
        <f>_xlfn.IFNA(IF(données_step[[#This Row],[E_NH4]]&lt;=0,NA(),charge_entree[[#This Row],[ch_E_NH4]]/constanten!$B$12*1000),"")</f>
        <v/>
      </c>
      <c r="BB75" s="523" t="str">
        <f>_xlfn.IFNA(IF(données_step[[#This Row],[E_COT]]&lt;=0,NA(),charge_entree[[#This Row],[ch_E_COT]]/constanten!$B$9*1000),"")</f>
        <v/>
      </c>
      <c r="BC75" s="523" t="str">
        <f>IFERROR(_xlfn.IFNA(IF(données_step[[#This Row],[E_PTOT]]&lt;=0,NA(),charge_entree[[#This Row],[ch_E_PTOT]]/constanten!$B$15*1000),""),"")</f>
        <v/>
      </c>
      <c r="BD75" s="535" t="e">
        <f>calculs!E75 * (1-0.4) / (données_step[[#This Row],[X_BA_VOL]]*données_step[[#This Row],[X_BACONC]])</f>
        <v>#VALUE!</v>
      </c>
      <c r="BE75" s="522" t="e">
        <f>(données_step[[#This Row],[X_BA_VOL]]*données_step[[#This Row],[X_BACONC]])/((données_step[[#This Row],[D_QTRAI2]]*données_step[[#This Row],[S_MES]]/1000)+(données_step[[#This Row],[X_BX_Q]]*données_step[[#This Row],[X_BXCONC]]))</f>
        <v>#VALUE!</v>
      </c>
      <c r="BF75" s="890" t="str">
        <f>IFERROR(données_step[[#This Row],[D_QTRAI]]/AY75*1000,"")</f>
        <v/>
      </c>
      <c r="BG75" s="535" t="str">
        <f>IFERROR(1-données_step[[#This Row],[S_DBO5]]/données_step[[#This Row],[E_DBO5]],"")</f>
        <v/>
      </c>
      <c r="BH75" s="536" t="str">
        <f>IFERROR(1-données_step[[#This Row],[S_DCO]]/données_step[[#This Row],[E_DCO]],"")</f>
        <v/>
      </c>
      <c r="BI75" s="535" t="str">
        <f>IFERROR(1-données_step[[#This Row],[S_COD]]/données_step[[#This Row],[E_COT]],"")</f>
        <v/>
      </c>
      <c r="BJ75" s="535" t="str">
        <f>IFERROR(1-données_step[[#This Row],[S_NH4]]/données_step[[#This Row],[E_NTOT]],"")</f>
        <v/>
      </c>
      <c r="BK75" s="535" t="str">
        <f>IFERROR(1-données_step[[#This Row],[S_PTOT]]/données_step[[#This Row],[E_PTOT]],"")</f>
        <v/>
      </c>
      <c r="BL75" s="521" t="str">
        <f>IFERROR(IF(données_step[[#This Row],[E_DCO]]/données_step[[#This Row],[E_DBO5]]=0,NA(),données_step[[#This Row],[E_DCO]]/données_step[[#This Row],[E_DBO5]]),"")</f>
        <v/>
      </c>
      <c r="BM75" s="521" t="str">
        <f>IFERROR(IF(données_step[[#This Row],[E_NH4]]/données_step[[#This Row],[E_NTOT]]=0,NA(),données_step[[#This Row],[E_NH4]]/données_step[[#This Row],[E_NTOT]]),"")</f>
        <v/>
      </c>
      <c r="BN75" s="521" t="str">
        <f>IFERROR(IF(données_step[[#This Row],[E_NTOT]]/données_step[[#This Row],[E_COT]]=0,NA(),données_step[[#This Row],[E_NTOT]]/données_step[[#This Row],[E_COT]]),"")</f>
        <v/>
      </c>
      <c r="BO75" s="521" t="str">
        <f>IFERROR(IF(données_step[[#This Row],[E_PTOT]]/données_step[[#This Row],[E_COT]]=0,NA(),données_step[[#This Row],[E_PTOT]]/données_step[[#This Row],[E_COT]]),"")</f>
        <v/>
      </c>
      <c r="BP75" s="521" t="e">
        <f>IF(données_step[[#This Row],[E_DCO]]/données_step[[#This Row],[E_COT]]=0,NA(),données_step[[#This Row],[E_DCO]]/données_step[[#This Row],[E_COT]])</f>
        <v>#DIV/0!</v>
      </c>
      <c r="BQ75" s="521" t="e">
        <f>IF(données_step[[#This Row],[E_NTOT]]/données_step[[#This Row],[E_DCO]]=0,NA(),données_step[[#This Row],[E_NTOT]]/données_step[[#This Row],[E_DCO]])</f>
        <v>#DIV/0!</v>
      </c>
      <c r="BR75" s="521" t="e">
        <f>IF(données_step[[#This Row],[E_PTOT]]/données_step[[#This Row],[E_DCO]]=0,NA(),données_step[[#This Row],[E_PTOT]]/données_step[[#This Row],[E_DCO]])</f>
        <v>#DIV/0!</v>
      </c>
      <c r="BS75" s="747" t="e">
        <f ca="1">test_NH4_temp(données_step[[#This Row],[S_NH4]],données_step[[#This Row],[Temp_eaux]])</f>
        <v>#NAME?</v>
      </c>
    </row>
    <row r="76" spans="1:71" x14ac:dyDescent="0.2">
      <c r="A76" s="222">
        <f>données_step[[#This Row],[Datum]]</f>
        <v>44627</v>
      </c>
      <c r="B76" s="223"/>
      <c r="C76" s="224">
        <f t="shared" ref="C76:C95" si="17">WEEKDAY(A76)</f>
        <v>2</v>
      </c>
      <c r="D76" s="523" t="str">
        <f>IF(OR(données_step[[#This Row],[E_DBO5]]&lt;=0,données_step[[#This Row],[E_DBO5]]=""),"",données_step[[#This Row],[D_QTRAI]]*données_step[[#This Row],[E_DBO5]]/1000)</f>
        <v/>
      </c>
      <c r="E76" s="523" t="str">
        <f>IF(OR(données_step[[#This Row],[E_DCO]]&lt;=0,données_step[[#This Row],[E_DCO]]=""),"",données_step[[#This Row],[D_QTRAI]]*données_step[[#This Row],[E_DCO]]/1000)</f>
        <v/>
      </c>
      <c r="F76" s="523" t="str">
        <f>IF(OR(données_step[[#This Row],[E_COT]]&lt;=0,données_step[[#This Row],[E_COT]]=""),"",données_step[[#This Row],[D_QTRAI]]*données_step[[#This Row],[E_COT]]/1000)</f>
        <v/>
      </c>
      <c r="G76" s="523" t="str">
        <f>IF(OR(données_step[[#This Row],[E_NH4]]&lt;=0,données_step[[#This Row],[E_NH4]]=""),"",données_step[[#This Row],[D_QTRAI]]*données_step[[#This Row],[E_NH4]]/1000)</f>
        <v/>
      </c>
      <c r="H76" s="523" t="str">
        <f>IF(OR(données_step[[#This Row],[E_NTOT]]&lt;=0,données_step[[#This Row],[E_NTOT]]=""),"",données_step[[#This Row],[D_QTRAI]]*données_step[[#This Row],[E_NTOT]]/1000)</f>
        <v/>
      </c>
      <c r="I76" s="523" t="str">
        <f>IF(OR(données_step[[#This Row],[E_NTOT]]&lt;=0,données_step[[#This Row],[E_NTOT]]=""),"",données_step[[#This Row],[D_QTRAI]]*données_step[[#This Row],[E_PTOT]]/1000)</f>
        <v/>
      </c>
      <c r="J76" s="523" t="str">
        <f>IF(OR(données_step[[#This Row],[S_DBO5]]&lt;=0,données_step[[#This Row],[S_DBO5]]=""),"",données_step[[#This Row],[D_QTRAI]]*données_step[[#This Row],[S_DBO5]]/1000)</f>
        <v/>
      </c>
      <c r="K76" s="523" t="str">
        <f>IF(OR(données_step[[#This Row],[S_DCO]]&lt;=0,données_step[[#This Row],[S_DCO]]=""),"",données_step[[#This Row],[D_QTRAI]]*données_step[[#This Row],[S_DCO]]/1000)</f>
        <v/>
      </c>
      <c r="L76" s="523" t="str">
        <f>IF(OR(données_step[[#This Row],[S_COD]]&lt;=0,données_step[[#This Row],[S_COD]]=""),"",données_step[[#This Row],[D_QTRAI]]*données_step[[#This Row],[S_COD]]/1000)</f>
        <v/>
      </c>
      <c r="M76" s="523" t="str">
        <f>IF(OR(données_step[[#This Row],[S_NH4]]&lt;=0,données_step[[#This Row],[S_NH4]]=""),"",données_step[[#This Row],[D_QTRAI]]*données_step[[#This Row],[S_NH4]]/1000)</f>
        <v/>
      </c>
      <c r="N76" s="523" t="str">
        <f>IF(OR(données_step[[#This Row],[S_NO2]]&lt;=0,données_step[[#This Row],[S_NO2]]=""),"",données_step[[#This Row],[D_QTRAI]]*données_step[[#This Row],[S_NO2]]/1000)</f>
        <v/>
      </c>
      <c r="O76" s="523" t="str">
        <f>IF(OR(données_step[[#This Row],[S_NO3]]&lt;=0,données_step[[#This Row],[S_NO3]]=""),"",données_step[[#This Row],[D_QTRAI]]*données_step[[#This Row],[S_NO3]]/1000)</f>
        <v/>
      </c>
      <c r="P76" s="523" t="str">
        <f>IF(OR(données_step[[#This Row],[S_PTOT]]&lt;=0,données_step[[#This Row],[S_PTOT]]=""),"",données_step[[#This Row],[D_QTRAI]]*données_step[[#This Row],[S_PTOT]]/1000)</f>
        <v/>
      </c>
      <c r="Q76" s="523" t="str">
        <f>IF(OR(données_step[[#This Row],[S_MES]]&lt;=0,données_step[[#This Row],[S_MES]]=""),"",données_step[[#This Row],[D_QTRAI]]*données_step[[#This Row],[S_MES]]/1000)</f>
        <v/>
      </c>
      <c r="R76" s="523">
        <f>MAX(données_step[[#This Row],[D_QTRAI]],données_step[[#This Row],[D_QTRAI2]])</f>
        <v>0</v>
      </c>
      <c r="S76" s="523" t="str">
        <f>IF(AND($R76&gt;0,données_step[[#This Row],[E_DCO]]&gt;0),données_step[[#This Row],[E_DCO]],"")</f>
        <v/>
      </c>
      <c r="T76" s="523" t="str">
        <f>IF(S76="","",(1-données_step[[#This Row],[E_DCO]]/$V$7)*100)</f>
        <v/>
      </c>
      <c r="U76" s="523" t="str">
        <f t="shared" ref="U76:U139" si="18">IF(OR(T76="",T76&lt;0),"",T76)</f>
        <v/>
      </c>
      <c r="V76" s="523" t="str">
        <f t="shared" ref="V76:V139" si="19">IF(T76="","",T76*$R76/8640)</f>
        <v/>
      </c>
      <c r="W76" s="523" t="str">
        <f t="shared" ref="W76:W139" si="20">V76</f>
        <v/>
      </c>
      <c r="X76" s="523" t="e">
        <f>IF(((100-100/$V$7*données_step[[#This Row],[E_DCO]])/100*QTS)&lt;0,NA(),IF(OR(U76&lt;0,U76=""),NA(),((100-100/$V$7*données_step[[#This Row],[E_DCO]])/100*QTS)))</f>
        <v>#NUM!</v>
      </c>
      <c r="Y76" s="523" t="str">
        <f>IF(AND($R76&gt;0,données_step[[#This Row],[E_COT]]&gt;0),données_step[[#This Row],[E_COT]],"")</f>
        <v/>
      </c>
      <c r="Z76" s="523" t="str">
        <f>IF(Y76="","",(1-données_step[[#This Row],[E_COT]]/$AB$7)*100)</f>
        <v/>
      </c>
      <c r="AA76" s="523" t="str">
        <f t="shared" ref="AA76:AA139" si="21">IF(OR(Z76="",Z76&lt;0),"",Z76)</f>
        <v/>
      </c>
      <c r="AB76" s="523" t="str">
        <f t="shared" ref="AB76:AB139" si="22">IF(Z76="","",Z76*$R76/8640)</f>
        <v/>
      </c>
      <c r="AC76" s="523" t="str">
        <f t="shared" ref="AC76:AC139" si="23">AB76</f>
        <v/>
      </c>
      <c r="AD76" s="523" t="e">
        <f>IF(((100-100/$AB$7*données_step[[#This Row],[E_COT]])/100*QTS)&lt;0,NA(),IF(OR(AA76&lt;0,AA76=""),NA(),((100-100/$AB$7*données_step[[#This Row],[E_COT]])/100*QTS)))</f>
        <v>#NUM!</v>
      </c>
      <c r="AE76" s="523" t="str">
        <f>IF(AND($R76&gt;0,données_step[[#This Row],[E_NH4]]&gt;0),données_step[[#This Row],[E_NH4]],"")</f>
        <v/>
      </c>
      <c r="AF76" s="523" t="str">
        <f>IF(AE76="","",(1-données_step[[#This Row],[E_NH4]]/$AH$7)*100)</f>
        <v/>
      </c>
      <c r="AG76" s="523" t="str">
        <f t="shared" ref="AG76:AG139" si="24">IF(OR(AF76="",AF76&lt;0),"",AF76)</f>
        <v/>
      </c>
      <c r="AH76" s="523" t="str">
        <f t="shared" ref="AH76:AH139" si="25">IF(AF76="","",AF76*$R76/8640)</f>
        <v/>
      </c>
      <c r="AI76" s="523" t="str">
        <f t="shared" ref="AI76:AI139" si="26">AH76</f>
        <v/>
      </c>
      <c r="AJ76" s="523" t="e">
        <f>IF(((100-100/$AH$7*données_step[[#This Row],[E_NH4]])/100*QTS)&lt;0,NA(),IF(OR(AG76&lt;0,AG76=""),NA(),((100-100/$AH$7*données_step[[#This Row],[E_NH4]])/100*QTS)))</f>
        <v>#NUM!</v>
      </c>
      <c r="AK76" s="523" t="str">
        <f>IF(AND($R76&gt;0,données_step[[#This Row],[E_PTOT]]&gt;0),données_step[[#This Row],[E_PTOT]],"")</f>
        <v/>
      </c>
      <c r="AL76" s="523" t="str">
        <f>IF(AK76="","",(1-données_step[[#This Row],[E_PTOT]]/$AN$7)*100)</f>
        <v/>
      </c>
      <c r="AM76" s="523" t="str">
        <f t="shared" ref="AM76:AM139" si="27">IF(OR(AL76="",AL76&lt;0),"",AL76)</f>
        <v/>
      </c>
      <c r="AN76" s="523" t="str">
        <f t="shared" ref="AN76:AN139" si="28">IF(AL76="","",AL76*$R76/8640)</f>
        <v/>
      </c>
      <c r="AO76" s="523" t="str">
        <f t="shared" ref="AO76:AO139" si="29">AN76</f>
        <v/>
      </c>
      <c r="AP76" s="523" t="e">
        <f>IF(((100-100/$AN$7*données_step[[#This Row],[E_PTOT]])/100*QTS)&lt;0,NA(),IF(OR(AM76&lt;0,AM76=""),NA(),((100-100/$AN$7*données_step[[#This Row],[E_PTOT]])/100*QTS)))</f>
        <v>#NUM!</v>
      </c>
      <c r="AQ76" s="524" t="e">
        <f t="shared" ref="AQ76:AQ139" si="30">_xlfn.IFNA(AVERAGE(X76,AD76,AJ76,AP76),"")</f>
        <v>#NUM!</v>
      </c>
      <c r="AR76" s="524" t="str">
        <f t="shared" ref="AR76:AR139" si="31">IFERROR(AVERAGE(U76,AA76,AG76,AM76),"")</f>
        <v/>
      </c>
      <c r="AT76" s="517">
        <f t="shared" ref="AT76:AT107" si="32">AU76/100</f>
        <v>0.65</v>
      </c>
      <c r="AU76" s="501">
        <f t="shared" si="16"/>
        <v>65</v>
      </c>
      <c r="AV76" s="525" t="e">
        <f>PERCENTILE(analyses!$F$11:$F$375,$AT76)</f>
        <v>#NUM!</v>
      </c>
      <c r="AW76" s="7" t="e">
        <f>PERCENTILE(analyses!$I$11:$I$375,$AT76)</f>
        <v>#NUM!</v>
      </c>
      <c r="AX76" s="7" t="e">
        <f>PERCENTILE(analyses!$J$11:$J$375,$AT76)</f>
        <v>#NUM!</v>
      </c>
      <c r="AY76" s="523" t="str">
        <f>_xlfn.IFNA(IF(données_step[[#This Row],[E_DCO]]&lt;=0,NA(),charge_entree[[#This Row],[ch_E_DCO]]/constanten!$B$8*1000),"")</f>
        <v/>
      </c>
      <c r="AZ76" s="523" t="str">
        <f>_xlfn.IFNA(IF(données_step[[#This Row],[E_NTOT]]&lt;=0,NA(),charge_entree[[#This Row],[ch_E_NTOT]]/constanten!$B$10*1000),"")</f>
        <v/>
      </c>
      <c r="BA76" s="523" t="str">
        <f>_xlfn.IFNA(IF(données_step[[#This Row],[E_NH4]]&lt;=0,NA(),charge_entree[[#This Row],[ch_E_NH4]]/constanten!$B$12*1000),"")</f>
        <v/>
      </c>
      <c r="BB76" s="523" t="str">
        <f>_xlfn.IFNA(IF(données_step[[#This Row],[E_COT]]&lt;=0,NA(),charge_entree[[#This Row],[ch_E_COT]]/constanten!$B$9*1000),"")</f>
        <v/>
      </c>
      <c r="BC76" s="523" t="str">
        <f>IFERROR(_xlfn.IFNA(IF(données_step[[#This Row],[E_PTOT]]&lt;=0,NA(),charge_entree[[#This Row],[ch_E_PTOT]]/constanten!$B$15*1000),""),"")</f>
        <v/>
      </c>
      <c r="BD76" s="535" t="e">
        <f>calculs!E76 * (1-0.4) / (données_step[[#This Row],[X_BA_VOL]]*données_step[[#This Row],[X_BACONC]])</f>
        <v>#VALUE!</v>
      </c>
      <c r="BE76" s="522" t="e">
        <f>(données_step[[#This Row],[X_BA_VOL]]*données_step[[#This Row],[X_BACONC]])/((données_step[[#This Row],[D_QTRAI2]]*données_step[[#This Row],[S_MES]]/1000)+(données_step[[#This Row],[X_BX_Q]]*données_step[[#This Row],[X_BXCONC]]))</f>
        <v>#VALUE!</v>
      </c>
      <c r="BF76" s="890" t="str">
        <f>IFERROR(données_step[[#This Row],[D_QTRAI]]/AY76*1000,"")</f>
        <v/>
      </c>
      <c r="BG76" s="535" t="str">
        <f>IFERROR(1-données_step[[#This Row],[S_DBO5]]/données_step[[#This Row],[E_DBO5]],"")</f>
        <v/>
      </c>
      <c r="BH76" s="536" t="str">
        <f>IFERROR(1-données_step[[#This Row],[S_DCO]]/données_step[[#This Row],[E_DCO]],"")</f>
        <v/>
      </c>
      <c r="BI76" s="535" t="str">
        <f>IFERROR(1-données_step[[#This Row],[S_COD]]/données_step[[#This Row],[E_COT]],"")</f>
        <v/>
      </c>
      <c r="BJ76" s="535" t="str">
        <f>IFERROR(1-données_step[[#This Row],[S_NH4]]/données_step[[#This Row],[E_NTOT]],"")</f>
        <v/>
      </c>
      <c r="BK76" s="535" t="str">
        <f>IFERROR(1-données_step[[#This Row],[S_PTOT]]/données_step[[#This Row],[E_PTOT]],"")</f>
        <v/>
      </c>
      <c r="BL76" s="521" t="str">
        <f>IFERROR(IF(données_step[[#This Row],[E_DCO]]/données_step[[#This Row],[E_DBO5]]=0,NA(),données_step[[#This Row],[E_DCO]]/données_step[[#This Row],[E_DBO5]]),"")</f>
        <v/>
      </c>
      <c r="BM76" s="521" t="str">
        <f>IFERROR(IF(données_step[[#This Row],[E_NH4]]/données_step[[#This Row],[E_NTOT]]=0,NA(),données_step[[#This Row],[E_NH4]]/données_step[[#This Row],[E_NTOT]]),"")</f>
        <v/>
      </c>
      <c r="BN76" s="521" t="str">
        <f>IFERROR(IF(données_step[[#This Row],[E_NTOT]]/données_step[[#This Row],[E_COT]]=0,NA(),données_step[[#This Row],[E_NTOT]]/données_step[[#This Row],[E_COT]]),"")</f>
        <v/>
      </c>
      <c r="BO76" s="521" t="str">
        <f>IFERROR(IF(données_step[[#This Row],[E_PTOT]]/données_step[[#This Row],[E_COT]]=0,NA(),données_step[[#This Row],[E_PTOT]]/données_step[[#This Row],[E_COT]]),"")</f>
        <v/>
      </c>
      <c r="BP76" s="521" t="e">
        <f>IF(données_step[[#This Row],[E_DCO]]/données_step[[#This Row],[E_COT]]=0,NA(),données_step[[#This Row],[E_DCO]]/données_step[[#This Row],[E_COT]])</f>
        <v>#DIV/0!</v>
      </c>
      <c r="BQ76" s="521" t="e">
        <f>IF(données_step[[#This Row],[E_NTOT]]/données_step[[#This Row],[E_DCO]]=0,NA(),données_step[[#This Row],[E_NTOT]]/données_step[[#This Row],[E_DCO]])</f>
        <v>#DIV/0!</v>
      </c>
      <c r="BR76" s="521" t="e">
        <f>IF(données_step[[#This Row],[E_PTOT]]/données_step[[#This Row],[E_DCO]]=0,NA(),données_step[[#This Row],[E_PTOT]]/données_step[[#This Row],[E_DCO]])</f>
        <v>#DIV/0!</v>
      </c>
      <c r="BS76" s="747" t="e">
        <f ca="1">test_NH4_temp(données_step[[#This Row],[S_NH4]],données_step[[#This Row],[Temp_eaux]])</f>
        <v>#NAME?</v>
      </c>
    </row>
    <row r="77" spans="1:71" x14ac:dyDescent="0.2">
      <c r="A77" s="222">
        <f>données_step[[#This Row],[Datum]]</f>
        <v>44628</v>
      </c>
      <c r="B77" s="223"/>
      <c r="C77" s="224">
        <f t="shared" si="17"/>
        <v>3</v>
      </c>
      <c r="D77" s="523" t="str">
        <f>IF(OR(données_step[[#This Row],[E_DBO5]]&lt;=0,données_step[[#This Row],[E_DBO5]]=""),"",données_step[[#This Row],[D_QTRAI]]*données_step[[#This Row],[E_DBO5]]/1000)</f>
        <v/>
      </c>
      <c r="E77" s="523" t="str">
        <f>IF(OR(données_step[[#This Row],[E_DCO]]&lt;=0,données_step[[#This Row],[E_DCO]]=""),"",données_step[[#This Row],[D_QTRAI]]*données_step[[#This Row],[E_DCO]]/1000)</f>
        <v/>
      </c>
      <c r="F77" s="523" t="str">
        <f>IF(OR(données_step[[#This Row],[E_COT]]&lt;=0,données_step[[#This Row],[E_COT]]=""),"",données_step[[#This Row],[D_QTRAI]]*données_step[[#This Row],[E_COT]]/1000)</f>
        <v/>
      </c>
      <c r="G77" s="523" t="str">
        <f>IF(OR(données_step[[#This Row],[E_NH4]]&lt;=0,données_step[[#This Row],[E_NH4]]=""),"",données_step[[#This Row],[D_QTRAI]]*données_step[[#This Row],[E_NH4]]/1000)</f>
        <v/>
      </c>
      <c r="H77" s="523" t="str">
        <f>IF(OR(données_step[[#This Row],[E_NTOT]]&lt;=0,données_step[[#This Row],[E_NTOT]]=""),"",données_step[[#This Row],[D_QTRAI]]*données_step[[#This Row],[E_NTOT]]/1000)</f>
        <v/>
      </c>
      <c r="I77" s="523" t="str">
        <f>IF(OR(données_step[[#This Row],[E_NTOT]]&lt;=0,données_step[[#This Row],[E_NTOT]]=""),"",données_step[[#This Row],[D_QTRAI]]*données_step[[#This Row],[E_PTOT]]/1000)</f>
        <v/>
      </c>
      <c r="J77" s="523" t="str">
        <f>IF(OR(données_step[[#This Row],[S_DBO5]]&lt;=0,données_step[[#This Row],[S_DBO5]]=""),"",données_step[[#This Row],[D_QTRAI]]*données_step[[#This Row],[S_DBO5]]/1000)</f>
        <v/>
      </c>
      <c r="K77" s="523" t="str">
        <f>IF(OR(données_step[[#This Row],[S_DCO]]&lt;=0,données_step[[#This Row],[S_DCO]]=""),"",données_step[[#This Row],[D_QTRAI]]*données_step[[#This Row],[S_DCO]]/1000)</f>
        <v/>
      </c>
      <c r="L77" s="523" t="str">
        <f>IF(OR(données_step[[#This Row],[S_COD]]&lt;=0,données_step[[#This Row],[S_COD]]=""),"",données_step[[#This Row],[D_QTRAI]]*données_step[[#This Row],[S_COD]]/1000)</f>
        <v/>
      </c>
      <c r="M77" s="523" t="str">
        <f>IF(OR(données_step[[#This Row],[S_NH4]]&lt;=0,données_step[[#This Row],[S_NH4]]=""),"",données_step[[#This Row],[D_QTRAI]]*données_step[[#This Row],[S_NH4]]/1000)</f>
        <v/>
      </c>
      <c r="N77" s="523" t="str">
        <f>IF(OR(données_step[[#This Row],[S_NO2]]&lt;=0,données_step[[#This Row],[S_NO2]]=""),"",données_step[[#This Row],[D_QTRAI]]*données_step[[#This Row],[S_NO2]]/1000)</f>
        <v/>
      </c>
      <c r="O77" s="523" t="str">
        <f>IF(OR(données_step[[#This Row],[S_NO3]]&lt;=0,données_step[[#This Row],[S_NO3]]=""),"",données_step[[#This Row],[D_QTRAI]]*données_step[[#This Row],[S_NO3]]/1000)</f>
        <v/>
      </c>
      <c r="P77" s="523" t="str">
        <f>IF(OR(données_step[[#This Row],[S_PTOT]]&lt;=0,données_step[[#This Row],[S_PTOT]]=""),"",données_step[[#This Row],[D_QTRAI]]*données_step[[#This Row],[S_PTOT]]/1000)</f>
        <v/>
      </c>
      <c r="Q77" s="523" t="str">
        <f>IF(OR(données_step[[#This Row],[S_MES]]&lt;=0,données_step[[#This Row],[S_MES]]=""),"",données_step[[#This Row],[D_QTRAI]]*données_step[[#This Row],[S_MES]]/1000)</f>
        <v/>
      </c>
      <c r="R77" s="523">
        <f>MAX(données_step[[#This Row],[D_QTRAI]],données_step[[#This Row],[D_QTRAI2]])</f>
        <v>0</v>
      </c>
      <c r="S77" s="523" t="str">
        <f>IF(AND($R77&gt;0,données_step[[#This Row],[E_DCO]]&gt;0),données_step[[#This Row],[E_DCO]],"")</f>
        <v/>
      </c>
      <c r="T77" s="523" t="str">
        <f>IF(S77="","",(1-données_step[[#This Row],[E_DCO]]/$V$7)*100)</f>
        <v/>
      </c>
      <c r="U77" s="523" t="str">
        <f t="shared" si="18"/>
        <v/>
      </c>
      <c r="V77" s="523" t="str">
        <f t="shared" si="19"/>
        <v/>
      </c>
      <c r="W77" s="523" t="str">
        <f t="shared" si="20"/>
        <v/>
      </c>
      <c r="X77" s="523" t="e">
        <f>IF(((100-100/$V$7*données_step[[#This Row],[E_DCO]])/100*QTS)&lt;0,NA(),IF(OR(U77&lt;0,U77=""),NA(),((100-100/$V$7*données_step[[#This Row],[E_DCO]])/100*QTS)))</f>
        <v>#NUM!</v>
      </c>
      <c r="Y77" s="523" t="str">
        <f>IF(AND($R77&gt;0,données_step[[#This Row],[E_COT]]&gt;0),données_step[[#This Row],[E_COT]],"")</f>
        <v/>
      </c>
      <c r="Z77" s="523" t="str">
        <f>IF(Y77="","",(1-données_step[[#This Row],[E_COT]]/$AB$7)*100)</f>
        <v/>
      </c>
      <c r="AA77" s="523" t="str">
        <f t="shared" si="21"/>
        <v/>
      </c>
      <c r="AB77" s="523" t="str">
        <f t="shared" si="22"/>
        <v/>
      </c>
      <c r="AC77" s="523" t="str">
        <f t="shared" si="23"/>
        <v/>
      </c>
      <c r="AD77" s="523" t="e">
        <f>IF(((100-100/$AB$7*données_step[[#This Row],[E_COT]])/100*QTS)&lt;0,NA(),IF(OR(AA77&lt;0,AA77=""),NA(),((100-100/$AB$7*données_step[[#This Row],[E_COT]])/100*QTS)))</f>
        <v>#NUM!</v>
      </c>
      <c r="AE77" s="523" t="str">
        <f>IF(AND($R77&gt;0,données_step[[#This Row],[E_NH4]]&gt;0),données_step[[#This Row],[E_NH4]],"")</f>
        <v/>
      </c>
      <c r="AF77" s="523" t="str">
        <f>IF(AE77="","",(1-données_step[[#This Row],[E_NH4]]/$AH$7)*100)</f>
        <v/>
      </c>
      <c r="AG77" s="523" t="str">
        <f t="shared" si="24"/>
        <v/>
      </c>
      <c r="AH77" s="523" t="str">
        <f t="shared" si="25"/>
        <v/>
      </c>
      <c r="AI77" s="523" t="str">
        <f t="shared" si="26"/>
        <v/>
      </c>
      <c r="AJ77" s="523" t="e">
        <f>IF(((100-100/$AH$7*données_step[[#This Row],[E_NH4]])/100*QTS)&lt;0,NA(),IF(OR(AG77&lt;0,AG77=""),NA(),((100-100/$AH$7*données_step[[#This Row],[E_NH4]])/100*QTS)))</f>
        <v>#NUM!</v>
      </c>
      <c r="AK77" s="523" t="str">
        <f>IF(AND($R77&gt;0,données_step[[#This Row],[E_PTOT]]&gt;0),données_step[[#This Row],[E_PTOT]],"")</f>
        <v/>
      </c>
      <c r="AL77" s="523" t="str">
        <f>IF(AK77="","",(1-données_step[[#This Row],[E_PTOT]]/$AN$7)*100)</f>
        <v/>
      </c>
      <c r="AM77" s="523" t="str">
        <f t="shared" si="27"/>
        <v/>
      </c>
      <c r="AN77" s="523" t="str">
        <f t="shared" si="28"/>
        <v/>
      </c>
      <c r="AO77" s="523" t="str">
        <f t="shared" si="29"/>
        <v/>
      </c>
      <c r="AP77" s="523" t="e">
        <f>IF(((100-100/$AN$7*données_step[[#This Row],[E_PTOT]])/100*QTS)&lt;0,NA(),IF(OR(AM77&lt;0,AM77=""),NA(),((100-100/$AN$7*données_step[[#This Row],[E_PTOT]])/100*QTS)))</f>
        <v>#NUM!</v>
      </c>
      <c r="AQ77" s="524" t="e">
        <f t="shared" si="30"/>
        <v>#NUM!</v>
      </c>
      <c r="AR77" s="524" t="str">
        <f t="shared" si="31"/>
        <v/>
      </c>
      <c r="AT77" s="517">
        <f t="shared" si="32"/>
        <v>0.66</v>
      </c>
      <c r="AU77" s="501">
        <f t="shared" ref="AU77:AU111" si="33">AU76+1</f>
        <v>66</v>
      </c>
      <c r="AV77" s="525" t="e">
        <f>PERCENTILE(analyses!$F$11:$F$375,$AT77)</f>
        <v>#NUM!</v>
      </c>
      <c r="AW77" s="7" t="e">
        <f>PERCENTILE(analyses!$I$11:$I$375,$AT77)</f>
        <v>#NUM!</v>
      </c>
      <c r="AX77" s="7" t="e">
        <f>PERCENTILE(analyses!$J$11:$J$375,$AT77)</f>
        <v>#NUM!</v>
      </c>
      <c r="AY77" s="523" t="str">
        <f>_xlfn.IFNA(IF(données_step[[#This Row],[E_DCO]]&lt;=0,NA(),charge_entree[[#This Row],[ch_E_DCO]]/constanten!$B$8*1000),"")</f>
        <v/>
      </c>
      <c r="AZ77" s="523" t="str">
        <f>_xlfn.IFNA(IF(données_step[[#This Row],[E_NTOT]]&lt;=0,NA(),charge_entree[[#This Row],[ch_E_NTOT]]/constanten!$B$10*1000),"")</f>
        <v/>
      </c>
      <c r="BA77" s="523" t="str">
        <f>_xlfn.IFNA(IF(données_step[[#This Row],[E_NH4]]&lt;=0,NA(),charge_entree[[#This Row],[ch_E_NH4]]/constanten!$B$12*1000),"")</f>
        <v/>
      </c>
      <c r="BB77" s="523" t="str">
        <f>_xlfn.IFNA(IF(données_step[[#This Row],[E_COT]]&lt;=0,NA(),charge_entree[[#This Row],[ch_E_COT]]/constanten!$B$9*1000),"")</f>
        <v/>
      </c>
      <c r="BC77" s="523" t="str">
        <f>IFERROR(_xlfn.IFNA(IF(données_step[[#This Row],[E_PTOT]]&lt;=0,NA(),charge_entree[[#This Row],[ch_E_PTOT]]/constanten!$B$15*1000),""),"")</f>
        <v/>
      </c>
      <c r="BD77" s="535" t="e">
        <f>calculs!E77 * (1-0.4) / (données_step[[#This Row],[X_BA_VOL]]*données_step[[#This Row],[X_BACONC]])</f>
        <v>#VALUE!</v>
      </c>
      <c r="BE77" s="522" t="e">
        <f>(données_step[[#This Row],[X_BA_VOL]]*données_step[[#This Row],[X_BACONC]])/((données_step[[#This Row],[D_QTRAI2]]*données_step[[#This Row],[S_MES]]/1000)+(données_step[[#This Row],[X_BX_Q]]*données_step[[#This Row],[X_BXCONC]]))</f>
        <v>#VALUE!</v>
      </c>
      <c r="BF77" s="890" t="str">
        <f>IFERROR(données_step[[#This Row],[D_QTRAI]]/AY77*1000,"")</f>
        <v/>
      </c>
      <c r="BG77" s="535" t="str">
        <f>IFERROR(1-données_step[[#This Row],[S_DBO5]]/données_step[[#This Row],[E_DBO5]],"")</f>
        <v/>
      </c>
      <c r="BH77" s="536" t="str">
        <f>IFERROR(1-données_step[[#This Row],[S_DCO]]/données_step[[#This Row],[E_DCO]],"")</f>
        <v/>
      </c>
      <c r="BI77" s="535" t="str">
        <f>IFERROR(1-données_step[[#This Row],[S_COD]]/données_step[[#This Row],[E_COT]],"")</f>
        <v/>
      </c>
      <c r="BJ77" s="535" t="str">
        <f>IFERROR(1-données_step[[#This Row],[S_NH4]]/données_step[[#This Row],[E_NTOT]],"")</f>
        <v/>
      </c>
      <c r="BK77" s="535" t="str">
        <f>IFERROR(1-données_step[[#This Row],[S_PTOT]]/données_step[[#This Row],[E_PTOT]],"")</f>
        <v/>
      </c>
      <c r="BL77" s="521" t="str">
        <f>IFERROR(IF(données_step[[#This Row],[E_DCO]]/données_step[[#This Row],[E_DBO5]]=0,NA(),données_step[[#This Row],[E_DCO]]/données_step[[#This Row],[E_DBO5]]),"")</f>
        <v/>
      </c>
      <c r="BM77" s="521" t="str">
        <f>IFERROR(IF(données_step[[#This Row],[E_NH4]]/données_step[[#This Row],[E_NTOT]]=0,NA(),données_step[[#This Row],[E_NH4]]/données_step[[#This Row],[E_NTOT]]),"")</f>
        <v/>
      </c>
      <c r="BN77" s="521" t="str">
        <f>IFERROR(IF(données_step[[#This Row],[E_NTOT]]/données_step[[#This Row],[E_COT]]=0,NA(),données_step[[#This Row],[E_NTOT]]/données_step[[#This Row],[E_COT]]),"")</f>
        <v/>
      </c>
      <c r="BO77" s="521" t="str">
        <f>IFERROR(IF(données_step[[#This Row],[E_PTOT]]/données_step[[#This Row],[E_COT]]=0,NA(),données_step[[#This Row],[E_PTOT]]/données_step[[#This Row],[E_COT]]),"")</f>
        <v/>
      </c>
      <c r="BP77" s="521" t="e">
        <f>IF(données_step[[#This Row],[E_DCO]]/données_step[[#This Row],[E_COT]]=0,NA(),données_step[[#This Row],[E_DCO]]/données_step[[#This Row],[E_COT]])</f>
        <v>#DIV/0!</v>
      </c>
      <c r="BQ77" s="521" t="e">
        <f>IF(données_step[[#This Row],[E_NTOT]]/données_step[[#This Row],[E_DCO]]=0,NA(),données_step[[#This Row],[E_NTOT]]/données_step[[#This Row],[E_DCO]])</f>
        <v>#DIV/0!</v>
      </c>
      <c r="BR77" s="521" t="e">
        <f>IF(données_step[[#This Row],[E_PTOT]]/données_step[[#This Row],[E_DCO]]=0,NA(),données_step[[#This Row],[E_PTOT]]/données_step[[#This Row],[E_DCO]])</f>
        <v>#DIV/0!</v>
      </c>
      <c r="BS77" s="747" t="e">
        <f ca="1">test_NH4_temp(données_step[[#This Row],[S_NH4]],données_step[[#This Row],[Temp_eaux]])</f>
        <v>#NAME?</v>
      </c>
    </row>
    <row r="78" spans="1:71" x14ac:dyDescent="0.2">
      <c r="A78" s="222">
        <f>données_step[[#This Row],[Datum]]</f>
        <v>44629</v>
      </c>
      <c r="B78" s="223"/>
      <c r="C78" s="224">
        <f t="shared" si="17"/>
        <v>4</v>
      </c>
      <c r="D78" s="523" t="str">
        <f>IF(OR(données_step[[#This Row],[E_DBO5]]&lt;=0,données_step[[#This Row],[E_DBO5]]=""),"",données_step[[#This Row],[D_QTRAI]]*données_step[[#This Row],[E_DBO5]]/1000)</f>
        <v/>
      </c>
      <c r="E78" s="523" t="str">
        <f>IF(OR(données_step[[#This Row],[E_DCO]]&lt;=0,données_step[[#This Row],[E_DCO]]=""),"",données_step[[#This Row],[D_QTRAI]]*données_step[[#This Row],[E_DCO]]/1000)</f>
        <v/>
      </c>
      <c r="F78" s="523" t="str">
        <f>IF(OR(données_step[[#This Row],[E_COT]]&lt;=0,données_step[[#This Row],[E_COT]]=""),"",données_step[[#This Row],[D_QTRAI]]*données_step[[#This Row],[E_COT]]/1000)</f>
        <v/>
      </c>
      <c r="G78" s="523" t="str">
        <f>IF(OR(données_step[[#This Row],[E_NH4]]&lt;=0,données_step[[#This Row],[E_NH4]]=""),"",données_step[[#This Row],[D_QTRAI]]*données_step[[#This Row],[E_NH4]]/1000)</f>
        <v/>
      </c>
      <c r="H78" s="523" t="str">
        <f>IF(OR(données_step[[#This Row],[E_NTOT]]&lt;=0,données_step[[#This Row],[E_NTOT]]=""),"",données_step[[#This Row],[D_QTRAI]]*données_step[[#This Row],[E_NTOT]]/1000)</f>
        <v/>
      </c>
      <c r="I78" s="523" t="str">
        <f>IF(OR(données_step[[#This Row],[E_NTOT]]&lt;=0,données_step[[#This Row],[E_NTOT]]=""),"",données_step[[#This Row],[D_QTRAI]]*données_step[[#This Row],[E_PTOT]]/1000)</f>
        <v/>
      </c>
      <c r="J78" s="523" t="str">
        <f>IF(OR(données_step[[#This Row],[S_DBO5]]&lt;=0,données_step[[#This Row],[S_DBO5]]=""),"",données_step[[#This Row],[D_QTRAI]]*données_step[[#This Row],[S_DBO5]]/1000)</f>
        <v/>
      </c>
      <c r="K78" s="523" t="str">
        <f>IF(OR(données_step[[#This Row],[S_DCO]]&lt;=0,données_step[[#This Row],[S_DCO]]=""),"",données_step[[#This Row],[D_QTRAI]]*données_step[[#This Row],[S_DCO]]/1000)</f>
        <v/>
      </c>
      <c r="L78" s="523" t="str">
        <f>IF(OR(données_step[[#This Row],[S_COD]]&lt;=0,données_step[[#This Row],[S_COD]]=""),"",données_step[[#This Row],[D_QTRAI]]*données_step[[#This Row],[S_COD]]/1000)</f>
        <v/>
      </c>
      <c r="M78" s="523" t="str">
        <f>IF(OR(données_step[[#This Row],[S_NH4]]&lt;=0,données_step[[#This Row],[S_NH4]]=""),"",données_step[[#This Row],[D_QTRAI]]*données_step[[#This Row],[S_NH4]]/1000)</f>
        <v/>
      </c>
      <c r="N78" s="523" t="str">
        <f>IF(OR(données_step[[#This Row],[S_NO2]]&lt;=0,données_step[[#This Row],[S_NO2]]=""),"",données_step[[#This Row],[D_QTRAI]]*données_step[[#This Row],[S_NO2]]/1000)</f>
        <v/>
      </c>
      <c r="O78" s="523" t="str">
        <f>IF(OR(données_step[[#This Row],[S_NO3]]&lt;=0,données_step[[#This Row],[S_NO3]]=""),"",données_step[[#This Row],[D_QTRAI]]*données_step[[#This Row],[S_NO3]]/1000)</f>
        <v/>
      </c>
      <c r="P78" s="523" t="str">
        <f>IF(OR(données_step[[#This Row],[S_PTOT]]&lt;=0,données_step[[#This Row],[S_PTOT]]=""),"",données_step[[#This Row],[D_QTRAI]]*données_step[[#This Row],[S_PTOT]]/1000)</f>
        <v/>
      </c>
      <c r="Q78" s="523" t="str">
        <f>IF(OR(données_step[[#This Row],[S_MES]]&lt;=0,données_step[[#This Row],[S_MES]]=""),"",données_step[[#This Row],[D_QTRAI]]*données_step[[#This Row],[S_MES]]/1000)</f>
        <v/>
      </c>
      <c r="R78" s="523">
        <f>MAX(données_step[[#This Row],[D_QTRAI]],données_step[[#This Row],[D_QTRAI2]])</f>
        <v>0</v>
      </c>
      <c r="S78" s="523" t="str">
        <f>IF(AND($R78&gt;0,données_step[[#This Row],[E_DCO]]&gt;0),données_step[[#This Row],[E_DCO]],"")</f>
        <v/>
      </c>
      <c r="T78" s="523" t="str">
        <f>IF(S78="","",(1-données_step[[#This Row],[E_DCO]]/$V$7)*100)</f>
        <v/>
      </c>
      <c r="U78" s="523" t="str">
        <f t="shared" si="18"/>
        <v/>
      </c>
      <c r="V78" s="523" t="str">
        <f t="shared" si="19"/>
        <v/>
      </c>
      <c r="W78" s="523" t="str">
        <f t="shared" si="20"/>
        <v/>
      </c>
      <c r="X78" s="523" t="e">
        <f>IF(((100-100/$V$7*données_step[[#This Row],[E_DCO]])/100*QTS)&lt;0,NA(),IF(OR(U78&lt;0,U78=""),NA(),((100-100/$V$7*données_step[[#This Row],[E_DCO]])/100*QTS)))</f>
        <v>#NUM!</v>
      </c>
      <c r="Y78" s="523" t="str">
        <f>IF(AND($R78&gt;0,données_step[[#This Row],[E_COT]]&gt;0),données_step[[#This Row],[E_COT]],"")</f>
        <v/>
      </c>
      <c r="Z78" s="523" t="str">
        <f>IF(Y78="","",(1-données_step[[#This Row],[E_COT]]/$AB$7)*100)</f>
        <v/>
      </c>
      <c r="AA78" s="523" t="str">
        <f t="shared" si="21"/>
        <v/>
      </c>
      <c r="AB78" s="523" t="str">
        <f t="shared" si="22"/>
        <v/>
      </c>
      <c r="AC78" s="523" t="str">
        <f t="shared" si="23"/>
        <v/>
      </c>
      <c r="AD78" s="523" t="e">
        <f>IF(((100-100/$AB$7*données_step[[#This Row],[E_COT]])/100*QTS)&lt;0,NA(),IF(OR(AA78&lt;0,AA78=""),NA(),((100-100/$AB$7*données_step[[#This Row],[E_COT]])/100*QTS)))</f>
        <v>#NUM!</v>
      </c>
      <c r="AE78" s="523" t="str">
        <f>IF(AND($R78&gt;0,données_step[[#This Row],[E_NH4]]&gt;0),données_step[[#This Row],[E_NH4]],"")</f>
        <v/>
      </c>
      <c r="AF78" s="523" t="str">
        <f>IF(AE78="","",(1-données_step[[#This Row],[E_NH4]]/$AH$7)*100)</f>
        <v/>
      </c>
      <c r="AG78" s="523" t="str">
        <f t="shared" si="24"/>
        <v/>
      </c>
      <c r="AH78" s="523" t="str">
        <f t="shared" si="25"/>
        <v/>
      </c>
      <c r="AI78" s="523" t="str">
        <f t="shared" si="26"/>
        <v/>
      </c>
      <c r="AJ78" s="523" t="e">
        <f>IF(((100-100/$AH$7*données_step[[#This Row],[E_NH4]])/100*QTS)&lt;0,NA(),IF(OR(AG78&lt;0,AG78=""),NA(),((100-100/$AH$7*données_step[[#This Row],[E_NH4]])/100*QTS)))</f>
        <v>#NUM!</v>
      </c>
      <c r="AK78" s="523" t="str">
        <f>IF(AND($R78&gt;0,données_step[[#This Row],[E_PTOT]]&gt;0),données_step[[#This Row],[E_PTOT]],"")</f>
        <v/>
      </c>
      <c r="AL78" s="523" t="str">
        <f>IF(AK78="","",(1-données_step[[#This Row],[E_PTOT]]/$AN$7)*100)</f>
        <v/>
      </c>
      <c r="AM78" s="523" t="str">
        <f t="shared" si="27"/>
        <v/>
      </c>
      <c r="AN78" s="523" t="str">
        <f t="shared" si="28"/>
        <v/>
      </c>
      <c r="AO78" s="523" t="str">
        <f t="shared" si="29"/>
        <v/>
      </c>
      <c r="AP78" s="523" t="e">
        <f>IF(((100-100/$AN$7*données_step[[#This Row],[E_PTOT]])/100*QTS)&lt;0,NA(),IF(OR(AM78&lt;0,AM78=""),NA(),((100-100/$AN$7*données_step[[#This Row],[E_PTOT]])/100*QTS)))</f>
        <v>#NUM!</v>
      </c>
      <c r="AQ78" s="524" t="e">
        <f t="shared" si="30"/>
        <v>#NUM!</v>
      </c>
      <c r="AR78" s="524" t="str">
        <f t="shared" si="31"/>
        <v/>
      </c>
      <c r="AT78" s="517">
        <f t="shared" si="32"/>
        <v>0.67</v>
      </c>
      <c r="AU78" s="501">
        <f t="shared" si="33"/>
        <v>67</v>
      </c>
      <c r="AV78" s="525" t="e">
        <f>PERCENTILE(analyses!$F$11:$F$375,$AT78)</f>
        <v>#NUM!</v>
      </c>
      <c r="AW78" s="7" t="e">
        <f>PERCENTILE(analyses!$I$11:$I$375,$AT78)</f>
        <v>#NUM!</v>
      </c>
      <c r="AX78" s="7" t="e">
        <f>PERCENTILE(analyses!$J$11:$J$375,$AT78)</f>
        <v>#NUM!</v>
      </c>
      <c r="AY78" s="523" t="str">
        <f>_xlfn.IFNA(IF(données_step[[#This Row],[E_DCO]]&lt;=0,NA(),charge_entree[[#This Row],[ch_E_DCO]]/constanten!$B$8*1000),"")</f>
        <v/>
      </c>
      <c r="AZ78" s="523" t="str">
        <f>_xlfn.IFNA(IF(données_step[[#This Row],[E_NTOT]]&lt;=0,NA(),charge_entree[[#This Row],[ch_E_NTOT]]/constanten!$B$10*1000),"")</f>
        <v/>
      </c>
      <c r="BA78" s="523" t="str">
        <f>_xlfn.IFNA(IF(données_step[[#This Row],[E_NH4]]&lt;=0,NA(),charge_entree[[#This Row],[ch_E_NH4]]/constanten!$B$12*1000),"")</f>
        <v/>
      </c>
      <c r="BB78" s="523" t="str">
        <f>_xlfn.IFNA(IF(données_step[[#This Row],[E_COT]]&lt;=0,NA(),charge_entree[[#This Row],[ch_E_COT]]/constanten!$B$9*1000),"")</f>
        <v/>
      </c>
      <c r="BC78" s="523" t="str">
        <f>IFERROR(_xlfn.IFNA(IF(données_step[[#This Row],[E_PTOT]]&lt;=0,NA(),charge_entree[[#This Row],[ch_E_PTOT]]/constanten!$B$15*1000),""),"")</f>
        <v/>
      </c>
      <c r="BD78" s="535" t="e">
        <f>calculs!E78 * (1-0.4) / (données_step[[#This Row],[X_BA_VOL]]*données_step[[#This Row],[X_BACONC]])</f>
        <v>#VALUE!</v>
      </c>
      <c r="BE78" s="522" t="e">
        <f>(données_step[[#This Row],[X_BA_VOL]]*données_step[[#This Row],[X_BACONC]])/((données_step[[#This Row],[D_QTRAI2]]*données_step[[#This Row],[S_MES]]/1000)+(données_step[[#This Row],[X_BX_Q]]*données_step[[#This Row],[X_BXCONC]]))</f>
        <v>#VALUE!</v>
      </c>
      <c r="BF78" s="890" t="str">
        <f>IFERROR(données_step[[#This Row],[D_QTRAI]]/AY78*1000,"")</f>
        <v/>
      </c>
      <c r="BG78" s="535" t="str">
        <f>IFERROR(1-données_step[[#This Row],[S_DBO5]]/données_step[[#This Row],[E_DBO5]],"")</f>
        <v/>
      </c>
      <c r="BH78" s="536" t="str">
        <f>IFERROR(1-données_step[[#This Row],[S_DCO]]/données_step[[#This Row],[E_DCO]],"")</f>
        <v/>
      </c>
      <c r="BI78" s="535" t="str">
        <f>IFERROR(1-données_step[[#This Row],[S_COD]]/données_step[[#This Row],[E_COT]],"")</f>
        <v/>
      </c>
      <c r="BJ78" s="535" t="str">
        <f>IFERROR(1-données_step[[#This Row],[S_NH4]]/données_step[[#This Row],[E_NTOT]],"")</f>
        <v/>
      </c>
      <c r="BK78" s="535" t="str">
        <f>IFERROR(1-données_step[[#This Row],[S_PTOT]]/données_step[[#This Row],[E_PTOT]],"")</f>
        <v/>
      </c>
      <c r="BL78" s="521" t="str">
        <f>IFERROR(IF(données_step[[#This Row],[E_DCO]]/données_step[[#This Row],[E_DBO5]]=0,NA(),données_step[[#This Row],[E_DCO]]/données_step[[#This Row],[E_DBO5]]),"")</f>
        <v/>
      </c>
      <c r="BM78" s="521" t="str">
        <f>IFERROR(IF(données_step[[#This Row],[E_NH4]]/données_step[[#This Row],[E_NTOT]]=0,NA(),données_step[[#This Row],[E_NH4]]/données_step[[#This Row],[E_NTOT]]),"")</f>
        <v/>
      </c>
      <c r="BN78" s="521" t="str">
        <f>IFERROR(IF(données_step[[#This Row],[E_NTOT]]/données_step[[#This Row],[E_COT]]=0,NA(),données_step[[#This Row],[E_NTOT]]/données_step[[#This Row],[E_COT]]),"")</f>
        <v/>
      </c>
      <c r="BO78" s="521" t="str">
        <f>IFERROR(IF(données_step[[#This Row],[E_PTOT]]/données_step[[#This Row],[E_COT]]=0,NA(),données_step[[#This Row],[E_PTOT]]/données_step[[#This Row],[E_COT]]),"")</f>
        <v/>
      </c>
      <c r="BP78" s="521" t="e">
        <f>IF(données_step[[#This Row],[E_DCO]]/données_step[[#This Row],[E_COT]]=0,NA(),données_step[[#This Row],[E_DCO]]/données_step[[#This Row],[E_COT]])</f>
        <v>#DIV/0!</v>
      </c>
      <c r="BQ78" s="521" t="e">
        <f>IF(données_step[[#This Row],[E_NTOT]]/données_step[[#This Row],[E_DCO]]=0,NA(),données_step[[#This Row],[E_NTOT]]/données_step[[#This Row],[E_DCO]])</f>
        <v>#DIV/0!</v>
      </c>
      <c r="BR78" s="521" t="e">
        <f>IF(données_step[[#This Row],[E_PTOT]]/données_step[[#This Row],[E_DCO]]=0,NA(),données_step[[#This Row],[E_PTOT]]/données_step[[#This Row],[E_DCO]])</f>
        <v>#DIV/0!</v>
      </c>
      <c r="BS78" s="747" t="e">
        <f ca="1">test_NH4_temp(données_step[[#This Row],[S_NH4]],données_step[[#This Row],[Temp_eaux]])</f>
        <v>#NAME?</v>
      </c>
    </row>
    <row r="79" spans="1:71" x14ac:dyDescent="0.2">
      <c r="A79" s="222">
        <f>données_step[[#This Row],[Datum]]</f>
        <v>44630</v>
      </c>
      <c r="B79" s="223"/>
      <c r="C79" s="224">
        <f t="shared" si="17"/>
        <v>5</v>
      </c>
      <c r="D79" s="523" t="str">
        <f>IF(OR(données_step[[#This Row],[E_DBO5]]&lt;=0,données_step[[#This Row],[E_DBO5]]=""),"",données_step[[#This Row],[D_QTRAI]]*données_step[[#This Row],[E_DBO5]]/1000)</f>
        <v/>
      </c>
      <c r="E79" s="523" t="str">
        <f>IF(OR(données_step[[#This Row],[E_DCO]]&lt;=0,données_step[[#This Row],[E_DCO]]=""),"",données_step[[#This Row],[D_QTRAI]]*données_step[[#This Row],[E_DCO]]/1000)</f>
        <v/>
      </c>
      <c r="F79" s="523" t="str">
        <f>IF(OR(données_step[[#This Row],[E_COT]]&lt;=0,données_step[[#This Row],[E_COT]]=""),"",données_step[[#This Row],[D_QTRAI]]*données_step[[#This Row],[E_COT]]/1000)</f>
        <v/>
      </c>
      <c r="G79" s="523" t="str">
        <f>IF(OR(données_step[[#This Row],[E_NH4]]&lt;=0,données_step[[#This Row],[E_NH4]]=""),"",données_step[[#This Row],[D_QTRAI]]*données_step[[#This Row],[E_NH4]]/1000)</f>
        <v/>
      </c>
      <c r="H79" s="523" t="str">
        <f>IF(OR(données_step[[#This Row],[E_NTOT]]&lt;=0,données_step[[#This Row],[E_NTOT]]=""),"",données_step[[#This Row],[D_QTRAI]]*données_step[[#This Row],[E_NTOT]]/1000)</f>
        <v/>
      </c>
      <c r="I79" s="523" t="str">
        <f>IF(OR(données_step[[#This Row],[E_NTOT]]&lt;=0,données_step[[#This Row],[E_NTOT]]=""),"",données_step[[#This Row],[D_QTRAI]]*données_step[[#This Row],[E_PTOT]]/1000)</f>
        <v/>
      </c>
      <c r="J79" s="523" t="str">
        <f>IF(OR(données_step[[#This Row],[S_DBO5]]&lt;=0,données_step[[#This Row],[S_DBO5]]=""),"",données_step[[#This Row],[D_QTRAI]]*données_step[[#This Row],[S_DBO5]]/1000)</f>
        <v/>
      </c>
      <c r="K79" s="523" t="str">
        <f>IF(OR(données_step[[#This Row],[S_DCO]]&lt;=0,données_step[[#This Row],[S_DCO]]=""),"",données_step[[#This Row],[D_QTRAI]]*données_step[[#This Row],[S_DCO]]/1000)</f>
        <v/>
      </c>
      <c r="L79" s="523" t="str">
        <f>IF(OR(données_step[[#This Row],[S_COD]]&lt;=0,données_step[[#This Row],[S_COD]]=""),"",données_step[[#This Row],[D_QTRAI]]*données_step[[#This Row],[S_COD]]/1000)</f>
        <v/>
      </c>
      <c r="M79" s="523" t="str">
        <f>IF(OR(données_step[[#This Row],[S_NH4]]&lt;=0,données_step[[#This Row],[S_NH4]]=""),"",données_step[[#This Row],[D_QTRAI]]*données_step[[#This Row],[S_NH4]]/1000)</f>
        <v/>
      </c>
      <c r="N79" s="523" t="str">
        <f>IF(OR(données_step[[#This Row],[S_NO2]]&lt;=0,données_step[[#This Row],[S_NO2]]=""),"",données_step[[#This Row],[D_QTRAI]]*données_step[[#This Row],[S_NO2]]/1000)</f>
        <v/>
      </c>
      <c r="O79" s="523" t="str">
        <f>IF(OR(données_step[[#This Row],[S_NO3]]&lt;=0,données_step[[#This Row],[S_NO3]]=""),"",données_step[[#This Row],[D_QTRAI]]*données_step[[#This Row],[S_NO3]]/1000)</f>
        <v/>
      </c>
      <c r="P79" s="523" t="str">
        <f>IF(OR(données_step[[#This Row],[S_PTOT]]&lt;=0,données_step[[#This Row],[S_PTOT]]=""),"",données_step[[#This Row],[D_QTRAI]]*données_step[[#This Row],[S_PTOT]]/1000)</f>
        <v/>
      </c>
      <c r="Q79" s="523" t="str">
        <f>IF(OR(données_step[[#This Row],[S_MES]]&lt;=0,données_step[[#This Row],[S_MES]]=""),"",données_step[[#This Row],[D_QTRAI]]*données_step[[#This Row],[S_MES]]/1000)</f>
        <v/>
      </c>
      <c r="R79" s="523">
        <f>MAX(données_step[[#This Row],[D_QTRAI]],données_step[[#This Row],[D_QTRAI2]])</f>
        <v>0</v>
      </c>
      <c r="S79" s="523" t="str">
        <f>IF(AND($R79&gt;0,données_step[[#This Row],[E_DCO]]&gt;0),données_step[[#This Row],[E_DCO]],"")</f>
        <v/>
      </c>
      <c r="T79" s="523" t="str">
        <f>IF(S79="","",(1-données_step[[#This Row],[E_DCO]]/$V$7)*100)</f>
        <v/>
      </c>
      <c r="U79" s="523" t="str">
        <f t="shared" si="18"/>
        <v/>
      </c>
      <c r="V79" s="523" t="str">
        <f t="shared" si="19"/>
        <v/>
      </c>
      <c r="W79" s="523" t="str">
        <f t="shared" si="20"/>
        <v/>
      </c>
      <c r="X79" s="523" t="e">
        <f>IF(((100-100/$V$7*données_step[[#This Row],[E_DCO]])/100*QTS)&lt;0,NA(),IF(OR(U79&lt;0,U79=""),NA(),((100-100/$V$7*données_step[[#This Row],[E_DCO]])/100*QTS)))</f>
        <v>#NUM!</v>
      </c>
      <c r="Y79" s="523" t="str">
        <f>IF(AND($R79&gt;0,données_step[[#This Row],[E_COT]]&gt;0),données_step[[#This Row],[E_COT]],"")</f>
        <v/>
      </c>
      <c r="Z79" s="523" t="str">
        <f>IF(Y79="","",(1-données_step[[#This Row],[E_COT]]/$AB$7)*100)</f>
        <v/>
      </c>
      <c r="AA79" s="523" t="str">
        <f t="shared" si="21"/>
        <v/>
      </c>
      <c r="AB79" s="523" t="str">
        <f t="shared" si="22"/>
        <v/>
      </c>
      <c r="AC79" s="523" t="str">
        <f t="shared" si="23"/>
        <v/>
      </c>
      <c r="AD79" s="523" t="e">
        <f>IF(((100-100/$AB$7*données_step[[#This Row],[E_COT]])/100*QTS)&lt;0,NA(),IF(OR(AA79&lt;0,AA79=""),NA(),((100-100/$AB$7*données_step[[#This Row],[E_COT]])/100*QTS)))</f>
        <v>#NUM!</v>
      </c>
      <c r="AE79" s="523" t="str">
        <f>IF(AND($R79&gt;0,données_step[[#This Row],[E_NH4]]&gt;0),données_step[[#This Row],[E_NH4]],"")</f>
        <v/>
      </c>
      <c r="AF79" s="523" t="str">
        <f>IF(AE79="","",(1-données_step[[#This Row],[E_NH4]]/$AH$7)*100)</f>
        <v/>
      </c>
      <c r="AG79" s="523" t="str">
        <f t="shared" si="24"/>
        <v/>
      </c>
      <c r="AH79" s="523" t="str">
        <f t="shared" si="25"/>
        <v/>
      </c>
      <c r="AI79" s="523" t="str">
        <f t="shared" si="26"/>
        <v/>
      </c>
      <c r="AJ79" s="523" t="e">
        <f>IF(((100-100/$AH$7*données_step[[#This Row],[E_NH4]])/100*QTS)&lt;0,NA(),IF(OR(AG79&lt;0,AG79=""),NA(),((100-100/$AH$7*données_step[[#This Row],[E_NH4]])/100*QTS)))</f>
        <v>#NUM!</v>
      </c>
      <c r="AK79" s="523" t="str">
        <f>IF(AND($R79&gt;0,données_step[[#This Row],[E_PTOT]]&gt;0),données_step[[#This Row],[E_PTOT]],"")</f>
        <v/>
      </c>
      <c r="AL79" s="523" t="str">
        <f>IF(AK79="","",(1-données_step[[#This Row],[E_PTOT]]/$AN$7)*100)</f>
        <v/>
      </c>
      <c r="AM79" s="523" t="str">
        <f t="shared" si="27"/>
        <v/>
      </c>
      <c r="AN79" s="523" t="str">
        <f t="shared" si="28"/>
        <v/>
      </c>
      <c r="AO79" s="523" t="str">
        <f t="shared" si="29"/>
        <v/>
      </c>
      <c r="AP79" s="523" t="e">
        <f>IF(((100-100/$AN$7*données_step[[#This Row],[E_PTOT]])/100*QTS)&lt;0,NA(),IF(OR(AM79&lt;0,AM79=""),NA(),((100-100/$AN$7*données_step[[#This Row],[E_PTOT]])/100*QTS)))</f>
        <v>#NUM!</v>
      </c>
      <c r="AQ79" s="524" t="e">
        <f t="shared" si="30"/>
        <v>#NUM!</v>
      </c>
      <c r="AR79" s="524" t="str">
        <f t="shared" si="31"/>
        <v/>
      </c>
      <c r="AT79" s="517">
        <f t="shared" si="32"/>
        <v>0.68</v>
      </c>
      <c r="AU79" s="501">
        <f t="shared" si="33"/>
        <v>68</v>
      </c>
      <c r="AV79" s="525" t="e">
        <f>PERCENTILE(analyses!$F$11:$F$375,$AT79)</f>
        <v>#NUM!</v>
      </c>
      <c r="AW79" s="7" t="e">
        <f>PERCENTILE(analyses!$I$11:$I$375,$AT79)</f>
        <v>#NUM!</v>
      </c>
      <c r="AX79" s="7" t="e">
        <f>PERCENTILE(analyses!$J$11:$J$375,$AT79)</f>
        <v>#NUM!</v>
      </c>
      <c r="AY79" s="523" t="str">
        <f>_xlfn.IFNA(IF(données_step[[#This Row],[E_DCO]]&lt;=0,NA(),charge_entree[[#This Row],[ch_E_DCO]]/constanten!$B$8*1000),"")</f>
        <v/>
      </c>
      <c r="AZ79" s="523" t="str">
        <f>_xlfn.IFNA(IF(données_step[[#This Row],[E_NTOT]]&lt;=0,NA(),charge_entree[[#This Row],[ch_E_NTOT]]/constanten!$B$10*1000),"")</f>
        <v/>
      </c>
      <c r="BA79" s="523" t="str">
        <f>_xlfn.IFNA(IF(données_step[[#This Row],[E_NH4]]&lt;=0,NA(),charge_entree[[#This Row],[ch_E_NH4]]/constanten!$B$12*1000),"")</f>
        <v/>
      </c>
      <c r="BB79" s="523" t="str">
        <f>_xlfn.IFNA(IF(données_step[[#This Row],[E_COT]]&lt;=0,NA(),charge_entree[[#This Row],[ch_E_COT]]/constanten!$B$9*1000),"")</f>
        <v/>
      </c>
      <c r="BC79" s="523" t="str">
        <f>IFERROR(_xlfn.IFNA(IF(données_step[[#This Row],[E_PTOT]]&lt;=0,NA(),charge_entree[[#This Row],[ch_E_PTOT]]/constanten!$B$15*1000),""),"")</f>
        <v/>
      </c>
      <c r="BD79" s="535" t="e">
        <f>calculs!E79 * (1-0.4) / (données_step[[#This Row],[X_BA_VOL]]*données_step[[#This Row],[X_BACONC]])</f>
        <v>#VALUE!</v>
      </c>
      <c r="BE79" s="522" t="e">
        <f>(données_step[[#This Row],[X_BA_VOL]]*données_step[[#This Row],[X_BACONC]])/((données_step[[#This Row],[D_QTRAI2]]*données_step[[#This Row],[S_MES]]/1000)+(données_step[[#This Row],[X_BX_Q]]*données_step[[#This Row],[X_BXCONC]]))</f>
        <v>#VALUE!</v>
      </c>
      <c r="BF79" s="890" t="str">
        <f>IFERROR(données_step[[#This Row],[D_QTRAI]]/AY79*1000,"")</f>
        <v/>
      </c>
      <c r="BG79" s="535" t="str">
        <f>IFERROR(1-données_step[[#This Row],[S_DBO5]]/données_step[[#This Row],[E_DBO5]],"")</f>
        <v/>
      </c>
      <c r="BH79" s="536" t="str">
        <f>IFERROR(1-données_step[[#This Row],[S_DCO]]/données_step[[#This Row],[E_DCO]],"")</f>
        <v/>
      </c>
      <c r="BI79" s="535" t="str">
        <f>IFERROR(1-données_step[[#This Row],[S_COD]]/données_step[[#This Row],[E_COT]],"")</f>
        <v/>
      </c>
      <c r="BJ79" s="535" t="str">
        <f>IFERROR(1-données_step[[#This Row],[S_NH4]]/données_step[[#This Row],[E_NTOT]],"")</f>
        <v/>
      </c>
      <c r="BK79" s="535" t="str">
        <f>IFERROR(1-données_step[[#This Row],[S_PTOT]]/données_step[[#This Row],[E_PTOT]],"")</f>
        <v/>
      </c>
      <c r="BL79" s="521" t="str">
        <f>IFERROR(IF(données_step[[#This Row],[E_DCO]]/données_step[[#This Row],[E_DBO5]]=0,NA(),données_step[[#This Row],[E_DCO]]/données_step[[#This Row],[E_DBO5]]),"")</f>
        <v/>
      </c>
      <c r="BM79" s="521" t="str">
        <f>IFERROR(IF(données_step[[#This Row],[E_NH4]]/données_step[[#This Row],[E_NTOT]]=0,NA(),données_step[[#This Row],[E_NH4]]/données_step[[#This Row],[E_NTOT]]),"")</f>
        <v/>
      </c>
      <c r="BN79" s="521" t="str">
        <f>IFERROR(IF(données_step[[#This Row],[E_NTOT]]/données_step[[#This Row],[E_COT]]=0,NA(),données_step[[#This Row],[E_NTOT]]/données_step[[#This Row],[E_COT]]),"")</f>
        <v/>
      </c>
      <c r="BO79" s="521" t="str">
        <f>IFERROR(IF(données_step[[#This Row],[E_PTOT]]/données_step[[#This Row],[E_COT]]=0,NA(),données_step[[#This Row],[E_PTOT]]/données_step[[#This Row],[E_COT]]),"")</f>
        <v/>
      </c>
      <c r="BP79" s="521" t="e">
        <f>IF(données_step[[#This Row],[E_DCO]]/données_step[[#This Row],[E_COT]]=0,NA(),données_step[[#This Row],[E_DCO]]/données_step[[#This Row],[E_COT]])</f>
        <v>#DIV/0!</v>
      </c>
      <c r="BQ79" s="521" t="e">
        <f>IF(données_step[[#This Row],[E_NTOT]]/données_step[[#This Row],[E_DCO]]=0,NA(),données_step[[#This Row],[E_NTOT]]/données_step[[#This Row],[E_DCO]])</f>
        <v>#DIV/0!</v>
      </c>
      <c r="BR79" s="521" t="e">
        <f>IF(données_step[[#This Row],[E_PTOT]]/données_step[[#This Row],[E_DCO]]=0,NA(),données_step[[#This Row],[E_PTOT]]/données_step[[#This Row],[E_DCO]])</f>
        <v>#DIV/0!</v>
      </c>
      <c r="BS79" s="747" t="e">
        <f ca="1">test_NH4_temp(données_step[[#This Row],[S_NH4]],données_step[[#This Row],[Temp_eaux]])</f>
        <v>#NAME?</v>
      </c>
    </row>
    <row r="80" spans="1:71" x14ac:dyDescent="0.2">
      <c r="A80" s="222">
        <f>données_step[[#This Row],[Datum]]</f>
        <v>44631</v>
      </c>
      <c r="B80" s="223"/>
      <c r="C80" s="224">
        <f t="shared" si="17"/>
        <v>6</v>
      </c>
      <c r="D80" s="523" t="str">
        <f>IF(OR(données_step[[#This Row],[E_DBO5]]&lt;=0,données_step[[#This Row],[E_DBO5]]=""),"",données_step[[#This Row],[D_QTRAI]]*données_step[[#This Row],[E_DBO5]]/1000)</f>
        <v/>
      </c>
      <c r="E80" s="523" t="str">
        <f>IF(OR(données_step[[#This Row],[E_DCO]]&lt;=0,données_step[[#This Row],[E_DCO]]=""),"",données_step[[#This Row],[D_QTRAI]]*données_step[[#This Row],[E_DCO]]/1000)</f>
        <v/>
      </c>
      <c r="F80" s="523" t="str">
        <f>IF(OR(données_step[[#This Row],[E_COT]]&lt;=0,données_step[[#This Row],[E_COT]]=""),"",données_step[[#This Row],[D_QTRAI]]*données_step[[#This Row],[E_COT]]/1000)</f>
        <v/>
      </c>
      <c r="G80" s="523" t="str">
        <f>IF(OR(données_step[[#This Row],[E_NH4]]&lt;=0,données_step[[#This Row],[E_NH4]]=""),"",données_step[[#This Row],[D_QTRAI]]*données_step[[#This Row],[E_NH4]]/1000)</f>
        <v/>
      </c>
      <c r="H80" s="523" t="str">
        <f>IF(OR(données_step[[#This Row],[E_NTOT]]&lt;=0,données_step[[#This Row],[E_NTOT]]=""),"",données_step[[#This Row],[D_QTRAI]]*données_step[[#This Row],[E_NTOT]]/1000)</f>
        <v/>
      </c>
      <c r="I80" s="523" t="str">
        <f>IF(OR(données_step[[#This Row],[E_NTOT]]&lt;=0,données_step[[#This Row],[E_NTOT]]=""),"",données_step[[#This Row],[D_QTRAI]]*données_step[[#This Row],[E_PTOT]]/1000)</f>
        <v/>
      </c>
      <c r="J80" s="523" t="str">
        <f>IF(OR(données_step[[#This Row],[S_DBO5]]&lt;=0,données_step[[#This Row],[S_DBO5]]=""),"",données_step[[#This Row],[D_QTRAI]]*données_step[[#This Row],[S_DBO5]]/1000)</f>
        <v/>
      </c>
      <c r="K80" s="523" t="str">
        <f>IF(OR(données_step[[#This Row],[S_DCO]]&lt;=0,données_step[[#This Row],[S_DCO]]=""),"",données_step[[#This Row],[D_QTRAI]]*données_step[[#This Row],[S_DCO]]/1000)</f>
        <v/>
      </c>
      <c r="L80" s="523" t="str">
        <f>IF(OR(données_step[[#This Row],[S_COD]]&lt;=0,données_step[[#This Row],[S_COD]]=""),"",données_step[[#This Row],[D_QTRAI]]*données_step[[#This Row],[S_COD]]/1000)</f>
        <v/>
      </c>
      <c r="M80" s="523" t="str">
        <f>IF(OR(données_step[[#This Row],[S_NH4]]&lt;=0,données_step[[#This Row],[S_NH4]]=""),"",données_step[[#This Row],[D_QTRAI]]*données_step[[#This Row],[S_NH4]]/1000)</f>
        <v/>
      </c>
      <c r="N80" s="523" t="str">
        <f>IF(OR(données_step[[#This Row],[S_NO2]]&lt;=0,données_step[[#This Row],[S_NO2]]=""),"",données_step[[#This Row],[D_QTRAI]]*données_step[[#This Row],[S_NO2]]/1000)</f>
        <v/>
      </c>
      <c r="O80" s="523" t="str">
        <f>IF(OR(données_step[[#This Row],[S_NO3]]&lt;=0,données_step[[#This Row],[S_NO3]]=""),"",données_step[[#This Row],[D_QTRAI]]*données_step[[#This Row],[S_NO3]]/1000)</f>
        <v/>
      </c>
      <c r="P80" s="523" t="str">
        <f>IF(OR(données_step[[#This Row],[S_PTOT]]&lt;=0,données_step[[#This Row],[S_PTOT]]=""),"",données_step[[#This Row],[D_QTRAI]]*données_step[[#This Row],[S_PTOT]]/1000)</f>
        <v/>
      </c>
      <c r="Q80" s="523" t="str">
        <f>IF(OR(données_step[[#This Row],[S_MES]]&lt;=0,données_step[[#This Row],[S_MES]]=""),"",données_step[[#This Row],[D_QTRAI]]*données_step[[#This Row],[S_MES]]/1000)</f>
        <v/>
      </c>
      <c r="R80" s="523">
        <f>MAX(données_step[[#This Row],[D_QTRAI]],données_step[[#This Row],[D_QTRAI2]])</f>
        <v>0</v>
      </c>
      <c r="S80" s="523" t="str">
        <f>IF(AND($R80&gt;0,données_step[[#This Row],[E_DCO]]&gt;0),données_step[[#This Row],[E_DCO]],"")</f>
        <v/>
      </c>
      <c r="T80" s="523" t="str">
        <f>IF(S80="","",(1-données_step[[#This Row],[E_DCO]]/$V$7)*100)</f>
        <v/>
      </c>
      <c r="U80" s="523" t="str">
        <f t="shared" si="18"/>
        <v/>
      </c>
      <c r="V80" s="523" t="str">
        <f t="shared" si="19"/>
        <v/>
      </c>
      <c r="W80" s="523" t="str">
        <f t="shared" si="20"/>
        <v/>
      </c>
      <c r="X80" s="523" t="e">
        <f>IF(((100-100/$V$7*données_step[[#This Row],[E_DCO]])/100*QTS)&lt;0,NA(),IF(OR(U80&lt;0,U80=""),NA(),((100-100/$V$7*données_step[[#This Row],[E_DCO]])/100*QTS)))</f>
        <v>#NUM!</v>
      </c>
      <c r="Y80" s="523" t="str">
        <f>IF(AND($R80&gt;0,données_step[[#This Row],[E_COT]]&gt;0),données_step[[#This Row],[E_COT]],"")</f>
        <v/>
      </c>
      <c r="Z80" s="523" t="str">
        <f>IF(Y80="","",(1-données_step[[#This Row],[E_COT]]/$AB$7)*100)</f>
        <v/>
      </c>
      <c r="AA80" s="523" t="str">
        <f t="shared" si="21"/>
        <v/>
      </c>
      <c r="AB80" s="523" t="str">
        <f t="shared" si="22"/>
        <v/>
      </c>
      <c r="AC80" s="523" t="str">
        <f t="shared" si="23"/>
        <v/>
      </c>
      <c r="AD80" s="523" t="e">
        <f>IF(((100-100/$AB$7*données_step[[#This Row],[E_COT]])/100*QTS)&lt;0,NA(),IF(OR(AA80&lt;0,AA80=""),NA(),((100-100/$AB$7*données_step[[#This Row],[E_COT]])/100*QTS)))</f>
        <v>#NUM!</v>
      </c>
      <c r="AE80" s="523" t="str">
        <f>IF(AND($R80&gt;0,données_step[[#This Row],[E_NH4]]&gt;0),données_step[[#This Row],[E_NH4]],"")</f>
        <v/>
      </c>
      <c r="AF80" s="523" t="str">
        <f>IF(AE80="","",(1-données_step[[#This Row],[E_NH4]]/$AH$7)*100)</f>
        <v/>
      </c>
      <c r="AG80" s="523" t="str">
        <f t="shared" si="24"/>
        <v/>
      </c>
      <c r="AH80" s="523" t="str">
        <f t="shared" si="25"/>
        <v/>
      </c>
      <c r="AI80" s="523" t="str">
        <f t="shared" si="26"/>
        <v/>
      </c>
      <c r="AJ80" s="523" t="e">
        <f>IF(((100-100/$AH$7*données_step[[#This Row],[E_NH4]])/100*QTS)&lt;0,NA(),IF(OR(AG80&lt;0,AG80=""),NA(),((100-100/$AH$7*données_step[[#This Row],[E_NH4]])/100*QTS)))</f>
        <v>#NUM!</v>
      </c>
      <c r="AK80" s="523" t="str">
        <f>IF(AND($R80&gt;0,données_step[[#This Row],[E_PTOT]]&gt;0),données_step[[#This Row],[E_PTOT]],"")</f>
        <v/>
      </c>
      <c r="AL80" s="523" t="str">
        <f>IF(AK80="","",(1-données_step[[#This Row],[E_PTOT]]/$AN$7)*100)</f>
        <v/>
      </c>
      <c r="AM80" s="523" t="str">
        <f t="shared" si="27"/>
        <v/>
      </c>
      <c r="AN80" s="523" t="str">
        <f t="shared" si="28"/>
        <v/>
      </c>
      <c r="AO80" s="523" t="str">
        <f t="shared" si="29"/>
        <v/>
      </c>
      <c r="AP80" s="523" t="e">
        <f>IF(((100-100/$AN$7*données_step[[#This Row],[E_PTOT]])/100*QTS)&lt;0,NA(),IF(OR(AM80&lt;0,AM80=""),NA(),((100-100/$AN$7*données_step[[#This Row],[E_PTOT]])/100*QTS)))</f>
        <v>#NUM!</v>
      </c>
      <c r="AQ80" s="524" t="e">
        <f t="shared" si="30"/>
        <v>#NUM!</v>
      </c>
      <c r="AR80" s="524" t="str">
        <f t="shared" si="31"/>
        <v/>
      </c>
      <c r="AT80" s="517">
        <f t="shared" si="32"/>
        <v>0.69</v>
      </c>
      <c r="AU80" s="501">
        <f t="shared" si="33"/>
        <v>69</v>
      </c>
      <c r="AV80" s="525" t="e">
        <f>PERCENTILE(analyses!$F$11:$F$375,$AT80)</f>
        <v>#NUM!</v>
      </c>
      <c r="AW80" s="7" t="e">
        <f>PERCENTILE(analyses!$I$11:$I$375,$AT80)</f>
        <v>#NUM!</v>
      </c>
      <c r="AX80" s="7" t="e">
        <f>PERCENTILE(analyses!$J$11:$J$375,$AT80)</f>
        <v>#NUM!</v>
      </c>
      <c r="AY80" s="523" t="str">
        <f>_xlfn.IFNA(IF(données_step[[#This Row],[E_DCO]]&lt;=0,NA(),charge_entree[[#This Row],[ch_E_DCO]]/constanten!$B$8*1000),"")</f>
        <v/>
      </c>
      <c r="AZ80" s="523" t="str">
        <f>_xlfn.IFNA(IF(données_step[[#This Row],[E_NTOT]]&lt;=0,NA(),charge_entree[[#This Row],[ch_E_NTOT]]/constanten!$B$10*1000),"")</f>
        <v/>
      </c>
      <c r="BA80" s="523" t="str">
        <f>_xlfn.IFNA(IF(données_step[[#This Row],[E_NH4]]&lt;=0,NA(),charge_entree[[#This Row],[ch_E_NH4]]/constanten!$B$12*1000),"")</f>
        <v/>
      </c>
      <c r="BB80" s="523" t="str">
        <f>_xlfn.IFNA(IF(données_step[[#This Row],[E_COT]]&lt;=0,NA(),charge_entree[[#This Row],[ch_E_COT]]/constanten!$B$9*1000),"")</f>
        <v/>
      </c>
      <c r="BC80" s="523" t="str">
        <f>IFERROR(_xlfn.IFNA(IF(données_step[[#This Row],[E_PTOT]]&lt;=0,NA(),charge_entree[[#This Row],[ch_E_PTOT]]/constanten!$B$15*1000),""),"")</f>
        <v/>
      </c>
      <c r="BD80" s="535" t="e">
        <f>calculs!E80 * (1-0.4) / (données_step[[#This Row],[X_BA_VOL]]*données_step[[#This Row],[X_BACONC]])</f>
        <v>#VALUE!</v>
      </c>
      <c r="BE80" s="522" t="e">
        <f>(données_step[[#This Row],[X_BA_VOL]]*données_step[[#This Row],[X_BACONC]])/((données_step[[#This Row],[D_QTRAI2]]*données_step[[#This Row],[S_MES]]/1000)+(données_step[[#This Row],[X_BX_Q]]*données_step[[#This Row],[X_BXCONC]]))</f>
        <v>#VALUE!</v>
      </c>
      <c r="BF80" s="890" t="str">
        <f>IFERROR(données_step[[#This Row],[D_QTRAI]]/AY80*1000,"")</f>
        <v/>
      </c>
      <c r="BG80" s="535" t="str">
        <f>IFERROR(1-données_step[[#This Row],[S_DBO5]]/données_step[[#This Row],[E_DBO5]],"")</f>
        <v/>
      </c>
      <c r="BH80" s="536" t="str">
        <f>IFERROR(1-données_step[[#This Row],[S_DCO]]/données_step[[#This Row],[E_DCO]],"")</f>
        <v/>
      </c>
      <c r="BI80" s="535" t="str">
        <f>IFERROR(1-données_step[[#This Row],[S_COD]]/données_step[[#This Row],[E_COT]],"")</f>
        <v/>
      </c>
      <c r="BJ80" s="535" t="str">
        <f>IFERROR(1-données_step[[#This Row],[S_NH4]]/données_step[[#This Row],[E_NTOT]],"")</f>
        <v/>
      </c>
      <c r="BK80" s="535" t="str">
        <f>IFERROR(1-données_step[[#This Row],[S_PTOT]]/données_step[[#This Row],[E_PTOT]],"")</f>
        <v/>
      </c>
      <c r="BL80" s="521" t="str">
        <f>IFERROR(IF(données_step[[#This Row],[E_DCO]]/données_step[[#This Row],[E_DBO5]]=0,NA(),données_step[[#This Row],[E_DCO]]/données_step[[#This Row],[E_DBO5]]),"")</f>
        <v/>
      </c>
      <c r="BM80" s="521" t="str">
        <f>IFERROR(IF(données_step[[#This Row],[E_NH4]]/données_step[[#This Row],[E_NTOT]]=0,NA(),données_step[[#This Row],[E_NH4]]/données_step[[#This Row],[E_NTOT]]),"")</f>
        <v/>
      </c>
      <c r="BN80" s="521" t="str">
        <f>IFERROR(IF(données_step[[#This Row],[E_NTOT]]/données_step[[#This Row],[E_COT]]=0,NA(),données_step[[#This Row],[E_NTOT]]/données_step[[#This Row],[E_COT]]),"")</f>
        <v/>
      </c>
      <c r="BO80" s="521" t="str">
        <f>IFERROR(IF(données_step[[#This Row],[E_PTOT]]/données_step[[#This Row],[E_COT]]=0,NA(),données_step[[#This Row],[E_PTOT]]/données_step[[#This Row],[E_COT]]),"")</f>
        <v/>
      </c>
      <c r="BP80" s="521" t="e">
        <f>IF(données_step[[#This Row],[E_DCO]]/données_step[[#This Row],[E_COT]]=0,NA(),données_step[[#This Row],[E_DCO]]/données_step[[#This Row],[E_COT]])</f>
        <v>#DIV/0!</v>
      </c>
      <c r="BQ80" s="521" t="e">
        <f>IF(données_step[[#This Row],[E_NTOT]]/données_step[[#This Row],[E_DCO]]=0,NA(),données_step[[#This Row],[E_NTOT]]/données_step[[#This Row],[E_DCO]])</f>
        <v>#DIV/0!</v>
      </c>
      <c r="BR80" s="521" t="e">
        <f>IF(données_step[[#This Row],[E_PTOT]]/données_step[[#This Row],[E_DCO]]=0,NA(),données_step[[#This Row],[E_PTOT]]/données_step[[#This Row],[E_DCO]])</f>
        <v>#DIV/0!</v>
      </c>
      <c r="BS80" s="747" t="e">
        <f ca="1">test_NH4_temp(données_step[[#This Row],[S_NH4]],données_step[[#This Row],[Temp_eaux]])</f>
        <v>#NAME?</v>
      </c>
    </row>
    <row r="81" spans="1:71" x14ac:dyDescent="0.2">
      <c r="A81" s="222">
        <f>données_step[[#This Row],[Datum]]</f>
        <v>44632</v>
      </c>
      <c r="B81" s="223"/>
      <c r="C81" s="224">
        <f t="shared" si="17"/>
        <v>7</v>
      </c>
      <c r="D81" s="523" t="str">
        <f>IF(OR(données_step[[#This Row],[E_DBO5]]&lt;=0,données_step[[#This Row],[E_DBO5]]=""),"",données_step[[#This Row],[D_QTRAI]]*données_step[[#This Row],[E_DBO5]]/1000)</f>
        <v/>
      </c>
      <c r="E81" s="523" t="str">
        <f>IF(OR(données_step[[#This Row],[E_DCO]]&lt;=0,données_step[[#This Row],[E_DCO]]=""),"",données_step[[#This Row],[D_QTRAI]]*données_step[[#This Row],[E_DCO]]/1000)</f>
        <v/>
      </c>
      <c r="F81" s="523" t="str">
        <f>IF(OR(données_step[[#This Row],[E_COT]]&lt;=0,données_step[[#This Row],[E_COT]]=""),"",données_step[[#This Row],[D_QTRAI]]*données_step[[#This Row],[E_COT]]/1000)</f>
        <v/>
      </c>
      <c r="G81" s="523" t="str">
        <f>IF(OR(données_step[[#This Row],[E_NH4]]&lt;=0,données_step[[#This Row],[E_NH4]]=""),"",données_step[[#This Row],[D_QTRAI]]*données_step[[#This Row],[E_NH4]]/1000)</f>
        <v/>
      </c>
      <c r="H81" s="523" t="str">
        <f>IF(OR(données_step[[#This Row],[E_NTOT]]&lt;=0,données_step[[#This Row],[E_NTOT]]=""),"",données_step[[#This Row],[D_QTRAI]]*données_step[[#This Row],[E_NTOT]]/1000)</f>
        <v/>
      </c>
      <c r="I81" s="523" t="str">
        <f>IF(OR(données_step[[#This Row],[E_NTOT]]&lt;=0,données_step[[#This Row],[E_NTOT]]=""),"",données_step[[#This Row],[D_QTRAI]]*données_step[[#This Row],[E_PTOT]]/1000)</f>
        <v/>
      </c>
      <c r="J81" s="523" t="str">
        <f>IF(OR(données_step[[#This Row],[S_DBO5]]&lt;=0,données_step[[#This Row],[S_DBO5]]=""),"",données_step[[#This Row],[D_QTRAI]]*données_step[[#This Row],[S_DBO5]]/1000)</f>
        <v/>
      </c>
      <c r="K81" s="523" t="str">
        <f>IF(OR(données_step[[#This Row],[S_DCO]]&lt;=0,données_step[[#This Row],[S_DCO]]=""),"",données_step[[#This Row],[D_QTRAI]]*données_step[[#This Row],[S_DCO]]/1000)</f>
        <v/>
      </c>
      <c r="L81" s="523" t="str">
        <f>IF(OR(données_step[[#This Row],[S_COD]]&lt;=0,données_step[[#This Row],[S_COD]]=""),"",données_step[[#This Row],[D_QTRAI]]*données_step[[#This Row],[S_COD]]/1000)</f>
        <v/>
      </c>
      <c r="M81" s="523" t="str">
        <f>IF(OR(données_step[[#This Row],[S_NH4]]&lt;=0,données_step[[#This Row],[S_NH4]]=""),"",données_step[[#This Row],[D_QTRAI]]*données_step[[#This Row],[S_NH4]]/1000)</f>
        <v/>
      </c>
      <c r="N81" s="523" t="str">
        <f>IF(OR(données_step[[#This Row],[S_NO2]]&lt;=0,données_step[[#This Row],[S_NO2]]=""),"",données_step[[#This Row],[D_QTRAI]]*données_step[[#This Row],[S_NO2]]/1000)</f>
        <v/>
      </c>
      <c r="O81" s="523" t="str">
        <f>IF(OR(données_step[[#This Row],[S_NO3]]&lt;=0,données_step[[#This Row],[S_NO3]]=""),"",données_step[[#This Row],[D_QTRAI]]*données_step[[#This Row],[S_NO3]]/1000)</f>
        <v/>
      </c>
      <c r="P81" s="523" t="str">
        <f>IF(OR(données_step[[#This Row],[S_PTOT]]&lt;=0,données_step[[#This Row],[S_PTOT]]=""),"",données_step[[#This Row],[D_QTRAI]]*données_step[[#This Row],[S_PTOT]]/1000)</f>
        <v/>
      </c>
      <c r="Q81" s="523" t="str">
        <f>IF(OR(données_step[[#This Row],[S_MES]]&lt;=0,données_step[[#This Row],[S_MES]]=""),"",données_step[[#This Row],[D_QTRAI]]*données_step[[#This Row],[S_MES]]/1000)</f>
        <v/>
      </c>
      <c r="R81" s="523">
        <f>MAX(données_step[[#This Row],[D_QTRAI]],données_step[[#This Row],[D_QTRAI2]])</f>
        <v>0</v>
      </c>
      <c r="S81" s="523" t="str">
        <f>IF(AND($R81&gt;0,données_step[[#This Row],[E_DCO]]&gt;0),données_step[[#This Row],[E_DCO]],"")</f>
        <v/>
      </c>
      <c r="T81" s="523" t="str">
        <f>IF(S81="","",(1-données_step[[#This Row],[E_DCO]]/$V$7)*100)</f>
        <v/>
      </c>
      <c r="U81" s="523" t="str">
        <f t="shared" si="18"/>
        <v/>
      </c>
      <c r="V81" s="523" t="str">
        <f t="shared" si="19"/>
        <v/>
      </c>
      <c r="W81" s="523" t="str">
        <f t="shared" si="20"/>
        <v/>
      </c>
      <c r="X81" s="523" t="e">
        <f>IF(((100-100/$V$7*données_step[[#This Row],[E_DCO]])/100*QTS)&lt;0,NA(),IF(OR(U81&lt;0,U81=""),NA(),((100-100/$V$7*données_step[[#This Row],[E_DCO]])/100*QTS)))</f>
        <v>#NUM!</v>
      </c>
      <c r="Y81" s="523" t="str">
        <f>IF(AND($R81&gt;0,données_step[[#This Row],[E_COT]]&gt;0),données_step[[#This Row],[E_COT]],"")</f>
        <v/>
      </c>
      <c r="Z81" s="523" t="str">
        <f>IF(Y81="","",(1-données_step[[#This Row],[E_COT]]/$AB$7)*100)</f>
        <v/>
      </c>
      <c r="AA81" s="523" t="str">
        <f t="shared" si="21"/>
        <v/>
      </c>
      <c r="AB81" s="523" t="str">
        <f t="shared" si="22"/>
        <v/>
      </c>
      <c r="AC81" s="523" t="str">
        <f t="shared" si="23"/>
        <v/>
      </c>
      <c r="AD81" s="523" t="e">
        <f>IF(((100-100/$AB$7*données_step[[#This Row],[E_COT]])/100*QTS)&lt;0,NA(),IF(OR(AA81&lt;0,AA81=""),NA(),((100-100/$AB$7*données_step[[#This Row],[E_COT]])/100*QTS)))</f>
        <v>#NUM!</v>
      </c>
      <c r="AE81" s="523" t="str">
        <f>IF(AND($R81&gt;0,données_step[[#This Row],[E_NH4]]&gt;0),données_step[[#This Row],[E_NH4]],"")</f>
        <v/>
      </c>
      <c r="AF81" s="523" t="str">
        <f>IF(AE81="","",(1-données_step[[#This Row],[E_NH4]]/$AH$7)*100)</f>
        <v/>
      </c>
      <c r="AG81" s="523" t="str">
        <f t="shared" si="24"/>
        <v/>
      </c>
      <c r="AH81" s="523" t="str">
        <f t="shared" si="25"/>
        <v/>
      </c>
      <c r="AI81" s="523" t="str">
        <f t="shared" si="26"/>
        <v/>
      </c>
      <c r="AJ81" s="523" t="e">
        <f>IF(((100-100/$AH$7*données_step[[#This Row],[E_NH4]])/100*QTS)&lt;0,NA(),IF(OR(AG81&lt;0,AG81=""),NA(),((100-100/$AH$7*données_step[[#This Row],[E_NH4]])/100*QTS)))</f>
        <v>#NUM!</v>
      </c>
      <c r="AK81" s="523" t="str">
        <f>IF(AND($R81&gt;0,données_step[[#This Row],[E_PTOT]]&gt;0),données_step[[#This Row],[E_PTOT]],"")</f>
        <v/>
      </c>
      <c r="AL81" s="523" t="str">
        <f>IF(AK81="","",(1-données_step[[#This Row],[E_PTOT]]/$AN$7)*100)</f>
        <v/>
      </c>
      <c r="AM81" s="523" t="str">
        <f t="shared" si="27"/>
        <v/>
      </c>
      <c r="AN81" s="523" t="str">
        <f t="shared" si="28"/>
        <v/>
      </c>
      <c r="AO81" s="523" t="str">
        <f t="shared" si="29"/>
        <v/>
      </c>
      <c r="AP81" s="523" t="e">
        <f>IF(((100-100/$AN$7*données_step[[#This Row],[E_PTOT]])/100*QTS)&lt;0,NA(),IF(OR(AM81&lt;0,AM81=""),NA(),((100-100/$AN$7*données_step[[#This Row],[E_PTOT]])/100*QTS)))</f>
        <v>#NUM!</v>
      </c>
      <c r="AQ81" s="524" t="e">
        <f t="shared" si="30"/>
        <v>#NUM!</v>
      </c>
      <c r="AR81" s="524" t="str">
        <f t="shared" si="31"/>
        <v/>
      </c>
      <c r="AT81" s="517">
        <f t="shared" si="32"/>
        <v>0.7</v>
      </c>
      <c r="AU81" s="501">
        <f t="shared" si="33"/>
        <v>70</v>
      </c>
      <c r="AV81" s="525" t="e">
        <f>PERCENTILE(analyses!$F$11:$F$375,$AT81)</f>
        <v>#NUM!</v>
      </c>
      <c r="AW81" s="7" t="e">
        <f>PERCENTILE(analyses!$I$11:$I$375,$AT81)</f>
        <v>#NUM!</v>
      </c>
      <c r="AX81" s="7" t="e">
        <f>PERCENTILE(analyses!$J$11:$J$375,$AT81)</f>
        <v>#NUM!</v>
      </c>
      <c r="AY81" s="523" t="str">
        <f>_xlfn.IFNA(IF(données_step[[#This Row],[E_DCO]]&lt;=0,NA(),charge_entree[[#This Row],[ch_E_DCO]]/constanten!$B$8*1000),"")</f>
        <v/>
      </c>
      <c r="AZ81" s="523" t="str">
        <f>_xlfn.IFNA(IF(données_step[[#This Row],[E_NTOT]]&lt;=0,NA(),charge_entree[[#This Row],[ch_E_NTOT]]/constanten!$B$10*1000),"")</f>
        <v/>
      </c>
      <c r="BA81" s="523" t="str">
        <f>_xlfn.IFNA(IF(données_step[[#This Row],[E_NH4]]&lt;=0,NA(),charge_entree[[#This Row],[ch_E_NH4]]/constanten!$B$12*1000),"")</f>
        <v/>
      </c>
      <c r="BB81" s="523" t="str">
        <f>_xlfn.IFNA(IF(données_step[[#This Row],[E_COT]]&lt;=0,NA(),charge_entree[[#This Row],[ch_E_COT]]/constanten!$B$9*1000),"")</f>
        <v/>
      </c>
      <c r="BC81" s="523" t="str">
        <f>IFERROR(_xlfn.IFNA(IF(données_step[[#This Row],[E_PTOT]]&lt;=0,NA(),charge_entree[[#This Row],[ch_E_PTOT]]/constanten!$B$15*1000),""),"")</f>
        <v/>
      </c>
      <c r="BD81" s="535" t="e">
        <f>calculs!E81 * (1-0.4) / (données_step[[#This Row],[X_BA_VOL]]*données_step[[#This Row],[X_BACONC]])</f>
        <v>#VALUE!</v>
      </c>
      <c r="BE81" s="522" t="e">
        <f>(données_step[[#This Row],[X_BA_VOL]]*données_step[[#This Row],[X_BACONC]])/((données_step[[#This Row],[D_QTRAI2]]*données_step[[#This Row],[S_MES]]/1000)+(données_step[[#This Row],[X_BX_Q]]*données_step[[#This Row],[X_BXCONC]]))</f>
        <v>#VALUE!</v>
      </c>
      <c r="BF81" s="890" t="str">
        <f>IFERROR(données_step[[#This Row],[D_QTRAI]]/AY81*1000,"")</f>
        <v/>
      </c>
      <c r="BG81" s="535" t="str">
        <f>IFERROR(1-données_step[[#This Row],[S_DBO5]]/données_step[[#This Row],[E_DBO5]],"")</f>
        <v/>
      </c>
      <c r="BH81" s="536" t="str">
        <f>IFERROR(1-données_step[[#This Row],[S_DCO]]/données_step[[#This Row],[E_DCO]],"")</f>
        <v/>
      </c>
      <c r="BI81" s="535" t="str">
        <f>IFERROR(1-données_step[[#This Row],[S_COD]]/données_step[[#This Row],[E_COT]],"")</f>
        <v/>
      </c>
      <c r="BJ81" s="535" t="str">
        <f>IFERROR(1-données_step[[#This Row],[S_NH4]]/données_step[[#This Row],[E_NTOT]],"")</f>
        <v/>
      </c>
      <c r="BK81" s="535" t="str">
        <f>IFERROR(1-données_step[[#This Row],[S_PTOT]]/données_step[[#This Row],[E_PTOT]],"")</f>
        <v/>
      </c>
      <c r="BL81" s="521" t="str">
        <f>IFERROR(IF(données_step[[#This Row],[E_DCO]]/données_step[[#This Row],[E_DBO5]]=0,NA(),données_step[[#This Row],[E_DCO]]/données_step[[#This Row],[E_DBO5]]),"")</f>
        <v/>
      </c>
      <c r="BM81" s="521" t="str">
        <f>IFERROR(IF(données_step[[#This Row],[E_NH4]]/données_step[[#This Row],[E_NTOT]]=0,NA(),données_step[[#This Row],[E_NH4]]/données_step[[#This Row],[E_NTOT]]),"")</f>
        <v/>
      </c>
      <c r="BN81" s="521" t="str">
        <f>IFERROR(IF(données_step[[#This Row],[E_NTOT]]/données_step[[#This Row],[E_COT]]=0,NA(),données_step[[#This Row],[E_NTOT]]/données_step[[#This Row],[E_COT]]),"")</f>
        <v/>
      </c>
      <c r="BO81" s="521" t="str">
        <f>IFERROR(IF(données_step[[#This Row],[E_PTOT]]/données_step[[#This Row],[E_COT]]=0,NA(),données_step[[#This Row],[E_PTOT]]/données_step[[#This Row],[E_COT]]),"")</f>
        <v/>
      </c>
      <c r="BP81" s="521" t="e">
        <f>IF(données_step[[#This Row],[E_DCO]]/données_step[[#This Row],[E_COT]]=0,NA(),données_step[[#This Row],[E_DCO]]/données_step[[#This Row],[E_COT]])</f>
        <v>#DIV/0!</v>
      </c>
      <c r="BQ81" s="521" t="e">
        <f>IF(données_step[[#This Row],[E_NTOT]]/données_step[[#This Row],[E_DCO]]=0,NA(),données_step[[#This Row],[E_NTOT]]/données_step[[#This Row],[E_DCO]])</f>
        <v>#DIV/0!</v>
      </c>
      <c r="BR81" s="521" t="e">
        <f>IF(données_step[[#This Row],[E_PTOT]]/données_step[[#This Row],[E_DCO]]=0,NA(),données_step[[#This Row],[E_PTOT]]/données_step[[#This Row],[E_DCO]])</f>
        <v>#DIV/0!</v>
      </c>
      <c r="BS81" s="747" t="e">
        <f ca="1">test_NH4_temp(données_step[[#This Row],[S_NH4]],données_step[[#This Row],[Temp_eaux]])</f>
        <v>#NAME?</v>
      </c>
    </row>
    <row r="82" spans="1:71" x14ac:dyDescent="0.2">
      <c r="A82" s="222">
        <f>données_step[[#This Row],[Datum]]</f>
        <v>44633</v>
      </c>
      <c r="B82" s="223"/>
      <c r="C82" s="224">
        <f t="shared" si="17"/>
        <v>1</v>
      </c>
      <c r="D82" s="523" t="str">
        <f>IF(OR(données_step[[#This Row],[E_DBO5]]&lt;=0,données_step[[#This Row],[E_DBO5]]=""),"",données_step[[#This Row],[D_QTRAI]]*données_step[[#This Row],[E_DBO5]]/1000)</f>
        <v/>
      </c>
      <c r="E82" s="523" t="str">
        <f>IF(OR(données_step[[#This Row],[E_DCO]]&lt;=0,données_step[[#This Row],[E_DCO]]=""),"",données_step[[#This Row],[D_QTRAI]]*données_step[[#This Row],[E_DCO]]/1000)</f>
        <v/>
      </c>
      <c r="F82" s="523" t="str">
        <f>IF(OR(données_step[[#This Row],[E_COT]]&lt;=0,données_step[[#This Row],[E_COT]]=""),"",données_step[[#This Row],[D_QTRAI]]*données_step[[#This Row],[E_COT]]/1000)</f>
        <v/>
      </c>
      <c r="G82" s="523" t="str">
        <f>IF(OR(données_step[[#This Row],[E_NH4]]&lt;=0,données_step[[#This Row],[E_NH4]]=""),"",données_step[[#This Row],[D_QTRAI]]*données_step[[#This Row],[E_NH4]]/1000)</f>
        <v/>
      </c>
      <c r="H82" s="523" t="str">
        <f>IF(OR(données_step[[#This Row],[E_NTOT]]&lt;=0,données_step[[#This Row],[E_NTOT]]=""),"",données_step[[#This Row],[D_QTRAI]]*données_step[[#This Row],[E_NTOT]]/1000)</f>
        <v/>
      </c>
      <c r="I82" s="523" t="str">
        <f>IF(OR(données_step[[#This Row],[E_NTOT]]&lt;=0,données_step[[#This Row],[E_NTOT]]=""),"",données_step[[#This Row],[D_QTRAI]]*données_step[[#This Row],[E_PTOT]]/1000)</f>
        <v/>
      </c>
      <c r="J82" s="523" t="str">
        <f>IF(OR(données_step[[#This Row],[S_DBO5]]&lt;=0,données_step[[#This Row],[S_DBO5]]=""),"",données_step[[#This Row],[D_QTRAI]]*données_step[[#This Row],[S_DBO5]]/1000)</f>
        <v/>
      </c>
      <c r="K82" s="523" t="str">
        <f>IF(OR(données_step[[#This Row],[S_DCO]]&lt;=0,données_step[[#This Row],[S_DCO]]=""),"",données_step[[#This Row],[D_QTRAI]]*données_step[[#This Row],[S_DCO]]/1000)</f>
        <v/>
      </c>
      <c r="L82" s="523" t="str">
        <f>IF(OR(données_step[[#This Row],[S_COD]]&lt;=0,données_step[[#This Row],[S_COD]]=""),"",données_step[[#This Row],[D_QTRAI]]*données_step[[#This Row],[S_COD]]/1000)</f>
        <v/>
      </c>
      <c r="M82" s="523" t="str">
        <f>IF(OR(données_step[[#This Row],[S_NH4]]&lt;=0,données_step[[#This Row],[S_NH4]]=""),"",données_step[[#This Row],[D_QTRAI]]*données_step[[#This Row],[S_NH4]]/1000)</f>
        <v/>
      </c>
      <c r="N82" s="523" t="str">
        <f>IF(OR(données_step[[#This Row],[S_NO2]]&lt;=0,données_step[[#This Row],[S_NO2]]=""),"",données_step[[#This Row],[D_QTRAI]]*données_step[[#This Row],[S_NO2]]/1000)</f>
        <v/>
      </c>
      <c r="O82" s="523" t="str">
        <f>IF(OR(données_step[[#This Row],[S_NO3]]&lt;=0,données_step[[#This Row],[S_NO3]]=""),"",données_step[[#This Row],[D_QTRAI]]*données_step[[#This Row],[S_NO3]]/1000)</f>
        <v/>
      </c>
      <c r="P82" s="523" t="str">
        <f>IF(OR(données_step[[#This Row],[S_PTOT]]&lt;=0,données_step[[#This Row],[S_PTOT]]=""),"",données_step[[#This Row],[D_QTRAI]]*données_step[[#This Row],[S_PTOT]]/1000)</f>
        <v/>
      </c>
      <c r="Q82" s="523" t="str">
        <f>IF(OR(données_step[[#This Row],[S_MES]]&lt;=0,données_step[[#This Row],[S_MES]]=""),"",données_step[[#This Row],[D_QTRAI]]*données_step[[#This Row],[S_MES]]/1000)</f>
        <v/>
      </c>
      <c r="R82" s="523">
        <f>MAX(données_step[[#This Row],[D_QTRAI]],données_step[[#This Row],[D_QTRAI2]])</f>
        <v>0</v>
      </c>
      <c r="S82" s="523" t="str">
        <f>IF(AND($R82&gt;0,données_step[[#This Row],[E_DCO]]&gt;0),données_step[[#This Row],[E_DCO]],"")</f>
        <v/>
      </c>
      <c r="T82" s="523" t="str">
        <f>IF(S82="","",(1-données_step[[#This Row],[E_DCO]]/$V$7)*100)</f>
        <v/>
      </c>
      <c r="U82" s="523" t="str">
        <f t="shared" si="18"/>
        <v/>
      </c>
      <c r="V82" s="523" t="str">
        <f t="shared" si="19"/>
        <v/>
      </c>
      <c r="W82" s="523" t="str">
        <f t="shared" si="20"/>
        <v/>
      </c>
      <c r="X82" s="523" t="e">
        <f>IF(((100-100/$V$7*données_step[[#This Row],[E_DCO]])/100*QTS)&lt;0,NA(),IF(OR(U82&lt;0,U82=""),NA(),((100-100/$V$7*données_step[[#This Row],[E_DCO]])/100*QTS)))</f>
        <v>#NUM!</v>
      </c>
      <c r="Y82" s="523" t="str">
        <f>IF(AND($R82&gt;0,données_step[[#This Row],[E_COT]]&gt;0),données_step[[#This Row],[E_COT]],"")</f>
        <v/>
      </c>
      <c r="Z82" s="523" t="str">
        <f>IF(Y82="","",(1-données_step[[#This Row],[E_COT]]/$AB$7)*100)</f>
        <v/>
      </c>
      <c r="AA82" s="523" t="str">
        <f t="shared" si="21"/>
        <v/>
      </c>
      <c r="AB82" s="523" t="str">
        <f t="shared" si="22"/>
        <v/>
      </c>
      <c r="AC82" s="523" t="str">
        <f t="shared" si="23"/>
        <v/>
      </c>
      <c r="AD82" s="523" t="e">
        <f>IF(((100-100/$AB$7*données_step[[#This Row],[E_COT]])/100*QTS)&lt;0,NA(),IF(OR(AA82&lt;0,AA82=""),NA(),((100-100/$AB$7*données_step[[#This Row],[E_COT]])/100*QTS)))</f>
        <v>#NUM!</v>
      </c>
      <c r="AE82" s="523" t="str">
        <f>IF(AND($R82&gt;0,données_step[[#This Row],[E_NH4]]&gt;0),données_step[[#This Row],[E_NH4]],"")</f>
        <v/>
      </c>
      <c r="AF82" s="523" t="str">
        <f>IF(AE82="","",(1-données_step[[#This Row],[E_NH4]]/$AH$7)*100)</f>
        <v/>
      </c>
      <c r="AG82" s="523" t="str">
        <f t="shared" si="24"/>
        <v/>
      </c>
      <c r="AH82" s="523" t="str">
        <f t="shared" si="25"/>
        <v/>
      </c>
      <c r="AI82" s="523" t="str">
        <f t="shared" si="26"/>
        <v/>
      </c>
      <c r="AJ82" s="523" t="e">
        <f>IF(((100-100/$AH$7*données_step[[#This Row],[E_NH4]])/100*QTS)&lt;0,NA(),IF(OR(AG82&lt;0,AG82=""),NA(),((100-100/$AH$7*données_step[[#This Row],[E_NH4]])/100*QTS)))</f>
        <v>#NUM!</v>
      </c>
      <c r="AK82" s="523" t="str">
        <f>IF(AND($R82&gt;0,données_step[[#This Row],[E_PTOT]]&gt;0),données_step[[#This Row],[E_PTOT]],"")</f>
        <v/>
      </c>
      <c r="AL82" s="523" t="str">
        <f>IF(AK82="","",(1-données_step[[#This Row],[E_PTOT]]/$AN$7)*100)</f>
        <v/>
      </c>
      <c r="AM82" s="523" t="str">
        <f t="shared" si="27"/>
        <v/>
      </c>
      <c r="AN82" s="523" t="str">
        <f t="shared" si="28"/>
        <v/>
      </c>
      <c r="AO82" s="523" t="str">
        <f t="shared" si="29"/>
        <v/>
      </c>
      <c r="AP82" s="523" t="e">
        <f>IF(((100-100/$AN$7*données_step[[#This Row],[E_PTOT]])/100*QTS)&lt;0,NA(),IF(OR(AM82&lt;0,AM82=""),NA(),((100-100/$AN$7*données_step[[#This Row],[E_PTOT]])/100*QTS)))</f>
        <v>#NUM!</v>
      </c>
      <c r="AQ82" s="524" t="e">
        <f t="shared" si="30"/>
        <v>#NUM!</v>
      </c>
      <c r="AR82" s="524" t="str">
        <f t="shared" si="31"/>
        <v/>
      </c>
      <c r="AT82" s="517">
        <f t="shared" si="32"/>
        <v>0.71</v>
      </c>
      <c r="AU82" s="501">
        <f t="shared" si="33"/>
        <v>71</v>
      </c>
      <c r="AV82" s="525" t="e">
        <f>PERCENTILE(analyses!$F$11:$F$375,$AT82)</f>
        <v>#NUM!</v>
      </c>
      <c r="AW82" s="7" t="e">
        <f>PERCENTILE(analyses!$I$11:$I$375,$AT82)</f>
        <v>#NUM!</v>
      </c>
      <c r="AX82" s="7" t="e">
        <f>PERCENTILE(analyses!$J$11:$J$375,$AT82)</f>
        <v>#NUM!</v>
      </c>
      <c r="AY82" s="523" t="str">
        <f>_xlfn.IFNA(IF(données_step[[#This Row],[E_DCO]]&lt;=0,NA(),charge_entree[[#This Row],[ch_E_DCO]]/constanten!$B$8*1000),"")</f>
        <v/>
      </c>
      <c r="AZ82" s="523" t="str">
        <f>_xlfn.IFNA(IF(données_step[[#This Row],[E_NTOT]]&lt;=0,NA(),charge_entree[[#This Row],[ch_E_NTOT]]/constanten!$B$10*1000),"")</f>
        <v/>
      </c>
      <c r="BA82" s="523" t="str">
        <f>_xlfn.IFNA(IF(données_step[[#This Row],[E_NH4]]&lt;=0,NA(),charge_entree[[#This Row],[ch_E_NH4]]/constanten!$B$12*1000),"")</f>
        <v/>
      </c>
      <c r="BB82" s="523" t="str">
        <f>_xlfn.IFNA(IF(données_step[[#This Row],[E_COT]]&lt;=0,NA(),charge_entree[[#This Row],[ch_E_COT]]/constanten!$B$9*1000),"")</f>
        <v/>
      </c>
      <c r="BC82" s="523" t="str">
        <f>IFERROR(_xlfn.IFNA(IF(données_step[[#This Row],[E_PTOT]]&lt;=0,NA(),charge_entree[[#This Row],[ch_E_PTOT]]/constanten!$B$15*1000),""),"")</f>
        <v/>
      </c>
      <c r="BD82" s="535" t="e">
        <f>calculs!E82 * (1-0.4) / (données_step[[#This Row],[X_BA_VOL]]*données_step[[#This Row],[X_BACONC]])</f>
        <v>#VALUE!</v>
      </c>
      <c r="BE82" s="522" t="e">
        <f>(données_step[[#This Row],[X_BA_VOL]]*données_step[[#This Row],[X_BACONC]])/((données_step[[#This Row],[D_QTRAI2]]*données_step[[#This Row],[S_MES]]/1000)+(données_step[[#This Row],[X_BX_Q]]*données_step[[#This Row],[X_BXCONC]]))</f>
        <v>#VALUE!</v>
      </c>
      <c r="BF82" s="890" t="str">
        <f>IFERROR(données_step[[#This Row],[D_QTRAI]]/AY82*1000,"")</f>
        <v/>
      </c>
      <c r="BG82" s="535" t="str">
        <f>IFERROR(1-données_step[[#This Row],[S_DBO5]]/données_step[[#This Row],[E_DBO5]],"")</f>
        <v/>
      </c>
      <c r="BH82" s="536" t="str">
        <f>IFERROR(1-données_step[[#This Row],[S_DCO]]/données_step[[#This Row],[E_DCO]],"")</f>
        <v/>
      </c>
      <c r="BI82" s="535" t="str">
        <f>IFERROR(1-données_step[[#This Row],[S_COD]]/données_step[[#This Row],[E_COT]],"")</f>
        <v/>
      </c>
      <c r="BJ82" s="535" t="str">
        <f>IFERROR(1-données_step[[#This Row],[S_NH4]]/données_step[[#This Row],[E_NTOT]],"")</f>
        <v/>
      </c>
      <c r="BK82" s="535" t="str">
        <f>IFERROR(1-données_step[[#This Row],[S_PTOT]]/données_step[[#This Row],[E_PTOT]],"")</f>
        <v/>
      </c>
      <c r="BL82" s="521" t="str">
        <f>IFERROR(IF(données_step[[#This Row],[E_DCO]]/données_step[[#This Row],[E_DBO5]]=0,NA(),données_step[[#This Row],[E_DCO]]/données_step[[#This Row],[E_DBO5]]),"")</f>
        <v/>
      </c>
      <c r="BM82" s="521" t="str">
        <f>IFERROR(IF(données_step[[#This Row],[E_NH4]]/données_step[[#This Row],[E_NTOT]]=0,NA(),données_step[[#This Row],[E_NH4]]/données_step[[#This Row],[E_NTOT]]),"")</f>
        <v/>
      </c>
      <c r="BN82" s="521" t="str">
        <f>IFERROR(IF(données_step[[#This Row],[E_NTOT]]/données_step[[#This Row],[E_COT]]=0,NA(),données_step[[#This Row],[E_NTOT]]/données_step[[#This Row],[E_COT]]),"")</f>
        <v/>
      </c>
      <c r="BO82" s="521" t="str">
        <f>IFERROR(IF(données_step[[#This Row],[E_PTOT]]/données_step[[#This Row],[E_COT]]=0,NA(),données_step[[#This Row],[E_PTOT]]/données_step[[#This Row],[E_COT]]),"")</f>
        <v/>
      </c>
      <c r="BP82" s="521" t="e">
        <f>IF(données_step[[#This Row],[E_DCO]]/données_step[[#This Row],[E_COT]]=0,NA(),données_step[[#This Row],[E_DCO]]/données_step[[#This Row],[E_COT]])</f>
        <v>#DIV/0!</v>
      </c>
      <c r="BQ82" s="521" t="e">
        <f>IF(données_step[[#This Row],[E_NTOT]]/données_step[[#This Row],[E_DCO]]=0,NA(),données_step[[#This Row],[E_NTOT]]/données_step[[#This Row],[E_DCO]])</f>
        <v>#DIV/0!</v>
      </c>
      <c r="BR82" s="521" t="e">
        <f>IF(données_step[[#This Row],[E_PTOT]]/données_step[[#This Row],[E_DCO]]=0,NA(),données_step[[#This Row],[E_PTOT]]/données_step[[#This Row],[E_DCO]])</f>
        <v>#DIV/0!</v>
      </c>
      <c r="BS82" s="747" t="e">
        <f ca="1">test_NH4_temp(données_step[[#This Row],[S_NH4]],données_step[[#This Row],[Temp_eaux]])</f>
        <v>#NAME?</v>
      </c>
    </row>
    <row r="83" spans="1:71" x14ac:dyDescent="0.2">
      <c r="A83" s="222">
        <f>données_step[[#This Row],[Datum]]</f>
        <v>44634</v>
      </c>
      <c r="B83" s="223"/>
      <c r="C83" s="224">
        <f t="shared" si="17"/>
        <v>2</v>
      </c>
      <c r="D83" s="523" t="str">
        <f>IF(OR(données_step[[#This Row],[E_DBO5]]&lt;=0,données_step[[#This Row],[E_DBO5]]=""),"",données_step[[#This Row],[D_QTRAI]]*données_step[[#This Row],[E_DBO5]]/1000)</f>
        <v/>
      </c>
      <c r="E83" s="523" t="str">
        <f>IF(OR(données_step[[#This Row],[E_DCO]]&lt;=0,données_step[[#This Row],[E_DCO]]=""),"",données_step[[#This Row],[D_QTRAI]]*données_step[[#This Row],[E_DCO]]/1000)</f>
        <v/>
      </c>
      <c r="F83" s="523" t="str">
        <f>IF(OR(données_step[[#This Row],[E_COT]]&lt;=0,données_step[[#This Row],[E_COT]]=""),"",données_step[[#This Row],[D_QTRAI]]*données_step[[#This Row],[E_COT]]/1000)</f>
        <v/>
      </c>
      <c r="G83" s="523" t="str">
        <f>IF(OR(données_step[[#This Row],[E_NH4]]&lt;=0,données_step[[#This Row],[E_NH4]]=""),"",données_step[[#This Row],[D_QTRAI]]*données_step[[#This Row],[E_NH4]]/1000)</f>
        <v/>
      </c>
      <c r="H83" s="523" t="str">
        <f>IF(OR(données_step[[#This Row],[E_NTOT]]&lt;=0,données_step[[#This Row],[E_NTOT]]=""),"",données_step[[#This Row],[D_QTRAI]]*données_step[[#This Row],[E_NTOT]]/1000)</f>
        <v/>
      </c>
      <c r="I83" s="523" t="str">
        <f>IF(OR(données_step[[#This Row],[E_NTOT]]&lt;=0,données_step[[#This Row],[E_NTOT]]=""),"",données_step[[#This Row],[D_QTRAI]]*données_step[[#This Row],[E_PTOT]]/1000)</f>
        <v/>
      </c>
      <c r="J83" s="523" t="str">
        <f>IF(OR(données_step[[#This Row],[S_DBO5]]&lt;=0,données_step[[#This Row],[S_DBO5]]=""),"",données_step[[#This Row],[D_QTRAI]]*données_step[[#This Row],[S_DBO5]]/1000)</f>
        <v/>
      </c>
      <c r="K83" s="523" t="str">
        <f>IF(OR(données_step[[#This Row],[S_DCO]]&lt;=0,données_step[[#This Row],[S_DCO]]=""),"",données_step[[#This Row],[D_QTRAI]]*données_step[[#This Row],[S_DCO]]/1000)</f>
        <v/>
      </c>
      <c r="L83" s="523" t="str">
        <f>IF(OR(données_step[[#This Row],[S_COD]]&lt;=0,données_step[[#This Row],[S_COD]]=""),"",données_step[[#This Row],[D_QTRAI]]*données_step[[#This Row],[S_COD]]/1000)</f>
        <v/>
      </c>
      <c r="M83" s="523" t="str">
        <f>IF(OR(données_step[[#This Row],[S_NH4]]&lt;=0,données_step[[#This Row],[S_NH4]]=""),"",données_step[[#This Row],[D_QTRAI]]*données_step[[#This Row],[S_NH4]]/1000)</f>
        <v/>
      </c>
      <c r="N83" s="523" t="str">
        <f>IF(OR(données_step[[#This Row],[S_NO2]]&lt;=0,données_step[[#This Row],[S_NO2]]=""),"",données_step[[#This Row],[D_QTRAI]]*données_step[[#This Row],[S_NO2]]/1000)</f>
        <v/>
      </c>
      <c r="O83" s="523" t="str">
        <f>IF(OR(données_step[[#This Row],[S_NO3]]&lt;=0,données_step[[#This Row],[S_NO3]]=""),"",données_step[[#This Row],[D_QTRAI]]*données_step[[#This Row],[S_NO3]]/1000)</f>
        <v/>
      </c>
      <c r="P83" s="523" t="str">
        <f>IF(OR(données_step[[#This Row],[S_PTOT]]&lt;=0,données_step[[#This Row],[S_PTOT]]=""),"",données_step[[#This Row],[D_QTRAI]]*données_step[[#This Row],[S_PTOT]]/1000)</f>
        <v/>
      </c>
      <c r="Q83" s="523" t="str">
        <f>IF(OR(données_step[[#This Row],[S_MES]]&lt;=0,données_step[[#This Row],[S_MES]]=""),"",données_step[[#This Row],[D_QTRAI]]*données_step[[#This Row],[S_MES]]/1000)</f>
        <v/>
      </c>
      <c r="R83" s="523">
        <f>MAX(données_step[[#This Row],[D_QTRAI]],données_step[[#This Row],[D_QTRAI2]])</f>
        <v>0</v>
      </c>
      <c r="S83" s="523" t="str">
        <f>IF(AND($R83&gt;0,données_step[[#This Row],[E_DCO]]&gt;0),données_step[[#This Row],[E_DCO]],"")</f>
        <v/>
      </c>
      <c r="T83" s="523" t="str">
        <f>IF(S83="","",(1-données_step[[#This Row],[E_DCO]]/$V$7)*100)</f>
        <v/>
      </c>
      <c r="U83" s="523" t="str">
        <f t="shared" si="18"/>
        <v/>
      </c>
      <c r="V83" s="523" t="str">
        <f t="shared" si="19"/>
        <v/>
      </c>
      <c r="W83" s="523" t="str">
        <f t="shared" si="20"/>
        <v/>
      </c>
      <c r="X83" s="523" t="e">
        <f>IF(((100-100/$V$7*données_step[[#This Row],[E_DCO]])/100*QTS)&lt;0,NA(),IF(OR(U83&lt;0,U83=""),NA(),((100-100/$V$7*données_step[[#This Row],[E_DCO]])/100*QTS)))</f>
        <v>#NUM!</v>
      </c>
      <c r="Y83" s="523" t="str">
        <f>IF(AND($R83&gt;0,données_step[[#This Row],[E_COT]]&gt;0),données_step[[#This Row],[E_COT]],"")</f>
        <v/>
      </c>
      <c r="Z83" s="523" t="str">
        <f>IF(Y83="","",(1-données_step[[#This Row],[E_COT]]/$AB$7)*100)</f>
        <v/>
      </c>
      <c r="AA83" s="523" t="str">
        <f t="shared" si="21"/>
        <v/>
      </c>
      <c r="AB83" s="523" t="str">
        <f t="shared" si="22"/>
        <v/>
      </c>
      <c r="AC83" s="523" t="str">
        <f t="shared" si="23"/>
        <v/>
      </c>
      <c r="AD83" s="523" t="e">
        <f>IF(((100-100/$AB$7*données_step[[#This Row],[E_COT]])/100*QTS)&lt;0,NA(),IF(OR(AA83&lt;0,AA83=""),NA(),((100-100/$AB$7*données_step[[#This Row],[E_COT]])/100*QTS)))</f>
        <v>#NUM!</v>
      </c>
      <c r="AE83" s="523" t="str">
        <f>IF(AND($R83&gt;0,données_step[[#This Row],[E_NH4]]&gt;0),données_step[[#This Row],[E_NH4]],"")</f>
        <v/>
      </c>
      <c r="AF83" s="523" t="str">
        <f>IF(AE83="","",(1-données_step[[#This Row],[E_NH4]]/$AH$7)*100)</f>
        <v/>
      </c>
      <c r="AG83" s="523" t="str">
        <f t="shared" si="24"/>
        <v/>
      </c>
      <c r="AH83" s="523" t="str">
        <f t="shared" si="25"/>
        <v/>
      </c>
      <c r="AI83" s="523" t="str">
        <f t="shared" si="26"/>
        <v/>
      </c>
      <c r="AJ83" s="523" t="e">
        <f>IF(((100-100/$AH$7*données_step[[#This Row],[E_NH4]])/100*QTS)&lt;0,NA(),IF(OR(AG83&lt;0,AG83=""),NA(),((100-100/$AH$7*données_step[[#This Row],[E_NH4]])/100*QTS)))</f>
        <v>#NUM!</v>
      </c>
      <c r="AK83" s="523" t="str">
        <f>IF(AND($R83&gt;0,données_step[[#This Row],[E_PTOT]]&gt;0),données_step[[#This Row],[E_PTOT]],"")</f>
        <v/>
      </c>
      <c r="AL83" s="523" t="str">
        <f>IF(AK83="","",(1-données_step[[#This Row],[E_PTOT]]/$AN$7)*100)</f>
        <v/>
      </c>
      <c r="AM83" s="523" t="str">
        <f t="shared" si="27"/>
        <v/>
      </c>
      <c r="AN83" s="523" t="str">
        <f t="shared" si="28"/>
        <v/>
      </c>
      <c r="AO83" s="523" t="str">
        <f t="shared" si="29"/>
        <v/>
      </c>
      <c r="AP83" s="523" t="e">
        <f>IF(((100-100/$AN$7*données_step[[#This Row],[E_PTOT]])/100*QTS)&lt;0,NA(),IF(OR(AM83&lt;0,AM83=""),NA(),((100-100/$AN$7*données_step[[#This Row],[E_PTOT]])/100*QTS)))</f>
        <v>#NUM!</v>
      </c>
      <c r="AQ83" s="524" t="e">
        <f t="shared" si="30"/>
        <v>#NUM!</v>
      </c>
      <c r="AR83" s="524" t="str">
        <f t="shared" si="31"/>
        <v/>
      </c>
      <c r="AT83" s="517">
        <f t="shared" si="32"/>
        <v>0.72</v>
      </c>
      <c r="AU83" s="501">
        <f t="shared" si="33"/>
        <v>72</v>
      </c>
      <c r="AV83" s="525" t="e">
        <f>PERCENTILE(analyses!$F$11:$F$375,$AT83)</f>
        <v>#NUM!</v>
      </c>
      <c r="AW83" s="7" t="e">
        <f>PERCENTILE(analyses!$I$11:$I$375,$AT83)</f>
        <v>#NUM!</v>
      </c>
      <c r="AX83" s="7" t="e">
        <f>PERCENTILE(analyses!$J$11:$J$375,$AT83)</f>
        <v>#NUM!</v>
      </c>
      <c r="AY83" s="523" t="str">
        <f>_xlfn.IFNA(IF(données_step[[#This Row],[E_DCO]]&lt;=0,NA(),charge_entree[[#This Row],[ch_E_DCO]]/constanten!$B$8*1000),"")</f>
        <v/>
      </c>
      <c r="AZ83" s="523" t="str">
        <f>_xlfn.IFNA(IF(données_step[[#This Row],[E_NTOT]]&lt;=0,NA(),charge_entree[[#This Row],[ch_E_NTOT]]/constanten!$B$10*1000),"")</f>
        <v/>
      </c>
      <c r="BA83" s="523" t="str">
        <f>_xlfn.IFNA(IF(données_step[[#This Row],[E_NH4]]&lt;=0,NA(),charge_entree[[#This Row],[ch_E_NH4]]/constanten!$B$12*1000),"")</f>
        <v/>
      </c>
      <c r="BB83" s="523" t="str">
        <f>_xlfn.IFNA(IF(données_step[[#This Row],[E_COT]]&lt;=0,NA(),charge_entree[[#This Row],[ch_E_COT]]/constanten!$B$9*1000),"")</f>
        <v/>
      </c>
      <c r="BC83" s="523" t="str">
        <f>IFERROR(_xlfn.IFNA(IF(données_step[[#This Row],[E_PTOT]]&lt;=0,NA(),charge_entree[[#This Row],[ch_E_PTOT]]/constanten!$B$15*1000),""),"")</f>
        <v/>
      </c>
      <c r="BD83" s="535" t="e">
        <f>calculs!E83 * (1-0.4) / (données_step[[#This Row],[X_BA_VOL]]*données_step[[#This Row],[X_BACONC]])</f>
        <v>#VALUE!</v>
      </c>
      <c r="BE83" s="522" t="e">
        <f>(données_step[[#This Row],[X_BA_VOL]]*données_step[[#This Row],[X_BACONC]])/((données_step[[#This Row],[D_QTRAI2]]*données_step[[#This Row],[S_MES]]/1000)+(données_step[[#This Row],[X_BX_Q]]*données_step[[#This Row],[X_BXCONC]]))</f>
        <v>#VALUE!</v>
      </c>
      <c r="BF83" s="890" t="str">
        <f>IFERROR(données_step[[#This Row],[D_QTRAI]]/AY83*1000,"")</f>
        <v/>
      </c>
      <c r="BG83" s="535" t="str">
        <f>IFERROR(1-données_step[[#This Row],[S_DBO5]]/données_step[[#This Row],[E_DBO5]],"")</f>
        <v/>
      </c>
      <c r="BH83" s="536" t="str">
        <f>IFERROR(1-données_step[[#This Row],[S_DCO]]/données_step[[#This Row],[E_DCO]],"")</f>
        <v/>
      </c>
      <c r="BI83" s="535" t="str">
        <f>IFERROR(1-données_step[[#This Row],[S_COD]]/données_step[[#This Row],[E_COT]],"")</f>
        <v/>
      </c>
      <c r="BJ83" s="535" t="str">
        <f>IFERROR(1-données_step[[#This Row],[S_NH4]]/données_step[[#This Row],[E_NTOT]],"")</f>
        <v/>
      </c>
      <c r="BK83" s="535" t="str">
        <f>IFERROR(1-données_step[[#This Row],[S_PTOT]]/données_step[[#This Row],[E_PTOT]],"")</f>
        <v/>
      </c>
      <c r="BL83" s="521" t="str">
        <f>IFERROR(IF(données_step[[#This Row],[E_DCO]]/données_step[[#This Row],[E_DBO5]]=0,NA(),données_step[[#This Row],[E_DCO]]/données_step[[#This Row],[E_DBO5]]),"")</f>
        <v/>
      </c>
      <c r="BM83" s="521" t="str">
        <f>IFERROR(IF(données_step[[#This Row],[E_NH4]]/données_step[[#This Row],[E_NTOT]]=0,NA(),données_step[[#This Row],[E_NH4]]/données_step[[#This Row],[E_NTOT]]),"")</f>
        <v/>
      </c>
      <c r="BN83" s="521" t="str">
        <f>IFERROR(IF(données_step[[#This Row],[E_NTOT]]/données_step[[#This Row],[E_COT]]=0,NA(),données_step[[#This Row],[E_NTOT]]/données_step[[#This Row],[E_COT]]),"")</f>
        <v/>
      </c>
      <c r="BO83" s="521" t="str">
        <f>IFERROR(IF(données_step[[#This Row],[E_PTOT]]/données_step[[#This Row],[E_COT]]=0,NA(),données_step[[#This Row],[E_PTOT]]/données_step[[#This Row],[E_COT]]),"")</f>
        <v/>
      </c>
      <c r="BP83" s="521" t="e">
        <f>IF(données_step[[#This Row],[E_DCO]]/données_step[[#This Row],[E_COT]]=0,NA(),données_step[[#This Row],[E_DCO]]/données_step[[#This Row],[E_COT]])</f>
        <v>#DIV/0!</v>
      </c>
      <c r="BQ83" s="521" t="e">
        <f>IF(données_step[[#This Row],[E_NTOT]]/données_step[[#This Row],[E_DCO]]=0,NA(),données_step[[#This Row],[E_NTOT]]/données_step[[#This Row],[E_DCO]])</f>
        <v>#DIV/0!</v>
      </c>
      <c r="BR83" s="521" t="e">
        <f>IF(données_step[[#This Row],[E_PTOT]]/données_step[[#This Row],[E_DCO]]=0,NA(),données_step[[#This Row],[E_PTOT]]/données_step[[#This Row],[E_DCO]])</f>
        <v>#DIV/0!</v>
      </c>
      <c r="BS83" s="747" t="e">
        <f ca="1">test_NH4_temp(données_step[[#This Row],[S_NH4]],données_step[[#This Row],[Temp_eaux]])</f>
        <v>#NAME?</v>
      </c>
    </row>
    <row r="84" spans="1:71" x14ac:dyDescent="0.2">
      <c r="A84" s="222">
        <f>données_step[[#This Row],[Datum]]</f>
        <v>44635</v>
      </c>
      <c r="B84" s="223"/>
      <c r="C84" s="224">
        <f t="shared" si="17"/>
        <v>3</v>
      </c>
      <c r="D84" s="523" t="str">
        <f>IF(OR(données_step[[#This Row],[E_DBO5]]&lt;=0,données_step[[#This Row],[E_DBO5]]=""),"",données_step[[#This Row],[D_QTRAI]]*données_step[[#This Row],[E_DBO5]]/1000)</f>
        <v/>
      </c>
      <c r="E84" s="523" t="str">
        <f>IF(OR(données_step[[#This Row],[E_DCO]]&lt;=0,données_step[[#This Row],[E_DCO]]=""),"",données_step[[#This Row],[D_QTRAI]]*données_step[[#This Row],[E_DCO]]/1000)</f>
        <v/>
      </c>
      <c r="F84" s="523" t="str">
        <f>IF(OR(données_step[[#This Row],[E_COT]]&lt;=0,données_step[[#This Row],[E_COT]]=""),"",données_step[[#This Row],[D_QTRAI]]*données_step[[#This Row],[E_COT]]/1000)</f>
        <v/>
      </c>
      <c r="G84" s="523" t="str">
        <f>IF(OR(données_step[[#This Row],[E_NH4]]&lt;=0,données_step[[#This Row],[E_NH4]]=""),"",données_step[[#This Row],[D_QTRAI]]*données_step[[#This Row],[E_NH4]]/1000)</f>
        <v/>
      </c>
      <c r="H84" s="523" t="str">
        <f>IF(OR(données_step[[#This Row],[E_NTOT]]&lt;=0,données_step[[#This Row],[E_NTOT]]=""),"",données_step[[#This Row],[D_QTRAI]]*données_step[[#This Row],[E_NTOT]]/1000)</f>
        <v/>
      </c>
      <c r="I84" s="523" t="str">
        <f>IF(OR(données_step[[#This Row],[E_NTOT]]&lt;=0,données_step[[#This Row],[E_NTOT]]=""),"",données_step[[#This Row],[D_QTRAI]]*données_step[[#This Row],[E_PTOT]]/1000)</f>
        <v/>
      </c>
      <c r="J84" s="523" t="str">
        <f>IF(OR(données_step[[#This Row],[S_DBO5]]&lt;=0,données_step[[#This Row],[S_DBO5]]=""),"",données_step[[#This Row],[D_QTRAI]]*données_step[[#This Row],[S_DBO5]]/1000)</f>
        <v/>
      </c>
      <c r="K84" s="523" t="str">
        <f>IF(OR(données_step[[#This Row],[S_DCO]]&lt;=0,données_step[[#This Row],[S_DCO]]=""),"",données_step[[#This Row],[D_QTRAI]]*données_step[[#This Row],[S_DCO]]/1000)</f>
        <v/>
      </c>
      <c r="L84" s="523" t="str">
        <f>IF(OR(données_step[[#This Row],[S_COD]]&lt;=0,données_step[[#This Row],[S_COD]]=""),"",données_step[[#This Row],[D_QTRAI]]*données_step[[#This Row],[S_COD]]/1000)</f>
        <v/>
      </c>
      <c r="M84" s="523" t="str">
        <f>IF(OR(données_step[[#This Row],[S_NH4]]&lt;=0,données_step[[#This Row],[S_NH4]]=""),"",données_step[[#This Row],[D_QTRAI]]*données_step[[#This Row],[S_NH4]]/1000)</f>
        <v/>
      </c>
      <c r="N84" s="523" t="str">
        <f>IF(OR(données_step[[#This Row],[S_NO2]]&lt;=0,données_step[[#This Row],[S_NO2]]=""),"",données_step[[#This Row],[D_QTRAI]]*données_step[[#This Row],[S_NO2]]/1000)</f>
        <v/>
      </c>
      <c r="O84" s="523" t="str">
        <f>IF(OR(données_step[[#This Row],[S_NO3]]&lt;=0,données_step[[#This Row],[S_NO3]]=""),"",données_step[[#This Row],[D_QTRAI]]*données_step[[#This Row],[S_NO3]]/1000)</f>
        <v/>
      </c>
      <c r="P84" s="523" t="str">
        <f>IF(OR(données_step[[#This Row],[S_PTOT]]&lt;=0,données_step[[#This Row],[S_PTOT]]=""),"",données_step[[#This Row],[D_QTRAI]]*données_step[[#This Row],[S_PTOT]]/1000)</f>
        <v/>
      </c>
      <c r="Q84" s="523" t="str">
        <f>IF(OR(données_step[[#This Row],[S_MES]]&lt;=0,données_step[[#This Row],[S_MES]]=""),"",données_step[[#This Row],[D_QTRAI]]*données_step[[#This Row],[S_MES]]/1000)</f>
        <v/>
      </c>
      <c r="R84" s="523">
        <f>MAX(données_step[[#This Row],[D_QTRAI]],données_step[[#This Row],[D_QTRAI2]])</f>
        <v>0</v>
      </c>
      <c r="S84" s="523" t="str">
        <f>IF(AND($R84&gt;0,données_step[[#This Row],[E_DCO]]&gt;0),données_step[[#This Row],[E_DCO]],"")</f>
        <v/>
      </c>
      <c r="T84" s="523" t="str">
        <f>IF(S84="","",(1-données_step[[#This Row],[E_DCO]]/$V$7)*100)</f>
        <v/>
      </c>
      <c r="U84" s="523" t="str">
        <f t="shared" si="18"/>
        <v/>
      </c>
      <c r="V84" s="523" t="str">
        <f t="shared" si="19"/>
        <v/>
      </c>
      <c r="W84" s="523" t="str">
        <f t="shared" si="20"/>
        <v/>
      </c>
      <c r="X84" s="523" t="e">
        <f>IF(((100-100/$V$7*données_step[[#This Row],[E_DCO]])/100*QTS)&lt;0,NA(),IF(OR(U84&lt;0,U84=""),NA(),((100-100/$V$7*données_step[[#This Row],[E_DCO]])/100*QTS)))</f>
        <v>#NUM!</v>
      </c>
      <c r="Y84" s="523" t="str">
        <f>IF(AND($R84&gt;0,données_step[[#This Row],[E_COT]]&gt;0),données_step[[#This Row],[E_COT]],"")</f>
        <v/>
      </c>
      <c r="Z84" s="523" t="str">
        <f>IF(Y84="","",(1-données_step[[#This Row],[E_COT]]/$AB$7)*100)</f>
        <v/>
      </c>
      <c r="AA84" s="523" t="str">
        <f t="shared" si="21"/>
        <v/>
      </c>
      <c r="AB84" s="523" t="str">
        <f t="shared" si="22"/>
        <v/>
      </c>
      <c r="AC84" s="523" t="str">
        <f t="shared" si="23"/>
        <v/>
      </c>
      <c r="AD84" s="523" t="e">
        <f>IF(((100-100/$AB$7*données_step[[#This Row],[E_COT]])/100*QTS)&lt;0,NA(),IF(OR(AA84&lt;0,AA84=""),NA(),((100-100/$AB$7*données_step[[#This Row],[E_COT]])/100*QTS)))</f>
        <v>#NUM!</v>
      </c>
      <c r="AE84" s="523" t="str">
        <f>IF(AND($R84&gt;0,données_step[[#This Row],[E_NH4]]&gt;0),données_step[[#This Row],[E_NH4]],"")</f>
        <v/>
      </c>
      <c r="AF84" s="523" t="str">
        <f>IF(AE84="","",(1-données_step[[#This Row],[E_NH4]]/$AH$7)*100)</f>
        <v/>
      </c>
      <c r="AG84" s="523" t="str">
        <f t="shared" si="24"/>
        <v/>
      </c>
      <c r="AH84" s="523" t="str">
        <f t="shared" si="25"/>
        <v/>
      </c>
      <c r="AI84" s="523" t="str">
        <f t="shared" si="26"/>
        <v/>
      </c>
      <c r="AJ84" s="523" t="e">
        <f>IF(((100-100/$AH$7*données_step[[#This Row],[E_NH4]])/100*QTS)&lt;0,NA(),IF(OR(AG84&lt;0,AG84=""),NA(),((100-100/$AH$7*données_step[[#This Row],[E_NH4]])/100*QTS)))</f>
        <v>#NUM!</v>
      </c>
      <c r="AK84" s="523" t="str">
        <f>IF(AND($R84&gt;0,données_step[[#This Row],[E_PTOT]]&gt;0),données_step[[#This Row],[E_PTOT]],"")</f>
        <v/>
      </c>
      <c r="AL84" s="523" t="str">
        <f>IF(AK84="","",(1-données_step[[#This Row],[E_PTOT]]/$AN$7)*100)</f>
        <v/>
      </c>
      <c r="AM84" s="523" t="str">
        <f t="shared" si="27"/>
        <v/>
      </c>
      <c r="AN84" s="523" t="str">
        <f t="shared" si="28"/>
        <v/>
      </c>
      <c r="AO84" s="523" t="str">
        <f t="shared" si="29"/>
        <v/>
      </c>
      <c r="AP84" s="523" t="e">
        <f>IF(((100-100/$AN$7*données_step[[#This Row],[E_PTOT]])/100*QTS)&lt;0,NA(),IF(OR(AM84&lt;0,AM84=""),NA(),((100-100/$AN$7*données_step[[#This Row],[E_PTOT]])/100*QTS)))</f>
        <v>#NUM!</v>
      </c>
      <c r="AQ84" s="524" t="e">
        <f t="shared" si="30"/>
        <v>#NUM!</v>
      </c>
      <c r="AR84" s="524" t="str">
        <f t="shared" si="31"/>
        <v/>
      </c>
      <c r="AT84" s="517">
        <f t="shared" si="32"/>
        <v>0.73</v>
      </c>
      <c r="AU84" s="501">
        <f t="shared" si="33"/>
        <v>73</v>
      </c>
      <c r="AV84" s="525" t="e">
        <f>PERCENTILE(analyses!$F$11:$F$375,$AT84)</f>
        <v>#NUM!</v>
      </c>
      <c r="AW84" s="7" t="e">
        <f>PERCENTILE(analyses!$I$11:$I$375,$AT84)</f>
        <v>#NUM!</v>
      </c>
      <c r="AX84" s="7" t="e">
        <f>PERCENTILE(analyses!$J$11:$J$375,$AT84)</f>
        <v>#NUM!</v>
      </c>
      <c r="AY84" s="523" t="str">
        <f>_xlfn.IFNA(IF(données_step[[#This Row],[E_DCO]]&lt;=0,NA(),charge_entree[[#This Row],[ch_E_DCO]]/constanten!$B$8*1000),"")</f>
        <v/>
      </c>
      <c r="AZ84" s="523" t="str">
        <f>_xlfn.IFNA(IF(données_step[[#This Row],[E_NTOT]]&lt;=0,NA(),charge_entree[[#This Row],[ch_E_NTOT]]/constanten!$B$10*1000),"")</f>
        <v/>
      </c>
      <c r="BA84" s="523" t="str">
        <f>_xlfn.IFNA(IF(données_step[[#This Row],[E_NH4]]&lt;=0,NA(),charge_entree[[#This Row],[ch_E_NH4]]/constanten!$B$12*1000),"")</f>
        <v/>
      </c>
      <c r="BB84" s="523" t="str">
        <f>_xlfn.IFNA(IF(données_step[[#This Row],[E_COT]]&lt;=0,NA(),charge_entree[[#This Row],[ch_E_COT]]/constanten!$B$9*1000),"")</f>
        <v/>
      </c>
      <c r="BC84" s="523" t="str">
        <f>IFERROR(_xlfn.IFNA(IF(données_step[[#This Row],[E_PTOT]]&lt;=0,NA(),charge_entree[[#This Row],[ch_E_PTOT]]/constanten!$B$15*1000),""),"")</f>
        <v/>
      </c>
      <c r="BD84" s="535" t="e">
        <f>calculs!E84 * (1-0.4) / (données_step[[#This Row],[X_BA_VOL]]*données_step[[#This Row],[X_BACONC]])</f>
        <v>#VALUE!</v>
      </c>
      <c r="BE84" s="522" t="e">
        <f>(données_step[[#This Row],[X_BA_VOL]]*données_step[[#This Row],[X_BACONC]])/((données_step[[#This Row],[D_QTRAI2]]*données_step[[#This Row],[S_MES]]/1000)+(données_step[[#This Row],[X_BX_Q]]*données_step[[#This Row],[X_BXCONC]]))</f>
        <v>#VALUE!</v>
      </c>
      <c r="BF84" s="890" t="str">
        <f>IFERROR(données_step[[#This Row],[D_QTRAI]]/AY84*1000,"")</f>
        <v/>
      </c>
      <c r="BG84" s="535" t="str">
        <f>IFERROR(1-données_step[[#This Row],[S_DBO5]]/données_step[[#This Row],[E_DBO5]],"")</f>
        <v/>
      </c>
      <c r="BH84" s="536" t="str">
        <f>IFERROR(1-données_step[[#This Row],[S_DCO]]/données_step[[#This Row],[E_DCO]],"")</f>
        <v/>
      </c>
      <c r="BI84" s="535" t="str">
        <f>IFERROR(1-données_step[[#This Row],[S_COD]]/données_step[[#This Row],[E_COT]],"")</f>
        <v/>
      </c>
      <c r="BJ84" s="535" t="str">
        <f>IFERROR(1-données_step[[#This Row],[S_NH4]]/données_step[[#This Row],[E_NTOT]],"")</f>
        <v/>
      </c>
      <c r="BK84" s="535" t="str">
        <f>IFERROR(1-données_step[[#This Row],[S_PTOT]]/données_step[[#This Row],[E_PTOT]],"")</f>
        <v/>
      </c>
      <c r="BL84" s="521" t="str">
        <f>IFERROR(IF(données_step[[#This Row],[E_DCO]]/données_step[[#This Row],[E_DBO5]]=0,NA(),données_step[[#This Row],[E_DCO]]/données_step[[#This Row],[E_DBO5]]),"")</f>
        <v/>
      </c>
      <c r="BM84" s="521" t="str">
        <f>IFERROR(IF(données_step[[#This Row],[E_NH4]]/données_step[[#This Row],[E_NTOT]]=0,NA(),données_step[[#This Row],[E_NH4]]/données_step[[#This Row],[E_NTOT]]),"")</f>
        <v/>
      </c>
      <c r="BN84" s="521" t="str">
        <f>IFERROR(IF(données_step[[#This Row],[E_NTOT]]/données_step[[#This Row],[E_COT]]=0,NA(),données_step[[#This Row],[E_NTOT]]/données_step[[#This Row],[E_COT]]),"")</f>
        <v/>
      </c>
      <c r="BO84" s="521" t="str">
        <f>IFERROR(IF(données_step[[#This Row],[E_PTOT]]/données_step[[#This Row],[E_COT]]=0,NA(),données_step[[#This Row],[E_PTOT]]/données_step[[#This Row],[E_COT]]),"")</f>
        <v/>
      </c>
      <c r="BP84" s="521" t="e">
        <f>IF(données_step[[#This Row],[E_DCO]]/données_step[[#This Row],[E_COT]]=0,NA(),données_step[[#This Row],[E_DCO]]/données_step[[#This Row],[E_COT]])</f>
        <v>#DIV/0!</v>
      </c>
      <c r="BQ84" s="521" t="e">
        <f>IF(données_step[[#This Row],[E_NTOT]]/données_step[[#This Row],[E_DCO]]=0,NA(),données_step[[#This Row],[E_NTOT]]/données_step[[#This Row],[E_DCO]])</f>
        <v>#DIV/0!</v>
      </c>
      <c r="BR84" s="521" t="e">
        <f>IF(données_step[[#This Row],[E_PTOT]]/données_step[[#This Row],[E_DCO]]=0,NA(),données_step[[#This Row],[E_PTOT]]/données_step[[#This Row],[E_DCO]])</f>
        <v>#DIV/0!</v>
      </c>
      <c r="BS84" s="747" t="e">
        <f ca="1">test_NH4_temp(données_step[[#This Row],[S_NH4]],données_step[[#This Row],[Temp_eaux]])</f>
        <v>#NAME?</v>
      </c>
    </row>
    <row r="85" spans="1:71" x14ac:dyDescent="0.2">
      <c r="A85" s="222">
        <f>données_step[[#This Row],[Datum]]</f>
        <v>44636</v>
      </c>
      <c r="B85" s="223"/>
      <c r="C85" s="224">
        <f t="shared" si="17"/>
        <v>4</v>
      </c>
      <c r="D85" s="523" t="str">
        <f>IF(OR(données_step[[#This Row],[E_DBO5]]&lt;=0,données_step[[#This Row],[E_DBO5]]=""),"",données_step[[#This Row],[D_QTRAI]]*données_step[[#This Row],[E_DBO5]]/1000)</f>
        <v/>
      </c>
      <c r="E85" s="523" t="str">
        <f>IF(OR(données_step[[#This Row],[E_DCO]]&lt;=0,données_step[[#This Row],[E_DCO]]=""),"",données_step[[#This Row],[D_QTRAI]]*données_step[[#This Row],[E_DCO]]/1000)</f>
        <v/>
      </c>
      <c r="F85" s="523" t="str">
        <f>IF(OR(données_step[[#This Row],[E_COT]]&lt;=0,données_step[[#This Row],[E_COT]]=""),"",données_step[[#This Row],[D_QTRAI]]*données_step[[#This Row],[E_COT]]/1000)</f>
        <v/>
      </c>
      <c r="G85" s="523" t="str">
        <f>IF(OR(données_step[[#This Row],[E_NH4]]&lt;=0,données_step[[#This Row],[E_NH4]]=""),"",données_step[[#This Row],[D_QTRAI]]*données_step[[#This Row],[E_NH4]]/1000)</f>
        <v/>
      </c>
      <c r="H85" s="523" t="str">
        <f>IF(OR(données_step[[#This Row],[E_NTOT]]&lt;=0,données_step[[#This Row],[E_NTOT]]=""),"",données_step[[#This Row],[D_QTRAI]]*données_step[[#This Row],[E_NTOT]]/1000)</f>
        <v/>
      </c>
      <c r="I85" s="523" t="str">
        <f>IF(OR(données_step[[#This Row],[E_NTOT]]&lt;=0,données_step[[#This Row],[E_NTOT]]=""),"",données_step[[#This Row],[D_QTRAI]]*données_step[[#This Row],[E_PTOT]]/1000)</f>
        <v/>
      </c>
      <c r="J85" s="523" t="str">
        <f>IF(OR(données_step[[#This Row],[S_DBO5]]&lt;=0,données_step[[#This Row],[S_DBO5]]=""),"",données_step[[#This Row],[D_QTRAI]]*données_step[[#This Row],[S_DBO5]]/1000)</f>
        <v/>
      </c>
      <c r="K85" s="523" t="str">
        <f>IF(OR(données_step[[#This Row],[S_DCO]]&lt;=0,données_step[[#This Row],[S_DCO]]=""),"",données_step[[#This Row],[D_QTRAI]]*données_step[[#This Row],[S_DCO]]/1000)</f>
        <v/>
      </c>
      <c r="L85" s="523" t="str">
        <f>IF(OR(données_step[[#This Row],[S_COD]]&lt;=0,données_step[[#This Row],[S_COD]]=""),"",données_step[[#This Row],[D_QTRAI]]*données_step[[#This Row],[S_COD]]/1000)</f>
        <v/>
      </c>
      <c r="M85" s="523" t="str">
        <f>IF(OR(données_step[[#This Row],[S_NH4]]&lt;=0,données_step[[#This Row],[S_NH4]]=""),"",données_step[[#This Row],[D_QTRAI]]*données_step[[#This Row],[S_NH4]]/1000)</f>
        <v/>
      </c>
      <c r="N85" s="523" t="str">
        <f>IF(OR(données_step[[#This Row],[S_NO2]]&lt;=0,données_step[[#This Row],[S_NO2]]=""),"",données_step[[#This Row],[D_QTRAI]]*données_step[[#This Row],[S_NO2]]/1000)</f>
        <v/>
      </c>
      <c r="O85" s="523" t="str">
        <f>IF(OR(données_step[[#This Row],[S_NO3]]&lt;=0,données_step[[#This Row],[S_NO3]]=""),"",données_step[[#This Row],[D_QTRAI]]*données_step[[#This Row],[S_NO3]]/1000)</f>
        <v/>
      </c>
      <c r="P85" s="523" t="str">
        <f>IF(OR(données_step[[#This Row],[S_PTOT]]&lt;=0,données_step[[#This Row],[S_PTOT]]=""),"",données_step[[#This Row],[D_QTRAI]]*données_step[[#This Row],[S_PTOT]]/1000)</f>
        <v/>
      </c>
      <c r="Q85" s="523" t="str">
        <f>IF(OR(données_step[[#This Row],[S_MES]]&lt;=0,données_step[[#This Row],[S_MES]]=""),"",données_step[[#This Row],[D_QTRAI]]*données_step[[#This Row],[S_MES]]/1000)</f>
        <v/>
      </c>
      <c r="R85" s="523">
        <f>MAX(données_step[[#This Row],[D_QTRAI]],données_step[[#This Row],[D_QTRAI2]])</f>
        <v>0</v>
      </c>
      <c r="S85" s="523" t="str">
        <f>IF(AND($R85&gt;0,données_step[[#This Row],[E_DCO]]&gt;0),données_step[[#This Row],[E_DCO]],"")</f>
        <v/>
      </c>
      <c r="T85" s="523" t="str">
        <f>IF(S85="","",(1-données_step[[#This Row],[E_DCO]]/$V$7)*100)</f>
        <v/>
      </c>
      <c r="U85" s="523" t="str">
        <f t="shared" si="18"/>
        <v/>
      </c>
      <c r="V85" s="523" t="str">
        <f t="shared" si="19"/>
        <v/>
      </c>
      <c r="W85" s="523" t="str">
        <f t="shared" si="20"/>
        <v/>
      </c>
      <c r="X85" s="523" t="e">
        <f>IF(((100-100/$V$7*données_step[[#This Row],[E_DCO]])/100*QTS)&lt;0,NA(),IF(OR(U85&lt;0,U85=""),NA(),((100-100/$V$7*données_step[[#This Row],[E_DCO]])/100*QTS)))</f>
        <v>#NUM!</v>
      </c>
      <c r="Y85" s="523" t="str">
        <f>IF(AND($R85&gt;0,données_step[[#This Row],[E_COT]]&gt;0),données_step[[#This Row],[E_COT]],"")</f>
        <v/>
      </c>
      <c r="Z85" s="523" t="str">
        <f>IF(Y85="","",(1-données_step[[#This Row],[E_COT]]/$AB$7)*100)</f>
        <v/>
      </c>
      <c r="AA85" s="523" t="str">
        <f t="shared" si="21"/>
        <v/>
      </c>
      <c r="AB85" s="523" t="str">
        <f t="shared" si="22"/>
        <v/>
      </c>
      <c r="AC85" s="523" t="str">
        <f t="shared" si="23"/>
        <v/>
      </c>
      <c r="AD85" s="523" t="e">
        <f>IF(((100-100/$AB$7*données_step[[#This Row],[E_COT]])/100*QTS)&lt;0,NA(),IF(OR(AA85&lt;0,AA85=""),NA(),((100-100/$AB$7*données_step[[#This Row],[E_COT]])/100*QTS)))</f>
        <v>#NUM!</v>
      </c>
      <c r="AE85" s="523" t="str">
        <f>IF(AND($R85&gt;0,données_step[[#This Row],[E_NH4]]&gt;0),données_step[[#This Row],[E_NH4]],"")</f>
        <v/>
      </c>
      <c r="AF85" s="523" t="str">
        <f>IF(AE85="","",(1-données_step[[#This Row],[E_NH4]]/$AH$7)*100)</f>
        <v/>
      </c>
      <c r="AG85" s="523" t="str">
        <f t="shared" si="24"/>
        <v/>
      </c>
      <c r="AH85" s="523" t="str">
        <f t="shared" si="25"/>
        <v/>
      </c>
      <c r="AI85" s="523" t="str">
        <f t="shared" si="26"/>
        <v/>
      </c>
      <c r="AJ85" s="523" t="e">
        <f>IF(((100-100/$AH$7*données_step[[#This Row],[E_NH4]])/100*QTS)&lt;0,NA(),IF(OR(AG85&lt;0,AG85=""),NA(),((100-100/$AH$7*données_step[[#This Row],[E_NH4]])/100*QTS)))</f>
        <v>#NUM!</v>
      </c>
      <c r="AK85" s="523" t="str">
        <f>IF(AND($R85&gt;0,données_step[[#This Row],[E_PTOT]]&gt;0),données_step[[#This Row],[E_PTOT]],"")</f>
        <v/>
      </c>
      <c r="AL85" s="523" t="str">
        <f>IF(AK85="","",(1-données_step[[#This Row],[E_PTOT]]/$AN$7)*100)</f>
        <v/>
      </c>
      <c r="AM85" s="523" t="str">
        <f t="shared" si="27"/>
        <v/>
      </c>
      <c r="AN85" s="523" t="str">
        <f t="shared" si="28"/>
        <v/>
      </c>
      <c r="AO85" s="523" t="str">
        <f t="shared" si="29"/>
        <v/>
      </c>
      <c r="AP85" s="523" t="e">
        <f>IF(((100-100/$AN$7*données_step[[#This Row],[E_PTOT]])/100*QTS)&lt;0,NA(),IF(OR(AM85&lt;0,AM85=""),NA(),((100-100/$AN$7*données_step[[#This Row],[E_PTOT]])/100*QTS)))</f>
        <v>#NUM!</v>
      </c>
      <c r="AQ85" s="524" t="e">
        <f t="shared" si="30"/>
        <v>#NUM!</v>
      </c>
      <c r="AR85" s="524" t="str">
        <f t="shared" si="31"/>
        <v/>
      </c>
      <c r="AT85" s="517">
        <f t="shared" si="32"/>
        <v>0.74</v>
      </c>
      <c r="AU85" s="501">
        <f t="shared" si="33"/>
        <v>74</v>
      </c>
      <c r="AV85" s="525" t="e">
        <f>PERCENTILE(analyses!$F$11:$F$375,$AT85)</f>
        <v>#NUM!</v>
      </c>
      <c r="AW85" s="7" t="e">
        <f>PERCENTILE(analyses!$I$11:$I$375,$AT85)</f>
        <v>#NUM!</v>
      </c>
      <c r="AX85" s="7" t="e">
        <f>PERCENTILE(analyses!$J$11:$J$375,$AT85)</f>
        <v>#NUM!</v>
      </c>
      <c r="AY85" s="523" t="str">
        <f>_xlfn.IFNA(IF(données_step[[#This Row],[E_DCO]]&lt;=0,NA(),charge_entree[[#This Row],[ch_E_DCO]]/constanten!$B$8*1000),"")</f>
        <v/>
      </c>
      <c r="AZ85" s="523" t="str">
        <f>_xlfn.IFNA(IF(données_step[[#This Row],[E_NTOT]]&lt;=0,NA(),charge_entree[[#This Row],[ch_E_NTOT]]/constanten!$B$10*1000),"")</f>
        <v/>
      </c>
      <c r="BA85" s="523" t="str">
        <f>_xlfn.IFNA(IF(données_step[[#This Row],[E_NH4]]&lt;=0,NA(),charge_entree[[#This Row],[ch_E_NH4]]/constanten!$B$12*1000),"")</f>
        <v/>
      </c>
      <c r="BB85" s="523" t="str">
        <f>_xlfn.IFNA(IF(données_step[[#This Row],[E_COT]]&lt;=0,NA(),charge_entree[[#This Row],[ch_E_COT]]/constanten!$B$9*1000),"")</f>
        <v/>
      </c>
      <c r="BC85" s="523" t="str">
        <f>IFERROR(_xlfn.IFNA(IF(données_step[[#This Row],[E_PTOT]]&lt;=0,NA(),charge_entree[[#This Row],[ch_E_PTOT]]/constanten!$B$15*1000),""),"")</f>
        <v/>
      </c>
      <c r="BD85" s="535" t="e">
        <f>calculs!E85 * (1-0.4) / (données_step[[#This Row],[X_BA_VOL]]*données_step[[#This Row],[X_BACONC]])</f>
        <v>#VALUE!</v>
      </c>
      <c r="BE85" s="522" t="e">
        <f>(données_step[[#This Row],[X_BA_VOL]]*données_step[[#This Row],[X_BACONC]])/((données_step[[#This Row],[D_QTRAI2]]*données_step[[#This Row],[S_MES]]/1000)+(données_step[[#This Row],[X_BX_Q]]*données_step[[#This Row],[X_BXCONC]]))</f>
        <v>#VALUE!</v>
      </c>
      <c r="BF85" s="890" t="str">
        <f>IFERROR(données_step[[#This Row],[D_QTRAI]]/AY85*1000,"")</f>
        <v/>
      </c>
      <c r="BG85" s="535" t="str">
        <f>IFERROR(1-données_step[[#This Row],[S_DBO5]]/données_step[[#This Row],[E_DBO5]],"")</f>
        <v/>
      </c>
      <c r="BH85" s="536" t="str">
        <f>IFERROR(1-données_step[[#This Row],[S_DCO]]/données_step[[#This Row],[E_DCO]],"")</f>
        <v/>
      </c>
      <c r="BI85" s="535" t="str">
        <f>IFERROR(1-données_step[[#This Row],[S_COD]]/données_step[[#This Row],[E_COT]],"")</f>
        <v/>
      </c>
      <c r="BJ85" s="535" t="str">
        <f>IFERROR(1-données_step[[#This Row],[S_NH4]]/données_step[[#This Row],[E_NTOT]],"")</f>
        <v/>
      </c>
      <c r="BK85" s="535" t="str">
        <f>IFERROR(1-données_step[[#This Row],[S_PTOT]]/données_step[[#This Row],[E_PTOT]],"")</f>
        <v/>
      </c>
      <c r="BL85" s="521" t="str">
        <f>IFERROR(IF(données_step[[#This Row],[E_DCO]]/données_step[[#This Row],[E_DBO5]]=0,NA(),données_step[[#This Row],[E_DCO]]/données_step[[#This Row],[E_DBO5]]),"")</f>
        <v/>
      </c>
      <c r="BM85" s="521" t="str">
        <f>IFERROR(IF(données_step[[#This Row],[E_NH4]]/données_step[[#This Row],[E_NTOT]]=0,NA(),données_step[[#This Row],[E_NH4]]/données_step[[#This Row],[E_NTOT]]),"")</f>
        <v/>
      </c>
      <c r="BN85" s="521" t="str">
        <f>IFERROR(IF(données_step[[#This Row],[E_NTOT]]/données_step[[#This Row],[E_COT]]=0,NA(),données_step[[#This Row],[E_NTOT]]/données_step[[#This Row],[E_COT]]),"")</f>
        <v/>
      </c>
      <c r="BO85" s="521" t="str">
        <f>IFERROR(IF(données_step[[#This Row],[E_PTOT]]/données_step[[#This Row],[E_COT]]=0,NA(),données_step[[#This Row],[E_PTOT]]/données_step[[#This Row],[E_COT]]),"")</f>
        <v/>
      </c>
      <c r="BP85" s="521" t="e">
        <f>IF(données_step[[#This Row],[E_DCO]]/données_step[[#This Row],[E_COT]]=0,NA(),données_step[[#This Row],[E_DCO]]/données_step[[#This Row],[E_COT]])</f>
        <v>#DIV/0!</v>
      </c>
      <c r="BQ85" s="521" t="e">
        <f>IF(données_step[[#This Row],[E_NTOT]]/données_step[[#This Row],[E_DCO]]=0,NA(),données_step[[#This Row],[E_NTOT]]/données_step[[#This Row],[E_DCO]])</f>
        <v>#DIV/0!</v>
      </c>
      <c r="BR85" s="521" t="e">
        <f>IF(données_step[[#This Row],[E_PTOT]]/données_step[[#This Row],[E_DCO]]=0,NA(),données_step[[#This Row],[E_PTOT]]/données_step[[#This Row],[E_DCO]])</f>
        <v>#DIV/0!</v>
      </c>
      <c r="BS85" s="747" t="e">
        <f ca="1">test_NH4_temp(données_step[[#This Row],[S_NH4]],données_step[[#This Row],[Temp_eaux]])</f>
        <v>#NAME?</v>
      </c>
    </row>
    <row r="86" spans="1:71" x14ac:dyDescent="0.2">
      <c r="A86" s="222">
        <f>données_step[[#This Row],[Datum]]</f>
        <v>44637</v>
      </c>
      <c r="B86" s="223"/>
      <c r="C86" s="224">
        <f t="shared" si="17"/>
        <v>5</v>
      </c>
      <c r="D86" s="523" t="str">
        <f>IF(OR(données_step[[#This Row],[E_DBO5]]&lt;=0,données_step[[#This Row],[E_DBO5]]=""),"",données_step[[#This Row],[D_QTRAI]]*données_step[[#This Row],[E_DBO5]]/1000)</f>
        <v/>
      </c>
      <c r="E86" s="523" t="str">
        <f>IF(OR(données_step[[#This Row],[E_DCO]]&lt;=0,données_step[[#This Row],[E_DCO]]=""),"",données_step[[#This Row],[D_QTRAI]]*données_step[[#This Row],[E_DCO]]/1000)</f>
        <v/>
      </c>
      <c r="F86" s="523" t="str">
        <f>IF(OR(données_step[[#This Row],[E_COT]]&lt;=0,données_step[[#This Row],[E_COT]]=""),"",données_step[[#This Row],[D_QTRAI]]*données_step[[#This Row],[E_COT]]/1000)</f>
        <v/>
      </c>
      <c r="G86" s="523" t="str">
        <f>IF(OR(données_step[[#This Row],[E_NH4]]&lt;=0,données_step[[#This Row],[E_NH4]]=""),"",données_step[[#This Row],[D_QTRAI]]*données_step[[#This Row],[E_NH4]]/1000)</f>
        <v/>
      </c>
      <c r="H86" s="523" t="str">
        <f>IF(OR(données_step[[#This Row],[E_NTOT]]&lt;=0,données_step[[#This Row],[E_NTOT]]=""),"",données_step[[#This Row],[D_QTRAI]]*données_step[[#This Row],[E_NTOT]]/1000)</f>
        <v/>
      </c>
      <c r="I86" s="523" t="str">
        <f>IF(OR(données_step[[#This Row],[E_NTOT]]&lt;=0,données_step[[#This Row],[E_NTOT]]=""),"",données_step[[#This Row],[D_QTRAI]]*données_step[[#This Row],[E_PTOT]]/1000)</f>
        <v/>
      </c>
      <c r="J86" s="523" t="str">
        <f>IF(OR(données_step[[#This Row],[S_DBO5]]&lt;=0,données_step[[#This Row],[S_DBO5]]=""),"",données_step[[#This Row],[D_QTRAI]]*données_step[[#This Row],[S_DBO5]]/1000)</f>
        <v/>
      </c>
      <c r="K86" s="523" t="str">
        <f>IF(OR(données_step[[#This Row],[S_DCO]]&lt;=0,données_step[[#This Row],[S_DCO]]=""),"",données_step[[#This Row],[D_QTRAI]]*données_step[[#This Row],[S_DCO]]/1000)</f>
        <v/>
      </c>
      <c r="L86" s="523" t="str">
        <f>IF(OR(données_step[[#This Row],[S_COD]]&lt;=0,données_step[[#This Row],[S_COD]]=""),"",données_step[[#This Row],[D_QTRAI]]*données_step[[#This Row],[S_COD]]/1000)</f>
        <v/>
      </c>
      <c r="M86" s="523" t="str">
        <f>IF(OR(données_step[[#This Row],[S_NH4]]&lt;=0,données_step[[#This Row],[S_NH4]]=""),"",données_step[[#This Row],[D_QTRAI]]*données_step[[#This Row],[S_NH4]]/1000)</f>
        <v/>
      </c>
      <c r="N86" s="523" t="str">
        <f>IF(OR(données_step[[#This Row],[S_NO2]]&lt;=0,données_step[[#This Row],[S_NO2]]=""),"",données_step[[#This Row],[D_QTRAI]]*données_step[[#This Row],[S_NO2]]/1000)</f>
        <v/>
      </c>
      <c r="O86" s="523" t="str">
        <f>IF(OR(données_step[[#This Row],[S_NO3]]&lt;=0,données_step[[#This Row],[S_NO3]]=""),"",données_step[[#This Row],[D_QTRAI]]*données_step[[#This Row],[S_NO3]]/1000)</f>
        <v/>
      </c>
      <c r="P86" s="523" t="str">
        <f>IF(OR(données_step[[#This Row],[S_PTOT]]&lt;=0,données_step[[#This Row],[S_PTOT]]=""),"",données_step[[#This Row],[D_QTRAI]]*données_step[[#This Row],[S_PTOT]]/1000)</f>
        <v/>
      </c>
      <c r="Q86" s="523" t="str">
        <f>IF(OR(données_step[[#This Row],[S_MES]]&lt;=0,données_step[[#This Row],[S_MES]]=""),"",données_step[[#This Row],[D_QTRAI]]*données_step[[#This Row],[S_MES]]/1000)</f>
        <v/>
      </c>
      <c r="R86" s="523">
        <f>MAX(données_step[[#This Row],[D_QTRAI]],données_step[[#This Row],[D_QTRAI2]])</f>
        <v>0</v>
      </c>
      <c r="S86" s="523" t="str">
        <f>IF(AND($R86&gt;0,données_step[[#This Row],[E_DCO]]&gt;0),données_step[[#This Row],[E_DCO]],"")</f>
        <v/>
      </c>
      <c r="T86" s="523" t="str">
        <f>IF(S86="","",(1-données_step[[#This Row],[E_DCO]]/$V$7)*100)</f>
        <v/>
      </c>
      <c r="U86" s="523" t="str">
        <f t="shared" si="18"/>
        <v/>
      </c>
      <c r="V86" s="523" t="str">
        <f t="shared" si="19"/>
        <v/>
      </c>
      <c r="W86" s="523" t="str">
        <f t="shared" si="20"/>
        <v/>
      </c>
      <c r="X86" s="523" t="e">
        <f>IF(((100-100/$V$7*données_step[[#This Row],[E_DCO]])/100*QTS)&lt;0,NA(),IF(OR(U86&lt;0,U86=""),NA(),((100-100/$V$7*données_step[[#This Row],[E_DCO]])/100*QTS)))</f>
        <v>#NUM!</v>
      </c>
      <c r="Y86" s="523" t="str">
        <f>IF(AND($R86&gt;0,données_step[[#This Row],[E_COT]]&gt;0),données_step[[#This Row],[E_COT]],"")</f>
        <v/>
      </c>
      <c r="Z86" s="523" t="str">
        <f>IF(Y86="","",(1-données_step[[#This Row],[E_COT]]/$AB$7)*100)</f>
        <v/>
      </c>
      <c r="AA86" s="523" t="str">
        <f t="shared" si="21"/>
        <v/>
      </c>
      <c r="AB86" s="523" t="str">
        <f t="shared" si="22"/>
        <v/>
      </c>
      <c r="AC86" s="523" t="str">
        <f t="shared" si="23"/>
        <v/>
      </c>
      <c r="AD86" s="523" t="e">
        <f>IF(((100-100/$AB$7*données_step[[#This Row],[E_COT]])/100*QTS)&lt;0,NA(),IF(OR(AA86&lt;0,AA86=""),NA(),((100-100/$AB$7*données_step[[#This Row],[E_COT]])/100*QTS)))</f>
        <v>#NUM!</v>
      </c>
      <c r="AE86" s="523" t="str">
        <f>IF(AND($R86&gt;0,données_step[[#This Row],[E_NH4]]&gt;0),données_step[[#This Row],[E_NH4]],"")</f>
        <v/>
      </c>
      <c r="AF86" s="523" t="str">
        <f>IF(AE86="","",(1-données_step[[#This Row],[E_NH4]]/$AH$7)*100)</f>
        <v/>
      </c>
      <c r="AG86" s="523" t="str">
        <f t="shared" si="24"/>
        <v/>
      </c>
      <c r="AH86" s="523" t="str">
        <f t="shared" si="25"/>
        <v/>
      </c>
      <c r="AI86" s="523" t="str">
        <f t="shared" si="26"/>
        <v/>
      </c>
      <c r="AJ86" s="523" t="e">
        <f>IF(((100-100/$AH$7*données_step[[#This Row],[E_NH4]])/100*QTS)&lt;0,NA(),IF(OR(AG86&lt;0,AG86=""),NA(),((100-100/$AH$7*données_step[[#This Row],[E_NH4]])/100*QTS)))</f>
        <v>#NUM!</v>
      </c>
      <c r="AK86" s="523" t="str">
        <f>IF(AND($R86&gt;0,données_step[[#This Row],[E_PTOT]]&gt;0),données_step[[#This Row],[E_PTOT]],"")</f>
        <v/>
      </c>
      <c r="AL86" s="523" t="str">
        <f>IF(AK86="","",(1-données_step[[#This Row],[E_PTOT]]/$AN$7)*100)</f>
        <v/>
      </c>
      <c r="AM86" s="523" t="str">
        <f t="shared" si="27"/>
        <v/>
      </c>
      <c r="AN86" s="523" t="str">
        <f t="shared" si="28"/>
        <v/>
      </c>
      <c r="AO86" s="523" t="str">
        <f t="shared" si="29"/>
        <v/>
      </c>
      <c r="AP86" s="523" t="e">
        <f>IF(((100-100/$AN$7*données_step[[#This Row],[E_PTOT]])/100*QTS)&lt;0,NA(),IF(OR(AM86&lt;0,AM86=""),NA(),((100-100/$AN$7*données_step[[#This Row],[E_PTOT]])/100*QTS)))</f>
        <v>#NUM!</v>
      </c>
      <c r="AQ86" s="524" t="e">
        <f t="shared" si="30"/>
        <v>#NUM!</v>
      </c>
      <c r="AR86" s="524" t="str">
        <f t="shared" si="31"/>
        <v/>
      </c>
      <c r="AT86" s="517">
        <f t="shared" si="32"/>
        <v>0.75</v>
      </c>
      <c r="AU86" s="501">
        <f t="shared" si="33"/>
        <v>75</v>
      </c>
      <c r="AV86" s="525" t="e">
        <f>PERCENTILE(analyses!$F$11:$F$375,$AT86)</f>
        <v>#NUM!</v>
      </c>
      <c r="AW86" s="7" t="e">
        <f>PERCENTILE(analyses!$I$11:$I$375,$AT86)</f>
        <v>#NUM!</v>
      </c>
      <c r="AX86" s="7" t="e">
        <f>PERCENTILE(analyses!$J$11:$J$375,$AT86)</f>
        <v>#NUM!</v>
      </c>
      <c r="AY86" s="523" t="str">
        <f>_xlfn.IFNA(IF(données_step[[#This Row],[E_DCO]]&lt;=0,NA(),charge_entree[[#This Row],[ch_E_DCO]]/constanten!$B$8*1000),"")</f>
        <v/>
      </c>
      <c r="AZ86" s="523" t="str">
        <f>_xlfn.IFNA(IF(données_step[[#This Row],[E_NTOT]]&lt;=0,NA(),charge_entree[[#This Row],[ch_E_NTOT]]/constanten!$B$10*1000),"")</f>
        <v/>
      </c>
      <c r="BA86" s="523" t="str">
        <f>_xlfn.IFNA(IF(données_step[[#This Row],[E_NH4]]&lt;=0,NA(),charge_entree[[#This Row],[ch_E_NH4]]/constanten!$B$12*1000),"")</f>
        <v/>
      </c>
      <c r="BB86" s="523" t="str">
        <f>_xlfn.IFNA(IF(données_step[[#This Row],[E_COT]]&lt;=0,NA(),charge_entree[[#This Row],[ch_E_COT]]/constanten!$B$9*1000),"")</f>
        <v/>
      </c>
      <c r="BC86" s="523" t="str">
        <f>IFERROR(_xlfn.IFNA(IF(données_step[[#This Row],[E_PTOT]]&lt;=0,NA(),charge_entree[[#This Row],[ch_E_PTOT]]/constanten!$B$15*1000),""),"")</f>
        <v/>
      </c>
      <c r="BD86" s="535" t="e">
        <f>calculs!E86 * (1-0.4) / (données_step[[#This Row],[X_BA_VOL]]*données_step[[#This Row],[X_BACONC]])</f>
        <v>#VALUE!</v>
      </c>
      <c r="BE86" s="522" t="e">
        <f>(données_step[[#This Row],[X_BA_VOL]]*données_step[[#This Row],[X_BACONC]])/((données_step[[#This Row],[D_QTRAI2]]*données_step[[#This Row],[S_MES]]/1000)+(données_step[[#This Row],[X_BX_Q]]*données_step[[#This Row],[X_BXCONC]]))</f>
        <v>#VALUE!</v>
      </c>
      <c r="BF86" s="890" t="str">
        <f>IFERROR(données_step[[#This Row],[D_QTRAI]]/AY86*1000,"")</f>
        <v/>
      </c>
      <c r="BG86" s="535" t="str">
        <f>IFERROR(1-données_step[[#This Row],[S_DBO5]]/données_step[[#This Row],[E_DBO5]],"")</f>
        <v/>
      </c>
      <c r="BH86" s="536" t="str">
        <f>IFERROR(1-données_step[[#This Row],[S_DCO]]/données_step[[#This Row],[E_DCO]],"")</f>
        <v/>
      </c>
      <c r="BI86" s="535" t="str">
        <f>IFERROR(1-données_step[[#This Row],[S_COD]]/données_step[[#This Row],[E_COT]],"")</f>
        <v/>
      </c>
      <c r="BJ86" s="535" t="str">
        <f>IFERROR(1-données_step[[#This Row],[S_NH4]]/données_step[[#This Row],[E_NTOT]],"")</f>
        <v/>
      </c>
      <c r="BK86" s="535" t="str">
        <f>IFERROR(1-données_step[[#This Row],[S_PTOT]]/données_step[[#This Row],[E_PTOT]],"")</f>
        <v/>
      </c>
      <c r="BL86" s="521" t="str">
        <f>IFERROR(IF(données_step[[#This Row],[E_DCO]]/données_step[[#This Row],[E_DBO5]]=0,NA(),données_step[[#This Row],[E_DCO]]/données_step[[#This Row],[E_DBO5]]),"")</f>
        <v/>
      </c>
      <c r="BM86" s="521" t="str">
        <f>IFERROR(IF(données_step[[#This Row],[E_NH4]]/données_step[[#This Row],[E_NTOT]]=0,NA(),données_step[[#This Row],[E_NH4]]/données_step[[#This Row],[E_NTOT]]),"")</f>
        <v/>
      </c>
      <c r="BN86" s="521" t="str">
        <f>IFERROR(IF(données_step[[#This Row],[E_NTOT]]/données_step[[#This Row],[E_COT]]=0,NA(),données_step[[#This Row],[E_NTOT]]/données_step[[#This Row],[E_COT]]),"")</f>
        <v/>
      </c>
      <c r="BO86" s="521" t="str">
        <f>IFERROR(IF(données_step[[#This Row],[E_PTOT]]/données_step[[#This Row],[E_COT]]=0,NA(),données_step[[#This Row],[E_PTOT]]/données_step[[#This Row],[E_COT]]),"")</f>
        <v/>
      </c>
      <c r="BP86" s="521" t="e">
        <f>IF(données_step[[#This Row],[E_DCO]]/données_step[[#This Row],[E_COT]]=0,NA(),données_step[[#This Row],[E_DCO]]/données_step[[#This Row],[E_COT]])</f>
        <v>#DIV/0!</v>
      </c>
      <c r="BQ86" s="521" t="e">
        <f>IF(données_step[[#This Row],[E_NTOT]]/données_step[[#This Row],[E_DCO]]=0,NA(),données_step[[#This Row],[E_NTOT]]/données_step[[#This Row],[E_DCO]])</f>
        <v>#DIV/0!</v>
      </c>
      <c r="BR86" s="521" t="e">
        <f>IF(données_step[[#This Row],[E_PTOT]]/données_step[[#This Row],[E_DCO]]=0,NA(),données_step[[#This Row],[E_PTOT]]/données_step[[#This Row],[E_DCO]])</f>
        <v>#DIV/0!</v>
      </c>
      <c r="BS86" s="747" t="e">
        <f ca="1">test_NH4_temp(données_step[[#This Row],[S_NH4]],données_step[[#This Row],[Temp_eaux]])</f>
        <v>#NAME?</v>
      </c>
    </row>
    <row r="87" spans="1:71" x14ac:dyDescent="0.2">
      <c r="A87" s="222">
        <f>données_step[[#This Row],[Datum]]</f>
        <v>44638</v>
      </c>
      <c r="B87" s="223"/>
      <c r="C87" s="224">
        <f t="shared" si="17"/>
        <v>6</v>
      </c>
      <c r="D87" s="523" t="str">
        <f>IF(OR(données_step[[#This Row],[E_DBO5]]&lt;=0,données_step[[#This Row],[E_DBO5]]=""),"",données_step[[#This Row],[D_QTRAI]]*données_step[[#This Row],[E_DBO5]]/1000)</f>
        <v/>
      </c>
      <c r="E87" s="523" t="str">
        <f>IF(OR(données_step[[#This Row],[E_DCO]]&lt;=0,données_step[[#This Row],[E_DCO]]=""),"",données_step[[#This Row],[D_QTRAI]]*données_step[[#This Row],[E_DCO]]/1000)</f>
        <v/>
      </c>
      <c r="F87" s="523" t="str">
        <f>IF(OR(données_step[[#This Row],[E_COT]]&lt;=0,données_step[[#This Row],[E_COT]]=""),"",données_step[[#This Row],[D_QTRAI]]*données_step[[#This Row],[E_COT]]/1000)</f>
        <v/>
      </c>
      <c r="G87" s="523" t="str">
        <f>IF(OR(données_step[[#This Row],[E_NH4]]&lt;=0,données_step[[#This Row],[E_NH4]]=""),"",données_step[[#This Row],[D_QTRAI]]*données_step[[#This Row],[E_NH4]]/1000)</f>
        <v/>
      </c>
      <c r="H87" s="523" t="str">
        <f>IF(OR(données_step[[#This Row],[E_NTOT]]&lt;=0,données_step[[#This Row],[E_NTOT]]=""),"",données_step[[#This Row],[D_QTRAI]]*données_step[[#This Row],[E_NTOT]]/1000)</f>
        <v/>
      </c>
      <c r="I87" s="523" t="str">
        <f>IF(OR(données_step[[#This Row],[E_NTOT]]&lt;=0,données_step[[#This Row],[E_NTOT]]=""),"",données_step[[#This Row],[D_QTRAI]]*données_step[[#This Row],[E_PTOT]]/1000)</f>
        <v/>
      </c>
      <c r="J87" s="523" t="str">
        <f>IF(OR(données_step[[#This Row],[S_DBO5]]&lt;=0,données_step[[#This Row],[S_DBO5]]=""),"",données_step[[#This Row],[D_QTRAI]]*données_step[[#This Row],[S_DBO5]]/1000)</f>
        <v/>
      </c>
      <c r="K87" s="523" t="str">
        <f>IF(OR(données_step[[#This Row],[S_DCO]]&lt;=0,données_step[[#This Row],[S_DCO]]=""),"",données_step[[#This Row],[D_QTRAI]]*données_step[[#This Row],[S_DCO]]/1000)</f>
        <v/>
      </c>
      <c r="L87" s="523" t="str">
        <f>IF(OR(données_step[[#This Row],[S_COD]]&lt;=0,données_step[[#This Row],[S_COD]]=""),"",données_step[[#This Row],[D_QTRAI]]*données_step[[#This Row],[S_COD]]/1000)</f>
        <v/>
      </c>
      <c r="M87" s="523" t="str">
        <f>IF(OR(données_step[[#This Row],[S_NH4]]&lt;=0,données_step[[#This Row],[S_NH4]]=""),"",données_step[[#This Row],[D_QTRAI]]*données_step[[#This Row],[S_NH4]]/1000)</f>
        <v/>
      </c>
      <c r="N87" s="523" t="str">
        <f>IF(OR(données_step[[#This Row],[S_NO2]]&lt;=0,données_step[[#This Row],[S_NO2]]=""),"",données_step[[#This Row],[D_QTRAI]]*données_step[[#This Row],[S_NO2]]/1000)</f>
        <v/>
      </c>
      <c r="O87" s="523" t="str">
        <f>IF(OR(données_step[[#This Row],[S_NO3]]&lt;=0,données_step[[#This Row],[S_NO3]]=""),"",données_step[[#This Row],[D_QTRAI]]*données_step[[#This Row],[S_NO3]]/1000)</f>
        <v/>
      </c>
      <c r="P87" s="523" t="str">
        <f>IF(OR(données_step[[#This Row],[S_PTOT]]&lt;=0,données_step[[#This Row],[S_PTOT]]=""),"",données_step[[#This Row],[D_QTRAI]]*données_step[[#This Row],[S_PTOT]]/1000)</f>
        <v/>
      </c>
      <c r="Q87" s="523" t="str">
        <f>IF(OR(données_step[[#This Row],[S_MES]]&lt;=0,données_step[[#This Row],[S_MES]]=""),"",données_step[[#This Row],[D_QTRAI]]*données_step[[#This Row],[S_MES]]/1000)</f>
        <v/>
      </c>
      <c r="R87" s="523">
        <f>MAX(données_step[[#This Row],[D_QTRAI]],données_step[[#This Row],[D_QTRAI2]])</f>
        <v>0</v>
      </c>
      <c r="S87" s="523" t="str">
        <f>IF(AND($R87&gt;0,données_step[[#This Row],[E_DCO]]&gt;0),données_step[[#This Row],[E_DCO]],"")</f>
        <v/>
      </c>
      <c r="T87" s="523" t="str">
        <f>IF(S87="","",(1-données_step[[#This Row],[E_DCO]]/$V$7)*100)</f>
        <v/>
      </c>
      <c r="U87" s="523" t="str">
        <f t="shared" si="18"/>
        <v/>
      </c>
      <c r="V87" s="523" t="str">
        <f t="shared" si="19"/>
        <v/>
      </c>
      <c r="W87" s="523" t="str">
        <f t="shared" si="20"/>
        <v/>
      </c>
      <c r="X87" s="523" t="e">
        <f>IF(((100-100/$V$7*données_step[[#This Row],[E_DCO]])/100*QTS)&lt;0,NA(),IF(OR(U87&lt;0,U87=""),NA(),((100-100/$V$7*données_step[[#This Row],[E_DCO]])/100*QTS)))</f>
        <v>#NUM!</v>
      </c>
      <c r="Y87" s="523" t="str">
        <f>IF(AND($R87&gt;0,données_step[[#This Row],[E_COT]]&gt;0),données_step[[#This Row],[E_COT]],"")</f>
        <v/>
      </c>
      <c r="Z87" s="523" t="str">
        <f>IF(Y87="","",(1-données_step[[#This Row],[E_COT]]/$AB$7)*100)</f>
        <v/>
      </c>
      <c r="AA87" s="523" t="str">
        <f t="shared" si="21"/>
        <v/>
      </c>
      <c r="AB87" s="523" t="str">
        <f t="shared" si="22"/>
        <v/>
      </c>
      <c r="AC87" s="523" t="str">
        <f t="shared" si="23"/>
        <v/>
      </c>
      <c r="AD87" s="523" t="e">
        <f>IF(((100-100/$AB$7*données_step[[#This Row],[E_COT]])/100*QTS)&lt;0,NA(),IF(OR(AA87&lt;0,AA87=""),NA(),((100-100/$AB$7*données_step[[#This Row],[E_COT]])/100*QTS)))</f>
        <v>#NUM!</v>
      </c>
      <c r="AE87" s="523" t="str">
        <f>IF(AND($R87&gt;0,données_step[[#This Row],[E_NH4]]&gt;0),données_step[[#This Row],[E_NH4]],"")</f>
        <v/>
      </c>
      <c r="AF87" s="523" t="str">
        <f>IF(AE87="","",(1-données_step[[#This Row],[E_NH4]]/$AH$7)*100)</f>
        <v/>
      </c>
      <c r="AG87" s="523" t="str">
        <f t="shared" si="24"/>
        <v/>
      </c>
      <c r="AH87" s="523" t="str">
        <f t="shared" si="25"/>
        <v/>
      </c>
      <c r="AI87" s="523" t="str">
        <f t="shared" si="26"/>
        <v/>
      </c>
      <c r="AJ87" s="523" t="e">
        <f>IF(((100-100/$AH$7*données_step[[#This Row],[E_NH4]])/100*QTS)&lt;0,NA(),IF(OR(AG87&lt;0,AG87=""),NA(),((100-100/$AH$7*données_step[[#This Row],[E_NH4]])/100*QTS)))</f>
        <v>#NUM!</v>
      </c>
      <c r="AK87" s="523" t="str">
        <f>IF(AND($R87&gt;0,données_step[[#This Row],[E_PTOT]]&gt;0),données_step[[#This Row],[E_PTOT]],"")</f>
        <v/>
      </c>
      <c r="AL87" s="523" t="str">
        <f>IF(AK87="","",(1-données_step[[#This Row],[E_PTOT]]/$AN$7)*100)</f>
        <v/>
      </c>
      <c r="AM87" s="523" t="str">
        <f t="shared" si="27"/>
        <v/>
      </c>
      <c r="AN87" s="523" t="str">
        <f t="shared" si="28"/>
        <v/>
      </c>
      <c r="AO87" s="523" t="str">
        <f t="shared" si="29"/>
        <v/>
      </c>
      <c r="AP87" s="523" t="e">
        <f>IF(((100-100/$AN$7*données_step[[#This Row],[E_PTOT]])/100*QTS)&lt;0,NA(),IF(OR(AM87&lt;0,AM87=""),NA(),((100-100/$AN$7*données_step[[#This Row],[E_PTOT]])/100*QTS)))</f>
        <v>#NUM!</v>
      </c>
      <c r="AQ87" s="524" t="e">
        <f t="shared" si="30"/>
        <v>#NUM!</v>
      </c>
      <c r="AR87" s="524" t="str">
        <f t="shared" si="31"/>
        <v/>
      </c>
      <c r="AT87" s="517">
        <f t="shared" si="32"/>
        <v>0.76</v>
      </c>
      <c r="AU87" s="501">
        <f t="shared" si="33"/>
        <v>76</v>
      </c>
      <c r="AV87" s="525" t="e">
        <f>PERCENTILE(analyses!$F$11:$F$375,$AT87)</f>
        <v>#NUM!</v>
      </c>
      <c r="AW87" s="7" t="e">
        <f>PERCENTILE(analyses!$I$11:$I$375,$AT87)</f>
        <v>#NUM!</v>
      </c>
      <c r="AX87" s="7" t="e">
        <f>PERCENTILE(analyses!$J$11:$J$375,$AT87)</f>
        <v>#NUM!</v>
      </c>
      <c r="AY87" s="523" t="str">
        <f>_xlfn.IFNA(IF(données_step[[#This Row],[E_DCO]]&lt;=0,NA(),charge_entree[[#This Row],[ch_E_DCO]]/constanten!$B$8*1000),"")</f>
        <v/>
      </c>
      <c r="AZ87" s="523" t="str">
        <f>_xlfn.IFNA(IF(données_step[[#This Row],[E_NTOT]]&lt;=0,NA(),charge_entree[[#This Row],[ch_E_NTOT]]/constanten!$B$10*1000),"")</f>
        <v/>
      </c>
      <c r="BA87" s="523" t="str">
        <f>_xlfn.IFNA(IF(données_step[[#This Row],[E_NH4]]&lt;=0,NA(),charge_entree[[#This Row],[ch_E_NH4]]/constanten!$B$12*1000),"")</f>
        <v/>
      </c>
      <c r="BB87" s="523" t="str">
        <f>_xlfn.IFNA(IF(données_step[[#This Row],[E_COT]]&lt;=0,NA(),charge_entree[[#This Row],[ch_E_COT]]/constanten!$B$9*1000),"")</f>
        <v/>
      </c>
      <c r="BC87" s="523" t="str">
        <f>IFERROR(_xlfn.IFNA(IF(données_step[[#This Row],[E_PTOT]]&lt;=0,NA(),charge_entree[[#This Row],[ch_E_PTOT]]/constanten!$B$15*1000),""),"")</f>
        <v/>
      </c>
      <c r="BD87" s="535" t="e">
        <f>calculs!E87 * (1-0.4) / (données_step[[#This Row],[X_BA_VOL]]*données_step[[#This Row],[X_BACONC]])</f>
        <v>#VALUE!</v>
      </c>
      <c r="BE87" s="522" t="e">
        <f>(données_step[[#This Row],[X_BA_VOL]]*données_step[[#This Row],[X_BACONC]])/((données_step[[#This Row],[D_QTRAI2]]*données_step[[#This Row],[S_MES]]/1000)+(données_step[[#This Row],[X_BX_Q]]*données_step[[#This Row],[X_BXCONC]]))</f>
        <v>#VALUE!</v>
      </c>
      <c r="BF87" s="890" t="str">
        <f>IFERROR(données_step[[#This Row],[D_QTRAI]]/AY87*1000,"")</f>
        <v/>
      </c>
      <c r="BG87" s="535" t="str">
        <f>IFERROR(1-données_step[[#This Row],[S_DBO5]]/données_step[[#This Row],[E_DBO5]],"")</f>
        <v/>
      </c>
      <c r="BH87" s="536" t="str">
        <f>IFERROR(1-données_step[[#This Row],[S_DCO]]/données_step[[#This Row],[E_DCO]],"")</f>
        <v/>
      </c>
      <c r="BI87" s="535" t="str">
        <f>IFERROR(1-données_step[[#This Row],[S_COD]]/données_step[[#This Row],[E_COT]],"")</f>
        <v/>
      </c>
      <c r="BJ87" s="535" t="str">
        <f>IFERROR(1-données_step[[#This Row],[S_NH4]]/données_step[[#This Row],[E_NTOT]],"")</f>
        <v/>
      </c>
      <c r="BK87" s="535" t="str">
        <f>IFERROR(1-données_step[[#This Row],[S_PTOT]]/données_step[[#This Row],[E_PTOT]],"")</f>
        <v/>
      </c>
      <c r="BL87" s="521" t="str">
        <f>IFERROR(IF(données_step[[#This Row],[E_DCO]]/données_step[[#This Row],[E_DBO5]]=0,NA(),données_step[[#This Row],[E_DCO]]/données_step[[#This Row],[E_DBO5]]),"")</f>
        <v/>
      </c>
      <c r="BM87" s="521" t="str">
        <f>IFERROR(IF(données_step[[#This Row],[E_NH4]]/données_step[[#This Row],[E_NTOT]]=0,NA(),données_step[[#This Row],[E_NH4]]/données_step[[#This Row],[E_NTOT]]),"")</f>
        <v/>
      </c>
      <c r="BN87" s="521" t="str">
        <f>IFERROR(IF(données_step[[#This Row],[E_NTOT]]/données_step[[#This Row],[E_COT]]=0,NA(),données_step[[#This Row],[E_NTOT]]/données_step[[#This Row],[E_COT]]),"")</f>
        <v/>
      </c>
      <c r="BO87" s="521" t="str">
        <f>IFERROR(IF(données_step[[#This Row],[E_PTOT]]/données_step[[#This Row],[E_COT]]=0,NA(),données_step[[#This Row],[E_PTOT]]/données_step[[#This Row],[E_COT]]),"")</f>
        <v/>
      </c>
      <c r="BP87" s="521" t="e">
        <f>IF(données_step[[#This Row],[E_DCO]]/données_step[[#This Row],[E_COT]]=0,NA(),données_step[[#This Row],[E_DCO]]/données_step[[#This Row],[E_COT]])</f>
        <v>#DIV/0!</v>
      </c>
      <c r="BQ87" s="521" t="e">
        <f>IF(données_step[[#This Row],[E_NTOT]]/données_step[[#This Row],[E_DCO]]=0,NA(),données_step[[#This Row],[E_NTOT]]/données_step[[#This Row],[E_DCO]])</f>
        <v>#DIV/0!</v>
      </c>
      <c r="BR87" s="521" t="e">
        <f>IF(données_step[[#This Row],[E_PTOT]]/données_step[[#This Row],[E_DCO]]=0,NA(),données_step[[#This Row],[E_PTOT]]/données_step[[#This Row],[E_DCO]])</f>
        <v>#DIV/0!</v>
      </c>
      <c r="BS87" s="747" t="e">
        <f ca="1">test_NH4_temp(données_step[[#This Row],[S_NH4]],données_step[[#This Row],[Temp_eaux]])</f>
        <v>#NAME?</v>
      </c>
    </row>
    <row r="88" spans="1:71" x14ac:dyDescent="0.2">
      <c r="A88" s="222">
        <f>données_step[[#This Row],[Datum]]</f>
        <v>44639</v>
      </c>
      <c r="B88" s="223"/>
      <c r="C88" s="224">
        <f t="shared" si="17"/>
        <v>7</v>
      </c>
      <c r="D88" s="523" t="str">
        <f>IF(OR(données_step[[#This Row],[E_DBO5]]&lt;=0,données_step[[#This Row],[E_DBO5]]=""),"",données_step[[#This Row],[D_QTRAI]]*données_step[[#This Row],[E_DBO5]]/1000)</f>
        <v/>
      </c>
      <c r="E88" s="523" t="str">
        <f>IF(OR(données_step[[#This Row],[E_DCO]]&lt;=0,données_step[[#This Row],[E_DCO]]=""),"",données_step[[#This Row],[D_QTRAI]]*données_step[[#This Row],[E_DCO]]/1000)</f>
        <v/>
      </c>
      <c r="F88" s="523" t="str">
        <f>IF(OR(données_step[[#This Row],[E_COT]]&lt;=0,données_step[[#This Row],[E_COT]]=""),"",données_step[[#This Row],[D_QTRAI]]*données_step[[#This Row],[E_COT]]/1000)</f>
        <v/>
      </c>
      <c r="G88" s="523" t="str">
        <f>IF(OR(données_step[[#This Row],[E_NH4]]&lt;=0,données_step[[#This Row],[E_NH4]]=""),"",données_step[[#This Row],[D_QTRAI]]*données_step[[#This Row],[E_NH4]]/1000)</f>
        <v/>
      </c>
      <c r="H88" s="523" t="str">
        <f>IF(OR(données_step[[#This Row],[E_NTOT]]&lt;=0,données_step[[#This Row],[E_NTOT]]=""),"",données_step[[#This Row],[D_QTRAI]]*données_step[[#This Row],[E_NTOT]]/1000)</f>
        <v/>
      </c>
      <c r="I88" s="523" t="str">
        <f>IF(OR(données_step[[#This Row],[E_NTOT]]&lt;=0,données_step[[#This Row],[E_NTOT]]=""),"",données_step[[#This Row],[D_QTRAI]]*données_step[[#This Row],[E_PTOT]]/1000)</f>
        <v/>
      </c>
      <c r="J88" s="523" t="str">
        <f>IF(OR(données_step[[#This Row],[S_DBO5]]&lt;=0,données_step[[#This Row],[S_DBO5]]=""),"",données_step[[#This Row],[D_QTRAI]]*données_step[[#This Row],[S_DBO5]]/1000)</f>
        <v/>
      </c>
      <c r="K88" s="523" t="str">
        <f>IF(OR(données_step[[#This Row],[S_DCO]]&lt;=0,données_step[[#This Row],[S_DCO]]=""),"",données_step[[#This Row],[D_QTRAI]]*données_step[[#This Row],[S_DCO]]/1000)</f>
        <v/>
      </c>
      <c r="L88" s="523" t="str">
        <f>IF(OR(données_step[[#This Row],[S_COD]]&lt;=0,données_step[[#This Row],[S_COD]]=""),"",données_step[[#This Row],[D_QTRAI]]*données_step[[#This Row],[S_COD]]/1000)</f>
        <v/>
      </c>
      <c r="M88" s="523" t="str">
        <f>IF(OR(données_step[[#This Row],[S_NH4]]&lt;=0,données_step[[#This Row],[S_NH4]]=""),"",données_step[[#This Row],[D_QTRAI]]*données_step[[#This Row],[S_NH4]]/1000)</f>
        <v/>
      </c>
      <c r="N88" s="523" t="str">
        <f>IF(OR(données_step[[#This Row],[S_NO2]]&lt;=0,données_step[[#This Row],[S_NO2]]=""),"",données_step[[#This Row],[D_QTRAI]]*données_step[[#This Row],[S_NO2]]/1000)</f>
        <v/>
      </c>
      <c r="O88" s="523" t="str">
        <f>IF(OR(données_step[[#This Row],[S_NO3]]&lt;=0,données_step[[#This Row],[S_NO3]]=""),"",données_step[[#This Row],[D_QTRAI]]*données_step[[#This Row],[S_NO3]]/1000)</f>
        <v/>
      </c>
      <c r="P88" s="523" t="str">
        <f>IF(OR(données_step[[#This Row],[S_PTOT]]&lt;=0,données_step[[#This Row],[S_PTOT]]=""),"",données_step[[#This Row],[D_QTRAI]]*données_step[[#This Row],[S_PTOT]]/1000)</f>
        <v/>
      </c>
      <c r="Q88" s="523" t="str">
        <f>IF(OR(données_step[[#This Row],[S_MES]]&lt;=0,données_step[[#This Row],[S_MES]]=""),"",données_step[[#This Row],[D_QTRAI]]*données_step[[#This Row],[S_MES]]/1000)</f>
        <v/>
      </c>
      <c r="R88" s="523">
        <f>MAX(données_step[[#This Row],[D_QTRAI]],données_step[[#This Row],[D_QTRAI2]])</f>
        <v>0</v>
      </c>
      <c r="S88" s="523" t="str">
        <f>IF(AND($R88&gt;0,données_step[[#This Row],[E_DCO]]&gt;0),données_step[[#This Row],[E_DCO]],"")</f>
        <v/>
      </c>
      <c r="T88" s="523" t="str">
        <f>IF(S88="","",(1-données_step[[#This Row],[E_DCO]]/$V$7)*100)</f>
        <v/>
      </c>
      <c r="U88" s="523" t="str">
        <f t="shared" si="18"/>
        <v/>
      </c>
      <c r="V88" s="523" t="str">
        <f t="shared" si="19"/>
        <v/>
      </c>
      <c r="W88" s="523" t="str">
        <f t="shared" si="20"/>
        <v/>
      </c>
      <c r="X88" s="523" t="e">
        <f>IF(((100-100/$V$7*données_step[[#This Row],[E_DCO]])/100*QTS)&lt;0,NA(),IF(OR(U88&lt;0,U88=""),NA(),((100-100/$V$7*données_step[[#This Row],[E_DCO]])/100*QTS)))</f>
        <v>#NUM!</v>
      </c>
      <c r="Y88" s="523" t="str">
        <f>IF(AND($R88&gt;0,données_step[[#This Row],[E_COT]]&gt;0),données_step[[#This Row],[E_COT]],"")</f>
        <v/>
      </c>
      <c r="Z88" s="523" t="str">
        <f>IF(Y88="","",(1-données_step[[#This Row],[E_COT]]/$AB$7)*100)</f>
        <v/>
      </c>
      <c r="AA88" s="523" t="str">
        <f t="shared" si="21"/>
        <v/>
      </c>
      <c r="AB88" s="523" t="str">
        <f t="shared" si="22"/>
        <v/>
      </c>
      <c r="AC88" s="523" t="str">
        <f t="shared" si="23"/>
        <v/>
      </c>
      <c r="AD88" s="523" t="e">
        <f>IF(((100-100/$AB$7*données_step[[#This Row],[E_COT]])/100*QTS)&lt;0,NA(),IF(OR(AA88&lt;0,AA88=""),NA(),((100-100/$AB$7*données_step[[#This Row],[E_COT]])/100*QTS)))</f>
        <v>#NUM!</v>
      </c>
      <c r="AE88" s="523" t="str">
        <f>IF(AND($R88&gt;0,données_step[[#This Row],[E_NH4]]&gt;0),données_step[[#This Row],[E_NH4]],"")</f>
        <v/>
      </c>
      <c r="AF88" s="523" t="str">
        <f>IF(AE88="","",(1-données_step[[#This Row],[E_NH4]]/$AH$7)*100)</f>
        <v/>
      </c>
      <c r="AG88" s="523" t="str">
        <f t="shared" si="24"/>
        <v/>
      </c>
      <c r="AH88" s="523" t="str">
        <f t="shared" si="25"/>
        <v/>
      </c>
      <c r="AI88" s="523" t="str">
        <f t="shared" si="26"/>
        <v/>
      </c>
      <c r="AJ88" s="523" t="e">
        <f>IF(((100-100/$AH$7*données_step[[#This Row],[E_NH4]])/100*QTS)&lt;0,NA(),IF(OR(AG88&lt;0,AG88=""),NA(),((100-100/$AH$7*données_step[[#This Row],[E_NH4]])/100*QTS)))</f>
        <v>#NUM!</v>
      </c>
      <c r="AK88" s="523" t="str">
        <f>IF(AND($R88&gt;0,données_step[[#This Row],[E_PTOT]]&gt;0),données_step[[#This Row],[E_PTOT]],"")</f>
        <v/>
      </c>
      <c r="AL88" s="523" t="str">
        <f>IF(AK88="","",(1-données_step[[#This Row],[E_PTOT]]/$AN$7)*100)</f>
        <v/>
      </c>
      <c r="AM88" s="523" t="str">
        <f t="shared" si="27"/>
        <v/>
      </c>
      <c r="AN88" s="523" t="str">
        <f t="shared" si="28"/>
        <v/>
      </c>
      <c r="AO88" s="523" t="str">
        <f t="shared" si="29"/>
        <v/>
      </c>
      <c r="AP88" s="523" t="e">
        <f>IF(((100-100/$AN$7*données_step[[#This Row],[E_PTOT]])/100*QTS)&lt;0,NA(),IF(OR(AM88&lt;0,AM88=""),NA(),((100-100/$AN$7*données_step[[#This Row],[E_PTOT]])/100*QTS)))</f>
        <v>#NUM!</v>
      </c>
      <c r="AQ88" s="524" t="e">
        <f t="shared" si="30"/>
        <v>#NUM!</v>
      </c>
      <c r="AR88" s="524" t="str">
        <f t="shared" si="31"/>
        <v/>
      </c>
      <c r="AT88" s="517">
        <f t="shared" si="32"/>
        <v>0.77</v>
      </c>
      <c r="AU88" s="501">
        <f t="shared" si="33"/>
        <v>77</v>
      </c>
      <c r="AV88" s="525" t="e">
        <f>PERCENTILE(analyses!$F$11:$F$375,$AT88)</f>
        <v>#NUM!</v>
      </c>
      <c r="AW88" s="7" t="e">
        <f>PERCENTILE(analyses!$I$11:$I$375,$AT88)</f>
        <v>#NUM!</v>
      </c>
      <c r="AX88" s="7" t="e">
        <f>PERCENTILE(analyses!$J$11:$J$375,$AT88)</f>
        <v>#NUM!</v>
      </c>
      <c r="AY88" s="523" t="str">
        <f>_xlfn.IFNA(IF(données_step[[#This Row],[E_DCO]]&lt;=0,NA(),charge_entree[[#This Row],[ch_E_DCO]]/constanten!$B$8*1000),"")</f>
        <v/>
      </c>
      <c r="AZ88" s="523" t="str">
        <f>_xlfn.IFNA(IF(données_step[[#This Row],[E_NTOT]]&lt;=0,NA(),charge_entree[[#This Row],[ch_E_NTOT]]/constanten!$B$10*1000),"")</f>
        <v/>
      </c>
      <c r="BA88" s="523" t="str">
        <f>_xlfn.IFNA(IF(données_step[[#This Row],[E_NH4]]&lt;=0,NA(),charge_entree[[#This Row],[ch_E_NH4]]/constanten!$B$12*1000),"")</f>
        <v/>
      </c>
      <c r="BB88" s="523" t="str">
        <f>_xlfn.IFNA(IF(données_step[[#This Row],[E_COT]]&lt;=0,NA(),charge_entree[[#This Row],[ch_E_COT]]/constanten!$B$9*1000),"")</f>
        <v/>
      </c>
      <c r="BC88" s="523" t="str">
        <f>IFERROR(_xlfn.IFNA(IF(données_step[[#This Row],[E_PTOT]]&lt;=0,NA(),charge_entree[[#This Row],[ch_E_PTOT]]/constanten!$B$15*1000),""),"")</f>
        <v/>
      </c>
      <c r="BD88" s="535" t="e">
        <f>calculs!E88 * (1-0.4) / (données_step[[#This Row],[X_BA_VOL]]*données_step[[#This Row],[X_BACONC]])</f>
        <v>#VALUE!</v>
      </c>
      <c r="BE88" s="522" t="e">
        <f>(données_step[[#This Row],[X_BA_VOL]]*données_step[[#This Row],[X_BACONC]])/((données_step[[#This Row],[D_QTRAI2]]*données_step[[#This Row],[S_MES]]/1000)+(données_step[[#This Row],[X_BX_Q]]*données_step[[#This Row],[X_BXCONC]]))</f>
        <v>#VALUE!</v>
      </c>
      <c r="BF88" s="890" t="str">
        <f>IFERROR(données_step[[#This Row],[D_QTRAI]]/AY88*1000,"")</f>
        <v/>
      </c>
      <c r="BG88" s="535" t="str">
        <f>IFERROR(1-données_step[[#This Row],[S_DBO5]]/données_step[[#This Row],[E_DBO5]],"")</f>
        <v/>
      </c>
      <c r="BH88" s="536" t="str">
        <f>IFERROR(1-données_step[[#This Row],[S_DCO]]/données_step[[#This Row],[E_DCO]],"")</f>
        <v/>
      </c>
      <c r="BI88" s="535" t="str">
        <f>IFERROR(1-données_step[[#This Row],[S_COD]]/données_step[[#This Row],[E_COT]],"")</f>
        <v/>
      </c>
      <c r="BJ88" s="535" t="str">
        <f>IFERROR(1-données_step[[#This Row],[S_NH4]]/données_step[[#This Row],[E_NTOT]],"")</f>
        <v/>
      </c>
      <c r="BK88" s="535" t="str">
        <f>IFERROR(1-données_step[[#This Row],[S_PTOT]]/données_step[[#This Row],[E_PTOT]],"")</f>
        <v/>
      </c>
      <c r="BL88" s="521" t="str">
        <f>IFERROR(IF(données_step[[#This Row],[E_DCO]]/données_step[[#This Row],[E_DBO5]]=0,NA(),données_step[[#This Row],[E_DCO]]/données_step[[#This Row],[E_DBO5]]),"")</f>
        <v/>
      </c>
      <c r="BM88" s="521" t="str">
        <f>IFERROR(IF(données_step[[#This Row],[E_NH4]]/données_step[[#This Row],[E_NTOT]]=0,NA(),données_step[[#This Row],[E_NH4]]/données_step[[#This Row],[E_NTOT]]),"")</f>
        <v/>
      </c>
      <c r="BN88" s="521" t="str">
        <f>IFERROR(IF(données_step[[#This Row],[E_NTOT]]/données_step[[#This Row],[E_COT]]=0,NA(),données_step[[#This Row],[E_NTOT]]/données_step[[#This Row],[E_COT]]),"")</f>
        <v/>
      </c>
      <c r="BO88" s="521" t="str">
        <f>IFERROR(IF(données_step[[#This Row],[E_PTOT]]/données_step[[#This Row],[E_COT]]=0,NA(),données_step[[#This Row],[E_PTOT]]/données_step[[#This Row],[E_COT]]),"")</f>
        <v/>
      </c>
      <c r="BP88" s="521" t="e">
        <f>IF(données_step[[#This Row],[E_DCO]]/données_step[[#This Row],[E_COT]]=0,NA(),données_step[[#This Row],[E_DCO]]/données_step[[#This Row],[E_COT]])</f>
        <v>#DIV/0!</v>
      </c>
      <c r="BQ88" s="521" t="e">
        <f>IF(données_step[[#This Row],[E_NTOT]]/données_step[[#This Row],[E_DCO]]=0,NA(),données_step[[#This Row],[E_NTOT]]/données_step[[#This Row],[E_DCO]])</f>
        <v>#DIV/0!</v>
      </c>
      <c r="BR88" s="521" t="e">
        <f>IF(données_step[[#This Row],[E_PTOT]]/données_step[[#This Row],[E_DCO]]=0,NA(),données_step[[#This Row],[E_PTOT]]/données_step[[#This Row],[E_DCO]])</f>
        <v>#DIV/0!</v>
      </c>
      <c r="BS88" s="747" t="e">
        <f ca="1">test_NH4_temp(données_step[[#This Row],[S_NH4]],données_step[[#This Row],[Temp_eaux]])</f>
        <v>#NAME?</v>
      </c>
    </row>
    <row r="89" spans="1:71" x14ac:dyDescent="0.2">
      <c r="A89" s="222">
        <f>données_step[[#This Row],[Datum]]</f>
        <v>44640</v>
      </c>
      <c r="B89" s="223"/>
      <c r="C89" s="224">
        <f t="shared" si="17"/>
        <v>1</v>
      </c>
      <c r="D89" s="523" t="str">
        <f>IF(OR(données_step[[#This Row],[E_DBO5]]&lt;=0,données_step[[#This Row],[E_DBO5]]=""),"",données_step[[#This Row],[D_QTRAI]]*données_step[[#This Row],[E_DBO5]]/1000)</f>
        <v/>
      </c>
      <c r="E89" s="523" t="str">
        <f>IF(OR(données_step[[#This Row],[E_DCO]]&lt;=0,données_step[[#This Row],[E_DCO]]=""),"",données_step[[#This Row],[D_QTRAI]]*données_step[[#This Row],[E_DCO]]/1000)</f>
        <v/>
      </c>
      <c r="F89" s="523" t="str">
        <f>IF(OR(données_step[[#This Row],[E_COT]]&lt;=0,données_step[[#This Row],[E_COT]]=""),"",données_step[[#This Row],[D_QTRAI]]*données_step[[#This Row],[E_COT]]/1000)</f>
        <v/>
      </c>
      <c r="G89" s="523" t="str">
        <f>IF(OR(données_step[[#This Row],[E_NH4]]&lt;=0,données_step[[#This Row],[E_NH4]]=""),"",données_step[[#This Row],[D_QTRAI]]*données_step[[#This Row],[E_NH4]]/1000)</f>
        <v/>
      </c>
      <c r="H89" s="523" t="str">
        <f>IF(OR(données_step[[#This Row],[E_NTOT]]&lt;=0,données_step[[#This Row],[E_NTOT]]=""),"",données_step[[#This Row],[D_QTRAI]]*données_step[[#This Row],[E_NTOT]]/1000)</f>
        <v/>
      </c>
      <c r="I89" s="523" t="str">
        <f>IF(OR(données_step[[#This Row],[E_NTOT]]&lt;=0,données_step[[#This Row],[E_NTOT]]=""),"",données_step[[#This Row],[D_QTRAI]]*données_step[[#This Row],[E_PTOT]]/1000)</f>
        <v/>
      </c>
      <c r="J89" s="523" t="str">
        <f>IF(OR(données_step[[#This Row],[S_DBO5]]&lt;=0,données_step[[#This Row],[S_DBO5]]=""),"",données_step[[#This Row],[D_QTRAI]]*données_step[[#This Row],[S_DBO5]]/1000)</f>
        <v/>
      </c>
      <c r="K89" s="523" t="str">
        <f>IF(OR(données_step[[#This Row],[S_DCO]]&lt;=0,données_step[[#This Row],[S_DCO]]=""),"",données_step[[#This Row],[D_QTRAI]]*données_step[[#This Row],[S_DCO]]/1000)</f>
        <v/>
      </c>
      <c r="L89" s="523" t="str">
        <f>IF(OR(données_step[[#This Row],[S_COD]]&lt;=0,données_step[[#This Row],[S_COD]]=""),"",données_step[[#This Row],[D_QTRAI]]*données_step[[#This Row],[S_COD]]/1000)</f>
        <v/>
      </c>
      <c r="M89" s="523" t="str">
        <f>IF(OR(données_step[[#This Row],[S_NH4]]&lt;=0,données_step[[#This Row],[S_NH4]]=""),"",données_step[[#This Row],[D_QTRAI]]*données_step[[#This Row],[S_NH4]]/1000)</f>
        <v/>
      </c>
      <c r="N89" s="523" t="str">
        <f>IF(OR(données_step[[#This Row],[S_NO2]]&lt;=0,données_step[[#This Row],[S_NO2]]=""),"",données_step[[#This Row],[D_QTRAI]]*données_step[[#This Row],[S_NO2]]/1000)</f>
        <v/>
      </c>
      <c r="O89" s="523" t="str">
        <f>IF(OR(données_step[[#This Row],[S_NO3]]&lt;=0,données_step[[#This Row],[S_NO3]]=""),"",données_step[[#This Row],[D_QTRAI]]*données_step[[#This Row],[S_NO3]]/1000)</f>
        <v/>
      </c>
      <c r="P89" s="523" t="str">
        <f>IF(OR(données_step[[#This Row],[S_PTOT]]&lt;=0,données_step[[#This Row],[S_PTOT]]=""),"",données_step[[#This Row],[D_QTRAI]]*données_step[[#This Row],[S_PTOT]]/1000)</f>
        <v/>
      </c>
      <c r="Q89" s="523" t="str">
        <f>IF(OR(données_step[[#This Row],[S_MES]]&lt;=0,données_step[[#This Row],[S_MES]]=""),"",données_step[[#This Row],[D_QTRAI]]*données_step[[#This Row],[S_MES]]/1000)</f>
        <v/>
      </c>
      <c r="R89" s="523">
        <f>MAX(données_step[[#This Row],[D_QTRAI]],données_step[[#This Row],[D_QTRAI2]])</f>
        <v>0</v>
      </c>
      <c r="S89" s="523" t="str">
        <f>IF(AND($R89&gt;0,données_step[[#This Row],[E_DCO]]&gt;0),données_step[[#This Row],[E_DCO]],"")</f>
        <v/>
      </c>
      <c r="T89" s="523" t="str">
        <f>IF(S89="","",(1-données_step[[#This Row],[E_DCO]]/$V$7)*100)</f>
        <v/>
      </c>
      <c r="U89" s="523" t="str">
        <f t="shared" si="18"/>
        <v/>
      </c>
      <c r="V89" s="523" t="str">
        <f t="shared" si="19"/>
        <v/>
      </c>
      <c r="W89" s="523" t="str">
        <f t="shared" si="20"/>
        <v/>
      </c>
      <c r="X89" s="523" t="e">
        <f>IF(((100-100/$V$7*données_step[[#This Row],[E_DCO]])/100*QTS)&lt;0,NA(),IF(OR(U89&lt;0,U89=""),NA(),((100-100/$V$7*données_step[[#This Row],[E_DCO]])/100*QTS)))</f>
        <v>#NUM!</v>
      </c>
      <c r="Y89" s="523" t="str">
        <f>IF(AND($R89&gt;0,données_step[[#This Row],[E_COT]]&gt;0),données_step[[#This Row],[E_COT]],"")</f>
        <v/>
      </c>
      <c r="Z89" s="523" t="str">
        <f>IF(Y89="","",(1-données_step[[#This Row],[E_COT]]/$AB$7)*100)</f>
        <v/>
      </c>
      <c r="AA89" s="523" t="str">
        <f t="shared" si="21"/>
        <v/>
      </c>
      <c r="AB89" s="523" t="str">
        <f t="shared" si="22"/>
        <v/>
      </c>
      <c r="AC89" s="523" t="str">
        <f t="shared" si="23"/>
        <v/>
      </c>
      <c r="AD89" s="523" t="e">
        <f>IF(((100-100/$AB$7*données_step[[#This Row],[E_COT]])/100*QTS)&lt;0,NA(),IF(OR(AA89&lt;0,AA89=""),NA(),((100-100/$AB$7*données_step[[#This Row],[E_COT]])/100*QTS)))</f>
        <v>#NUM!</v>
      </c>
      <c r="AE89" s="523" t="str">
        <f>IF(AND($R89&gt;0,données_step[[#This Row],[E_NH4]]&gt;0),données_step[[#This Row],[E_NH4]],"")</f>
        <v/>
      </c>
      <c r="AF89" s="523" t="str">
        <f>IF(AE89="","",(1-données_step[[#This Row],[E_NH4]]/$AH$7)*100)</f>
        <v/>
      </c>
      <c r="AG89" s="523" t="str">
        <f t="shared" si="24"/>
        <v/>
      </c>
      <c r="AH89" s="523" t="str">
        <f t="shared" si="25"/>
        <v/>
      </c>
      <c r="AI89" s="523" t="str">
        <f t="shared" si="26"/>
        <v/>
      </c>
      <c r="AJ89" s="523" t="e">
        <f>IF(((100-100/$AH$7*données_step[[#This Row],[E_NH4]])/100*QTS)&lt;0,NA(),IF(OR(AG89&lt;0,AG89=""),NA(),((100-100/$AH$7*données_step[[#This Row],[E_NH4]])/100*QTS)))</f>
        <v>#NUM!</v>
      </c>
      <c r="AK89" s="523" t="str">
        <f>IF(AND($R89&gt;0,données_step[[#This Row],[E_PTOT]]&gt;0),données_step[[#This Row],[E_PTOT]],"")</f>
        <v/>
      </c>
      <c r="AL89" s="523" t="str">
        <f>IF(AK89="","",(1-données_step[[#This Row],[E_PTOT]]/$AN$7)*100)</f>
        <v/>
      </c>
      <c r="AM89" s="523" t="str">
        <f t="shared" si="27"/>
        <v/>
      </c>
      <c r="AN89" s="523" t="str">
        <f t="shared" si="28"/>
        <v/>
      </c>
      <c r="AO89" s="523" t="str">
        <f t="shared" si="29"/>
        <v/>
      </c>
      <c r="AP89" s="523" t="e">
        <f>IF(((100-100/$AN$7*données_step[[#This Row],[E_PTOT]])/100*QTS)&lt;0,NA(),IF(OR(AM89&lt;0,AM89=""),NA(),((100-100/$AN$7*données_step[[#This Row],[E_PTOT]])/100*QTS)))</f>
        <v>#NUM!</v>
      </c>
      <c r="AQ89" s="524" t="e">
        <f t="shared" si="30"/>
        <v>#NUM!</v>
      </c>
      <c r="AR89" s="524" t="str">
        <f t="shared" si="31"/>
        <v/>
      </c>
      <c r="AT89" s="517">
        <f t="shared" si="32"/>
        <v>0.78</v>
      </c>
      <c r="AU89" s="501">
        <f t="shared" si="33"/>
        <v>78</v>
      </c>
      <c r="AV89" s="525" t="e">
        <f>PERCENTILE(analyses!$F$11:$F$375,$AT89)</f>
        <v>#NUM!</v>
      </c>
      <c r="AW89" s="7" t="e">
        <f>PERCENTILE(analyses!$I$11:$I$375,$AT89)</f>
        <v>#NUM!</v>
      </c>
      <c r="AX89" s="7" t="e">
        <f>PERCENTILE(analyses!$J$11:$J$375,$AT89)</f>
        <v>#NUM!</v>
      </c>
      <c r="AY89" s="523" t="str">
        <f>_xlfn.IFNA(IF(données_step[[#This Row],[E_DCO]]&lt;=0,NA(),charge_entree[[#This Row],[ch_E_DCO]]/constanten!$B$8*1000),"")</f>
        <v/>
      </c>
      <c r="AZ89" s="523" t="str">
        <f>_xlfn.IFNA(IF(données_step[[#This Row],[E_NTOT]]&lt;=0,NA(),charge_entree[[#This Row],[ch_E_NTOT]]/constanten!$B$10*1000),"")</f>
        <v/>
      </c>
      <c r="BA89" s="523" t="str">
        <f>_xlfn.IFNA(IF(données_step[[#This Row],[E_NH4]]&lt;=0,NA(),charge_entree[[#This Row],[ch_E_NH4]]/constanten!$B$12*1000),"")</f>
        <v/>
      </c>
      <c r="BB89" s="523" t="str">
        <f>_xlfn.IFNA(IF(données_step[[#This Row],[E_COT]]&lt;=0,NA(),charge_entree[[#This Row],[ch_E_COT]]/constanten!$B$9*1000),"")</f>
        <v/>
      </c>
      <c r="BC89" s="523" t="str">
        <f>IFERROR(_xlfn.IFNA(IF(données_step[[#This Row],[E_PTOT]]&lt;=0,NA(),charge_entree[[#This Row],[ch_E_PTOT]]/constanten!$B$15*1000),""),"")</f>
        <v/>
      </c>
      <c r="BD89" s="535" t="e">
        <f>calculs!E89 * (1-0.4) / (données_step[[#This Row],[X_BA_VOL]]*données_step[[#This Row],[X_BACONC]])</f>
        <v>#VALUE!</v>
      </c>
      <c r="BE89" s="522" t="e">
        <f>(données_step[[#This Row],[X_BA_VOL]]*données_step[[#This Row],[X_BACONC]])/((données_step[[#This Row],[D_QTRAI2]]*données_step[[#This Row],[S_MES]]/1000)+(données_step[[#This Row],[X_BX_Q]]*données_step[[#This Row],[X_BXCONC]]))</f>
        <v>#VALUE!</v>
      </c>
      <c r="BF89" s="890" t="str">
        <f>IFERROR(données_step[[#This Row],[D_QTRAI]]/AY89*1000,"")</f>
        <v/>
      </c>
      <c r="BG89" s="535" t="str">
        <f>IFERROR(1-données_step[[#This Row],[S_DBO5]]/données_step[[#This Row],[E_DBO5]],"")</f>
        <v/>
      </c>
      <c r="BH89" s="536" t="str">
        <f>IFERROR(1-données_step[[#This Row],[S_DCO]]/données_step[[#This Row],[E_DCO]],"")</f>
        <v/>
      </c>
      <c r="BI89" s="535" t="str">
        <f>IFERROR(1-données_step[[#This Row],[S_COD]]/données_step[[#This Row],[E_COT]],"")</f>
        <v/>
      </c>
      <c r="BJ89" s="535" t="str">
        <f>IFERROR(1-données_step[[#This Row],[S_NH4]]/données_step[[#This Row],[E_NTOT]],"")</f>
        <v/>
      </c>
      <c r="BK89" s="535" t="str">
        <f>IFERROR(1-données_step[[#This Row],[S_PTOT]]/données_step[[#This Row],[E_PTOT]],"")</f>
        <v/>
      </c>
      <c r="BL89" s="521" t="str">
        <f>IFERROR(IF(données_step[[#This Row],[E_DCO]]/données_step[[#This Row],[E_DBO5]]=0,NA(),données_step[[#This Row],[E_DCO]]/données_step[[#This Row],[E_DBO5]]),"")</f>
        <v/>
      </c>
      <c r="BM89" s="521" t="str">
        <f>IFERROR(IF(données_step[[#This Row],[E_NH4]]/données_step[[#This Row],[E_NTOT]]=0,NA(),données_step[[#This Row],[E_NH4]]/données_step[[#This Row],[E_NTOT]]),"")</f>
        <v/>
      </c>
      <c r="BN89" s="521" t="str">
        <f>IFERROR(IF(données_step[[#This Row],[E_NTOT]]/données_step[[#This Row],[E_COT]]=0,NA(),données_step[[#This Row],[E_NTOT]]/données_step[[#This Row],[E_COT]]),"")</f>
        <v/>
      </c>
      <c r="BO89" s="521" t="str">
        <f>IFERROR(IF(données_step[[#This Row],[E_PTOT]]/données_step[[#This Row],[E_COT]]=0,NA(),données_step[[#This Row],[E_PTOT]]/données_step[[#This Row],[E_COT]]),"")</f>
        <v/>
      </c>
      <c r="BP89" s="521" t="e">
        <f>IF(données_step[[#This Row],[E_DCO]]/données_step[[#This Row],[E_COT]]=0,NA(),données_step[[#This Row],[E_DCO]]/données_step[[#This Row],[E_COT]])</f>
        <v>#DIV/0!</v>
      </c>
      <c r="BQ89" s="521" t="e">
        <f>IF(données_step[[#This Row],[E_NTOT]]/données_step[[#This Row],[E_DCO]]=0,NA(),données_step[[#This Row],[E_NTOT]]/données_step[[#This Row],[E_DCO]])</f>
        <v>#DIV/0!</v>
      </c>
      <c r="BR89" s="521" t="e">
        <f>IF(données_step[[#This Row],[E_PTOT]]/données_step[[#This Row],[E_DCO]]=0,NA(),données_step[[#This Row],[E_PTOT]]/données_step[[#This Row],[E_DCO]])</f>
        <v>#DIV/0!</v>
      </c>
      <c r="BS89" s="747" t="e">
        <f ca="1">test_NH4_temp(données_step[[#This Row],[S_NH4]],données_step[[#This Row],[Temp_eaux]])</f>
        <v>#NAME?</v>
      </c>
    </row>
    <row r="90" spans="1:71" x14ac:dyDescent="0.2">
      <c r="A90" s="222">
        <f>données_step[[#This Row],[Datum]]</f>
        <v>44641</v>
      </c>
      <c r="B90" s="223"/>
      <c r="C90" s="224">
        <f t="shared" si="17"/>
        <v>2</v>
      </c>
      <c r="D90" s="523" t="str">
        <f>IF(OR(données_step[[#This Row],[E_DBO5]]&lt;=0,données_step[[#This Row],[E_DBO5]]=""),"",données_step[[#This Row],[D_QTRAI]]*données_step[[#This Row],[E_DBO5]]/1000)</f>
        <v/>
      </c>
      <c r="E90" s="523" t="str">
        <f>IF(OR(données_step[[#This Row],[E_DCO]]&lt;=0,données_step[[#This Row],[E_DCO]]=""),"",données_step[[#This Row],[D_QTRAI]]*données_step[[#This Row],[E_DCO]]/1000)</f>
        <v/>
      </c>
      <c r="F90" s="523" t="str">
        <f>IF(OR(données_step[[#This Row],[E_COT]]&lt;=0,données_step[[#This Row],[E_COT]]=""),"",données_step[[#This Row],[D_QTRAI]]*données_step[[#This Row],[E_COT]]/1000)</f>
        <v/>
      </c>
      <c r="G90" s="523" t="str">
        <f>IF(OR(données_step[[#This Row],[E_NH4]]&lt;=0,données_step[[#This Row],[E_NH4]]=""),"",données_step[[#This Row],[D_QTRAI]]*données_step[[#This Row],[E_NH4]]/1000)</f>
        <v/>
      </c>
      <c r="H90" s="523" t="str">
        <f>IF(OR(données_step[[#This Row],[E_NTOT]]&lt;=0,données_step[[#This Row],[E_NTOT]]=""),"",données_step[[#This Row],[D_QTRAI]]*données_step[[#This Row],[E_NTOT]]/1000)</f>
        <v/>
      </c>
      <c r="I90" s="523" t="str">
        <f>IF(OR(données_step[[#This Row],[E_NTOT]]&lt;=0,données_step[[#This Row],[E_NTOT]]=""),"",données_step[[#This Row],[D_QTRAI]]*données_step[[#This Row],[E_PTOT]]/1000)</f>
        <v/>
      </c>
      <c r="J90" s="523" t="str">
        <f>IF(OR(données_step[[#This Row],[S_DBO5]]&lt;=0,données_step[[#This Row],[S_DBO5]]=""),"",données_step[[#This Row],[D_QTRAI]]*données_step[[#This Row],[S_DBO5]]/1000)</f>
        <v/>
      </c>
      <c r="K90" s="523" t="str">
        <f>IF(OR(données_step[[#This Row],[S_DCO]]&lt;=0,données_step[[#This Row],[S_DCO]]=""),"",données_step[[#This Row],[D_QTRAI]]*données_step[[#This Row],[S_DCO]]/1000)</f>
        <v/>
      </c>
      <c r="L90" s="523" t="str">
        <f>IF(OR(données_step[[#This Row],[S_COD]]&lt;=0,données_step[[#This Row],[S_COD]]=""),"",données_step[[#This Row],[D_QTRAI]]*données_step[[#This Row],[S_COD]]/1000)</f>
        <v/>
      </c>
      <c r="M90" s="523" t="str">
        <f>IF(OR(données_step[[#This Row],[S_NH4]]&lt;=0,données_step[[#This Row],[S_NH4]]=""),"",données_step[[#This Row],[D_QTRAI]]*données_step[[#This Row],[S_NH4]]/1000)</f>
        <v/>
      </c>
      <c r="N90" s="523" t="str">
        <f>IF(OR(données_step[[#This Row],[S_NO2]]&lt;=0,données_step[[#This Row],[S_NO2]]=""),"",données_step[[#This Row],[D_QTRAI]]*données_step[[#This Row],[S_NO2]]/1000)</f>
        <v/>
      </c>
      <c r="O90" s="523" t="str">
        <f>IF(OR(données_step[[#This Row],[S_NO3]]&lt;=0,données_step[[#This Row],[S_NO3]]=""),"",données_step[[#This Row],[D_QTRAI]]*données_step[[#This Row],[S_NO3]]/1000)</f>
        <v/>
      </c>
      <c r="P90" s="523" t="str">
        <f>IF(OR(données_step[[#This Row],[S_PTOT]]&lt;=0,données_step[[#This Row],[S_PTOT]]=""),"",données_step[[#This Row],[D_QTRAI]]*données_step[[#This Row],[S_PTOT]]/1000)</f>
        <v/>
      </c>
      <c r="Q90" s="523" t="str">
        <f>IF(OR(données_step[[#This Row],[S_MES]]&lt;=0,données_step[[#This Row],[S_MES]]=""),"",données_step[[#This Row],[D_QTRAI]]*données_step[[#This Row],[S_MES]]/1000)</f>
        <v/>
      </c>
      <c r="R90" s="523">
        <f>MAX(données_step[[#This Row],[D_QTRAI]],données_step[[#This Row],[D_QTRAI2]])</f>
        <v>0</v>
      </c>
      <c r="S90" s="523" t="str">
        <f>IF(AND($R90&gt;0,données_step[[#This Row],[E_DCO]]&gt;0),données_step[[#This Row],[E_DCO]],"")</f>
        <v/>
      </c>
      <c r="T90" s="523" t="str">
        <f>IF(S90="","",(1-données_step[[#This Row],[E_DCO]]/$V$7)*100)</f>
        <v/>
      </c>
      <c r="U90" s="523" t="str">
        <f t="shared" si="18"/>
        <v/>
      </c>
      <c r="V90" s="523" t="str">
        <f t="shared" si="19"/>
        <v/>
      </c>
      <c r="W90" s="523" t="str">
        <f t="shared" si="20"/>
        <v/>
      </c>
      <c r="X90" s="523" t="e">
        <f>IF(((100-100/$V$7*données_step[[#This Row],[E_DCO]])/100*QTS)&lt;0,NA(),IF(OR(U90&lt;0,U90=""),NA(),((100-100/$V$7*données_step[[#This Row],[E_DCO]])/100*QTS)))</f>
        <v>#NUM!</v>
      </c>
      <c r="Y90" s="523" t="str">
        <f>IF(AND($R90&gt;0,données_step[[#This Row],[E_COT]]&gt;0),données_step[[#This Row],[E_COT]],"")</f>
        <v/>
      </c>
      <c r="Z90" s="523" t="str">
        <f>IF(Y90="","",(1-données_step[[#This Row],[E_COT]]/$AB$7)*100)</f>
        <v/>
      </c>
      <c r="AA90" s="523" t="str">
        <f t="shared" si="21"/>
        <v/>
      </c>
      <c r="AB90" s="523" t="str">
        <f t="shared" si="22"/>
        <v/>
      </c>
      <c r="AC90" s="523" t="str">
        <f t="shared" si="23"/>
        <v/>
      </c>
      <c r="AD90" s="523" t="e">
        <f>IF(((100-100/$AB$7*données_step[[#This Row],[E_COT]])/100*QTS)&lt;0,NA(),IF(OR(AA90&lt;0,AA90=""),NA(),((100-100/$AB$7*données_step[[#This Row],[E_COT]])/100*QTS)))</f>
        <v>#NUM!</v>
      </c>
      <c r="AE90" s="523" t="str">
        <f>IF(AND($R90&gt;0,données_step[[#This Row],[E_NH4]]&gt;0),données_step[[#This Row],[E_NH4]],"")</f>
        <v/>
      </c>
      <c r="AF90" s="523" t="str">
        <f>IF(AE90="","",(1-données_step[[#This Row],[E_NH4]]/$AH$7)*100)</f>
        <v/>
      </c>
      <c r="AG90" s="523" t="str">
        <f t="shared" si="24"/>
        <v/>
      </c>
      <c r="AH90" s="523" t="str">
        <f t="shared" si="25"/>
        <v/>
      </c>
      <c r="AI90" s="523" t="str">
        <f t="shared" si="26"/>
        <v/>
      </c>
      <c r="AJ90" s="523" t="e">
        <f>IF(((100-100/$AH$7*données_step[[#This Row],[E_NH4]])/100*QTS)&lt;0,NA(),IF(OR(AG90&lt;0,AG90=""),NA(),((100-100/$AH$7*données_step[[#This Row],[E_NH4]])/100*QTS)))</f>
        <v>#NUM!</v>
      </c>
      <c r="AK90" s="523" t="str">
        <f>IF(AND($R90&gt;0,données_step[[#This Row],[E_PTOT]]&gt;0),données_step[[#This Row],[E_PTOT]],"")</f>
        <v/>
      </c>
      <c r="AL90" s="523" t="str">
        <f>IF(AK90="","",(1-données_step[[#This Row],[E_PTOT]]/$AN$7)*100)</f>
        <v/>
      </c>
      <c r="AM90" s="523" t="str">
        <f t="shared" si="27"/>
        <v/>
      </c>
      <c r="AN90" s="523" t="str">
        <f t="shared" si="28"/>
        <v/>
      </c>
      <c r="AO90" s="523" t="str">
        <f t="shared" si="29"/>
        <v/>
      </c>
      <c r="AP90" s="523" t="e">
        <f>IF(((100-100/$AN$7*données_step[[#This Row],[E_PTOT]])/100*QTS)&lt;0,NA(),IF(OR(AM90&lt;0,AM90=""),NA(),((100-100/$AN$7*données_step[[#This Row],[E_PTOT]])/100*QTS)))</f>
        <v>#NUM!</v>
      </c>
      <c r="AQ90" s="524" t="e">
        <f t="shared" si="30"/>
        <v>#NUM!</v>
      </c>
      <c r="AR90" s="524" t="str">
        <f t="shared" si="31"/>
        <v/>
      </c>
      <c r="AT90" s="517">
        <f t="shared" si="32"/>
        <v>0.79</v>
      </c>
      <c r="AU90" s="501">
        <f t="shared" si="33"/>
        <v>79</v>
      </c>
      <c r="AV90" s="525" t="e">
        <f>PERCENTILE(analyses!$F$11:$F$375,$AT90)</f>
        <v>#NUM!</v>
      </c>
      <c r="AW90" s="7" t="e">
        <f>PERCENTILE(analyses!$I$11:$I$375,$AT90)</f>
        <v>#NUM!</v>
      </c>
      <c r="AX90" s="7" t="e">
        <f>PERCENTILE(analyses!$J$11:$J$375,$AT90)</f>
        <v>#NUM!</v>
      </c>
      <c r="AY90" s="523" t="str">
        <f>_xlfn.IFNA(IF(données_step[[#This Row],[E_DCO]]&lt;=0,NA(),charge_entree[[#This Row],[ch_E_DCO]]/constanten!$B$8*1000),"")</f>
        <v/>
      </c>
      <c r="AZ90" s="523" t="str">
        <f>_xlfn.IFNA(IF(données_step[[#This Row],[E_NTOT]]&lt;=0,NA(),charge_entree[[#This Row],[ch_E_NTOT]]/constanten!$B$10*1000),"")</f>
        <v/>
      </c>
      <c r="BA90" s="523" t="str">
        <f>_xlfn.IFNA(IF(données_step[[#This Row],[E_NH4]]&lt;=0,NA(),charge_entree[[#This Row],[ch_E_NH4]]/constanten!$B$12*1000),"")</f>
        <v/>
      </c>
      <c r="BB90" s="523" t="str">
        <f>_xlfn.IFNA(IF(données_step[[#This Row],[E_COT]]&lt;=0,NA(),charge_entree[[#This Row],[ch_E_COT]]/constanten!$B$9*1000),"")</f>
        <v/>
      </c>
      <c r="BC90" s="523" t="str">
        <f>IFERROR(_xlfn.IFNA(IF(données_step[[#This Row],[E_PTOT]]&lt;=0,NA(),charge_entree[[#This Row],[ch_E_PTOT]]/constanten!$B$15*1000),""),"")</f>
        <v/>
      </c>
      <c r="BD90" s="535" t="e">
        <f>calculs!E90 * (1-0.4) / (données_step[[#This Row],[X_BA_VOL]]*données_step[[#This Row],[X_BACONC]])</f>
        <v>#VALUE!</v>
      </c>
      <c r="BE90" s="522" t="e">
        <f>(données_step[[#This Row],[X_BA_VOL]]*données_step[[#This Row],[X_BACONC]])/((données_step[[#This Row],[D_QTRAI2]]*données_step[[#This Row],[S_MES]]/1000)+(données_step[[#This Row],[X_BX_Q]]*données_step[[#This Row],[X_BXCONC]]))</f>
        <v>#VALUE!</v>
      </c>
      <c r="BF90" s="890" t="str">
        <f>IFERROR(données_step[[#This Row],[D_QTRAI]]/AY90*1000,"")</f>
        <v/>
      </c>
      <c r="BG90" s="535" t="str">
        <f>IFERROR(1-données_step[[#This Row],[S_DBO5]]/données_step[[#This Row],[E_DBO5]],"")</f>
        <v/>
      </c>
      <c r="BH90" s="536" t="str">
        <f>IFERROR(1-données_step[[#This Row],[S_DCO]]/données_step[[#This Row],[E_DCO]],"")</f>
        <v/>
      </c>
      <c r="BI90" s="535" t="str">
        <f>IFERROR(1-données_step[[#This Row],[S_COD]]/données_step[[#This Row],[E_COT]],"")</f>
        <v/>
      </c>
      <c r="BJ90" s="535" t="str">
        <f>IFERROR(1-données_step[[#This Row],[S_NH4]]/données_step[[#This Row],[E_NTOT]],"")</f>
        <v/>
      </c>
      <c r="BK90" s="535" t="str">
        <f>IFERROR(1-données_step[[#This Row],[S_PTOT]]/données_step[[#This Row],[E_PTOT]],"")</f>
        <v/>
      </c>
      <c r="BL90" s="521" t="str">
        <f>IFERROR(IF(données_step[[#This Row],[E_DCO]]/données_step[[#This Row],[E_DBO5]]=0,NA(),données_step[[#This Row],[E_DCO]]/données_step[[#This Row],[E_DBO5]]),"")</f>
        <v/>
      </c>
      <c r="BM90" s="521" t="str">
        <f>IFERROR(IF(données_step[[#This Row],[E_NH4]]/données_step[[#This Row],[E_NTOT]]=0,NA(),données_step[[#This Row],[E_NH4]]/données_step[[#This Row],[E_NTOT]]),"")</f>
        <v/>
      </c>
      <c r="BN90" s="521" t="str">
        <f>IFERROR(IF(données_step[[#This Row],[E_NTOT]]/données_step[[#This Row],[E_COT]]=0,NA(),données_step[[#This Row],[E_NTOT]]/données_step[[#This Row],[E_COT]]),"")</f>
        <v/>
      </c>
      <c r="BO90" s="521" t="str">
        <f>IFERROR(IF(données_step[[#This Row],[E_PTOT]]/données_step[[#This Row],[E_COT]]=0,NA(),données_step[[#This Row],[E_PTOT]]/données_step[[#This Row],[E_COT]]),"")</f>
        <v/>
      </c>
      <c r="BP90" s="521" t="e">
        <f>IF(données_step[[#This Row],[E_DCO]]/données_step[[#This Row],[E_COT]]=0,NA(),données_step[[#This Row],[E_DCO]]/données_step[[#This Row],[E_COT]])</f>
        <v>#DIV/0!</v>
      </c>
      <c r="BQ90" s="521" t="e">
        <f>IF(données_step[[#This Row],[E_NTOT]]/données_step[[#This Row],[E_DCO]]=0,NA(),données_step[[#This Row],[E_NTOT]]/données_step[[#This Row],[E_DCO]])</f>
        <v>#DIV/0!</v>
      </c>
      <c r="BR90" s="521" t="e">
        <f>IF(données_step[[#This Row],[E_PTOT]]/données_step[[#This Row],[E_DCO]]=0,NA(),données_step[[#This Row],[E_PTOT]]/données_step[[#This Row],[E_DCO]])</f>
        <v>#DIV/0!</v>
      </c>
      <c r="BS90" s="747" t="e">
        <f ca="1">test_NH4_temp(données_step[[#This Row],[S_NH4]],données_step[[#This Row],[Temp_eaux]])</f>
        <v>#NAME?</v>
      </c>
    </row>
    <row r="91" spans="1:71" x14ac:dyDescent="0.2">
      <c r="A91" s="222">
        <f>données_step[[#This Row],[Datum]]</f>
        <v>44642</v>
      </c>
      <c r="B91" s="223"/>
      <c r="C91" s="224">
        <f t="shared" si="17"/>
        <v>3</v>
      </c>
      <c r="D91" s="523" t="str">
        <f>IF(OR(données_step[[#This Row],[E_DBO5]]&lt;=0,données_step[[#This Row],[E_DBO5]]=""),"",données_step[[#This Row],[D_QTRAI]]*données_step[[#This Row],[E_DBO5]]/1000)</f>
        <v/>
      </c>
      <c r="E91" s="523" t="str">
        <f>IF(OR(données_step[[#This Row],[E_DCO]]&lt;=0,données_step[[#This Row],[E_DCO]]=""),"",données_step[[#This Row],[D_QTRAI]]*données_step[[#This Row],[E_DCO]]/1000)</f>
        <v/>
      </c>
      <c r="F91" s="523" t="str">
        <f>IF(OR(données_step[[#This Row],[E_COT]]&lt;=0,données_step[[#This Row],[E_COT]]=""),"",données_step[[#This Row],[D_QTRAI]]*données_step[[#This Row],[E_COT]]/1000)</f>
        <v/>
      </c>
      <c r="G91" s="523" t="str">
        <f>IF(OR(données_step[[#This Row],[E_NH4]]&lt;=0,données_step[[#This Row],[E_NH4]]=""),"",données_step[[#This Row],[D_QTRAI]]*données_step[[#This Row],[E_NH4]]/1000)</f>
        <v/>
      </c>
      <c r="H91" s="523" t="str">
        <f>IF(OR(données_step[[#This Row],[E_NTOT]]&lt;=0,données_step[[#This Row],[E_NTOT]]=""),"",données_step[[#This Row],[D_QTRAI]]*données_step[[#This Row],[E_NTOT]]/1000)</f>
        <v/>
      </c>
      <c r="I91" s="523" t="str">
        <f>IF(OR(données_step[[#This Row],[E_NTOT]]&lt;=0,données_step[[#This Row],[E_NTOT]]=""),"",données_step[[#This Row],[D_QTRAI]]*données_step[[#This Row],[E_PTOT]]/1000)</f>
        <v/>
      </c>
      <c r="J91" s="523" t="str">
        <f>IF(OR(données_step[[#This Row],[S_DBO5]]&lt;=0,données_step[[#This Row],[S_DBO5]]=""),"",données_step[[#This Row],[D_QTRAI]]*données_step[[#This Row],[S_DBO5]]/1000)</f>
        <v/>
      </c>
      <c r="K91" s="523" t="str">
        <f>IF(OR(données_step[[#This Row],[S_DCO]]&lt;=0,données_step[[#This Row],[S_DCO]]=""),"",données_step[[#This Row],[D_QTRAI]]*données_step[[#This Row],[S_DCO]]/1000)</f>
        <v/>
      </c>
      <c r="L91" s="523" t="str">
        <f>IF(OR(données_step[[#This Row],[S_COD]]&lt;=0,données_step[[#This Row],[S_COD]]=""),"",données_step[[#This Row],[D_QTRAI]]*données_step[[#This Row],[S_COD]]/1000)</f>
        <v/>
      </c>
      <c r="M91" s="523" t="str">
        <f>IF(OR(données_step[[#This Row],[S_NH4]]&lt;=0,données_step[[#This Row],[S_NH4]]=""),"",données_step[[#This Row],[D_QTRAI]]*données_step[[#This Row],[S_NH4]]/1000)</f>
        <v/>
      </c>
      <c r="N91" s="523" t="str">
        <f>IF(OR(données_step[[#This Row],[S_NO2]]&lt;=0,données_step[[#This Row],[S_NO2]]=""),"",données_step[[#This Row],[D_QTRAI]]*données_step[[#This Row],[S_NO2]]/1000)</f>
        <v/>
      </c>
      <c r="O91" s="523" t="str">
        <f>IF(OR(données_step[[#This Row],[S_NO3]]&lt;=0,données_step[[#This Row],[S_NO3]]=""),"",données_step[[#This Row],[D_QTRAI]]*données_step[[#This Row],[S_NO3]]/1000)</f>
        <v/>
      </c>
      <c r="P91" s="523" t="str">
        <f>IF(OR(données_step[[#This Row],[S_PTOT]]&lt;=0,données_step[[#This Row],[S_PTOT]]=""),"",données_step[[#This Row],[D_QTRAI]]*données_step[[#This Row],[S_PTOT]]/1000)</f>
        <v/>
      </c>
      <c r="Q91" s="523" t="str">
        <f>IF(OR(données_step[[#This Row],[S_MES]]&lt;=0,données_step[[#This Row],[S_MES]]=""),"",données_step[[#This Row],[D_QTRAI]]*données_step[[#This Row],[S_MES]]/1000)</f>
        <v/>
      </c>
      <c r="R91" s="523">
        <f>MAX(données_step[[#This Row],[D_QTRAI]],données_step[[#This Row],[D_QTRAI2]])</f>
        <v>0</v>
      </c>
      <c r="S91" s="523" t="str">
        <f>IF(AND($R91&gt;0,données_step[[#This Row],[E_DCO]]&gt;0),données_step[[#This Row],[E_DCO]],"")</f>
        <v/>
      </c>
      <c r="T91" s="523" t="str">
        <f>IF(S91="","",(1-données_step[[#This Row],[E_DCO]]/$V$7)*100)</f>
        <v/>
      </c>
      <c r="U91" s="523" t="str">
        <f t="shared" si="18"/>
        <v/>
      </c>
      <c r="V91" s="523" t="str">
        <f t="shared" si="19"/>
        <v/>
      </c>
      <c r="W91" s="523" t="str">
        <f t="shared" si="20"/>
        <v/>
      </c>
      <c r="X91" s="523" t="e">
        <f>IF(((100-100/$V$7*données_step[[#This Row],[E_DCO]])/100*QTS)&lt;0,NA(),IF(OR(U91&lt;0,U91=""),NA(),((100-100/$V$7*données_step[[#This Row],[E_DCO]])/100*QTS)))</f>
        <v>#NUM!</v>
      </c>
      <c r="Y91" s="523" t="str">
        <f>IF(AND($R91&gt;0,données_step[[#This Row],[E_COT]]&gt;0),données_step[[#This Row],[E_COT]],"")</f>
        <v/>
      </c>
      <c r="Z91" s="523" t="str">
        <f>IF(Y91="","",(1-données_step[[#This Row],[E_COT]]/$AB$7)*100)</f>
        <v/>
      </c>
      <c r="AA91" s="523" t="str">
        <f t="shared" si="21"/>
        <v/>
      </c>
      <c r="AB91" s="523" t="str">
        <f t="shared" si="22"/>
        <v/>
      </c>
      <c r="AC91" s="523" t="str">
        <f t="shared" si="23"/>
        <v/>
      </c>
      <c r="AD91" s="523" t="e">
        <f>IF(((100-100/$AB$7*données_step[[#This Row],[E_COT]])/100*QTS)&lt;0,NA(),IF(OR(AA91&lt;0,AA91=""),NA(),((100-100/$AB$7*données_step[[#This Row],[E_COT]])/100*QTS)))</f>
        <v>#NUM!</v>
      </c>
      <c r="AE91" s="523" t="str">
        <f>IF(AND($R91&gt;0,données_step[[#This Row],[E_NH4]]&gt;0),données_step[[#This Row],[E_NH4]],"")</f>
        <v/>
      </c>
      <c r="AF91" s="523" t="str">
        <f>IF(AE91="","",(1-données_step[[#This Row],[E_NH4]]/$AH$7)*100)</f>
        <v/>
      </c>
      <c r="AG91" s="523" t="str">
        <f t="shared" si="24"/>
        <v/>
      </c>
      <c r="AH91" s="523" t="str">
        <f t="shared" si="25"/>
        <v/>
      </c>
      <c r="AI91" s="523" t="str">
        <f t="shared" si="26"/>
        <v/>
      </c>
      <c r="AJ91" s="523" t="e">
        <f>IF(((100-100/$AH$7*données_step[[#This Row],[E_NH4]])/100*QTS)&lt;0,NA(),IF(OR(AG91&lt;0,AG91=""),NA(),((100-100/$AH$7*données_step[[#This Row],[E_NH4]])/100*QTS)))</f>
        <v>#NUM!</v>
      </c>
      <c r="AK91" s="523" t="str">
        <f>IF(AND($R91&gt;0,données_step[[#This Row],[E_PTOT]]&gt;0),données_step[[#This Row],[E_PTOT]],"")</f>
        <v/>
      </c>
      <c r="AL91" s="523" t="str">
        <f>IF(AK91="","",(1-données_step[[#This Row],[E_PTOT]]/$AN$7)*100)</f>
        <v/>
      </c>
      <c r="AM91" s="523" t="str">
        <f t="shared" si="27"/>
        <v/>
      </c>
      <c r="AN91" s="523" t="str">
        <f t="shared" si="28"/>
        <v/>
      </c>
      <c r="AO91" s="523" t="str">
        <f t="shared" si="29"/>
        <v/>
      </c>
      <c r="AP91" s="523" t="e">
        <f>IF(((100-100/$AN$7*données_step[[#This Row],[E_PTOT]])/100*QTS)&lt;0,NA(),IF(OR(AM91&lt;0,AM91=""),NA(),((100-100/$AN$7*données_step[[#This Row],[E_PTOT]])/100*QTS)))</f>
        <v>#NUM!</v>
      </c>
      <c r="AQ91" s="524" t="e">
        <f t="shared" si="30"/>
        <v>#NUM!</v>
      </c>
      <c r="AR91" s="524" t="str">
        <f t="shared" si="31"/>
        <v/>
      </c>
      <c r="AT91" s="517">
        <f t="shared" si="32"/>
        <v>0.8</v>
      </c>
      <c r="AU91" s="501">
        <f t="shared" si="33"/>
        <v>80</v>
      </c>
      <c r="AV91" s="525" t="e">
        <f>PERCENTILE(analyses!$F$11:$F$375,$AT91)</f>
        <v>#NUM!</v>
      </c>
      <c r="AW91" s="7" t="e">
        <f>PERCENTILE(analyses!$I$11:$I$375,$AT91)</f>
        <v>#NUM!</v>
      </c>
      <c r="AX91" s="7" t="e">
        <f>PERCENTILE(analyses!$J$11:$J$375,$AT91)</f>
        <v>#NUM!</v>
      </c>
      <c r="AY91" s="523" t="str">
        <f>_xlfn.IFNA(IF(données_step[[#This Row],[E_DCO]]&lt;=0,NA(),charge_entree[[#This Row],[ch_E_DCO]]/constanten!$B$8*1000),"")</f>
        <v/>
      </c>
      <c r="AZ91" s="523" t="str">
        <f>_xlfn.IFNA(IF(données_step[[#This Row],[E_NTOT]]&lt;=0,NA(),charge_entree[[#This Row],[ch_E_NTOT]]/constanten!$B$10*1000),"")</f>
        <v/>
      </c>
      <c r="BA91" s="523" t="str">
        <f>_xlfn.IFNA(IF(données_step[[#This Row],[E_NH4]]&lt;=0,NA(),charge_entree[[#This Row],[ch_E_NH4]]/constanten!$B$12*1000),"")</f>
        <v/>
      </c>
      <c r="BB91" s="523" t="str">
        <f>_xlfn.IFNA(IF(données_step[[#This Row],[E_COT]]&lt;=0,NA(),charge_entree[[#This Row],[ch_E_COT]]/constanten!$B$9*1000),"")</f>
        <v/>
      </c>
      <c r="BC91" s="523" t="str">
        <f>IFERROR(_xlfn.IFNA(IF(données_step[[#This Row],[E_PTOT]]&lt;=0,NA(),charge_entree[[#This Row],[ch_E_PTOT]]/constanten!$B$15*1000),""),"")</f>
        <v/>
      </c>
      <c r="BD91" s="535" t="e">
        <f>calculs!E91 * (1-0.4) / (données_step[[#This Row],[X_BA_VOL]]*données_step[[#This Row],[X_BACONC]])</f>
        <v>#VALUE!</v>
      </c>
      <c r="BE91" s="522" t="e">
        <f>(données_step[[#This Row],[X_BA_VOL]]*données_step[[#This Row],[X_BACONC]])/((données_step[[#This Row],[D_QTRAI2]]*données_step[[#This Row],[S_MES]]/1000)+(données_step[[#This Row],[X_BX_Q]]*données_step[[#This Row],[X_BXCONC]]))</f>
        <v>#VALUE!</v>
      </c>
      <c r="BF91" s="890" t="str">
        <f>IFERROR(données_step[[#This Row],[D_QTRAI]]/AY91*1000,"")</f>
        <v/>
      </c>
      <c r="BG91" s="535" t="str">
        <f>IFERROR(1-données_step[[#This Row],[S_DBO5]]/données_step[[#This Row],[E_DBO5]],"")</f>
        <v/>
      </c>
      <c r="BH91" s="536" t="str">
        <f>IFERROR(1-données_step[[#This Row],[S_DCO]]/données_step[[#This Row],[E_DCO]],"")</f>
        <v/>
      </c>
      <c r="BI91" s="535" t="str">
        <f>IFERROR(1-données_step[[#This Row],[S_COD]]/données_step[[#This Row],[E_COT]],"")</f>
        <v/>
      </c>
      <c r="BJ91" s="535" t="str">
        <f>IFERROR(1-données_step[[#This Row],[S_NH4]]/données_step[[#This Row],[E_NTOT]],"")</f>
        <v/>
      </c>
      <c r="BK91" s="535" t="str">
        <f>IFERROR(1-données_step[[#This Row],[S_PTOT]]/données_step[[#This Row],[E_PTOT]],"")</f>
        <v/>
      </c>
      <c r="BL91" s="521" t="str">
        <f>IFERROR(IF(données_step[[#This Row],[E_DCO]]/données_step[[#This Row],[E_DBO5]]=0,NA(),données_step[[#This Row],[E_DCO]]/données_step[[#This Row],[E_DBO5]]),"")</f>
        <v/>
      </c>
      <c r="BM91" s="521" t="str">
        <f>IFERROR(IF(données_step[[#This Row],[E_NH4]]/données_step[[#This Row],[E_NTOT]]=0,NA(),données_step[[#This Row],[E_NH4]]/données_step[[#This Row],[E_NTOT]]),"")</f>
        <v/>
      </c>
      <c r="BN91" s="521" t="str">
        <f>IFERROR(IF(données_step[[#This Row],[E_NTOT]]/données_step[[#This Row],[E_COT]]=0,NA(),données_step[[#This Row],[E_NTOT]]/données_step[[#This Row],[E_COT]]),"")</f>
        <v/>
      </c>
      <c r="BO91" s="521" t="str">
        <f>IFERROR(IF(données_step[[#This Row],[E_PTOT]]/données_step[[#This Row],[E_COT]]=0,NA(),données_step[[#This Row],[E_PTOT]]/données_step[[#This Row],[E_COT]]),"")</f>
        <v/>
      </c>
      <c r="BP91" s="521" t="e">
        <f>IF(données_step[[#This Row],[E_DCO]]/données_step[[#This Row],[E_COT]]=0,NA(),données_step[[#This Row],[E_DCO]]/données_step[[#This Row],[E_COT]])</f>
        <v>#DIV/0!</v>
      </c>
      <c r="BQ91" s="521" t="e">
        <f>IF(données_step[[#This Row],[E_NTOT]]/données_step[[#This Row],[E_DCO]]=0,NA(),données_step[[#This Row],[E_NTOT]]/données_step[[#This Row],[E_DCO]])</f>
        <v>#DIV/0!</v>
      </c>
      <c r="BR91" s="521" t="e">
        <f>IF(données_step[[#This Row],[E_PTOT]]/données_step[[#This Row],[E_DCO]]=0,NA(),données_step[[#This Row],[E_PTOT]]/données_step[[#This Row],[E_DCO]])</f>
        <v>#DIV/0!</v>
      </c>
      <c r="BS91" s="747" t="e">
        <f ca="1">test_NH4_temp(données_step[[#This Row],[S_NH4]],données_step[[#This Row],[Temp_eaux]])</f>
        <v>#NAME?</v>
      </c>
    </row>
    <row r="92" spans="1:71" x14ac:dyDescent="0.2">
      <c r="A92" s="222">
        <f>données_step[[#This Row],[Datum]]</f>
        <v>44643</v>
      </c>
      <c r="B92" s="223"/>
      <c r="C92" s="224">
        <f t="shared" si="17"/>
        <v>4</v>
      </c>
      <c r="D92" s="523" t="str">
        <f>IF(OR(données_step[[#This Row],[E_DBO5]]&lt;=0,données_step[[#This Row],[E_DBO5]]=""),"",données_step[[#This Row],[D_QTRAI]]*données_step[[#This Row],[E_DBO5]]/1000)</f>
        <v/>
      </c>
      <c r="E92" s="523" t="str">
        <f>IF(OR(données_step[[#This Row],[E_DCO]]&lt;=0,données_step[[#This Row],[E_DCO]]=""),"",données_step[[#This Row],[D_QTRAI]]*données_step[[#This Row],[E_DCO]]/1000)</f>
        <v/>
      </c>
      <c r="F92" s="523" t="str">
        <f>IF(OR(données_step[[#This Row],[E_COT]]&lt;=0,données_step[[#This Row],[E_COT]]=""),"",données_step[[#This Row],[D_QTRAI]]*données_step[[#This Row],[E_COT]]/1000)</f>
        <v/>
      </c>
      <c r="G92" s="523" t="str">
        <f>IF(OR(données_step[[#This Row],[E_NH4]]&lt;=0,données_step[[#This Row],[E_NH4]]=""),"",données_step[[#This Row],[D_QTRAI]]*données_step[[#This Row],[E_NH4]]/1000)</f>
        <v/>
      </c>
      <c r="H92" s="523" t="str">
        <f>IF(OR(données_step[[#This Row],[E_NTOT]]&lt;=0,données_step[[#This Row],[E_NTOT]]=""),"",données_step[[#This Row],[D_QTRAI]]*données_step[[#This Row],[E_NTOT]]/1000)</f>
        <v/>
      </c>
      <c r="I92" s="523" t="str">
        <f>IF(OR(données_step[[#This Row],[E_NTOT]]&lt;=0,données_step[[#This Row],[E_NTOT]]=""),"",données_step[[#This Row],[D_QTRAI]]*données_step[[#This Row],[E_PTOT]]/1000)</f>
        <v/>
      </c>
      <c r="J92" s="523" t="str">
        <f>IF(OR(données_step[[#This Row],[S_DBO5]]&lt;=0,données_step[[#This Row],[S_DBO5]]=""),"",données_step[[#This Row],[D_QTRAI]]*données_step[[#This Row],[S_DBO5]]/1000)</f>
        <v/>
      </c>
      <c r="K92" s="523" t="str">
        <f>IF(OR(données_step[[#This Row],[S_DCO]]&lt;=0,données_step[[#This Row],[S_DCO]]=""),"",données_step[[#This Row],[D_QTRAI]]*données_step[[#This Row],[S_DCO]]/1000)</f>
        <v/>
      </c>
      <c r="L92" s="523" t="str">
        <f>IF(OR(données_step[[#This Row],[S_COD]]&lt;=0,données_step[[#This Row],[S_COD]]=""),"",données_step[[#This Row],[D_QTRAI]]*données_step[[#This Row],[S_COD]]/1000)</f>
        <v/>
      </c>
      <c r="M92" s="523" t="str">
        <f>IF(OR(données_step[[#This Row],[S_NH4]]&lt;=0,données_step[[#This Row],[S_NH4]]=""),"",données_step[[#This Row],[D_QTRAI]]*données_step[[#This Row],[S_NH4]]/1000)</f>
        <v/>
      </c>
      <c r="N92" s="523" t="str">
        <f>IF(OR(données_step[[#This Row],[S_NO2]]&lt;=0,données_step[[#This Row],[S_NO2]]=""),"",données_step[[#This Row],[D_QTRAI]]*données_step[[#This Row],[S_NO2]]/1000)</f>
        <v/>
      </c>
      <c r="O92" s="523" t="str">
        <f>IF(OR(données_step[[#This Row],[S_NO3]]&lt;=0,données_step[[#This Row],[S_NO3]]=""),"",données_step[[#This Row],[D_QTRAI]]*données_step[[#This Row],[S_NO3]]/1000)</f>
        <v/>
      </c>
      <c r="P92" s="523" t="str">
        <f>IF(OR(données_step[[#This Row],[S_PTOT]]&lt;=0,données_step[[#This Row],[S_PTOT]]=""),"",données_step[[#This Row],[D_QTRAI]]*données_step[[#This Row],[S_PTOT]]/1000)</f>
        <v/>
      </c>
      <c r="Q92" s="523" t="str">
        <f>IF(OR(données_step[[#This Row],[S_MES]]&lt;=0,données_step[[#This Row],[S_MES]]=""),"",données_step[[#This Row],[D_QTRAI]]*données_step[[#This Row],[S_MES]]/1000)</f>
        <v/>
      </c>
      <c r="R92" s="523">
        <f>MAX(données_step[[#This Row],[D_QTRAI]],données_step[[#This Row],[D_QTRAI2]])</f>
        <v>0</v>
      </c>
      <c r="S92" s="523" t="str">
        <f>IF(AND($R92&gt;0,données_step[[#This Row],[E_DCO]]&gt;0),données_step[[#This Row],[E_DCO]],"")</f>
        <v/>
      </c>
      <c r="T92" s="523" t="str">
        <f>IF(S92="","",(1-données_step[[#This Row],[E_DCO]]/$V$7)*100)</f>
        <v/>
      </c>
      <c r="U92" s="523" t="str">
        <f t="shared" si="18"/>
        <v/>
      </c>
      <c r="V92" s="523" t="str">
        <f t="shared" si="19"/>
        <v/>
      </c>
      <c r="W92" s="523" t="str">
        <f t="shared" si="20"/>
        <v/>
      </c>
      <c r="X92" s="523" t="e">
        <f>IF(((100-100/$V$7*données_step[[#This Row],[E_DCO]])/100*QTS)&lt;0,NA(),IF(OR(U92&lt;0,U92=""),NA(),((100-100/$V$7*données_step[[#This Row],[E_DCO]])/100*QTS)))</f>
        <v>#NUM!</v>
      </c>
      <c r="Y92" s="523" t="str">
        <f>IF(AND($R92&gt;0,données_step[[#This Row],[E_COT]]&gt;0),données_step[[#This Row],[E_COT]],"")</f>
        <v/>
      </c>
      <c r="Z92" s="523" t="str">
        <f>IF(Y92="","",(1-données_step[[#This Row],[E_COT]]/$AB$7)*100)</f>
        <v/>
      </c>
      <c r="AA92" s="523" t="str">
        <f t="shared" si="21"/>
        <v/>
      </c>
      <c r="AB92" s="523" t="str">
        <f t="shared" si="22"/>
        <v/>
      </c>
      <c r="AC92" s="523" t="str">
        <f t="shared" si="23"/>
        <v/>
      </c>
      <c r="AD92" s="523" t="e">
        <f>IF(((100-100/$AB$7*données_step[[#This Row],[E_COT]])/100*QTS)&lt;0,NA(),IF(OR(AA92&lt;0,AA92=""),NA(),((100-100/$AB$7*données_step[[#This Row],[E_COT]])/100*QTS)))</f>
        <v>#NUM!</v>
      </c>
      <c r="AE92" s="523" t="str">
        <f>IF(AND($R92&gt;0,données_step[[#This Row],[E_NH4]]&gt;0),données_step[[#This Row],[E_NH4]],"")</f>
        <v/>
      </c>
      <c r="AF92" s="523" t="str">
        <f>IF(AE92="","",(1-données_step[[#This Row],[E_NH4]]/$AH$7)*100)</f>
        <v/>
      </c>
      <c r="AG92" s="523" t="str">
        <f t="shared" si="24"/>
        <v/>
      </c>
      <c r="AH92" s="523" t="str">
        <f t="shared" si="25"/>
        <v/>
      </c>
      <c r="AI92" s="523" t="str">
        <f t="shared" si="26"/>
        <v/>
      </c>
      <c r="AJ92" s="523" t="e">
        <f>IF(((100-100/$AH$7*données_step[[#This Row],[E_NH4]])/100*QTS)&lt;0,NA(),IF(OR(AG92&lt;0,AG92=""),NA(),((100-100/$AH$7*données_step[[#This Row],[E_NH4]])/100*QTS)))</f>
        <v>#NUM!</v>
      </c>
      <c r="AK92" s="523" t="str">
        <f>IF(AND($R92&gt;0,données_step[[#This Row],[E_PTOT]]&gt;0),données_step[[#This Row],[E_PTOT]],"")</f>
        <v/>
      </c>
      <c r="AL92" s="523" t="str">
        <f>IF(AK92="","",(1-données_step[[#This Row],[E_PTOT]]/$AN$7)*100)</f>
        <v/>
      </c>
      <c r="AM92" s="523" t="str">
        <f t="shared" si="27"/>
        <v/>
      </c>
      <c r="AN92" s="523" t="str">
        <f t="shared" si="28"/>
        <v/>
      </c>
      <c r="AO92" s="523" t="str">
        <f t="shared" si="29"/>
        <v/>
      </c>
      <c r="AP92" s="523" t="e">
        <f>IF(((100-100/$AN$7*données_step[[#This Row],[E_PTOT]])/100*QTS)&lt;0,NA(),IF(OR(AM92&lt;0,AM92=""),NA(),((100-100/$AN$7*données_step[[#This Row],[E_PTOT]])/100*QTS)))</f>
        <v>#NUM!</v>
      </c>
      <c r="AQ92" s="524" t="e">
        <f t="shared" si="30"/>
        <v>#NUM!</v>
      </c>
      <c r="AR92" s="524" t="str">
        <f t="shared" si="31"/>
        <v/>
      </c>
      <c r="AT92" s="517">
        <f t="shared" si="32"/>
        <v>0.81</v>
      </c>
      <c r="AU92" s="501">
        <f t="shared" si="33"/>
        <v>81</v>
      </c>
      <c r="AV92" s="525" t="e">
        <f>PERCENTILE(analyses!$F$11:$F$375,$AT92)</f>
        <v>#NUM!</v>
      </c>
      <c r="AW92" s="7" t="e">
        <f>PERCENTILE(analyses!$I$11:$I$375,$AT92)</f>
        <v>#NUM!</v>
      </c>
      <c r="AX92" s="7" t="e">
        <f>PERCENTILE(analyses!$J$11:$J$375,$AT92)</f>
        <v>#NUM!</v>
      </c>
      <c r="AY92" s="523" t="str">
        <f>_xlfn.IFNA(IF(données_step[[#This Row],[E_DCO]]&lt;=0,NA(),charge_entree[[#This Row],[ch_E_DCO]]/constanten!$B$8*1000),"")</f>
        <v/>
      </c>
      <c r="AZ92" s="523" t="str">
        <f>_xlfn.IFNA(IF(données_step[[#This Row],[E_NTOT]]&lt;=0,NA(),charge_entree[[#This Row],[ch_E_NTOT]]/constanten!$B$10*1000),"")</f>
        <v/>
      </c>
      <c r="BA92" s="523" t="str">
        <f>_xlfn.IFNA(IF(données_step[[#This Row],[E_NH4]]&lt;=0,NA(),charge_entree[[#This Row],[ch_E_NH4]]/constanten!$B$12*1000),"")</f>
        <v/>
      </c>
      <c r="BB92" s="523" t="str">
        <f>_xlfn.IFNA(IF(données_step[[#This Row],[E_COT]]&lt;=0,NA(),charge_entree[[#This Row],[ch_E_COT]]/constanten!$B$9*1000),"")</f>
        <v/>
      </c>
      <c r="BC92" s="523" t="str">
        <f>IFERROR(_xlfn.IFNA(IF(données_step[[#This Row],[E_PTOT]]&lt;=0,NA(),charge_entree[[#This Row],[ch_E_PTOT]]/constanten!$B$15*1000),""),"")</f>
        <v/>
      </c>
      <c r="BD92" s="535" t="e">
        <f>calculs!E92 * (1-0.4) / (données_step[[#This Row],[X_BA_VOL]]*données_step[[#This Row],[X_BACONC]])</f>
        <v>#VALUE!</v>
      </c>
      <c r="BE92" s="522" t="e">
        <f>(données_step[[#This Row],[X_BA_VOL]]*données_step[[#This Row],[X_BACONC]])/((données_step[[#This Row],[D_QTRAI2]]*données_step[[#This Row],[S_MES]]/1000)+(données_step[[#This Row],[X_BX_Q]]*données_step[[#This Row],[X_BXCONC]]))</f>
        <v>#VALUE!</v>
      </c>
      <c r="BF92" s="890" t="str">
        <f>IFERROR(données_step[[#This Row],[D_QTRAI]]/AY92*1000,"")</f>
        <v/>
      </c>
      <c r="BG92" s="535" t="str">
        <f>IFERROR(1-données_step[[#This Row],[S_DBO5]]/données_step[[#This Row],[E_DBO5]],"")</f>
        <v/>
      </c>
      <c r="BH92" s="536" t="str">
        <f>IFERROR(1-données_step[[#This Row],[S_DCO]]/données_step[[#This Row],[E_DCO]],"")</f>
        <v/>
      </c>
      <c r="BI92" s="535" t="str">
        <f>IFERROR(1-données_step[[#This Row],[S_COD]]/données_step[[#This Row],[E_COT]],"")</f>
        <v/>
      </c>
      <c r="BJ92" s="535" t="str">
        <f>IFERROR(1-données_step[[#This Row],[S_NH4]]/données_step[[#This Row],[E_NTOT]],"")</f>
        <v/>
      </c>
      <c r="BK92" s="535" t="str">
        <f>IFERROR(1-données_step[[#This Row],[S_PTOT]]/données_step[[#This Row],[E_PTOT]],"")</f>
        <v/>
      </c>
      <c r="BL92" s="521" t="str">
        <f>IFERROR(IF(données_step[[#This Row],[E_DCO]]/données_step[[#This Row],[E_DBO5]]=0,NA(),données_step[[#This Row],[E_DCO]]/données_step[[#This Row],[E_DBO5]]),"")</f>
        <v/>
      </c>
      <c r="BM92" s="521" t="str">
        <f>IFERROR(IF(données_step[[#This Row],[E_NH4]]/données_step[[#This Row],[E_NTOT]]=0,NA(),données_step[[#This Row],[E_NH4]]/données_step[[#This Row],[E_NTOT]]),"")</f>
        <v/>
      </c>
      <c r="BN92" s="521" t="str">
        <f>IFERROR(IF(données_step[[#This Row],[E_NTOT]]/données_step[[#This Row],[E_COT]]=0,NA(),données_step[[#This Row],[E_NTOT]]/données_step[[#This Row],[E_COT]]),"")</f>
        <v/>
      </c>
      <c r="BO92" s="521" t="str">
        <f>IFERROR(IF(données_step[[#This Row],[E_PTOT]]/données_step[[#This Row],[E_COT]]=0,NA(),données_step[[#This Row],[E_PTOT]]/données_step[[#This Row],[E_COT]]),"")</f>
        <v/>
      </c>
      <c r="BP92" s="521" t="e">
        <f>IF(données_step[[#This Row],[E_DCO]]/données_step[[#This Row],[E_COT]]=0,NA(),données_step[[#This Row],[E_DCO]]/données_step[[#This Row],[E_COT]])</f>
        <v>#DIV/0!</v>
      </c>
      <c r="BQ92" s="521" t="e">
        <f>IF(données_step[[#This Row],[E_NTOT]]/données_step[[#This Row],[E_DCO]]=0,NA(),données_step[[#This Row],[E_NTOT]]/données_step[[#This Row],[E_DCO]])</f>
        <v>#DIV/0!</v>
      </c>
      <c r="BR92" s="521" t="e">
        <f>IF(données_step[[#This Row],[E_PTOT]]/données_step[[#This Row],[E_DCO]]=0,NA(),données_step[[#This Row],[E_PTOT]]/données_step[[#This Row],[E_DCO]])</f>
        <v>#DIV/0!</v>
      </c>
      <c r="BS92" s="747" t="e">
        <f ca="1">test_NH4_temp(données_step[[#This Row],[S_NH4]],données_step[[#This Row],[Temp_eaux]])</f>
        <v>#NAME?</v>
      </c>
    </row>
    <row r="93" spans="1:71" x14ac:dyDescent="0.2">
      <c r="A93" s="222">
        <f>données_step[[#This Row],[Datum]]</f>
        <v>44644</v>
      </c>
      <c r="B93" s="223"/>
      <c r="C93" s="224">
        <f t="shared" si="17"/>
        <v>5</v>
      </c>
      <c r="D93" s="523" t="str">
        <f>IF(OR(données_step[[#This Row],[E_DBO5]]&lt;=0,données_step[[#This Row],[E_DBO5]]=""),"",données_step[[#This Row],[D_QTRAI]]*données_step[[#This Row],[E_DBO5]]/1000)</f>
        <v/>
      </c>
      <c r="E93" s="523" t="str">
        <f>IF(OR(données_step[[#This Row],[E_DCO]]&lt;=0,données_step[[#This Row],[E_DCO]]=""),"",données_step[[#This Row],[D_QTRAI]]*données_step[[#This Row],[E_DCO]]/1000)</f>
        <v/>
      </c>
      <c r="F93" s="523" t="str">
        <f>IF(OR(données_step[[#This Row],[E_COT]]&lt;=0,données_step[[#This Row],[E_COT]]=""),"",données_step[[#This Row],[D_QTRAI]]*données_step[[#This Row],[E_COT]]/1000)</f>
        <v/>
      </c>
      <c r="G93" s="523" t="str">
        <f>IF(OR(données_step[[#This Row],[E_NH4]]&lt;=0,données_step[[#This Row],[E_NH4]]=""),"",données_step[[#This Row],[D_QTRAI]]*données_step[[#This Row],[E_NH4]]/1000)</f>
        <v/>
      </c>
      <c r="H93" s="523" t="str">
        <f>IF(OR(données_step[[#This Row],[E_NTOT]]&lt;=0,données_step[[#This Row],[E_NTOT]]=""),"",données_step[[#This Row],[D_QTRAI]]*données_step[[#This Row],[E_NTOT]]/1000)</f>
        <v/>
      </c>
      <c r="I93" s="523" t="str">
        <f>IF(OR(données_step[[#This Row],[E_NTOT]]&lt;=0,données_step[[#This Row],[E_NTOT]]=""),"",données_step[[#This Row],[D_QTRAI]]*données_step[[#This Row],[E_PTOT]]/1000)</f>
        <v/>
      </c>
      <c r="J93" s="523" t="str">
        <f>IF(OR(données_step[[#This Row],[S_DBO5]]&lt;=0,données_step[[#This Row],[S_DBO5]]=""),"",données_step[[#This Row],[D_QTRAI]]*données_step[[#This Row],[S_DBO5]]/1000)</f>
        <v/>
      </c>
      <c r="K93" s="523" t="str">
        <f>IF(OR(données_step[[#This Row],[S_DCO]]&lt;=0,données_step[[#This Row],[S_DCO]]=""),"",données_step[[#This Row],[D_QTRAI]]*données_step[[#This Row],[S_DCO]]/1000)</f>
        <v/>
      </c>
      <c r="L93" s="523" t="str">
        <f>IF(OR(données_step[[#This Row],[S_COD]]&lt;=0,données_step[[#This Row],[S_COD]]=""),"",données_step[[#This Row],[D_QTRAI]]*données_step[[#This Row],[S_COD]]/1000)</f>
        <v/>
      </c>
      <c r="M93" s="523" t="str">
        <f>IF(OR(données_step[[#This Row],[S_NH4]]&lt;=0,données_step[[#This Row],[S_NH4]]=""),"",données_step[[#This Row],[D_QTRAI]]*données_step[[#This Row],[S_NH4]]/1000)</f>
        <v/>
      </c>
      <c r="N93" s="523" t="str">
        <f>IF(OR(données_step[[#This Row],[S_NO2]]&lt;=0,données_step[[#This Row],[S_NO2]]=""),"",données_step[[#This Row],[D_QTRAI]]*données_step[[#This Row],[S_NO2]]/1000)</f>
        <v/>
      </c>
      <c r="O93" s="523" t="str">
        <f>IF(OR(données_step[[#This Row],[S_NO3]]&lt;=0,données_step[[#This Row],[S_NO3]]=""),"",données_step[[#This Row],[D_QTRAI]]*données_step[[#This Row],[S_NO3]]/1000)</f>
        <v/>
      </c>
      <c r="P93" s="523" t="str">
        <f>IF(OR(données_step[[#This Row],[S_PTOT]]&lt;=0,données_step[[#This Row],[S_PTOT]]=""),"",données_step[[#This Row],[D_QTRAI]]*données_step[[#This Row],[S_PTOT]]/1000)</f>
        <v/>
      </c>
      <c r="Q93" s="523" t="str">
        <f>IF(OR(données_step[[#This Row],[S_MES]]&lt;=0,données_step[[#This Row],[S_MES]]=""),"",données_step[[#This Row],[D_QTRAI]]*données_step[[#This Row],[S_MES]]/1000)</f>
        <v/>
      </c>
      <c r="R93" s="523">
        <f>MAX(données_step[[#This Row],[D_QTRAI]],données_step[[#This Row],[D_QTRAI2]])</f>
        <v>0</v>
      </c>
      <c r="S93" s="523" t="str">
        <f>IF(AND($R93&gt;0,données_step[[#This Row],[E_DCO]]&gt;0),données_step[[#This Row],[E_DCO]],"")</f>
        <v/>
      </c>
      <c r="T93" s="523" t="str">
        <f>IF(S93="","",(1-données_step[[#This Row],[E_DCO]]/$V$7)*100)</f>
        <v/>
      </c>
      <c r="U93" s="523" t="str">
        <f t="shared" si="18"/>
        <v/>
      </c>
      <c r="V93" s="523" t="str">
        <f t="shared" si="19"/>
        <v/>
      </c>
      <c r="W93" s="523" t="str">
        <f t="shared" si="20"/>
        <v/>
      </c>
      <c r="X93" s="523" t="e">
        <f>IF(((100-100/$V$7*données_step[[#This Row],[E_DCO]])/100*QTS)&lt;0,NA(),IF(OR(U93&lt;0,U93=""),NA(),((100-100/$V$7*données_step[[#This Row],[E_DCO]])/100*QTS)))</f>
        <v>#NUM!</v>
      </c>
      <c r="Y93" s="523" t="str">
        <f>IF(AND($R93&gt;0,données_step[[#This Row],[E_COT]]&gt;0),données_step[[#This Row],[E_COT]],"")</f>
        <v/>
      </c>
      <c r="Z93" s="523" t="str">
        <f>IF(Y93="","",(1-données_step[[#This Row],[E_COT]]/$AB$7)*100)</f>
        <v/>
      </c>
      <c r="AA93" s="523" t="str">
        <f t="shared" si="21"/>
        <v/>
      </c>
      <c r="AB93" s="523" t="str">
        <f t="shared" si="22"/>
        <v/>
      </c>
      <c r="AC93" s="523" t="str">
        <f t="shared" si="23"/>
        <v/>
      </c>
      <c r="AD93" s="523" t="e">
        <f>IF(((100-100/$AB$7*données_step[[#This Row],[E_COT]])/100*QTS)&lt;0,NA(),IF(OR(AA93&lt;0,AA93=""),NA(),((100-100/$AB$7*données_step[[#This Row],[E_COT]])/100*QTS)))</f>
        <v>#NUM!</v>
      </c>
      <c r="AE93" s="523" t="str">
        <f>IF(AND($R93&gt;0,données_step[[#This Row],[E_NH4]]&gt;0),données_step[[#This Row],[E_NH4]],"")</f>
        <v/>
      </c>
      <c r="AF93" s="523" t="str">
        <f>IF(AE93="","",(1-données_step[[#This Row],[E_NH4]]/$AH$7)*100)</f>
        <v/>
      </c>
      <c r="AG93" s="523" t="str">
        <f t="shared" si="24"/>
        <v/>
      </c>
      <c r="AH93" s="523" t="str">
        <f t="shared" si="25"/>
        <v/>
      </c>
      <c r="AI93" s="523" t="str">
        <f t="shared" si="26"/>
        <v/>
      </c>
      <c r="AJ93" s="523" t="e">
        <f>IF(((100-100/$AH$7*données_step[[#This Row],[E_NH4]])/100*QTS)&lt;0,NA(),IF(OR(AG93&lt;0,AG93=""),NA(),((100-100/$AH$7*données_step[[#This Row],[E_NH4]])/100*QTS)))</f>
        <v>#NUM!</v>
      </c>
      <c r="AK93" s="523" t="str">
        <f>IF(AND($R93&gt;0,données_step[[#This Row],[E_PTOT]]&gt;0),données_step[[#This Row],[E_PTOT]],"")</f>
        <v/>
      </c>
      <c r="AL93" s="523" t="str">
        <f>IF(AK93="","",(1-données_step[[#This Row],[E_PTOT]]/$AN$7)*100)</f>
        <v/>
      </c>
      <c r="AM93" s="523" t="str">
        <f t="shared" si="27"/>
        <v/>
      </c>
      <c r="AN93" s="523" t="str">
        <f t="shared" si="28"/>
        <v/>
      </c>
      <c r="AO93" s="523" t="str">
        <f t="shared" si="29"/>
        <v/>
      </c>
      <c r="AP93" s="523" t="e">
        <f>IF(((100-100/$AN$7*données_step[[#This Row],[E_PTOT]])/100*QTS)&lt;0,NA(),IF(OR(AM93&lt;0,AM93=""),NA(),((100-100/$AN$7*données_step[[#This Row],[E_PTOT]])/100*QTS)))</f>
        <v>#NUM!</v>
      </c>
      <c r="AQ93" s="524" t="e">
        <f t="shared" si="30"/>
        <v>#NUM!</v>
      </c>
      <c r="AR93" s="524" t="str">
        <f t="shared" si="31"/>
        <v/>
      </c>
      <c r="AT93" s="517">
        <f t="shared" si="32"/>
        <v>0.82</v>
      </c>
      <c r="AU93" s="501">
        <f t="shared" si="33"/>
        <v>82</v>
      </c>
      <c r="AV93" s="525" t="e">
        <f>PERCENTILE(analyses!$F$11:$F$375,$AT93)</f>
        <v>#NUM!</v>
      </c>
      <c r="AW93" s="7" t="e">
        <f>PERCENTILE(analyses!$I$11:$I$375,$AT93)</f>
        <v>#NUM!</v>
      </c>
      <c r="AX93" s="7" t="e">
        <f>PERCENTILE(analyses!$J$11:$J$375,$AT93)</f>
        <v>#NUM!</v>
      </c>
      <c r="AY93" s="523" t="str">
        <f>_xlfn.IFNA(IF(données_step[[#This Row],[E_DCO]]&lt;=0,NA(),charge_entree[[#This Row],[ch_E_DCO]]/constanten!$B$8*1000),"")</f>
        <v/>
      </c>
      <c r="AZ93" s="523" t="str">
        <f>_xlfn.IFNA(IF(données_step[[#This Row],[E_NTOT]]&lt;=0,NA(),charge_entree[[#This Row],[ch_E_NTOT]]/constanten!$B$10*1000),"")</f>
        <v/>
      </c>
      <c r="BA93" s="523" t="str">
        <f>_xlfn.IFNA(IF(données_step[[#This Row],[E_NH4]]&lt;=0,NA(),charge_entree[[#This Row],[ch_E_NH4]]/constanten!$B$12*1000),"")</f>
        <v/>
      </c>
      <c r="BB93" s="523" t="str">
        <f>_xlfn.IFNA(IF(données_step[[#This Row],[E_COT]]&lt;=0,NA(),charge_entree[[#This Row],[ch_E_COT]]/constanten!$B$9*1000),"")</f>
        <v/>
      </c>
      <c r="BC93" s="523" t="str">
        <f>IFERROR(_xlfn.IFNA(IF(données_step[[#This Row],[E_PTOT]]&lt;=0,NA(),charge_entree[[#This Row],[ch_E_PTOT]]/constanten!$B$15*1000),""),"")</f>
        <v/>
      </c>
      <c r="BD93" s="535" t="e">
        <f>calculs!E93 * (1-0.4) / (données_step[[#This Row],[X_BA_VOL]]*données_step[[#This Row],[X_BACONC]])</f>
        <v>#VALUE!</v>
      </c>
      <c r="BE93" s="522" t="e">
        <f>(données_step[[#This Row],[X_BA_VOL]]*données_step[[#This Row],[X_BACONC]])/((données_step[[#This Row],[D_QTRAI2]]*données_step[[#This Row],[S_MES]]/1000)+(données_step[[#This Row],[X_BX_Q]]*données_step[[#This Row],[X_BXCONC]]))</f>
        <v>#VALUE!</v>
      </c>
      <c r="BF93" s="890" t="str">
        <f>IFERROR(données_step[[#This Row],[D_QTRAI]]/AY93*1000,"")</f>
        <v/>
      </c>
      <c r="BG93" s="535" t="str">
        <f>IFERROR(1-données_step[[#This Row],[S_DBO5]]/données_step[[#This Row],[E_DBO5]],"")</f>
        <v/>
      </c>
      <c r="BH93" s="536" t="str">
        <f>IFERROR(1-données_step[[#This Row],[S_DCO]]/données_step[[#This Row],[E_DCO]],"")</f>
        <v/>
      </c>
      <c r="BI93" s="535" t="str">
        <f>IFERROR(1-données_step[[#This Row],[S_COD]]/données_step[[#This Row],[E_COT]],"")</f>
        <v/>
      </c>
      <c r="BJ93" s="535" t="str">
        <f>IFERROR(1-données_step[[#This Row],[S_NH4]]/données_step[[#This Row],[E_NTOT]],"")</f>
        <v/>
      </c>
      <c r="BK93" s="535" t="str">
        <f>IFERROR(1-données_step[[#This Row],[S_PTOT]]/données_step[[#This Row],[E_PTOT]],"")</f>
        <v/>
      </c>
      <c r="BL93" s="521" t="str">
        <f>IFERROR(IF(données_step[[#This Row],[E_DCO]]/données_step[[#This Row],[E_DBO5]]=0,NA(),données_step[[#This Row],[E_DCO]]/données_step[[#This Row],[E_DBO5]]),"")</f>
        <v/>
      </c>
      <c r="BM93" s="521" t="str">
        <f>IFERROR(IF(données_step[[#This Row],[E_NH4]]/données_step[[#This Row],[E_NTOT]]=0,NA(),données_step[[#This Row],[E_NH4]]/données_step[[#This Row],[E_NTOT]]),"")</f>
        <v/>
      </c>
      <c r="BN93" s="521" t="str">
        <f>IFERROR(IF(données_step[[#This Row],[E_NTOT]]/données_step[[#This Row],[E_COT]]=0,NA(),données_step[[#This Row],[E_NTOT]]/données_step[[#This Row],[E_COT]]),"")</f>
        <v/>
      </c>
      <c r="BO93" s="521" t="str">
        <f>IFERROR(IF(données_step[[#This Row],[E_PTOT]]/données_step[[#This Row],[E_COT]]=0,NA(),données_step[[#This Row],[E_PTOT]]/données_step[[#This Row],[E_COT]]),"")</f>
        <v/>
      </c>
      <c r="BP93" s="521" t="e">
        <f>IF(données_step[[#This Row],[E_DCO]]/données_step[[#This Row],[E_COT]]=0,NA(),données_step[[#This Row],[E_DCO]]/données_step[[#This Row],[E_COT]])</f>
        <v>#DIV/0!</v>
      </c>
      <c r="BQ93" s="521" t="e">
        <f>IF(données_step[[#This Row],[E_NTOT]]/données_step[[#This Row],[E_DCO]]=0,NA(),données_step[[#This Row],[E_NTOT]]/données_step[[#This Row],[E_DCO]])</f>
        <v>#DIV/0!</v>
      </c>
      <c r="BR93" s="521" t="e">
        <f>IF(données_step[[#This Row],[E_PTOT]]/données_step[[#This Row],[E_DCO]]=0,NA(),données_step[[#This Row],[E_PTOT]]/données_step[[#This Row],[E_DCO]])</f>
        <v>#DIV/0!</v>
      </c>
      <c r="BS93" s="747" t="e">
        <f ca="1">test_NH4_temp(données_step[[#This Row],[S_NH4]],données_step[[#This Row],[Temp_eaux]])</f>
        <v>#NAME?</v>
      </c>
    </row>
    <row r="94" spans="1:71" x14ac:dyDescent="0.2">
      <c r="A94" s="222">
        <f>données_step[[#This Row],[Datum]]</f>
        <v>44645</v>
      </c>
      <c r="B94" s="223"/>
      <c r="C94" s="224">
        <f t="shared" si="17"/>
        <v>6</v>
      </c>
      <c r="D94" s="523" t="str">
        <f>IF(OR(données_step[[#This Row],[E_DBO5]]&lt;=0,données_step[[#This Row],[E_DBO5]]=""),"",données_step[[#This Row],[D_QTRAI]]*données_step[[#This Row],[E_DBO5]]/1000)</f>
        <v/>
      </c>
      <c r="E94" s="523" t="str">
        <f>IF(OR(données_step[[#This Row],[E_DCO]]&lt;=0,données_step[[#This Row],[E_DCO]]=""),"",données_step[[#This Row],[D_QTRAI]]*données_step[[#This Row],[E_DCO]]/1000)</f>
        <v/>
      </c>
      <c r="F94" s="523" t="str">
        <f>IF(OR(données_step[[#This Row],[E_COT]]&lt;=0,données_step[[#This Row],[E_COT]]=""),"",données_step[[#This Row],[D_QTRAI]]*données_step[[#This Row],[E_COT]]/1000)</f>
        <v/>
      </c>
      <c r="G94" s="523" t="str">
        <f>IF(OR(données_step[[#This Row],[E_NH4]]&lt;=0,données_step[[#This Row],[E_NH4]]=""),"",données_step[[#This Row],[D_QTRAI]]*données_step[[#This Row],[E_NH4]]/1000)</f>
        <v/>
      </c>
      <c r="H94" s="523" t="str">
        <f>IF(OR(données_step[[#This Row],[E_NTOT]]&lt;=0,données_step[[#This Row],[E_NTOT]]=""),"",données_step[[#This Row],[D_QTRAI]]*données_step[[#This Row],[E_NTOT]]/1000)</f>
        <v/>
      </c>
      <c r="I94" s="523" t="str">
        <f>IF(OR(données_step[[#This Row],[E_NTOT]]&lt;=0,données_step[[#This Row],[E_NTOT]]=""),"",données_step[[#This Row],[D_QTRAI]]*données_step[[#This Row],[E_PTOT]]/1000)</f>
        <v/>
      </c>
      <c r="J94" s="523" t="str">
        <f>IF(OR(données_step[[#This Row],[S_DBO5]]&lt;=0,données_step[[#This Row],[S_DBO5]]=""),"",données_step[[#This Row],[D_QTRAI]]*données_step[[#This Row],[S_DBO5]]/1000)</f>
        <v/>
      </c>
      <c r="K94" s="523" t="str">
        <f>IF(OR(données_step[[#This Row],[S_DCO]]&lt;=0,données_step[[#This Row],[S_DCO]]=""),"",données_step[[#This Row],[D_QTRAI]]*données_step[[#This Row],[S_DCO]]/1000)</f>
        <v/>
      </c>
      <c r="L94" s="523" t="str">
        <f>IF(OR(données_step[[#This Row],[S_COD]]&lt;=0,données_step[[#This Row],[S_COD]]=""),"",données_step[[#This Row],[D_QTRAI]]*données_step[[#This Row],[S_COD]]/1000)</f>
        <v/>
      </c>
      <c r="M94" s="523" t="str">
        <f>IF(OR(données_step[[#This Row],[S_NH4]]&lt;=0,données_step[[#This Row],[S_NH4]]=""),"",données_step[[#This Row],[D_QTRAI]]*données_step[[#This Row],[S_NH4]]/1000)</f>
        <v/>
      </c>
      <c r="N94" s="523" t="str">
        <f>IF(OR(données_step[[#This Row],[S_NO2]]&lt;=0,données_step[[#This Row],[S_NO2]]=""),"",données_step[[#This Row],[D_QTRAI]]*données_step[[#This Row],[S_NO2]]/1000)</f>
        <v/>
      </c>
      <c r="O94" s="523" t="str">
        <f>IF(OR(données_step[[#This Row],[S_NO3]]&lt;=0,données_step[[#This Row],[S_NO3]]=""),"",données_step[[#This Row],[D_QTRAI]]*données_step[[#This Row],[S_NO3]]/1000)</f>
        <v/>
      </c>
      <c r="P94" s="523" t="str">
        <f>IF(OR(données_step[[#This Row],[S_PTOT]]&lt;=0,données_step[[#This Row],[S_PTOT]]=""),"",données_step[[#This Row],[D_QTRAI]]*données_step[[#This Row],[S_PTOT]]/1000)</f>
        <v/>
      </c>
      <c r="Q94" s="523" t="str">
        <f>IF(OR(données_step[[#This Row],[S_MES]]&lt;=0,données_step[[#This Row],[S_MES]]=""),"",données_step[[#This Row],[D_QTRAI]]*données_step[[#This Row],[S_MES]]/1000)</f>
        <v/>
      </c>
      <c r="R94" s="523">
        <f>MAX(données_step[[#This Row],[D_QTRAI]],données_step[[#This Row],[D_QTRAI2]])</f>
        <v>0</v>
      </c>
      <c r="S94" s="523" t="str">
        <f>IF(AND($R94&gt;0,données_step[[#This Row],[E_DCO]]&gt;0),données_step[[#This Row],[E_DCO]],"")</f>
        <v/>
      </c>
      <c r="T94" s="523" t="str">
        <f>IF(S94="","",(1-données_step[[#This Row],[E_DCO]]/$V$7)*100)</f>
        <v/>
      </c>
      <c r="U94" s="523" t="str">
        <f t="shared" si="18"/>
        <v/>
      </c>
      <c r="V94" s="523" t="str">
        <f t="shared" si="19"/>
        <v/>
      </c>
      <c r="W94" s="523" t="str">
        <f t="shared" si="20"/>
        <v/>
      </c>
      <c r="X94" s="523" t="e">
        <f>IF(((100-100/$V$7*données_step[[#This Row],[E_DCO]])/100*QTS)&lt;0,NA(),IF(OR(U94&lt;0,U94=""),NA(),((100-100/$V$7*données_step[[#This Row],[E_DCO]])/100*QTS)))</f>
        <v>#NUM!</v>
      </c>
      <c r="Y94" s="523" t="str">
        <f>IF(AND($R94&gt;0,données_step[[#This Row],[E_COT]]&gt;0),données_step[[#This Row],[E_COT]],"")</f>
        <v/>
      </c>
      <c r="Z94" s="523" t="str">
        <f>IF(Y94="","",(1-données_step[[#This Row],[E_COT]]/$AB$7)*100)</f>
        <v/>
      </c>
      <c r="AA94" s="523" t="str">
        <f t="shared" si="21"/>
        <v/>
      </c>
      <c r="AB94" s="523" t="str">
        <f t="shared" si="22"/>
        <v/>
      </c>
      <c r="AC94" s="523" t="str">
        <f t="shared" si="23"/>
        <v/>
      </c>
      <c r="AD94" s="523" t="e">
        <f>IF(((100-100/$AB$7*données_step[[#This Row],[E_COT]])/100*QTS)&lt;0,NA(),IF(OR(AA94&lt;0,AA94=""),NA(),((100-100/$AB$7*données_step[[#This Row],[E_COT]])/100*QTS)))</f>
        <v>#NUM!</v>
      </c>
      <c r="AE94" s="523" t="str">
        <f>IF(AND($R94&gt;0,données_step[[#This Row],[E_NH4]]&gt;0),données_step[[#This Row],[E_NH4]],"")</f>
        <v/>
      </c>
      <c r="AF94" s="523" t="str">
        <f>IF(AE94="","",(1-données_step[[#This Row],[E_NH4]]/$AH$7)*100)</f>
        <v/>
      </c>
      <c r="AG94" s="523" t="str">
        <f t="shared" si="24"/>
        <v/>
      </c>
      <c r="AH94" s="523" t="str">
        <f t="shared" si="25"/>
        <v/>
      </c>
      <c r="AI94" s="523" t="str">
        <f t="shared" si="26"/>
        <v/>
      </c>
      <c r="AJ94" s="523" t="e">
        <f>IF(((100-100/$AH$7*données_step[[#This Row],[E_NH4]])/100*QTS)&lt;0,NA(),IF(OR(AG94&lt;0,AG94=""),NA(),((100-100/$AH$7*données_step[[#This Row],[E_NH4]])/100*QTS)))</f>
        <v>#NUM!</v>
      </c>
      <c r="AK94" s="523" t="str">
        <f>IF(AND($R94&gt;0,données_step[[#This Row],[E_PTOT]]&gt;0),données_step[[#This Row],[E_PTOT]],"")</f>
        <v/>
      </c>
      <c r="AL94" s="523" t="str">
        <f>IF(AK94="","",(1-données_step[[#This Row],[E_PTOT]]/$AN$7)*100)</f>
        <v/>
      </c>
      <c r="AM94" s="523" t="str">
        <f t="shared" si="27"/>
        <v/>
      </c>
      <c r="AN94" s="523" t="str">
        <f t="shared" si="28"/>
        <v/>
      </c>
      <c r="AO94" s="523" t="str">
        <f t="shared" si="29"/>
        <v/>
      </c>
      <c r="AP94" s="523" t="e">
        <f>IF(((100-100/$AN$7*données_step[[#This Row],[E_PTOT]])/100*QTS)&lt;0,NA(),IF(OR(AM94&lt;0,AM94=""),NA(),((100-100/$AN$7*données_step[[#This Row],[E_PTOT]])/100*QTS)))</f>
        <v>#NUM!</v>
      </c>
      <c r="AQ94" s="524" t="e">
        <f t="shared" si="30"/>
        <v>#NUM!</v>
      </c>
      <c r="AR94" s="524" t="str">
        <f t="shared" si="31"/>
        <v/>
      </c>
      <c r="AT94" s="517">
        <f t="shared" si="32"/>
        <v>0.83</v>
      </c>
      <c r="AU94" s="501">
        <f t="shared" si="33"/>
        <v>83</v>
      </c>
      <c r="AV94" s="525" t="e">
        <f>PERCENTILE(analyses!$F$11:$F$375,$AT94)</f>
        <v>#NUM!</v>
      </c>
      <c r="AW94" s="7" t="e">
        <f>PERCENTILE(analyses!$I$11:$I$375,$AT94)</f>
        <v>#NUM!</v>
      </c>
      <c r="AX94" s="7" t="e">
        <f>PERCENTILE(analyses!$J$11:$J$375,$AT94)</f>
        <v>#NUM!</v>
      </c>
      <c r="AY94" s="523" t="str">
        <f>_xlfn.IFNA(IF(données_step[[#This Row],[E_DCO]]&lt;=0,NA(),charge_entree[[#This Row],[ch_E_DCO]]/constanten!$B$8*1000),"")</f>
        <v/>
      </c>
      <c r="AZ94" s="523" t="str">
        <f>_xlfn.IFNA(IF(données_step[[#This Row],[E_NTOT]]&lt;=0,NA(),charge_entree[[#This Row],[ch_E_NTOT]]/constanten!$B$10*1000),"")</f>
        <v/>
      </c>
      <c r="BA94" s="523" t="str">
        <f>_xlfn.IFNA(IF(données_step[[#This Row],[E_NH4]]&lt;=0,NA(),charge_entree[[#This Row],[ch_E_NH4]]/constanten!$B$12*1000),"")</f>
        <v/>
      </c>
      <c r="BB94" s="523" t="str">
        <f>_xlfn.IFNA(IF(données_step[[#This Row],[E_COT]]&lt;=0,NA(),charge_entree[[#This Row],[ch_E_COT]]/constanten!$B$9*1000),"")</f>
        <v/>
      </c>
      <c r="BC94" s="523" t="str">
        <f>IFERROR(_xlfn.IFNA(IF(données_step[[#This Row],[E_PTOT]]&lt;=0,NA(),charge_entree[[#This Row],[ch_E_PTOT]]/constanten!$B$15*1000),""),"")</f>
        <v/>
      </c>
      <c r="BD94" s="535" t="e">
        <f>calculs!E94 * (1-0.4) / (données_step[[#This Row],[X_BA_VOL]]*données_step[[#This Row],[X_BACONC]])</f>
        <v>#VALUE!</v>
      </c>
      <c r="BE94" s="522" t="e">
        <f>(données_step[[#This Row],[X_BA_VOL]]*données_step[[#This Row],[X_BACONC]])/((données_step[[#This Row],[D_QTRAI2]]*données_step[[#This Row],[S_MES]]/1000)+(données_step[[#This Row],[X_BX_Q]]*données_step[[#This Row],[X_BXCONC]]))</f>
        <v>#VALUE!</v>
      </c>
      <c r="BF94" s="890" t="str">
        <f>IFERROR(données_step[[#This Row],[D_QTRAI]]/AY94*1000,"")</f>
        <v/>
      </c>
      <c r="BG94" s="535" t="str">
        <f>IFERROR(1-données_step[[#This Row],[S_DBO5]]/données_step[[#This Row],[E_DBO5]],"")</f>
        <v/>
      </c>
      <c r="BH94" s="536" t="str">
        <f>IFERROR(1-données_step[[#This Row],[S_DCO]]/données_step[[#This Row],[E_DCO]],"")</f>
        <v/>
      </c>
      <c r="BI94" s="535" t="str">
        <f>IFERROR(1-données_step[[#This Row],[S_COD]]/données_step[[#This Row],[E_COT]],"")</f>
        <v/>
      </c>
      <c r="BJ94" s="535" t="str">
        <f>IFERROR(1-données_step[[#This Row],[S_NH4]]/données_step[[#This Row],[E_NTOT]],"")</f>
        <v/>
      </c>
      <c r="BK94" s="535" t="str">
        <f>IFERROR(1-données_step[[#This Row],[S_PTOT]]/données_step[[#This Row],[E_PTOT]],"")</f>
        <v/>
      </c>
      <c r="BL94" s="521" t="str">
        <f>IFERROR(IF(données_step[[#This Row],[E_DCO]]/données_step[[#This Row],[E_DBO5]]=0,NA(),données_step[[#This Row],[E_DCO]]/données_step[[#This Row],[E_DBO5]]),"")</f>
        <v/>
      </c>
      <c r="BM94" s="521" t="str">
        <f>IFERROR(IF(données_step[[#This Row],[E_NH4]]/données_step[[#This Row],[E_NTOT]]=0,NA(),données_step[[#This Row],[E_NH4]]/données_step[[#This Row],[E_NTOT]]),"")</f>
        <v/>
      </c>
      <c r="BN94" s="521" t="str">
        <f>IFERROR(IF(données_step[[#This Row],[E_NTOT]]/données_step[[#This Row],[E_COT]]=0,NA(),données_step[[#This Row],[E_NTOT]]/données_step[[#This Row],[E_COT]]),"")</f>
        <v/>
      </c>
      <c r="BO94" s="521" t="str">
        <f>IFERROR(IF(données_step[[#This Row],[E_PTOT]]/données_step[[#This Row],[E_COT]]=0,NA(),données_step[[#This Row],[E_PTOT]]/données_step[[#This Row],[E_COT]]),"")</f>
        <v/>
      </c>
      <c r="BP94" s="521" t="e">
        <f>IF(données_step[[#This Row],[E_DCO]]/données_step[[#This Row],[E_COT]]=0,NA(),données_step[[#This Row],[E_DCO]]/données_step[[#This Row],[E_COT]])</f>
        <v>#DIV/0!</v>
      </c>
      <c r="BQ94" s="521" t="e">
        <f>IF(données_step[[#This Row],[E_NTOT]]/données_step[[#This Row],[E_DCO]]=0,NA(),données_step[[#This Row],[E_NTOT]]/données_step[[#This Row],[E_DCO]])</f>
        <v>#DIV/0!</v>
      </c>
      <c r="BR94" s="521" t="e">
        <f>IF(données_step[[#This Row],[E_PTOT]]/données_step[[#This Row],[E_DCO]]=0,NA(),données_step[[#This Row],[E_PTOT]]/données_step[[#This Row],[E_DCO]])</f>
        <v>#DIV/0!</v>
      </c>
      <c r="BS94" s="747" t="e">
        <f ca="1">test_NH4_temp(données_step[[#This Row],[S_NH4]],données_step[[#This Row],[Temp_eaux]])</f>
        <v>#NAME?</v>
      </c>
    </row>
    <row r="95" spans="1:71" x14ac:dyDescent="0.2">
      <c r="A95" s="222">
        <f>données_step[[#This Row],[Datum]]</f>
        <v>44646</v>
      </c>
      <c r="B95" s="223"/>
      <c r="C95" s="224">
        <f t="shared" si="17"/>
        <v>7</v>
      </c>
      <c r="D95" s="523" t="str">
        <f>IF(OR(données_step[[#This Row],[E_DBO5]]&lt;=0,données_step[[#This Row],[E_DBO5]]=""),"",données_step[[#This Row],[D_QTRAI]]*données_step[[#This Row],[E_DBO5]]/1000)</f>
        <v/>
      </c>
      <c r="E95" s="523" t="str">
        <f>IF(OR(données_step[[#This Row],[E_DCO]]&lt;=0,données_step[[#This Row],[E_DCO]]=""),"",données_step[[#This Row],[D_QTRAI]]*données_step[[#This Row],[E_DCO]]/1000)</f>
        <v/>
      </c>
      <c r="F95" s="523" t="str">
        <f>IF(OR(données_step[[#This Row],[E_COT]]&lt;=0,données_step[[#This Row],[E_COT]]=""),"",données_step[[#This Row],[D_QTRAI]]*données_step[[#This Row],[E_COT]]/1000)</f>
        <v/>
      </c>
      <c r="G95" s="523" t="str">
        <f>IF(OR(données_step[[#This Row],[E_NH4]]&lt;=0,données_step[[#This Row],[E_NH4]]=""),"",données_step[[#This Row],[D_QTRAI]]*données_step[[#This Row],[E_NH4]]/1000)</f>
        <v/>
      </c>
      <c r="H95" s="523" t="str">
        <f>IF(OR(données_step[[#This Row],[E_NTOT]]&lt;=0,données_step[[#This Row],[E_NTOT]]=""),"",données_step[[#This Row],[D_QTRAI]]*données_step[[#This Row],[E_NTOT]]/1000)</f>
        <v/>
      </c>
      <c r="I95" s="523" t="str">
        <f>IF(OR(données_step[[#This Row],[E_NTOT]]&lt;=0,données_step[[#This Row],[E_NTOT]]=""),"",données_step[[#This Row],[D_QTRAI]]*données_step[[#This Row],[E_PTOT]]/1000)</f>
        <v/>
      </c>
      <c r="J95" s="523" t="str">
        <f>IF(OR(données_step[[#This Row],[S_DBO5]]&lt;=0,données_step[[#This Row],[S_DBO5]]=""),"",données_step[[#This Row],[D_QTRAI]]*données_step[[#This Row],[S_DBO5]]/1000)</f>
        <v/>
      </c>
      <c r="K95" s="523" t="str">
        <f>IF(OR(données_step[[#This Row],[S_DCO]]&lt;=0,données_step[[#This Row],[S_DCO]]=""),"",données_step[[#This Row],[D_QTRAI]]*données_step[[#This Row],[S_DCO]]/1000)</f>
        <v/>
      </c>
      <c r="L95" s="523" t="str">
        <f>IF(OR(données_step[[#This Row],[S_COD]]&lt;=0,données_step[[#This Row],[S_COD]]=""),"",données_step[[#This Row],[D_QTRAI]]*données_step[[#This Row],[S_COD]]/1000)</f>
        <v/>
      </c>
      <c r="M95" s="523" t="str">
        <f>IF(OR(données_step[[#This Row],[S_NH4]]&lt;=0,données_step[[#This Row],[S_NH4]]=""),"",données_step[[#This Row],[D_QTRAI]]*données_step[[#This Row],[S_NH4]]/1000)</f>
        <v/>
      </c>
      <c r="N95" s="523" t="str">
        <f>IF(OR(données_step[[#This Row],[S_NO2]]&lt;=0,données_step[[#This Row],[S_NO2]]=""),"",données_step[[#This Row],[D_QTRAI]]*données_step[[#This Row],[S_NO2]]/1000)</f>
        <v/>
      </c>
      <c r="O95" s="523" t="str">
        <f>IF(OR(données_step[[#This Row],[S_NO3]]&lt;=0,données_step[[#This Row],[S_NO3]]=""),"",données_step[[#This Row],[D_QTRAI]]*données_step[[#This Row],[S_NO3]]/1000)</f>
        <v/>
      </c>
      <c r="P95" s="523" t="str">
        <f>IF(OR(données_step[[#This Row],[S_PTOT]]&lt;=0,données_step[[#This Row],[S_PTOT]]=""),"",données_step[[#This Row],[D_QTRAI]]*données_step[[#This Row],[S_PTOT]]/1000)</f>
        <v/>
      </c>
      <c r="Q95" s="523" t="str">
        <f>IF(OR(données_step[[#This Row],[S_MES]]&lt;=0,données_step[[#This Row],[S_MES]]=""),"",données_step[[#This Row],[D_QTRAI]]*données_step[[#This Row],[S_MES]]/1000)</f>
        <v/>
      </c>
      <c r="R95" s="523">
        <f>MAX(données_step[[#This Row],[D_QTRAI]],données_step[[#This Row],[D_QTRAI2]])</f>
        <v>0</v>
      </c>
      <c r="S95" s="523" t="str">
        <f>IF(AND($R95&gt;0,données_step[[#This Row],[E_DCO]]&gt;0),données_step[[#This Row],[E_DCO]],"")</f>
        <v/>
      </c>
      <c r="T95" s="523" t="str">
        <f>IF(S95="","",(1-données_step[[#This Row],[E_DCO]]/$V$7)*100)</f>
        <v/>
      </c>
      <c r="U95" s="523" t="str">
        <f t="shared" si="18"/>
        <v/>
      </c>
      <c r="V95" s="523" t="str">
        <f t="shared" si="19"/>
        <v/>
      </c>
      <c r="W95" s="523" t="str">
        <f t="shared" si="20"/>
        <v/>
      </c>
      <c r="X95" s="523" t="e">
        <f>IF(((100-100/$V$7*données_step[[#This Row],[E_DCO]])/100*QTS)&lt;0,NA(),IF(OR(U95&lt;0,U95=""),NA(),((100-100/$V$7*données_step[[#This Row],[E_DCO]])/100*QTS)))</f>
        <v>#NUM!</v>
      </c>
      <c r="Y95" s="523" t="str">
        <f>IF(AND($R95&gt;0,données_step[[#This Row],[E_COT]]&gt;0),données_step[[#This Row],[E_COT]],"")</f>
        <v/>
      </c>
      <c r="Z95" s="523" t="str">
        <f>IF(Y95="","",(1-données_step[[#This Row],[E_COT]]/$AB$7)*100)</f>
        <v/>
      </c>
      <c r="AA95" s="523" t="str">
        <f t="shared" si="21"/>
        <v/>
      </c>
      <c r="AB95" s="523" t="str">
        <f t="shared" si="22"/>
        <v/>
      </c>
      <c r="AC95" s="523" t="str">
        <f t="shared" si="23"/>
        <v/>
      </c>
      <c r="AD95" s="523" t="e">
        <f>IF(((100-100/$AB$7*données_step[[#This Row],[E_COT]])/100*QTS)&lt;0,NA(),IF(OR(AA95&lt;0,AA95=""),NA(),((100-100/$AB$7*données_step[[#This Row],[E_COT]])/100*QTS)))</f>
        <v>#NUM!</v>
      </c>
      <c r="AE95" s="523" t="str">
        <f>IF(AND($R95&gt;0,données_step[[#This Row],[E_NH4]]&gt;0),données_step[[#This Row],[E_NH4]],"")</f>
        <v/>
      </c>
      <c r="AF95" s="523" t="str">
        <f>IF(AE95="","",(1-données_step[[#This Row],[E_NH4]]/$AH$7)*100)</f>
        <v/>
      </c>
      <c r="AG95" s="523" t="str">
        <f t="shared" si="24"/>
        <v/>
      </c>
      <c r="AH95" s="523" t="str">
        <f t="shared" si="25"/>
        <v/>
      </c>
      <c r="AI95" s="523" t="str">
        <f t="shared" si="26"/>
        <v/>
      </c>
      <c r="AJ95" s="523" t="e">
        <f>IF(((100-100/$AH$7*données_step[[#This Row],[E_NH4]])/100*QTS)&lt;0,NA(),IF(OR(AG95&lt;0,AG95=""),NA(),((100-100/$AH$7*données_step[[#This Row],[E_NH4]])/100*QTS)))</f>
        <v>#NUM!</v>
      </c>
      <c r="AK95" s="523" t="str">
        <f>IF(AND($R95&gt;0,données_step[[#This Row],[E_PTOT]]&gt;0),données_step[[#This Row],[E_PTOT]],"")</f>
        <v/>
      </c>
      <c r="AL95" s="523" t="str">
        <f>IF(AK95="","",(1-données_step[[#This Row],[E_PTOT]]/$AN$7)*100)</f>
        <v/>
      </c>
      <c r="AM95" s="523" t="str">
        <f t="shared" si="27"/>
        <v/>
      </c>
      <c r="AN95" s="523" t="str">
        <f t="shared" si="28"/>
        <v/>
      </c>
      <c r="AO95" s="523" t="str">
        <f t="shared" si="29"/>
        <v/>
      </c>
      <c r="AP95" s="523" t="e">
        <f>IF(((100-100/$AN$7*données_step[[#This Row],[E_PTOT]])/100*QTS)&lt;0,NA(),IF(OR(AM95&lt;0,AM95=""),NA(),((100-100/$AN$7*données_step[[#This Row],[E_PTOT]])/100*QTS)))</f>
        <v>#NUM!</v>
      </c>
      <c r="AQ95" s="524" t="e">
        <f t="shared" si="30"/>
        <v>#NUM!</v>
      </c>
      <c r="AR95" s="524" t="str">
        <f t="shared" si="31"/>
        <v/>
      </c>
      <c r="AT95" s="517">
        <f t="shared" si="32"/>
        <v>0.84</v>
      </c>
      <c r="AU95" s="501">
        <f t="shared" si="33"/>
        <v>84</v>
      </c>
      <c r="AV95" s="525" t="e">
        <f>PERCENTILE(analyses!$F$11:$F$375,$AT95)</f>
        <v>#NUM!</v>
      </c>
      <c r="AW95" s="7" t="e">
        <f>PERCENTILE(analyses!$I$11:$I$375,$AT95)</f>
        <v>#NUM!</v>
      </c>
      <c r="AX95" s="7" t="e">
        <f>PERCENTILE(analyses!$J$11:$J$375,$AT95)</f>
        <v>#NUM!</v>
      </c>
      <c r="AY95" s="523" t="str">
        <f>_xlfn.IFNA(IF(données_step[[#This Row],[E_DCO]]&lt;=0,NA(),charge_entree[[#This Row],[ch_E_DCO]]/constanten!$B$8*1000),"")</f>
        <v/>
      </c>
      <c r="AZ95" s="523" t="str">
        <f>_xlfn.IFNA(IF(données_step[[#This Row],[E_NTOT]]&lt;=0,NA(),charge_entree[[#This Row],[ch_E_NTOT]]/constanten!$B$10*1000),"")</f>
        <v/>
      </c>
      <c r="BA95" s="523" t="str">
        <f>_xlfn.IFNA(IF(données_step[[#This Row],[E_NH4]]&lt;=0,NA(),charge_entree[[#This Row],[ch_E_NH4]]/constanten!$B$12*1000),"")</f>
        <v/>
      </c>
      <c r="BB95" s="523" t="str">
        <f>_xlfn.IFNA(IF(données_step[[#This Row],[E_COT]]&lt;=0,NA(),charge_entree[[#This Row],[ch_E_COT]]/constanten!$B$9*1000),"")</f>
        <v/>
      </c>
      <c r="BC95" s="523" t="str">
        <f>IFERROR(_xlfn.IFNA(IF(données_step[[#This Row],[E_PTOT]]&lt;=0,NA(),charge_entree[[#This Row],[ch_E_PTOT]]/constanten!$B$15*1000),""),"")</f>
        <v/>
      </c>
      <c r="BD95" s="535" t="e">
        <f>calculs!E95 * (1-0.4) / (données_step[[#This Row],[X_BA_VOL]]*données_step[[#This Row],[X_BACONC]])</f>
        <v>#VALUE!</v>
      </c>
      <c r="BE95" s="522" t="e">
        <f>(données_step[[#This Row],[X_BA_VOL]]*données_step[[#This Row],[X_BACONC]])/((données_step[[#This Row],[D_QTRAI2]]*données_step[[#This Row],[S_MES]]/1000)+(données_step[[#This Row],[X_BX_Q]]*données_step[[#This Row],[X_BXCONC]]))</f>
        <v>#VALUE!</v>
      </c>
      <c r="BF95" s="890" t="str">
        <f>IFERROR(données_step[[#This Row],[D_QTRAI]]/AY95*1000,"")</f>
        <v/>
      </c>
      <c r="BG95" s="535" t="str">
        <f>IFERROR(1-données_step[[#This Row],[S_DBO5]]/données_step[[#This Row],[E_DBO5]],"")</f>
        <v/>
      </c>
      <c r="BH95" s="536" t="str">
        <f>IFERROR(1-données_step[[#This Row],[S_DCO]]/données_step[[#This Row],[E_DCO]],"")</f>
        <v/>
      </c>
      <c r="BI95" s="535" t="str">
        <f>IFERROR(1-données_step[[#This Row],[S_COD]]/données_step[[#This Row],[E_COT]],"")</f>
        <v/>
      </c>
      <c r="BJ95" s="535" t="str">
        <f>IFERROR(1-données_step[[#This Row],[S_NH4]]/données_step[[#This Row],[E_NTOT]],"")</f>
        <v/>
      </c>
      <c r="BK95" s="535" t="str">
        <f>IFERROR(1-données_step[[#This Row],[S_PTOT]]/données_step[[#This Row],[E_PTOT]],"")</f>
        <v/>
      </c>
      <c r="BL95" s="521" t="str">
        <f>IFERROR(IF(données_step[[#This Row],[E_DCO]]/données_step[[#This Row],[E_DBO5]]=0,NA(),données_step[[#This Row],[E_DCO]]/données_step[[#This Row],[E_DBO5]]),"")</f>
        <v/>
      </c>
      <c r="BM95" s="521" t="str">
        <f>IFERROR(IF(données_step[[#This Row],[E_NH4]]/données_step[[#This Row],[E_NTOT]]=0,NA(),données_step[[#This Row],[E_NH4]]/données_step[[#This Row],[E_NTOT]]),"")</f>
        <v/>
      </c>
      <c r="BN95" s="521" t="str">
        <f>IFERROR(IF(données_step[[#This Row],[E_NTOT]]/données_step[[#This Row],[E_COT]]=0,NA(),données_step[[#This Row],[E_NTOT]]/données_step[[#This Row],[E_COT]]),"")</f>
        <v/>
      </c>
      <c r="BO95" s="521" t="str">
        <f>IFERROR(IF(données_step[[#This Row],[E_PTOT]]/données_step[[#This Row],[E_COT]]=0,NA(),données_step[[#This Row],[E_PTOT]]/données_step[[#This Row],[E_COT]]),"")</f>
        <v/>
      </c>
      <c r="BP95" s="521" t="e">
        <f>IF(données_step[[#This Row],[E_DCO]]/données_step[[#This Row],[E_COT]]=0,NA(),données_step[[#This Row],[E_DCO]]/données_step[[#This Row],[E_COT]])</f>
        <v>#DIV/0!</v>
      </c>
      <c r="BQ95" s="521" t="e">
        <f>IF(données_step[[#This Row],[E_NTOT]]/données_step[[#This Row],[E_DCO]]=0,NA(),données_step[[#This Row],[E_NTOT]]/données_step[[#This Row],[E_DCO]])</f>
        <v>#DIV/0!</v>
      </c>
      <c r="BR95" s="521" t="e">
        <f>IF(données_step[[#This Row],[E_PTOT]]/données_step[[#This Row],[E_DCO]]=0,NA(),données_step[[#This Row],[E_PTOT]]/données_step[[#This Row],[E_DCO]])</f>
        <v>#DIV/0!</v>
      </c>
      <c r="BS95" s="747" t="e">
        <f ca="1">test_NH4_temp(données_step[[#This Row],[S_NH4]],données_step[[#This Row],[Temp_eaux]])</f>
        <v>#NAME?</v>
      </c>
    </row>
    <row r="96" spans="1:71" x14ac:dyDescent="0.2">
      <c r="A96" s="222">
        <f>données_step[[#This Row],[Datum]]</f>
        <v>44647</v>
      </c>
      <c r="B96" s="223"/>
      <c r="C96" s="224">
        <f t="shared" ref="C96:C159" si="34">WEEKDAY(A96)</f>
        <v>1</v>
      </c>
      <c r="D96" s="523" t="str">
        <f>IF(OR(données_step[[#This Row],[E_DBO5]]&lt;=0,données_step[[#This Row],[E_DBO5]]=""),"",données_step[[#This Row],[D_QTRAI]]*données_step[[#This Row],[E_DBO5]]/1000)</f>
        <v/>
      </c>
      <c r="E96" s="523" t="str">
        <f>IF(OR(données_step[[#This Row],[E_DCO]]&lt;=0,données_step[[#This Row],[E_DCO]]=""),"",données_step[[#This Row],[D_QTRAI]]*données_step[[#This Row],[E_DCO]]/1000)</f>
        <v/>
      </c>
      <c r="F96" s="523" t="str">
        <f>IF(OR(données_step[[#This Row],[E_COT]]&lt;=0,données_step[[#This Row],[E_COT]]=""),"",données_step[[#This Row],[D_QTRAI]]*données_step[[#This Row],[E_COT]]/1000)</f>
        <v/>
      </c>
      <c r="G96" s="523" t="str">
        <f>IF(OR(données_step[[#This Row],[E_NH4]]&lt;=0,données_step[[#This Row],[E_NH4]]=""),"",données_step[[#This Row],[D_QTRAI]]*données_step[[#This Row],[E_NH4]]/1000)</f>
        <v/>
      </c>
      <c r="H96" s="523" t="str">
        <f>IF(OR(données_step[[#This Row],[E_NTOT]]&lt;=0,données_step[[#This Row],[E_NTOT]]=""),"",données_step[[#This Row],[D_QTRAI]]*données_step[[#This Row],[E_NTOT]]/1000)</f>
        <v/>
      </c>
      <c r="I96" s="523" t="str">
        <f>IF(OR(données_step[[#This Row],[E_NTOT]]&lt;=0,données_step[[#This Row],[E_NTOT]]=""),"",données_step[[#This Row],[D_QTRAI]]*données_step[[#This Row],[E_PTOT]]/1000)</f>
        <v/>
      </c>
      <c r="J96" s="523" t="str">
        <f>IF(OR(données_step[[#This Row],[S_DBO5]]&lt;=0,données_step[[#This Row],[S_DBO5]]=""),"",données_step[[#This Row],[D_QTRAI]]*données_step[[#This Row],[S_DBO5]]/1000)</f>
        <v/>
      </c>
      <c r="K96" s="523" t="str">
        <f>IF(OR(données_step[[#This Row],[S_DCO]]&lt;=0,données_step[[#This Row],[S_DCO]]=""),"",données_step[[#This Row],[D_QTRAI]]*données_step[[#This Row],[S_DCO]]/1000)</f>
        <v/>
      </c>
      <c r="L96" s="523" t="str">
        <f>IF(OR(données_step[[#This Row],[S_COD]]&lt;=0,données_step[[#This Row],[S_COD]]=""),"",données_step[[#This Row],[D_QTRAI]]*données_step[[#This Row],[S_COD]]/1000)</f>
        <v/>
      </c>
      <c r="M96" s="523" t="str">
        <f>IF(OR(données_step[[#This Row],[S_NH4]]&lt;=0,données_step[[#This Row],[S_NH4]]=""),"",données_step[[#This Row],[D_QTRAI]]*données_step[[#This Row],[S_NH4]]/1000)</f>
        <v/>
      </c>
      <c r="N96" s="523" t="str">
        <f>IF(OR(données_step[[#This Row],[S_NO2]]&lt;=0,données_step[[#This Row],[S_NO2]]=""),"",données_step[[#This Row],[D_QTRAI]]*données_step[[#This Row],[S_NO2]]/1000)</f>
        <v/>
      </c>
      <c r="O96" s="523" t="str">
        <f>IF(OR(données_step[[#This Row],[S_NO3]]&lt;=0,données_step[[#This Row],[S_NO3]]=""),"",données_step[[#This Row],[D_QTRAI]]*données_step[[#This Row],[S_NO3]]/1000)</f>
        <v/>
      </c>
      <c r="P96" s="523" t="str">
        <f>IF(OR(données_step[[#This Row],[S_PTOT]]&lt;=0,données_step[[#This Row],[S_PTOT]]=""),"",données_step[[#This Row],[D_QTRAI]]*données_step[[#This Row],[S_PTOT]]/1000)</f>
        <v/>
      </c>
      <c r="Q96" s="523" t="str">
        <f>IF(OR(données_step[[#This Row],[S_MES]]&lt;=0,données_step[[#This Row],[S_MES]]=""),"",données_step[[#This Row],[D_QTRAI]]*données_step[[#This Row],[S_MES]]/1000)</f>
        <v/>
      </c>
      <c r="R96" s="523">
        <f>MAX(données_step[[#This Row],[D_QTRAI]],données_step[[#This Row],[D_QTRAI2]])</f>
        <v>0</v>
      </c>
      <c r="S96" s="523" t="str">
        <f>IF(AND($R96&gt;0,données_step[[#This Row],[E_DCO]]&gt;0),données_step[[#This Row],[E_DCO]],"")</f>
        <v/>
      </c>
      <c r="T96" s="523" t="str">
        <f>IF(S96="","",(1-données_step[[#This Row],[E_DCO]]/$V$7)*100)</f>
        <v/>
      </c>
      <c r="U96" s="523" t="str">
        <f t="shared" si="18"/>
        <v/>
      </c>
      <c r="V96" s="523" t="str">
        <f t="shared" si="19"/>
        <v/>
      </c>
      <c r="W96" s="523" t="str">
        <f t="shared" si="20"/>
        <v/>
      </c>
      <c r="X96" s="523" t="e">
        <f>IF(((100-100/$V$7*données_step[[#This Row],[E_DCO]])/100*QTS)&lt;0,NA(),IF(OR(U96&lt;0,U96=""),NA(),((100-100/$V$7*données_step[[#This Row],[E_DCO]])/100*QTS)))</f>
        <v>#NUM!</v>
      </c>
      <c r="Y96" s="523" t="str">
        <f>IF(AND($R96&gt;0,données_step[[#This Row],[E_COT]]&gt;0),données_step[[#This Row],[E_COT]],"")</f>
        <v/>
      </c>
      <c r="Z96" s="523" t="str">
        <f>IF(Y96="","",(1-données_step[[#This Row],[E_COT]]/$AB$7)*100)</f>
        <v/>
      </c>
      <c r="AA96" s="523" t="str">
        <f t="shared" si="21"/>
        <v/>
      </c>
      <c r="AB96" s="523" t="str">
        <f t="shared" si="22"/>
        <v/>
      </c>
      <c r="AC96" s="523" t="str">
        <f t="shared" si="23"/>
        <v/>
      </c>
      <c r="AD96" s="523" t="e">
        <f>IF(((100-100/$AB$7*données_step[[#This Row],[E_COT]])/100*QTS)&lt;0,NA(),IF(OR(AA96&lt;0,AA96=""),NA(),((100-100/$AB$7*données_step[[#This Row],[E_COT]])/100*QTS)))</f>
        <v>#NUM!</v>
      </c>
      <c r="AE96" s="523" t="str">
        <f>IF(AND($R96&gt;0,données_step[[#This Row],[E_NH4]]&gt;0),données_step[[#This Row],[E_NH4]],"")</f>
        <v/>
      </c>
      <c r="AF96" s="523" t="str">
        <f>IF(AE96="","",(1-données_step[[#This Row],[E_NH4]]/$AH$7)*100)</f>
        <v/>
      </c>
      <c r="AG96" s="523" t="str">
        <f t="shared" si="24"/>
        <v/>
      </c>
      <c r="AH96" s="523" t="str">
        <f t="shared" si="25"/>
        <v/>
      </c>
      <c r="AI96" s="523" t="str">
        <f t="shared" si="26"/>
        <v/>
      </c>
      <c r="AJ96" s="523" t="e">
        <f>IF(((100-100/$AH$7*données_step[[#This Row],[E_NH4]])/100*QTS)&lt;0,NA(),IF(OR(AG96&lt;0,AG96=""),NA(),((100-100/$AH$7*données_step[[#This Row],[E_NH4]])/100*QTS)))</f>
        <v>#NUM!</v>
      </c>
      <c r="AK96" s="523" t="str">
        <f>IF(AND($R96&gt;0,données_step[[#This Row],[E_PTOT]]&gt;0),données_step[[#This Row],[E_PTOT]],"")</f>
        <v/>
      </c>
      <c r="AL96" s="523" t="str">
        <f>IF(AK96="","",(1-données_step[[#This Row],[E_PTOT]]/$AN$7)*100)</f>
        <v/>
      </c>
      <c r="AM96" s="523" t="str">
        <f t="shared" si="27"/>
        <v/>
      </c>
      <c r="AN96" s="523" t="str">
        <f t="shared" si="28"/>
        <v/>
      </c>
      <c r="AO96" s="523" t="str">
        <f t="shared" si="29"/>
        <v/>
      </c>
      <c r="AP96" s="523" t="e">
        <f>IF(((100-100/$AN$7*données_step[[#This Row],[E_PTOT]])/100*QTS)&lt;0,NA(),IF(OR(AM96&lt;0,AM96=""),NA(),((100-100/$AN$7*données_step[[#This Row],[E_PTOT]])/100*QTS)))</f>
        <v>#NUM!</v>
      </c>
      <c r="AQ96" s="524" t="e">
        <f t="shared" si="30"/>
        <v>#NUM!</v>
      </c>
      <c r="AR96" s="524" t="str">
        <f t="shared" si="31"/>
        <v/>
      </c>
      <c r="AT96" s="517">
        <f t="shared" si="32"/>
        <v>0.85</v>
      </c>
      <c r="AU96" s="501">
        <f t="shared" si="33"/>
        <v>85</v>
      </c>
      <c r="AV96" s="525" t="e">
        <f>PERCENTILE(analyses!$F$11:$F$375,$AT96)</f>
        <v>#NUM!</v>
      </c>
      <c r="AW96" s="7" t="e">
        <f>PERCENTILE(analyses!$I$11:$I$375,$AT96)</f>
        <v>#NUM!</v>
      </c>
      <c r="AX96" s="7" t="e">
        <f>PERCENTILE(analyses!$J$11:$J$375,$AT96)</f>
        <v>#NUM!</v>
      </c>
      <c r="AY96" s="523" t="str">
        <f>_xlfn.IFNA(IF(données_step[[#This Row],[E_DCO]]&lt;=0,NA(),charge_entree[[#This Row],[ch_E_DCO]]/constanten!$B$8*1000),"")</f>
        <v/>
      </c>
      <c r="AZ96" s="523" t="str">
        <f>_xlfn.IFNA(IF(données_step[[#This Row],[E_NTOT]]&lt;=0,NA(),charge_entree[[#This Row],[ch_E_NTOT]]/constanten!$B$10*1000),"")</f>
        <v/>
      </c>
      <c r="BA96" s="523" t="str">
        <f>_xlfn.IFNA(IF(données_step[[#This Row],[E_NH4]]&lt;=0,NA(),charge_entree[[#This Row],[ch_E_NH4]]/constanten!$B$12*1000),"")</f>
        <v/>
      </c>
      <c r="BB96" s="523" t="str">
        <f>_xlfn.IFNA(IF(données_step[[#This Row],[E_COT]]&lt;=0,NA(),charge_entree[[#This Row],[ch_E_COT]]/constanten!$B$9*1000),"")</f>
        <v/>
      </c>
      <c r="BC96" s="523" t="str">
        <f>IFERROR(_xlfn.IFNA(IF(données_step[[#This Row],[E_PTOT]]&lt;=0,NA(),charge_entree[[#This Row],[ch_E_PTOT]]/constanten!$B$15*1000),""),"")</f>
        <v/>
      </c>
      <c r="BD96" s="535" t="e">
        <f>calculs!E96 * (1-0.4) / (données_step[[#This Row],[X_BA_VOL]]*données_step[[#This Row],[X_BACONC]])</f>
        <v>#VALUE!</v>
      </c>
      <c r="BE96" s="522" t="e">
        <f>(données_step[[#This Row],[X_BA_VOL]]*données_step[[#This Row],[X_BACONC]])/((données_step[[#This Row],[D_QTRAI2]]*données_step[[#This Row],[S_MES]]/1000)+(données_step[[#This Row],[X_BX_Q]]*données_step[[#This Row],[X_BXCONC]]))</f>
        <v>#VALUE!</v>
      </c>
      <c r="BF96" s="890" t="str">
        <f>IFERROR(données_step[[#This Row],[D_QTRAI]]/AY96*1000,"")</f>
        <v/>
      </c>
      <c r="BG96" s="535" t="str">
        <f>IFERROR(1-données_step[[#This Row],[S_DBO5]]/données_step[[#This Row],[E_DBO5]],"")</f>
        <v/>
      </c>
      <c r="BH96" s="536" t="str">
        <f>IFERROR(1-données_step[[#This Row],[S_DCO]]/données_step[[#This Row],[E_DCO]],"")</f>
        <v/>
      </c>
      <c r="BI96" s="535" t="str">
        <f>IFERROR(1-données_step[[#This Row],[S_COD]]/données_step[[#This Row],[E_COT]],"")</f>
        <v/>
      </c>
      <c r="BJ96" s="535" t="str">
        <f>IFERROR(1-données_step[[#This Row],[S_NH4]]/données_step[[#This Row],[E_NTOT]],"")</f>
        <v/>
      </c>
      <c r="BK96" s="535" t="str">
        <f>IFERROR(1-données_step[[#This Row],[S_PTOT]]/données_step[[#This Row],[E_PTOT]],"")</f>
        <v/>
      </c>
      <c r="BL96" s="521" t="str">
        <f>IFERROR(IF(données_step[[#This Row],[E_DCO]]/données_step[[#This Row],[E_DBO5]]=0,NA(),données_step[[#This Row],[E_DCO]]/données_step[[#This Row],[E_DBO5]]),"")</f>
        <v/>
      </c>
      <c r="BM96" s="521" t="str">
        <f>IFERROR(IF(données_step[[#This Row],[E_NH4]]/données_step[[#This Row],[E_NTOT]]=0,NA(),données_step[[#This Row],[E_NH4]]/données_step[[#This Row],[E_NTOT]]),"")</f>
        <v/>
      </c>
      <c r="BN96" s="521" t="str">
        <f>IFERROR(IF(données_step[[#This Row],[E_NTOT]]/données_step[[#This Row],[E_COT]]=0,NA(),données_step[[#This Row],[E_NTOT]]/données_step[[#This Row],[E_COT]]),"")</f>
        <v/>
      </c>
      <c r="BO96" s="521" t="str">
        <f>IFERROR(IF(données_step[[#This Row],[E_PTOT]]/données_step[[#This Row],[E_COT]]=0,NA(),données_step[[#This Row],[E_PTOT]]/données_step[[#This Row],[E_COT]]),"")</f>
        <v/>
      </c>
      <c r="BP96" s="521" t="e">
        <f>IF(données_step[[#This Row],[E_DCO]]/données_step[[#This Row],[E_COT]]=0,NA(),données_step[[#This Row],[E_DCO]]/données_step[[#This Row],[E_COT]])</f>
        <v>#DIV/0!</v>
      </c>
      <c r="BQ96" s="521" t="e">
        <f>IF(données_step[[#This Row],[E_NTOT]]/données_step[[#This Row],[E_DCO]]=0,NA(),données_step[[#This Row],[E_NTOT]]/données_step[[#This Row],[E_DCO]])</f>
        <v>#DIV/0!</v>
      </c>
      <c r="BR96" s="521" t="e">
        <f>IF(données_step[[#This Row],[E_PTOT]]/données_step[[#This Row],[E_DCO]]=0,NA(),données_step[[#This Row],[E_PTOT]]/données_step[[#This Row],[E_DCO]])</f>
        <v>#DIV/0!</v>
      </c>
      <c r="BS96" s="747" t="e">
        <f ca="1">test_NH4_temp(données_step[[#This Row],[S_NH4]],données_step[[#This Row],[Temp_eaux]])</f>
        <v>#NAME?</v>
      </c>
    </row>
    <row r="97" spans="1:71" x14ac:dyDescent="0.2">
      <c r="A97" s="222">
        <f>données_step[[#This Row],[Datum]]</f>
        <v>44648</v>
      </c>
      <c r="B97" s="223"/>
      <c r="C97" s="224">
        <f t="shared" si="34"/>
        <v>2</v>
      </c>
      <c r="D97" s="523" t="str">
        <f>IF(OR(données_step[[#This Row],[E_DBO5]]&lt;=0,données_step[[#This Row],[E_DBO5]]=""),"",données_step[[#This Row],[D_QTRAI]]*données_step[[#This Row],[E_DBO5]]/1000)</f>
        <v/>
      </c>
      <c r="E97" s="523" t="str">
        <f>IF(OR(données_step[[#This Row],[E_DCO]]&lt;=0,données_step[[#This Row],[E_DCO]]=""),"",données_step[[#This Row],[D_QTRAI]]*données_step[[#This Row],[E_DCO]]/1000)</f>
        <v/>
      </c>
      <c r="F97" s="523" t="str">
        <f>IF(OR(données_step[[#This Row],[E_COT]]&lt;=0,données_step[[#This Row],[E_COT]]=""),"",données_step[[#This Row],[D_QTRAI]]*données_step[[#This Row],[E_COT]]/1000)</f>
        <v/>
      </c>
      <c r="G97" s="523" t="str">
        <f>IF(OR(données_step[[#This Row],[E_NH4]]&lt;=0,données_step[[#This Row],[E_NH4]]=""),"",données_step[[#This Row],[D_QTRAI]]*données_step[[#This Row],[E_NH4]]/1000)</f>
        <v/>
      </c>
      <c r="H97" s="523" t="str">
        <f>IF(OR(données_step[[#This Row],[E_NTOT]]&lt;=0,données_step[[#This Row],[E_NTOT]]=""),"",données_step[[#This Row],[D_QTRAI]]*données_step[[#This Row],[E_NTOT]]/1000)</f>
        <v/>
      </c>
      <c r="I97" s="523" t="str">
        <f>IF(OR(données_step[[#This Row],[E_NTOT]]&lt;=0,données_step[[#This Row],[E_NTOT]]=""),"",données_step[[#This Row],[D_QTRAI]]*données_step[[#This Row],[E_PTOT]]/1000)</f>
        <v/>
      </c>
      <c r="J97" s="523" t="str">
        <f>IF(OR(données_step[[#This Row],[S_DBO5]]&lt;=0,données_step[[#This Row],[S_DBO5]]=""),"",données_step[[#This Row],[D_QTRAI]]*données_step[[#This Row],[S_DBO5]]/1000)</f>
        <v/>
      </c>
      <c r="K97" s="523" t="str">
        <f>IF(OR(données_step[[#This Row],[S_DCO]]&lt;=0,données_step[[#This Row],[S_DCO]]=""),"",données_step[[#This Row],[D_QTRAI]]*données_step[[#This Row],[S_DCO]]/1000)</f>
        <v/>
      </c>
      <c r="L97" s="523" t="str">
        <f>IF(OR(données_step[[#This Row],[S_COD]]&lt;=0,données_step[[#This Row],[S_COD]]=""),"",données_step[[#This Row],[D_QTRAI]]*données_step[[#This Row],[S_COD]]/1000)</f>
        <v/>
      </c>
      <c r="M97" s="523" t="str">
        <f>IF(OR(données_step[[#This Row],[S_NH4]]&lt;=0,données_step[[#This Row],[S_NH4]]=""),"",données_step[[#This Row],[D_QTRAI]]*données_step[[#This Row],[S_NH4]]/1000)</f>
        <v/>
      </c>
      <c r="N97" s="523" t="str">
        <f>IF(OR(données_step[[#This Row],[S_NO2]]&lt;=0,données_step[[#This Row],[S_NO2]]=""),"",données_step[[#This Row],[D_QTRAI]]*données_step[[#This Row],[S_NO2]]/1000)</f>
        <v/>
      </c>
      <c r="O97" s="523" t="str">
        <f>IF(OR(données_step[[#This Row],[S_NO3]]&lt;=0,données_step[[#This Row],[S_NO3]]=""),"",données_step[[#This Row],[D_QTRAI]]*données_step[[#This Row],[S_NO3]]/1000)</f>
        <v/>
      </c>
      <c r="P97" s="523" t="str">
        <f>IF(OR(données_step[[#This Row],[S_PTOT]]&lt;=0,données_step[[#This Row],[S_PTOT]]=""),"",données_step[[#This Row],[D_QTRAI]]*données_step[[#This Row],[S_PTOT]]/1000)</f>
        <v/>
      </c>
      <c r="Q97" s="523" t="str">
        <f>IF(OR(données_step[[#This Row],[S_MES]]&lt;=0,données_step[[#This Row],[S_MES]]=""),"",données_step[[#This Row],[D_QTRAI]]*données_step[[#This Row],[S_MES]]/1000)</f>
        <v/>
      </c>
      <c r="R97" s="523">
        <f>MAX(données_step[[#This Row],[D_QTRAI]],données_step[[#This Row],[D_QTRAI2]])</f>
        <v>0</v>
      </c>
      <c r="S97" s="523" t="str">
        <f>IF(AND($R97&gt;0,données_step[[#This Row],[E_DCO]]&gt;0),données_step[[#This Row],[E_DCO]],"")</f>
        <v/>
      </c>
      <c r="T97" s="523" t="str">
        <f>IF(S97="","",(1-données_step[[#This Row],[E_DCO]]/$V$7)*100)</f>
        <v/>
      </c>
      <c r="U97" s="523" t="str">
        <f t="shared" si="18"/>
        <v/>
      </c>
      <c r="V97" s="523" t="str">
        <f t="shared" si="19"/>
        <v/>
      </c>
      <c r="W97" s="523" t="str">
        <f t="shared" si="20"/>
        <v/>
      </c>
      <c r="X97" s="523" t="e">
        <f>IF(((100-100/$V$7*données_step[[#This Row],[E_DCO]])/100*QTS)&lt;0,NA(),IF(OR(U97&lt;0,U97=""),NA(),((100-100/$V$7*données_step[[#This Row],[E_DCO]])/100*QTS)))</f>
        <v>#NUM!</v>
      </c>
      <c r="Y97" s="523" t="str">
        <f>IF(AND($R97&gt;0,données_step[[#This Row],[E_COT]]&gt;0),données_step[[#This Row],[E_COT]],"")</f>
        <v/>
      </c>
      <c r="Z97" s="523" t="str">
        <f>IF(Y97="","",(1-données_step[[#This Row],[E_COT]]/$AB$7)*100)</f>
        <v/>
      </c>
      <c r="AA97" s="523" t="str">
        <f t="shared" si="21"/>
        <v/>
      </c>
      <c r="AB97" s="523" t="str">
        <f t="shared" si="22"/>
        <v/>
      </c>
      <c r="AC97" s="523" t="str">
        <f t="shared" si="23"/>
        <v/>
      </c>
      <c r="AD97" s="523" t="e">
        <f>IF(((100-100/$AB$7*données_step[[#This Row],[E_COT]])/100*QTS)&lt;0,NA(),IF(OR(AA97&lt;0,AA97=""),NA(),((100-100/$AB$7*données_step[[#This Row],[E_COT]])/100*QTS)))</f>
        <v>#NUM!</v>
      </c>
      <c r="AE97" s="523" t="str">
        <f>IF(AND($R97&gt;0,données_step[[#This Row],[E_NH4]]&gt;0),données_step[[#This Row],[E_NH4]],"")</f>
        <v/>
      </c>
      <c r="AF97" s="523" t="str">
        <f>IF(AE97="","",(1-données_step[[#This Row],[E_NH4]]/$AH$7)*100)</f>
        <v/>
      </c>
      <c r="AG97" s="523" t="str">
        <f t="shared" si="24"/>
        <v/>
      </c>
      <c r="AH97" s="523" t="str">
        <f t="shared" si="25"/>
        <v/>
      </c>
      <c r="AI97" s="523" t="str">
        <f t="shared" si="26"/>
        <v/>
      </c>
      <c r="AJ97" s="523" t="e">
        <f>IF(((100-100/$AH$7*données_step[[#This Row],[E_NH4]])/100*QTS)&lt;0,NA(),IF(OR(AG97&lt;0,AG97=""),NA(),((100-100/$AH$7*données_step[[#This Row],[E_NH4]])/100*QTS)))</f>
        <v>#NUM!</v>
      </c>
      <c r="AK97" s="523" t="str">
        <f>IF(AND($R97&gt;0,données_step[[#This Row],[E_PTOT]]&gt;0),données_step[[#This Row],[E_PTOT]],"")</f>
        <v/>
      </c>
      <c r="AL97" s="523" t="str">
        <f>IF(AK97="","",(1-données_step[[#This Row],[E_PTOT]]/$AN$7)*100)</f>
        <v/>
      </c>
      <c r="AM97" s="523" t="str">
        <f t="shared" si="27"/>
        <v/>
      </c>
      <c r="AN97" s="523" t="str">
        <f t="shared" si="28"/>
        <v/>
      </c>
      <c r="AO97" s="523" t="str">
        <f t="shared" si="29"/>
        <v/>
      </c>
      <c r="AP97" s="523" t="e">
        <f>IF(((100-100/$AN$7*données_step[[#This Row],[E_PTOT]])/100*QTS)&lt;0,NA(),IF(OR(AM97&lt;0,AM97=""),NA(),((100-100/$AN$7*données_step[[#This Row],[E_PTOT]])/100*QTS)))</f>
        <v>#NUM!</v>
      </c>
      <c r="AQ97" s="524" t="e">
        <f t="shared" si="30"/>
        <v>#NUM!</v>
      </c>
      <c r="AR97" s="524" t="str">
        <f t="shared" si="31"/>
        <v/>
      </c>
      <c r="AT97" s="517">
        <f t="shared" si="32"/>
        <v>0.86</v>
      </c>
      <c r="AU97" s="501">
        <f t="shared" si="33"/>
        <v>86</v>
      </c>
      <c r="AV97" s="525" t="e">
        <f>PERCENTILE(analyses!$F$11:$F$375,$AT97)</f>
        <v>#NUM!</v>
      </c>
      <c r="AW97" s="7" t="e">
        <f>PERCENTILE(analyses!$I$11:$I$375,$AT97)</f>
        <v>#NUM!</v>
      </c>
      <c r="AX97" s="7" t="e">
        <f>PERCENTILE(analyses!$J$11:$J$375,$AT97)</f>
        <v>#NUM!</v>
      </c>
      <c r="AY97" s="523" t="str">
        <f>_xlfn.IFNA(IF(données_step[[#This Row],[E_DCO]]&lt;=0,NA(),charge_entree[[#This Row],[ch_E_DCO]]/constanten!$B$8*1000),"")</f>
        <v/>
      </c>
      <c r="AZ97" s="523" t="str">
        <f>_xlfn.IFNA(IF(données_step[[#This Row],[E_NTOT]]&lt;=0,NA(),charge_entree[[#This Row],[ch_E_NTOT]]/constanten!$B$10*1000),"")</f>
        <v/>
      </c>
      <c r="BA97" s="523" t="str">
        <f>_xlfn.IFNA(IF(données_step[[#This Row],[E_NH4]]&lt;=0,NA(),charge_entree[[#This Row],[ch_E_NH4]]/constanten!$B$12*1000),"")</f>
        <v/>
      </c>
      <c r="BB97" s="523" t="str">
        <f>_xlfn.IFNA(IF(données_step[[#This Row],[E_COT]]&lt;=0,NA(),charge_entree[[#This Row],[ch_E_COT]]/constanten!$B$9*1000),"")</f>
        <v/>
      </c>
      <c r="BC97" s="523" t="str">
        <f>IFERROR(_xlfn.IFNA(IF(données_step[[#This Row],[E_PTOT]]&lt;=0,NA(),charge_entree[[#This Row],[ch_E_PTOT]]/constanten!$B$15*1000),""),"")</f>
        <v/>
      </c>
      <c r="BD97" s="535" t="e">
        <f>calculs!E97 * (1-0.4) / (données_step[[#This Row],[X_BA_VOL]]*données_step[[#This Row],[X_BACONC]])</f>
        <v>#VALUE!</v>
      </c>
      <c r="BE97" s="522" t="e">
        <f>(données_step[[#This Row],[X_BA_VOL]]*données_step[[#This Row],[X_BACONC]])/((données_step[[#This Row],[D_QTRAI2]]*données_step[[#This Row],[S_MES]]/1000)+(données_step[[#This Row],[X_BX_Q]]*données_step[[#This Row],[X_BXCONC]]))</f>
        <v>#VALUE!</v>
      </c>
      <c r="BF97" s="890" t="str">
        <f>IFERROR(données_step[[#This Row],[D_QTRAI]]/AY97*1000,"")</f>
        <v/>
      </c>
      <c r="BG97" s="535" t="str">
        <f>IFERROR(1-données_step[[#This Row],[S_DBO5]]/données_step[[#This Row],[E_DBO5]],"")</f>
        <v/>
      </c>
      <c r="BH97" s="536" t="str">
        <f>IFERROR(1-données_step[[#This Row],[S_DCO]]/données_step[[#This Row],[E_DCO]],"")</f>
        <v/>
      </c>
      <c r="BI97" s="535" t="str">
        <f>IFERROR(1-données_step[[#This Row],[S_COD]]/données_step[[#This Row],[E_COT]],"")</f>
        <v/>
      </c>
      <c r="BJ97" s="535" t="str">
        <f>IFERROR(1-données_step[[#This Row],[S_NH4]]/données_step[[#This Row],[E_NTOT]],"")</f>
        <v/>
      </c>
      <c r="BK97" s="535" t="str">
        <f>IFERROR(1-données_step[[#This Row],[S_PTOT]]/données_step[[#This Row],[E_PTOT]],"")</f>
        <v/>
      </c>
      <c r="BL97" s="521" t="str">
        <f>IFERROR(IF(données_step[[#This Row],[E_DCO]]/données_step[[#This Row],[E_DBO5]]=0,NA(),données_step[[#This Row],[E_DCO]]/données_step[[#This Row],[E_DBO5]]),"")</f>
        <v/>
      </c>
      <c r="BM97" s="521" t="str">
        <f>IFERROR(IF(données_step[[#This Row],[E_NH4]]/données_step[[#This Row],[E_NTOT]]=0,NA(),données_step[[#This Row],[E_NH4]]/données_step[[#This Row],[E_NTOT]]),"")</f>
        <v/>
      </c>
      <c r="BN97" s="521" t="str">
        <f>IFERROR(IF(données_step[[#This Row],[E_NTOT]]/données_step[[#This Row],[E_COT]]=0,NA(),données_step[[#This Row],[E_NTOT]]/données_step[[#This Row],[E_COT]]),"")</f>
        <v/>
      </c>
      <c r="BO97" s="521" t="str">
        <f>IFERROR(IF(données_step[[#This Row],[E_PTOT]]/données_step[[#This Row],[E_COT]]=0,NA(),données_step[[#This Row],[E_PTOT]]/données_step[[#This Row],[E_COT]]),"")</f>
        <v/>
      </c>
      <c r="BP97" s="521" t="e">
        <f>IF(données_step[[#This Row],[E_DCO]]/données_step[[#This Row],[E_COT]]=0,NA(),données_step[[#This Row],[E_DCO]]/données_step[[#This Row],[E_COT]])</f>
        <v>#DIV/0!</v>
      </c>
      <c r="BQ97" s="521" t="e">
        <f>IF(données_step[[#This Row],[E_NTOT]]/données_step[[#This Row],[E_DCO]]=0,NA(),données_step[[#This Row],[E_NTOT]]/données_step[[#This Row],[E_DCO]])</f>
        <v>#DIV/0!</v>
      </c>
      <c r="BR97" s="521" t="e">
        <f>IF(données_step[[#This Row],[E_PTOT]]/données_step[[#This Row],[E_DCO]]=0,NA(),données_step[[#This Row],[E_PTOT]]/données_step[[#This Row],[E_DCO]])</f>
        <v>#DIV/0!</v>
      </c>
      <c r="BS97" s="747" t="e">
        <f ca="1">test_NH4_temp(données_step[[#This Row],[S_NH4]],données_step[[#This Row],[Temp_eaux]])</f>
        <v>#NAME?</v>
      </c>
    </row>
    <row r="98" spans="1:71" x14ac:dyDescent="0.2">
      <c r="A98" s="222">
        <f>données_step[[#This Row],[Datum]]</f>
        <v>44649</v>
      </c>
      <c r="B98" s="223"/>
      <c r="C98" s="224">
        <f t="shared" si="34"/>
        <v>3</v>
      </c>
      <c r="D98" s="523" t="str">
        <f>IF(OR(données_step[[#This Row],[E_DBO5]]&lt;=0,données_step[[#This Row],[E_DBO5]]=""),"",données_step[[#This Row],[D_QTRAI]]*données_step[[#This Row],[E_DBO5]]/1000)</f>
        <v/>
      </c>
      <c r="E98" s="523" t="str">
        <f>IF(OR(données_step[[#This Row],[E_DCO]]&lt;=0,données_step[[#This Row],[E_DCO]]=""),"",données_step[[#This Row],[D_QTRAI]]*données_step[[#This Row],[E_DCO]]/1000)</f>
        <v/>
      </c>
      <c r="F98" s="523" t="str">
        <f>IF(OR(données_step[[#This Row],[E_COT]]&lt;=0,données_step[[#This Row],[E_COT]]=""),"",données_step[[#This Row],[D_QTRAI]]*données_step[[#This Row],[E_COT]]/1000)</f>
        <v/>
      </c>
      <c r="G98" s="523" t="str">
        <f>IF(OR(données_step[[#This Row],[E_NH4]]&lt;=0,données_step[[#This Row],[E_NH4]]=""),"",données_step[[#This Row],[D_QTRAI]]*données_step[[#This Row],[E_NH4]]/1000)</f>
        <v/>
      </c>
      <c r="H98" s="523" t="str">
        <f>IF(OR(données_step[[#This Row],[E_NTOT]]&lt;=0,données_step[[#This Row],[E_NTOT]]=""),"",données_step[[#This Row],[D_QTRAI]]*données_step[[#This Row],[E_NTOT]]/1000)</f>
        <v/>
      </c>
      <c r="I98" s="523" t="str">
        <f>IF(OR(données_step[[#This Row],[E_NTOT]]&lt;=0,données_step[[#This Row],[E_NTOT]]=""),"",données_step[[#This Row],[D_QTRAI]]*données_step[[#This Row],[E_PTOT]]/1000)</f>
        <v/>
      </c>
      <c r="J98" s="523" t="str">
        <f>IF(OR(données_step[[#This Row],[S_DBO5]]&lt;=0,données_step[[#This Row],[S_DBO5]]=""),"",données_step[[#This Row],[D_QTRAI]]*données_step[[#This Row],[S_DBO5]]/1000)</f>
        <v/>
      </c>
      <c r="K98" s="523" t="str">
        <f>IF(OR(données_step[[#This Row],[S_DCO]]&lt;=0,données_step[[#This Row],[S_DCO]]=""),"",données_step[[#This Row],[D_QTRAI]]*données_step[[#This Row],[S_DCO]]/1000)</f>
        <v/>
      </c>
      <c r="L98" s="523" t="str">
        <f>IF(OR(données_step[[#This Row],[S_COD]]&lt;=0,données_step[[#This Row],[S_COD]]=""),"",données_step[[#This Row],[D_QTRAI]]*données_step[[#This Row],[S_COD]]/1000)</f>
        <v/>
      </c>
      <c r="M98" s="523" t="str">
        <f>IF(OR(données_step[[#This Row],[S_NH4]]&lt;=0,données_step[[#This Row],[S_NH4]]=""),"",données_step[[#This Row],[D_QTRAI]]*données_step[[#This Row],[S_NH4]]/1000)</f>
        <v/>
      </c>
      <c r="N98" s="523" t="str">
        <f>IF(OR(données_step[[#This Row],[S_NO2]]&lt;=0,données_step[[#This Row],[S_NO2]]=""),"",données_step[[#This Row],[D_QTRAI]]*données_step[[#This Row],[S_NO2]]/1000)</f>
        <v/>
      </c>
      <c r="O98" s="523" t="str">
        <f>IF(OR(données_step[[#This Row],[S_NO3]]&lt;=0,données_step[[#This Row],[S_NO3]]=""),"",données_step[[#This Row],[D_QTRAI]]*données_step[[#This Row],[S_NO3]]/1000)</f>
        <v/>
      </c>
      <c r="P98" s="523" t="str">
        <f>IF(OR(données_step[[#This Row],[S_PTOT]]&lt;=0,données_step[[#This Row],[S_PTOT]]=""),"",données_step[[#This Row],[D_QTRAI]]*données_step[[#This Row],[S_PTOT]]/1000)</f>
        <v/>
      </c>
      <c r="Q98" s="523" t="str">
        <f>IF(OR(données_step[[#This Row],[S_MES]]&lt;=0,données_step[[#This Row],[S_MES]]=""),"",données_step[[#This Row],[D_QTRAI]]*données_step[[#This Row],[S_MES]]/1000)</f>
        <v/>
      </c>
      <c r="R98" s="523">
        <f>MAX(données_step[[#This Row],[D_QTRAI]],données_step[[#This Row],[D_QTRAI2]])</f>
        <v>0</v>
      </c>
      <c r="S98" s="523" t="str">
        <f>IF(AND($R98&gt;0,données_step[[#This Row],[E_DCO]]&gt;0),données_step[[#This Row],[E_DCO]],"")</f>
        <v/>
      </c>
      <c r="T98" s="523" t="str">
        <f>IF(S98="","",(1-données_step[[#This Row],[E_DCO]]/$V$7)*100)</f>
        <v/>
      </c>
      <c r="U98" s="523" t="str">
        <f t="shared" si="18"/>
        <v/>
      </c>
      <c r="V98" s="523" t="str">
        <f t="shared" si="19"/>
        <v/>
      </c>
      <c r="W98" s="523" t="str">
        <f t="shared" si="20"/>
        <v/>
      </c>
      <c r="X98" s="523" t="e">
        <f>IF(((100-100/$V$7*données_step[[#This Row],[E_DCO]])/100*QTS)&lt;0,NA(),IF(OR(U98&lt;0,U98=""),NA(),((100-100/$V$7*données_step[[#This Row],[E_DCO]])/100*QTS)))</f>
        <v>#NUM!</v>
      </c>
      <c r="Y98" s="523" t="str">
        <f>IF(AND($R98&gt;0,données_step[[#This Row],[E_COT]]&gt;0),données_step[[#This Row],[E_COT]],"")</f>
        <v/>
      </c>
      <c r="Z98" s="523" t="str">
        <f>IF(Y98="","",(1-données_step[[#This Row],[E_COT]]/$AB$7)*100)</f>
        <v/>
      </c>
      <c r="AA98" s="523" t="str">
        <f t="shared" si="21"/>
        <v/>
      </c>
      <c r="AB98" s="523" t="str">
        <f t="shared" si="22"/>
        <v/>
      </c>
      <c r="AC98" s="523" t="str">
        <f t="shared" si="23"/>
        <v/>
      </c>
      <c r="AD98" s="523" t="e">
        <f>IF(((100-100/$AB$7*données_step[[#This Row],[E_COT]])/100*QTS)&lt;0,NA(),IF(OR(AA98&lt;0,AA98=""),NA(),((100-100/$AB$7*données_step[[#This Row],[E_COT]])/100*QTS)))</f>
        <v>#NUM!</v>
      </c>
      <c r="AE98" s="523" t="str">
        <f>IF(AND($R98&gt;0,données_step[[#This Row],[E_NH4]]&gt;0),données_step[[#This Row],[E_NH4]],"")</f>
        <v/>
      </c>
      <c r="AF98" s="523" t="str">
        <f>IF(AE98="","",(1-données_step[[#This Row],[E_NH4]]/$AH$7)*100)</f>
        <v/>
      </c>
      <c r="AG98" s="523" t="str">
        <f t="shared" si="24"/>
        <v/>
      </c>
      <c r="AH98" s="523" t="str">
        <f t="shared" si="25"/>
        <v/>
      </c>
      <c r="AI98" s="523" t="str">
        <f t="shared" si="26"/>
        <v/>
      </c>
      <c r="AJ98" s="523" t="e">
        <f>IF(((100-100/$AH$7*données_step[[#This Row],[E_NH4]])/100*QTS)&lt;0,NA(),IF(OR(AG98&lt;0,AG98=""),NA(),((100-100/$AH$7*données_step[[#This Row],[E_NH4]])/100*QTS)))</f>
        <v>#NUM!</v>
      </c>
      <c r="AK98" s="523" t="str">
        <f>IF(AND($R98&gt;0,données_step[[#This Row],[E_PTOT]]&gt;0),données_step[[#This Row],[E_PTOT]],"")</f>
        <v/>
      </c>
      <c r="AL98" s="523" t="str">
        <f>IF(AK98="","",(1-données_step[[#This Row],[E_PTOT]]/$AN$7)*100)</f>
        <v/>
      </c>
      <c r="AM98" s="523" t="str">
        <f t="shared" si="27"/>
        <v/>
      </c>
      <c r="AN98" s="523" t="str">
        <f t="shared" si="28"/>
        <v/>
      </c>
      <c r="AO98" s="523" t="str">
        <f t="shared" si="29"/>
        <v/>
      </c>
      <c r="AP98" s="523" t="e">
        <f>IF(((100-100/$AN$7*données_step[[#This Row],[E_PTOT]])/100*QTS)&lt;0,NA(),IF(OR(AM98&lt;0,AM98=""),NA(),((100-100/$AN$7*données_step[[#This Row],[E_PTOT]])/100*QTS)))</f>
        <v>#NUM!</v>
      </c>
      <c r="AQ98" s="524" t="e">
        <f t="shared" si="30"/>
        <v>#NUM!</v>
      </c>
      <c r="AR98" s="524" t="str">
        <f t="shared" si="31"/>
        <v/>
      </c>
      <c r="AT98" s="517">
        <f t="shared" si="32"/>
        <v>0.87</v>
      </c>
      <c r="AU98" s="501">
        <f t="shared" si="33"/>
        <v>87</v>
      </c>
      <c r="AV98" s="525" t="e">
        <f>PERCENTILE(analyses!$F$11:$F$375,$AT98)</f>
        <v>#NUM!</v>
      </c>
      <c r="AW98" s="7" t="e">
        <f>PERCENTILE(analyses!$I$11:$I$375,$AT98)</f>
        <v>#NUM!</v>
      </c>
      <c r="AX98" s="7" t="e">
        <f>PERCENTILE(analyses!$J$11:$J$375,$AT98)</f>
        <v>#NUM!</v>
      </c>
      <c r="AY98" s="523" t="str">
        <f>_xlfn.IFNA(IF(données_step[[#This Row],[E_DCO]]&lt;=0,NA(),charge_entree[[#This Row],[ch_E_DCO]]/constanten!$B$8*1000),"")</f>
        <v/>
      </c>
      <c r="AZ98" s="523" t="str">
        <f>_xlfn.IFNA(IF(données_step[[#This Row],[E_NTOT]]&lt;=0,NA(),charge_entree[[#This Row],[ch_E_NTOT]]/constanten!$B$10*1000),"")</f>
        <v/>
      </c>
      <c r="BA98" s="523" t="str">
        <f>_xlfn.IFNA(IF(données_step[[#This Row],[E_NH4]]&lt;=0,NA(),charge_entree[[#This Row],[ch_E_NH4]]/constanten!$B$12*1000),"")</f>
        <v/>
      </c>
      <c r="BB98" s="523" t="str">
        <f>_xlfn.IFNA(IF(données_step[[#This Row],[E_COT]]&lt;=0,NA(),charge_entree[[#This Row],[ch_E_COT]]/constanten!$B$9*1000),"")</f>
        <v/>
      </c>
      <c r="BC98" s="523" t="str">
        <f>IFERROR(_xlfn.IFNA(IF(données_step[[#This Row],[E_PTOT]]&lt;=0,NA(),charge_entree[[#This Row],[ch_E_PTOT]]/constanten!$B$15*1000),""),"")</f>
        <v/>
      </c>
      <c r="BD98" s="535" t="e">
        <f>calculs!E98 * (1-0.4) / (données_step[[#This Row],[X_BA_VOL]]*données_step[[#This Row],[X_BACONC]])</f>
        <v>#VALUE!</v>
      </c>
      <c r="BE98" s="522" t="e">
        <f>(données_step[[#This Row],[X_BA_VOL]]*données_step[[#This Row],[X_BACONC]])/((données_step[[#This Row],[D_QTRAI2]]*données_step[[#This Row],[S_MES]]/1000)+(données_step[[#This Row],[X_BX_Q]]*données_step[[#This Row],[X_BXCONC]]))</f>
        <v>#VALUE!</v>
      </c>
      <c r="BF98" s="890" t="str">
        <f>IFERROR(données_step[[#This Row],[D_QTRAI]]/AY98*1000,"")</f>
        <v/>
      </c>
      <c r="BG98" s="535" t="str">
        <f>IFERROR(1-données_step[[#This Row],[S_DBO5]]/données_step[[#This Row],[E_DBO5]],"")</f>
        <v/>
      </c>
      <c r="BH98" s="536" t="str">
        <f>IFERROR(1-données_step[[#This Row],[S_DCO]]/données_step[[#This Row],[E_DCO]],"")</f>
        <v/>
      </c>
      <c r="BI98" s="535" t="str">
        <f>IFERROR(1-données_step[[#This Row],[S_COD]]/données_step[[#This Row],[E_COT]],"")</f>
        <v/>
      </c>
      <c r="BJ98" s="535" t="str">
        <f>IFERROR(1-données_step[[#This Row],[S_NH4]]/données_step[[#This Row],[E_NTOT]],"")</f>
        <v/>
      </c>
      <c r="BK98" s="535" t="str">
        <f>IFERROR(1-données_step[[#This Row],[S_PTOT]]/données_step[[#This Row],[E_PTOT]],"")</f>
        <v/>
      </c>
      <c r="BL98" s="521" t="str">
        <f>IFERROR(IF(données_step[[#This Row],[E_DCO]]/données_step[[#This Row],[E_DBO5]]=0,NA(),données_step[[#This Row],[E_DCO]]/données_step[[#This Row],[E_DBO5]]),"")</f>
        <v/>
      </c>
      <c r="BM98" s="521" t="str">
        <f>IFERROR(IF(données_step[[#This Row],[E_NH4]]/données_step[[#This Row],[E_NTOT]]=0,NA(),données_step[[#This Row],[E_NH4]]/données_step[[#This Row],[E_NTOT]]),"")</f>
        <v/>
      </c>
      <c r="BN98" s="521" t="str">
        <f>IFERROR(IF(données_step[[#This Row],[E_NTOT]]/données_step[[#This Row],[E_COT]]=0,NA(),données_step[[#This Row],[E_NTOT]]/données_step[[#This Row],[E_COT]]),"")</f>
        <v/>
      </c>
      <c r="BO98" s="521" t="str">
        <f>IFERROR(IF(données_step[[#This Row],[E_PTOT]]/données_step[[#This Row],[E_COT]]=0,NA(),données_step[[#This Row],[E_PTOT]]/données_step[[#This Row],[E_COT]]),"")</f>
        <v/>
      </c>
      <c r="BP98" s="521" t="e">
        <f>IF(données_step[[#This Row],[E_DCO]]/données_step[[#This Row],[E_COT]]=0,NA(),données_step[[#This Row],[E_DCO]]/données_step[[#This Row],[E_COT]])</f>
        <v>#DIV/0!</v>
      </c>
      <c r="BQ98" s="521" t="e">
        <f>IF(données_step[[#This Row],[E_NTOT]]/données_step[[#This Row],[E_DCO]]=0,NA(),données_step[[#This Row],[E_NTOT]]/données_step[[#This Row],[E_DCO]])</f>
        <v>#DIV/0!</v>
      </c>
      <c r="BR98" s="521" t="e">
        <f>IF(données_step[[#This Row],[E_PTOT]]/données_step[[#This Row],[E_DCO]]=0,NA(),données_step[[#This Row],[E_PTOT]]/données_step[[#This Row],[E_DCO]])</f>
        <v>#DIV/0!</v>
      </c>
      <c r="BS98" s="747" t="e">
        <f ca="1">test_NH4_temp(données_step[[#This Row],[S_NH4]],données_step[[#This Row],[Temp_eaux]])</f>
        <v>#NAME?</v>
      </c>
    </row>
    <row r="99" spans="1:71" x14ac:dyDescent="0.2">
      <c r="A99" s="222">
        <f>données_step[[#This Row],[Datum]]</f>
        <v>44650</v>
      </c>
      <c r="B99" s="223"/>
      <c r="C99" s="224">
        <f t="shared" si="34"/>
        <v>4</v>
      </c>
      <c r="D99" s="523" t="str">
        <f>IF(OR(données_step[[#This Row],[E_DBO5]]&lt;=0,données_step[[#This Row],[E_DBO5]]=""),"",données_step[[#This Row],[D_QTRAI]]*données_step[[#This Row],[E_DBO5]]/1000)</f>
        <v/>
      </c>
      <c r="E99" s="523" t="str">
        <f>IF(OR(données_step[[#This Row],[E_DCO]]&lt;=0,données_step[[#This Row],[E_DCO]]=""),"",données_step[[#This Row],[D_QTRAI]]*données_step[[#This Row],[E_DCO]]/1000)</f>
        <v/>
      </c>
      <c r="F99" s="523" t="str">
        <f>IF(OR(données_step[[#This Row],[E_COT]]&lt;=0,données_step[[#This Row],[E_COT]]=""),"",données_step[[#This Row],[D_QTRAI]]*données_step[[#This Row],[E_COT]]/1000)</f>
        <v/>
      </c>
      <c r="G99" s="523" t="str">
        <f>IF(OR(données_step[[#This Row],[E_NH4]]&lt;=0,données_step[[#This Row],[E_NH4]]=""),"",données_step[[#This Row],[D_QTRAI]]*données_step[[#This Row],[E_NH4]]/1000)</f>
        <v/>
      </c>
      <c r="H99" s="523" t="str">
        <f>IF(OR(données_step[[#This Row],[E_NTOT]]&lt;=0,données_step[[#This Row],[E_NTOT]]=""),"",données_step[[#This Row],[D_QTRAI]]*données_step[[#This Row],[E_NTOT]]/1000)</f>
        <v/>
      </c>
      <c r="I99" s="523" t="str">
        <f>IF(OR(données_step[[#This Row],[E_NTOT]]&lt;=0,données_step[[#This Row],[E_NTOT]]=""),"",données_step[[#This Row],[D_QTRAI]]*données_step[[#This Row],[E_PTOT]]/1000)</f>
        <v/>
      </c>
      <c r="J99" s="523" t="str">
        <f>IF(OR(données_step[[#This Row],[S_DBO5]]&lt;=0,données_step[[#This Row],[S_DBO5]]=""),"",données_step[[#This Row],[D_QTRAI]]*données_step[[#This Row],[S_DBO5]]/1000)</f>
        <v/>
      </c>
      <c r="K99" s="523" t="str">
        <f>IF(OR(données_step[[#This Row],[S_DCO]]&lt;=0,données_step[[#This Row],[S_DCO]]=""),"",données_step[[#This Row],[D_QTRAI]]*données_step[[#This Row],[S_DCO]]/1000)</f>
        <v/>
      </c>
      <c r="L99" s="523" t="str">
        <f>IF(OR(données_step[[#This Row],[S_COD]]&lt;=0,données_step[[#This Row],[S_COD]]=""),"",données_step[[#This Row],[D_QTRAI]]*données_step[[#This Row],[S_COD]]/1000)</f>
        <v/>
      </c>
      <c r="M99" s="523" t="str">
        <f>IF(OR(données_step[[#This Row],[S_NH4]]&lt;=0,données_step[[#This Row],[S_NH4]]=""),"",données_step[[#This Row],[D_QTRAI]]*données_step[[#This Row],[S_NH4]]/1000)</f>
        <v/>
      </c>
      <c r="N99" s="523" t="str">
        <f>IF(OR(données_step[[#This Row],[S_NO2]]&lt;=0,données_step[[#This Row],[S_NO2]]=""),"",données_step[[#This Row],[D_QTRAI]]*données_step[[#This Row],[S_NO2]]/1000)</f>
        <v/>
      </c>
      <c r="O99" s="523" t="str">
        <f>IF(OR(données_step[[#This Row],[S_NO3]]&lt;=0,données_step[[#This Row],[S_NO3]]=""),"",données_step[[#This Row],[D_QTRAI]]*données_step[[#This Row],[S_NO3]]/1000)</f>
        <v/>
      </c>
      <c r="P99" s="523" t="str">
        <f>IF(OR(données_step[[#This Row],[S_PTOT]]&lt;=0,données_step[[#This Row],[S_PTOT]]=""),"",données_step[[#This Row],[D_QTRAI]]*données_step[[#This Row],[S_PTOT]]/1000)</f>
        <v/>
      </c>
      <c r="Q99" s="523" t="str">
        <f>IF(OR(données_step[[#This Row],[S_MES]]&lt;=0,données_step[[#This Row],[S_MES]]=""),"",données_step[[#This Row],[D_QTRAI]]*données_step[[#This Row],[S_MES]]/1000)</f>
        <v/>
      </c>
      <c r="R99" s="523">
        <f>MAX(données_step[[#This Row],[D_QTRAI]],données_step[[#This Row],[D_QTRAI2]])</f>
        <v>0</v>
      </c>
      <c r="S99" s="523" t="str">
        <f>IF(AND($R99&gt;0,données_step[[#This Row],[E_DCO]]&gt;0),données_step[[#This Row],[E_DCO]],"")</f>
        <v/>
      </c>
      <c r="T99" s="523" t="str">
        <f>IF(S99="","",(1-données_step[[#This Row],[E_DCO]]/$V$7)*100)</f>
        <v/>
      </c>
      <c r="U99" s="523" t="str">
        <f t="shared" si="18"/>
        <v/>
      </c>
      <c r="V99" s="523" t="str">
        <f t="shared" si="19"/>
        <v/>
      </c>
      <c r="W99" s="523" t="str">
        <f t="shared" si="20"/>
        <v/>
      </c>
      <c r="X99" s="523" t="e">
        <f>IF(((100-100/$V$7*données_step[[#This Row],[E_DCO]])/100*QTS)&lt;0,NA(),IF(OR(U99&lt;0,U99=""),NA(),((100-100/$V$7*données_step[[#This Row],[E_DCO]])/100*QTS)))</f>
        <v>#NUM!</v>
      </c>
      <c r="Y99" s="523" t="str">
        <f>IF(AND($R99&gt;0,données_step[[#This Row],[E_COT]]&gt;0),données_step[[#This Row],[E_COT]],"")</f>
        <v/>
      </c>
      <c r="Z99" s="523" t="str">
        <f>IF(Y99="","",(1-données_step[[#This Row],[E_COT]]/$AB$7)*100)</f>
        <v/>
      </c>
      <c r="AA99" s="523" t="str">
        <f t="shared" si="21"/>
        <v/>
      </c>
      <c r="AB99" s="523" t="str">
        <f t="shared" si="22"/>
        <v/>
      </c>
      <c r="AC99" s="523" t="str">
        <f t="shared" si="23"/>
        <v/>
      </c>
      <c r="AD99" s="523" t="e">
        <f>IF(((100-100/$AB$7*données_step[[#This Row],[E_COT]])/100*QTS)&lt;0,NA(),IF(OR(AA99&lt;0,AA99=""),NA(),((100-100/$AB$7*données_step[[#This Row],[E_COT]])/100*QTS)))</f>
        <v>#NUM!</v>
      </c>
      <c r="AE99" s="523" t="str">
        <f>IF(AND($R99&gt;0,données_step[[#This Row],[E_NH4]]&gt;0),données_step[[#This Row],[E_NH4]],"")</f>
        <v/>
      </c>
      <c r="AF99" s="523" t="str">
        <f>IF(AE99="","",(1-données_step[[#This Row],[E_NH4]]/$AH$7)*100)</f>
        <v/>
      </c>
      <c r="AG99" s="523" t="str">
        <f t="shared" si="24"/>
        <v/>
      </c>
      <c r="AH99" s="523" t="str">
        <f t="shared" si="25"/>
        <v/>
      </c>
      <c r="AI99" s="523" t="str">
        <f t="shared" si="26"/>
        <v/>
      </c>
      <c r="AJ99" s="523" t="e">
        <f>IF(((100-100/$AH$7*données_step[[#This Row],[E_NH4]])/100*QTS)&lt;0,NA(),IF(OR(AG99&lt;0,AG99=""),NA(),((100-100/$AH$7*données_step[[#This Row],[E_NH4]])/100*QTS)))</f>
        <v>#NUM!</v>
      </c>
      <c r="AK99" s="523" t="str">
        <f>IF(AND($R99&gt;0,données_step[[#This Row],[E_PTOT]]&gt;0),données_step[[#This Row],[E_PTOT]],"")</f>
        <v/>
      </c>
      <c r="AL99" s="523" t="str">
        <f>IF(AK99="","",(1-données_step[[#This Row],[E_PTOT]]/$AN$7)*100)</f>
        <v/>
      </c>
      <c r="AM99" s="523" t="str">
        <f t="shared" si="27"/>
        <v/>
      </c>
      <c r="AN99" s="523" t="str">
        <f t="shared" si="28"/>
        <v/>
      </c>
      <c r="AO99" s="523" t="str">
        <f t="shared" si="29"/>
        <v/>
      </c>
      <c r="AP99" s="523" t="e">
        <f>IF(((100-100/$AN$7*données_step[[#This Row],[E_PTOT]])/100*QTS)&lt;0,NA(),IF(OR(AM99&lt;0,AM99=""),NA(),((100-100/$AN$7*données_step[[#This Row],[E_PTOT]])/100*QTS)))</f>
        <v>#NUM!</v>
      </c>
      <c r="AQ99" s="524" t="e">
        <f t="shared" si="30"/>
        <v>#NUM!</v>
      </c>
      <c r="AR99" s="524" t="str">
        <f t="shared" si="31"/>
        <v/>
      </c>
      <c r="AT99" s="517">
        <f t="shared" si="32"/>
        <v>0.88</v>
      </c>
      <c r="AU99" s="501">
        <f t="shared" si="33"/>
        <v>88</v>
      </c>
      <c r="AV99" s="525" t="e">
        <f>PERCENTILE(analyses!$F$11:$F$375,$AT99)</f>
        <v>#NUM!</v>
      </c>
      <c r="AW99" s="7" t="e">
        <f>PERCENTILE(analyses!$I$11:$I$375,$AT99)</f>
        <v>#NUM!</v>
      </c>
      <c r="AX99" s="7" t="e">
        <f>PERCENTILE(analyses!$J$11:$J$375,$AT99)</f>
        <v>#NUM!</v>
      </c>
      <c r="AY99" s="523" t="str">
        <f>_xlfn.IFNA(IF(données_step[[#This Row],[E_DCO]]&lt;=0,NA(),charge_entree[[#This Row],[ch_E_DCO]]/constanten!$B$8*1000),"")</f>
        <v/>
      </c>
      <c r="AZ99" s="523" t="str">
        <f>_xlfn.IFNA(IF(données_step[[#This Row],[E_NTOT]]&lt;=0,NA(),charge_entree[[#This Row],[ch_E_NTOT]]/constanten!$B$10*1000),"")</f>
        <v/>
      </c>
      <c r="BA99" s="523" t="str">
        <f>_xlfn.IFNA(IF(données_step[[#This Row],[E_NH4]]&lt;=0,NA(),charge_entree[[#This Row],[ch_E_NH4]]/constanten!$B$12*1000),"")</f>
        <v/>
      </c>
      <c r="BB99" s="523" t="str">
        <f>_xlfn.IFNA(IF(données_step[[#This Row],[E_COT]]&lt;=0,NA(),charge_entree[[#This Row],[ch_E_COT]]/constanten!$B$9*1000),"")</f>
        <v/>
      </c>
      <c r="BC99" s="523" t="str">
        <f>IFERROR(_xlfn.IFNA(IF(données_step[[#This Row],[E_PTOT]]&lt;=0,NA(),charge_entree[[#This Row],[ch_E_PTOT]]/constanten!$B$15*1000),""),"")</f>
        <v/>
      </c>
      <c r="BD99" s="535" t="e">
        <f>calculs!E99 * (1-0.4) / (données_step[[#This Row],[X_BA_VOL]]*données_step[[#This Row],[X_BACONC]])</f>
        <v>#VALUE!</v>
      </c>
      <c r="BE99" s="522" t="e">
        <f>(données_step[[#This Row],[X_BA_VOL]]*données_step[[#This Row],[X_BACONC]])/((données_step[[#This Row],[D_QTRAI2]]*données_step[[#This Row],[S_MES]]/1000)+(données_step[[#This Row],[X_BX_Q]]*données_step[[#This Row],[X_BXCONC]]))</f>
        <v>#VALUE!</v>
      </c>
      <c r="BF99" s="890" t="str">
        <f>IFERROR(données_step[[#This Row],[D_QTRAI]]/AY99*1000,"")</f>
        <v/>
      </c>
      <c r="BG99" s="535" t="str">
        <f>IFERROR(1-données_step[[#This Row],[S_DBO5]]/données_step[[#This Row],[E_DBO5]],"")</f>
        <v/>
      </c>
      <c r="BH99" s="536" t="str">
        <f>IFERROR(1-données_step[[#This Row],[S_DCO]]/données_step[[#This Row],[E_DCO]],"")</f>
        <v/>
      </c>
      <c r="BI99" s="535" t="str">
        <f>IFERROR(1-données_step[[#This Row],[S_COD]]/données_step[[#This Row],[E_COT]],"")</f>
        <v/>
      </c>
      <c r="BJ99" s="535" t="str">
        <f>IFERROR(1-données_step[[#This Row],[S_NH4]]/données_step[[#This Row],[E_NTOT]],"")</f>
        <v/>
      </c>
      <c r="BK99" s="535" t="str">
        <f>IFERROR(1-données_step[[#This Row],[S_PTOT]]/données_step[[#This Row],[E_PTOT]],"")</f>
        <v/>
      </c>
      <c r="BL99" s="521" t="str">
        <f>IFERROR(IF(données_step[[#This Row],[E_DCO]]/données_step[[#This Row],[E_DBO5]]=0,NA(),données_step[[#This Row],[E_DCO]]/données_step[[#This Row],[E_DBO5]]),"")</f>
        <v/>
      </c>
      <c r="BM99" s="521" t="str">
        <f>IFERROR(IF(données_step[[#This Row],[E_NH4]]/données_step[[#This Row],[E_NTOT]]=0,NA(),données_step[[#This Row],[E_NH4]]/données_step[[#This Row],[E_NTOT]]),"")</f>
        <v/>
      </c>
      <c r="BN99" s="521" t="str">
        <f>IFERROR(IF(données_step[[#This Row],[E_NTOT]]/données_step[[#This Row],[E_COT]]=0,NA(),données_step[[#This Row],[E_NTOT]]/données_step[[#This Row],[E_COT]]),"")</f>
        <v/>
      </c>
      <c r="BO99" s="521" t="str">
        <f>IFERROR(IF(données_step[[#This Row],[E_PTOT]]/données_step[[#This Row],[E_COT]]=0,NA(),données_step[[#This Row],[E_PTOT]]/données_step[[#This Row],[E_COT]]),"")</f>
        <v/>
      </c>
      <c r="BP99" s="521" t="e">
        <f>IF(données_step[[#This Row],[E_DCO]]/données_step[[#This Row],[E_COT]]=0,NA(),données_step[[#This Row],[E_DCO]]/données_step[[#This Row],[E_COT]])</f>
        <v>#DIV/0!</v>
      </c>
      <c r="BQ99" s="521" t="e">
        <f>IF(données_step[[#This Row],[E_NTOT]]/données_step[[#This Row],[E_DCO]]=0,NA(),données_step[[#This Row],[E_NTOT]]/données_step[[#This Row],[E_DCO]])</f>
        <v>#DIV/0!</v>
      </c>
      <c r="BR99" s="521" t="e">
        <f>IF(données_step[[#This Row],[E_PTOT]]/données_step[[#This Row],[E_DCO]]=0,NA(),données_step[[#This Row],[E_PTOT]]/données_step[[#This Row],[E_DCO]])</f>
        <v>#DIV/0!</v>
      </c>
      <c r="BS99" s="747" t="e">
        <f ca="1">test_NH4_temp(données_step[[#This Row],[S_NH4]],données_step[[#This Row],[Temp_eaux]])</f>
        <v>#NAME?</v>
      </c>
    </row>
    <row r="100" spans="1:71" x14ac:dyDescent="0.2">
      <c r="A100" s="222">
        <f>données_step[[#This Row],[Datum]]</f>
        <v>44651</v>
      </c>
      <c r="B100" s="223"/>
      <c r="C100" s="224">
        <f t="shared" si="34"/>
        <v>5</v>
      </c>
      <c r="D100" s="523" t="str">
        <f>IF(OR(données_step[[#This Row],[E_DBO5]]&lt;=0,données_step[[#This Row],[E_DBO5]]=""),"",données_step[[#This Row],[D_QTRAI]]*données_step[[#This Row],[E_DBO5]]/1000)</f>
        <v/>
      </c>
      <c r="E100" s="523" t="str">
        <f>IF(OR(données_step[[#This Row],[E_DCO]]&lt;=0,données_step[[#This Row],[E_DCO]]=""),"",données_step[[#This Row],[D_QTRAI]]*données_step[[#This Row],[E_DCO]]/1000)</f>
        <v/>
      </c>
      <c r="F100" s="523" t="str">
        <f>IF(OR(données_step[[#This Row],[E_COT]]&lt;=0,données_step[[#This Row],[E_COT]]=""),"",données_step[[#This Row],[D_QTRAI]]*données_step[[#This Row],[E_COT]]/1000)</f>
        <v/>
      </c>
      <c r="G100" s="523" t="str">
        <f>IF(OR(données_step[[#This Row],[E_NH4]]&lt;=0,données_step[[#This Row],[E_NH4]]=""),"",données_step[[#This Row],[D_QTRAI]]*données_step[[#This Row],[E_NH4]]/1000)</f>
        <v/>
      </c>
      <c r="H100" s="523" t="str">
        <f>IF(OR(données_step[[#This Row],[E_NTOT]]&lt;=0,données_step[[#This Row],[E_NTOT]]=""),"",données_step[[#This Row],[D_QTRAI]]*données_step[[#This Row],[E_NTOT]]/1000)</f>
        <v/>
      </c>
      <c r="I100" s="523" t="str">
        <f>IF(OR(données_step[[#This Row],[E_NTOT]]&lt;=0,données_step[[#This Row],[E_NTOT]]=""),"",données_step[[#This Row],[D_QTRAI]]*données_step[[#This Row],[E_PTOT]]/1000)</f>
        <v/>
      </c>
      <c r="J100" s="523" t="str">
        <f>IF(OR(données_step[[#This Row],[S_DBO5]]&lt;=0,données_step[[#This Row],[S_DBO5]]=""),"",données_step[[#This Row],[D_QTRAI]]*données_step[[#This Row],[S_DBO5]]/1000)</f>
        <v/>
      </c>
      <c r="K100" s="523" t="str">
        <f>IF(OR(données_step[[#This Row],[S_DCO]]&lt;=0,données_step[[#This Row],[S_DCO]]=""),"",données_step[[#This Row],[D_QTRAI]]*données_step[[#This Row],[S_DCO]]/1000)</f>
        <v/>
      </c>
      <c r="L100" s="523" t="str">
        <f>IF(OR(données_step[[#This Row],[S_COD]]&lt;=0,données_step[[#This Row],[S_COD]]=""),"",données_step[[#This Row],[D_QTRAI]]*données_step[[#This Row],[S_COD]]/1000)</f>
        <v/>
      </c>
      <c r="M100" s="523" t="str">
        <f>IF(OR(données_step[[#This Row],[S_NH4]]&lt;=0,données_step[[#This Row],[S_NH4]]=""),"",données_step[[#This Row],[D_QTRAI]]*données_step[[#This Row],[S_NH4]]/1000)</f>
        <v/>
      </c>
      <c r="N100" s="523" t="str">
        <f>IF(OR(données_step[[#This Row],[S_NO2]]&lt;=0,données_step[[#This Row],[S_NO2]]=""),"",données_step[[#This Row],[D_QTRAI]]*données_step[[#This Row],[S_NO2]]/1000)</f>
        <v/>
      </c>
      <c r="O100" s="523" t="str">
        <f>IF(OR(données_step[[#This Row],[S_NO3]]&lt;=0,données_step[[#This Row],[S_NO3]]=""),"",données_step[[#This Row],[D_QTRAI]]*données_step[[#This Row],[S_NO3]]/1000)</f>
        <v/>
      </c>
      <c r="P100" s="523" t="str">
        <f>IF(OR(données_step[[#This Row],[S_PTOT]]&lt;=0,données_step[[#This Row],[S_PTOT]]=""),"",données_step[[#This Row],[D_QTRAI]]*données_step[[#This Row],[S_PTOT]]/1000)</f>
        <v/>
      </c>
      <c r="Q100" s="523" t="str">
        <f>IF(OR(données_step[[#This Row],[S_MES]]&lt;=0,données_step[[#This Row],[S_MES]]=""),"",données_step[[#This Row],[D_QTRAI]]*données_step[[#This Row],[S_MES]]/1000)</f>
        <v/>
      </c>
      <c r="R100" s="523">
        <f>MAX(données_step[[#This Row],[D_QTRAI]],données_step[[#This Row],[D_QTRAI2]])</f>
        <v>0</v>
      </c>
      <c r="S100" s="523" t="str">
        <f>IF(AND($R100&gt;0,données_step[[#This Row],[E_DCO]]&gt;0),données_step[[#This Row],[E_DCO]],"")</f>
        <v/>
      </c>
      <c r="T100" s="523" t="str">
        <f>IF(S100="","",(1-données_step[[#This Row],[E_DCO]]/$V$7)*100)</f>
        <v/>
      </c>
      <c r="U100" s="523" t="str">
        <f t="shared" si="18"/>
        <v/>
      </c>
      <c r="V100" s="523" t="str">
        <f t="shared" si="19"/>
        <v/>
      </c>
      <c r="W100" s="523" t="str">
        <f t="shared" si="20"/>
        <v/>
      </c>
      <c r="X100" s="523" t="e">
        <f>IF(((100-100/$V$7*données_step[[#This Row],[E_DCO]])/100*QTS)&lt;0,NA(),IF(OR(U100&lt;0,U100=""),NA(),((100-100/$V$7*données_step[[#This Row],[E_DCO]])/100*QTS)))</f>
        <v>#NUM!</v>
      </c>
      <c r="Y100" s="523" t="str">
        <f>IF(AND($R100&gt;0,données_step[[#This Row],[E_COT]]&gt;0),données_step[[#This Row],[E_COT]],"")</f>
        <v/>
      </c>
      <c r="Z100" s="523" t="str">
        <f>IF(Y100="","",(1-données_step[[#This Row],[E_COT]]/$AB$7)*100)</f>
        <v/>
      </c>
      <c r="AA100" s="523" t="str">
        <f t="shared" si="21"/>
        <v/>
      </c>
      <c r="AB100" s="523" t="str">
        <f t="shared" si="22"/>
        <v/>
      </c>
      <c r="AC100" s="523" t="str">
        <f t="shared" si="23"/>
        <v/>
      </c>
      <c r="AD100" s="523" t="e">
        <f>IF(((100-100/$AB$7*données_step[[#This Row],[E_COT]])/100*QTS)&lt;0,NA(),IF(OR(AA100&lt;0,AA100=""),NA(),((100-100/$AB$7*données_step[[#This Row],[E_COT]])/100*QTS)))</f>
        <v>#NUM!</v>
      </c>
      <c r="AE100" s="523" t="str">
        <f>IF(AND($R100&gt;0,données_step[[#This Row],[E_NH4]]&gt;0),données_step[[#This Row],[E_NH4]],"")</f>
        <v/>
      </c>
      <c r="AF100" s="523" t="str">
        <f>IF(AE100="","",(1-données_step[[#This Row],[E_NH4]]/$AH$7)*100)</f>
        <v/>
      </c>
      <c r="AG100" s="523" t="str">
        <f t="shared" si="24"/>
        <v/>
      </c>
      <c r="AH100" s="523" t="str">
        <f t="shared" si="25"/>
        <v/>
      </c>
      <c r="AI100" s="523" t="str">
        <f t="shared" si="26"/>
        <v/>
      </c>
      <c r="AJ100" s="523" t="e">
        <f>IF(((100-100/$AH$7*données_step[[#This Row],[E_NH4]])/100*QTS)&lt;0,NA(),IF(OR(AG100&lt;0,AG100=""),NA(),((100-100/$AH$7*données_step[[#This Row],[E_NH4]])/100*QTS)))</f>
        <v>#NUM!</v>
      </c>
      <c r="AK100" s="523" t="str">
        <f>IF(AND($R100&gt;0,données_step[[#This Row],[E_PTOT]]&gt;0),données_step[[#This Row],[E_PTOT]],"")</f>
        <v/>
      </c>
      <c r="AL100" s="523" t="str">
        <f>IF(AK100="","",(1-données_step[[#This Row],[E_PTOT]]/$AN$7)*100)</f>
        <v/>
      </c>
      <c r="AM100" s="523" t="str">
        <f t="shared" si="27"/>
        <v/>
      </c>
      <c r="AN100" s="523" t="str">
        <f t="shared" si="28"/>
        <v/>
      </c>
      <c r="AO100" s="523" t="str">
        <f t="shared" si="29"/>
        <v/>
      </c>
      <c r="AP100" s="523" t="e">
        <f>IF(((100-100/$AN$7*données_step[[#This Row],[E_PTOT]])/100*QTS)&lt;0,NA(),IF(OR(AM100&lt;0,AM100=""),NA(),((100-100/$AN$7*données_step[[#This Row],[E_PTOT]])/100*QTS)))</f>
        <v>#NUM!</v>
      </c>
      <c r="AQ100" s="524" t="e">
        <f t="shared" si="30"/>
        <v>#NUM!</v>
      </c>
      <c r="AR100" s="524" t="str">
        <f t="shared" si="31"/>
        <v/>
      </c>
      <c r="AT100" s="517">
        <f t="shared" si="32"/>
        <v>0.89</v>
      </c>
      <c r="AU100" s="501">
        <f t="shared" si="33"/>
        <v>89</v>
      </c>
      <c r="AV100" s="525" t="e">
        <f>PERCENTILE(analyses!$F$11:$F$375,$AT100)</f>
        <v>#NUM!</v>
      </c>
      <c r="AW100" s="7" t="e">
        <f>PERCENTILE(analyses!$I$11:$I$375,$AT100)</f>
        <v>#NUM!</v>
      </c>
      <c r="AX100" s="7" t="e">
        <f>PERCENTILE(analyses!$J$11:$J$375,$AT100)</f>
        <v>#NUM!</v>
      </c>
      <c r="AY100" s="523" t="str">
        <f>_xlfn.IFNA(IF(données_step[[#This Row],[E_DCO]]&lt;=0,NA(),charge_entree[[#This Row],[ch_E_DCO]]/constanten!$B$8*1000),"")</f>
        <v/>
      </c>
      <c r="AZ100" s="523" t="str">
        <f>_xlfn.IFNA(IF(données_step[[#This Row],[E_NTOT]]&lt;=0,NA(),charge_entree[[#This Row],[ch_E_NTOT]]/constanten!$B$10*1000),"")</f>
        <v/>
      </c>
      <c r="BA100" s="523" t="str">
        <f>_xlfn.IFNA(IF(données_step[[#This Row],[E_NH4]]&lt;=0,NA(),charge_entree[[#This Row],[ch_E_NH4]]/constanten!$B$12*1000),"")</f>
        <v/>
      </c>
      <c r="BB100" s="523" t="str">
        <f>_xlfn.IFNA(IF(données_step[[#This Row],[E_COT]]&lt;=0,NA(),charge_entree[[#This Row],[ch_E_COT]]/constanten!$B$9*1000),"")</f>
        <v/>
      </c>
      <c r="BC100" s="523" t="str">
        <f>IFERROR(_xlfn.IFNA(IF(données_step[[#This Row],[E_PTOT]]&lt;=0,NA(),charge_entree[[#This Row],[ch_E_PTOT]]/constanten!$B$15*1000),""),"")</f>
        <v/>
      </c>
      <c r="BD100" s="535" t="e">
        <f>calculs!E100 * (1-0.4) / (données_step[[#This Row],[X_BA_VOL]]*données_step[[#This Row],[X_BACONC]])</f>
        <v>#VALUE!</v>
      </c>
      <c r="BE100" s="522" t="e">
        <f>(données_step[[#This Row],[X_BA_VOL]]*données_step[[#This Row],[X_BACONC]])/((données_step[[#This Row],[D_QTRAI2]]*données_step[[#This Row],[S_MES]]/1000)+(données_step[[#This Row],[X_BX_Q]]*données_step[[#This Row],[X_BXCONC]]))</f>
        <v>#VALUE!</v>
      </c>
      <c r="BF100" s="890" t="str">
        <f>IFERROR(données_step[[#This Row],[D_QTRAI]]/AY100*1000,"")</f>
        <v/>
      </c>
      <c r="BG100" s="535" t="str">
        <f>IFERROR(1-données_step[[#This Row],[S_DBO5]]/données_step[[#This Row],[E_DBO5]],"")</f>
        <v/>
      </c>
      <c r="BH100" s="536" t="str">
        <f>IFERROR(1-données_step[[#This Row],[S_DCO]]/données_step[[#This Row],[E_DCO]],"")</f>
        <v/>
      </c>
      <c r="BI100" s="535" t="str">
        <f>IFERROR(1-données_step[[#This Row],[S_COD]]/données_step[[#This Row],[E_COT]],"")</f>
        <v/>
      </c>
      <c r="BJ100" s="535" t="str">
        <f>IFERROR(1-données_step[[#This Row],[S_NH4]]/données_step[[#This Row],[E_NTOT]],"")</f>
        <v/>
      </c>
      <c r="BK100" s="535" t="str">
        <f>IFERROR(1-données_step[[#This Row],[S_PTOT]]/données_step[[#This Row],[E_PTOT]],"")</f>
        <v/>
      </c>
      <c r="BL100" s="521" t="str">
        <f>IFERROR(IF(données_step[[#This Row],[E_DCO]]/données_step[[#This Row],[E_DBO5]]=0,NA(),données_step[[#This Row],[E_DCO]]/données_step[[#This Row],[E_DBO5]]),"")</f>
        <v/>
      </c>
      <c r="BM100" s="521" t="str">
        <f>IFERROR(IF(données_step[[#This Row],[E_NH4]]/données_step[[#This Row],[E_NTOT]]=0,NA(),données_step[[#This Row],[E_NH4]]/données_step[[#This Row],[E_NTOT]]),"")</f>
        <v/>
      </c>
      <c r="BN100" s="521" t="str">
        <f>IFERROR(IF(données_step[[#This Row],[E_NTOT]]/données_step[[#This Row],[E_COT]]=0,NA(),données_step[[#This Row],[E_NTOT]]/données_step[[#This Row],[E_COT]]),"")</f>
        <v/>
      </c>
      <c r="BO100" s="521" t="str">
        <f>IFERROR(IF(données_step[[#This Row],[E_PTOT]]/données_step[[#This Row],[E_COT]]=0,NA(),données_step[[#This Row],[E_PTOT]]/données_step[[#This Row],[E_COT]]),"")</f>
        <v/>
      </c>
      <c r="BP100" s="521" t="e">
        <f>IF(données_step[[#This Row],[E_DCO]]/données_step[[#This Row],[E_COT]]=0,NA(),données_step[[#This Row],[E_DCO]]/données_step[[#This Row],[E_COT]])</f>
        <v>#DIV/0!</v>
      </c>
      <c r="BQ100" s="521" t="e">
        <f>IF(données_step[[#This Row],[E_NTOT]]/données_step[[#This Row],[E_DCO]]=0,NA(),données_step[[#This Row],[E_NTOT]]/données_step[[#This Row],[E_DCO]])</f>
        <v>#DIV/0!</v>
      </c>
      <c r="BR100" s="521" t="e">
        <f>IF(données_step[[#This Row],[E_PTOT]]/données_step[[#This Row],[E_DCO]]=0,NA(),données_step[[#This Row],[E_PTOT]]/données_step[[#This Row],[E_DCO]])</f>
        <v>#DIV/0!</v>
      </c>
      <c r="BS100" s="747" t="e">
        <f ca="1">test_NH4_temp(données_step[[#This Row],[S_NH4]],données_step[[#This Row],[Temp_eaux]])</f>
        <v>#NAME?</v>
      </c>
    </row>
    <row r="101" spans="1:71" x14ac:dyDescent="0.2">
      <c r="A101" s="222">
        <f>données_step[[#This Row],[Datum]]</f>
        <v>44652</v>
      </c>
      <c r="B101" s="223"/>
      <c r="C101" s="224">
        <f t="shared" si="34"/>
        <v>6</v>
      </c>
      <c r="D101" s="523" t="str">
        <f>IF(OR(données_step[[#This Row],[E_DBO5]]&lt;=0,données_step[[#This Row],[E_DBO5]]=""),"",données_step[[#This Row],[D_QTRAI]]*données_step[[#This Row],[E_DBO5]]/1000)</f>
        <v/>
      </c>
      <c r="E101" s="523" t="str">
        <f>IF(OR(données_step[[#This Row],[E_DCO]]&lt;=0,données_step[[#This Row],[E_DCO]]=""),"",données_step[[#This Row],[D_QTRAI]]*données_step[[#This Row],[E_DCO]]/1000)</f>
        <v/>
      </c>
      <c r="F101" s="523" t="str">
        <f>IF(OR(données_step[[#This Row],[E_COT]]&lt;=0,données_step[[#This Row],[E_COT]]=""),"",données_step[[#This Row],[D_QTRAI]]*données_step[[#This Row],[E_COT]]/1000)</f>
        <v/>
      </c>
      <c r="G101" s="523" t="str">
        <f>IF(OR(données_step[[#This Row],[E_NH4]]&lt;=0,données_step[[#This Row],[E_NH4]]=""),"",données_step[[#This Row],[D_QTRAI]]*données_step[[#This Row],[E_NH4]]/1000)</f>
        <v/>
      </c>
      <c r="H101" s="523" t="str">
        <f>IF(OR(données_step[[#This Row],[E_NTOT]]&lt;=0,données_step[[#This Row],[E_NTOT]]=""),"",données_step[[#This Row],[D_QTRAI]]*données_step[[#This Row],[E_NTOT]]/1000)</f>
        <v/>
      </c>
      <c r="I101" s="523" t="str">
        <f>IF(OR(données_step[[#This Row],[E_NTOT]]&lt;=0,données_step[[#This Row],[E_NTOT]]=""),"",données_step[[#This Row],[D_QTRAI]]*données_step[[#This Row],[E_PTOT]]/1000)</f>
        <v/>
      </c>
      <c r="J101" s="523" t="str">
        <f>IF(OR(données_step[[#This Row],[S_DBO5]]&lt;=0,données_step[[#This Row],[S_DBO5]]=""),"",données_step[[#This Row],[D_QTRAI]]*données_step[[#This Row],[S_DBO5]]/1000)</f>
        <v/>
      </c>
      <c r="K101" s="523" t="str">
        <f>IF(OR(données_step[[#This Row],[S_DCO]]&lt;=0,données_step[[#This Row],[S_DCO]]=""),"",données_step[[#This Row],[D_QTRAI]]*données_step[[#This Row],[S_DCO]]/1000)</f>
        <v/>
      </c>
      <c r="L101" s="523" t="str">
        <f>IF(OR(données_step[[#This Row],[S_COD]]&lt;=0,données_step[[#This Row],[S_COD]]=""),"",données_step[[#This Row],[D_QTRAI]]*données_step[[#This Row],[S_COD]]/1000)</f>
        <v/>
      </c>
      <c r="M101" s="523" t="str">
        <f>IF(OR(données_step[[#This Row],[S_NH4]]&lt;=0,données_step[[#This Row],[S_NH4]]=""),"",données_step[[#This Row],[D_QTRAI]]*données_step[[#This Row],[S_NH4]]/1000)</f>
        <v/>
      </c>
      <c r="N101" s="523" t="str">
        <f>IF(OR(données_step[[#This Row],[S_NO2]]&lt;=0,données_step[[#This Row],[S_NO2]]=""),"",données_step[[#This Row],[D_QTRAI]]*données_step[[#This Row],[S_NO2]]/1000)</f>
        <v/>
      </c>
      <c r="O101" s="523" t="str">
        <f>IF(OR(données_step[[#This Row],[S_NO3]]&lt;=0,données_step[[#This Row],[S_NO3]]=""),"",données_step[[#This Row],[D_QTRAI]]*données_step[[#This Row],[S_NO3]]/1000)</f>
        <v/>
      </c>
      <c r="P101" s="523" t="str">
        <f>IF(OR(données_step[[#This Row],[S_PTOT]]&lt;=0,données_step[[#This Row],[S_PTOT]]=""),"",données_step[[#This Row],[D_QTRAI]]*données_step[[#This Row],[S_PTOT]]/1000)</f>
        <v/>
      </c>
      <c r="Q101" s="523" t="str">
        <f>IF(OR(données_step[[#This Row],[S_MES]]&lt;=0,données_step[[#This Row],[S_MES]]=""),"",données_step[[#This Row],[D_QTRAI]]*données_step[[#This Row],[S_MES]]/1000)</f>
        <v/>
      </c>
      <c r="R101" s="523">
        <f>MAX(données_step[[#This Row],[D_QTRAI]],données_step[[#This Row],[D_QTRAI2]])</f>
        <v>0</v>
      </c>
      <c r="S101" s="523" t="str">
        <f>IF(AND($R101&gt;0,données_step[[#This Row],[E_DCO]]&gt;0),données_step[[#This Row],[E_DCO]],"")</f>
        <v/>
      </c>
      <c r="T101" s="523" t="str">
        <f>IF(S101="","",(1-données_step[[#This Row],[E_DCO]]/$V$7)*100)</f>
        <v/>
      </c>
      <c r="U101" s="523" t="str">
        <f t="shared" si="18"/>
        <v/>
      </c>
      <c r="V101" s="523" t="str">
        <f t="shared" si="19"/>
        <v/>
      </c>
      <c r="W101" s="523" t="str">
        <f t="shared" si="20"/>
        <v/>
      </c>
      <c r="X101" s="523" t="e">
        <f>IF(((100-100/$V$7*données_step[[#This Row],[E_DCO]])/100*QTS)&lt;0,NA(),IF(OR(U101&lt;0,U101=""),NA(),((100-100/$V$7*données_step[[#This Row],[E_DCO]])/100*QTS)))</f>
        <v>#NUM!</v>
      </c>
      <c r="Y101" s="523" t="str">
        <f>IF(AND($R101&gt;0,données_step[[#This Row],[E_COT]]&gt;0),données_step[[#This Row],[E_COT]],"")</f>
        <v/>
      </c>
      <c r="Z101" s="523" t="str">
        <f>IF(Y101="","",(1-données_step[[#This Row],[E_COT]]/$AB$7)*100)</f>
        <v/>
      </c>
      <c r="AA101" s="523" t="str">
        <f t="shared" si="21"/>
        <v/>
      </c>
      <c r="AB101" s="523" t="str">
        <f t="shared" si="22"/>
        <v/>
      </c>
      <c r="AC101" s="523" t="str">
        <f t="shared" si="23"/>
        <v/>
      </c>
      <c r="AD101" s="523" t="e">
        <f>IF(((100-100/$AB$7*données_step[[#This Row],[E_COT]])/100*QTS)&lt;0,NA(),IF(OR(AA101&lt;0,AA101=""),NA(),((100-100/$AB$7*données_step[[#This Row],[E_COT]])/100*QTS)))</f>
        <v>#NUM!</v>
      </c>
      <c r="AE101" s="523" t="str">
        <f>IF(AND($R101&gt;0,données_step[[#This Row],[E_NH4]]&gt;0),données_step[[#This Row],[E_NH4]],"")</f>
        <v/>
      </c>
      <c r="AF101" s="523" t="str">
        <f>IF(AE101="","",(1-données_step[[#This Row],[E_NH4]]/$AH$7)*100)</f>
        <v/>
      </c>
      <c r="AG101" s="523" t="str">
        <f t="shared" si="24"/>
        <v/>
      </c>
      <c r="AH101" s="523" t="str">
        <f t="shared" si="25"/>
        <v/>
      </c>
      <c r="AI101" s="523" t="str">
        <f t="shared" si="26"/>
        <v/>
      </c>
      <c r="AJ101" s="523" t="e">
        <f>IF(((100-100/$AH$7*données_step[[#This Row],[E_NH4]])/100*QTS)&lt;0,NA(),IF(OR(AG101&lt;0,AG101=""),NA(),((100-100/$AH$7*données_step[[#This Row],[E_NH4]])/100*QTS)))</f>
        <v>#NUM!</v>
      </c>
      <c r="AK101" s="523" t="str">
        <f>IF(AND($R101&gt;0,données_step[[#This Row],[E_PTOT]]&gt;0),données_step[[#This Row],[E_PTOT]],"")</f>
        <v/>
      </c>
      <c r="AL101" s="523" t="str">
        <f>IF(AK101="","",(1-données_step[[#This Row],[E_PTOT]]/$AN$7)*100)</f>
        <v/>
      </c>
      <c r="AM101" s="523" t="str">
        <f t="shared" si="27"/>
        <v/>
      </c>
      <c r="AN101" s="523" t="str">
        <f t="shared" si="28"/>
        <v/>
      </c>
      <c r="AO101" s="523" t="str">
        <f t="shared" si="29"/>
        <v/>
      </c>
      <c r="AP101" s="523" t="e">
        <f>IF(((100-100/$AN$7*données_step[[#This Row],[E_PTOT]])/100*QTS)&lt;0,NA(),IF(OR(AM101&lt;0,AM101=""),NA(),((100-100/$AN$7*données_step[[#This Row],[E_PTOT]])/100*QTS)))</f>
        <v>#NUM!</v>
      </c>
      <c r="AQ101" s="524" t="e">
        <f t="shared" si="30"/>
        <v>#NUM!</v>
      </c>
      <c r="AR101" s="524" t="str">
        <f t="shared" si="31"/>
        <v/>
      </c>
      <c r="AT101" s="517">
        <f t="shared" si="32"/>
        <v>0.9</v>
      </c>
      <c r="AU101" s="501">
        <f t="shared" si="33"/>
        <v>90</v>
      </c>
      <c r="AV101" s="525" t="e">
        <f>PERCENTILE(analyses!$F$11:$F$375,$AT101)</f>
        <v>#NUM!</v>
      </c>
      <c r="AW101" s="7" t="e">
        <f>PERCENTILE(analyses!$I$11:$I$375,$AT101)</f>
        <v>#NUM!</v>
      </c>
      <c r="AX101" s="7" t="e">
        <f>PERCENTILE(analyses!$J$11:$J$375,$AT101)</f>
        <v>#NUM!</v>
      </c>
      <c r="AY101" s="523" t="str">
        <f>_xlfn.IFNA(IF(données_step[[#This Row],[E_DCO]]&lt;=0,NA(),charge_entree[[#This Row],[ch_E_DCO]]/constanten!$B$8*1000),"")</f>
        <v/>
      </c>
      <c r="AZ101" s="523" t="str">
        <f>_xlfn.IFNA(IF(données_step[[#This Row],[E_NTOT]]&lt;=0,NA(),charge_entree[[#This Row],[ch_E_NTOT]]/constanten!$B$10*1000),"")</f>
        <v/>
      </c>
      <c r="BA101" s="523" t="str">
        <f>_xlfn.IFNA(IF(données_step[[#This Row],[E_NH4]]&lt;=0,NA(),charge_entree[[#This Row],[ch_E_NH4]]/constanten!$B$12*1000),"")</f>
        <v/>
      </c>
      <c r="BB101" s="523" t="str">
        <f>_xlfn.IFNA(IF(données_step[[#This Row],[E_COT]]&lt;=0,NA(),charge_entree[[#This Row],[ch_E_COT]]/constanten!$B$9*1000),"")</f>
        <v/>
      </c>
      <c r="BC101" s="523" t="str">
        <f>IFERROR(_xlfn.IFNA(IF(données_step[[#This Row],[E_PTOT]]&lt;=0,NA(),charge_entree[[#This Row],[ch_E_PTOT]]/constanten!$B$15*1000),""),"")</f>
        <v/>
      </c>
      <c r="BD101" s="535" t="e">
        <f>calculs!E101 * (1-0.4) / (données_step[[#This Row],[X_BA_VOL]]*données_step[[#This Row],[X_BACONC]])</f>
        <v>#VALUE!</v>
      </c>
      <c r="BE101" s="522" t="e">
        <f>(données_step[[#This Row],[X_BA_VOL]]*données_step[[#This Row],[X_BACONC]])/((données_step[[#This Row],[D_QTRAI2]]*données_step[[#This Row],[S_MES]]/1000)+(données_step[[#This Row],[X_BX_Q]]*données_step[[#This Row],[X_BXCONC]]))</f>
        <v>#VALUE!</v>
      </c>
      <c r="BF101" s="890" t="str">
        <f>IFERROR(données_step[[#This Row],[D_QTRAI]]/AY101*1000,"")</f>
        <v/>
      </c>
      <c r="BG101" s="535" t="str">
        <f>IFERROR(1-données_step[[#This Row],[S_DBO5]]/données_step[[#This Row],[E_DBO5]],"")</f>
        <v/>
      </c>
      <c r="BH101" s="536" t="str">
        <f>IFERROR(1-données_step[[#This Row],[S_DCO]]/données_step[[#This Row],[E_DCO]],"")</f>
        <v/>
      </c>
      <c r="BI101" s="535" t="str">
        <f>IFERROR(1-données_step[[#This Row],[S_COD]]/données_step[[#This Row],[E_COT]],"")</f>
        <v/>
      </c>
      <c r="BJ101" s="535" t="str">
        <f>IFERROR(1-données_step[[#This Row],[S_NH4]]/données_step[[#This Row],[E_NTOT]],"")</f>
        <v/>
      </c>
      <c r="BK101" s="535" t="str">
        <f>IFERROR(1-données_step[[#This Row],[S_PTOT]]/données_step[[#This Row],[E_PTOT]],"")</f>
        <v/>
      </c>
      <c r="BL101" s="521" t="str">
        <f>IFERROR(IF(données_step[[#This Row],[E_DCO]]/données_step[[#This Row],[E_DBO5]]=0,NA(),données_step[[#This Row],[E_DCO]]/données_step[[#This Row],[E_DBO5]]),"")</f>
        <v/>
      </c>
      <c r="BM101" s="521" t="str">
        <f>IFERROR(IF(données_step[[#This Row],[E_NH4]]/données_step[[#This Row],[E_NTOT]]=0,NA(),données_step[[#This Row],[E_NH4]]/données_step[[#This Row],[E_NTOT]]),"")</f>
        <v/>
      </c>
      <c r="BN101" s="521" t="str">
        <f>IFERROR(IF(données_step[[#This Row],[E_NTOT]]/données_step[[#This Row],[E_COT]]=0,NA(),données_step[[#This Row],[E_NTOT]]/données_step[[#This Row],[E_COT]]),"")</f>
        <v/>
      </c>
      <c r="BO101" s="521" t="str">
        <f>IFERROR(IF(données_step[[#This Row],[E_PTOT]]/données_step[[#This Row],[E_COT]]=0,NA(),données_step[[#This Row],[E_PTOT]]/données_step[[#This Row],[E_COT]]),"")</f>
        <v/>
      </c>
      <c r="BP101" s="521" t="e">
        <f>IF(données_step[[#This Row],[E_DCO]]/données_step[[#This Row],[E_COT]]=0,NA(),données_step[[#This Row],[E_DCO]]/données_step[[#This Row],[E_COT]])</f>
        <v>#DIV/0!</v>
      </c>
      <c r="BQ101" s="521" t="e">
        <f>IF(données_step[[#This Row],[E_NTOT]]/données_step[[#This Row],[E_DCO]]=0,NA(),données_step[[#This Row],[E_NTOT]]/données_step[[#This Row],[E_DCO]])</f>
        <v>#DIV/0!</v>
      </c>
      <c r="BR101" s="521" t="e">
        <f>IF(données_step[[#This Row],[E_PTOT]]/données_step[[#This Row],[E_DCO]]=0,NA(),données_step[[#This Row],[E_PTOT]]/données_step[[#This Row],[E_DCO]])</f>
        <v>#DIV/0!</v>
      </c>
      <c r="BS101" s="747" t="e">
        <f ca="1">test_NH4_temp(données_step[[#This Row],[S_NH4]],données_step[[#This Row],[Temp_eaux]])</f>
        <v>#NAME?</v>
      </c>
    </row>
    <row r="102" spans="1:71" x14ac:dyDescent="0.2">
      <c r="A102" s="222">
        <f>données_step[[#This Row],[Datum]]</f>
        <v>44653</v>
      </c>
      <c r="B102" s="223"/>
      <c r="C102" s="224">
        <f t="shared" si="34"/>
        <v>7</v>
      </c>
      <c r="D102" s="523" t="str">
        <f>IF(OR(données_step[[#This Row],[E_DBO5]]&lt;=0,données_step[[#This Row],[E_DBO5]]=""),"",données_step[[#This Row],[D_QTRAI]]*données_step[[#This Row],[E_DBO5]]/1000)</f>
        <v/>
      </c>
      <c r="E102" s="523" t="str">
        <f>IF(OR(données_step[[#This Row],[E_DCO]]&lt;=0,données_step[[#This Row],[E_DCO]]=""),"",données_step[[#This Row],[D_QTRAI]]*données_step[[#This Row],[E_DCO]]/1000)</f>
        <v/>
      </c>
      <c r="F102" s="523" t="str">
        <f>IF(OR(données_step[[#This Row],[E_COT]]&lt;=0,données_step[[#This Row],[E_COT]]=""),"",données_step[[#This Row],[D_QTRAI]]*données_step[[#This Row],[E_COT]]/1000)</f>
        <v/>
      </c>
      <c r="G102" s="523" t="str">
        <f>IF(OR(données_step[[#This Row],[E_NH4]]&lt;=0,données_step[[#This Row],[E_NH4]]=""),"",données_step[[#This Row],[D_QTRAI]]*données_step[[#This Row],[E_NH4]]/1000)</f>
        <v/>
      </c>
      <c r="H102" s="523" t="str">
        <f>IF(OR(données_step[[#This Row],[E_NTOT]]&lt;=0,données_step[[#This Row],[E_NTOT]]=""),"",données_step[[#This Row],[D_QTRAI]]*données_step[[#This Row],[E_NTOT]]/1000)</f>
        <v/>
      </c>
      <c r="I102" s="523" t="str">
        <f>IF(OR(données_step[[#This Row],[E_NTOT]]&lt;=0,données_step[[#This Row],[E_NTOT]]=""),"",données_step[[#This Row],[D_QTRAI]]*données_step[[#This Row],[E_PTOT]]/1000)</f>
        <v/>
      </c>
      <c r="J102" s="523" t="str">
        <f>IF(OR(données_step[[#This Row],[S_DBO5]]&lt;=0,données_step[[#This Row],[S_DBO5]]=""),"",données_step[[#This Row],[D_QTRAI]]*données_step[[#This Row],[S_DBO5]]/1000)</f>
        <v/>
      </c>
      <c r="K102" s="523" t="str">
        <f>IF(OR(données_step[[#This Row],[S_DCO]]&lt;=0,données_step[[#This Row],[S_DCO]]=""),"",données_step[[#This Row],[D_QTRAI]]*données_step[[#This Row],[S_DCO]]/1000)</f>
        <v/>
      </c>
      <c r="L102" s="523" t="str">
        <f>IF(OR(données_step[[#This Row],[S_COD]]&lt;=0,données_step[[#This Row],[S_COD]]=""),"",données_step[[#This Row],[D_QTRAI]]*données_step[[#This Row],[S_COD]]/1000)</f>
        <v/>
      </c>
      <c r="M102" s="523" t="str">
        <f>IF(OR(données_step[[#This Row],[S_NH4]]&lt;=0,données_step[[#This Row],[S_NH4]]=""),"",données_step[[#This Row],[D_QTRAI]]*données_step[[#This Row],[S_NH4]]/1000)</f>
        <v/>
      </c>
      <c r="N102" s="523" t="str">
        <f>IF(OR(données_step[[#This Row],[S_NO2]]&lt;=0,données_step[[#This Row],[S_NO2]]=""),"",données_step[[#This Row],[D_QTRAI]]*données_step[[#This Row],[S_NO2]]/1000)</f>
        <v/>
      </c>
      <c r="O102" s="523" t="str">
        <f>IF(OR(données_step[[#This Row],[S_NO3]]&lt;=0,données_step[[#This Row],[S_NO3]]=""),"",données_step[[#This Row],[D_QTRAI]]*données_step[[#This Row],[S_NO3]]/1000)</f>
        <v/>
      </c>
      <c r="P102" s="523" t="str">
        <f>IF(OR(données_step[[#This Row],[S_PTOT]]&lt;=0,données_step[[#This Row],[S_PTOT]]=""),"",données_step[[#This Row],[D_QTRAI]]*données_step[[#This Row],[S_PTOT]]/1000)</f>
        <v/>
      </c>
      <c r="Q102" s="523" t="str">
        <f>IF(OR(données_step[[#This Row],[S_MES]]&lt;=0,données_step[[#This Row],[S_MES]]=""),"",données_step[[#This Row],[D_QTRAI]]*données_step[[#This Row],[S_MES]]/1000)</f>
        <v/>
      </c>
      <c r="R102" s="523">
        <f>MAX(données_step[[#This Row],[D_QTRAI]],données_step[[#This Row],[D_QTRAI2]])</f>
        <v>0</v>
      </c>
      <c r="S102" s="523" t="str">
        <f>IF(AND($R102&gt;0,données_step[[#This Row],[E_DCO]]&gt;0),données_step[[#This Row],[E_DCO]],"")</f>
        <v/>
      </c>
      <c r="T102" s="523" t="str">
        <f>IF(S102="","",(1-données_step[[#This Row],[E_DCO]]/$V$7)*100)</f>
        <v/>
      </c>
      <c r="U102" s="523" t="str">
        <f t="shared" si="18"/>
        <v/>
      </c>
      <c r="V102" s="523" t="str">
        <f t="shared" si="19"/>
        <v/>
      </c>
      <c r="W102" s="523" t="str">
        <f t="shared" si="20"/>
        <v/>
      </c>
      <c r="X102" s="523" t="e">
        <f>IF(((100-100/$V$7*données_step[[#This Row],[E_DCO]])/100*QTS)&lt;0,NA(),IF(OR(U102&lt;0,U102=""),NA(),((100-100/$V$7*données_step[[#This Row],[E_DCO]])/100*QTS)))</f>
        <v>#NUM!</v>
      </c>
      <c r="Y102" s="523" t="str">
        <f>IF(AND($R102&gt;0,données_step[[#This Row],[E_COT]]&gt;0),données_step[[#This Row],[E_COT]],"")</f>
        <v/>
      </c>
      <c r="Z102" s="523" t="str">
        <f>IF(Y102="","",(1-données_step[[#This Row],[E_COT]]/$AB$7)*100)</f>
        <v/>
      </c>
      <c r="AA102" s="523" t="str">
        <f t="shared" si="21"/>
        <v/>
      </c>
      <c r="AB102" s="523" t="str">
        <f t="shared" si="22"/>
        <v/>
      </c>
      <c r="AC102" s="523" t="str">
        <f t="shared" si="23"/>
        <v/>
      </c>
      <c r="AD102" s="523" t="e">
        <f>IF(((100-100/$AB$7*données_step[[#This Row],[E_COT]])/100*QTS)&lt;0,NA(),IF(OR(AA102&lt;0,AA102=""),NA(),((100-100/$AB$7*données_step[[#This Row],[E_COT]])/100*QTS)))</f>
        <v>#NUM!</v>
      </c>
      <c r="AE102" s="523" t="str">
        <f>IF(AND($R102&gt;0,données_step[[#This Row],[E_NH4]]&gt;0),données_step[[#This Row],[E_NH4]],"")</f>
        <v/>
      </c>
      <c r="AF102" s="523" t="str">
        <f>IF(AE102="","",(1-données_step[[#This Row],[E_NH4]]/$AH$7)*100)</f>
        <v/>
      </c>
      <c r="AG102" s="523" t="str">
        <f t="shared" si="24"/>
        <v/>
      </c>
      <c r="AH102" s="523" t="str">
        <f t="shared" si="25"/>
        <v/>
      </c>
      <c r="AI102" s="523" t="str">
        <f t="shared" si="26"/>
        <v/>
      </c>
      <c r="AJ102" s="523" t="e">
        <f>IF(((100-100/$AH$7*données_step[[#This Row],[E_NH4]])/100*QTS)&lt;0,NA(),IF(OR(AG102&lt;0,AG102=""),NA(),((100-100/$AH$7*données_step[[#This Row],[E_NH4]])/100*QTS)))</f>
        <v>#NUM!</v>
      </c>
      <c r="AK102" s="523" t="str">
        <f>IF(AND($R102&gt;0,données_step[[#This Row],[E_PTOT]]&gt;0),données_step[[#This Row],[E_PTOT]],"")</f>
        <v/>
      </c>
      <c r="AL102" s="523" t="str">
        <f>IF(AK102="","",(1-données_step[[#This Row],[E_PTOT]]/$AN$7)*100)</f>
        <v/>
      </c>
      <c r="AM102" s="523" t="str">
        <f t="shared" si="27"/>
        <v/>
      </c>
      <c r="AN102" s="523" t="str">
        <f t="shared" si="28"/>
        <v/>
      </c>
      <c r="AO102" s="523" t="str">
        <f t="shared" si="29"/>
        <v/>
      </c>
      <c r="AP102" s="523" t="e">
        <f>IF(((100-100/$AN$7*données_step[[#This Row],[E_PTOT]])/100*QTS)&lt;0,NA(),IF(OR(AM102&lt;0,AM102=""),NA(),((100-100/$AN$7*données_step[[#This Row],[E_PTOT]])/100*QTS)))</f>
        <v>#NUM!</v>
      </c>
      <c r="AQ102" s="524" t="e">
        <f t="shared" si="30"/>
        <v>#NUM!</v>
      </c>
      <c r="AR102" s="524" t="str">
        <f t="shared" si="31"/>
        <v/>
      </c>
      <c r="AT102" s="517">
        <f t="shared" si="32"/>
        <v>0.91</v>
      </c>
      <c r="AU102" s="501">
        <f t="shared" si="33"/>
        <v>91</v>
      </c>
      <c r="AV102" s="525" t="e">
        <f>PERCENTILE(analyses!$F$11:$F$375,$AT102)</f>
        <v>#NUM!</v>
      </c>
      <c r="AW102" s="7" t="e">
        <f>PERCENTILE(analyses!$I$11:$I$375,$AT102)</f>
        <v>#NUM!</v>
      </c>
      <c r="AX102" s="7" t="e">
        <f>PERCENTILE(analyses!$J$11:$J$375,$AT102)</f>
        <v>#NUM!</v>
      </c>
      <c r="AY102" s="523" t="str">
        <f>_xlfn.IFNA(IF(données_step[[#This Row],[E_DCO]]&lt;=0,NA(),charge_entree[[#This Row],[ch_E_DCO]]/constanten!$B$8*1000),"")</f>
        <v/>
      </c>
      <c r="AZ102" s="523" t="str">
        <f>_xlfn.IFNA(IF(données_step[[#This Row],[E_NTOT]]&lt;=0,NA(),charge_entree[[#This Row],[ch_E_NTOT]]/constanten!$B$10*1000),"")</f>
        <v/>
      </c>
      <c r="BA102" s="523" t="str">
        <f>_xlfn.IFNA(IF(données_step[[#This Row],[E_NH4]]&lt;=0,NA(),charge_entree[[#This Row],[ch_E_NH4]]/constanten!$B$12*1000),"")</f>
        <v/>
      </c>
      <c r="BB102" s="523" t="str">
        <f>_xlfn.IFNA(IF(données_step[[#This Row],[E_COT]]&lt;=0,NA(),charge_entree[[#This Row],[ch_E_COT]]/constanten!$B$9*1000),"")</f>
        <v/>
      </c>
      <c r="BC102" s="523" t="str">
        <f>IFERROR(_xlfn.IFNA(IF(données_step[[#This Row],[E_PTOT]]&lt;=0,NA(),charge_entree[[#This Row],[ch_E_PTOT]]/constanten!$B$15*1000),""),"")</f>
        <v/>
      </c>
      <c r="BD102" s="535" t="e">
        <f>calculs!E102 * (1-0.4) / (données_step[[#This Row],[X_BA_VOL]]*données_step[[#This Row],[X_BACONC]])</f>
        <v>#VALUE!</v>
      </c>
      <c r="BE102" s="522" t="e">
        <f>(données_step[[#This Row],[X_BA_VOL]]*données_step[[#This Row],[X_BACONC]])/((données_step[[#This Row],[D_QTRAI2]]*données_step[[#This Row],[S_MES]]/1000)+(données_step[[#This Row],[X_BX_Q]]*données_step[[#This Row],[X_BXCONC]]))</f>
        <v>#VALUE!</v>
      </c>
      <c r="BF102" s="890" t="str">
        <f>IFERROR(données_step[[#This Row],[D_QTRAI]]/AY102*1000,"")</f>
        <v/>
      </c>
      <c r="BG102" s="535" t="str">
        <f>IFERROR(1-données_step[[#This Row],[S_DBO5]]/données_step[[#This Row],[E_DBO5]],"")</f>
        <v/>
      </c>
      <c r="BH102" s="536" t="str">
        <f>IFERROR(1-données_step[[#This Row],[S_DCO]]/données_step[[#This Row],[E_DCO]],"")</f>
        <v/>
      </c>
      <c r="BI102" s="535" t="str">
        <f>IFERROR(1-données_step[[#This Row],[S_COD]]/données_step[[#This Row],[E_COT]],"")</f>
        <v/>
      </c>
      <c r="BJ102" s="535" t="str">
        <f>IFERROR(1-données_step[[#This Row],[S_NH4]]/données_step[[#This Row],[E_NTOT]],"")</f>
        <v/>
      </c>
      <c r="BK102" s="535" t="str">
        <f>IFERROR(1-données_step[[#This Row],[S_PTOT]]/données_step[[#This Row],[E_PTOT]],"")</f>
        <v/>
      </c>
      <c r="BL102" s="521" t="str">
        <f>IFERROR(IF(données_step[[#This Row],[E_DCO]]/données_step[[#This Row],[E_DBO5]]=0,NA(),données_step[[#This Row],[E_DCO]]/données_step[[#This Row],[E_DBO5]]),"")</f>
        <v/>
      </c>
      <c r="BM102" s="521" t="str">
        <f>IFERROR(IF(données_step[[#This Row],[E_NH4]]/données_step[[#This Row],[E_NTOT]]=0,NA(),données_step[[#This Row],[E_NH4]]/données_step[[#This Row],[E_NTOT]]),"")</f>
        <v/>
      </c>
      <c r="BN102" s="521" t="str">
        <f>IFERROR(IF(données_step[[#This Row],[E_NTOT]]/données_step[[#This Row],[E_COT]]=0,NA(),données_step[[#This Row],[E_NTOT]]/données_step[[#This Row],[E_COT]]),"")</f>
        <v/>
      </c>
      <c r="BO102" s="521" t="str">
        <f>IFERROR(IF(données_step[[#This Row],[E_PTOT]]/données_step[[#This Row],[E_COT]]=0,NA(),données_step[[#This Row],[E_PTOT]]/données_step[[#This Row],[E_COT]]),"")</f>
        <v/>
      </c>
      <c r="BP102" s="521" t="e">
        <f>IF(données_step[[#This Row],[E_DCO]]/données_step[[#This Row],[E_COT]]=0,NA(),données_step[[#This Row],[E_DCO]]/données_step[[#This Row],[E_COT]])</f>
        <v>#DIV/0!</v>
      </c>
      <c r="BQ102" s="521" t="e">
        <f>IF(données_step[[#This Row],[E_NTOT]]/données_step[[#This Row],[E_DCO]]=0,NA(),données_step[[#This Row],[E_NTOT]]/données_step[[#This Row],[E_DCO]])</f>
        <v>#DIV/0!</v>
      </c>
      <c r="BR102" s="521" t="e">
        <f>IF(données_step[[#This Row],[E_PTOT]]/données_step[[#This Row],[E_DCO]]=0,NA(),données_step[[#This Row],[E_PTOT]]/données_step[[#This Row],[E_DCO]])</f>
        <v>#DIV/0!</v>
      </c>
      <c r="BS102" s="747" t="e">
        <f ca="1">test_NH4_temp(données_step[[#This Row],[S_NH4]],données_step[[#This Row],[Temp_eaux]])</f>
        <v>#NAME?</v>
      </c>
    </row>
    <row r="103" spans="1:71" x14ac:dyDescent="0.2">
      <c r="A103" s="222">
        <f>données_step[[#This Row],[Datum]]</f>
        <v>44654</v>
      </c>
      <c r="B103" s="223"/>
      <c r="C103" s="224">
        <f t="shared" si="34"/>
        <v>1</v>
      </c>
      <c r="D103" s="523" t="str">
        <f>IF(OR(données_step[[#This Row],[E_DBO5]]&lt;=0,données_step[[#This Row],[E_DBO5]]=""),"",données_step[[#This Row],[D_QTRAI]]*données_step[[#This Row],[E_DBO5]]/1000)</f>
        <v/>
      </c>
      <c r="E103" s="523" t="str">
        <f>IF(OR(données_step[[#This Row],[E_DCO]]&lt;=0,données_step[[#This Row],[E_DCO]]=""),"",données_step[[#This Row],[D_QTRAI]]*données_step[[#This Row],[E_DCO]]/1000)</f>
        <v/>
      </c>
      <c r="F103" s="523" t="str">
        <f>IF(OR(données_step[[#This Row],[E_COT]]&lt;=0,données_step[[#This Row],[E_COT]]=""),"",données_step[[#This Row],[D_QTRAI]]*données_step[[#This Row],[E_COT]]/1000)</f>
        <v/>
      </c>
      <c r="G103" s="523" t="str">
        <f>IF(OR(données_step[[#This Row],[E_NH4]]&lt;=0,données_step[[#This Row],[E_NH4]]=""),"",données_step[[#This Row],[D_QTRAI]]*données_step[[#This Row],[E_NH4]]/1000)</f>
        <v/>
      </c>
      <c r="H103" s="523" t="str">
        <f>IF(OR(données_step[[#This Row],[E_NTOT]]&lt;=0,données_step[[#This Row],[E_NTOT]]=""),"",données_step[[#This Row],[D_QTRAI]]*données_step[[#This Row],[E_NTOT]]/1000)</f>
        <v/>
      </c>
      <c r="I103" s="523" t="str">
        <f>IF(OR(données_step[[#This Row],[E_NTOT]]&lt;=0,données_step[[#This Row],[E_NTOT]]=""),"",données_step[[#This Row],[D_QTRAI]]*données_step[[#This Row],[E_PTOT]]/1000)</f>
        <v/>
      </c>
      <c r="J103" s="523" t="str">
        <f>IF(OR(données_step[[#This Row],[S_DBO5]]&lt;=0,données_step[[#This Row],[S_DBO5]]=""),"",données_step[[#This Row],[D_QTRAI]]*données_step[[#This Row],[S_DBO5]]/1000)</f>
        <v/>
      </c>
      <c r="K103" s="523" t="str">
        <f>IF(OR(données_step[[#This Row],[S_DCO]]&lt;=0,données_step[[#This Row],[S_DCO]]=""),"",données_step[[#This Row],[D_QTRAI]]*données_step[[#This Row],[S_DCO]]/1000)</f>
        <v/>
      </c>
      <c r="L103" s="523" t="str">
        <f>IF(OR(données_step[[#This Row],[S_COD]]&lt;=0,données_step[[#This Row],[S_COD]]=""),"",données_step[[#This Row],[D_QTRAI]]*données_step[[#This Row],[S_COD]]/1000)</f>
        <v/>
      </c>
      <c r="M103" s="523" t="str">
        <f>IF(OR(données_step[[#This Row],[S_NH4]]&lt;=0,données_step[[#This Row],[S_NH4]]=""),"",données_step[[#This Row],[D_QTRAI]]*données_step[[#This Row],[S_NH4]]/1000)</f>
        <v/>
      </c>
      <c r="N103" s="523" t="str">
        <f>IF(OR(données_step[[#This Row],[S_NO2]]&lt;=0,données_step[[#This Row],[S_NO2]]=""),"",données_step[[#This Row],[D_QTRAI]]*données_step[[#This Row],[S_NO2]]/1000)</f>
        <v/>
      </c>
      <c r="O103" s="523" t="str">
        <f>IF(OR(données_step[[#This Row],[S_NO3]]&lt;=0,données_step[[#This Row],[S_NO3]]=""),"",données_step[[#This Row],[D_QTRAI]]*données_step[[#This Row],[S_NO3]]/1000)</f>
        <v/>
      </c>
      <c r="P103" s="523" t="str">
        <f>IF(OR(données_step[[#This Row],[S_PTOT]]&lt;=0,données_step[[#This Row],[S_PTOT]]=""),"",données_step[[#This Row],[D_QTRAI]]*données_step[[#This Row],[S_PTOT]]/1000)</f>
        <v/>
      </c>
      <c r="Q103" s="523" t="str">
        <f>IF(OR(données_step[[#This Row],[S_MES]]&lt;=0,données_step[[#This Row],[S_MES]]=""),"",données_step[[#This Row],[D_QTRAI]]*données_step[[#This Row],[S_MES]]/1000)</f>
        <v/>
      </c>
      <c r="R103" s="523">
        <f>MAX(données_step[[#This Row],[D_QTRAI]],données_step[[#This Row],[D_QTRAI2]])</f>
        <v>0</v>
      </c>
      <c r="S103" s="523" t="str">
        <f>IF(AND($R103&gt;0,données_step[[#This Row],[E_DCO]]&gt;0),données_step[[#This Row],[E_DCO]],"")</f>
        <v/>
      </c>
      <c r="T103" s="523" t="str">
        <f>IF(S103="","",(1-données_step[[#This Row],[E_DCO]]/$V$7)*100)</f>
        <v/>
      </c>
      <c r="U103" s="523" t="str">
        <f t="shared" si="18"/>
        <v/>
      </c>
      <c r="V103" s="523" t="str">
        <f t="shared" si="19"/>
        <v/>
      </c>
      <c r="W103" s="523" t="str">
        <f t="shared" si="20"/>
        <v/>
      </c>
      <c r="X103" s="523" t="e">
        <f>IF(((100-100/$V$7*données_step[[#This Row],[E_DCO]])/100*QTS)&lt;0,NA(),IF(OR(U103&lt;0,U103=""),NA(),((100-100/$V$7*données_step[[#This Row],[E_DCO]])/100*QTS)))</f>
        <v>#NUM!</v>
      </c>
      <c r="Y103" s="523" t="str">
        <f>IF(AND($R103&gt;0,données_step[[#This Row],[E_COT]]&gt;0),données_step[[#This Row],[E_COT]],"")</f>
        <v/>
      </c>
      <c r="Z103" s="523" t="str">
        <f>IF(Y103="","",(1-données_step[[#This Row],[E_COT]]/$AB$7)*100)</f>
        <v/>
      </c>
      <c r="AA103" s="523" t="str">
        <f t="shared" si="21"/>
        <v/>
      </c>
      <c r="AB103" s="523" t="str">
        <f t="shared" si="22"/>
        <v/>
      </c>
      <c r="AC103" s="523" t="str">
        <f t="shared" si="23"/>
        <v/>
      </c>
      <c r="AD103" s="523" t="e">
        <f>IF(((100-100/$AB$7*données_step[[#This Row],[E_COT]])/100*QTS)&lt;0,NA(),IF(OR(AA103&lt;0,AA103=""),NA(),((100-100/$AB$7*données_step[[#This Row],[E_COT]])/100*QTS)))</f>
        <v>#NUM!</v>
      </c>
      <c r="AE103" s="523" t="str">
        <f>IF(AND($R103&gt;0,données_step[[#This Row],[E_NH4]]&gt;0),données_step[[#This Row],[E_NH4]],"")</f>
        <v/>
      </c>
      <c r="AF103" s="523" t="str">
        <f>IF(AE103="","",(1-données_step[[#This Row],[E_NH4]]/$AH$7)*100)</f>
        <v/>
      </c>
      <c r="AG103" s="523" t="str">
        <f t="shared" si="24"/>
        <v/>
      </c>
      <c r="AH103" s="523" t="str">
        <f t="shared" si="25"/>
        <v/>
      </c>
      <c r="AI103" s="523" t="str">
        <f t="shared" si="26"/>
        <v/>
      </c>
      <c r="AJ103" s="523" t="e">
        <f>IF(((100-100/$AH$7*données_step[[#This Row],[E_NH4]])/100*QTS)&lt;0,NA(),IF(OR(AG103&lt;0,AG103=""),NA(),((100-100/$AH$7*données_step[[#This Row],[E_NH4]])/100*QTS)))</f>
        <v>#NUM!</v>
      </c>
      <c r="AK103" s="523" t="str">
        <f>IF(AND($R103&gt;0,données_step[[#This Row],[E_PTOT]]&gt;0),données_step[[#This Row],[E_PTOT]],"")</f>
        <v/>
      </c>
      <c r="AL103" s="523" t="str">
        <f>IF(AK103="","",(1-données_step[[#This Row],[E_PTOT]]/$AN$7)*100)</f>
        <v/>
      </c>
      <c r="AM103" s="523" t="str">
        <f t="shared" si="27"/>
        <v/>
      </c>
      <c r="AN103" s="523" t="str">
        <f t="shared" si="28"/>
        <v/>
      </c>
      <c r="AO103" s="523" t="str">
        <f t="shared" si="29"/>
        <v/>
      </c>
      <c r="AP103" s="523" t="e">
        <f>IF(((100-100/$AN$7*données_step[[#This Row],[E_PTOT]])/100*QTS)&lt;0,NA(),IF(OR(AM103&lt;0,AM103=""),NA(),((100-100/$AN$7*données_step[[#This Row],[E_PTOT]])/100*QTS)))</f>
        <v>#NUM!</v>
      </c>
      <c r="AQ103" s="524" t="e">
        <f t="shared" si="30"/>
        <v>#NUM!</v>
      </c>
      <c r="AR103" s="524" t="str">
        <f t="shared" si="31"/>
        <v/>
      </c>
      <c r="AT103" s="517">
        <f t="shared" si="32"/>
        <v>0.92</v>
      </c>
      <c r="AU103" s="501">
        <f t="shared" si="33"/>
        <v>92</v>
      </c>
      <c r="AV103" s="525" t="e">
        <f>PERCENTILE(analyses!$F$11:$F$375,$AT103)</f>
        <v>#NUM!</v>
      </c>
      <c r="AW103" s="7" t="e">
        <f>PERCENTILE(analyses!$I$11:$I$375,$AT103)</f>
        <v>#NUM!</v>
      </c>
      <c r="AX103" s="7" t="e">
        <f>PERCENTILE(analyses!$J$11:$J$375,$AT103)</f>
        <v>#NUM!</v>
      </c>
      <c r="AY103" s="523" t="str">
        <f>_xlfn.IFNA(IF(données_step[[#This Row],[E_DCO]]&lt;=0,NA(),charge_entree[[#This Row],[ch_E_DCO]]/constanten!$B$8*1000),"")</f>
        <v/>
      </c>
      <c r="AZ103" s="523" t="str">
        <f>_xlfn.IFNA(IF(données_step[[#This Row],[E_NTOT]]&lt;=0,NA(),charge_entree[[#This Row],[ch_E_NTOT]]/constanten!$B$10*1000),"")</f>
        <v/>
      </c>
      <c r="BA103" s="523" t="str">
        <f>_xlfn.IFNA(IF(données_step[[#This Row],[E_NH4]]&lt;=0,NA(),charge_entree[[#This Row],[ch_E_NH4]]/constanten!$B$12*1000),"")</f>
        <v/>
      </c>
      <c r="BB103" s="523" t="str">
        <f>_xlfn.IFNA(IF(données_step[[#This Row],[E_COT]]&lt;=0,NA(),charge_entree[[#This Row],[ch_E_COT]]/constanten!$B$9*1000),"")</f>
        <v/>
      </c>
      <c r="BC103" s="523" t="str">
        <f>IFERROR(_xlfn.IFNA(IF(données_step[[#This Row],[E_PTOT]]&lt;=0,NA(),charge_entree[[#This Row],[ch_E_PTOT]]/constanten!$B$15*1000),""),"")</f>
        <v/>
      </c>
      <c r="BD103" s="535" t="e">
        <f>calculs!E103 * (1-0.4) / (données_step[[#This Row],[X_BA_VOL]]*données_step[[#This Row],[X_BACONC]])</f>
        <v>#VALUE!</v>
      </c>
      <c r="BE103" s="522" t="e">
        <f>(données_step[[#This Row],[X_BA_VOL]]*données_step[[#This Row],[X_BACONC]])/((données_step[[#This Row],[D_QTRAI2]]*données_step[[#This Row],[S_MES]]/1000)+(données_step[[#This Row],[X_BX_Q]]*données_step[[#This Row],[X_BXCONC]]))</f>
        <v>#VALUE!</v>
      </c>
      <c r="BF103" s="890" t="str">
        <f>IFERROR(données_step[[#This Row],[D_QTRAI]]/AY103*1000,"")</f>
        <v/>
      </c>
      <c r="BG103" s="535" t="str">
        <f>IFERROR(1-données_step[[#This Row],[S_DBO5]]/données_step[[#This Row],[E_DBO5]],"")</f>
        <v/>
      </c>
      <c r="BH103" s="536" t="str">
        <f>IFERROR(1-données_step[[#This Row],[S_DCO]]/données_step[[#This Row],[E_DCO]],"")</f>
        <v/>
      </c>
      <c r="BI103" s="535" t="str">
        <f>IFERROR(1-données_step[[#This Row],[S_COD]]/données_step[[#This Row],[E_COT]],"")</f>
        <v/>
      </c>
      <c r="BJ103" s="535" t="str">
        <f>IFERROR(1-données_step[[#This Row],[S_NH4]]/données_step[[#This Row],[E_NTOT]],"")</f>
        <v/>
      </c>
      <c r="BK103" s="535" t="str">
        <f>IFERROR(1-données_step[[#This Row],[S_PTOT]]/données_step[[#This Row],[E_PTOT]],"")</f>
        <v/>
      </c>
      <c r="BL103" s="521" t="str">
        <f>IFERROR(IF(données_step[[#This Row],[E_DCO]]/données_step[[#This Row],[E_DBO5]]=0,NA(),données_step[[#This Row],[E_DCO]]/données_step[[#This Row],[E_DBO5]]),"")</f>
        <v/>
      </c>
      <c r="BM103" s="521" t="str">
        <f>IFERROR(IF(données_step[[#This Row],[E_NH4]]/données_step[[#This Row],[E_NTOT]]=0,NA(),données_step[[#This Row],[E_NH4]]/données_step[[#This Row],[E_NTOT]]),"")</f>
        <v/>
      </c>
      <c r="BN103" s="521" t="str">
        <f>IFERROR(IF(données_step[[#This Row],[E_NTOT]]/données_step[[#This Row],[E_COT]]=0,NA(),données_step[[#This Row],[E_NTOT]]/données_step[[#This Row],[E_COT]]),"")</f>
        <v/>
      </c>
      <c r="BO103" s="521" t="str">
        <f>IFERROR(IF(données_step[[#This Row],[E_PTOT]]/données_step[[#This Row],[E_COT]]=0,NA(),données_step[[#This Row],[E_PTOT]]/données_step[[#This Row],[E_COT]]),"")</f>
        <v/>
      </c>
      <c r="BP103" s="521" t="e">
        <f>IF(données_step[[#This Row],[E_DCO]]/données_step[[#This Row],[E_COT]]=0,NA(),données_step[[#This Row],[E_DCO]]/données_step[[#This Row],[E_COT]])</f>
        <v>#DIV/0!</v>
      </c>
      <c r="BQ103" s="521" t="e">
        <f>IF(données_step[[#This Row],[E_NTOT]]/données_step[[#This Row],[E_DCO]]=0,NA(),données_step[[#This Row],[E_NTOT]]/données_step[[#This Row],[E_DCO]])</f>
        <v>#DIV/0!</v>
      </c>
      <c r="BR103" s="521" t="e">
        <f>IF(données_step[[#This Row],[E_PTOT]]/données_step[[#This Row],[E_DCO]]=0,NA(),données_step[[#This Row],[E_PTOT]]/données_step[[#This Row],[E_DCO]])</f>
        <v>#DIV/0!</v>
      </c>
      <c r="BS103" s="747" t="e">
        <f ca="1">test_NH4_temp(données_step[[#This Row],[S_NH4]],données_step[[#This Row],[Temp_eaux]])</f>
        <v>#NAME?</v>
      </c>
    </row>
    <row r="104" spans="1:71" x14ac:dyDescent="0.2">
      <c r="A104" s="222">
        <f>données_step[[#This Row],[Datum]]</f>
        <v>44655</v>
      </c>
      <c r="B104" s="223"/>
      <c r="C104" s="224">
        <f t="shared" si="34"/>
        <v>2</v>
      </c>
      <c r="D104" s="523" t="str">
        <f>IF(OR(données_step[[#This Row],[E_DBO5]]&lt;=0,données_step[[#This Row],[E_DBO5]]=""),"",données_step[[#This Row],[D_QTRAI]]*données_step[[#This Row],[E_DBO5]]/1000)</f>
        <v/>
      </c>
      <c r="E104" s="523" t="str">
        <f>IF(OR(données_step[[#This Row],[E_DCO]]&lt;=0,données_step[[#This Row],[E_DCO]]=""),"",données_step[[#This Row],[D_QTRAI]]*données_step[[#This Row],[E_DCO]]/1000)</f>
        <v/>
      </c>
      <c r="F104" s="523" t="str">
        <f>IF(OR(données_step[[#This Row],[E_COT]]&lt;=0,données_step[[#This Row],[E_COT]]=""),"",données_step[[#This Row],[D_QTRAI]]*données_step[[#This Row],[E_COT]]/1000)</f>
        <v/>
      </c>
      <c r="G104" s="523" t="str">
        <f>IF(OR(données_step[[#This Row],[E_NH4]]&lt;=0,données_step[[#This Row],[E_NH4]]=""),"",données_step[[#This Row],[D_QTRAI]]*données_step[[#This Row],[E_NH4]]/1000)</f>
        <v/>
      </c>
      <c r="H104" s="523" t="str">
        <f>IF(OR(données_step[[#This Row],[E_NTOT]]&lt;=0,données_step[[#This Row],[E_NTOT]]=""),"",données_step[[#This Row],[D_QTRAI]]*données_step[[#This Row],[E_NTOT]]/1000)</f>
        <v/>
      </c>
      <c r="I104" s="523" t="str">
        <f>IF(OR(données_step[[#This Row],[E_NTOT]]&lt;=0,données_step[[#This Row],[E_NTOT]]=""),"",données_step[[#This Row],[D_QTRAI]]*données_step[[#This Row],[E_PTOT]]/1000)</f>
        <v/>
      </c>
      <c r="J104" s="523" t="str">
        <f>IF(OR(données_step[[#This Row],[S_DBO5]]&lt;=0,données_step[[#This Row],[S_DBO5]]=""),"",données_step[[#This Row],[D_QTRAI]]*données_step[[#This Row],[S_DBO5]]/1000)</f>
        <v/>
      </c>
      <c r="K104" s="523" t="str">
        <f>IF(OR(données_step[[#This Row],[S_DCO]]&lt;=0,données_step[[#This Row],[S_DCO]]=""),"",données_step[[#This Row],[D_QTRAI]]*données_step[[#This Row],[S_DCO]]/1000)</f>
        <v/>
      </c>
      <c r="L104" s="523" t="str">
        <f>IF(OR(données_step[[#This Row],[S_COD]]&lt;=0,données_step[[#This Row],[S_COD]]=""),"",données_step[[#This Row],[D_QTRAI]]*données_step[[#This Row],[S_COD]]/1000)</f>
        <v/>
      </c>
      <c r="M104" s="523" t="str">
        <f>IF(OR(données_step[[#This Row],[S_NH4]]&lt;=0,données_step[[#This Row],[S_NH4]]=""),"",données_step[[#This Row],[D_QTRAI]]*données_step[[#This Row],[S_NH4]]/1000)</f>
        <v/>
      </c>
      <c r="N104" s="523" t="str">
        <f>IF(OR(données_step[[#This Row],[S_NO2]]&lt;=0,données_step[[#This Row],[S_NO2]]=""),"",données_step[[#This Row],[D_QTRAI]]*données_step[[#This Row],[S_NO2]]/1000)</f>
        <v/>
      </c>
      <c r="O104" s="523" t="str">
        <f>IF(OR(données_step[[#This Row],[S_NO3]]&lt;=0,données_step[[#This Row],[S_NO3]]=""),"",données_step[[#This Row],[D_QTRAI]]*données_step[[#This Row],[S_NO3]]/1000)</f>
        <v/>
      </c>
      <c r="P104" s="523" t="str">
        <f>IF(OR(données_step[[#This Row],[S_PTOT]]&lt;=0,données_step[[#This Row],[S_PTOT]]=""),"",données_step[[#This Row],[D_QTRAI]]*données_step[[#This Row],[S_PTOT]]/1000)</f>
        <v/>
      </c>
      <c r="Q104" s="523" t="str">
        <f>IF(OR(données_step[[#This Row],[S_MES]]&lt;=0,données_step[[#This Row],[S_MES]]=""),"",données_step[[#This Row],[D_QTRAI]]*données_step[[#This Row],[S_MES]]/1000)</f>
        <v/>
      </c>
      <c r="R104" s="523">
        <f>MAX(données_step[[#This Row],[D_QTRAI]],données_step[[#This Row],[D_QTRAI2]])</f>
        <v>0</v>
      </c>
      <c r="S104" s="523" t="str">
        <f>IF(AND($R104&gt;0,données_step[[#This Row],[E_DCO]]&gt;0),données_step[[#This Row],[E_DCO]],"")</f>
        <v/>
      </c>
      <c r="T104" s="523" t="str">
        <f>IF(S104="","",(1-données_step[[#This Row],[E_DCO]]/$V$7)*100)</f>
        <v/>
      </c>
      <c r="U104" s="523" t="str">
        <f t="shared" si="18"/>
        <v/>
      </c>
      <c r="V104" s="523" t="str">
        <f t="shared" si="19"/>
        <v/>
      </c>
      <c r="W104" s="523" t="str">
        <f t="shared" si="20"/>
        <v/>
      </c>
      <c r="X104" s="523" t="e">
        <f>IF(((100-100/$V$7*données_step[[#This Row],[E_DCO]])/100*QTS)&lt;0,NA(),IF(OR(U104&lt;0,U104=""),NA(),((100-100/$V$7*données_step[[#This Row],[E_DCO]])/100*QTS)))</f>
        <v>#NUM!</v>
      </c>
      <c r="Y104" s="523" t="str">
        <f>IF(AND($R104&gt;0,données_step[[#This Row],[E_COT]]&gt;0),données_step[[#This Row],[E_COT]],"")</f>
        <v/>
      </c>
      <c r="Z104" s="523" t="str">
        <f>IF(Y104="","",(1-données_step[[#This Row],[E_COT]]/$AB$7)*100)</f>
        <v/>
      </c>
      <c r="AA104" s="523" t="str">
        <f t="shared" si="21"/>
        <v/>
      </c>
      <c r="AB104" s="523" t="str">
        <f t="shared" si="22"/>
        <v/>
      </c>
      <c r="AC104" s="523" t="str">
        <f t="shared" si="23"/>
        <v/>
      </c>
      <c r="AD104" s="523" t="e">
        <f>IF(((100-100/$AB$7*données_step[[#This Row],[E_COT]])/100*QTS)&lt;0,NA(),IF(OR(AA104&lt;0,AA104=""),NA(),((100-100/$AB$7*données_step[[#This Row],[E_COT]])/100*QTS)))</f>
        <v>#NUM!</v>
      </c>
      <c r="AE104" s="523" t="str">
        <f>IF(AND($R104&gt;0,données_step[[#This Row],[E_NH4]]&gt;0),données_step[[#This Row],[E_NH4]],"")</f>
        <v/>
      </c>
      <c r="AF104" s="523" t="str">
        <f>IF(AE104="","",(1-données_step[[#This Row],[E_NH4]]/$AH$7)*100)</f>
        <v/>
      </c>
      <c r="AG104" s="523" t="str">
        <f t="shared" si="24"/>
        <v/>
      </c>
      <c r="AH104" s="523" t="str">
        <f t="shared" si="25"/>
        <v/>
      </c>
      <c r="AI104" s="523" t="str">
        <f t="shared" si="26"/>
        <v/>
      </c>
      <c r="AJ104" s="523" t="e">
        <f>IF(((100-100/$AH$7*données_step[[#This Row],[E_NH4]])/100*QTS)&lt;0,NA(),IF(OR(AG104&lt;0,AG104=""),NA(),((100-100/$AH$7*données_step[[#This Row],[E_NH4]])/100*QTS)))</f>
        <v>#NUM!</v>
      </c>
      <c r="AK104" s="523" t="str">
        <f>IF(AND($R104&gt;0,données_step[[#This Row],[E_PTOT]]&gt;0),données_step[[#This Row],[E_PTOT]],"")</f>
        <v/>
      </c>
      <c r="AL104" s="523" t="str">
        <f>IF(AK104="","",(1-données_step[[#This Row],[E_PTOT]]/$AN$7)*100)</f>
        <v/>
      </c>
      <c r="AM104" s="523" t="str">
        <f t="shared" si="27"/>
        <v/>
      </c>
      <c r="AN104" s="523" t="str">
        <f t="shared" si="28"/>
        <v/>
      </c>
      <c r="AO104" s="523" t="str">
        <f t="shared" si="29"/>
        <v/>
      </c>
      <c r="AP104" s="523" t="e">
        <f>IF(((100-100/$AN$7*données_step[[#This Row],[E_PTOT]])/100*QTS)&lt;0,NA(),IF(OR(AM104&lt;0,AM104=""),NA(),((100-100/$AN$7*données_step[[#This Row],[E_PTOT]])/100*QTS)))</f>
        <v>#NUM!</v>
      </c>
      <c r="AQ104" s="524" t="e">
        <f t="shared" si="30"/>
        <v>#NUM!</v>
      </c>
      <c r="AR104" s="524" t="str">
        <f t="shared" si="31"/>
        <v/>
      </c>
      <c r="AT104" s="517">
        <f t="shared" si="32"/>
        <v>0.93</v>
      </c>
      <c r="AU104" s="501">
        <f t="shared" si="33"/>
        <v>93</v>
      </c>
      <c r="AV104" s="525" t="e">
        <f>PERCENTILE(analyses!$F$11:$F$375,$AT104)</f>
        <v>#NUM!</v>
      </c>
      <c r="AW104" s="7" t="e">
        <f>PERCENTILE(analyses!$I$11:$I$375,$AT104)</f>
        <v>#NUM!</v>
      </c>
      <c r="AX104" s="7" t="e">
        <f>PERCENTILE(analyses!$J$11:$J$375,$AT104)</f>
        <v>#NUM!</v>
      </c>
      <c r="AY104" s="523" t="str">
        <f>_xlfn.IFNA(IF(données_step[[#This Row],[E_DCO]]&lt;=0,NA(),charge_entree[[#This Row],[ch_E_DCO]]/constanten!$B$8*1000),"")</f>
        <v/>
      </c>
      <c r="AZ104" s="523" t="str">
        <f>_xlfn.IFNA(IF(données_step[[#This Row],[E_NTOT]]&lt;=0,NA(),charge_entree[[#This Row],[ch_E_NTOT]]/constanten!$B$10*1000),"")</f>
        <v/>
      </c>
      <c r="BA104" s="523" t="str">
        <f>_xlfn.IFNA(IF(données_step[[#This Row],[E_NH4]]&lt;=0,NA(),charge_entree[[#This Row],[ch_E_NH4]]/constanten!$B$12*1000),"")</f>
        <v/>
      </c>
      <c r="BB104" s="523" t="str">
        <f>_xlfn.IFNA(IF(données_step[[#This Row],[E_COT]]&lt;=0,NA(),charge_entree[[#This Row],[ch_E_COT]]/constanten!$B$9*1000),"")</f>
        <v/>
      </c>
      <c r="BC104" s="523" t="str">
        <f>IFERROR(_xlfn.IFNA(IF(données_step[[#This Row],[E_PTOT]]&lt;=0,NA(),charge_entree[[#This Row],[ch_E_PTOT]]/constanten!$B$15*1000),""),"")</f>
        <v/>
      </c>
      <c r="BD104" s="535" t="e">
        <f>calculs!E104 * (1-0.4) / (données_step[[#This Row],[X_BA_VOL]]*données_step[[#This Row],[X_BACONC]])</f>
        <v>#VALUE!</v>
      </c>
      <c r="BE104" s="522" t="e">
        <f>(données_step[[#This Row],[X_BA_VOL]]*données_step[[#This Row],[X_BACONC]])/((données_step[[#This Row],[D_QTRAI2]]*données_step[[#This Row],[S_MES]]/1000)+(données_step[[#This Row],[X_BX_Q]]*données_step[[#This Row],[X_BXCONC]]))</f>
        <v>#VALUE!</v>
      </c>
      <c r="BF104" s="890" t="str">
        <f>IFERROR(données_step[[#This Row],[D_QTRAI]]/AY104*1000,"")</f>
        <v/>
      </c>
      <c r="BG104" s="535" t="str">
        <f>IFERROR(1-données_step[[#This Row],[S_DBO5]]/données_step[[#This Row],[E_DBO5]],"")</f>
        <v/>
      </c>
      <c r="BH104" s="536" t="str">
        <f>IFERROR(1-données_step[[#This Row],[S_DCO]]/données_step[[#This Row],[E_DCO]],"")</f>
        <v/>
      </c>
      <c r="BI104" s="535" t="str">
        <f>IFERROR(1-données_step[[#This Row],[S_COD]]/données_step[[#This Row],[E_COT]],"")</f>
        <v/>
      </c>
      <c r="BJ104" s="535" t="str">
        <f>IFERROR(1-données_step[[#This Row],[S_NH4]]/données_step[[#This Row],[E_NTOT]],"")</f>
        <v/>
      </c>
      <c r="BK104" s="535" t="str">
        <f>IFERROR(1-données_step[[#This Row],[S_PTOT]]/données_step[[#This Row],[E_PTOT]],"")</f>
        <v/>
      </c>
      <c r="BL104" s="521" t="str">
        <f>IFERROR(IF(données_step[[#This Row],[E_DCO]]/données_step[[#This Row],[E_DBO5]]=0,NA(),données_step[[#This Row],[E_DCO]]/données_step[[#This Row],[E_DBO5]]),"")</f>
        <v/>
      </c>
      <c r="BM104" s="521" t="str">
        <f>IFERROR(IF(données_step[[#This Row],[E_NH4]]/données_step[[#This Row],[E_NTOT]]=0,NA(),données_step[[#This Row],[E_NH4]]/données_step[[#This Row],[E_NTOT]]),"")</f>
        <v/>
      </c>
      <c r="BN104" s="521" t="str">
        <f>IFERROR(IF(données_step[[#This Row],[E_NTOT]]/données_step[[#This Row],[E_COT]]=0,NA(),données_step[[#This Row],[E_NTOT]]/données_step[[#This Row],[E_COT]]),"")</f>
        <v/>
      </c>
      <c r="BO104" s="521" t="str">
        <f>IFERROR(IF(données_step[[#This Row],[E_PTOT]]/données_step[[#This Row],[E_COT]]=0,NA(),données_step[[#This Row],[E_PTOT]]/données_step[[#This Row],[E_COT]]),"")</f>
        <v/>
      </c>
      <c r="BP104" s="521" t="e">
        <f>IF(données_step[[#This Row],[E_DCO]]/données_step[[#This Row],[E_COT]]=0,NA(),données_step[[#This Row],[E_DCO]]/données_step[[#This Row],[E_COT]])</f>
        <v>#DIV/0!</v>
      </c>
      <c r="BQ104" s="521" t="e">
        <f>IF(données_step[[#This Row],[E_NTOT]]/données_step[[#This Row],[E_DCO]]=0,NA(),données_step[[#This Row],[E_NTOT]]/données_step[[#This Row],[E_DCO]])</f>
        <v>#DIV/0!</v>
      </c>
      <c r="BR104" s="521" t="e">
        <f>IF(données_step[[#This Row],[E_PTOT]]/données_step[[#This Row],[E_DCO]]=0,NA(),données_step[[#This Row],[E_PTOT]]/données_step[[#This Row],[E_DCO]])</f>
        <v>#DIV/0!</v>
      </c>
      <c r="BS104" s="747" t="e">
        <f ca="1">test_NH4_temp(données_step[[#This Row],[S_NH4]],données_step[[#This Row],[Temp_eaux]])</f>
        <v>#NAME?</v>
      </c>
    </row>
    <row r="105" spans="1:71" x14ac:dyDescent="0.2">
      <c r="A105" s="222">
        <f>données_step[[#This Row],[Datum]]</f>
        <v>44656</v>
      </c>
      <c r="B105" s="223"/>
      <c r="C105" s="224">
        <f t="shared" si="34"/>
        <v>3</v>
      </c>
      <c r="D105" s="523" t="str">
        <f>IF(OR(données_step[[#This Row],[E_DBO5]]&lt;=0,données_step[[#This Row],[E_DBO5]]=""),"",données_step[[#This Row],[D_QTRAI]]*données_step[[#This Row],[E_DBO5]]/1000)</f>
        <v/>
      </c>
      <c r="E105" s="523" t="str">
        <f>IF(OR(données_step[[#This Row],[E_DCO]]&lt;=0,données_step[[#This Row],[E_DCO]]=""),"",données_step[[#This Row],[D_QTRAI]]*données_step[[#This Row],[E_DCO]]/1000)</f>
        <v/>
      </c>
      <c r="F105" s="523" t="str">
        <f>IF(OR(données_step[[#This Row],[E_COT]]&lt;=0,données_step[[#This Row],[E_COT]]=""),"",données_step[[#This Row],[D_QTRAI]]*données_step[[#This Row],[E_COT]]/1000)</f>
        <v/>
      </c>
      <c r="G105" s="523" t="str">
        <f>IF(OR(données_step[[#This Row],[E_NH4]]&lt;=0,données_step[[#This Row],[E_NH4]]=""),"",données_step[[#This Row],[D_QTRAI]]*données_step[[#This Row],[E_NH4]]/1000)</f>
        <v/>
      </c>
      <c r="H105" s="523" t="str">
        <f>IF(OR(données_step[[#This Row],[E_NTOT]]&lt;=0,données_step[[#This Row],[E_NTOT]]=""),"",données_step[[#This Row],[D_QTRAI]]*données_step[[#This Row],[E_NTOT]]/1000)</f>
        <v/>
      </c>
      <c r="I105" s="523" t="str">
        <f>IF(OR(données_step[[#This Row],[E_NTOT]]&lt;=0,données_step[[#This Row],[E_NTOT]]=""),"",données_step[[#This Row],[D_QTRAI]]*données_step[[#This Row],[E_PTOT]]/1000)</f>
        <v/>
      </c>
      <c r="J105" s="523" t="str">
        <f>IF(OR(données_step[[#This Row],[S_DBO5]]&lt;=0,données_step[[#This Row],[S_DBO5]]=""),"",données_step[[#This Row],[D_QTRAI]]*données_step[[#This Row],[S_DBO5]]/1000)</f>
        <v/>
      </c>
      <c r="K105" s="523" t="str">
        <f>IF(OR(données_step[[#This Row],[S_DCO]]&lt;=0,données_step[[#This Row],[S_DCO]]=""),"",données_step[[#This Row],[D_QTRAI]]*données_step[[#This Row],[S_DCO]]/1000)</f>
        <v/>
      </c>
      <c r="L105" s="523" t="str">
        <f>IF(OR(données_step[[#This Row],[S_COD]]&lt;=0,données_step[[#This Row],[S_COD]]=""),"",données_step[[#This Row],[D_QTRAI]]*données_step[[#This Row],[S_COD]]/1000)</f>
        <v/>
      </c>
      <c r="M105" s="523" t="str">
        <f>IF(OR(données_step[[#This Row],[S_NH4]]&lt;=0,données_step[[#This Row],[S_NH4]]=""),"",données_step[[#This Row],[D_QTRAI]]*données_step[[#This Row],[S_NH4]]/1000)</f>
        <v/>
      </c>
      <c r="N105" s="523" t="str">
        <f>IF(OR(données_step[[#This Row],[S_NO2]]&lt;=0,données_step[[#This Row],[S_NO2]]=""),"",données_step[[#This Row],[D_QTRAI]]*données_step[[#This Row],[S_NO2]]/1000)</f>
        <v/>
      </c>
      <c r="O105" s="523" t="str">
        <f>IF(OR(données_step[[#This Row],[S_NO3]]&lt;=0,données_step[[#This Row],[S_NO3]]=""),"",données_step[[#This Row],[D_QTRAI]]*données_step[[#This Row],[S_NO3]]/1000)</f>
        <v/>
      </c>
      <c r="P105" s="523" t="str">
        <f>IF(OR(données_step[[#This Row],[S_PTOT]]&lt;=0,données_step[[#This Row],[S_PTOT]]=""),"",données_step[[#This Row],[D_QTRAI]]*données_step[[#This Row],[S_PTOT]]/1000)</f>
        <v/>
      </c>
      <c r="Q105" s="523" t="str">
        <f>IF(OR(données_step[[#This Row],[S_MES]]&lt;=0,données_step[[#This Row],[S_MES]]=""),"",données_step[[#This Row],[D_QTRAI]]*données_step[[#This Row],[S_MES]]/1000)</f>
        <v/>
      </c>
      <c r="R105" s="523">
        <f>MAX(données_step[[#This Row],[D_QTRAI]],données_step[[#This Row],[D_QTRAI2]])</f>
        <v>0</v>
      </c>
      <c r="S105" s="523" t="str">
        <f>IF(AND($R105&gt;0,données_step[[#This Row],[E_DCO]]&gt;0),données_step[[#This Row],[E_DCO]],"")</f>
        <v/>
      </c>
      <c r="T105" s="523" t="str">
        <f>IF(S105="","",(1-données_step[[#This Row],[E_DCO]]/$V$7)*100)</f>
        <v/>
      </c>
      <c r="U105" s="523" t="str">
        <f t="shared" si="18"/>
        <v/>
      </c>
      <c r="V105" s="523" t="str">
        <f t="shared" si="19"/>
        <v/>
      </c>
      <c r="W105" s="523" t="str">
        <f t="shared" si="20"/>
        <v/>
      </c>
      <c r="X105" s="523" t="e">
        <f>IF(((100-100/$V$7*données_step[[#This Row],[E_DCO]])/100*QTS)&lt;0,NA(),IF(OR(U105&lt;0,U105=""),NA(),((100-100/$V$7*données_step[[#This Row],[E_DCO]])/100*QTS)))</f>
        <v>#NUM!</v>
      </c>
      <c r="Y105" s="523" t="str">
        <f>IF(AND($R105&gt;0,données_step[[#This Row],[E_COT]]&gt;0),données_step[[#This Row],[E_COT]],"")</f>
        <v/>
      </c>
      <c r="Z105" s="523" t="str">
        <f>IF(Y105="","",(1-données_step[[#This Row],[E_COT]]/$AB$7)*100)</f>
        <v/>
      </c>
      <c r="AA105" s="523" t="str">
        <f t="shared" si="21"/>
        <v/>
      </c>
      <c r="AB105" s="523" t="str">
        <f t="shared" si="22"/>
        <v/>
      </c>
      <c r="AC105" s="523" t="str">
        <f t="shared" si="23"/>
        <v/>
      </c>
      <c r="AD105" s="523" t="e">
        <f>IF(((100-100/$AB$7*données_step[[#This Row],[E_COT]])/100*QTS)&lt;0,NA(),IF(OR(AA105&lt;0,AA105=""),NA(),((100-100/$AB$7*données_step[[#This Row],[E_COT]])/100*QTS)))</f>
        <v>#NUM!</v>
      </c>
      <c r="AE105" s="523" t="str">
        <f>IF(AND($R105&gt;0,données_step[[#This Row],[E_NH4]]&gt;0),données_step[[#This Row],[E_NH4]],"")</f>
        <v/>
      </c>
      <c r="AF105" s="523" t="str">
        <f>IF(AE105="","",(1-données_step[[#This Row],[E_NH4]]/$AH$7)*100)</f>
        <v/>
      </c>
      <c r="AG105" s="523" t="str">
        <f t="shared" si="24"/>
        <v/>
      </c>
      <c r="AH105" s="523" t="str">
        <f t="shared" si="25"/>
        <v/>
      </c>
      <c r="AI105" s="523" t="str">
        <f t="shared" si="26"/>
        <v/>
      </c>
      <c r="AJ105" s="523" t="e">
        <f>IF(((100-100/$AH$7*données_step[[#This Row],[E_NH4]])/100*QTS)&lt;0,NA(),IF(OR(AG105&lt;0,AG105=""),NA(),((100-100/$AH$7*données_step[[#This Row],[E_NH4]])/100*QTS)))</f>
        <v>#NUM!</v>
      </c>
      <c r="AK105" s="523" t="str">
        <f>IF(AND($R105&gt;0,données_step[[#This Row],[E_PTOT]]&gt;0),données_step[[#This Row],[E_PTOT]],"")</f>
        <v/>
      </c>
      <c r="AL105" s="523" t="str">
        <f>IF(AK105="","",(1-données_step[[#This Row],[E_PTOT]]/$AN$7)*100)</f>
        <v/>
      </c>
      <c r="AM105" s="523" t="str">
        <f t="shared" si="27"/>
        <v/>
      </c>
      <c r="AN105" s="523" t="str">
        <f t="shared" si="28"/>
        <v/>
      </c>
      <c r="AO105" s="523" t="str">
        <f t="shared" si="29"/>
        <v/>
      </c>
      <c r="AP105" s="523" t="e">
        <f>IF(((100-100/$AN$7*données_step[[#This Row],[E_PTOT]])/100*QTS)&lt;0,NA(),IF(OR(AM105&lt;0,AM105=""),NA(),((100-100/$AN$7*données_step[[#This Row],[E_PTOT]])/100*QTS)))</f>
        <v>#NUM!</v>
      </c>
      <c r="AQ105" s="524" t="e">
        <f t="shared" si="30"/>
        <v>#NUM!</v>
      </c>
      <c r="AR105" s="524" t="str">
        <f t="shared" si="31"/>
        <v/>
      </c>
      <c r="AT105" s="517">
        <f t="shared" si="32"/>
        <v>0.94</v>
      </c>
      <c r="AU105" s="501">
        <f t="shared" si="33"/>
        <v>94</v>
      </c>
      <c r="AV105" s="525" t="e">
        <f>PERCENTILE(analyses!$F$11:$F$375,$AT105)</f>
        <v>#NUM!</v>
      </c>
      <c r="AW105" s="7" t="e">
        <f>PERCENTILE(analyses!$I$11:$I$375,$AT105)</f>
        <v>#NUM!</v>
      </c>
      <c r="AX105" s="7" t="e">
        <f>PERCENTILE(analyses!$J$11:$J$375,$AT105)</f>
        <v>#NUM!</v>
      </c>
      <c r="AY105" s="523" t="str">
        <f>_xlfn.IFNA(IF(données_step[[#This Row],[E_DCO]]&lt;=0,NA(),charge_entree[[#This Row],[ch_E_DCO]]/constanten!$B$8*1000),"")</f>
        <v/>
      </c>
      <c r="AZ105" s="523" t="str">
        <f>_xlfn.IFNA(IF(données_step[[#This Row],[E_NTOT]]&lt;=0,NA(),charge_entree[[#This Row],[ch_E_NTOT]]/constanten!$B$10*1000),"")</f>
        <v/>
      </c>
      <c r="BA105" s="523" t="str">
        <f>_xlfn.IFNA(IF(données_step[[#This Row],[E_NH4]]&lt;=0,NA(),charge_entree[[#This Row],[ch_E_NH4]]/constanten!$B$12*1000),"")</f>
        <v/>
      </c>
      <c r="BB105" s="523" t="str">
        <f>_xlfn.IFNA(IF(données_step[[#This Row],[E_COT]]&lt;=0,NA(),charge_entree[[#This Row],[ch_E_COT]]/constanten!$B$9*1000),"")</f>
        <v/>
      </c>
      <c r="BC105" s="523" t="str">
        <f>IFERROR(_xlfn.IFNA(IF(données_step[[#This Row],[E_PTOT]]&lt;=0,NA(),charge_entree[[#This Row],[ch_E_PTOT]]/constanten!$B$15*1000),""),"")</f>
        <v/>
      </c>
      <c r="BD105" s="535" t="e">
        <f>calculs!E105 * (1-0.4) / (données_step[[#This Row],[X_BA_VOL]]*données_step[[#This Row],[X_BACONC]])</f>
        <v>#VALUE!</v>
      </c>
      <c r="BE105" s="522" t="e">
        <f>(données_step[[#This Row],[X_BA_VOL]]*données_step[[#This Row],[X_BACONC]])/((données_step[[#This Row],[D_QTRAI2]]*données_step[[#This Row],[S_MES]]/1000)+(données_step[[#This Row],[X_BX_Q]]*données_step[[#This Row],[X_BXCONC]]))</f>
        <v>#VALUE!</v>
      </c>
      <c r="BF105" s="890" t="str">
        <f>IFERROR(données_step[[#This Row],[D_QTRAI]]/AY105*1000,"")</f>
        <v/>
      </c>
      <c r="BG105" s="535" t="str">
        <f>IFERROR(1-données_step[[#This Row],[S_DBO5]]/données_step[[#This Row],[E_DBO5]],"")</f>
        <v/>
      </c>
      <c r="BH105" s="536" t="str">
        <f>IFERROR(1-données_step[[#This Row],[S_DCO]]/données_step[[#This Row],[E_DCO]],"")</f>
        <v/>
      </c>
      <c r="BI105" s="535" t="str">
        <f>IFERROR(1-données_step[[#This Row],[S_COD]]/données_step[[#This Row],[E_COT]],"")</f>
        <v/>
      </c>
      <c r="BJ105" s="535" t="str">
        <f>IFERROR(1-données_step[[#This Row],[S_NH4]]/données_step[[#This Row],[E_NTOT]],"")</f>
        <v/>
      </c>
      <c r="BK105" s="535" t="str">
        <f>IFERROR(1-données_step[[#This Row],[S_PTOT]]/données_step[[#This Row],[E_PTOT]],"")</f>
        <v/>
      </c>
      <c r="BL105" s="521" t="str">
        <f>IFERROR(IF(données_step[[#This Row],[E_DCO]]/données_step[[#This Row],[E_DBO5]]=0,NA(),données_step[[#This Row],[E_DCO]]/données_step[[#This Row],[E_DBO5]]),"")</f>
        <v/>
      </c>
      <c r="BM105" s="521" t="str">
        <f>IFERROR(IF(données_step[[#This Row],[E_NH4]]/données_step[[#This Row],[E_NTOT]]=0,NA(),données_step[[#This Row],[E_NH4]]/données_step[[#This Row],[E_NTOT]]),"")</f>
        <v/>
      </c>
      <c r="BN105" s="521" t="str">
        <f>IFERROR(IF(données_step[[#This Row],[E_NTOT]]/données_step[[#This Row],[E_COT]]=0,NA(),données_step[[#This Row],[E_NTOT]]/données_step[[#This Row],[E_COT]]),"")</f>
        <v/>
      </c>
      <c r="BO105" s="521" t="str">
        <f>IFERROR(IF(données_step[[#This Row],[E_PTOT]]/données_step[[#This Row],[E_COT]]=0,NA(),données_step[[#This Row],[E_PTOT]]/données_step[[#This Row],[E_COT]]),"")</f>
        <v/>
      </c>
      <c r="BP105" s="521" t="e">
        <f>IF(données_step[[#This Row],[E_DCO]]/données_step[[#This Row],[E_COT]]=0,NA(),données_step[[#This Row],[E_DCO]]/données_step[[#This Row],[E_COT]])</f>
        <v>#DIV/0!</v>
      </c>
      <c r="BQ105" s="521" t="e">
        <f>IF(données_step[[#This Row],[E_NTOT]]/données_step[[#This Row],[E_DCO]]=0,NA(),données_step[[#This Row],[E_NTOT]]/données_step[[#This Row],[E_DCO]])</f>
        <v>#DIV/0!</v>
      </c>
      <c r="BR105" s="521" t="e">
        <f>IF(données_step[[#This Row],[E_PTOT]]/données_step[[#This Row],[E_DCO]]=0,NA(),données_step[[#This Row],[E_PTOT]]/données_step[[#This Row],[E_DCO]])</f>
        <v>#DIV/0!</v>
      </c>
      <c r="BS105" s="747" t="e">
        <f ca="1">test_NH4_temp(données_step[[#This Row],[S_NH4]],données_step[[#This Row],[Temp_eaux]])</f>
        <v>#NAME?</v>
      </c>
    </row>
    <row r="106" spans="1:71" x14ac:dyDescent="0.2">
      <c r="A106" s="222">
        <f>données_step[[#This Row],[Datum]]</f>
        <v>44657</v>
      </c>
      <c r="B106" s="223"/>
      <c r="C106" s="224">
        <f t="shared" si="34"/>
        <v>4</v>
      </c>
      <c r="D106" s="523" t="str">
        <f>IF(OR(données_step[[#This Row],[E_DBO5]]&lt;=0,données_step[[#This Row],[E_DBO5]]=""),"",données_step[[#This Row],[D_QTRAI]]*données_step[[#This Row],[E_DBO5]]/1000)</f>
        <v/>
      </c>
      <c r="E106" s="523" t="str">
        <f>IF(OR(données_step[[#This Row],[E_DCO]]&lt;=0,données_step[[#This Row],[E_DCO]]=""),"",données_step[[#This Row],[D_QTRAI]]*données_step[[#This Row],[E_DCO]]/1000)</f>
        <v/>
      </c>
      <c r="F106" s="523" t="str">
        <f>IF(OR(données_step[[#This Row],[E_COT]]&lt;=0,données_step[[#This Row],[E_COT]]=""),"",données_step[[#This Row],[D_QTRAI]]*données_step[[#This Row],[E_COT]]/1000)</f>
        <v/>
      </c>
      <c r="G106" s="523" t="str">
        <f>IF(OR(données_step[[#This Row],[E_NH4]]&lt;=0,données_step[[#This Row],[E_NH4]]=""),"",données_step[[#This Row],[D_QTRAI]]*données_step[[#This Row],[E_NH4]]/1000)</f>
        <v/>
      </c>
      <c r="H106" s="523" t="str">
        <f>IF(OR(données_step[[#This Row],[E_NTOT]]&lt;=0,données_step[[#This Row],[E_NTOT]]=""),"",données_step[[#This Row],[D_QTRAI]]*données_step[[#This Row],[E_NTOT]]/1000)</f>
        <v/>
      </c>
      <c r="I106" s="523" t="str">
        <f>IF(OR(données_step[[#This Row],[E_NTOT]]&lt;=0,données_step[[#This Row],[E_NTOT]]=""),"",données_step[[#This Row],[D_QTRAI]]*données_step[[#This Row],[E_PTOT]]/1000)</f>
        <v/>
      </c>
      <c r="J106" s="523" t="str">
        <f>IF(OR(données_step[[#This Row],[S_DBO5]]&lt;=0,données_step[[#This Row],[S_DBO5]]=""),"",données_step[[#This Row],[D_QTRAI]]*données_step[[#This Row],[S_DBO5]]/1000)</f>
        <v/>
      </c>
      <c r="K106" s="523" t="str">
        <f>IF(OR(données_step[[#This Row],[S_DCO]]&lt;=0,données_step[[#This Row],[S_DCO]]=""),"",données_step[[#This Row],[D_QTRAI]]*données_step[[#This Row],[S_DCO]]/1000)</f>
        <v/>
      </c>
      <c r="L106" s="523" t="str">
        <f>IF(OR(données_step[[#This Row],[S_COD]]&lt;=0,données_step[[#This Row],[S_COD]]=""),"",données_step[[#This Row],[D_QTRAI]]*données_step[[#This Row],[S_COD]]/1000)</f>
        <v/>
      </c>
      <c r="M106" s="523" t="str">
        <f>IF(OR(données_step[[#This Row],[S_NH4]]&lt;=0,données_step[[#This Row],[S_NH4]]=""),"",données_step[[#This Row],[D_QTRAI]]*données_step[[#This Row],[S_NH4]]/1000)</f>
        <v/>
      </c>
      <c r="N106" s="523" t="str">
        <f>IF(OR(données_step[[#This Row],[S_NO2]]&lt;=0,données_step[[#This Row],[S_NO2]]=""),"",données_step[[#This Row],[D_QTRAI]]*données_step[[#This Row],[S_NO2]]/1000)</f>
        <v/>
      </c>
      <c r="O106" s="523" t="str">
        <f>IF(OR(données_step[[#This Row],[S_NO3]]&lt;=0,données_step[[#This Row],[S_NO3]]=""),"",données_step[[#This Row],[D_QTRAI]]*données_step[[#This Row],[S_NO3]]/1000)</f>
        <v/>
      </c>
      <c r="P106" s="523" t="str">
        <f>IF(OR(données_step[[#This Row],[S_PTOT]]&lt;=0,données_step[[#This Row],[S_PTOT]]=""),"",données_step[[#This Row],[D_QTRAI]]*données_step[[#This Row],[S_PTOT]]/1000)</f>
        <v/>
      </c>
      <c r="Q106" s="523" t="str">
        <f>IF(OR(données_step[[#This Row],[S_MES]]&lt;=0,données_step[[#This Row],[S_MES]]=""),"",données_step[[#This Row],[D_QTRAI]]*données_step[[#This Row],[S_MES]]/1000)</f>
        <v/>
      </c>
      <c r="R106" s="523">
        <f>MAX(données_step[[#This Row],[D_QTRAI]],données_step[[#This Row],[D_QTRAI2]])</f>
        <v>0</v>
      </c>
      <c r="S106" s="523" t="str">
        <f>IF(AND($R106&gt;0,données_step[[#This Row],[E_DCO]]&gt;0),données_step[[#This Row],[E_DCO]],"")</f>
        <v/>
      </c>
      <c r="T106" s="523" t="str">
        <f>IF(S106="","",(1-données_step[[#This Row],[E_DCO]]/$V$7)*100)</f>
        <v/>
      </c>
      <c r="U106" s="523" t="str">
        <f t="shared" si="18"/>
        <v/>
      </c>
      <c r="V106" s="523" t="str">
        <f t="shared" si="19"/>
        <v/>
      </c>
      <c r="W106" s="523" t="str">
        <f t="shared" si="20"/>
        <v/>
      </c>
      <c r="X106" s="523" t="e">
        <f>IF(((100-100/$V$7*données_step[[#This Row],[E_DCO]])/100*QTS)&lt;0,NA(),IF(OR(U106&lt;0,U106=""),NA(),((100-100/$V$7*données_step[[#This Row],[E_DCO]])/100*QTS)))</f>
        <v>#NUM!</v>
      </c>
      <c r="Y106" s="523" t="str">
        <f>IF(AND($R106&gt;0,données_step[[#This Row],[E_COT]]&gt;0),données_step[[#This Row],[E_COT]],"")</f>
        <v/>
      </c>
      <c r="Z106" s="523" t="str">
        <f>IF(Y106="","",(1-données_step[[#This Row],[E_COT]]/$AB$7)*100)</f>
        <v/>
      </c>
      <c r="AA106" s="523" t="str">
        <f t="shared" si="21"/>
        <v/>
      </c>
      <c r="AB106" s="523" t="str">
        <f t="shared" si="22"/>
        <v/>
      </c>
      <c r="AC106" s="523" t="str">
        <f t="shared" si="23"/>
        <v/>
      </c>
      <c r="AD106" s="523" t="e">
        <f>IF(((100-100/$AB$7*données_step[[#This Row],[E_COT]])/100*QTS)&lt;0,NA(),IF(OR(AA106&lt;0,AA106=""),NA(),((100-100/$AB$7*données_step[[#This Row],[E_COT]])/100*QTS)))</f>
        <v>#NUM!</v>
      </c>
      <c r="AE106" s="523" t="str">
        <f>IF(AND($R106&gt;0,données_step[[#This Row],[E_NH4]]&gt;0),données_step[[#This Row],[E_NH4]],"")</f>
        <v/>
      </c>
      <c r="AF106" s="523" t="str">
        <f>IF(AE106="","",(1-données_step[[#This Row],[E_NH4]]/$AH$7)*100)</f>
        <v/>
      </c>
      <c r="AG106" s="523" t="str">
        <f t="shared" si="24"/>
        <v/>
      </c>
      <c r="AH106" s="523" t="str">
        <f t="shared" si="25"/>
        <v/>
      </c>
      <c r="AI106" s="523" t="str">
        <f t="shared" si="26"/>
        <v/>
      </c>
      <c r="AJ106" s="523" t="e">
        <f>IF(((100-100/$AH$7*données_step[[#This Row],[E_NH4]])/100*QTS)&lt;0,NA(),IF(OR(AG106&lt;0,AG106=""),NA(),((100-100/$AH$7*données_step[[#This Row],[E_NH4]])/100*QTS)))</f>
        <v>#NUM!</v>
      </c>
      <c r="AK106" s="523" t="str">
        <f>IF(AND($R106&gt;0,données_step[[#This Row],[E_PTOT]]&gt;0),données_step[[#This Row],[E_PTOT]],"")</f>
        <v/>
      </c>
      <c r="AL106" s="523" t="str">
        <f>IF(AK106="","",(1-données_step[[#This Row],[E_PTOT]]/$AN$7)*100)</f>
        <v/>
      </c>
      <c r="AM106" s="523" t="str">
        <f t="shared" si="27"/>
        <v/>
      </c>
      <c r="AN106" s="523" t="str">
        <f t="shared" si="28"/>
        <v/>
      </c>
      <c r="AO106" s="523" t="str">
        <f t="shared" si="29"/>
        <v/>
      </c>
      <c r="AP106" s="523" t="e">
        <f>IF(((100-100/$AN$7*données_step[[#This Row],[E_PTOT]])/100*QTS)&lt;0,NA(),IF(OR(AM106&lt;0,AM106=""),NA(),((100-100/$AN$7*données_step[[#This Row],[E_PTOT]])/100*QTS)))</f>
        <v>#NUM!</v>
      </c>
      <c r="AQ106" s="524" t="e">
        <f t="shared" si="30"/>
        <v>#NUM!</v>
      </c>
      <c r="AR106" s="524" t="str">
        <f t="shared" si="31"/>
        <v/>
      </c>
      <c r="AT106" s="517">
        <f t="shared" si="32"/>
        <v>0.95</v>
      </c>
      <c r="AU106" s="501">
        <f t="shared" si="33"/>
        <v>95</v>
      </c>
      <c r="AV106" s="525" t="e">
        <f>PERCENTILE(analyses!$F$11:$F$375,$AT106)</f>
        <v>#NUM!</v>
      </c>
      <c r="AW106" s="7" t="e">
        <f>PERCENTILE(analyses!$I$11:$I$375,$AT106)</f>
        <v>#NUM!</v>
      </c>
      <c r="AX106" s="7" t="e">
        <f>PERCENTILE(analyses!$J$11:$J$375,$AT106)</f>
        <v>#NUM!</v>
      </c>
      <c r="AY106" s="523" t="str">
        <f>_xlfn.IFNA(IF(données_step[[#This Row],[E_DCO]]&lt;=0,NA(),charge_entree[[#This Row],[ch_E_DCO]]/constanten!$B$8*1000),"")</f>
        <v/>
      </c>
      <c r="AZ106" s="523" t="str">
        <f>_xlfn.IFNA(IF(données_step[[#This Row],[E_NTOT]]&lt;=0,NA(),charge_entree[[#This Row],[ch_E_NTOT]]/constanten!$B$10*1000),"")</f>
        <v/>
      </c>
      <c r="BA106" s="523" t="str">
        <f>_xlfn.IFNA(IF(données_step[[#This Row],[E_NH4]]&lt;=0,NA(),charge_entree[[#This Row],[ch_E_NH4]]/constanten!$B$12*1000),"")</f>
        <v/>
      </c>
      <c r="BB106" s="523" t="str">
        <f>_xlfn.IFNA(IF(données_step[[#This Row],[E_COT]]&lt;=0,NA(),charge_entree[[#This Row],[ch_E_COT]]/constanten!$B$9*1000),"")</f>
        <v/>
      </c>
      <c r="BC106" s="523" t="str">
        <f>IFERROR(_xlfn.IFNA(IF(données_step[[#This Row],[E_PTOT]]&lt;=0,NA(),charge_entree[[#This Row],[ch_E_PTOT]]/constanten!$B$15*1000),""),"")</f>
        <v/>
      </c>
      <c r="BD106" s="535" t="e">
        <f>calculs!E106 * (1-0.4) / (données_step[[#This Row],[X_BA_VOL]]*données_step[[#This Row],[X_BACONC]])</f>
        <v>#VALUE!</v>
      </c>
      <c r="BE106" s="522" t="e">
        <f>(données_step[[#This Row],[X_BA_VOL]]*données_step[[#This Row],[X_BACONC]])/((données_step[[#This Row],[D_QTRAI2]]*données_step[[#This Row],[S_MES]]/1000)+(données_step[[#This Row],[X_BX_Q]]*données_step[[#This Row],[X_BXCONC]]))</f>
        <v>#VALUE!</v>
      </c>
      <c r="BF106" s="890" t="str">
        <f>IFERROR(données_step[[#This Row],[D_QTRAI]]/AY106*1000,"")</f>
        <v/>
      </c>
      <c r="BG106" s="535" t="str">
        <f>IFERROR(1-données_step[[#This Row],[S_DBO5]]/données_step[[#This Row],[E_DBO5]],"")</f>
        <v/>
      </c>
      <c r="BH106" s="536" t="str">
        <f>IFERROR(1-données_step[[#This Row],[S_DCO]]/données_step[[#This Row],[E_DCO]],"")</f>
        <v/>
      </c>
      <c r="BI106" s="535" t="str">
        <f>IFERROR(1-données_step[[#This Row],[S_COD]]/données_step[[#This Row],[E_COT]],"")</f>
        <v/>
      </c>
      <c r="BJ106" s="535" t="str">
        <f>IFERROR(1-données_step[[#This Row],[S_NH4]]/données_step[[#This Row],[E_NTOT]],"")</f>
        <v/>
      </c>
      <c r="BK106" s="535" t="str">
        <f>IFERROR(1-données_step[[#This Row],[S_PTOT]]/données_step[[#This Row],[E_PTOT]],"")</f>
        <v/>
      </c>
      <c r="BL106" s="521" t="str">
        <f>IFERROR(IF(données_step[[#This Row],[E_DCO]]/données_step[[#This Row],[E_DBO5]]=0,NA(),données_step[[#This Row],[E_DCO]]/données_step[[#This Row],[E_DBO5]]),"")</f>
        <v/>
      </c>
      <c r="BM106" s="521" t="str">
        <f>IFERROR(IF(données_step[[#This Row],[E_NH4]]/données_step[[#This Row],[E_NTOT]]=0,NA(),données_step[[#This Row],[E_NH4]]/données_step[[#This Row],[E_NTOT]]),"")</f>
        <v/>
      </c>
      <c r="BN106" s="521" t="str">
        <f>IFERROR(IF(données_step[[#This Row],[E_NTOT]]/données_step[[#This Row],[E_COT]]=0,NA(),données_step[[#This Row],[E_NTOT]]/données_step[[#This Row],[E_COT]]),"")</f>
        <v/>
      </c>
      <c r="BO106" s="521" t="str">
        <f>IFERROR(IF(données_step[[#This Row],[E_PTOT]]/données_step[[#This Row],[E_COT]]=0,NA(),données_step[[#This Row],[E_PTOT]]/données_step[[#This Row],[E_COT]]),"")</f>
        <v/>
      </c>
      <c r="BP106" s="521" t="e">
        <f>IF(données_step[[#This Row],[E_DCO]]/données_step[[#This Row],[E_COT]]=0,NA(),données_step[[#This Row],[E_DCO]]/données_step[[#This Row],[E_COT]])</f>
        <v>#DIV/0!</v>
      </c>
      <c r="BQ106" s="521" t="e">
        <f>IF(données_step[[#This Row],[E_NTOT]]/données_step[[#This Row],[E_DCO]]=0,NA(),données_step[[#This Row],[E_NTOT]]/données_step[[#This Row],[E_DCO]])</f>
        <v>#DIV/0!</v>
      </c>
      <c r="BR106" s="521" t="e">
        <f>IF(données_step[[#This Row],[E_PTOT]]/données_step[[#This Row],[E_DCO]]=0,NA(),données_step[[#This Row],[E_PTOT]]/données_step[[#This Row],[E_DCO]])</f>
        <v>#DIV/0!</v>
      </c>
      <c r="BS106" s="747" t="e">
        <f ca="1">test_NH4_temp(données_step[[#This Row],[S_NH4]],données_step[[#This Row],[Temp_eaux]])</f>
        <v>#NAME?</v>
      </c>
    </row>
    <row r="107" spans="1:71" x14ac:dyDescent="0.2">
      <c r="A107" s="222">
        <f>données_step[[#This Row],[Datum]]</f>
        <v>44658</v>
      </c>
      <c r="B107" s="223"/>
      <c r="C107" s="224">
        <f t="shared" si="34"/>
        <v>5</v>
      </c>
      <c r="D107" s="523" t="str">
        <f>IF(OR(données_step[[#This Row],[E_DBO5]]&lt;=0,données_step[[#This Row],[E_DBO5]]=""),"",données_step[[#This Row],[D_QTRAI]]*données_step[[#This Row],[E_DBO5]]/1000)</f>
        <v/>
      </c>
      <c r="E107" s="523" t="str">
        <f>IF(OR(données_step[[#This Row],[E_DCO]]&lt;=0,données_step[[#This Row],[E_DCO]]=""),"",données_step[[#This Row],[D_QTRAI]]*données_step[[#This Row],[E_DCO]]/1000)</f>
        <v/>
      </c>
      <c r="F107" s="523" t="str">
        <f>IF(OR(données_step[[#This Row],[E_COT]]&lt;=0,données_step[[#This Row],[E_COT]]=""),"",données_step[[#This Row],[D_QTRAI]]*données_step[[#This Row],[E_COT]]/1000)</f>
        <v/>
      </c>
      <c r="G107" s="523" t="str">
        <f>IF(OR(données_step[[#This Row],[E_NH4]]&lt;=0,données_step[[#This Row],[E_NH4]]=""),"",données_step[[#This Row],[D_QTRAI]]*données_step[[#This Row],[E_NH4]]/1000)</f>
        <v/>
      </c>
      <c r="H107" s="523" t="str">
        <f>IF(OR(données_step[[#This Row],[E_NTOT]]&lt;=0,données_step[[#This Row],[E_NTOT]]=""),"",données_step[[#This Row],[D_QTRAI]]*données_step[[#This Row],[E_NTOT]]/1000)</f>
        <v/>
      </c>
      <c r="I107" s="523" t="str">
        <f>IF(OR(données_step[[#This Row],[E_NTOT]]&lt;=0,données_step[[#This Row],[E_NTOT]]=""),"",données_step[[#This Row],[D_QTRAI]]*données_step[[#This Row],[E_PTOT]]/1000)</f>
        <v/>
      </c>
      <c r="J107" s="523" t="str">
        <f>IF(OR(données_step[[#This Row],[S_DBO5]]&lt;=0,données_step[[#This Row],[S_DBO5]]=""),"",données_step[[#This Row],[D_QTRAI]]*données_step[[#This Row],[S_DBO5]]/1000)</f>
        <v/>
      </c>
      <c r="K107" s="523" t="str">
        <f>IF(OR(données_step[[#This Row],[S_DCO]]&lt;=0,données_step[[#This Row],[S_DCO]]=""),"",données_step[[#This Row],[D_QTRAI]]*données_step[[#This Row],[S_DCO]]/1000)</f>
        <v/>
      </c>
      <c r="L107" s="523" t="str">
        <f>IF(OR(données_step[[#This Row],[S_COD]]&lt;=0,données_step[[#This Row],[S_COD]]=""),"",données_step[[#This Row],[D_QTRAI]]*données_step[[#This Row],[S_COD]]/1000)</f>
        <v/>
      </c>
      <c r="M107" s="523" t="str">
        <f>IF(OR(données_step[[#This Row],[S_NH4]]&lt;=0,données_step[[#This Row],[S_NH4]]=""),"",données_step[[#This Row],[D_QTRAI]]*données_step[[#This Row],[S_NH4]]/1000)</f>
        <v/>
      </c>
      <c r="N107" s="523" t="str">
        <f>IF(OR(données_step[[#This Row],[S_NO2]]&lt;=0,données_step[[#This Row],[S_NO2]]=""),"",données_step[[#This Row],[D_QTRAI]]*données_step[[#This Row],[S_NO2]]/1000)</f>
        <v/>
      </c>
      <c r="O107" s="523" t="str">
        <f>IF(OR(données_step[[#This Row],[S_NO3]]&lt;=0,données_step[[#This Row],[S_NO3]]=""),"",données_step[[#This Row],[D_QTRAI]]*données_step[[#This Row],[S_NO3]]/1000)</f>
        <v/>
      </c>
      <c r="P107" s="523" t="str">
        <f>IF(OR(données_step[[#This Row],[S_PTOT]]&lt;=0,données_step[[#This Row],[S_PTOT]]=""),"",données_step[[#This Row],[D_QTRAI]]*données_step[[#This Row],[S_PTOT]]/1000)</f>
        <v/>
      </c>
      <c r="Q107" s="523" t="str">
        <f>IF(OR(données_step[[#This Row],[S_MES]]&lt;=0,données_step[[#This Row],[S_MES]]=""),"",données_step[[#This Row],[D_QTRAI]]*données_step[[#This Row],[S_MES]]/1000)</f>
        <v/>
      </c>
      <c r="R107" s="523">
        <f>MAX(données_step[[#This Row],[D_QTRAI]],données_step[[#This Row],[D_QTRAI2]])</f>
        <v>0</v>
      </c>
      <c r="S107" s="523" t="str">
        <f>IF(AND($R107&gt;0,données_step[[#This Row],[E_DCO]]&gt;0),données_step[[#This Row],[E_DCO]],"")</f>
        <v/>
      </c>
      <c r="T107" s="523" t="str">
        <f>IF(S107="","",(1-données_step[[#This Row],[E_DCO]]/$V$7)*100)</f>
        <v/>
      </c>
      <c r="U107" s="523" t="str">
        <f t="shared" si="18"/>
        <v/>
      </c>
      <c r="V107" s="523" t="str">
        <f t="shared" si="19"/>
        <v/>
      </c>
      <c r="W107" s="523" t="str">
        <f t="shared" si="20"/>
        <v/>
      </c>
      <c r="X107" s="523" t="e">
        <f>IF(((100-100/$V$7*données_step[[#This Row],[E_DCO]])/100*QTS)&lt;0,NA(),IF(OR(U107&lt;0,U107=""),NA(),((100-100/$V$7*données_step[[#This Row],[E_DCO]])/100*QTS)))</f>
        <v>#NUM!</v>
      </c>
      <c r="Y107" s="523" t="str">
        <f>IF(AND($R107&gt;0,données_step[[#This Row],[E_COT]]&gt;0),données_step[[#This Row],[E_COT]],"")</f>
        <v/>
      </c>
      <c r="Z107" s="523" t="str">
        <f>IF(Y107="","",(1-données_step[[#This Row],[E_COT]]/$AB$7)*100)</f>
        <v/>
      </c>
      <c r="AA107" s="523" t="str">
        <f t="shared" si="21"/>
        <v/>
      </c>
      <c r="AB107" s="523" t="str">
        <f t="shared" si="22"/>
        <v/>
      </c>
      <c r="AC107" s="523" t="str">
        <f t="shared" si="23"/>
        <v/>
      </c>
      <c r="AD107" s="523" t="e">
        <f>IF(((100-100/$AB$7*données_step[[#This Row],[E_COT]])/100*QTS)&lt;0,NA(),IF(OR(AA107&lt;0,AA107=""),NA(),((100-100/$AB$7*données_step[[#This Row],[E_COT]])/100*QTS)))</f>
        <v>#NUM!</v>
      </c>
      <c r="AE107" s="523" t="str">
        <f>IF(AND($R107&gt;0,données_step[[#This Row],[E_NH4]]&gt;0),données_step[[#This Row],[E_NH4]],"")</f>
        <v/>
      </c>
      <c r="AF107" s="523" t="str">
        <f>IF(AE107="","",(1-données_step[[#This Row],[E_NH4]]/$AH$7)*100)</f>
        <v/>
      </c>
      <c r="AG107" s="523" t="str">
        <f t="shared" si="24"/>
        <v/>
      </c>
      <c r="AH107" s="523" t="str">
        <f t="shared" si="25"/>
        <v/>
      </c>
      <c r="AI107" s="523" t="str">
        <f t="shared" si="26"/>
        <v/>
      </c>
      <c r="AJ107" s="523" t="e">
        <f>IF(((100-100/$AH$7*données_step[[#This Row],[E_NH4]])/100*QTS)&lt;0,NA(),IF(OR(AG107&lt;0,AG107=""),NA(),((100-100/$AH$7*données_step[[#This Row],[E_NH4]])/100*QTS)))</f>
        <v>#NUM!</v>
      </c>
      <c r="AK107" s="523" t="str">
        <f>IF(AND($R107&gt;0,données_step[[#This Row],[E_PTOT]]&gt;0),données_step[[#This Row],[E_PTOT]],"")</f>
        <v/>
      </c>
      <c r="AL107" s="523" t="str">
        <f>IF(AK107="","",(1-données_step[[#This Row],[E_PTOT]]/$AN$7)*100)</f>
        <v/>
      </c>
      <c r="AM107" s="523" t="str">
        <f t="shared" si="27"/>
        <v/>
      </c>
      <c r="AN107" s="523" t="str">
        <f t="shared" si="28"/>
        <v/>
      </c>
      <c r="AO107" s="523" t="str">
        <f t="shared" si="29"/>
        <v/>
      </c>
      <c r="AP107" s="523" t="e">
        <f>IF(((100-100/$AN$7*données_step[[#This Row],[E_PTOT]])/100*QTS)&lt;0,NA(),IF(OR(AM107&lt;0,AM107=""),NA(),((100-100/$AN$7*données_step[[#This Row],[E_PTOT]])/100*QTS)))</f>
        <v>#NUM!</v>
      </c>
      <c r="AQ107" s="524" t="e">
        <f t="shared" si="30"/>
        <v>#NUM!</v>
      </c>
      <c r="AR107" s="524" t="str">
        <f t="shared" si="31"/>
        <v/>
      </c>
      <c r="AT107" s="517">
        <f t="shared" si="32"/>
        <v>0.96</v>
      </c>
      <c r="AU107" s="501">
        <f t="shared" si="33"/>
        <v>96</v>
      </c>
      <c r="AV107" s="525" t="e">
        <f>PERCENTILE(analyses!$F$11:$F$375,$AT107)</f>
        <v>#NUM!</v>
      </c>
      <c r="AW107" s="7" t="e">
        <f>PERCENTILE(analyses!$I$11:$I$375,$AT107)</f>
        <v>#NUM!</v>
      </c>
      <c r="AX107" s="7" t="e">
        <f>PERCENTILE(analyses!$J$11:$J$375,$AT107)</f>
        <v>#NUM!</v>
      </c>
      <c r="AY107" s="523" t="str">
        <f>_xlfn.IFNA(IF(données_step[[#This Row],[E_DCO]]&lt;=0,NA(),charge_entree[[#This Row],[ch_E_DCO]]/constanten!$B$8*1000),"")</f>
        <v/>
      </c>
      <c r="AZ107" s="523" t="str">
        <f>_xlfn.IFNA(IF(données_step[[#This Row],[E_NTOT]]&lt;=0,NA(),charge_entree[[#This Row],[ch_E_NTOT]]/constanten!$B$10*1000),"")</f>
        <v/>
      </c>
      <c r="BA107" s="523" t="str">
        <f>_xlfn.IFNA(IF(données_step[[#This Row],[E_NH4]]&lt;=0,NA(),charge_entree[[#This Row],[ch_E_NH4]]/constanten!$B$12*1000),"")</f>
        <v/>
      </c>
      <c r="BB107" s="523" t="str">
        <f>_xlfn.IFNA(IF(données_step[[#This Row],[E_COT]]&lt;=0,NA(),charge_entree[[#This Row],[ch_E_COT]]/constanten!$B$9*1000),"")</f>
        <v/>
      </c>
      <c r="BC107" s="523" t="str">
        <f>IFERROR(_xlfn.IFNA(IF(données_step[[#This Row],[E_PTOT]]&lt;=0,NA(),charge_entree[[#This Row],[ch_E_PTOT]]/constanten!$B$15*1000),""),"")</f>
        <v/>
      </c>
      <c r="BD107" s="535" t="e">
        <f>calculs!E107 * (1-0.4) / (données_step[[#This Row],[X_BA_VOL]]*données_step[[#This Row],[X_BACONC]])</f>
        <v>#VALUE!</v>
      </c>
      <c r="BE107" s="522" t="e">
        <f>(données_step[[#This Row],[X_BA_VOL]]*données_step[[#This Row],[X_BACONC]])/((données_step[[#This Row],[D_QTRAI2]]*données_step[[#This Row],[S_MES]]/1000)+(données_step[[#This Row],[X_BX_Q]]*données_step[[#This Row],[X_BXCONC]]))</f>
        <v>#VALUE!</v>
      </c>
      <c r="BF107" s="890" t="str">
        <f>IFERROR(données_step[[#This Row],[D_QTRAI]]/AY107*1000,"")</f>
        <v/>
      </c>
      <c r="BG107" s="535" t="str">
        <f>IFERROR(1-données_step[[#This Row],[S_DBO5]]/données_step[[#This Row],[E_DBO5]],"")</f>
        <v/>
      </c>
      <c r="BH107" s="536" t="str">
        <f>IFERROR(1-données_step[[#This Row],[S_DCO]]/données_step[[#This Row],[E_DCO]],"")</f>
        <v/>
      </c>
      <c r="BI107" s="535" t="str">
        <f>IFERROR(1-données_step[[#This Row],[S_COD]]/données_step[[#This Row],[E_COT]],"")</f>
        <v/>
      </c>
      <c r="BJ107" s="535" t="str">
        <f>IFERROR(1-données_step[[#This Row],[S_NH4]]/données_step[[#This Row],[E_NTOT]],"")</f>
        <v/>
      </c>
      <c r="BK107" s="535" t="str">
        <f>IFERROR(1-données_step[[#This Row],[S_PTOT]]/données_step[[#This Row],[E_PTOT]],"")</f>
        <v/>
      </c>
      <c r="BL107" s="521" t="str">
        <f>IFERROR(IF(données_step[[#This Row],[E_DCO]]/données_step[[#This Row],[E_DBO5]]=0,NA(),données_step[[#This Row],[E_DCO]]/données_step[[#This Row],[E_DBO5]]),"")</f>
        <v/>
      </c>
      <c r="BM107" s="521" t="str">
        <f>IFERROR(IF(données_step[[#This Row],[E_NH4]]/données_step[[#This Row],[E_NTOT]]=0,NA(),données_step[[#This Row],[E_NH4]]/données_step[[#This Row],[E_NTOT]]),"")</f>
        <v/>
      </c>
      <c r="BN107" s="521" t="str">
        <f>IFERROR(IF(données_step[[#This Row],[E_NTOT]]/données_step[[#This Row],[E_COT]]=0,NA(),données_step[[#This Row],[E_NTOT]]/données_step[[#This Row],[E_COT]]),"")</f>
        <v/>
      </c>
      <c r="BO107" s="521" t="str">
        <f>IFERROR(IF(données_step[[#This Row],[E_PTOT]]/données_step[[#This Row],[E_COT]]=0,NA(),données_step[[#This Row],[E_PTOT]]/données_step[[#This Row],[E_COT]]),"")</f>
        <v/>
      </c>
      <c r="BP107" s="521" t="e">
        <f>IF(données_step[[#This Row],[E_DCO]]/données_step[[#This Row],[E_COT]]=0,NA(),données_step[[#This Row],[E_DCO]]/données_step[[#This Row],[E_COT]])</f>
        <v>#DIV/0!</v>
      </c>
      <c r="BQ107" s="521" t="e">
        <f>IF(données_step[[#This Row],[E_NTOT]]/données_step[[#This Row],[E_DCO]]=0,NA(),données_step[[#This Row],[E_NTOT]]/données_step[[#This Row],[E_DCO]])</f>
        <v>#DIV/0!</v>
      </c>
      <c r="BR107" s="521" t="e">
        <f>IF(données_step[[#This Row],[E_PTOT]]/données_step[[#This Row],[E_DCO]]=0,NA(),données_step[[#This Row],[E_PTOT]]/données_step[[#This Row],[E_DCO]])</f>
        <v>#DIV/0!</v>
      </c>
      <c r="BS107" s="747" t="e">
        <f ca="1">test_NH4_temp(données_step[[#This Row],[S_NH4]],données_step[[#This Row],[Temp_eaux]])</f>
        <v>#NAME?</v>
      </c>
    </row>
    <row r="108" spans="1:71" x14ac:dyDescent="0.2">
      <c r="A108" s="222">
        <f>données_step[[#This Row],[Datum]]</f>
        <v>44659</v>
      </c>
      <c r="B108" s="223"/>
      <c r="C108" s="224">
        <f t="shared" si="34"/>
        <v>6</v>
      </c>
      <c r="D108" s="523" t="str">
        <f>IF(OR(données_step[[#This Row],[E_DBO5]]&lt;=0,données_step[[#This Row],[E_DBO5]]=""),"",données_step[[#This Row],[D_QTRAI]]*données_step[[#This Row],[E_DBO5]]/1000)</f>
        <v/>
      </c>
      <c r="E108" s="523" t="str">
        <f>IF(OR(données_step[[#This Row],[E_DCO]]&lt;=0,données_step[[#This Row],[E_DCO]]=""),"",données_step[[#This Row],[D_QTRAI]]*données_step[[#This Row],[E_DCO]]/1000)</f>
        <v/>
      </c>
      <c r="F108" s="523" t="str">
        <f>IF(OR(données_step[[#This Row],[E_COT]]&lt;=0,données_step[[#This Row],[E_COT]]=""),"",données_step[[#This Row],[D_QTRAI]]*données_step[[#This Row],[E_COT]]/1000)</f>
        <v/>
      </c>
      <c r="G108" s="523" t="str">
        <f>IF(OR(données_step[[#This Row],[E_NH4]]&lt;=0,données_step[[#This Row],[E_NH4]]=""),"",données_step[[#This Row],[D_QTRAI]]*données_step[[#This Row],[E_NH4]]/1000)</f>
        <v/>
      </c>
      <c r="H108" s="523" t="str">
        <f>IF(OR(données_step[[#This Row],[E_NTOT]]&lt;=0,données_step[[#This Row],[E_NTOT]]=""),"",données_step[[#This Row],[D_QTRAI]]*données_step[[#This Row],[E_NTOT]]/1000)</f>
        <v/>
      </c>
      <c r="I108" s="523" t="str">
        <f>IF(OR(données_step[[#This Row],[E_NTOT]]&lt;=0,données_step[[#This Row],[E_NTOT]]=""),"",données_step[[#This Row],[D_QTRAI]]*données_step[[#This Row],[E_PTOT]]/1000)</f>
        <v/>
      </c>
      <c r="J108" s="523" t="str">
        <f>IF(OR(données_step[[#This Row],[S_DBO5]]&lt;=0,données_step[[#This Row],[S_DBO5]]=""),"",données_step[[#This Row],[D_QTRAI]]*données_step[[#This Row],[S_DBO5]]/1000)</f>
        <v/>
      </c>
      <c r="K108" s="523" t="str">
        <f>IF(OR(données_step[[#This Row],[S_DCO]]&lt;=0,données_step[[#This Row],[S_DCO]]=""),"",données_step[[#This Row],[D_QTRAI]]*données_step[[#This Row],[S_DCO]]/1000)</f>
        <v/>
      </c>
      <c r="L108" s="523" t="str">
        <f>IF(OR(données_step[[#This Row],[S_COD]]&lt;=0,données_step[[#This Row],[S_COD]]=""),"",données_step[[#This Row],[D_QTRAI]]*données_step[[#This Row],[S_COD]]/1000)</f>
        <v/>
      </c>
      <c r="M108" s="523" t="str">
        <f>IF(OR(données_step[[#This Row],[S_NH4]]&lt;=0,données_step[[#This Row],[S_NH4]]=""),"",données_step[[#This Row],[D_QTRAI]]*données_step[[#This Row],[S_NH4]]/1000)</f>
        <v/>
      </c>
      <c r="N108" s="523" t="str">
        <f>IF(OR(données_step[[#This Row],[S_NO2]]&lt;=0,données_step[[#This Row],[S_NO2]]=""),"",données_step[[#This Row],[D_QTRAI]]*données_step[[#This Row],[S_NO2]]/1000)</f>
        <v/>
      </c>
      <c r="O108" s="523" t="str">
        <f>IF(OR(données_step[[#This Row],[S_NO3]]&lt;=0,données_step[[#This Row],[S_NO3]]=""),"",données_step[[#This Row],[D_QTRAI]]*données_step[[#This Row],[S_NO3]]/1000)</f>
        <v/>
      </c>
      <c r="P108" s="523" t="str">
        <f>IF(OR(données_step[[#This Row],[S_PTOT]]&lt;=0,données_step[[#This Row],[S_PTOT]]=""),"",données_step[[#This Row],[D_QTRAI]]*données_step[[#This Row],[S_PTOT]]/1000)</f>
        <v/>
      </c>
      <c r="Q108" s="523" t="str">
        <f>IF(OR(données_step[[#This Row],[S_MES]]&lt;=0,données_step[[#This Row],[S_MES]]=""),"",données_step[[#This Row],[D_QTRAI]]*données_step[[#This Row],[S_MES]]/1000)</f>
        <v/>
      </c>
      <c r="R108" s="523">
        <f>MAX(données_step[[#This Row],[D_QTRAI]],données_step[[#This Row],[D_QTRAI2]])</f>
        <v>0</v>
      </c>
      <c r="S108" s="523" t="str">
        <f>IF(AND($R108&gt;0,données_step[[#This Row],[E_DCO]]&gt;0),données_step[[#This Row],[E_DCO]],"")</f>
        <v/>
      </c>
      <c r="T108" s="523" t="str">
        <f>IF(S108="","",(1-données_step[[#This Row],[E_DCO]]/$V$7)*100)</f>
        <v/>
      </c>
      <c r="U108" s="523" t="str">
        <f t="shared" si="18"/>
        <v/>
      </c>
      <c r="V108" s="523" t="str">
        <f t="shared" si="19"/>
        <v/>
      </c>
      <c r="W108" s="523" t="str">
        <f t="shared" si="20"/>
        <v/>
      </c>
      <c r="X108" s="523" t="e">
        <f>IF(((100-100/$V$7*données_step[[#This Row],[E_DCO]])/100*QTS)&lt;0,NA(),IF(OR(U108&lt;0,U108=""),NA(),((100-100/$V$7*données_step[[#This Row],[E_DCO]])/100*QTS)))</f>
        <v>#NUM!</v>
      </c>
      <c r="Y108" s="523" t="str">
        <f>IF(AND($R108&gt;0,données_step[[#This Row],[E_COT]]&gt;0),données_step[[#This Row],[E_COT]],"")</f>
        <v/>
      </c>
      <c r="Z108" s="523" t="str">
        <f>IF(Y108="","",(1-données_step[[#This Row],[E_COT]]/$AB$7)*100)</f>
        <v/>
      </c>
      <c r="AA108" s="523" t="str">
        <f t="shared" si="21"/>
        <v/>
      </c>
      <c r="AB108" s="523" t="str">
        <f t="shared" si="22"/>
        <v/>
      </c>
      <c r="AC108" s="523" t="str">
        <f t="shared" si="23"/>
        <v/>
      </c>
      <c r="AD108" s="523" t="e">
        <f>IF(((100-100/$AB$7*données_step[[#This Row],[E_COT]])/100*QTS)&lt;0,NA(),IF(OR(AA108&lt;0,AA108=""),NA(),((100-100/$AB$7*données_step[[#This Row],[E_COT]])/100*QTS)))</f>
        <v>#NUM!</v>
      </c>
      <c r="AE108" s="523" t="str">
        <f>IF(AND($R108&gt;0,données_step[[#This Row],[E_NH4]]&gt;0),données_step[[#This Row],[E_NH4]],"")</f>
        <v/>
      </c>
      <c r="AF108" s="523" t="str">
        <f>IF(AE108="","",(1-données_step[[#This Row],[E_NH4]]/$AH$7)*100)</f>
        <v/>
      </c>
      <c r="AG108" s="523" t="str">
        <f t="shared" si="24"/>
        <v/>
      </c>
      <c r="AH108" s="523" t="str">
        <f t="shared" si="25"/>
        <v/>
      </c>
      <c r="AI108" s="523" t="str">
        <f t="shared" si="26"/>
        <v/>
      </c>
      <c r="AJ108" s="523" t="e">
        <f>IF(((100-100/$AH$7*données_step[[#This Row],[E_NH4]])/100*QTS)&lt;0,NA(),IF(OR(AG108&lt;0,AG108=""),NA(),((100-100/$AH$7*données_step[[#This Row],[E_NH4]])/100*QTS)))</f>
        <v>#NUM!</v>
      </c>
      <c r="AK108" s="523" t="str">
        <f>IF(AND($R108&gt;0,données_step[[#This Row],[E_PTOT]]&gt;0),données_step[[#This Row],[E_PTOT]],"")</f>
        <v/>
      </c>
      <c r="AL108" s="523" t="str">
        <f>IF(AK108="","",(1-données_step[[#This Row],[E_PTOT]]/$AN$7)*100)</f>
        <v/>
      </c>
      <c r="AM108" s="523" t="str">
        <f t="shared" si="27"/>
        <v/>
      </c>
      <c r="AN108" s="523" t="str">
        <f t="shared" si="28"/>
        <v/>
      </c>
      <c r="AO108" s="523" t="str">
        <f t="shared" si="29"/>
        <v/>
      </c>
      <c r="AP108" s="523" t="e">
        <f>IF(((100-100/$AN$7*données_step[[#This Row],[E_PTOT]])/100*QTS)&lt;0,NA(),IF(OR(AM108&lt;0,AM108=""),NA(),((100-100/$AN$7*données_step[[#This Row],[E_PTOT]])/100*QTS)))</f>
        <v>#NUM!</v>
      </c>
      <c r="AQ108" s="524" t="e">
        <f t="shared" si="30"/>
        <v>#NUM!</v>
      </c>
      <c r="AR108" s="524" t="str">
        <f t="shared" si="31"/>
        <v/>
      </c>
      <c r="AT108" s="517">
        <f>AU108/100</f>
        <v>0.97</v>
      </c>
      <c r="AU108" s="501">
        <f t="shared" si="33"/>
        <v>97</v>
      </c>
      <c r="AV108" s="525" t="e">
        <f>PERCENTILE(analyses!$F$11:$F$375,$AT108)</f>
        <v>#NUM!</v>
      </c>
      <c r="AW108" s="7" t="e">
        <f>PERCENTILE(analyses!$I$11:$I$375,$AT108)</f>
        <v>#NUM!</v>
      </c>
      <c r="AX108" s="7" t="e">
        <f>PERCENTILE(analyses!$J$11:$J$375,$AT108)</f>
        <v>#NUM!</v>
      </c>
      <c r="AY108" s="523" t="str">
        <f>_xlfn.IFNA(IF(données_step[[#This Row],[E_DCO]]&lt;=0,NA(),charge_entree[[#This Row],[ch_E_DCO]]/constanten!$B$8*1000),"")</f>
        <v/>
      </c>
      <c r="AZ108" s="523" t="str">
        <f>_xlfn.IFNA(IF(données_step[[#This Row],[E_NTOT]]&lt;=0,NA(),charge_entree[[#This Row],[ch_E_NTOT]]/constanten!$B$10*1000),"")</f>
        <v/>
      </c>
      <c r="BA108" s="523" t="str">
        <f>_xlfn.IFNA(IF(données_step[[#This Row],[E_NH4]]&lt;=0,NA(),charge_entree[[#This Row],[ch_E_NH4]]/constanten!$B$12*1000),"")</f>
        <v/>
      </c>
      <c r="BB108" s="523" t="str">
        <f>_xlfn.IFNA(IF(données_step[[#This Row],[E_COT]]&lt;=0,NA(),charge_entree[[#This Row],[ch_E_COT]]/constanten!$B$9*1000),"")</f>
        <v/>
      </c>
      <c r="BC108" s="523" t="str">
        <f>IFERROR(_xlfn.IFNA(IF(données_step[[#This Row],[E_PTOT]]&lt;=0,NA(),charge_entree[[#This Row],[ch_E_PTOT]]/constanten!$B$15*1000),""),"")</f>
        <v/>
      </c>
      <c r="BD108" s="535" t="e">
        <f>calculs!E108 * (1-0.4) / (données_step[[#This Row],[X_BA_VOL]]*données_step[[#This Row],[X_BACONC]])</f>
        <v>#VALUE!</v>
      </c>
      <c r="BE108" s="522" t="e">
        <f>(données_step[[#This Row],[X_BA_VOL]]*données_step[[#This Row],[X_BACONC]])/((données_step[[#This Row],[D_QTRAI2]]*données_step[[#This Row],[S_MES]]/1000)+(données_step[[#This Row],[X_BX_Q]]*données_step[[#This Row],[X_BXCONC]]))</f>
        <v>#VALUE!</v>
      </c>
      <c r="BF108" s="890" t="str">
        <f>IFERROR(données_step[[#This Row],[D_QTRAI]]/AY108*1000,"")</f>
        <v/>
      </c>
      <c r="BG108" s="535" t="str">
        <f>IFERROR(1-données_step[[#This Row],[S_DBO5]]/données_step[[#This Row],[E_DBO5]],"")</f>
        <v/>
      </c>
      <c r="BH108" s="536" t="str">
        <f>IFERROR(1-données_step[[#This Row],[S_DCO]]/données_step[[#This Row],[E_DCO]],"")</f>
        <v/>
      </c>
      <c r="BI108" s="535" t="str">
        <f>IFERROR(1-données_step[[#This Row],[S_COD]]/données_step[[#This Row],[E_COT]],"")</f>
        <v/>
      </c>
      <c r="BJ108" s="535" t="str">
        <f>IFERROR(1-données_step[[#This Row],[S_NH4]]/données_step[[#This Row],[E_NTOT]],"")</f>
        <v/>
      </c>
      <c r="BK108" s="535" t="str">
        <f>IFERROR(1-données_step[[#This Row],[S_PTOT]]/données_step[[#This Row],[E_PTOT]],"")</f>
        <v/>
      </c>
      <c r="BL108" s="521" t="str">
        <f>IFERROR(IF(données_step[[#This Row],[E_DCO]]/données_step[[#This Row],[E_DBO5]]=0,NA(),données_step[[#This Row],[E_DCO]]/données_step[[#This Row],[E_DBO5]]),"")</f>
        <v/>
      </c>
      <c r="BM108" s="521" t="str">
        <f>IFERROR(IF(données_step[[#This Row],[E_NH4]]/données_step[[#This Row],[E_NTOT]]=0,NA(),données_step[[#This Row],[E_NH4]]/données_step[[#This Row],[E_NTOT]]),"")</f>
        <v/>
      </c>
      <c r="BN108" s="521" t="str">
        <f>IFERROR(IF(données_step[[#This Row],[E_NTOT]]/données_step[[#This Row],[E_COT]]=0,NA(),données_step[[#This Row],[E_NTOT]]/données_step[[#This Row],[E_COT]]),"")</f>
        <v/>
      </c>
      <c r="BO108" s="521" t="str">
        <f>IFERROR(IF(données_step[[#This Row],[E_PTOT]]/données_step[[#This Row],[E_COT]]=0,NA(),données_step[[#This Row],[E_PTOT]]/données_step[[#This Row],[E_COT]]),"")</f>
        <v/>
      </c>
      <c r="BP108" s="521" t="e">
        <f>IF(données_step[[#This Row],[E_DCO]]/données_step[[#This Row],[E_COT]]=0,NA(),données_step[[#This Row],[E_DCO]]/données_step[[#This Row],[E_COT]])</f>
        <v>#DIV/0!</v>
      </c>
      <c r="BQ108" s="521" t="e">
        <f>IF(données_step[[#This Row],[E_NTOT]]/données_step[[#This Row],[E_DCO]]=0,NA(),données_step[[#This Row],[E_NTOT]]/données_step[[#This Row],[E_DCO]])</f>
        <v>#DIV/0!</v>
      </c>
      <c r="BR108" s="521" t="e">
        <f>IF(données_step[[#This Row],[E_PTOT]]/données_step[[#This Row],[E_DCO]]=0,NA(),données_step[[#This Row],[E_PTOT]]/données_step[[#This Row],[E_DCO]])</f>
        <v>#DIV/0!</v>
      </c>
      <c r="BS108" s="747" t="e">
        <f ca="1">test_NH4_temp(données_step[[#This Row],[S_NH4]],données_step[[#This Row],[Temp_eaux]])</f>
        <v>#NAME?</v>
      </c>
    </row>
    <row r="109" spans="1:71" x14ac:dyDescent="0.2">
      <c r="A109" s="222">
        <f>données_step[[#This Row],[Datum]]</f>
        <v>44660</v>
      </c>
      <c r="B109" s="223"/>
      <c r="C109" s="224">
        <f t="shared" si="34"/>
        <v>7</v>
      </c>
      <c r="D109" s="523" t="str">
        <f>IF(OR(données_step[[#This Row],[E_DBO5]]&lt;=0,données_step[[#This Row],[E_DBO5]]=""),"",données_step[[#This Row],[D_QTRAI]]*données_step[[#This Row],[E_DBO5]]/1000)</f>
        <v/>
      </c>
      <c r="E109" s="523" t="str">
        <f>IF(OR(données_step[[#This Row],[E_DCO]]&lt;=0,données_step[[#This Row],[E_DCO]]=""),"",données_step[[#This Row],[D_QTRAI]]*données_step[[#This Row],[E_DCO]]/1000)</f>
        <v/>
      </c>
      <c r="F109" s="523" t="str">
        <f>IF(OR(données_step[[#This Row],[E_COT]]&lt;=0,données_step[[#This Row],[E_COT]]=""),"",données_step[[#This Row],[D_QTRAI]]*données_step[[#This Row],[E_COT]]/1000)</f>
        <v/>
      </c>
      <c r="G109" s="523" t="str">
        <f>IF(OR(données_step[[#This Row],[E_NH4]]&lt;=0,données_step[[#This Row],[E_NH4]]=""),"",données_step[[#This Row],[D_QTRAI]]*données_step[[#This Row],[E_NH4]]/1000)</f>
        <v/>
      </c>
      <c r="H109" s="523" t="str">
        <f>IF(OR(données_step[[#This Row],[E_NTOT]]&lt;=0,données_step[[#This Row],[E_NTOT]]=""),"",données_step[[#This Row],[D_QTRAI]]*données_step[[#This Row],[E_NTOT]]/1000)</f>
        <v/>
      </c>
      <c r="I109" s="523" t="str">
        <f>IF(OR(données_step[[#This Row],[E_NTOT]]&lt;=0,données_step[[#This Row],[E_NTOT]]=""),"",données_step[[#This Row],[D_QTRAI]]*données_step[[#This Row],[E_PTOT]]/1000)</f>
        <v/>
      </c>
      <c r="J109" s="523" t="str">
        <f>IF(OR(données_step[[#This Row],[S_DBO5]]&lt;=0,données_step[[#This Row],[S_DBO5]]=""),"",données_step[[#This Row],[D_QTRAI]]*données_step[[#This Row],[S_DBO5]]/1000)</f>
        <v/>
      </c>
      <c r="K109" s="523" t="str">
        <f>IF(OR(données_step[[#This Row],[S_DCO]]&lt;=0,données_step[[#This Row],[S_DCO]]=""),"",données_step[[#This Row],[D_QTRAI]]*données_step[[#This Row],[S_DCO]]/1000)</f>
        <v/>
      </c>
      <c r="L109" s="523" t="str">
        <f>IF(OR(données_step[[#This Row],[S_COD]]&lt;=0,données_step[[#This Row],[S_COD]]=""),"",données_step[[#This Row],[D_QTRAI]]*données_step[[#This Row],[S_COD]]/1000)</f>
        <v/>
      </c>
      <c r="M109" s="523" t="str">
        <f>IF(OR(données_step[[#This Row],[S_NH4]]&lt;=0,données_step[[#This Row],[S_NH4]]=""),"",données_step[[#This Row],[D_QTRAI]]*données_step[[#This Row],[S_NH4]]/1000)</f>
        <v/>
      </c>
      <c r="N109" s="523" t="str">
        <f>IF(OR(données_step[[#This Row],[S_NO2]]&lt;=0,données_step[[#This Row],[S_NO2]]=""),"",données_step[[#This Row],[D_QTRAI]]*données_step[[#This Row],[S_NO2]]/1000)</f>
        <v/>
      </c>
      <c r="O109" s="523" t="str">
        <f>IF(OR(données_step[[#This Row],[S_NO3]]&lt;=0,données_step[[#This Row],[S_NO3]]=""),"",données_step[[#This Row],[D_QTRAI]]*données_step[[#This Row],[S_NO3]]/1000)</f>
        <v/>
      </c>
      <c r="P109" s="523" t="str">
        <f>IF(OR(données_step[[#This Row],[S_PTOT]]&lt;=0,données_step[[#This Row],[S_PTOT]]=""),"",données_step[[#This Row],[D_QTRAI]]*données_step[[#This Row],[S_PTOT]]/1000)</f>
        <v/>
      </c>
      <c r="Q109" s="523" t="str">
        <f>IF(OR(données_step[[#This Row],[S_MES]]&lt;=0,données_step[[#This Row],[S_MES]]=""),"",données_step[[#This Row],[D_QTRAI]]*données_step[[#This Row],[S_MES]]/1000)</f>
        <v/>
      </c>
      <c r="R109" s="523">
        <f>MAX(données_step[[#This Row],[D_QTRAI]],données_step[[#This Row],[D_QTRAI2]])</f>
        <v>0</v>
      </c>
      <c r="S109" s="523" t="str">
        <f>IF(AND($R109&gt;0,données_step[[#This Row],[E_DCO]]&gt;0),données_step[[#This Row],[E_DCO]],"")</f>
        <v/>
      </c>
      <c r="T109" s="523" t="str">
        <f>IF(S109="","",(1-données_step[[#This Row],[E_DCO]]/$V$7)*100)</f>
        <v/>
      </c>
      <c r="U109" s="523" t="str">
        <f t="shared" si="18"/>
        <v/>
      </c>
      <c r="V109" s="523" t="str">
        <f t="shared" si="19"/>
        <v/>
      </c>
      <c r="W109" s="523" t="str">
        <f t="shared" si="20"/>
        <v/>
      </c>
      <c r="X109" s="523" t="e">
        <f>IF(((100-100/$V$7*données_step[[#This Row],[E_DCO]])/100*QTS)&lt;0,NA(),IF(OR(U109&lt;0,U109=""),NA(),((100-100/$V$7*données_step[[#This Row],[E_DCO]])/100*QTS)))</f>
        <v>#NUM!</v>
      </c>
      <c r="Y109" s="523" t="str">
        <f>IF(AND($R109&gt;0,données_step[[#This Row],[E_COT]]&gt;0),données_step[[#This Row],[E_COT]],"")</f>
        <v/>
      </c>
      <c r="Z109" s="523" t="str">
        <f>IF(Y109="","",(1-données_step[[#This Row],[E_COT]]/$AB$7)*100)</f>
        <v/>
      </c>
      <c r="AA109" s="523" t="str">
        <f t="shared" si="21"/>
        <v/>
      </c>
      <c r="AB109" s="523" t="str">
        <f t="shared" si="22"/>
        <v/>
      </c>
      <c r="AC109" s="523" t="str">
        <f t="shared" si="23"/>
        <v/>
      </c>
      <c r="AD109" s="523" t="e">
        <f>IF(((100-100/$AB$7*données_step[[#This Row],[E_COT]])/100*QTS)&lt;0,NA(),IF(OR(AA109&lt;0,AA109=""),NA(),((100-100/$AB$7*données_step[[#This Row],[E_COT]])/100*QTS)))</f>
        <v>#NUM!</v>
      </c>
      <c r="AE109" s="523" t="str">
        <f>IF(AND($R109&gt;0,données_step[[#This Row],[E_NH4]]&gt;0),données_step[[#This Row],[E_NH4]],"")</f>
        <v/>
      </c>
      <c r="AF109" s="523" t="str">
        <f>IF(AE109="","",(1-données_step[[#This Row],[E_NH4]]/$AH$7)*100)</f>
        <v/>
      </c>
      <c r="AG109" s="523" t="str">
        <f t="shared" si="24"/>
        <v/>
      </c>
      <c r="AH109" s="523" t="str">
        <f t="shared" si="25"/>
        <v/>
      </c>
      <c r="AI109" s="523" t="str">
        <f t="shared" si="26"/>
        <v/>
      </c>
      <c r="AJ109" s="523" t="e">
        <f>IF(((100-100/$AH$7*données_step[[#This Row],[E_NH4]])/100*QTS)&lt;0,NA(),IF(OR(AG109&lt;0,AG109=""),NA(),((100-100/$AH$7*données_step[[#This Row],[E_NH4]])/100*QTS)))</f>
        <v>#NUM!</v>
      </c>
      <c r="AK109" s="523" t="str">
        <f>IF(AND($R109&gt;0,données_step[[#This Row],[E_PTOT]]&gt;0),données_step[[#This Row],[E_PTOT]],"")</f>
        <v/>
      </c>
      <c r="AL109" s="523" t="str">
        <f>IF(AK109="","",(1-données_step[[#This Row],[E_PTOT]]/$AN$7)*100)</f>
        <v/>
      </c>
      <c r="AM109" s="523" t="str">
        <f t="shared" si="27"/>
        <v/>
      </c>
      <c r="AN109" s="523" t="str">
        <f t="shared" si="28"/>
        <v/>
      </c>
      <c r="AO109" s="523" t="str">
        <f t="shared" si="29"/>
        <v/>
      </c>
      <c r="AP109" s="523" t="e">
        <f>IF(((100-100/$AN$7*données_step[[#This Row],[E_PTOT]])/100*QTS)&lt;0,NA(),IF(OR(AM109&lt;0,AM109=""),NA(),((100-100/$AN$7*données_step[[#This Row],[E_PTOT]])/100*QTS)))</f>
        <v>#NUM!</v>
      </c>
      <c r="AQ109" s="524" t="e">
        <f t="shared" si="30"/>
        <v>#NUM!</v>
      </c>
      <c r="AR109" s="524" t="str">
        <f t="shared" si="31"/>
        <v/>
      </c>
      <c r="AT109" s="517">
        <f>AU109/100</f>
        <v>0.98</v>
      </c>
      <c r="AU109" s="501">
        <f t="shared" si="33"/>
        <v>98</v>
      </c>
      <c r="AV109" s="525" t="e">
        <f>PERCENTILE(analyses!$F$11:$F$375,$AT109)</f>
        <v>#NUM!</v>
      </c>
      <c r="AW109" s="7" t="e">
        <f>PERCENTILE(analyses!$I$11:$I$375,$AT109)</f>
        <v>#NUM!</v>
      </c>
      <c r="AX109" s="7" t="e">
        <f>PERCENTILE(analyses!$J$11:$J$375,$AT109)</f>
        <v>#NUM!</v>
      </c>
      <c r="AY109" s="523" t="str">
        <f>_xlfn.IFNA(IF(données_step[[#This Row],[E_DCO]]&lt;=0,NA(),charge_entree[[#This Row],[ch_E_DCO]]/constanten!$B$8*1000),"")</f>
        <v/>
      </c>
      <c r="AZ109" s="523" t="str">
        <f>_xlfn.IFNA(IF(données_step[[#This Row],[E_NTOT]]&lt;=0,NA(),charge_entree[[#This Row],[ch_E_NTOT]]/constanten!$B$10*1000),"")</f>
        <v/>
      </c>
      <c r="BA109" s="523" t="str">
        <f>_xlfn.IFNA(IF(données_step[[#This Row],[E_NH4]]&lt;=0,NA(),charge_entree[[#This Row],[ch_E_NH4]]/constanten!$B$12*1000),"")</f>
        <v/>
      </c>
      <c r="BB109" s="523" t="str">
        <f>_xlfn.IFNA(IF(données_step[[#This Row],[E_COT]]&lt;=0,NA(),charge_entree[[#This Row],[ch_E_COT]]/constanten!$B$9*1000),"")</f>
        <v/>
      </c>
      <c r="BC109" s="523" t="str">
        <f>IFERROR(_xlfn.IFNA(IF(données_step[[#This Row],[E_PTOT]]&lt;=0,NA(),charge_entree[[#This Row],[ch_E_PTOT]]/constanten!$B$15*1000),""),"")</f>
        <v/>
      </c>
      <c r="BD109" s="535" t="e">
        <f>calculs!E109 * (1-0.4) / (données_step[[#This Row],[X_BA_VOL]]*données_step[[#This Row],[X_BACONC]])</f>
        <v>#VALUE!</v>
      </c>
      <c r="BE109" s="522" t="e">
        <f>(données_step[[#This Row],[X_BA_VOL]]*données_step[[#This Row],[X_BACONC]])/((données_step[[#This Row],[D_QTRAI2]]*données_step[[#This Row],[S_MES]]/1000)+(données_step[[#This Row],[X_BX_Q]]*données_step[[#This Row],[X_BXCONC]]))</f>
        <v>#VALUE!</v>
      </c>
      <c r="BF109" s="890" t="str">
        <f>IFERROR(données_step[[#This Row],[D_QTRAI]]/AY109*1000,"")</f>
        <v/>
      </c>
      <c r="BG109" s="535" t="str">
        <f>IFERROR(1-données_step[[#This Row],[S_DBO5]]/données_step[[#This Row],[E_DBO5]],"")</f>
        <v/>
      </c>
      <c r="BH109" s="536" t="str">
        <f>IFERROR(1-données_step[[#This Row],[S_DCO]]/données_step[[#This Row],[E_DCO]],"")</f>
        <v/>
      </c>
      <c r="BI109" s="535" t="str">
        <f>IFERROR(1-données_step[[#This Row],[S_COD]]/données_step[[#This Row],[E_COT]],"")</f>
        <v/>
      </c>
      <c r="BJ109" s="535" t="str">
        <f>IFERROR(1-données_step[[#This Row],[S_NH4]]/données_step[[#This Row],[E_NTOT]],"")</f>
        <v/>
      </c>
      <c r="BK109" s="535" t="str">
        <f>IFERROR(1-données_step[[#This Row],[S_PTOT]]/données_step[[#This Row],[E_PTOT]],"")</f>
        <v/>
      </c>
      <c r="BL109" s="521" t="str">
        <f>IFERROR(IF(données_step[[#This Row],[E_DCO]]/données_step[[#This Row],[E_DBO5]]=0,NA(),données_step[[#This Row],[E_DCO]]/données_step[[#This Row],[E_DBO5]]),"")</f>
        <v/>
      </c>
      <c r="BM109" s="521" t="str">
        <f>IFERROR(IF(données_step[[#This Row],[E_NH4]]/données_step[[#This Row],[E_NTOT]]=0,NA(),données_step[[#This Row],[E_NH4]]/données_step[[#This Row],[E_NTOT]]),"")</f>
        <v/>
      </c>
      <c r="BN109" s="521" t="str">
        <f>IFERROR(IF(données_step[[#This Row],[E_NTOT]]/données_step[[#This Row],[E_COT]]=0,NA(),données_step[[#This Row],[E_NTOT]]/données_step[[#This Row],[E_COT]]),"")</f>
        <v/>
      </c>
      <c r="BO109" s="521" t="str">
        <f>IFERROR(IF(données_step[[#This Row],[E_PTOT]]/données_step[[#This Row],[E_COT]]=0,NA(),données_step[[#This Row],[E_PTOT]]/données_step[[#This Row],[E_COT]]),"")</f>
        <v/>
      </c>
      <c r="BP109" s="521" t="e">
        <f>IF(données_step[[#This Row],[E_DCO]]/données_step[[#This Row],[E_COT]]=0,NA(),données_step[[#This Row],[E_DCO]]/données_step[[#This Row],[E_COT]])</f>
        <v>#DIV/0!</v>
      </c>
      <c r="BQ109" s="521" t="e">
        <f>IF(données_step[[#This Row],[E_NTOT]]/données_step[[#This Row],[E_DCO]]=0,NA(),données_step[[#This Row],[E_NTOT]]/données_step[[#This Row],[E_DCO]])</f>
        <v>#DIV/0!</v>
      </c>
      <c r="BR109" s="521" t="e">
        <f>IF(données_step[[#This Row],[E_PTOT]]/données_step[[#This Row],[E_DCO]]=0,NA(),données_step[[#This Row],[E_PTOT]]/données_step[[#This Row],[E_DCO]])</f>
        <v>#DIV/0!</v>
      </c>
      <c r="BS109" s="747" t="e">
        <f ca="1">test_NH4_temp(données_step[[#This Row],[S_NH4]],données_step[[#This Row],[Temp_eaux]])</f>
        <v>#NAME?</v>
      </c>
    </row>
    <row r="110" spans="1:71" x14ac:dyDescent="0.2">
      <c r="A110" s="222">
        <f>données_step[[#This Row],[Datum]]</f>
        <v>44661</v>
      </c>
      <c r="B110" s="223"/>
      <c r="C110" s="224">
        <f t="shared" si="34"/>
        <v>1</v>
      </c>
      <c r="D110" s="523" t="str">
        <f>IF(OR(données_step[[#This Row],[E_DBO5]]&lt;=0,données_step[[#This Row],[E_DBO5]]=""),"",données_step[[#This Row],[D_QTRAI]]*données_step[[#This Row],[E_DBO5]]/1000)</f>
        <v/>
      </c>
      <c r="E110" s="523" t="str">
        <f>IF(OR(données_step[[#This Row],[E_DCO]]&lt;=0,données_step[[#This Row],[E_DCO]]=""),"",données_step[[#This Row],[D_QTRAI]]*données_step[[#This Row],[E_DCO]]/1000)</f>
        <v/>
      </c>
      <c r="F110" s="523" t="str">
        <f>IF(OR(données_step[[#This Row],[E_COT]]&lt;=0,données_step[[#This Row],[E_COT]]=""),"",données_step[[#This Row],[D_QTRAI]]*données_step[[#This Row],[E_COT]]/1000)</f>
        <v/>
      </c>
      <c r="G110" s="523" t="str">
        <f>IF(OR(données_step[[#This Row],[E_NH4]]&lt;=0,données_step[[#This Row],[E_NH4]]=""),"",données_step[[#This Row],[D_QTRAI]]*données_step[[#This Row],[E_NH4]]/1000)</f>
        <v/>
      </c>
      <c r="H110" s="523" t="str">
        <f>IF(OR(données_step[[#This Row],[E_NTOT]]&lt;=0,données_step[[#This Row],[E_NTOT]]=""),"",données_step[[#This Row],[D_QTRAI]]*données_step[[#This Row],[E_NTOT]]/1000)</f>
        <v/>
      </c>
      <c r="I110" s="523" t="str">
        <f>IF(OR(données_step[[#This Row],[E_NTOT]]&lt;=0,données_step[[#This Row],[E_NTOT]]=""),"",données_step[[#This Row],[D_QTRAI]]*données_step[[#This Row],[E_PTOT]]/1000)</f>
        <v/>
      </c>
      <c r="J110" s="523" t="str">
        <f>IF(OR(données_step[[#This Row],[S_DBO5]]&lt;=0,données_step[[#This Row],[S_DBO5]]=""),"",données_step[[#This Row],[D_QTRAI]]*données_step[[#This Row],[S_DBO5]]/1000)</f>
        <v/>
      </c>
      <c r="K110" s="523" t="str">
        <f>IF(OR(données_step[[#This Row],[S_DCO]]&lt;=0,données_step[[#This Row],[S_DCO]]=""),"",données_step[[#This Row],[D_QTRAI]]*données_step[[#This Row],[S_DCO]]/1000)</f>
        <v/>
      </c>
      <c r="L110" s="523" t="str">
        <f>IF(OR(données_step[[#This Row],[S_COD]]&lt;=0,données_step[[#This Row],[S_COD]]=""),"",données_step[[#This Row],[D_QTRAI]]*données_step[[#This Row],[S_COD]]/1000)</f>
        <v/>
      </c>
      <c r="M110" s="523" t="str">
        <f>IF(OR(données_step[[#This Row],[S_NH4]]&lt;=0,données_step[[#This Row],[S_NH4]]=""),"",données_step[[#This Row],[D_QTRAI]]*données_step[[#This Row],[S_NH4]]/1000)</f>
        <v/>
      </c>
      <c r="N110" s="523" t="str">
        <f>IF(OR(données_step[[#This Row],[S_NO2]]&lt;=0,données_step[[#This Row],[S_NO2]]=""),"",données_step[[#This Row],[D_QTRAI]]*données_step[[#This Row],[S_NO2]]/1000)</f>
        <v/>
      </c>
      <c r="O110" s="523" t="str">
        <f>IF(OR(données_step[[#This Row],[S_NO3]]&lt;=0,données_step[[#This Row],[S_NO3]]=""),"",données_step[[#This Row],[D_QTRAI]]*données_step[[#This Row],[S_NO3]]/1000)</f>
        <v/>
      </c>
      <c r="P110" s="523" t="str">
        <f>IF(OR(données_step[[#This Row],[S_PTOT]]&lt;=0,données_step[[#This Row],[S_PTOT]]=""),"",données_step[[#This Row],[D_QTRAI]]*données_step[[#This Row],[S_PTOT]]/1000)</f>
        <v/>
      </c>
      <c r="Q110" s="523" t="str">
        <f>IF(OR(données_step[[#This Row],[S_MES]]&lt;=0,données_step[[#This Row],[S_MES]]=""),"",données_step[[#This Row],[D_QTRAI]]*données_step[[#This Row],[S_MES]]/1000)</f>
        <v/>
      </c>
      <c r="R110" s="523">
        <f>MAX(données_step[[#This Row],[D_QTRAI]],données_step[[#This Row],[D_QTRAI2]])</f>
        <v>0</v>
      </c>
      <c r="S110" s="523" t="str">
        <f>IF(AND($R110&gt;0,données_step[[#This Row],[E_DCO]]&gt;0),données_step[[#This Row],[E_DCO]],"")</f>
        <v/>
      </c>
      <c r="T110" s="523" t="str">
        <f>IF(S110="","",(1-données_step[[#This Row],[E_DCO]]/$V$7)*100)</f>
        <v/>
      </c>
      <c r="U110" s="523" t="str">
        <f t="shared" si="18"/>
        <v/>
      </c>
      <c r="V110" s="523" t="str">
        <f t="shared" si="19"/>
        <v/>
      </c>
      <c r="W110" s="523" t="str">
        <f t="shared" si="20"/>
        <v/>
      </c>
      <c r="X110" s="523" t="e">
        <f>IF(((100-100/$V$7*données_step[[#This Row],[E_DCO]])/100*QTS)&lt;0,NA(),IF(OR(U110&lt;0,U110=""),NA(),((100-100/$V$7*données_step[[#This Row],[E_DCO]])/100*QTS)))</f>
        <v>#NUM!</v>
      </c>
      <c r="Y110" s="523" t="str">
        <f>IF(AND($R110&gt;0,données_step[[#This Row],[E_COT]]&gt;0),données_step[[#This Row],[E_COT]],"")</f>
        <v/>
      </c>
      <c r="Z110" s="523" t="str">
        <f>IF(Y110="","",(1-données_step[[#This Row],[E_COT]]/$AB$7)*100)</f>
        <v/>
      </c>
      <c r="AA110" s="523" t="str">
        <f t="shared" si="21"/>
        <v/>
      </c>
      <c r="AB110" s="523" t="str">
        <f t="shared" si="22"/>
        <v/>
      </c>
      <c r="AC110" s="523" t="str">
        <f t="shared" si="23"/>
        <v/>
      </c>
      <c r="AD110" s="523" t="e">
        <f>IF(((100-100/$AB$7*données_step[[#This Row],[E_COT]])/100*QTS)&lt;0,NA(),IF(OR(AA110&lt;0,AA110=""),NA(),((100-100/$AB$7*données_step[[#This Row],[E_COT]])/100*QTS)))</f>
        <v>#NUM!</v>
      </c>
      <c r="AE110" s="523" t="str">
        <f>IF(AND($R110&gt;0,données_step[[#This Row],[E_NH4]]&gt;0),données_step[[#This Row],[E_NH4]],"")</f>
        <v/>
      </c>
      <c r="AF110" s="523" t="str">
        <f>IF(AE110="","",(1-données_step[[#This Row],[E_NH4]]/$AH$7)*100)</f>
        <v/>
      </c>
      <c r="AG110" s="523" t="str">
        <f t="shared" si="24"/>
        <v/>
      </c>
      <c r="AH110" s="523" t="str">
        <f t="shared" si="25"/>
        <v/>
      </c>
      <c r="AI110" s="523" t="str">
        <f t="shared" si="26"/>
        <v/>
      </c>
      <c r="AJ110" s="523" t="e">
        <f>IF(((100-100/$AH$7*données_step[[#This Row],[E_NH4]])/100*QTS)&lt;0,NA(),IF(OR(AG110&lt;0,AG110=""),NA(),((100-100/$AH$7*données_step[[#This Row],[E_NH4]])/100*QTS)))</f>
        <v>#NUM!</v>
      </c>
      <c r="AK110" s="523" t="str">
        <f>IF(AND($R110&gt;0,données_step[[#This Row],[E_PTOT]]&gt;0),données_step[[#This Row],[E_PTOT]],"")</f>
        <v/>
      </c>
      <c r="AL110" s="523" t="str">
        <f>IF(AK110="","",(1-données_step[[#This Row],[E_PTOT]]/$AN$7)*100)</f>
        <v/>
      </c>
      <c r="AM110" s="523" t="str">
        <f t="shared" si="27"/>
        <v/>
      </c>
      <c r="AN110" s="523" t="str">
        <f t="shared" si="28"/>
        <v/>
      </c>
      <c r="AO110" s="523" t="str">
        <f t="shared" si="29"/>
        <v/>
      </c>
      <c r="AP110" s="523" t="e">
        <f>IF(((100-100/$AN$7*données_step[[#This Row],[E_PTOT]])/100*QTS)&lt;0,NA(),IF(OR(AM110&lt;0,AM110=""),NA(),((100-100/$AN$7*données_step[[#This Row],[E_PTOT]])/100*QTS)))</f>
        <v>#NUM!</v>
      </c>
      <c r="AQ110" s="524" t="e">
        <f t="shared" si="30"/>
        <v>#NUM!</v>
      </c>
      <c r="AR110" s="524" t="str">
        <f t="shared" si="31"/>
        <v/>
      </c>
      <c r="AT110" s="517">
        <f>AU110/100</f>
        <v>0.99</v>
      </c>
      <c r="AU110" s="501">
        <f t="shared" si="33"/>
        <v>99</v>
      </c>
      <c r="AV110" s="525" t="e">
        <f>PERCENTILE(analyses!$F$11:$F$375,$AT110)</f>
        <v>#NUM!</v>
      </c>
      <c r="AW110" s="7" t="e">
        <f>PERCENTILE(analyses!$I$11:$I$375,$AT110)</f>
        <v>#NUM!</v>
      </c>
      <c r="AX110" s="7" t="e">
        <f>PERCENTILE(analyses!$J$11:$J$375,$AT110)</f>
        <v>#NUM!</v>
      </c>
      <c r="AY110" s="523" t="str">
        <f>_xlfn.IFNA(IF(données_step[[#This Row],[E_DCO]]&lt;=0,NA(),charge_entree[[#This Row],[ch_E_DCO]]/constanten!$B$8*1000),"")</f>
        <v/>
      </c>
      <c r="AZ110" s="523" t="str">
        <f>_xlfn.IFNA(IF(données_step[[#This Row],[E_NTOT]]&lt;=0,NA(),charge_entree[[#This Row],[ch_E_NTOT]]/constanten!$B$10*1000),"")</f>
        <v/>
      </c>
      <c r="BA110" s="523" t="str">
        <f>_xlfn.IFNA(IF(données_step[[#This Row],[E_NH4]]&lt;=0,NA(),charge_entree[[#This Row],[ch_E_NH4]]/constanten!$B$12*1000),"")</f>
        <v/>
      </c>
      <c r="BB110" s="523" t="str">
        <f>_xlfn.IFNA(IF(données_step[[#This Row],[E_COT]]&lt;=0,NA(),charge_entree[[#This Row],[ch_E_COT]]/constanten!$B$9*1000),"")</f>
        <v/>
      </c>
      <c r="BC110" s="523" t="str">
        <f>IFERROR(_xlfn.IFNA(IF(données_step[[#This Row],[E_PTOT]]&lt;=0,NA(),charge_entree[[#This Row],[ch_E_PTOT]]/constanten!$B$15*1000),""),"")</f>
        <v/>
      </c>
      <c r="BD110" s="535" t="e">
        <f>calculs!E110 * (1-0.4) / (données_step[[#This Row],[X_BA_VOL]]*données_step[[#This Row],[X_BACONC]])</f>
        <v>#VALUE!</v>
      </c>
      <c r="BE110" s="522" t="e">
        <f>(données_step[[#This Row],[X_BA_VOL]]*données_step[[#This Row],[X_BACONC]])/((données_step[[#This Row],[D_QTRAI2]]*données_step[[#This Row],[S_MES]]/1000)+(données_step[[#This Row],[X_BX_Q]]*données_step[[#This Row],[X_BXCONC]]))</f>
        <v>#VALUE!</v>
      </c>
      <c r="BF110" s="890" t="str">
        <f>IFERROR(données_step[[#This Row],[D_QTRAI]]/AY110*1000,"")</f>
        <v/>
      </c>
      <c r="BG110" s="535" t="str">
        <f>IFERROR(1-données_step[[#This Row],[S_DBO5]]/données_step[[#This Row],[E_DBO5]],"")</f>
        <v/>
      </c>
      <c r="BH110" s="536" t="str">
        <f>IFERROR(1-données_step[[#This Row],[S_DCO]]/données_step[[#This Row],[E_DCO]],"")</f>
        <v/>
      </c>
      <c r="BI110" s="535" t="str">
        <f>IFERROR(1-données_step[[#This Row],[S_COD]]/données_step[[#This Row],[E_COT]],"")</f>
        <v/>
      </c>
      <c r="BJ110" s="535" t="str">
        <f>IFERROR(1-données_step[[#This Row],[S_NH4]]/données_step[[#This Row],[E_NTOT]],"")</f>
        <v/>
      </c>
      <c r="BK110" s="535" t="str">
        <f>IFERROR(1-données_step[[#This Row],[S_PTOT]]/données_step[[#This Row],[E_PTOT]],"")</f>
        <v/>
      </c>
      <c r="BL110" s="521" t="str">
        <f>IFERROR(IF(données_step[[#This Row],[E_DCO]]/données_step[[#This Row],[E_DBO5]]=0,NA(),données_step[[#This Row],[E_DCO]]/données_step[[#This Row],[E_DBO5]]),"")</f>
        <v/>
      </c>
      <c r="BM110" s="521" t="str">
        <f>IFERROR(IF(données_step[[#This Row],[E_NH4]]/données_step[[#This Row],[E_NTOT]]=0,NA(),données_step[[#This Row],[E_NH4]]/données_step[[#This Row],[E_NTOT]]),"")</f>
        <v/>
      </c>
      <c r="BN110" s="521" t="str">
        <f>IFERROR(IF(données_step[[#This Row],[E_NTOT]]/données_step[[#This Row],[E_COT]]=0,NA(),données_step[[#This Row],[E_NTOT]]/données_step[[#This Row],[E_COT]]),"")</f>
        <v/>
      </c>
      <c r="BO110" s="521" t="str">
        <f>IFERROR(IF(données_step[[#This Row],[E_PTOT]]/données_step[[#This Row],[E_COT]]=0,NA(),données_step[[#This Row],[E_PTOT]]/données_step[[#This Row],[E_COT]]),"")</f>
        <v/>
      </c>
      <c r="BP110" s="521" t="e">
        <f>IF(données_step[[#This Row],[E_DCO]]/données_step[[#This Row],[E_COT]]=0,NA(),données_step[[#This Row],[E_DCO]]/données_step[[#This Row],[E_COT]])</f>
        <v>#DIV/0!</v>
      </c>
      <c r="BQ110" s="521" t="e">
        <f>IF(données_step[[#This Row],[E_NTOT]]/données_step[[#This Row],[E_DCO]]=0,NA(),données_step[[#This Row],[E_NTOT]]/données_step[[#This Row],[E_DCO]])</f>
        <v>#DIV/0!</v>
      </c>
      <c r="BR110" s="521" t="e">
        <f>IF(données_step[[#This Row],[E_PTOT]]/données_step[[#This Row],[E_DCO]]=0,NA(),données_step[[#This Row],[E_PTOT]]/données_step[[#This Row],[E_DCO]])</f>
        <v>#DIV/0!</v>
      </c>
      <c r="BS110" s="747" t="e">
        <f ca="1">test_NH4_temp(données_step[[#This Row],[S_NH4]],données_step[[#This Row],[Temp_eaux]])</f>
        <v>#NAME?</v>
      </c>
    </row>
    <row r="111" spans="1:71" x14ac:dyDescent="0.2">
      <c r="A111" s="222">
        <f>données_step[[#This Row],[Datum]]</f>
        <v>44662</v>
      </c>
      <c r="B111" s="223"/>
      <c r="C111" s="224">
        <f t="shared" si="34"/>
        <v>2</v>
      </c>
      <c r="D111" s="523" t="str">
        <f>IF(OR(données_step[[#This Row],[E_DBO5]]&lt;=0,données_step[[#This Row],[E_DBO5]]=""),"",données_step[[#This Row],[D_QTRAI]]*données_step[[#This Row],[E_DBO5]]/1000)</f>
        <v/>
      </c>
      <c r="E111" s="523" t="str">
        <f>IF(OR(données_step[[#This Row],[E_DCO]]&lt;=0,données_step[[#This Row],[E_DCO]]=""),"",données_step[[#This Row],[D_QTRAI]]*données_step[[#This Row],[E_DCO]]/1000)</f>
        <v/>
      </c>
      <c r="F111" s="523" t="str">
        <f>IF(OR(données_step[[#This Row],[E_COT]]&lt;=0,données_step[[#This Row],[E_COT]]=""),"",données_step[[#This Row],[D_QTRAI]]*données_step[[#This Row],[E_COT]]/1000)</f>
        <v/>
      </c>
      <c r="G111" s="523" t="str">
        <f>IF(OR(données_step[[#This Row],[E_NH4]]&lt;=0,données_step[[#This Row],[E_NH4]]=""),"",données_step[[#This Row],[D_QTRAI]]*données_step[[#This Row],[E_NH4]]/1000)</f>
        <v/>
      </c>
      <c r="H111" s="523" t="str">
        <f>IF(OR(données_step[[#This Row],[E_NTOT]]&lt;=0,données_step[[#This Row],[E_NTOT]]=""),"",données_step[[#This Row],[D_QTRAI]]*données_step[[#This Row],[E_NTOT]]/1000)</f>
        <v/>
      </c>
      <c r="I111" s="523" t="str">
        <f>IF(OR(données_step[[#This Row],[E_NTOT]]&lt;=0,données_step[[#This Row],[E_NTOT]]=""),"",données_step[[#This Row],[D_QTRAI]]*données_step[[#This Row],[E_PTOT]]/1000)</f>
        <v/>
      </c>
      <c r="J111" s="523" t="str">
        <f>IF(OR(données_step[[#This Row],[S_DBO5]]&lt;=0,données_step[[#This Row],[S_DBO5]]=""),"",données_step[[#This Row],[D_QTRAI]]*données_step[[#This Row],[S_DBO5]]/1000)</f>
        <v/>
      </c>
      <c r="K111" s="523" t="str">
        <f>IF(OR(données_step[[#This Row],[S_DCO]]&lt;=0,données_step[[#This Row],[S_DCO]]=""),"",données_step[[#This Row],[D_QTRAI]]*données_step[[#This Row],[S_DCO]]/1000)</f>
        <v/>
      </c>
      <c r="L111" s="523" t="str">
        <f>IF(OR(données_step[[#This Row],[S_COD]]&lt;=0,données_step[[#This Row],[S_COD]]=""),"",données_step[[#This Row],[D_QTRAI]]*données_step[[#This Row],[S_COD]]/1000)</f>
        <v/>
      </c>
      <c r="M111" s="523" t="str">
        <f>IF(OR(données_step[[#This Row],[S_NH4]]&lt;=0,données_step[[#This Row],[S_NH4]]=""),"",données_step[[#This Row],[D_QTRAI]]*données_step[[#This Row],[S_NH4]]/1000)</f>
        <v/>
      </c>
      <c r="N111" s="523" t="str">
        <f>IF(OR(données_step[[#This Row],[S_NO2]]&lt;=0,données_step[[#This Row],[S_NO2]]=""),"",données_step[[#This Row],[D_QTRAI]]*données_step[[#This Row],[S_NO2]]/1000)</f>
        <v/>
      </c>
      <c r="O111" s="523" t="str">
        <f>IF(OR(données_step[[#This Row],[S_NO3]]&lt;=0,données_step[[#This Row],[S_NO3]]=""),"",données_step[[#This Row],[D_QTRAI]]*données_step[[#This Row],[S_NO3]]/1000)</f>
        <v/>
      </c>
      <c r="P111" s="523" t="str">
        <f>IF(OR(données_step[[#This Row],[S_PTOT]]&lt;=0,données_step[[#This Row],[S_PTOT]]=""),"",données_step[[#This Row],[D_QTRAI]]*données_step[[#This Row],[S_PTOT]]/1000)</f>
        <v/>
      </c>
      <c r="Q111" s="523" t="str">
        <f>IF(OR(données_step[[#This Row],[S_MES]]&lt;=0,données_step[[#This Row],[S_MES]]=""),"",données_step[[#This Row],[D_QTRAI]]*données_step[[#This Row],[S_MES]]/1000)</f>
        <v/>
      </c>
      <c r="R111" s="523">
        <f>MAX(données_step[[#This Row],[D_QTRAI]],données_step[[#This Row],[D_QTRAI2]])</f>
        <v>0</v>
      </c>
      <c r="S111" s="523" t="str">
        <f>IF(AND($R111&gt;0,données_step[[#This Row],[E_DCO]]&gt;0),données_step[[#This Row],[E_DCO]],"")</f>
        <v/>
      </c>
      <c r="T111" s="523" t="str">
        <f>IF(S111="","",(1-données_step[[#This Row],[E_DCO]]/$V$7)*100)</f>
        <v/>
      </c>
      <c r="U111" s="523" t="str">
        <f t="shared" si="18"/>
        <v/>
      </c>
      <c r="V111" s="523" t="str">
        <f t="shared" si="19"/>
        <v/>
      </c>
      <c r="W111" s="523" t="str">
        <f t="shared" si="20"/>
        <v/>
      </c>
      <c r="X111" s="523" t="e">
        <f>IF(((100-100/$V$7*données_step[[#This Row],[E_DCO]])/100*QTS)&lt;0,NA(),IF(OR(U111&lt;0,U111=""),NA(),((100-100/$V$7*données_step[[#This Row],[E_DCO]])/100*QTS)))</f>
        <v>#NUM!</v>
      </c>
      <c r="Y111" s="523" t="str">
        <f>IF(AND($R111&gt;0,données_step[[#This Row],[E_COT]]&gt;0),données_step[[#This Row],[E_COT]],"")</f>
        <v/>
      </c>
      <c r="Z111" s="523" t="str">
        <f>IF(Y111="","",(1-données_step[[#This Row],[E_COT]]/$AB$7)*100)</f>
        <v/>
      </c>
      <c r="AA111" s="523" t="str">
        <f t="shared" si="21"/>
        <v/>
      </c>
      <c r="AB111" s="523" t="str">
        <f t="shared" si="22"/>
        <v/>
      </c>
      <c r="AC111" s="523" t="str">
        <f t="shared" si="23"/>
        <v/>
      </c>
      <c r="AD111" s="523" t="e">
        <f>IF(((100-100/$AB$7*données_step[[#This Row],[E_COT]])/100*QTS)&lt;0,NA(),IF(OR(AA111&lt;0,AA111=""),NA(),((100-100/$AB$7*données_step[[#This Row],[E_COT]])/100*QTS)))</f>
        <v>#NUM!</v>
      </c>
      <c r="AE111" s="523" t="str">
        <f>IF(AND($R111&gt;0,données_step[[#This Row],[E_NH4]]&gt;0),données_step[[#This Row],[E_NH4]],"")</f>
        <v/>
      </c>
      <c r="AF111" s="523" t="str">
        <f>IF(AE111="","",(1-données_step[[#This Row],[E_NH4]]/$AH$7)*100)</f>
        <v/>
      </c>
      <c r="AG111" s="523" t="str">
        <f t="shared" si="24"/>
        <v/>
      </c>
      <c r="AH111" s="523" t="str">
        <f t="shared" si="25"/>
        <v/>
      </c>
      <c r="AI111" s="523" t="str">
        <f t="shared" si="26"/>
        <v/>
      </c>
      <c r="AJ111" s="523" t="e">
        <f>IF(((100-100/$AH$7*données_step[[#This Row],[E_NH4]])/100*QTS)&lt;0,NA(),IF(OR(AG111&lt;0,AG111=""),NA(),((100-100/$AH$7*données_step[[#This Row],[E_NH4]])/100*QTS)))</f>
        <v>#NUM!</v>
      </c>
      <c r="AK111" s="523" t="str">
        <f>IF(AND($R111&gt;0,données_step[[#This Row],[E_PTOT]]&gt;0),données_step[[#This Row],[E_PTOT]],"")</f>
        <v/>
      </c>
      <c r="AL111" s="523" t="str">
        <f>IF(AK111="","",(1-données_step[[#This Row],[E_PTOT]]/$AN$7)*100)</f>
        <v/>
      </c>
      <c r="AM111" s="523" t="str">
        <f t="shared" si="27"/>
        <v/>
      </c>
      <c r="AN111" s="523" t="str">
        <f t="shared" si="28"/>
        <v/>
      </c>
      <c r="AO111" s="523" t="str">
        <f t="shared" si="29"/>
        <v/>
      </c>
      <c r="AP111" s="523" t="e">
        <f>IF(((100-100/$AN$7*données_step[[#This Row],[E_PTOT]])/100*QTS)&lt;0,NA(),IF(OR(AM111&lt;0,AM111=""),NA(),((100-100/$AN$7*données_step[[#This Row],[E_PTOT]])/100*QTS)))</f>
        <v>#NUM!</v>
      </c>
      <c r="AQ111" s="524" t="e">
        <f t="shared" si="30"/>
        <v>#NUM!</v>
      </c>
      <c r="AR111" s="524" t="str">
        <f t="shared" si="31"/>
        <v/>
      </c>
      <c r="AT111" s="517">
        <f>AU111/100</f>
        <v>1</v>
      </c>
      <c r="AU111" s="501">
        <f t="shared" si="33"/>
        <v>100</v>
      </c>
      <c r="AV111" s="525" t="e">
        <f>PERCENTILE(analyses!$F$11:$F$375,$AT111)</f>
        <v>#NUM!</v>
      </c>
      <c r="AW111" s="7" t="e">
        <f>PERCENTILE(analyses!$I$11:$I$375,$AT111)</f>
        <v>#NUM!</v>
      </c>
      <c r="AX111" s="7" t="e">
        <f>PERCENTILE(analyses!$J$11:$J$375,$AT111)</f>
        <v>#NUM!</v>
      </c>
      <c r="AY111" s="523" t="str">
        <f>_xlfn.IFNA(IF(données_step[[#This Row],[E_DCO]]&lt;=0,NA(),charge_entree[[#This Row],[ch_E_DCO]]/constanten!$B$8*1000),"")</f>
        <v/>
      </c>
      <c r="AZ111" s="523" t="str">
        <f>_xlfn.IFNA(IF(données_step[[#This Row],[E_NTOT]]&lt;=0,NA(),charge_entree[[#This Row],[ch_E_NTOT]]/constanten!$B$10*1000),"")</f>
        <v/>
      </c>
      <c r="BA111" s="523" t="str">
        <f>_xlfn.IFNA(IF(données_step[[#This Row],[E_NH4]]&lt;=0,NA(),charge_entree[[#This Row],[ch_E_NH4]]/constanten!$B$12*1000),"")</f>
        <v/>
      </c>
      <c r="BB111" s="523" t="str">
        <f>_xlfn.IFNA(IF(données_step[[#This Row],[E_COT]]&lt;=0,NA(),charge_entree[[#This Row],[ch_E_COT]]/constanten!$B$9*1000),"")</f>
        <v/>
      </c>
      <c r="BC111" s="523" t="str">
        <f>IFERROR(_xlfn.IFNA(IF(données_step[[#This Row],[E_PTOT]]&lt;=0,NA(),charge_entree[[#This Row],[ch_E_PTOT]]/constanten!$B$15*1000),""),"")</f>
        <v/>
      </c>
      <c r="BD111" s="535" t="e">
        <f>calculs!E111 * (1-0.4) / (données_step[[#This Row],[X_BA_VOL]]*données_step[[#This Row],[X_BACONC]])</f>
        <v>#VALUE!</v>
      </c>
      <c r="BE111" s="522" t="e">
        <f>(données_step[[#This Row],[X_BA_VOL]]*données_step[[#This Row],[X_BACONC]])/((données_step[[#This Row],[D_QTRAI2]]*données_step[[#This Row],[S_MES]]/1000)+(données_step[[#This Row],[X_BX_Q]]*données_step[[#This Row],[X_BXCONC]]))</f>
        <v>#VALUE!</v>
      </c>
      <c r="BF111" s="890" t="str">
        <f>IFERROR(données_step[[#This Row],[D_QTRAI]]/AY111*1000,"")</f>
        <v/>
      </c>
      <c r="BG111" s="535" t="str">
        <f>IFERROR(1-données_step[[#This Row],[S_DBO5]]/données_step[[#This Row],[E_DBO5]],"")</f>
        <v/>
      </c>
      <c r="BH111" s="536" t="str">
        <f>IFERROR(1-données_step[[#This Row],[S_DCO]]/données_step[[#This Row],[E_DCO]],"")</f>
        <v/>
      </c>
      <c r="BI111" s="535" t="str">
        <f>IFERROR(1-données_step[[#This Row],[S_COD]]/données_step[[#This Row],[E_COT]],"")</f>
        <v/>
      </c>
      <c r="BJ111" s="535" t="str">
        <f>IFERROR(1-données_step[[#This Row],[S_NH4]]/données_step[[#This Row],[E_NTOT]],"")</f>
        <v/>
      </c>
      <c r="BK111" s="535" t="str">
        <f>IFERROR(1-données_step[[#This Row],[S_PTOT]]/données_step[[#This Row],[E_PTOT]],"")</f>
        <v/>
      </c>
      <c r="BL111" s="521" t="str">
        <f>IFERROR(IF(données_step[[#This Row],[E_DCO]]/données_step[[#This Row],[E_DBO5]]=0,NA(),données_step[[#This Row],[E_DCO]]/données_step[[#This Row],[E_DBO5]]),"")</f>
        <v/>
      </c>
      <c r="BM111" s="521" t="str">
        <f>IFERROR(IF(données_step[[#This Row],[E_NH4]]/données_step[[#This Row],[E_NTOT]]=0,NA(),données_step[[#This Row],[E_NH4]]/données_step[[#This Row],[E_NTOT]]),"")</f>
        <v/>
      </c>
      <c r="BN111" s="521" t="str">
        <f>IFERROR(IF(données_step[[#This Row],[E_NTOT]]/données_step[[#This Row],[E_COT]]=0,NA(),données_step[[#This Row],[E_NTOT]]/données_step[[#This Row],[E_COT]]),"")</f>
        <v/>
      </c>
      <c r="BO111" s="521" t="str">
        <f>IFERROR(IF(données_step[[#This Row],[E_PTOT]]/données_step[[#This Row],[E_COT]]=0,NA(),données_step[[#This Row],[E_PTOT]]/données_step[[#This Row],[E_COT]]),"")</f>
        <v/>
      </c>
      <c r="BP111" s="521" t="e">
        <f>IF(données_step[[#This Row],[E_DCO]]/données_step[[#This Row],[E_COT]]=0,NA(),données_step[[#This Row],[E_DCO]]/données_step[[#This Row],[E_COT]])</f>
        <v>#DIV/0!</v>
      </c>
      <c r="BQ111" s="521" t="e">
        <f>IF(données_step[[#This Row],[E_NTOT]]/données_step[[#This Row],[E_DCO]]=0,NA(),données_step[[#This Row],[E_NTOT]]/données_step[[#This Row],[E_DCO]])</f>
        <v>#DIV/0!</v>
      </c>
      <c r="BR111" s="521" t="e">
        <f>IF(données_step[[#This Row],[E_PTOT]]/données_step[[#This Row],[E_DCO]]=0,NA(),données_step[[#This Row],[E_PTOT]]/données_step[[#This Row],[E_DCO]])</f>
        <v>#DIV/0!</v>
      </c>
      <c r="BS111" s="747" t="e">
        <f ca="1">test_NH4_temp(données_step[[#This Row],[S_NH4]],données_step[[#This Row],[Temp_eaux]])</f>
        <v>#NAME?</v>
      </c>
    </row>
    <row r="112" spans="1:71" x14ac:dyDescent="0.2">
      <c r="A112" s="222">
        <f>données_step[[#This Row],[Datum]]</f>
        <v>44663</v>
      </c>
      <c r="B112" s="223"/>
      <c r="C112" s="224">
        <f t="shared" si="34"/>
        <v>3</v>
      </c>
      <c r="D112" s="523" t="str">
        <f>IF(OR(données_step[[#This Row],[E_DBO5]]&lt;=0,données_step[[#This Row],[E_DBO5]]=""),"",données_step[[#This Row],[D_QTRAI]]*données_step[[#This Row],[E_DBO5]]/1000)</f>
        <v/>
      </c>
      <c r="E112" s="523" t="str">
        <f>IF(OR(données_step[[#This Row],[E_DCO]]&lt;=0,données_step[[#This Row],[E_DCO]]=""),"",données_step[[#This Row],[D_QTRAI]]*données_step[[#This Row],[E_DCO]]/1000)</f>
        <v/>
      </c>
      <c r="F112" s="523" t="str">
        <f>IF(OR(données_step[[#This Row],[E_COT]]&lt;=0,données_step[[#This Row],[E_COT]]=""),"",données_step[[#This Row],[D_QTRAI]]*données_step[[#This Row],[E_COT]]/1000)</f>
        <v/>
      </c>
      <c r="G112" s="523" t="str">
        <f>IF(OR(données_step[[#This Row],[E_NH4]]&lt;=0,données_step[[#This Row],[E_NH4]]=""),"",données_step[[#This Row],[D_QTRAI]]*données_step[[#This Row],[E_NH4]]/1000)</f>
        <v/>
      </c>
      <c r="H112" s="523" t="str">
        <f>IF(OR(données_step[[#This Row],[E_NTOT]]&lt;=0,données_step[[#This Row],[E_NTOT]]=""),"",données_step[[#This Row],[D_QTRAI]]*données_step[[#This Row],[E_NTOT]]/1000)</f>
        <v/>
      </c>
      <c r="I112" s="523" t="str">
        <f>IF(OR(données_step[[#This Row],[E_NTOT]]&lt;=0,données_step[[#This Row],[E_NTOT]]=""),"",données_step[[#This Row],[D_QTRAI]]*données_step[[#This Row],[E_PTOT]]/1000)</f>
        <v/>
      </c>
      <c r="J112" s="523" t="str">
        <f>IF(OR(données_step[[#This Row],[S_DBO5]]&lt;=0,données_step[[#This Row],[S_DBO5]]=""),"",données_step[[#This Row],[D_QTRAI]]*données_step[[#This Row],[S_DBO5]]/1000)</f>
        <v/>
      </c>
      <c r="K112" s="523" t="str">
        <f>IF(OR(données_step[[#This Row],[S_DCO]]&lt;=0,données_step[[#This Row],[S_DCO]]=""),"",données_step[[#This Row],[D_QTRAI]]*données_step[[#This Row],[S_DCO]]/1000)</f>
        <v/>
      </c>
      <c r="L112" s="523" t="str">
        <f>IF(OR(données_step[[#This Row],[S_COD]]&lt;=0,données_step[[#This Row],[S_COD]]=""),"",données_step[[#This Row],[D_QTRAI]]*données_step[[#This Row],[S_COD]]/1000)</f>
        <v/>
      </c>
      <c r="M112" s="523" t="str">
        <f>IF(OR(données_step[[#This Row],[S_NH4]]&lt;=0,données_step[[#This Row],[S_NH4]]=""),"",données_step[[#This Row],[D_QTRAI]]*données_step[[#This Row],[S_NH4]]/1000)</f>
        <v/>
      </c>
      <c r="N112" s="523" t="str">
        <f>IF(OR(données_step[[#This Row],[S_NO2]]&lt;=0,données_step[[#This Row],[S_NO2]]=""),"",données_step[[#This Row],[D_QTRAI]]*données_step[[#This Row],[S_NO2]]/1000)</f>
        <v/>
      </c>
      <c r="O112" s="523" t="str">
        <f>IF(OR(données_step[[#This Row],[S_NO3]]&lt;=0,données_step[[#This Row],[S_NO3]]=""),"",données_step[[#This Row],[D_QTRAI]]*données_step[[#This Row],[S_NO3]]/1000)</f>
        <v/>
      </c>
      <c r="P112" s="523" t="str">
        <f>IF(OR(données_step[[#This Row],[S_PTOT]]&lt;=0,données_step[[#This Row],[S_PTOT]]=""),"",données_step[[#This Row],[D_QTRAI]]*données_step[[#This Row],[S_PTOT]]/1000)</f>
        <v/>
      </c>
      <c r="Q112" s="523" t="str">
        <f>IF(OR(données_step[[#This Row],[S_MES]]&lt;=0,données_step[[#This Row],[S_MES]]=""),"",données_step[[#This Row],[D_QTRAI]]*données_step[[#This Row],[S_MES]]/1000)</f>
        <v/>
      </c>
      <c r="R112" s="523">
        <f>MAX(données_step[[#This Row],[D_QTRAI]],données_step[[#This Row],[D_QTRAI2]])</f>
        <v>0</v>
      </c>
      <c r="S112" s="523" t="str">
        <f>IF(AND($R112&gt;0,données_step[[#This Row],[E_DCO]]&gt;0),données_step[[#This Row],[E_DCO]],"")</f>
        <v/>
      </c>
      <c r="T112" s="523" t="str">
        <f>IF(S112="","",(1-données_step[[#This Row],[E_DCO]]/$V$7)*100)</f>
        <v/>
      </c>
      <c r="U112" s="523" t="str">
        <f t="shared" si="18"/>
        <v/>
      </c>
      <c r="V112" s="523" t="str">
        <f t="shared" si="19"/>
        <v/>
      </c>
      <c r="W112" s="523" t="str">
        <f t="shared" si="20"/>
        <v/>
      </c>
      <c r="X112" s="523" t="e">
        <f>IF(((100-100/$V$7*données_step[[#This Row],[E_DCO]])/100*QTS)&lt;0,NA(),IF(OR(U112&lt;0,U112=""),NA(),((100-100/$V$7*données_step[[#This Row],[E_DCO]])/100*QTS)))</f>
        <v>#NUM!</v>
      </c>
      <c r="Y112" s="523" t="str">
        <f>IF(AND($R112&gt;0,données_step[[#This Row],[E_COT]]&gt;0),données_step[[#This Row],[E_COT]],"")</f>
        <v/>
      </c>
      <c r="Z112" s="523" t="str">
        <f>IF(Y112="","",(1-données_step[[#This Row],[E_COT]]/$AB$7)*100)</f>
        <v/>
      </c>
      <c r="AA112" s="523" t="str">
        <f t="shared" si="21"/>
        <v/>
      </c>
      <c r="AB112" s="523" t="str">
        <f t="shared" si="22"/>
        <v/>
      </c>
      <c r="AC112" s="523" t="str">
        <f t="shared" si="23"/>
        <v/>
      </c>
      <c r="AD112" s="523" t="e">
        <f>IF(((100-100/$AB$7*données_step[[#This Row],[E_COT]])/100*QTS)&lt;0,NA(),IF(OR(AA112&lt;0,AA112=""),NA(),((100-100/$AB$7*données_step[[#This Row],[E_COT]])/100*QTS)))</f>
        <v>#NUM!</v>
      </c>
      <c r="AE112" s="523" t="str">
        <f>IF(AND($R112&gt;0,données_step[[#This Row],[E_NH4]]&gt;0),données_step[[#This Row],[E_NH4]],"")</f>
        <v/>
      </c>
      <c r="AF112" s="523" t="str">
        <f>IF(AE112="","",(1-données_step[[#This Row],[E_NH4]]/$AH$7)*100)</f>
        <v/>
      </c>
      <c r="AG112" s="523" t="str">
        <f t="shared" si="24"/>
        <v/>
      </c>
      <c r="AH112" s="523" t="str">
        <f t="shared" si="25"/>
        <v/>
      </c>
      <c r="AI112" s="523" t="str">
        <f t="shared" si="26"/>
        <v/>
      </c>
      <c r="AJ112" s="523" t="e">
        <f>IF(((100-100/$AH$7*données_step[[#This Row],[E_NH4]])/100*QTS)&lt;0,NA(),IF(OR(AG112&lt;0,AG112=""),NA(),((100-100/$AH$7*données_step[[#This Row],[E_NH4]])/100*QTS)))</f>
        <v>#NUM!</v>
      </c>
      <c r="AK112" s="523" t="str">
        <f>IF(AND($R112&gt;0,données_step[[#This Row],[E_PTOT]]&gt;0),données_step[[#This Row],[E_PTOT]],"")</f>
        <v/>
      </c>
      <c r="AL112" s="523" t="str">
        <f>IF(AK112="","",(1-données_step[[#This Row],[E_PTOT]]/$AN$7)*100)</f>
        <v/>
      </c>
      <c r="AM112" s="523" t="str">
        <f t="shared" si="27"/>
        <v/>
      </c>
      <c r="AN112" s="523" t="str">
        <f t="shared" si="28"/>
        <v/>
      </c>
      <c r="AO112" s="523" t="str">
        <f t="shared" si="29"/>
        <v/>
      </c>
      <c r="AP112" s="523" t="e">
        <f>IF(((100-100/$AN$7*données_step[[#This Row],[E_PTOT]])/100*QTS)&lt;0,NA(),IF(OR(AM112&lt;0,AM112=""),NA(),((100-100/$AN$7*données_step[[#This Row],[E_PTOT]])/100*QTS)))</f>
        <v>#NUM!</v>
      </c>
      <c r="AQ112" s="524" t="e">
        <f t="shared" si="30"/>
        <v>#NUM!</v>
      </c>
      <c r="AR112" s="524" t="str">
        <f t="shared" si="31"/>
        <v/>
      </c>
      <c r="AY112" s="523" t="str">
        <f>_xlfn.IFNA(IF(données_step[[#This Row],[E_DCO]]&lt;=0,NA(),charge_entree[[#This Row],[ch_E_DCO]]/constanten!$B$8*1000),"")</f>
        <v/>
      </c>
      <c r="AZ112" s="523" t="str">
        <f>_xlfn.IFNA(IF(données_step[[#This Row],[E_NTOT]]&lt;=0,NA(),charge_entree[[#This Row],[ch_E_NTOT]]/constanten!$B$10*1000),"")</f>
        <v/>
      </c>
      <c r="BA112" s="523" t="str">
        <f>_xlfn.IFNA(IF(données_step[[#This Row],[E_NH4]]&lt;=0,NA(),charge_entree[[#This Row],[ch_E_NH4]]/constanten!$B$12*1000),"")</f>
        <v/>
      </c>
      <c r="BB112" s="523" t="str">
        <f>_xlfn.IFNA(IF(données_step[[#This Row],[E_COT]]&lt;=0,NA(),charge_entree[[#This Row],[ch_E_COT]]/constanten!$B$9*1000),"")</f>
        <v/>
      </c>
      <c r="BC112" s="523" t="str">
        <f>IFERROR(_xlfn.IFNA(IF(données_step[[#This Row],[E_PTOT]]&lt;=0,NA(),charge_entree[[#This Row],[ch_E_PTOT]]/constanten!$B$15*1000),""),"")</f>
        <v/>
      </c>
      <c r="BD112" s="535" t="e">
        <f>calculs!E112 * (1-0.4) / (données_step[[#This Row],[X_BA_VOL]]*données_step[[#This Row],[X_BACONC]])</f>
        <v>#VALUE!</v>
      </c>
      <c r="BE112" s="522" t="e">
        <f>(données_step[[#This Row],[X_BA_VOL]]*données_step[[#This Row],[X_BACONC]])/((données_step[[#This Row],[D_QTRAI2]]*données_step[[#This Row],[S_MES]]/1000)+(données_step[[#This Row],[X_BX_Q]]*données_step[[#This Row],[X_BXCONC]]))</f>
        <v>#VALUE!</v>
      </c>
      <c r="BF112" s="890" t="str">
        <f>IFERROR(données_step[[#This Row],[D_QTRAI]]/AY112*1000,"")</f>
        <v/>
      </c>
      <c r="BG112" s="535" t="str">
        <f>IFERROR(1-données_step[[#This Row],[S_DBO5]]/données_step[[#This Row],[E_DBO5]],"")</f>
        <v/>
      </c>
      <c r="BH112" s="536" t="str">
        <f>IFERROR(1-données_step[[#This Row],[S_DCO]]/données_step[[#This Row],[E_DCO]],"")</f>
        <v/>
      </c>
      <c r="BI112" s="535" t="str">
        <f>IFERROR(1-données_step[[#This Row],[S_COD]]/données_step[[#This Row],[E_COT]],"")</f>
        <v/>
      </c>
      <c r="BJ112" s="535" t="str">
        <f>IFERROR(1-données_step[[#This Row],[S_NH4]]/données_step[[#This Row],[E_NTOT]],"")</f>
        <v/>
      </c>
      <c r="BK112" s="535" t="str">
        <f>IFERROR(1-données_step[[#This Row],[S_PTOT]]/données_step[[#This Row],[E_PTOT]],"")</f>
        <v/>
      </c>
      <c r="BL112" s="521" t="str">
        <f>IFERROR(IF(données_step[[#This Row],[E_DCO]]/données_step[[#This Row],[E_DBO5]]=0,NA(),données_step[[#This Row],[E_DCO]]/données_step[[#This Row],[E_DBO5]]),"")</f>
        <v/>
      </c>
      <c r="BM112" s="521" t="str">
        <f>IFERROR(IF(données_step[[#This Row],[E_NH4]]/données_step[[#This Row],[E_NTOT]]=0,NA(),données_step[[#This Row],[E_NH4]]/données_step[[#This Row],[E_NTOT]]),"")</f>
        <v/>
      </c>
      <c r="BN112" s="521" t="str">
        <f>IFERROR(IF(données_step[[#This Row],[E_NTOT]]/données_step[[#This Row],[E_COT]]=0,NA(),données_step[[#This Row],[E_NTOT]]/données_step[[#This Row],[E_COT]]),"")</f>
        <v/>
      </c>
      <c r="BO112" s="521" t="str">
        <f>IFERROR(IF(données_step[[#This Row],[E_PTOT]]/données_step[[#This Row],[E_COT]]=0,NA(),données_step[[#This Row],[E_PTOT]]/données_step[[#This Row],[E_COT]]),"")</f>
        <v/>
      </c>
      <c r="BP112" s="521" t="e">
        <f>IF(données_step[[#This Row],[E_DCO]]/données_step[[#This Row],[E_COT]]=0,NA(),données_step[[#This Row],[E_DCO]]/données_step[[#This Row],[E_COT]])</f>
        <v>#DIV/0!</v>
      </c>
      <c r="BQ112" s="521" t="e">
        <f>IF(données_step[[#This Row],[E_NTOT]]/données_step[[#This Row],[E_DCO]]=0,NA(),données_step[[#This Row],[E_NTOT]]/données_step[[#This Row],[E_DCO]])</f>
        <v>#DIV/0!</v>
      </c>
      <c r="BR112" s="521" t="e">
        <f>IF(données_step[[#This Row],[E_PTOT]]/données_step[[#This Row],[E_DCO]]=0,NA(),données_step[[#This Row],[E_PTOT]]/données_step[[#This Row],[E_DCO]])</f>
        <v>#DIV/0!</v>
      </c>
      <c r="BS112" s="747" t="e">
        <f ca="1">test_NH4_temp(données_step[[#This Row],[S_NH4]],données_step[[#This Row],[Temp_eaux]])</f>
        <v>#NAME?</v>
      </c>
    </row>
    <row r="113" spans="1:71" x14ac:dyDescent="0.2">
      <c r="A113" s="222">
        <f>données_step[[#This Row],[Datum]]</f>
        <v>44664</v>
      </c>
      <c r="B113" s="223"/>
      <c r="C113" s="224">
        <f t="shared" si="34"/>
        <v>4</v>
      </c>
      <c r="D113" s="523" t="str">
        <f>IF(OR(données_step[[#This Row],[E_DBO5]]&lt;=0,données_step[[#This Row],[E_DBO5]]=""),"",données_step[[#This Row],[D_QTRAI]]*données_step[[#This Row],[E_DBO5]]/1000)</f>
        <v/>
      </c>
      <c r="E113" s="523" t="str">
        <f>IF(OR(données_step[[#This Row],[E_DCO]]&lt;=0,données_step[[#This Row],[E_DCO]]=""),"",données_step[[#This Row],[D_QTRAI]]*données_step[[#This Row],[E_DCO]]/1000)</f>
        <v/>
      </c>
      <c r="F113" s="523" t="str">
        <f>IF(OR(données_step[[#This Row],[E_COT]]&lt;=0,données_step[[#This Row],[E_COT]]=""),"",données_step[[#This Row],[D_QTRAI]]*données_step[[#This Row],[E_COT]]/1000)</f>
        <v/>
      </c>
      <c r="G113" s="523" t="str">
        <f>IF(OR(données_step[[#This Row],[E_NH4]]&lt;=0,données_step[[#This Row],[E_NH4]]=""),"",données_step[[#This Row],[D_QTRAI]]*données_step[[#This Row],[E_NH4]]/1000)</f>
        <v/>
      </c>
      <c r="H113" s="523" t="str">
        <f>IF(OR(données_step[[#This Row],[E_NTOT]]&lt;=0,données_step[[#This Row],[E_NTOT]]=""),"",données_step[[#This Row],[D_QTRAI]]*données_step[[#This Row],[E_NTOT]]/1000)</f>
        <v/>
      </c>
      <c r="I113" s="523" t="str">
        <f>IF(OR(données_step[[#This Row],[E_NTOT]]&lt;=0,données_step[[#This Row],[E_NTOT]]=""),"",données_step[[#This Row],[D_QTRAI]]*données_step[[#This Row],[E_PTOT]]/1000)</f>
        <v/>
      </c>
      <c r="J113" s="523" t="str">
        <f>IF(OR(données_step[[#This Row],[S_DBO5]]&lt;=0,données_step[[#This Row],[S_DBO5]]=""),"",données_step[[#This Row],[D_QTRAI]]*données_step[[#This Row],[S_DBO5]]/1000)</f>
        <v/>
      </c>
      <c r="K113" s="523" t="str">
        <f>IF(OR(données_step[[#This Row],[S_DCO]]&lt;=0,données_step[[#This Row],[S_DCO]]=""),"",données_step[[#This Row],[D_QTRAI]]*données_step[[#This Row],[S_DCO]]/1000)</f>
        <v/>
      </c>
      <c r="L113" s="523" t="str">
        <f>IF(OR(données_step[[#This Row],[S_COD]]&lt;=0,données_step[[#This Row],[S_COD]]=""),"",données_step[[#This Row],[D_QTRAI]]*données_step[[#This Row],[S_COD]]/1000)</f>
        <v/>
      </c>
      <c r="M113" s="523" t="str">
        <f>IF(OR(données_step[[#This Row],[S_NH4]]&lt;=0,données_step[[#This Row],[S_NH4]]=""),"",données_step[[#This Row],[D_QTRAI]]*données_step[[#This Row],[S_NH4]]/1000)</f>
        <v/>
      </c>
      <c r="N113" s="523" t="str">
        <f>IF(OR(données_step[[#This Row],[S_NO2]]&lt;=0,données_step[[#This Row],[S_NO2]]=""),"",données_step[[#This Row],[D_QTRAI]]*données_step[[#This Row],[S_NO2]]/1000)</f>
        <v/>
      </c>
      <c r="O113" s="523" t="str">
        <f>IF(OR(données_step[[#This Row],[S_NO3]]&lt;=0,données_step[[#This Row],[S_NO3]]=""),"",données_step[[#This Row],[D_QTRAI]]*données_step[[#This Row],[S_NO3]]/1000)</f>
        <v/>
      </c>
      <c r="P113" s="523" t="str">
        <f>IF(OR(données_step[[#This Row],[S_PTOT]]&lt;=0,données_step[[#This Row],[S_PTOT]]=""),"",données_step[[#This Row],[D_QTRAI]]*données_step[[#This Row],[S_PTOT]]/1000)</f>
        <v/>
      </c>
      <c r="Q113" s="523" t="str">
        <f>IF(OR(données_step[[#This Row],[S_MES]]&lt;=0,données_step[[#This Row],[S_MES]]=""),"",données_step[[#This Row],[D_QTRAI]]*données_step[[#This Row],[S_MES]]/1000)</f>
        <v/>
      </c>
      <c r="R113" s="523">
        <f>MAX(données_step[[#This Row],[D_QTRAI]],données_step[[#This Row],[D_QTRAI2]])</f>
        <v>0</v>
      </c>
      <c r="S113" s="523" t="str">
        <f>IF(AND($R113&gt;0,données_step[[#This Row],[E_DCO]]&gt;0),données_step[[#This Row],[E_DCO]],"")</f>
        <v/>
      </c>
      <c r="T113" s="523" t="str">
        <f>IF(S113="","",(1-données_step[[#This Row],[E_DCO]]/$V$7)*100)</f>
        <v/>
      </c>
      <c r="U113" s="523" t="str">
        <f t="shared" si="18"/>
        <v/>
      </c>
      <c r="V113" s="523" t="str">
        <f t="shared" si="19"/>
        <v/>
      </c>
      <c r="W113" s="523" t="str">
        <f t="shared" si="20"/>
        <v/>
      </c>
      <c r="X113" s="523" t="e">
        <f>IF(((100-100/$V$7*données_step[[#This Row],[E_DCO]])/100*QTS)&lt;0,NA(),IF(OR(U113&lt;0,U113=""),NA(),((100-100/$V$7*données_step[[#This Row],[E_DCO]])/100*QTS)))</f>
        <v>#NUM!</v>
      </c>
      <c r="Y113" s="523" t="str">
        <f>IF(AND($R113&gt;0,données_step[[#This Row],[E_COT]]&gt;0),données_step[[#This Row],[E_COT]],"")</f>
        <v/>
      </c>
      <c r="Z113" s="523" t="str">
        <f>IF(Y113="","",(1-données_step[[#This Row],[E_COT]]/$AB$7)*100)</f>
        <v/>
      </c>
      <c r="AA113" s="523" t="str">
        <f t="shared" si="21"/>
        <v/>
      </c>
      <c r="AB113" s="523" t="str">
        <f t="shared" si="22"/>
        <v/>
      </c>
      <c r="AC113" s="523" t="str">
        <f t="shared" si="23"/>
        <v/>
      </c>
      <c r="AD113" s="523" t="e">
        <f>IF(((100-100/$AB$7*données_step[[#This Row],[E_COT]])/100*QTS)&lt;0,NA(),IF(OR(AA113&lt;0,AA113=""),NA(),((100-100/$AB$7*données_step[[#This Row],[E_COT]])/100*QTS)))</f>
        <v>#NUM!</v>
      </c>
      <c r="AE113" s="523" t="str">
        <f>IF(AND($R113&gt;0,données_step[[#This Row],[E_NH4]]&gt;0),données_step[[#This Row],[E_NH4]],"")</f>
        <v/>
      </c>
      <c r="AF113" s="523" t="str">
        <f>IF(AE113="","",(1-données_step[[#This Row],[E_NH4]]/$AH$7)*100)</f>
        <v/>
      </c>
      <c r="AG113" s="523" t="str">
        <f t="shared" si="24"/>
        <v/>
      </c>
      <c r="AH113" s="523" t="str">
        <f t="shared" si="25"/>
        <v/>
      </c>
      <c r="AI113" s="523" t="str">
        <f t="shared" si="26"/>
        <v/>
      </c>
      <c r="AJ113" s="523" t="e">
        <f>IF(((100-100/$AH$7*données_step[[#This Row],[E_NH4]])/100*QTS)&lt;0,NA(),IF(OR(AG113&lt;0,AG113=""),NA(),((100-100/$AH$7*données_step[[#This Row],[E_NH4]])/100*QTS)))</f>
        <v>#NUM!</v>
      </c>
      <c r="AK113" s="523" t="str">
        <f>IF(AND($R113&gt;0,données_step[[#This Row],[E_PTOT]]&gt;0),données_step[[#This Row],[E_PTOT]],"")</f>
        <v/>
      </c>
      <c r="AL113" s="523" t="str">
        <f>IF(AK113="","",(1-données_step[[#This Row],[E_PTOT]]/$AN$7)*100)</f>
        <v/>
      </c>
      <c r="AM113" s="523" t="str">
        <f t="shared" si="27"/>
        <v/>
      </c>
      <c r="AN113" s="523" t="str">
        <f t="shared" si="28"/>
        <v/>
      </c>
      <c r="AO113" s="523" t="str">
        <f t="shared" si="29"/>
        <v/>
      </c>
      <c r="AP113" s="523" t="e">
        <f>IF(((100-100/$AN$7*données_step[[#This Row],[E_PTOT]])/100*QTS)&lt;0,NA(),IF(OR(AM113&lt;0,AM113=""),NA(),((100-100/$AN$7*données_step[[#This Row],[E_PTOT]])/100*QTS)))</f>
        <v>#NUM!</v>
      </c>
      <c r="AQ113" s="524" t="e">
        <f t="shared" si="30"/>
        <v>#NUM!</v>
      </c>
      <c r="AR113" s="524" t="str">
        <f t="shared" si="31"/>
        <v/>
      </c>
      <c r="AY113" s="523" t="str">
        <f>_xlfn.IFNA(IF(données_step[[#This Row],[E_DCO]]&lt;=0,NA(),charge_entree[[#This Row],[ch_E_DCO]]/constanten!$B$8*1000),"")</f>
        <v/>
      </c>
      <c r="AZ113" s="523" t="str">
        <f>_xlfn.IFNA(IF(données_step[[#This Row],[E_NTOT]]&lt;=0,NA(),charge_entree[[#This Row],[ch_E_NTOT]]/constanten!$B$10*1000),"")</f>
        <v/>
      </c>
      <c r="BA113" s="523" t="str">
        <f>_xlfn.IFNA(IF(données_step[[#This Row],[E_NH4]]&lt;=0,NA(),charge_entree[[#This Row],[ch_E_NH4]]/constanten!$B$12*1000),"")</f>
        <v/>
      </c>
      <c r="BB113" s="523" t="str">
        <f>_xlfn.IFNA(IF(données_step[[#This Row],[E_COT]]&lt;=0,NA(),charge_entree[[#This Row],[ch_E_COT]]/constanten!$B$9*1000),"")</f>
        <v/>
      </c>
      <c r="BC113" s="523" t="str">
        <f>IFERROR(_xlfn.IFNA(IF(données_step[[#This Row],[E_PTOT]]&lt;=0,NA(),charge_entree[[#This Row],[ch_E_PTOT]]/constanten!$B$15*1000),""),"")</f>
        <v/>
      </c>
      <c r="BD113" s="535" t="e">
        <f>calculs!E113 * (1-0.4) / (données_step[[#This Row],[X_BA_VOL]]*données_step[[#This Row],[X_BACONC]])</f>
        <v>#VALUE!</v>
      </c>
      <c r="BE113" s="522" t="e">
        <f>(données_step[[#This Row],[X_BA_VOL]]*données_step[[#This Row],[X_BACONC]])/((données_step[[#This Row],[D_QTRAI2]]*données_step[[#This Row],[S_MES]]/1000)+(données_step[[#This Row],[X_BX_Q]]*données_step[[#This Row],[X_BXCONC]]))</f>
        <v>#VALUE!</v>
      </c>
      <c r="BF113" s="890" t="str">
        <f>IFERROR(données_step[[#This Row],[D_QTRAI]]/AY113*1000,"")</f>
        <v/>
      </c>
      <c r="BG113" s="535" t="str">
        <f>IFERROR(1-données_step[[#This Row],[S_DBO5]]/données_step[[#This Row],[E_DBO5]],"")</f>
        <v/>
      </c>
      <c r="BH113" s="536" t="str">
        <f>IFERROR(1-données_step[[#This Row],[S_DCO]]/données_step[[#This Row],[E_DCO]],"")</f>
        <v/>
      </c>
      <c r="BI113" s="535" t="str">
        <f>IFERROR(1-données_step[[#This Row],[S_COD]]/données_step[[#This Row],[E_COT]],"")</f>
        <v/>
      </c>
      <c r="BJ113" s="535" t="str">
        <f>IFERROR(1-données_step[[#This Row],[S_NH4]]/données_step[[#This Row],[E_NTOT]],"")</f>
        <v/>
      </c>
      <c r="BK113" s="535" t="str">
        <f>IFERROR(1-données_step[[#This Row],[S_PTOT]]/données_step[[#This Row],[E_PTOT]],"")</f>
        <v/>
      </c>
      <c r="BL113" s="521" t="str">
        <f>IFERROR(IF(données_step[[#This Row],[E_DCO]]/données_step[[#This Row],[E_DBO5]]=0,NA(),données_step[[#This Row],[E_DCO]]/données_step[[#This Row],[E_DBO5]]),"")</f>
        <v/>
      </c>
      <c r="BM113" s="521" t="str">
        <f>IFERROR(IF(données_step[[#This Row],[E_NH4]]/données_step[[#This Row],[E_NTOT]]=0,NA(),données_step[[#This Row],[E_NH4]]/données_step[[#This Row],[E_NTOT]]),"")</f>
        <v/>
      </c>
      <c r="BN113" s="521" t="str">
        <f>IFERROR(IF(données_step[[#This Row],[E_NTOT]]/données_step[[#This Row],[E_COT]]=0,NA(),données_step[[#This Row],[E_NTOT]]/données_step[[#This Row],[E_COT]]),"")</f>
        <v/>
      </c>
      <c r="BO113" s="521" t="str">
        <f>IFERROR(IF(données_step[[#This Row],[E_PTOT]]/données_step[[#This Row],[E_COT]]=0,NA(),données_step[[#This Row],[E_PTOT]]/données_step[[#This Row],[E_COT]]),"")</f>
        <v/>
      </c>
      <c r="BP113" s="521" t="e">
        <f>IF(données_step[[#This Row],[E_DCO]]/données_step[[#This Row],[E_COT]]=0,NA(),données_step[[#This Row],[E_DCO]]/données_step[[#This Row],[E_COT]])</f>
        <v>#DIV/0!</v>
      </c>
      <c r="BQ113" s="521" t="e">
        <f>IF(données_step[[#This Row],[E_NTOT]]/données_step[[#This Row],[E_DCO]]=0,NA(),données_step[[#This Row],[E_NTOT]]/données_step[[#This Row],[E_DCO]])</f>
        <v>#DIV/0!</v>
      </c>
      <c r="BR113" s="521" t="e">
        <f>IF(données_step[[#This Row],[E_PTOT]]/données_step[[#This Row],[E_DCO]]=0,NA(),données_step[[#This Row],[E_PTOT]]/données_step[[#This Row],[E_DCO]])</f>
        <v>#DIV/0!</v>
      </c>
      <c r="BS113" s="747" t="e">
        <f ca="1">test_NH4_temp(données_step[[#This Row],[S_NH4]],données_step[[#This Row],[Temp_eaux]])</f>
        <v>#NAME?</v>
      </c>
    </row>
    <row r="114" spans="1:71" x14ac:dyDescent="0.2">
      <c r="A114" s="222">
        <f>données_step[[#This Row],[Datum]]</f>
        <v>44665</v>
      </c>
      <c r="B114" s="223"/>
      <c r="C114" s="224">
        <f t="shared" si="34"/>
        <v>5</v>
      </c>
      <c r="D114" s="523" t="str">
        <f>IF(OR(données_step[[#This Row],[E_DBO5]]&lt;=0,données_step[[#This Row],[E_DBO5]]=""),"",données_step[[#This Row],[D_QTRAI]]*données_step[[#This Row],[E_DBO5]]/1000)</f>
        <v/>
      </c>
      <c r="E114" s="523" t="str">
        <f>IF(OR(données_step[[#This Row],[E_DCO]]&lt;=0,données_step[[#This Row],[E_DCO]]=""),"",données_step[[#This Row],[D_QTRAI]]*données_step[[#This Row],[E_DCO]]/1000)</f>
        <v/>
      </c>
      <c r="F114" s="523" t="str">
        <f>IF(OR(données_step[[#This Row],[E_COT]]&lt;=0,données_step[[#This Row],[E_COT]]=""),"",données_step[[#This Row],[D_QTRAI]]*données_step[[#This Row],[E_COT]]/1000)</f>
        <v/>
      </c>
      <c r="G114" s="523" t="str">
        <f>IF(OR(données_step[[#This Row],[E_NH4]]&lt;=0,données_step[[#This Row],[E_NH4]]=""),"",données_step[[#This Row],[D_QTRAI]]*données_step[[#This Row],[E_NH4]]/1000)</f>
        <v/>
      </c>
      <c r="H114" s="523" t="str">
        <f>IF(OR(données_step[[#This Row],[E_NTOT]]&lt;=0,données_step[[#This Row],[E_NTOT]]=""),"",données_step[[#This Row],[D_QTRAI]]*données_step[[#This Row],[E_NTOT]]/1000)</f>
        <v/>
      </c>
      <c r="I114" s="523" t="str">
        <f>IF(OR(données_step[[#This Row],[E_NTOT]]&lt;=0,données_step[[#This Row],[E_NTOT]]=""),"",données_step[[#This Row],[D_QTRAI]]*données_step[[#This Row],[E_PTOT]]/1000)</f>
        <v/>
      </c>
      <c r="J114" s="523" t="str">
        <f>IF(OR(données_step[[#This Row],[S_DBO5]]&lt;=0,données_step[[#This Row],[S_DBO5]]=""),"",données_step[[#This Row],[D_QTRAI]]*données_step[[#This Row],[S_DBO5]]/1000)</f>
        <v/>
      </c>
      <c r="K114" s="523" t="str">
        <f>IF(OR(données_step[[#This Row],[S_DCO]]&lt;=0,données_step[[#This Row],[S_DCO]]=""),"",données_step[[#This Row],[D_QTRAI]]*données_step[[#This Row],[S_DCO]]/1000)</f>
        <v/>
      </c>
      <c r="L114" s="523" t="str">
        <f>IF(OR(données_step[[#This Row],[S_COD]]&lt;=0,données_step[[#This Row],[S_COD]]=""),"",données_step[[#This Row],[D_QTRAI]]*données_step[[#This Row],[S_COD]]/1000)</f>
        <v/>
      </c>
      <c r="M114" s="523" t="str">
        <f>IF(OR(données_step[[#This Row],[S_NH4]]&lt;=0,données_step[[#This Row],[S_NH4]]=""),"",données_step[[#This Row],[D_QTRAI]]*données_step[[#This Row],[S_NH4]]/1000)</f>
        <v/>
      </c>
      <c r="N114" s="523" t="str">
        <f>IF(OR(données_step[[#This Row],[S_NO2]]&lt;=0,données_step[[#This Row],[S_NO2]]=""),"",données_step[[#This Row],[D_QTRAI]]*données_step[[#This Row],[S_NO2]]/1000)</f>
        <v/>
      </c>
      <c r="O114" s="523" t="str">
        <f>IF(OR(données_step[[#This Row],[S_NO3]]&lt;=0,données_step[[#This Row],[S_NO3]]=""),"",données_step[[#This Row],[D_QTRAI]]*données_step[[#This Row],[S_NO3]]/1000)</f>
        <v/>
      </c>
      <c r="P114" s="523" t="str">
        <f>IF(OR(données_step[[#This Row],[S_PTOT]]&lt;=0,données_step[[#This Row],[S_PTOT]]=""),"",données_step[[#This Row],[D_QTRAI]]*données_step[[#This Row],[S_PTOT]]/1000)</f>
        <v/>
      </c>
      <c r="Q114" s="523" t="str">
        <f>IF(OR(données_step[[#This Row],[S_MES]]&lt;=0,données_step[[#This Row],[S_MES]]=""),"",données_step[[#This Row],[D_QTRAI]]*données_step[[#This Row],[S_MES]]/1000)</f>
        <v/>
      </c>
      <c r="R114" s="523">
        <f>MAX(données_step[[#This Row],[D_QTRAI]],données_step[[#This Row],[D_QTRAI2]])</f>
        <v>0</v>
      </c>
      <c r="S114" s="523" t="str">
        <f>IF(AND($R114&gt;0,données_step[[#This Row],[E_DCO]]&gt;0),données_step[[#This Row],[E_DCO]],"")</f>
        <v/>
      </c>
      <c r="T114" s="523" t="str">
        <f>IF(S114="","",(1-données_step[[#This Row],[E_DCO]]/$V$7)*100)</f>
        <v/>
      </c>
      <c r="U114" s="523" t="str">
        <f t="shared" si="18"/>
        <v/>
      </c>
      <c r="V114" s="523" t="str">
        <f t="shared" si="19"/>
        <v/>
      </c>
      <c r="W114" s="523" t="str">
        <f t="shared" si="20"/>
        <v/>
      </c>
      <c r="X114" s="523" t="e">
        <f>IF(((100-100/$V$7*données_step[[#This Row],[E_DCO]])/100*QTS)&lt;0,NA(),IF(OR(U114&lt;0,U114=""),NA(),((100-100/$V$7*données_step[[#This Row],[E_DCO]])/100*QTS)))</f>
        <v>#NUM!</v>
      </c>
      <c r="Y114" s="523" t="str">
        <f>IF(AND($R114&gt;0,données_step[[#This Row],[E_COT]]&gt;0),données_step[[#This Row],[E_COT]],"")</f>
        <v/>
      </c>
      <c r="Z114" s="523" t="str">
        <f>IF(Y114="","",(1-données_step[[#This Row],[E_COT]]/$AB$7)*100)</f>
        <v/>
      </c>
      <c r="AA114" s="523" t="str">
        <f t="shared" si="21"/>
        <v/>
      </c>
      <c r="AB114" s="523" t="str">
        <f t="shared" si="22"/>
        <v/>
      </c>
      <c r="AC114" s="523" t="str">
        <f t="shared" si="23"/>
        <v/>
      </c>
      <c r="AD114" s="523" t="e">
        <f>IF(((100-100/$AB$7*données_step[[#This Row],[E_COT]])/100*QTS)&lt;0,NA(),IF(OR(AA114&lt;0,AA114=""),NA(),((100-100/$AB$7*données_step[[#This Row],[E_COT]])/100*QTS)))</f>
        <v>#NUM!</v>
      </c>
      <c r="AE114" s="523" t="str">
        <f>IF(AND($R114&gt;0,données_step[[#This Row],[E_NH4]]&gt;0),données_step[[#This Row],[E_NH4]],"")</f>
        <v/>
      </c>
      <c r="AF114" s="523" t="str">
        <f>IF(AE114="","",(1-données_step[[#This Row],[E_NH4]]/$AH$7)*100)</f>
        <v/>
      </c>
      <c r="AG114" s="523" t="str">
        <f t="shared" si="24"/>
        <v/>
      </c>
      <c r="AH114" s="523" t="str">
        <f t="shared" si="25"/>
        <v/>
      </c>
      <c r="AI114" s="523" t="str">
        <f t="shared" si="26"/>
        <v/>
      </c>
      <c r="AJ114" s="523" t="e">
        <f>IF(((100-100/$AH$7*données_step[[#This Row],[E_NH4]])/100*QTS)&lt;0,NA(),IF(OR(AG114&lt;0,AG114=""),NA(),((100-100/$AH$7*données_step[[#This Row],[E_NH4]])/100*QTS)))</f>
        <v>#NUM!</v>
      </c>
      <c r="AK114" s="523" t="str">
        <f>IF(AND($R114&gt;0,données_step[[#This Row],[E_PTOT]]&gt;0),données_step[[#This Row],[E_PTOT]],"")</f>
        <v/>
      </c>
      <c r="AL114" s="523" t="str">
        <f>IF(AK114="","",(1-données_step[[#This Row],[E_PTOT]]/$AN$7)*100)</f>
        <v/>
      </c>
      <c r="AM114" s="523" t="str">
        <f t="shared" si="27"/>
        <v/>
      </c>
      <c r="AN114" s="523" t="str">
        <f t="shared" si="28"/>
        <v/>
      </c>
      <c r="AO114" s="523" t="str">
        <f t="shared" si="29"/>
        <v/>
      </c>
      <c r="AP114" s="523" t="e">
        <f>IF(((100-100/$AN$7*données_step[[#This Row],[E_PTOT]])/100*QTS)&lt;0,NA(),IF(OR(AM114&lt;0,AM114=""),NA(),((100-100/$AN$7*données_step[[#This Row],[E_PTOT]])/100*QTS)))</f>
        <v>#NUM!</v>
      </c>
      <c r="AQ114" s="524" t="e">
        <f t="shared" si="30"/>
        <v>#NUM!</v>
      </c>
      <c r="AR114" s="524" t="str">
        <f t="shared" si="31"/>
        <v/>
      </c>
      <c r="AY114" s="523" t="str">
        <f>_xlfn.IFNA(IF(données_step[[#This Row],[E_DCO]]&lt;=0,NA(),charge_entree[[#This Row],[ch_E_DCO]]/constanten!$B$8*1000),"")</f>
        <v/>
      </c>
      <c r="AZ114" s="523" t="str">
        <f>_xlfn.IFNA(IF(données_step[[#This Row],[E_NTOT]]&lt;=0,NA(),charge_entree[[#This Row],[ch_E_NTOT]]/constanten!$B$10*1000),"")</f>
        <v/>
      </c>
      <c r="BA114" s="523" t="str">
        <f>_xlfn.IFNA(IF(données_step[[#This Row],[E_NH4]]&lt;=0,NA(),charge_entree[[#This Row],[ch_E_NH4]]/constanten!$B$12*1000),"")</f>
        <v/>
      </c>
      <c r="BB114" s="523" t="str">
        <f>_xlfn.IFNA(IF(données_step[[#This Row],[E_COT]]&lt;=0,NA(),charge_entree[[#This Row],[ch_E_COT]]/constanten!$B$9*1000),"")</f>
        <v/>
      </c>
      <c r="BC114" s="523" t="str">
        <f>IFERROR(_xlfn.IFNA(IF(données_step[[#This Row],[E_PTOT]]&lt;=0,NA(),charge_entree[[#This Row],[ch_E_PTOT]]/constanten!$B$15*1000),""),"")</f>
        <v/>
      </c>
      <c r="BD114" s="535" t="e">
        <f>calculs!E114 * (1-0.4) / (données_step[[#This Row],[X_BA_VOL]]*données_step[[#This Row],[X_BACONC]])</f>
        <v>#VALUE!</v>
      </c>
      <c r="BE114" s="522" t="e">
        <f>(données_step[[#This Row],[X_BA_VOL]]*données_step[[#This Row],[X_BACONC]])/((données_step[[#This Row],[D_QTRAI2]]*données_step[[#This Row],[S_MES]]/1000)+(données_step[[#This Row],[X_BX_Q]]*données_step[[#This Row],[X_BXCONC]]))</f>
        <v>#VALUE!</v>
      </c>
      <c r="BF114" s="890" t="str">
        <f>IFERROR(données_step[[#This Row],[D_QTRAI]]/AY114*1000,"")</f>
        <v/>
      </c>
      <c r="BG114" s="535" t="str">
        <f>IFERROR(1-données_step[[#This Row],[S_DBO5]]/données_step[[#This Row],[E_DBO5]],"")</f>
        <v/>
      </c>
      <c r="BH114" s="536" t="str">
        <f>IFERROR(1-données_step[[#This Row],[S_DCO]]/données_step[[#This Row],[E_DCO]],"")</f>
        <v/>
      </c>
      <c r="BI114" s="535" t="str">
        <f>IFERROR(1-données_step[[#This Row],[S_COD]]/données_step[[#This Row],[E_COT]],"")</f>
        <v/>
      </c>
      <c r="BJ114" s="535" t="str">
        <f>IFERROR(1-données_step[[#This Row],[S_NH4]]/données_step[[#This Row],[E_NTOT]],"")</f>
        <v/>
      </c>
      <c r="BK114" s="535" t="str">
        <f>IFERROR(1-données_step[[#This Row],[S_PTOT]]/données_step[[#This Row],[E_PTOT]],"")</f>
        <v/>
      </c>
      <c r="BL114" s="521" t="str">
        <f>IFERROR(IF(données_step[[#This Row],[E_DCO]]/données_step[[#This Row],[E_DBO5]]=0,NA(),données_step[[#This Row],[E_DCO]]/données_step[[#This Row],[E_DBO5]]),"")</f>
        <v/>
      </c>
      <c r="BM114" s="521" t="str">
        <f>IFERROR(IF(données_step[[#This Row],[E_NH4]]/données_step[[#This Row],[E_NTOT]]=0,NA(),données_step[[#This Row],[E_NH4]]/données_step[[#This Row],[E_NTOT]]),"")</f>
        <v/>
      </c>
      <c r="BN114" s="521" t="str">
        <f>IFERROR(IF(données_step[[#This Row],[E_NTOT]]/données_step[[#This Row],[E_COT]]=0,NA(),données_step[[#This Row],[E_NTOT]]/données_step[[#This Row],[E_COT]]),"")</f>
        <v/>
      </c>
      <c r="BO114" s="521" t="str">
        <f>IFERROR(IF(données_step[[#This Row],[E_PTOT]]/données_step[[#This Row],[E_COT]]=0,NA(),données_step[[#This Row],[E_PTOT]]/données_step[[#This Row],[E_COT]]),"")</f>
        <v/>
      </c>
      <c r="BP114" s="521" t="e">
        <f>IF(données_step[[#This Row],[E_DCO]]/données_step[[#This Row],[E_COT]]=0,NA(),données_step[[#This Row],[E_DCO]]/données_step[[#This Row],[E_COT]])</f>
        <v>#DIV/0!</v>
      </c>
      <c r="BQ114" s="521" t="e">
        <f>IF(données_step[[#This Row],[E_NTOT]]/données_step[[#This Row],[E_DCO]]=0,NA(),données_step[[#This Row],[E_NTOT]]/données_step[[#This Row],[E_DCO]])</f>
        <v>#DIV/0!</v>
      </c>
      <c r="BR114" s="521" t="e">
        <f>IF(données_step[[#This Row],[E_PTOT]]/données_step[[#This Row],[E_DCO]]=0,NA(),données_step[[#This Row],[E_PTOT]]/données_step[[#This Row],[E_DCO]])</f>
        <v>#DIV/0!</v>
      </c>
      <c r="BS114" s="747" t="e">
        <f ca="1">test_NH4_temp(données_step[[#This Row],[S_NH4]],données_step[[#This Row],[Temp_eaux]])</f>
        <v>#NAME?</v>
      </c>
    </row>
    <row r="115" spans="1:71" x14ac:dyDescent="0.2">
      <c r="A115" s="222">
        <f>données_step[[#This Row],[Datum]]</f>
        <v>44666</v>
      </c>
      <c r="B115" s="223"/>
      <c r="C115" s="224">
        <f t="shared" si="34"/>
        <v>6</v>
      </c>
      <c r="D115" s="523" t="str">
        <f>IF(OR(données_step[[#This Row],[E_DBO5]]&lt;=0,données_step[[#This Row],[E_DBO5]]=""),"",données_step[[#This Row],[D_QTRAI]]*données_step[[#This Row],[E_DBO5]]/1000)</f>
        <v/>
      </c>
      <c r="E115" s="523" t="str">
        <f>IF(OR(données_step[[#This Row],[E_DCO]]&lt;=0,données_step[[#This Row],[E_DCO]]=""),"",données_step[[#This Row],[D_QTRAI]]*données_step[[#This Row],[E_DCO]]/1000)</f>
        <v/>
      </c>
      <c r="F115" s="523" t="str">
        <f>IF(OR(données_step[[#This Row],[E_COT]]&lt;=0,données_step[[#This Row],[E_COT]]=""),"",données_step[[#This Row],[D_QTRAI]]*données_step[[#This Row],[E_COT]]/1000)</f>
        <v/>
      </c>
      <c r="G115" s="523" t="str">
        <f>IF(OR(données_step[[#This Row],[E_NH4]]&lt;=0,données_step[[#This Row],[E_NH4]]=""),"",données_step[[#This Row],[D_QTRAI]]*données_step[[#This Row],[E_NH4]]/1000)</f>
        <v/>
      </c>
      <c r="H115" s="523" t="str">
        <f>IF(OR(données_step[[#This Row],[E_NTOT]]&lt;=0,données_step[[#This Row],[E_NTOT]]=""),"",données_step[[#This Row],[D_QTRAI]]*données_step[[#This Row],[E_NTOT]]/1000)</f>
        <v/>
      </c>
      <c r="I115" s="523" t="str">
        <f>IF(OR(données_step[[#This Row],[E_NTOT]]&lt;=0,données_step[[#This Row],[E_NTOT]]=""),"",données_step[[#This Row],[D_QTRAI]]*données_step[[#This Row],[E_PTOT]]/1000)</f>
        <v/>
      </c>
      <c r="J115" s="523" t="str">
        <f>IF(OR(données_step[[#This Row],[S_DBO5]]&lt;=0,données_step[[#This Row],[S_DBO5]]=""),"",données_step[[#This Row],[D_QTRAI]]*données_step[[#This Row],[S_DBO5]]/1000)</f>
        <v/>
      </c>
      <c r="K115" s="523" t="str">
        <f>IF(OR(données_step[[#This Row],[S_DCO]]&lt;=0,données_step[[#This Row],[S_DCO]]=""),"",données_step[[#This Row],[D_QTRAI]]*données_step[[#This Row],[S_DCO]]/1000)</f>
        <v/>
      </c>
      <c r="L115" s="523" t="str">
        <f>IF(OR(données_step[[#This Row],[S_COD]]&lt;=0,données_step[[#This Row],[S_COD]]=""),"",données_step[[#This Row],[D_QTRAI]]*données_step[[#This Row],[S_COD]]/1000)</f>
        <v/>
      </c>
      <c r="M115" s="523" t="str">
        <f>IF(OR(données_step[[#This Row],[S_NH4]]&lt;=0,données_step[[#This Row],[S_NH4]]=""),"",données_step[[#This Row],[D_QTRAI]]*données_step[[#This Row],[S_NH4]]/1000)</f>
        <v/>
      </c>
      <c r="N115" s="523" t="str">
        <f>IF(OR(données_step[[#This Row],[S_NO2]]&lt;=0,données_step[[#This Row],[S_NO2]]=""),"",données_step[[#This Row],[D_QTRAI]]*données_step[[#This Row],[S_NO2]]/1000)</f>
        <v/>
      </c>
      <c r="O115" s="523" t="str">
        <f>IF(OR(données_step[[#This Row],[S_NO3]]&lt;=0,données_step[[#This Row],[S_NO3]]=""),"",données_step[[#This Row],[D_QTRAI]]*données_step[[#This Row],[S_NO3]]/1000)</f>
        <v/>
      </c>
      <c r="P115" s="523" t="str">
        <f>IF(OR(données_step[[#This Row],[S_PTOT]]&lt;=0,données_step[[#This Row],[S_PTOT]]=""),"",données_step[[#This Row],[D_QTRAI]]*données_step[[#This Row],[S_PTOT]]/1000)</f>
        <v/>
      </c>
      <c r="Q115" s="523" t="str">
        <f>IF(OR(données_step[[#This Row],[S_MES]]&lt;=0,données_step[[#This Row],[S_MES]]=""),"",données_step[[#This Row],[D_QTRAI]]*données_step[[#This Row],[S_MES]]/1000)</f>
        <v/>
      </c>
      <c r="R115" s="523">
        <f>MAX(données_step[[#This Row],[D_QTRAI]],données_step[[#This Row],[D_QTRAI2]])</f>
        <v>0</v>
      </c>
      <c r="S115" s="523" t="str">
        <f>IF(AND($R115&gt;0,données_step[[#This Row],[E_DCO]]&gt;0),données_step[[#This Row],[E_DCO]],"")</f>
        <v/>
      </c>
      <c r="T115" s="523" t="str">
        <f>IF(S115="","",(1-données_step[[#This Row],[E_DCO]]/$V$7)*100)</f>
        <v/>
      </c>
      <c r="U115" s="523" t="str">
        <f t="shared" si="18"/>
        <v/>
      </c>
      <c r="V115" s="523" t="str">
        <f t="shared" si="19"/>
        <v/>
      </c>
      <c r="W115" s="523" t="str">
        <f t="shared" si="20"/>
        <v/>
      </c>
      <c r="X115" s="523" t="e">
        <f>IF(((100-100/$V$7*données_step[[#This Row],[E_DCO]])/100*QTS)&lt;0,NA(),IF(OR(U115&lt;0,U115=""),NA(),((100-100/$V$7*données_step[[#This Row],[E_DCO]])/100*QTS)))</f>
        <v>#NUM!</v>
      </c>
      <c r="Y115" s="523" t="str">
        <f>IF(AND($R115&gt;0,données_step[[#This Row],[E_COT]]&gt;0),données_step[[#This Row],[E_COT]],"")</f>
        <v/>
      </c>
      <c r="Z115" s="523" t="str">
        <f>IF(Y115="","",(1-données_step[[#This Row],[E_COT]]/$AB$7)*100)</f>
        <v/>
      </c>
      <c r="AA115" s="523" t="str">
        <f t="shared" si="21"/>
        <v/>
      </c>
      <c r="AB115" s="523" t="str">
        <f t="shared" si="22"/>
        <v/>
      </c>
      <c r="AC115" s="523" t="str">
        <f t="shared" si="23"/>
        <v/>
      </c>
      <c r="AD115" s="523" t="e">
        <f>IF(((100-100/$AB$7*données_step[[#This Row],[E_COT]])/100*QTS)&lt;0,NA(),IF(OR(AA115&lt;0,AA115=""),NA(),((100-100/$AB$7*données_step[[#This Row],[E_COT]])/100*QTS)))</f>
        <v>#NUM!</v>
      </c>
      <c r="AE115" s="523" t="str">
        <f>IF(AND($R115&gt;0,données_step[[#This Row],[E_NH4]]&gt;0),données_step[[#This Row],[E_NH4]],"")</f>
        <v/>
      </c>
      <c r="AF115" s="523" t="str">
        <f>IF(AE115="","",(1-données_step[[#This Row],[E_NH4]]/$AH$7)*100)</f>
        <v/>
      </c>
      <c r="AG115" s="523" t="str">
        <f t="shared" si="24"/>
        <v/>
      </c>
      <c r="AH115" s="523" t="str">
        <f t="shared" si="25"/>
        <v/>
      </c>
      <c r="AI115" s="523" t="str">
        <f t="shared" si="26"/>
        <v/>
      </c>
      <c r="AJ115" s="523" t="e">
        <f>IF(((100-100/$AH$7*données_step[[#This Row],[E_NH4]])/100*QTS)&lt;0,NA(),IF(OR(AG115&lt;0,AG115=""),NA(),((100-100/$AH$7*données_step[[#This Row],[E_NH4]])/100*QTS)))</f>
        <v>#NUM!</v>
      </c>
      <c r="AK115" s="523" t="str">
        <f>IF(AND($R115&gt;0,données_step[[#This Row],[E_PTOT]]&gt;0),données_step[[#This Row],[E_PTOT]],"")</f>
        <v/>
      </c>
      <c r="AL115" s="523" t="str">
        <f>IF(AK115="","",(1-données_step[[#This Row],[E_PTOT]]/$AN$7)*100)</f>
        <v/>
      </c>
      <c r="AM115" s="523" t="str">
        <f t="shared" si="27"/>
        <v/>
      </c>
      <c r="AN115" s="523" t="str">
        <f t="shared" si="28"/>
        <v/>
      </c>
      <c r="AO115" s="523" t="str">
        <f t="shared" si="29"/>
        <v/>
      </c>
      <c r="AP115" s="523" t="e">
        <f>IF(((100-100/$AN$7*données_step[[#This Row],[E_PTOT]])/100*QTS)&lt;0,NA(),IF(OR(AM115&lt;0,AM115=""),NA(),((100-100/$AN$7*données_step[[#This Row],[E_PTOT]])/100*QTS)))</f>
        <v>#NUM!</v>
      </c>
      <c r="AQ115" s="524" t="e">
        <f t="shared" si="30"/>
        <v>#NUM!</v>
      </c>
      <c r="AR115" s="524" t="str">
        <f t="shared" si="31"/>
        <v/>
      </c>
      <c r="AY115" s="523" t="str">
        <f>_xlfn.IFNA(IF(données_step[[#This Row],[E_DCO]]&lt;=0,NA(),charge_entree[[#This Row],[ch_E_DCO]]/constanten!$B$8*1000),"")</f>
        <v/>
      </c>
      <c r="AZ115" s="523" t="str">
        <f>_xlfn.IFNA(IF(données_step[[#This Row],[E_NTOT]]&lt;=0,NA(),charge_entree[[#This Row],[ch_E_NTOT]]/constanten!$B$10*1000),"")</f>
        <v/>
      </c>
      <c r="BA115" s="523" t="str">
        <f>_xlfn.IFNA(IF(données_step[[#This Row],[E_NH4]]&lt;=0,NA(),charge_entree[[#This Row],[ch_E_NH4]]/constanten!$B$12*1000),"")</f>
        <v/>
      </c>
      <c r="BB115" s="523" t="str">
        <f>_xlfn.IFNA(IF(données_step[[#This Row],[E_COT]]&lt;=0,NA(),charge_entree[[#This Row],[ch_E_COT]]/constanten!$B$9*1000),"")</f>
        <v/>
      </c>
      <c r="BC115" s="523" t="str">
        <f>IFERROR(_xlfn.IFNA(IF(données_step[[#This Row],[E_PTOT]]&lt;=0,NA(),charge_entree[[#This Row],[ch_E_PTOT]]/constanten!$B$15*1000),""),"")</f>
        <v/>
      </c>
      <c r="BD115" s="535" t="e">
        <f>calculs!E115 * (1-0.4) / (données_step[[#This Row],[X_BA_VOL]]*données_step[[#This Row],[X_BACONC]])</f>
        <v>#VALUE!</v>
      </c>
      <c r="BE115" s="522" t="e">
        <f>(données_step[[#This Row],[X_BA_VOL]]*données_step[[#This Row],[X_BACONC]])/((données_step[[#This Row],[D_QTRAI2]]*données_step[[#This Row],[S_MES]]/1000)+(données_step[[#This Row],[X_BX_Q]]*données_step[[#This Row],[X_BXCONC]]))</f>
        <v>#VALUE!</v>
      </c>
      <c r="BF115" s="890" t="str">
        <f>IFERROR(données_step[[#This Row],[D_QTRAI]]/AY115*1000,"")</f>
        <v/>
      </c>
      <c r="BG115" s="535" t="str">
        <f>IFERROR(1-données_step[[#This Row],[S_DBO5]]/données_step[[#This Row],[E_DBO5]],"")</f>
        <v/>
      </c>
      <c r="BH115" s="536" t="str">
        <f>IFERROR(1-données_step[[#This Row],[S_DCO]]/données_step[[#This Row],[E_DCO]],"")</f>
        <v/>
      </c>
      <c r="BI115" s="535" t="str">
        <f>IFERROR(1-données_step[[#This Row],[S_COD]]/données_step[[#This Row],[E_COT]],"")</f>
        <v/>
      </c>
      <c r="BJ115" s="535" t="str">
        <f>IFERROR(1-données_step[[#This Row],[S_NH4]]/données_step[[#This Row],[E_NTOT]],"")</f>
        <v/>
      </c>
      <c r="BK115" s="535" t="str">
        <f>IFERROR(1-données_step[[#This Row],[S_PTOT]]/données_step[[#This Row],[E_PTOT]],"")</f>
        <v/>
      </c>
      <c r="BL115" s="521" t="str">
        <f>IFERROR(IF(données_step[[#This Row],[E_DCO]]/données_step[[#This Row],[E_DBO5]]=0,NA(),données_step[[#This Row],[E_DCO]]/données_step[[#This Row],[E_DBO5]]),"")</f>
        <v/>
      </c>
      <c r="BM115" s="521" t="str">
        <f>IFERROR(IF(données_step[[#This Row],[E_NH4]]/données_step[[#This Row],[E_NTOT]]=0,NA(),données_step[[#This Row],[E_NH4]]/données_step[[#This Row],[E_NTOT]]),"")</f>
        <v/>
      </c>
      <c r="BN115" s="521" t="str">
        <f>IFERROR(IF(données_step[[#This Row],[E_NTOT]]/données_step[[#This Row],[E_COT]]=0,NA(),données_step[[#This Row],[E_NTOT]]/données_step[[#This Row],[E_COT]]),"")</f>
        <v/>
      </c>
      <c r="BO115" s="521" t="str">
        <f>IFERROR(IF(données_step[[#This Row],[E_PTOT]]/données_step[[#This Row],[E_COT]]=0,NA(),données_step[[#This Row],[E_PTOT]]/données_step[[#This Row],[E_COT]]),"")</f>
        <v/>
      </c>
      <c r="BP115" s="521" t="e">
        <f>IF(données_step[[#This Row],[E_DCO]]/données_step[[#This Row],[E_COT]]=0,NA(),données_step[[#This Row],[E_DCO]]/données_step[[#This Row],[E_COT]])</f>
        <v>#DIV/0!</v>
      </c>
      <c r="BQ115" s="521" t="e">
        <f>IF(données_step[[#This Row],[E_NTOT]]/données_step[[#This Row],[E_DCO]]=0,NA(),données_step[[#This Row],[E_NTOT]]/données_step[[#This Row],[E_DCO]])</f>
        <v>#DIV/0!</v>
      </c>
      <c r="BR115" s="521" t="e">
        <f>IF(données_step[[#This Row],[E_PTOT]]/données_step[[#This Row],[E_DCO]]=0,NA(),données_step[[#This Row],[E_PTOT]]/données_step[[#This Row],[E_DCO]])</f>
        <v>#DIV/0!</v>
      </c>
      <c r="BS115" s="747" t="e">
        <f ca="1">test_NH4_temp(données_step[[#This Row],[S_NH4]],données_step[[#This Row],[Temp_eaux]])</f>
        <v>#NAME?</v>
      </c>
    </row>
    <row r="116" spans="1:71" x14ac:dyDescent="0.2">
      <c r="A116" s="222">
        <f>données_step[[#This Row],[Datum]]</f>
        <v>44667</v>
      </c>
      <c r="B116" s="223"/>
      <c r="C116" s="224">
        <f t="shared" si="34"/>
        <v>7</v>
      </c>
      <c r="D116" s="523" t="str">
        <f>IF(OR(données_step[[#This Row],[E_DBO5]]&lt;=0,données_step[[#This Row],[E_DBO5]]=""),"",données_step[[#This Row],[D_QTRAI]]*données_step[[#This Row],[E_DBO5]]/1000)</f>
        <v/>
      </c>
      <c r="E116" s="523" t="str">
        <f>IF(OR(données_step[[#This Row],[E_DCO]]&lt;=0,données_step[[#This Row],[E_DCO]]=""),"",données_step[[#This Row],[D_QTRAI]]*données_step[[#This Row],[E_DCO]]/1000)</f>
        <v/>
      </c>
      <c r="F116" s="523" t="str">
        <f>IF(OR(données_step[[#This Row],[E_COT]]&lt;=0,données_step[[#This Row],[E_COT]]=""),"",données_step[[#This Row],[D_QTRAI]]*données_step[[#This Row],[E_COT]]/1000)</f>
        <v/>
      </c>
      <c r="G116" s="523" t="str">
        <f>IF(OR(données_step[[#This Row],[E_NH4]]&lt;=0,données_step[[#This Row],[E_NH4]]=""),"",données_step[[#This Row],[D_QTRAI]]*données_step[[#This Row],[E_NH4]]/1000)</f>
        <v/>
      </c>
      <c r="H116" s="523" t="str">
        <f>IF(OR(données_step[[#This Row],[E_NTOT]]&lt;=0,données_step[[#This Row],[E_NTOT]]=""),"",données_step[[#This Row],[D_QTRAI]]*données_step[[#This Row],[E_NTOT]]/1000)</f>
        <v/>
      </c>
      <c r="I116" s="523" t="str">
        <f>IF(OR(données_step[[#This Row],[E_NTOT]]&lt;=0,données_step[[#This Row],[E_NTOT]]=""),"",données_step[[#This Row],[D_QTRAI]]*données_step[[#This Row],[E_PTOT]]/1000)</f>
        <v/>
      </c>
      <c r="J116" s="523" t="str">
        <f>IF(OR(données_step[[#This Row],[S_DBO5]]&lt;=0,données_step[[#This Row],[S_DBO5]]=""),"",données_step[[#This Row],[D_QTRAI]]*données_step[[#This Row],[S_DBO5]]/1000)</f>
        <v/>
      </c>
      <c r="K116" s="523" t="str">
        <f>IF(OR(données_step[[#This Row],[S_DCO]]&lt;=0,données_step[[#This Row],[S_DCO]]=""),"",données_step[[#This Row],[D_QTRAI]]*données_step[[#This Row],[S_DCO]]/1000)</f>
        <v/>
      </c>
      <c r="L116" s="523" t="str">
        <f>IF(OR(données_step[[#This Row],[S_COD]]&lt;=0,données_step[[#This Row],[S_COD]]=""),"",données_step[[#This Row],[D_QTRAI]]*données_step[[#This Row],[S_COD]]/1000)</f>
        <v/>
      </c>
      <c r="M116" s="523" t="str">
        <f>IF(OR(données_step[[#This Row],[S_NH4]]&lt;=0,données_step[[#This Row],[S_NH4]]=""),"",données_step[[#This Row],[D_QTRAI]]*données_step[[#This Row],[S_NH4]]/1000)</f>
        <v/>
      </c>
      <c r="N116" s="523" t="str">
        <f>IF(OR(données_step[[#This Row],[S_NO2]]&lt;=0,données_step[[#This Row],[S_NO2]]=""),"",données_step[[#This Row],[D_QTRAI]]*données_step[[#This Row],[S_NO2]]/1000)</f>
        <v/>
      </c>
      <c r="O116" s="523" t="str">
        <f>IF(OR(données_step[[#This Row],[S_NO3]]&lt;=0,données_step[[#This Row],[S_NO3]]=""),"",données_step[[#This Row],[D_QTRAI]]*données_step[[#This Row],[S_NO3]]/1000)</f>
        <v/>
      </c>
      <c r="P116" s="523" t="str">
        <f>IF(OR(données_step[[#This Row],[S_PTOT]]&lt;=0,données_step[[#This Row],[S_PTOT]]=""),"",données_step[[#This Row],[D_QTRAI]]*données_step[[#This Row],[S_PTOT]]/1000)</f>
        <v/>
      </c>
      <c r="Q116" s="523" t="str">
        <f>IF(OR(données_step[[#This Row],[S_MES]]&lt;=0,données_step[[#This Row],[S_MES]]=""),"",données_step[[#This Row],[D_QTRAI]]*données_step[[#This Row],[S_MES]]/1000)</f>
        <v/>
      </c>
      <c r="R116" s="523">
        <f>MAX(données_step[[#This Row],[D_QTRAI]],données_step[[#This Row],[D_QTRAI2]])</f>
        <v>0</v>
      </c>
      <c r="S116" s="523" t="str">
        <f>IF(AND($R116&gt;0,données_step[[#This Row],[E_DCO]]&gt;0),données_step[[#This Row],[E_DCO]],"")</f>
        <v/>
      </c>
      <c r="T116" s="523" t="str">
        <f>IF(S116="","",(1-données_step[[#This Row],[E_DCO]]/$V$7)*100)</f>
        <v/>
      </c>
      <c r="U116" s="523" t="str">
        <f t="shared" si="18"/>
        <v/>
      </c>
      <c r="V116" s="523" t="str">
        <f t="shared" si="19"/>
        <v/>
      </c>
      <c r="W116" s="523" t="str">
        <f t="shared" si="20"/>
        <v/>
      </c>
      <c r="X116" s="523" t="e">
        <f>IF(((100-100/$V$7*données_step[[#This Row],[E_DCO]])/100*QTS)&lt;0,NA(),IF(OR(U116&lt;0,U116=""),NA(),((100-100/$V$7*données_step[[#This Row],[E_DCO]])/100*QTS)))</f>
        <v>#NUM!</v>
      </c>
      <c r="Y116" s="523" t="str">
        <f>IF(AND($R116&gt;0,données_step[[#This Row],[E_COT]]&gt;0),données_step[[#This Row],[E_COT]],"")</f>
        <v/>
      </c>
      <c r="Z116" s="523" t="str">
        <f>IF(Y116="","",(1-données_step[[#This Row],[E_COT]]/$AB$7)*100)</f>
        <v/>
      </c>
      <c r="AA116" s="523" t="str">
        <f t="shared" si="21"/>
        <v/>
      </c>
      <c r="AB116" s="523" t="str">
        <f t="shared" si="22"/>
        <v/>
      </c>
      <c r="AC116" s="523" t="str">
        <f t="shared" si="23"/>
        <v/>
      </c>
      <c r="AD116" s="523" t="e">
        <f>IF(((100-100/$AB$7*données_step[[#This Row],[E_COT]])/100*QTS)&lt;0,NA(),IF(OR(AA116&lt;0,AA116=""),NA(),((100-100/$AB$7*données_step[[#This Row],[E_COT]])/100*QTS)))</f>
        <v>#NUM!</v>
      </c>
      <c r="AE116" s="523" t="str">
        <f>IF(AND($R116&gt;0,données_step[[#This Row],[E_NH4]]&gt;0),données_step[[#This Row],[E_NH4]],"")</f>
        <v/>
      </c>
      <c r="AF116" s="523" t="str">
        <f>IF(AE116="","",(1-données_step[[#This Row],[E_NH4]]/$AH$7)*100)</f>
        <v/>
      </c>
      <c r="AG116" s="523" t="str">
        <f t="shared" si="24"/>
        <v/>
      </c>
      <c r="AH116" s="523" t="str">
        <f t="shared" si="25"/>
        <v/>
      </c>
      <c r="AI116" s="523" t="str">
        <f t="shared" si="26"/>
        <v/>
      </c>
      <c r="AJ116" s="523" t="e">
        <f>IF(((100-100/$AH$7*données_step[[#This Row],[E_NH4]])/100*QTS)&lt;0,NA(),IF(OR(AG116&lt;0,AG116=""),NA(),((100-100/$AH$7*données_step[[#This Row],[E_NH4]])/100*QTS)))</f>
        <v>#NUM!</v>
      </c>
      <c r="AK116" s="523" t="str">
        <f>IF(AND($R116&gt;0,données_step[[#This Row],[E_PTOT]]&gt;0),données_step[[#This Row],[E_PTOT]],"")</f>
        <v/>
      </c>
      <c r="AL116" s="523" t="str">
        <f>IF(AK116="","",(1-données_step[[#This Row],[E_PTOT]]/$AN$7)*100)</f>
        <v/>
      </c>
      <c r="AM116" s="523" t="str">
        <f t="shared" si="27"/>
        <v/>
      </c>
      <c r="AN116" s="523" t="str">
        <f t="shared" si="28"/>
        <v/>
      </c>
      <c r="AO116" s="523" t="str">
        <f t="shared" si="29"/>
        <v/>
      </c>
      <c r="AP116" s="523" t="e">
        <f>IF(((100-100/$AN$7*données_step[[#This Row],[E_PTOT]])/100*QTS)&lt;0,NA(),IF(OR(AM116&lt;0,AM116=""),NA(),((100-100/$AN$7*données_step[[#This Row],[E_PTOT]])/100*QTS)))</f>
        <v>#NUM!</v>
      </c>
      <c r="AQ116" s="524" t="e">
        <f t="shared" si="30"/>
        <v>#NUM!</v>
      </c>
      <c r="AR116" s="524" t="str">
        <f t="shared" si="31"/>
        <v/>
      </c>
      <c r="AY116" s="523" t="str">
        <f>_xlfn.IFNA(IF(données_step[[#This Row],[E_DCO]]&lt;=0,NA(),charge_entree[[#This Row],[ch_E_DCO]]/constanten!$B$8*1000),"")</f>
        <v/>
      </c>
      <c r="AZ116" s="523" t="str">
        <f>_xlfn.IFNA(IF(données_step[[#This Row],[E_NTOT]]&lt;=0,NA(),charge_entree[[#This Row],[ch_E_NTOT]]/constanten!$B$10*1000),"")</f>
        <v/>
      </c>
      <c r="BA116" s="523" t="str">
        <f>_xlfn.IFNA(IF(données_step[[#This Row],[E_NH4]]&lt;=0,NA(),charge_entree[[#This Row],[ch_E_NH4]]/constanten!$B$12*1000),"")</f>
        <v/>
      </c>
      <c r="BB116" s="523" t="str">
        <f>_xlfn.IFNA(IF(données_step[[#This Row],[E_COT]]&lt;=0,NA(),charge_entree[[#This Row],[ch_E_COT]]/constanten!$B$9*1000),"")</f>
        <v/>
      </c>
      <c r="BC116" s="523" t="str">
        <f>IFERROR(_xlfn.IFNA(IF(données_step[[#This Row],[E_PTOT]]&lt;=0,NA(),charge_entree[[#This Row],[ch_E_PTOT]]/constanten!$B$15*1000),""),"")</f>
        <v/>
      </c>
      <c r="BD116" s="535" t="e">
        <f>calculs!E116 * (1-0.4) / (données_step[[#This Row],[X_BA_VOL]]*données_step[[#This Row],[X_BACONC]])</f>
        <v>#VALUE!</v>
      </c>
      <c r="BE116" s="522" t="e">
        <f>(données_step[[#This Row],[X_BA_VOL]]*données_step[[#This Row],[X_BACONC]])/((données_step[[#This Row],[D_QTRAI2]]*données_step[[#This Row],[S_MES]]/1000)+(données_step[[#This Row],[X_BX_Q]]*données_step[[#This Row],[X_BXCONC]]))</f>
        <v>#VALUE!</v>
      </c>
      <c r="BF116" s="890" t="str">
        <f>IFERROR(données_step[[#This Row],[D_QTRAI]]/AY116*1000,"")</f>
        <v/>
      </c>
      <c r="BG116" s="535" t="str">
        <f>IFERROR(1-données_step[[#This Row],[S_DBO5]]/données_step[[#This Row],[E_DBO5]],"")</f>
        <v/>
      </c>
      <c r="BH116" s="536" t="str">
        <f>IFERROR(1-données_step[[#This Row],[S_DCO]]/données_step[[#This Row],[E_DCO]],"")</f>
        <v/>
      </c>
      <c r="BI116" s="535" t="str">
        <f>IFERROR(1-données_step[[#This Row],[S_COD]]/données_step[[#This Row],[E_COT]],"")</f>
        <v/>
      </c>
      <c r="BJ116" s="535" t="str">
        <f>IFERROR(1-données_step[[#This Row],[S_NH4]]/données_step[[#This Row],[E_NTOT]],"")</f>
        <v/>
      </c>
      <c r="BK116" s="535" t="str">
        <f>IFERROR(1-données_step[[#This Row],[S_PTOT]]/données_step[[#This Row],[E_PTOT]],"")</f>
        <v/>
      </c>
      <c r="BL116" s="521" t="str">
        <f>IFERROR(IF(données_step[[#This Row],[E_DCO]]/données_step[[#This Row],[E_DBO5]]=0,NA(),données_step[[#This Row],[E_DCO]]/données_step[[#This Row],[E_DBO5]]),"")</f>
        <v/>
      </c>
      <c r="BM116" s="521" t="str">
        <f>IFERROR(IF(données_step[[#This Row],[E_NH4]]/données_step[[#This Row],[E_NTOT]]=0,NA(),données_step[[#This Row],[E_NH4]]/données_step[[#This Row],[E_NTOT]]),"")</f>
        <v/>
      </c>
      <c r="BN116" s="521" t="str">
        <f>IFERROR(IF(données_step[[#This Row],[E_NTOT]]/données_step[[#This Row],[E_COT]]=0,NA(),données_step[[#This Row],[E_NTOT]]/données_step[[#This Row],[E_COT]]),"")</f>
        <v/>
      </c>
      <c r="BO116" s="521" t="str">
        <f>IFERROR(IF(données_step[[#This Row],[E_PTOT]]/données_step[[#This Row],[E_COT]]=0,NA(),données_step[[#This Row],[E_PTOT]]/données_step[[#This Row],[E_COT]]),"")</f>
        <v/>
      </c>
      <c r="BP116" s="521" t="e">
        <f>IF(données_step[[#This Row],[E_DCO]]/données_step[[#This Row],[E_COT]]=0,NA(),données_step[[#This Row],[E_DCO]]/données_step[[#This Row],[E_COT]])</f>
        <v>#DIV/0!</v>
      </c>
      <c r="BQ116" s="521" t="e">
        <f>IF(données_step[[#This Row],[E_NTOT]]/données_step[[#This Row],[E_DCO]]=0,NA(),données_step[[#This Row],[E_NTOT]]/données_step[[#This Row],[E_DCO]])</f>
        <v>#DIV/0!</v>
      </c>
      <c r="BR116" s="521" t="e">
        <f>IF(données_step[[#This Row],[E_PTOT]]/données_step[[#This Row],[E_DCO]]=0,NA(),données_step[[#This Row],[E_PTOT]]/données_step[[#This Row],[E_DCO]])</f>
        <v>#DIV/0!</v>
      </c>
      <c r="BS116" s="747" t="e">
        <f ca="1">test_NH4_temp(données_step[[#This Row],[S_NH4]],données_step[[#This Row],[Temp_eaux]])</f>
        <v>#NAME?</v>
      </c>
    </row>
    <row r="117" spans="1:71" x14ac:dyDescent="0.2">
      <c r="A117" s="222">
        <f>données_step[[#This Row],[Datum]]</f>
        <v>44668</v>
      </c>
      <c r="B117" s="223"/>
      <c r="C117" s="224">
        <f t="shared" si="34"/>
        <v>1</v>
      </c>
      <c r="D117" s="523" t="str">
        <f>IF(OR(données_step[[#This Row],[E_DBO5]]&lt;=0,données_step[[#This Row],[E_DBO5]]=""),"",données_step[[#This Row],[D_QTRAI]]*données_step[[#This Row],[E_DBO5]]/1000)</f>
        <v/>
      </c>
      <c r="E117" s="523" t="str">
        <f>IF(OR(données_step[[#This Row],[E_DCO]]&lt;=0,données_step[[#This Row],[E_DCO]]=""),"",données_step[[#This Row],[D_QTRAI]]*données_step[[#This Row],[E_DCO]]/1000)</f>
        <v/>
      </c>
      <c r="F117" s="523" t="str">
        <f>IF(OR(données_step[[#This Row],[E_COT]]&lt;=0,données_step[[#This Row],[E_COT]]=""),"",données_step[[#This Row],[D_QTRAI]]*données_step[[#This Row],[E_COT]]/1000)</f>
        <v/>
      </c>
      <c r="G117" s="523" t="str">
        <f>IF(OR(données_step[[#This Row],[E_NH4]]&lt;=0,données_step[[#This Row],[E_NH4]]=""),"",données_step[[#This Row],[D_QTRAI]]*données_step[[#This Row],[E_NH4]]/1000)</f>
        <v/>
      </c>
      <c r="H117" s="523" t="str">
        <f>IF(OR(données_step[[#This Row],[E_NTOT]]&lt;=0,données_step[[#This Row],[E_NTOT]]=""),"",données_step[[#This Row],[D_QTRAI]]*données_step[[#This Row],[E_NTOT]]/1000)</f>
        <v/>
      </c>
      <c r="I117" s="523" t="str">
        <f>IF(OR(données_step[[#This Row],[E_NTOT]]&lt;=0,données_step[[#This Row],[E_NTOT]]=""),"",données_step[[#This Row],[D_QTRAI]]*données_step[[#This Row],[E_PTOT]]/1000)</f>
        <v/>
      </c>
      <c r="J117" s="523" t="str">
        <f>IF(OR(données_step[[#This Row],[S_DBO5]]&lt;=0,données_step[[#This Row],[S_DBO5]]=""),"",données_step[[#This Row],[D_QTRAI]]*données_step[[#This Row],[S_DBO5]]/1000)</f>
        <v/>
      </c>
      <c r="K117" s="523" t="str">
        <f>IF(OR(données_step[[#This Row],[S_DCO]]&lt;=0,données_step[[#This Row],[S_DCO]]=""),"",données_step[[#This Row],[D_QTRAI]]*données_step[[#This Row],[S_DCO]]/1000)</f>
        <v/>
      </c>
      <c r="L117" s="523" t="str">
        <f>IF(OR(données_step[[#This Row],[S_COD]]&lt;=0,données_step[[#This Row],[S_COD]]=""),"",données_step[[#This Row],[D_QTRAI]]*données_step[[#This Row],[S_COD]]/1000)</f>
        <v/>
      </c>
      <c r="M117" s="523" t="str">
        <f>IF(OR(données_step[[#This Row],[S_NH4]]&lt;=0,données_step[[#This Row],[S_NH4]]=""),"",données_step[[#This Row],[D_QTRAI]]*données_step[[#This Row],[S_NH4]]/1000)</f>
        <v/>
      </c>
      <c r="N117" s="523" t="str">
        <f>IF(OR(données_step[[#This Row],[S_NO2]]&lt;=0,données_step[[#This Row],[S_NO2]]=""),"",données_step[[#This Row],[D_QTRAI]]*données_step[[#This Row],[S_NO2]]/1000)</f>
        <v/>
      </c>
      <c r="O117" s="523" t="str">
        <f>IF(OR(données_step[[#This Row],[S_NO3]]&lt;=0,données_step[[#This Row],[S_NO3]]=""),"",données_step[[#This Row],[D_QTRAI]]*données_step[[#This Row],[S_NO3]]/1000)</f>
        <v/>
      </c>
      <c r="P117" s="523" t="str">
        <f>IF(OR(données_step[[#This Row],[S_PTOT]]&lt;=0,données_step[[#This Row],[S_PTOT]]=""),"",données_step[[#This Row],[D_QTRAI]]*données_step[[#This Row],[S_PTOT]]/1000)</f>
        <v/>
      </c>
      <c r="Q117" s="523" t="str">
        <f>IF(OR(données_step[[#This Row],[S_MES]]&lt;=0,données_step[[#This Row],[S_MES]]=""),"",données_step[[#This Row],[D_QTRAI]]*données_step[[#This Row],[S_MES]]/1000)</f>
        <v/>
      </c>
      <c r="R117" s="523">
        <f>MAX(données_step[[#This Row],[D_QTRAI]],données_step[[#This Row],[D_QTRAI2]])</f>
        <v>0</v>
      </c>
      <c r="S117" s="523" t="str">
        <f>IF(AND($R117&gt;0,données_step[[#This Row],[E_DCO]]&gt;0),données_step[[#This Row],[E_DCO]],"")</f>
        <v/>
      </c>
      <c r="T117" s="523" t="str">
        <f>IF(S117="","",(1-données_step[[#This Row],[E_DCO]]/$V$7)*100)</f>
        <v/>
      </c>
      <c r="U117" s="523" t="str">
        <f t="shared" si="18"/>
        <v/>
      </c>
      <c r="V117" s="523" t="str">
        <f t="shared" si="19"/>
        <v/>
      </c>
      <c r="W117" s="523" t="str">
        <f t="shared" si="20"/>
        <v/>
      </c>
      <c r="X117" s="523" t="e">
        <f>IF(((100-100/$V$7*données_step[[#This Row],[E_DCO]])/100*QTS)&lt;0,NA(),IF(OR(U117&lt;0,U117=""),NA(),((100-100/$V$7*données_step[[#This Row],[E_DCO]])/100*QTS)))</f>
        <v>#NUM!</v>
      </c>
      <c r="Y117" s="523" t="str">
        <f>IF(AND($R117&gt;0,données_step[[#This Row],[E_COT]]&gt;0),données_step[[#This Row],[E_COT]],"")</f>
        <v/>
      </c>
      <c r="Z117" s="523" t="str">
        <f>IF(Y117="","",(1-données_step[[#This Row],[E_COT]]/$AB$7)*100)</f>
        <v/>
      </c>
      <c r="AA117" s="523" t="str">
        <f t="shared" si="21"/>
        <v/>
      </c>
      <c r="AB117" s="523" t="str">
        <f t="shared" si="22"/>
        <v/>
      </c>
      <c r="AC117" s="523" t="str">
        <f t="shared" si="23"/>
        <v/>
      </c>
      <c r="AD117" s="523" t="e">
        <f>IF(((100-100/$AB$7*données_step[[#This Row],[E_COT]])/100*QTS)&lt;0,NA(),IF(OR(AA117&lt;0,AA117=""),NA(),((100-100/$AB$7*données_step[[#This Row],[E_COT]])/100*QTS)))</f>
        <v>#NUM!</v>
      </c>
      <c r="AE117" s="523" t="str">
        <f>IF(AND($R117&gt;0,données_step[[#This Row],[E_NH4]]&gt;0),données_step[[#This Row],[E_NH4]],"")</f>
        <v/>
      </c>
      <c r="AF117" s="523" t="str">
        <f>IF(AE117="","",(1-données_step[[#This Row],[E_NH4]]/$AH$7)*100)</f>
        <v/>
      </c>
      <c r="AG117" s="523" t="str">
        <f t="shared" si="24"/>
        <v/>
      </c>
      <c r="AH117" s="523" t="str">
        <f t="shared" si="25"/>
        <v/>
      </c>
      <c r="AI117" s="523" t="str">
        <f t="shared" si="26"/>
        <v/>
      </c>
      <c r="AJ117" s="523" t="e">
        <f>IF(((100-100/$AH$7*données_step[[#This Row],[E_NH4]])/100*QTS)&lt;0,NA(),IF(OR(AG117&lt;0,AG117=""),NA(),((100-100/$AH$7*données_step[[#This Row],[E_NH4]])/100*QTS)))</f>
        <v>#NUM!</v>
      </c>
      <c r="AK117" s="523" t="str">
        <f>IF(AND($R117&gt;0,données_step[[#This Row],[E_PTOT]]&gt;0),données_step[[#This Row],[E_PTOT]],"")</f>
        <v/>
      </c>
      <c r="AL117" s="523" t="str">
        <f>IF(AK117="","",(1-données_step[[#This Row],[E_PTOT]]/$AN$7)*100)</f>
        <v/>
      </c>
      <c r="AM117" s="523" t="str">
        <f t="shared" si="27"/>
        <v/>
      </c>
      <c r="AN117" s="523" t="str">
        <f t="shared" si="28"/>
        <v/>
      </c>
      <c r="AO117" s="523" t="str">
        <f t="shared" si="29"/>
        <v/>
      </c>
      <c r="AP117" s="523" t="e">
        <f>IF(((100-100/$AN$7*données_step[[#This Row],[E_PTOT]])/100*QTS)&lt;0,NA(),IF(OR(AM117&lt;0,AM117=""),NA(),((100-100/$AN$7*données_step[[#This Row],[E_PTOT]])/100*QTS)))</f>
        <v>#NUM!</v>
      </c>
      <c r="AQ117" s="524" t="e">
        <f t="shared" si="30"/>
        <v>#NUM!</v>
      </c>
      <c r="AR117" s="524" t="str">
        <f t="shared" si="31"/>
        <v/>
      </c>
      <c r="AY117" s="523" t="str">
        <f>_xlfn.IFNA(IF(données_step[[#This Row],[E_DCO]]&lt;=0,NA(),charge_entree[[#This Row],[ch_E_DCO]]/constanten!$B$8*1000),"")</f>
        <v/>
      </c>
      <c r="AZ117" s="523" t="str">
        <f>_xlfn.IFNA(IF(données_step[[#This Row],[E_NTOT]]&lt;=0,NA(),charge_entree[[#This Row],[ch_E_NTOT]]/constanten!$B$10*1000),"")</f>
        <v/>
      </c>
      <c r="BA117" s="523" t="str">
        <f>_xlfn.IFNA(IF(données_step[[#This Row],[E_NH4]]&lt;=0,NA(),charge_entree[[#This Row],[ch_E_NH4]]/constanten!$B$12*1000),"")</f>
        <v/>
      </c>
      <c r="BB117" s="523" t="str">
        <f>_xlfn.IFNA(IF(données_step[[#This Row],[E_COT]]&lt;=0,NA(),charge_entree[[#This Row],[ch_E_COT]]/constanten!$B$9*1000),"")</f>
        <v/>
      </c>
      <c r="BC117" s="523" t="str">
        <f>IFERROR(_xlfn.IFNA(IF(données_step[[#This Row],[E_PTOT]]&lt;=0,NA(),charge_entree[[#This Row],[ch_E_PTOT]]/constanten!$B$15*1000),""),"")</f>
        <v/>
      </c>
      <c r="BD117" s="535" t="e">
        <f>calculs!E117 * (1-0.4) / (données_step[[#This Row],[X_BA_VOL]]*données_step[[#This Row],[X_BACONC]])</f>
        <v>#VALUE!</v>
      </c>
      <c r="BE117" s="522" t="e">
        <f>(données_step[[#This Row],[X_BA_VOL]]*données_step[[#This Row],[X_BACONC]])/((données_step[[#This Row],[D_QTRAI2]]*données_step[[#This Row],[S_MES]]/1000)+(données_step[[#This Row],[X_BX_Q]]*données_step[[#This Row],[X_BXCONC]]))</f>
        <v>#VALUE!</v>
      </c>
      <c r="BF117" s="890" t="str">
        <f>IFERROR(données_step[[#This Row],[D_QTRAI]]/AY117*1000,"")</f>
        <v/>
      </c>
      <c r="BG117" s="535" t="str">
        <f>IFERROR(1-données_step[[#This Row],[S_DBO5]]/données_step[[#This Row],[E_DBO5]],"")</f>
        <v/>
      </c>
      <c r="BH117" s="536" t="str">
        <f>IFERROR(1-données_step[[#This Row],[S_DCO]]/données_step[[#This Row],[E_DCO]],"")</f>
        <v/>
      </c>
      <c r="BI117" s="535" t="str">
        <f>IFERROR(1-données_step[[#This Row],[S_COD]]/données_step[[#This Row],[E_COT]],"")</f>
        <v/>
      </c>
      <c r="BJ117" s="535" t="str">
        <f>IFERROR(1-données_step[[#This Row],[S_NH4]]/données_step[[#This Row],[E_NTOT]],"")</f>
        <v/>
      </c>
      <c r="BK117" s="535" t="str">
        <f>IFERROR(1-données_step[[#This Row],[S_PTOT]]/données_step[[#This Row],[E_PTOT]],"")</f>
        <v/>
      </c>
      <c r="BL117" s="521" t="str">
        <f>IFERROR(IF(données_step[[#This Row],[E_DCO]]/données_step[[#This Row],[E_DBO5]]=0,NA(),données_step[[#This Row],[E_DCO]]/données_step[[#This Row],[E_DBO5]]),"")</f>
        <v/>
      </c>
      <c r="BM117" s="521" t="str">
        <f>IFERROR(IF(données_step[[#This Row],[E_NH4]]/données_step[[#This Row],[E_NTOT]]=0,NA(),données_step[[#This Row],[E_NH4]]/données_step[[#This Row],[E_NTOT]]),"")</f>
        <v/>
      </c>
      <c r="BN117" s="521" t="str">
        <f>IFERROR(IF(données_step[[#This Row],[E_NTOT]]/données_step[[#This Row],[E_COT]]=0,NA(),données_step[[#This Row],[E_NTOT]]/données_step[[#This Row],[E_COT]]),"")</f>
        <v/>
      </c>
      <c r="BO117" s="521" t="str">
        <f>IFERROR(IF(données_step[[#This Row],[E_PTOT]]/données_step[[#This Row],[E_COT]]=0,NA(),données_step[[#This Row],[E_PTOT]]/données_step[[#This Row],[E_COT]]),"")</f>
        <v/>
      </c>
      <c r="BP117" s="521" t="e">
        <f>IF(données_step[[#This Row],[E_DCO]]/données_step[[#This Row],[E_COT]]=0,NA(),données_step[[#This Row],[E_DCO]]/données_step[[#This Row],[E_COT]])</f>
        <v>#DIV/0!</v>
      </c>
      <c r="BQ117" s="521" t="e">
        <f>IF(données_step[[#This Row],[E_NTOT]]/données_step[[#This Row],[E_DCO]]=0,NA(),données_step[[#This Row],[E_NTOT]]/données_step[[#This Row],[E_DCO]])</f>
        <v>#DIV/0!</v>
      </c>
      <c r="BR117" s="521" t="e">
        <f>IF(données_step[[#This Row],[E_PTOT]]/données_step[[#This Row],[E_DCO]]=0,NA(),données_step[[#This Row],[E_PTOT]]/données_step[[#This Row],[E_DCO]])</f>
        <v>#DIV/0!</v>
      </c>
      <c r="BS117" s="747" t="e">
        <f ca="1">test_NH4_temp(données_step[[#This Row],[S_NH4]],données_step[[#This Row],[Temp_eaux]])</f>
        <v>#NAME?</v>
      </c>
    </row>
    <row r="118" spans="1:71" x14ac:dyDescent="0.2">
      <c r="A118" s="222">
        <f>données_step[[#This Row],[Datum]]</f>
        <v>44669</v>
      </c>
      <c r="B118" s="223"/>
      <c r="C118" s="224">
        <f t="shared" si="34"/>
        <v>2</v>
      </c>
      <c r="D118" s="523" t="str">
        <f>IF(OR(données_step[[#This Row],[E_DBO5]]&lt;=0,données_step[[#This Row],[E_DBO5]]=""),"",données_step[[#This Row],[D_QTRAI]]*données_step[[#This Row],[E_DBO5]]/1000)</f>
        <v/>
      </c>
      <c r="E118" s="523" t="str">
        <f>IF(OR(données_step[[#This Row],[E_DCO]]&lt;=0,données_step[[#This Row],[E_DCO]]=""),"",données_step[[#This Row],[D_QTRAI]]*données_step[[#This Row],[E_DCO]]/1000)</f>
        <v/>
      </c>
      <c r="F118" s="523" t="str">
        <f>IF(OR(données_step[[#This Row],[E_COT]]&lt;=0,données_step[[#This Row],[E_COT]]=""),"",données_step[[#This Row],[D_QTRAI]]*données_step[[#This Row],[E_COT]]/1000)</f>
        <v/>
      </c>
      <c r="G118" s="523" t="str">
        <f>IF(OR(données_step[[#This Row],[E_NH4]]&lt;=0,données_step[[#This Row],[E_NH4]]=""),"",données_step[[#This Row],[D_QTRAI]]*données_step[[#This Row],[E_NH4]]/1000)</f>
        <v/>
      </c>
      <c r="H118" s="523" t="str">
        <f>IF(OR(données_step[[#This Row],[E_NTOT]]&lt;=0,données_step[[#This Row],[E_NTOT]]=""),"",données_step[[#This Row],[D_QTRAI]]*données_step[[#This Row],[E_NTOT]]/1000)</f>
        <v/>
      </c>
      <c r="I118" s="523" t="str">
        <f>IF(OR(données_step[[#This Row],[E_NTOT]]&lt;=0,données_step[[#This Row],[E_NTOT]]=""),"",données_step[[#This Row],[D_QTRAI]]*données_step[[#This Row],[E_PTOT]]/1000)</f>
        <v/>
      </c>
      <c r="J118" s="523" t="str">
        <f>IF(OR(données_step[[#This Row],[S_DBO5]]&lt;=0,données_step[[#This Row],[S_DBO5]]=""),"",données_step[[#This Row],[D_QTRAI]]*données_step[[#This Row],[S_DBO5]]/1000)</f>
        <v/>
      </c>
      <c r="K118" s="523" t="str">
        <f>IF(OR(données_step[[#This Row],[S_DCO]]&lt;=0,données_step[[#This Row],[S_DCO]]=""),"",données_step[[#This Row],[D_QTRAI]]*données_step[[#This Row],[S_DCO]]/1000)</f>
        <v/>
      </c>
      <c r="L118" s="523" t="str">
        <f>IF(OR(données_step[[#This Row],[S_COD]]&lt;=0,données_step[[#This Row],[S_COD]]=""),"",données_step[[#This Row],[D_QTRAI]]*données_step[[#This Row],[S_COD]]/1000)</f>
        <v/>
      </c>
      <c r="M118" s="523" t="str">
        <f>IF(OR(données_step[[#This Row],[S_NH4]]&lt;=0,données_step[[#This Row],[S_NH4]]=""),"",données_step[[#This Row],[D_QTRAI]]*données_step[[#This Row],[S_NH4]]/1000)</f>
        <v/>
      </c>
      <c r="N118" s="523" t="str">
        <f>IF(OR(données_step[[#This Row],[S_NO2]]&lt;=0,données_step[[#This Row],[S_NO2]]=""),"",données_step[[#This Row],[D_QTRAI]]*données_step[[#This Row],[S_NO2]]/1000)</f>
        <v/>
      </c>
      <c r="O118" s="523" t="str">
        <f>IF(OR(données_step[[#This Row],[S_NO3]]&lt;=0,données_step[[#This Row],[S_NO3]]=""),"",données_step[[#This Row],[D_QTRAI]]*données_step[[#This Row],[S_NO3]]/1000)</f>
        <v/>
      </c>
      <c r="P118" s="523" t="str">
        <f>IF(OR(données_step[[#This Row],[S_PTOT]]&lt;=0,données_step[[#This Row],[S_PTOT]]=""),"",données_step[[#This Row],[D_QTRAI]]*données_step[[#This Row],[S_PTOT]]/1000)</f>
        <v/>
      </c>
      <c r="Q118" s="523" t="str">
        <f>IF(OR(données_step[[#This Row],[S_MES]]&lt;=0,données_step[[#This Row],[S_MES]]=""),"",données_step[[#This Row],[D_QTRAI]]*données_step[[#This Row],[S_MES]]/1000)</f>
        <v/>
      </c>
      <c r="R118" s="523">
        <f>MAX(données_step[[#This Row],[D_QTRAI]],données_step[[#This Row],[D_QTRAI2]])</f>
        <v>0</v>
      </c>
      <c r="S118" s="523" t="str">
        <f>IF(AND($R118&gt;0,données_step[[#This Row],[E_DCO]]&gt;0),données_step[[#This Row],[E_DCO]],"")</f>
        <v/>
      </c>
      <c r="T118" s="523" t="str">
        <f>IF(S118="","",(1-données_step[[#This Row],[E_DCO]]/$V$7)*100)</f>
        <v/>
      </c>
      <c r="U118" s="523" t="str">
        <f t="shared" si="18"/>
        <v/>
      </c>
      <c r="V118" s="523" t="str">
        <f t="shared" si="19"/>
        <v/>
      </c>
      <c r="W118" s="523" t="str">
        <f t="shared" si="20"/>
        <v/>
      </c>
      <c r="X118" s="523" t="e">
        <f>IF(((100-100/$V$7*données_step[[#This Row],[E_DCO]])/100*QTS)&lt;0,NA(),IF(OR(U118&lt;0,U118=""),NA(),((100-100/$V$7*données_step[[#This Row],[E_DCO]])/100*QTS)))</f>
        <v>#NUM!</v>
      </c>
      <c r="Y118" s="523" t="str">
        <f>IF(AND($R118&gt;0,données_step[[#This Row],[E_COT]]&gt;0),données_step[[#This Row],[E_COT]],"")</f>
        <v/>
      </c>
      <c r="Z118" s="523" t="str">
        <f>IF(Y118="","",(1-données_step[[#This Row],[E_COT]]/$AB$7)*100)</f>
        <v/>
      </c>
      <c r="AA118" s="523" t="str">
        <f t="shared" si="21"/>
        <v/>
      </c>
      <c r="AB118" s="523" t="str">
        <f t="shared" si="22"/>
        <v/>
      </c>
      <c r="AC118" s="523" t="str">
        <f t="shared" si="23"/>
        <v/>
      </c>
      <c r="AD118" s="523" t="e">
        <f>IF(((100-100/$AB$7*données_step[[#This Row],[E_COT]])/100*QTS)&lt;0,NA(),IF(OR(AA118&lt;0,AA118=""),NA(),((100-100/$AB$7*données_step[[#This Row],[E_COT]])/100*QTS)))</f>
        <v>#NUM!</v>
      </c>
      <c r="AE118" s="523" t="str">
        <f>IF(AND($R118&gt;0,données_step[[#This Row],[E_NH4]]&gt;0),données_step[[#This Row],[E_NH4]],"")</f>
        <v/>
      </c>
      <c r="AF118" s="523" t="str">
        <f>IF(AE118="","",(1-données_step[[#This Row],[E_NH4]]/$AH$7)*100)</f>
        <v/>
      </c>
      <c r="AG118" s="523" t="str">
        <f t="shared" si="24"/>
        <v/>
      </c>
      <c r="AH118" s="523" t="str">
        <f t="shared" si="25"/>
        <v/>
      </c>
      <c r="AI118" s="523" t="str">
        <f t="shared" si="26"/>
        <v/>
      </c>
      <c r="AJ118" s="523" t="e">
        <f>IF(((100-100/$AH$7*données_step[[#This Row],[E_NH4]])/100*QTS)&lt;0,NA(),IF(OR(AG118&lt;0,AG118=""),NA(),((100-100/$AH$7*données_step[[#This Row],[E_NH4]])/100*QTS)))</f>
        <v>#NUM!</v>
      </c>
      <c r="AK118" s="523" t="str">
        <f>IF(AND($R118&gt;0,données_step[[#This Row],[E_PTOT]]&gt;0),données_step[[#This Row],[E_PTOT]],"")</f>
        <v/>
      </c>
      <c r="AL118" s="523" t="str">
        <f>IF(AK118="","",(1-données_step[[#This Row],[E_PTOT]]/$AN$7)*100)</f>
        <v/>
      </c>
      <c r="AM118" s="523" t="str">
        <f t="shared" si="27"/>
        <v/>
      </c>
      <c r="AN118" s="523" t="str">
        <f t="shared" si="28"/>
        <v/>
      </c>
      <c r="AO118" s="523" t="str">
        <f t="shared" si="29"/>
        <v/>
      </c>
      <c r="AP118" s="523" t="e">
        <f>IF(((100-100/$AN$7*données_step[[#This Row],[E_PTOT]])/100*QTS)&lt;0,NA(),IF(OR(AM118&lt;0,AM118=""),NA(),((100-100/$AN$7*données_step[[#This Row],[E_PTOT]])/100*QTS)))</f>
        <v>#NUM!</v>
      </c>
      <c r="AQ118" s="524" t="e">
        <f t="shared" si="30"/>
        <v>#NUM!</v>
      </c>
      <c r="AR118" s="524" t="str">
        <f t="shared" si="31"/>
        <v/>
      </c>
      <c r="AY118" s="523" t="str">
        <f>_xlfn.IFNA(IF(données_step[[#This Row],[E_DCO]]&lt;=0,NA(),charge_entree[[#This Row],[ch_E_DCO]]/constanten!$B$8*1000),"")</f>
        <v/>
      </c>
      <c r="AZ118" s="523" t="str">
        <f>_xlfn.IFNA(IF(données_step[[#This Row],[E_NTOT]]&lt;=0,NA(),charge_entree[[#This Row],[ch_E_NTOT]]/constanten!$B$10*1000),"")</f>
        <v/>
      </c>
      <c r="BA118" s="523" t="str">
        <f>_xlfn.IFNA(IF(données_step[[#This Row],[E_NH4]]&lt;=0,NA(),charge_entree[[#This Row],[ch_E_NH4]]/constanten!$B$12*1000),"")</f>
        <v/>
      </c>
      <c r="BB118" s="523" t="str">
        <f>_xlfn.IFNA(IF(données_step[[#This Row],[E_COT]]&lt;=0,NA(),charge_entree[[#This Row],[ch_E_COT]]/constanten!$B$9*1000),"")</f>
        <v/>
      </c>
      <c r="BC118" s="523" t="str">
        <f>IFERROR(_xlfn.IFNA(IF(données_step[[#This Row],[E_PTOT]]&lt;=0,NA(),charge_entree[[#This Row],[ch_E_PTOT]]/constanten!$B$15*1000),""),"")</f>
        <v/>
      </c>
      <c r="BD118" s="535" t="e">
        <f>calculs!E118 * (1-0.4) / (données_step[[#This Row],[X_BA_VOL]]*données_step[[#This Row],[X_BACONC]])</f>
        <v>#VALUE!</v>
      </c>
      <c r="BE118" s="522" t="e">
        <f>(données_step[[#This Row],[X_BA_VOL]]*données_step[[#This Row],[X_BACONC]])/((données_step[[#This Row],[D_QTRAI2]]*données_step[[#This Row],[S_MES]]/1000)+(données_step[[#This Row],[X_BX_Q]]*données_step[[#This Row],[X_BXCONC]]))</f>
        <v>#VALUE!</v>
      </c>
      <c r="BF118" s="890" t="str">
        <f>IFERROR(données_step[[#This Row],[D_QTRAI]]/AY118*1000,"")</f>
        <v/>
      </c>
      <c r="BG118" s="535" t="str">
        <f>IFERROR(1-données_step[[#This Row],[S_DBO5]]/données_step[[#This Row],[E_DBO5]],"")</f>
        <v/>
      </c>
      <c r="BH118" s="536" t="str">
        <f>IFERROR(1-données_step[[#This Row],[S_DCO]]/données_step[[#This Row],[E_DCO]],"")</f>
        <v/>
      </c>
      <c r="BI118" s="535" t="str">
        <f>IFERROR(1-données_step[[#This Row],[S_COD]]/données_step[[#This Row],[E_COT]],"")</f>
        <v/>
      </c>
      <c r="BJ118" s="535" t="str">
        <f>IFERROR(1-données_step[[#This Row],[S_NH4]]/données_step[[#This Row],[E_NTOT]],"")</f>
        <v/>
      </c>
      <c r="BK118" s="535" t="str">
        <f>IFERROR(1-données_step[[#This Row],[S_PTOT]]/données_step[[#This Row],[E_PTOT]],"")</f>
        <v/>
      </c>
      <c r="BL118" s="521" t="str">
        <f>IFERROR(IF(données_step[[#This Row],[E_DCO]]/données_step[[#This Row],[E_DBO5]]=0,NA(),données_step[[#This Row],[E_DCO]]/données_step[[#This Row],[E_DBO5]]),"")</f>
        <v/>
      </c>
      <c r="BM118" s="521" t="str">
        <f>IFERROR(IF(données_step[[#This Row],[E_NH4]]/données_step[[#This Row],[E_NTOT]]=0,NA(),données_step[[#This Row],[E_NH4]]/données_step[[#This Row],[E_NTOT]]),"")</f>
        <v/>
      </c>
      <c r="BN118" s="521" t="str">
        <f>IFERROR(IF(données_step[[#This Row],[E_NTOT]]/données_step[[#This Row],[E_COT]]=0,NA(),données_step[[#This Row],[E_NTOT]]/données_step[[#This Row],[E_COT]]),"")</f>
        <v/>
      </c>
      <c r="BO118" s="521" t="str">
        <f>IFERROR(IF(données_step[[#This Row],[E_PTOT]]/données_step[[#This Row],[E_COT]]=0,NA(),données_step[[#This Row],[E_PTOT]]/données_step[[#This Row],[E_COT]]),"")</f>
        <v/>
      </c>
      <c r="BP118" s="521" t="e">
        <f>IF(données_step[[#This Row],[E_DCO]]/données_step[[#This Row],[E_COT]]=0,NA(),données_step[[#This Row],[E_DCO]]/données_step[[#This Row],[E_COT]])</f>
        <v>#DIV/0!</v>
      </c>
      <c r="BQ118" s="521" t="e">
        <f>IF(données_step[[#This Row],[E_NTOT]]/données_step[[#This Row],[E_DCO]]=0,NA(),données_step[[#This Row],[E_NTOT]]/données_step[[#This Row],[E_DCO]])</f>
        <v>#DIV/0!</v>
      </c>
      <c r="BR118" s="521" t="e">
        <f>IF(données_step[[#This Row],[E_PTOT]]/données_step[[#This Row],[E_DCO]]=0,NA(),données_step[[#This Row],[E_PTOT]]/données_step[[#This Row],[E_DCO]])</f>
        <v>#DIV/0!</v>
      </c>
      <c r="BS118" s="747" t="e">
        <f ca="1">test_NH4_temp(données_step[[#This Row],[S_NH4]],données_step[[#This Row],[Temp_eaux]])</f>
        <v>#NAME?</v>
      </c>
    </row>
    <row r="119" spans="1:71" x14ac:dyDescent="0.2">
      <c r="A119" s="222">
        <f>données_step[[#This Row],[Datum]]</f>
        <v>44670</v>
      </c>
      <c r="B119" s="223"/>
      <c r="C119" s="224">
        <f t="shared" si="34"/>
        <v>3</v>
      </c>
      <c r="D119" s="523" t="str">
        <f>IF(OR(données_step[[#This Row],[E_DBO5]]&lt;=0,données_step[[#This Row],[E_DBO5]]=""),"",données_step[[#This Row],[D_QTRAI]]*données_step[[#This Row],[E_DBO5]]/1000)</f>
        <v/>
      </c>
      <c r="E119" s="523" t="str">
        <f>IF(OR(données_step[[#This Row],[E_DCO]]&lt;=0,données_step[[#This Row],[E_DCO]]=""),"",données_step[[#This Row],[D_QTRAI]]*données_step[[#This Row],[E_DCO]]/1000)</f>
        <v/>
      </c>
      <c r="F119" s="523" t="str">
        <f>IF(OR(données_step[[#This Row],[E_COT]]&lt;=0,données_step[[#This Row],[E_COT]]=""),"",données_step[[#This Row],[D_QTRAI]]*données_step[[#This Row],[E_COT]]/1000)</f>
        <v/>
      </c>
      <c r="G119" s="523" t="str">
        <f>IF(OR(données_step[[#This Row],[E_NH4]]&lt;=0,données_step[[#This Row],[E_NH4]]=""),"",données_step[[#This Row],[D_QTRAI]]*données_step[[#This Row],[E_NH4]]/1000)</f>
        <v/>
      </c>
      <c r="H119" s="523" t="str">
        <f>IF(OR(données_step[[#This Row],[E_NTOT]]&lt;=0,données_step[[#This Row],[E_NTOT]]=""),"",données_step[[#This Row],[D_QTRAI]]*données_step[[#This Row],[E_NTOT]]/1000)</f>
        <v/>
      </c>
      <c r="I119" s="523" t="str">
        <f>IF(OR(données_step[[#This Row],[E_NTOT]]&lt;=0,données_step[[#This Row],[E_NTOT]]=""),"",données_step[[#This Row],[D_QTRAI]]*données_step[[#This Row],[E_PTOT]]/1000)</f>
        <v/>
      </c>
      <c r="J119" s="523" t="str">
        <f>IF(OR(données_step[[#This Row],[S_DBO5]]&lt;=0,données_step[[#This Row],[S_DBO5]]=""),"",données_step[[#This Row],[D_QTRAI]]*données_step[[#This Row],[S_DBO5]]/1000)</f>
        <v/>
      </c>
      <c r="K119" s="523" t="str">
        <f>IF(OR(données_step[[#This Row],[S_DCO]]&lt;=0,données_step[[#This Row],[S_DCO]]=""),"",données_step[[#This Row],[D_QTRAI]]*données_step[[#This Row],[S_DCO]]/1000)</f>
        <v/>
      </c>
      <c r="L119" s="523" t="str">
        <f>IF(OR(données_step[[#This Row],[S_COD]]&lt;=0,données_step[[#This Row],[S_COD]]=""),"",données_step[[#This Row],[D_QTRAI]]*données_step[[#This Row],[S_COD]]/1000)</f>
        <v/>
      </c>
      <c r="M119" s="523" t="str">
        <f>IF(OR(données_step[[#This Row],[S_NH4]]&lt;=0,données_step[[#This Row],[S_NH4]]=""),"",données_step[[#This Row],[D_QTRAI]]*données_step[[#This Row],[S_NH4]]/1000)</f>
        <v/>
      </c>
      <c r="N119" s="523" t="str">
        <f>IF(OR(données_step[[#This Row],[S_NO2]]&lt;=0,données_step[[#This Row],[S_NO2]]=""),"",données_step[[#This Row],[D_QTRAI]]*données_step[[#This Row],[S_NO2]]/1000)</f>
        <v/>
      </c>
      <c r="O119" s="523" t="str">
        <f>IF(OR(données_step[[#This Row],[S_NO3]]&lt;=0,données_step[[#This Row],[S_NO3]]=""),"",données_step[[#This Row],[D_QTRAI]]*données_step[[#This Row],[S_NO3]]/1000)</f>
        <v/>
      </c>
      <c r="P119" s="523" t="str">
        <f>IF(OR(données_step[[#This Row],[S_PTOT]]&lt;=0,données_step[[#This Row],[S_PTOT]]=""),"",données_step[[#This Row],[D_QTRAI]]*données_step[[#This Row],[S_PTOT]]/1000)</f>
        <v/>
      </c>
      <c r="Q119" s="523" t="str">
        <f>IF(OR(données_step[[#This Row],[S_MES]]&lt;=0,données_step[[#This Row],[S_MES]]=""),"",données_step[[#This Row],[D_QTRAI]]*données_step[[#This Row],[S_MES]]/1000)</f>
        <v/>
      </c>
      <c r="R119" s="523">
        <f>MAX(données_step[[#This Row],[D_QTRAI]],données_step[[#This Row],[D_QTRAI2]])</f>
        <v>0</v>
      </c>
      <c r="S119" s="523" t="str">
        <f>IF(AND($R119&gt;0,données_step[[#This Row],[E_DCO]]&gt;0),données_step[[#This Row],[E_DCO]],"")</f>
        <v/>
      </c>
      <c r="T119" s="523" t="str">
        <f>IF(S119="","",(1-données_step[[#This Row],[E_DCO]]/$V$7)*100)</f>
        <v/>
      </c>
      <c r="U119" s="523" t="str">
        <f t="shared" si="18"/>
        <v/>
      </c>
      <c r="V119" s="523" t="str">
        <f t="shared" si="19"/>
        <v/>
      </c>
      <c r="W119" s="523" t="str">
        <f t="shared" si="20"/>
        <v/>
      </c>
      <c r="X119" s="523" t="e">
        <f>IF(((100-100/$V$7*données_step[[#This Row],[E_DCO]])/100*QTS)&lt;0,NA(),IF(OR(U119&lt;0,U119=""),NA(),((100-100/$V$7*données_step[[#This Row],[E_DCO]])/100*QTS)))</f>
        <v>#NUM!</v>
      </c>
      <c r="Y119" s="523" t="str">
        <f>IF(AND($R119&gt;0,données_step[[#This Row],[E_COT]]&gt;0),données_step[[#This Row],[E_COT]],"")</f>
        <v/>
      </c>
      <c r="Z119" s="523" t="str">
        <f>IF(Y119="","",(1-données_step[[#This Row],[E_COT]]/$AB$7)*100)</f>
        <v/>
      </c>
      <c r="AA119" s="523" t="str">
        <f t="shared" si="21"/>
        <v/>
      </c>
      <c r="AB119" s="523" t="str">
        <f t="shared" si="22"/>
        <v/>
      </c>
      <c r="AC119" s="523" t="str">
        <f t="shared" si="23"/>
        <v/>
      </c>
      <c r="AD119" s="523" t="e">
        <f>IF(((100-100/$AB$7*données_step[[#This Row],[E_COT]])/100*QTS)&lt;0,NA(),IF(OR(AA119&lt;0,AA119=""),NA(),((100-100/$AB$7*données_step[[#This Row],[E_COT]])/100*QTS)))</f>
        <v>#NUM!</v>
      </c>
      <c r="AE119" s="523" t="str">
        <f>IF(AND($R119&gt;0,données_step[[#This Row],[E_NH4]]&gt;0),données_step[[#This Row],[E_NH4]],"")</f>
        <v/>
      </c>
      <c r="AF119" s="523" t="str">
        <f>IF(AE119="","",(1-données_step[[#This Row],[E_NH4]]/$AH$7)*100)</f>
        <v/>
      </c>
      <c r="AG119" s="523" t="str">
        <f t="shared" si="24"/>
        <v/>
      </c>
      <c r="AH119" s="523" t="str">
        <f t="shared" si="25"/>
        <v/>
      </c>
      <c r="AI119" s="523" t="str">
        <f t="shared" si="26"/>
        <v/>
      </c>
      <c r="AJ119" s="523" t="e">
        <f>IF(((100-100/$AH$7*données_step[[#This Row],[E_NH4]])/100*QTS)&lt;0,NA(),IF(OR(AG119&lt;0,AG119=""),NA(),((100-100/$AH$7*données_step[[#This Row],[E_NH4]])/100*QTS)))</f>
        <v>#NUM!</v>
      </c>
      <c r="AK119" s="523" t="str">
        <f>IF(AND($R119&gt;0,données_step[[#This Row],[E_PTOT]]&gt;0),données_step[[#This Row],[E_PTOT]],"")</f>
        <v/>
      </c>
      <c r="AL119" s="523" t="str">
        <f>IF(AK119="","",(1-données_step[[#This Row],[E_PTOT]]/$AN$7)*100)</f>
        <v/>
      </c>
      <c r="AM119" s="523" t="str">
        <f t="shared" si="27"/>
        <v/>
      </c>
      <c r="AN119" s="523" t="str">
        <f t="shared" si="28"/>
        <v/>
      </c>
      <c r="AO119" s="523" t="str">
        <f t="shared" si="29"/>
        <v/>
      </c>
      <c r="AP119" s="523" t="e">
        <f>IF(((100-100/$AN$7*données_step[[#This Row],[E_PTOT]])/100*QTS)&lt;0,NA(),IF(OR(AM119&lt;0,AM119=""),NA(),((100-100/$AN$7*données_step[[#This Row],[E_PTOT]])/100*QTS)))</f>
        <v>#NUM!</v>
      </c>
      <c r="AQ119" s="524" t="e">
        <f t="shared" si="30"/>
        <v>#NUM!</v>
      </c>
      <c r="AR119" s="524" t="str">
        <f t="shared" si="31"/>
        <v/>
      </c>
      <c r="AY119" s="523" t="str">
        <f>_xlfn.IFNA(IF(données_step[[#This Row],[E_DCO]]&lt;=0,NA(),charge_entree[[#This Row],[ch_E_DCO]]/constanten!$B$8*1000),"")</f>
        <v/>
      </c>
      <c r="AZ119" s="523" t="str">
        <f>_xlfn.IFNA(IF(données_step[[#This Row],[E_NTOT]]&lt;=0,NA(),charge_entree[[#This Row],[ch_E_NTOT]]/constanten!$B$10*1000),"")</f>
        <v/>
      </c>
      <c r="BA119" s="523" t="str">
        <f>_xlfn.IFNA(IF(données_step[[#This Row],[E_NH4]]&lt;=0,NA(),charge_entree[[#This Row],[ch_E_NH4]]/constanten!$B$12*1000),"")</f>
        <v/>
      </c>
      <c r="BB119" s="523" t="str">
        <f>_xlfn.IFNA(IF(données_step[[#This Row],[E_COT]]&lt;=0,NA(),charge_entree[[#This Row],[ch_E_COT]]/constanten!$B$9*1000),"")</f>
        <v/>
      </c>
      <c r="BC119" s="523" t="str">
        <f>IFERROR(_xlfn.IFNA(IF(données_step[[#This Row],[E_PTOT]]&lt;=0,NA(),charge_entree[[#This Row],[ch_E_PTOT]]/constanten!$B$15*1000),""),"")</f>
        <v/>
      </c>
      <c r="BD119" s="535" t="e">
        <f>calculs!E119 * (1-0.4) / (données_step[[#This Row],[X_BA_VOL]]*données_step[[#This Row],[X_BACONC]])</f>
        <v>#VALUE!</v>
      </c>
      <c r="BE119" s="522" t="e">
        <f>(données_step[[#This Row],[X_BA_VOL]]*données_step[[#This Row],[X_BACONC]])/((données_step[[#This Row],[D_QTRAI2]]*données_step[[#This Row],[S_MES]]/1000)+(données_step[[#This Row],[X_BX_Q]]*données_step[[#This Row],[X_BXCONC]]))</f>
        <v>#VALUE!</v>
      </c>
      <c r="BF119" s="890" t="str">
        <f>IFERROR(données_step[[#This Row],[D_QTRAI]]/AY119*1000,"")</f>
        <v/>
      </c>
      <c r="BG119" s="535" t="str">
        <f>IFERROR(1-données_step[[#This Row],[S_DBO5]]/données_step[[#This Row],[E_DBO5]],"")</f>
        <v/>
      </c>
      <c r="BH119" s="536" t="str">
        <f>IFERROR(1-données_step[[#This Row],[S_DCO]]/données_step[[#This Row],[E_DCO]],"")</f>
        <v/>
      </c>
      <c r="BI119" s="535" t="str">
        <f>IFERROR(1-données_step[[#This Row],[S_COD]]/données_step[[#This Row],[E_COT]],"")</f>
        <v/>
      </c>
      <c r="BJ119" s="535" t="str">
        <f>IFERROR(1-données_step[[#This Row],[S_NH4]]/données_step[[#This Row],[E_NTOT]],"")</f>
        <v/>
      </c>
      <c r="BK119" s="535" t="str">
        <f>IFERROR(1-données_step[[#This Row],[S_PTOT]]/données_step[[#This Row],[E_PTOT]],"")</f>
        <v/>
      </c>
      <c r="BL119" s="521" t="str">
        <f>IFERROR(IF(données_step[[#This Row],[E_DCO]]/données_step[[#This Row],[E_DBO5]]=0,NA(),données_step[[#This Row],[E_DCO]]/données_step[[#This Row],[E_DBO5]]),"")</f>
        <v/>
      </c>
      <c r="BM119" s="521" t="str">
        <f>IFERROR(IF(données_step[[#This Row],[E_NH4]]/données_step[[#This Row],[E_NTOT]]=0,NA(),données_step[[#This Row],[E_NH4]]/données_step[[#This Row],[E_NTOT]]),"")</f>
        <v/>
      </c>
      <c r="BN119" s="521" t="str">
        <f>IFERROR(IF(données_step[[#This Row],[E_NTOT]]/données_step[[#This Row],[E_COT]]=0,NA(),données_step[[#This Row],[E_NTOT]]/données_step[[#This Row],[E_COT]]),"")</f>
        <v/>
      </c>
      <c r="BO119" s="521" t="str">
        <f>IFERROR(IF(données_step[[#This Row],[E_PTOT]]/données_step[[#This Row],[E_COT]]=0,NA(),données_step[[#This Row],[E_PTOT]]/données_step[[#This Row],[E_COT]]),"")</f>
        <v/>
      </c>
      <c r="BP119" s="521" t="e">
        <f>IF(données_step[[#This Row],[E_DCO]]/données_step[[#This Row],[E_COT]]=0,NA(),données_step[[#This Row],[E_DCO]]/données_step[[#This Row],[E_COT]])</f>
        <v>#DIV/0!</v>
      </c>
      <c r="BQ119" s="521" t="e">
        <f>IF(données_step[[#This Row],[E_NTOT]]/données_step[[#This Row],[E_DCO]]=0,NA(),données_step[[#This Row],[E_NTOT]]/données_step[[#This Row],[E_DCO]])</f>
        <v>#DIV/0!</v>
      </c>
      <c r="BR119" s="521" t="e">
        <f>IF(données_step[[#This Row],[E_PTOT]]/données_step[[#This Row],[E_DCO]]=0,NA(),données_step[[#This Row],[E_PTOT]]/données_step[[#This Row],[E_DCO]])</f>
        <v>#DIV/0!</v>
      </c>
      <c r="BS119" s="747" t="e">
        <f ca="1">test_NH4_temp(données_step[[#This Row],[S_NH4]],données_step[[#This Row],[Temp_eaux]])</f>
        <v>#NAME?</v>
      </c>
    </row>
    <row r="120" spans="1:71" x14ac:dyDescent="0.2">
      <c r="A120" s="222">
        <f>données_step[[#This Row],[Datum]]</f>
        <v>44671</v>
      </c>
      <c r="B120" s="223"/>
      <c r="C120" s="224">
        <f t="shared" si="34"/>
        <v>4</v>
      </c>
      <c r="D120" s="523" t="str">
        <f>IF(OR(données_step[[#This Row],[E_DBO5]]&lt;=0,données_step[[#This Row],[E_DBO5]]=""),"",données_step[[#This Row],[D_QTRAI]]*données_step[[#This Row],[E_DBO5]]/1000)</f>
        <v/>
      </c>
      <c r="E120" s="523" t="str">
        <f>IF(OR(données_step[[#This Row],[E_DCO]]&lt;=0,données_step[[#This Row],[E_DCO]]=""),"",données_step[[#This Row],[D_QTRAI]]*données_step[[#This Row],[E_DCO]]/1000)</f>
        <v/>
      </c>
      <c r="F120" s="523" t="str">
        <f>IF(OR(données_step[[#This Row],[E_COT]]&lt;=0,données_step[[#This Row],[E_COT]]=""),"",données_step[[#This Row],[D_QTRAI]]*données_step[[#This Row],[E_COT]]/1000)</f>
        <v/>
      </c>
      <c r="G120" s="523" t="str">
        <f>IF(OR(données_step[[#This Row],[E_NH4]]&lt;=0,données_step[[#This Row],[E_NH4]]=""),"",données_step[[#This Row],[D_QTRAI]]*données_step[[#This Row],[E_NH4]]/1000)</f>
        <v/>
      </c>
      <c r="H120" s="523" t="str">
        <f>IF(OR(données_step[[#This Row],[E_NTOT]]&lt;=0,données_step[[#This Row],[E_NTOT]]=""),"",données_step[[#This Row],[D_QTRAI]]*données_step[[#This Row],[E_NTOT]]/1000)</f>
        <v/>
      </c>
      <c r="I120" s="523" t="str">
        <f>IF(OR(données_step[[#This Row],[E_NTOT]]&lt;=0,données_step[[#This Row],[E_NTOT]]=""),"",données_step[[#This Row],[D_QTRAI]]*données_step[[#This Row],[E_PTOT]]/1000)</f>
        <v/>
      </c>
      <c r="J120" s="523" t="str">
        <f>IF(OR(données_step[[#This Row],[S_DBO5]]&lt;=0,données_step[[#This Row],[S_DBO5]]=""),"",données_step[[#This Row],[D_QTRAI]]*données_step[[#This Row],[S_DBO5]]/1000)</f>
        <v/>
      </c>
      <c r="K120" s="523" t="str">
        <f>IF(OR(données_step[[#This Row],[S_DCO]]&lt;=0,données_step[[#This Row],[S_DCO]]=""),"",données_step[[#This Row],[D_QTRAI]]*données_step[[#This Row],[S_DCO]]/1000)</f>
        <v/>
      </c>
      <c r="L120" s="523" t="str">
        <f>IF(OR(données_step[[#This Row],[S_COD]]&lt;=0,données_step[[#This Row],[S_COD]]=""),"",données_step[[#This Row],[D_QTRAI]]*données_step[[#This Row],[S_COD]]/1000)</f>
        <v/>
      </c>
      <c r="M120" s="523" t="str">
        <f>IF(OR(données_step[[#This Row],[S_NH4]]&lt;=0,données_step[[#This Row],[S_NH4]]=""),"",données_step[[#This Row],[D_QTRAI]]*données_step[[#This Row],[S_NH4]]/1000)</f>
        <v/>
      </c>
      <c r="N120" s="523" t="str">
        <f>IF(OR(données_step[[#This Row],[S_NO2]]&lt;=0,données_step[[#This Row],[S_NO2]]=""),"",données_step[[#This Row],[D_QTRAI]]*données_step[[#This Row],[S_NO2]]/1000)</f>
        <v/>
      </c>
      <c r="O120" s="523" t="str">
        <f>IF(OR(données_step[[#This Row],[S_NO3]]&lt;=0,données_step[[#This Row],[S_NO3]]=""),"",données_step[[#This Row],[D_QTRAI]]*données_step[[#This Row],[S_NO3]]/1000)</f>
        <v/>
      </c>
      <c r="P120" s="523" t="str">
        <f>IF(OR(données_step[[#This Row],[S_PTOT]]&lt;=0,données_step[[#This Row],[S_PTOT]]=""),"",données_step[[#This Row],[D_QTRAI]]*données_step[[#This Row],[S_PTOT]]/1000)</f>
        <v/>
      </c>
      <c r="Q120" s="523" t="str">
        <f>IF(OR(données_step[[#This Row],[S_MES]]&lt;=0,données_step[[#This Row],[S_MES]]=""),"",données_step[[#This Row],[D_QTRAI]]*données_step[[#This Row],[S_MES]]/1000)</f>
        <v/>
      </c>
      <c r="R120" s="523">
        <f>MAX(données_step[[#This Row],[D_QTRAI]],données_step[[#This Row],[D_QTRAI2]])</f>
        <v>0</v>
      </c>
      <c r="S120" s="523" t="str">
        <f>IF(AND($R120&gt;0,données_step[[#This Row],[E_DCO]]&gt;0),données_step[[#This Row],[E_DCO]],"")</f>
        <v/>
      </c>
      <c r="T120" s="523" t="str">
        <f>IF(S120="","",(1-données_step[[#This Row],[E_DCO]]/$V$7)*100)</f>
        <v/>
      </c>
      <c r="U120" s="523" t="str">
        <f t="shared" si="18"/>
        <v/>
      </c>
      <c r="V120" s="523" t="str">
        <f t="shared" si="19"/>
        <v/>
      </c>
      <c r="W120" s="523" t="str">
        <f t="shared" si="20"/>
        <v/>
      </c>
      <c r="X120" s="523" t="e">
        <f>IF(((100-100/$V$7*données_step[[#This Row],[E_DCO]])/100*QTS)&lt;0,NA(),IF(OR(U120&lt;0,U120=""),NA(),((100-100/$V$7*données_step[[#This Row],[E_DCO]])/100*QTS)))</f>
        <v>#NUM!</v>
      </c>
      <c r="Y120" s="523" t="str">
        <f>IF(AND($R120&gt;0,données_step[[#This Row],[E_COT]]&gt;0),données_step[[#This Row],[E_COT]],"")</f>
        <v/>
      </c>
      <c r="Z120" s="523" t="str">
        <f>IF(Y120="","",(1-données_step[[#This Row],[E_COT]]/$AB$7)*100)</f>
        <v/>
      </c>
      <c r="AA120" s="523" t="str">
        <f t="shared" si="21"/>
        <v/>
      </c>
      <c r="AB120" s="523" t="str">
        <f t="shared" si="22"/>
        <v/>
      </c>
      <c r="AC120" s="523" t="str">
        <f t="shared" si="23"/>
        <v/>
      </c>
      <c r="AD120" s="523" t="e">
        <f>IF(((100-100/$AB$7*données_step[[#This Row],[E_COT]])/100*QTS)&lt;0,NA(),IF(OR(AA120&lt;0,AA120=""),NA(),((100-100/$AB$7*données_step[[#This Row],[E_COT]])/100*QTS)))</f>
        <v>#NUM!</v>
      </c>
      <c r="AE120" s="523" t="str">
        <f>IF(AND($R120&gt;0,données_step[[#This Row],[E_NH4]]&gt;0),données_step[[#This Row],[E_NH4]],"")</f>
        <v/>
      </c>
      <c r="AF120" s="523" t="str">
        <f>IF(AE120="","",(1-données_step[[#This Row],[E_NH4]]/$AH$7)*100)</f>
        <v/>
      </c>
      <c r="AG120" s="523" t="str">
        <f t="shared" si="24"/>
        <v/>
      </c>
      <c r="AH120" s="523" t="str">
        <f t="shared" si="25"/>
        <v/>
      </c>
      <c r="AI120" s="523" t="str">
        <f t="shared" si="26"/>
        <v/>
      </c>
      <c r="AJ120" s="523" t="e">
        <f>IF(((100-100/$AH$7*données_step[[#This Row],[E_NH4]])/100*QTS)&lt;0,NA(),IF(OR(AG120&lt;0,AG120=""),NA(),((100-100/$AH$7*données_step[[#This Row],[E_NH4]])/100*QTS)))</f>
        <v>#NUM!</v>
      </c>
      <c r="AK120" s="523" t="str">
        <f>IF(AND($R120&gt;0,données_step[[#This Row],[E_PTOT]]&gt;0),données_step[[#This Row],[E_PTOT]],"")</f>
        <v/>
      </c>
      <c r="AL120" s="523" t="str">
        <f>IF(AK120="","",(1-données_step[[#This Row],[E_PTOT]]/$AN$7)*100)</f>
        <v/>
      </c>
      <c r="AM120" s="523" t="str">
        <f t="shared" si="27"/>
        <v/>
      </c>
      <c r="AN120" s="523" t="str">
        <f t="shared" si="28"/>
        <v/>
      </c>
      <c r="AO120" s="523" t="str">
        <f t="shared" si="29"/>
        <v/>
      </c>
      <c r="AP120" s="523" t="e">
        <f>IF(((100-100/$AN$7*données_step[[#This Row],[E_PTOT]])/100*QTS)&lt;0,NA(),IF(OR(AM120&lt;0,AM120=""),NA(),((100-100/$AN$7*données_step[[#This Row],[E_PTOT]])/100*QTS)))</f>
        <v>#NUM!</v>
      </c>
      <c r="AQ120" s="524" t="e">
        <f t="shared" si="30"/>
        <v>#NUM!</v>
      </c>
      <c r="AR120" s="524" t="str">
        <f t="shared" si="31"/>
        <v/>
      </c>
      <c r="AY120" s="523" t="str">
        <f>_xlfn.IFNA(IF(données_step[[#This Row],[E_DCO]]&lt;=0,NA(),charge_entree[[#This Row],[ch_E_DCO]]/constanten!$B$8*1000),"")</f>
        <v/>
      </c>
      <c r="AZ120" s="523" t="str">
        <f>_xlfn.IFNA(IF(données_step[[#This Row],[E_NTOT]]&lt;=0,NA(),charge_entree[[#This Row],[ch_E_NTOT]]/constanten!$B$10*1000),"")</f>
        <v/>
      </c>
      <c r="BA120" s="523" t="str">
        <f>_xlfn.IFNA(IF(données_step[[#This Row],[E_NH4]]&lt;=0,NA(),charge_entree[[#This Row],[ch_E_NH4]]/constanten!$B$12*1000),"")</f>
        <v/>
      </c>
      <c r="BB120" s="523" t="str">
        <f>_xlfn.IFNA(IF(données_step[[#This Row],[E_COT]]&lt;=0,NA(),charge_entree[[#This Row],[ch_E_COT]]/constanten!$B$9*1000),"")</f>
        <v/>
      </c>
      <c r="BC120" s="523" t="str">
        <f>IFERROR(_xlfn.IFNA(IF(données_step[[#This Row],[E_PTOT]]&lt;=0,NA(),charge_entree[[#This Row],[ch_E_PTOT]]/constanten!$B$15*1000),""),"")</f>
        <v/>
      </c>
      <c r="BD120" s="535" t="e">
        <f>calculs!E120 * (1-0.4) / (données_step[[#This Row],[X_BA_VOL]]*données_step[[#This Row],[X_BACONC]])</f>
        <v>#VALUE!</v>
      </c>
      <c r="BE120" s="522" t="e">
        <f>(données_step[[#This Row],[X_BA_VOL]]*données_step[[#This Row],[X_BACONC]])/((données_step[[#This Row],[D_QTRAI2]]*données_step[[#This Row],[S_MES]]/1000)+(données_step[[#This Row],[X_BX_Q]]*données_step[[#This Row],[X_BXCONC]]))</f>
        <v>#VALUE!</v>
      </c>
      <c r="BF120" s="890" t="str">
        <f>IFERROR(données_step[[#This Row],[D_QTRAI]]/AY120*1000,"")</f>
        <v/>
      </c>
      <c r="BG120" s="535" t="str">
        <f>IFERROR(1-données_step[[#This Row],[S_DBO5]]/données_step[[#This Row],[E_DBO5]],"")</f>
        <v/>
      </c>
      <c r="BH120" s="536" t="str">
        <f>IFERROR(1-données_step[[#This Row],[S_DCO]]/données_step[[#This Row],[E_DCO]],"")</f>
        <v/>
      </c>
      <c r="BI120" s="535" t="str">
        <f>IFERROR(1-données_step[[#This Row],[S_COD]]/données_step[[#This Row],[E_COT]],"")</f>
        <v/>
      </c>
      <c r="BJ120" s="535" t="str">
        <f>IFERROR(1-données_step[[#This Row],[S_NH4]]/données_step[[#This Row],[E_NTOT]],"")</f>
        <v/>
      </c>
      <c r="BK120" s="535" t="str">
        <f>IFERROR(1-données_step[[#This Row],[S_PTOT]]/données_step[[#This Row],[E_PTOT]],"")</f>
        <v/>
      </c>
      <c r="BL120" s="521" t="str">
        <f>IFERROR(IF(données_step[[#This Row],[E_DCO]]/données_step[[#This Row],[E_DBO5]]=0,NA(),données_step[[#This Row],[E_DCO]]/données_step[[#This Row],[E_DBO5]]),"")</f>
        <v/>
      </c>
      <c r="BM120" s="521" t="str">
        <f>IFERROR(IF(données_step[[#This Row],[E_NH4]]/données_step[[#This Row],[E_NTOT]]=0,NA(),données_step[[#This Row],[E_NH4]]/données_step[[#This Row],[E_NTOT]]),"")</f>
        <v/>
      </c>
      <c r="BN120" s="521" t="str">
        <f>IFERROR(IF(données_step[[#This Row],[E_NTOT]]/données_step[[#This Row],[E_COT]]=0,NA(),données_step[[#This Row],[E_NTOT]]/données_step[[#This Row],[E_COT]]),"")</f>
        <v/>
      </c>
      <c r="BO120" s="521" t="str">
        <f>IFERROR(IF(données_step[[#This Row],[E_PTOT]]/données_step[[#This Row],[E_COT]]=0,NA(),données_step[[#This Row],[E_PTOT]]/données_step[[#This Row],[E_COT]]),"")</f>
        <v/>
      </c>
      <c r="BP120" s="521" t="e">
        <f>IF(données_step[[#This Row],[E_DCO]]/données_step[[#This Row],[E_COT]]=0,NA(),données_step[[#This Row],[E_DCO]]/données_step[[#This Row],[E_COT]])</f>
        <v>#DIV/0!</v>
      </c>
      <c r="BQ120" s="521" t="e">
        <f>IF(données_step[[#This Row],[E_NTOT]]/données_step[[#This Row],[E_DCO]]=0,NA(),données_step[[#This Row],[E_NTOT]]/données_step[[#This Row],[E_DCO]])</f>
        <v>#DIV/0!</v>
      </c>
      <c r="BR120" s="521" t="e">
        <f>IF(données_step[[#This Row],[E_PTOT]]/données_step[[#This Row],[E_DCO]]=0,NA(),données_step[[#This Row],[E_PTOT]]/données_step[[#This Row],[E_DCO]])</f>
        <v>#DIV/0!</v>
      </c>
      <c r="BS120" s="747" t="e">
        <f ca="1">test_NH4_temp(données_step[[#This Row],[S_NH4]],données_step[[#This Row],[Temp_eaux]])</f>
        <v>#NAME?</v>
      </c>
    </row>
    <row r="121" spans="1:71" x14ac:dyDescent="0.2">
      <c r="A121" s="222">
        <f>données_step[[#This Row],[Datum]]</f>
        <v>44672</v>
      </c>
      <c r="B121" s="223"/>
      <c r="C121" s="224">
        <f t="shared" si="34"/>
        <v>5</v>
      </c>
      <c r="D121" s="523" t="str">
        <f>IF(OR(données_step[[#This Row],[E_DBO5]]&lt;=0,données_step[[#This Row],[E_DBO5]]=""),"",données_step[[#This Row],[D_QTRAI]]*données_step[[#This Row],[E_DBO5]]/1000)</f>
        <v/>
      </c>
      <c r="E121" s="523" t="str">
        <f>IF(OR(données_step[[#This Row],[E_DCO]]&lt;=0,données_step[[#This Row],[E_DCO]]=""),"",données_step[[#This Row],[D_QTRAI]]*données_step[[#This Row],[E_DCO]]/1000)</f>
        <v/>
      </c>
      <c r="F121" s="523" t="str">
        <f>IF(OR(données_step[[#This Row],[E_COT]]&lt;=0,données_step[[#This Row],[E_COT]]=""),"",données_step[[#This Row],[D_QTRAI]]*données_step[[#This Row],[E_COT]]/1000)</f>
        <v/>
      </c>
      <c r="G121" s="523" t="str">
        <f>IF(OR(données_step[[#This Row],[E_NH4]]&lt;=0,données_step[[#This Row],[E_NH4]]=""),"",données_step[[#This Row],[D_QTRAI]]*données_step[[#This Row],[E_NH4]]/1000)</f>
        <v/>
      </c>
      <c r="H121" s="523" t="str">
        <f>IF(OR(données_step[[#This Row],[E_NTOT]]&lt;=0,données_step[[#This Row],[E_NTOT]]=""),"",données_step[[#This Row],[D_QTRAI]]*données_step[[#This Row],[E_NTOT]]/1000)</f>
        <v/>
      </c>
      <c r="I121" s="523" t="str">
        <f>IF(OR(données_step[[#This Row],[E_NTOT]]&lt;=0,données_step[[#This Row],[E_NTOT]]=""),"",données_step[[#This Row],[D_QTRAI]]*données_step[[#This Row],[E_PTOT]]/1000)</f>
        <v/>
      </c>
      <c r="J121" s="523" t="str">
        <f>IF(OR(données_step[[#This Row],[S_DBO5]]&lt;=0,données_step[[#This Row],[S_DBO5]]=""),"",données_step[[#This Row],[D_QTRAI]]*données_step[[#This Row],[S_DBO5]]/1000)</f>
        <v/>
      </c>
      <c r="K121" s="523" t="str">
        <f>IF(OR(données_step[[#This Row],[S_DCO]]&lt;=0,données_step[[#This Row],[S_DCO]]=""),"",données_step[[#This Row],[D_QTRAI]]*données_step[[#This Row],[S_DCO]]/1000)</f>
        <v/>
      </c>
      <c r="L121" s="523" t="str">
        <f>IF(OR(données_step[[#This Row],[S_COD]]&lt;=0,données_step[[#This Row],[S_COD]]=""),"",données_step[[#This Row],[D_QTRAI]]*données_step[[#This Row],[S_COD]]/1000)</f>
        <v/>
      </c>
      <c r="M121" s="523" t="str">
        <f>IF(OR(données_step[[#This Row],[S_NH4]]&lt;=0,données_step[[#This Row],[S_NH4]]=""),"",données_step[[#This Row],[D_QTRAI]]*données_step[[#This Row],[S_NH4]]/1000)</f>
        <v/>
      </c>
      <c r="N121" s="523" t="str">
        <f>IF(OR(données_step[[#This Row],[S_NO2]]&lt;=0,données_step[[#This Row],[S_NO2]]=""),"",données_step[[#This Row],[D_QTRAI]]*données_step[[#This Row],[S_NO2]]/1000)</f>
        <v/>
      </c>
      <c r="O121" s="523" t="str">
        <f>IF(OR(données_step[[#This Row],[S_NO3]]&lt;=0,données_step[[#This Row],[S_NO3]]=""),"",données_step[[#This Row],[D_QTRAI]]*données_step[[#This Row],[S_NO3]]/1000)</f>
        <v/>
      </c>
      <c r="P121" s="523" t="str">
        <f>IF(OR(données_step[[#This Row],[S_PTOT]]&lt;=0,données_step[[#This Row],[S_PTOT]]=""),"",données_step[[#This Row],[D_QTRAI]]*données_step[[#This Row],[S_PTOT]]/1000)</f>
        <v/>
      </c>
      <c r="Q121" s="523" t="str">
        <f>IF(OR(données_step[[#This Row],[S_MES]]&lt;=0,données_step[[#This Row],[S_MES]]=""),"",données_step[[#This Row],[D_QTRAI]]*données_step[[#This Row],[S_MES]]/1000)</f>
        <v/>
      </c>
      <c r="R121" s="523">
        <f>MAX(données_step[[#This Row],[D_QTRAI]],données_step[[#This Row],[D_QTRAI2]])</f>
        <v>0</v>
      </c>
      <c r="S121" s="523" t="str">
        <f>IF(AND($R121&gt;0,données_step[[#This Row],[E_DCO]]&gt;0),données_step[[#This Row],[E_DCO]],"")</f>
        <v/>
      </c>
      <c r="T121" s="523" t="str">
        <f>IF(S121="","",(1-données_step[[#This Row],[E_DCO]]/$V$7)*100)</f>
        <v/>
      </c>
      <c r="U121" s="523" t="str">
        <f t="shared" si="18"/>
        <v/>
      </c>
      <c r="V121" s="523" t="str">
        <f t="shared" si="19"/>
        <v/>
      </c>
      <c r="W121" s="523" t="str">
        <f t="shared" si="20"/>
        <v/>
      </c>
      <c r="X121" s="523" t="e">
        <f>IF(((100-100/$V$7*données_step[[#This Row],[E_DCO]])/100*QTS)&lt;0,NA(),IF(OR(U121&lt;0,U121=""),NA(),((100-100/$V$7*données_step[[#This Row],[E_DCO]])/100*QTS)))</f>
        <v>#NUM!</v>
      </c>
      <c r="Y121" s="523" t="str">
        <f>IF(AND($R121&gt;0,données_step[[#This Row],[E_COT]]&gt;0),données_step[[#This Row],[E_COT]],"")</f>
        <v/>
      </c>
      <c r="Z121" s="523" t="str">
        <f>IF(Y121="","",(1-données_step[[#This Row],[E_COT]]/$AB$7)*100)</f>
        <v/>
      </c>
      <c r="AA121" s="523" t="str">
        <f t="shared" si="21"/>
        <v/>
      </c>
      <c r="AB121" s="523" t="str">
        <f t="shared" si="22"/>
        <v/>
      </c>
      <c r="AC121" s="523" t="str">
        <f t="shared" si="23"/>
        <v/>
      </c>
      <c r="AD121" s="523" t="e">
        <f>IF(((100-100/$AB$7*données_step[[#This Row],[E_COT]])/100*QTS)&lt;0,NA(),IF(OR(AA121&lt;0,AA121=""),NA(),((100-100/$AB$7*données_step[[#This Row],[E_COT]])/100*QTS)))</f>
        <v>#NUM!</v>
      </c>
      <c r="AE121" s="523" t="str">
        <f>IF(AND($R121&gt;0,données_step[[#This Row],[E_NH4]]&gt;0),données_step[[#This Row],[E_NH4]],"")</f>
        <v/>
      </c>
      <c r="AF121" s="523" t="str">
        <f>IF(AE121="","",(1-données_step[[#This Row],[E_NH4]]/$AH$7)*100)</f>
        <v/>
      </c>
      <c r="AG121" s="523" t="str">
        <f t="shared" si="24"/>
        <v/>
      </c>
      <c r="AH121" s="523" t="str">
        <f t="shared" si="25"/>
        <v/>
      </c>
      <c r="AI121" s="523" t="str">
        <f t="shared" si="26"/>
        <v/>
      </c>
      <c r="AJ121" s="523" t="e">
        <f>IF(((100-100/$AH$7*données_step[[#This Row],[E_NH4]])/100*QTS)&lt;0,NA(),IF(OR(AG121&lt;0,AG121=""),NA(),((100-100/$AH$7*données_step[[#This Row],[E_NH4]])/100*QTS)))</f>
        <v>#NUM!</v>
      </c>
      <c r="AK121" s="523" t="str">
        <f>IF(AND($R121&gt;0,données_step[[#This Row],[E_PTOT]]&gt;0),données_step[[#This Row],[E_PTOT]],"")</f>
        <v/>
      </c>
      <c r="AL121" s="523" t="str">
        <f>IF(AK121="","",(1-données_step[[#This Row],[E_PTOT]]/$AN$7)*100)</f>
        <v/>
      </c>
      <c r="AM121" s="523" t="str">
        <f t="shared" si="27"/>
        <v/>
      </c>
      <c r="AN121" s="523" t="str">
        <f t="shared" si="28"/>
        <v/>
      </c>
      <c r="AO121" s="523" t="str">
        <f t="shared" si="29"/>
        <v/>
      </c>
      <c r="AP121" s="523" t="e">
        <f>IF(((100-100/$AN$7*données_step[[#This Row],[E_PTOT]])/100*QTS)&lt;0,NA(),IF(OR(AM121&lt;0,AM121=""),NA(),((100-100/$AN$7*données_step[[#This Row],[E_PTOT]])/100*QTS)))</f>
        <v>#NUM!</v>
      </c>
      <c r="AQ121" s="524" t="e">
        <f t="shared" si="30"/>
        <v>#NUM!</v>
      </c>
      <c r="AR121" s="524" t="str">
        <f t="shared" si="31"/>
        <v/>
      </c>
      <c r="AY121" s="523" t="str">
        <f>_xlfn.IFNA(IF(données_step[[#This Row],[E_DCO]]&lt;=0,NA(),charge_entree[[#This Row],[ch_E_DCO]]/constanten!$B$8*1000),"")</f>
        <v/>
      </c>
      <c r="AZ121" s="523" t="str">
        <f>_xlfn.IFNA(IF(données_step[[#This Row],[E_NTOT]]&lt;=0,NA(),charge_entree[[#This Row],[ch_E_NTOT]]/constanten!$B$10*1000),"")</f>
        <v/>
      </c>
      <c r="BA121" s="523" t="str">
        <f>_xlfn.IFNA(IF(données_step[[#This Row],[E_NH4]]&lt;=0,NA(),charge_entree[[#This Row],[ch_E_NH4]]/constanten!$B$12*1000),"")</f>
        <v/>
      </c>
      <c r="BB121" s="523" t="str">
        <f>_xlfn.IFNA(IF(données_step[[#This Row],[E_COT]]&lt;=0,NA(),charge_entree[[#This Row],[ch_E_COT]]/constanten!$B$9*1000),"")</f>
        <v/>
      </c>
      <c r="BC121" s="523" t="str">
        <f>IFERROR(_xlfn.IFNA(IF(données_step[[#This Row],[E_PTOT]]&lt;=0,NA(),charge_entree[[#This Row],[ch_E_PTOT]]/constanten!$B$15*1000),""),"")</f>
        <v/>
      </c>
      <c r="BD121" s="535" t="e">
        <f>calculs!E121 * (1-0.4) / (données_step[[#This Row],[X_BA_VOL]]*données_step[[#This Row],[X_BACONC]])</f>
        <v>#VALUE!</v>
      </c>
      <c r="BE121" s="522" t="e">
        <f>(données_step[[#This Row],[X_BA_VOL]]*données_step[[#This Row],[X_BACONC]])/((données_step[[#This Row],[D_QTRAI2]]*données_step[[#This Row],[S_MES]]/1000)+(données_step[[#This Row],[X_BX_Q]]*données_step[[#This Row],[X_BXCONC]]))</f>
        <v>#VALUE!</v>
      </c>
      <c r="BF121" s="890" t="str">
        <f>IFERROR(données_step[[#This Row],[D_QTRAI]]/AY121*1000,"")</f>
        <v/>
      </c>
      <c r="BG121" s="535" t="str">
        <f>IFERROR(1-données_step[[#This Row],[S_DBO5]]/données_step[[#This Row],[E_DBO5]],"")</f>
        <v/>
      </c>
      <c r="BH121" s="536" t="str">
        <f>IFERROR(1-données_step[[#This Row],[S_DCO]]/données_step[[#This Row],[E_DCO]],"")</f>
        <v/>
      </c>
      <c r="BI121" s="535" t="str">
        <f>IFERROR(1-données_step[[#This Row],[S_COD]]/données_step[[#This Row],[E_COT]],"")</f>
        <v/>
      </c>
      <c r="BJ121" s="535" t="str">
        <f>IFERROR(1-données_step[[#This Row],[S_NH4]]/données_step[[#This Row],[E_NTOT]],"")</f>
        <v/>
      </c>
      <c r="BK121" s="535" t="str">
        <f>IFERROR(1-données_step[[#This Row],[S_PTOT]]/données_step[[#This Row],[E_PTOT]],"")</f>
        <v/>
      </c>
      <c r="BL121" s="521" t="str">
        <f>IFERROR(IF(données_step[[#This Row],[E_DCO]]/données_step[[#This Row],[E_DBO5]]=0,NA(),données_step[[#This Row],[E_DCO]]/données_step[[#This Row],[E_DBO5]]),"")</f>
        <v/>
      </c>
      <c r="BM121" s="521" t="str">
        <f>IFERROR(IF(données_step[[#This Row],[E_NH4]]/données_step[[#This Row],[E_NTOT]]=0,NA(),données_step[[#This Row],[E_NH4]]/données_step[[#This Row],[E_NTOT]]),"")</f>
        <v/>
      </c>
      <c r="BN121" s="521" t="str">
        <f>IFERROR(IF(données_step[[#This Row],[E_NTOT]]/données_step[[#This Row],[E_COT]]=0,NA(),données_step[[#This Row],[E_NTOT]]/données_step[[#This Row],[E_COT]]),"")</f>
        <v/>
      </c>
      <c r="BO121" s="521" t="str">
        <f>IFERROR(IF(données_step[[#This Row],[E_PTOT]]/données_step[[#This Row],[E_COT]]=0,NA(),données_step[[#This Row],[E_PTOT]]/données_step[[#This Row],[E_COT]]),"")</f>
        <v/>
      </c>
      <c r="BP121" s="521" t="e">
        <f>IF(données_step[[#This Row],[E_DCO]]/données_step[[#This Row],[E_COT]]=0,NA(),données_step[[#This Row],[E_DCO]]/données_step[[#This Row],[E_COT]])</f>
        <v>#DIV/0!</v>
      </c>
      <c r="BQ121" s="521" t="e">
        <f>IF(données_step[[#This Row],[E_NTOT]]/données_step[[#This Row],[E_DCO]]=0,NA(),données_step[[#This Row],[E_NTOT]]/données_step[[#This Row],[E_DCO]])</f>
        <v>#DIV/0!</v>
      </c>
      <c r="BR121" s="521" t="e">
        <f>IF(données_step[[#This Row],[E_PTOT]]/données_step[[#This Row],[E_DCO]]=0,NA(),données_step[[#This Row],[E_PTOT]]/données_step[[#This Row],[E_DCO]])</f>
        <v>#DIV/0!</v>
      </c>
      <c r="BS121" s="747" t="e">
        <f ca="1">test_NH4_temp(données_step[[#This Row],[S_NH4]],données_step[[#This Row],[Temp_eaux]])</f>
        <v>#NAME?</v>
      </c>
    </row>
    <row r="122" spans="1:71" x14ac:dyDescent="0.2">
      <c r="A122" s="222">
        <f>données_step[[#This Row],[Datum]]</f>
        <v>44673</v>
      </c>
      <c r="B122" s="223"/>
      <c r="C122" s="224">
        <f t="shared" si="34"/>
        <v>6</v>
      </c>
      <c r="D122" s="523" t="str">
        <f>IF(OR(données_step[[#This Row],[E_DBO5]]&lt;=0,données_step[[#This Row],[E_DBO5]]=""),"",données_step[[#This Row],[D_QTRAI]]*données_step[[#This Row],[E_DBO5]]/1000)</f>
        <v/>
      </c>
      <c r="E122" s="523" t="str">
        <f>IF(OR(données_step[[#This Row],[E_DCO]]&lt;=0,données_step[[#This Row],[E_DCO]]=""),"",données_step[[#This Row],[D_QTRAI]]*données_step[[#This Row],[E_DCO]]/1000)</f>
        <v/>
      </c>
      <c r="F122" s="523" t="str">
        <f>IF(OR(données_step[[#This Row],[E_COT]]&lt;=0,données_step[[#This Row],[E_COT]]=""),"",données_step[[#This Row],[D_QTRAI]]*données_step[[#This Row],[E_COT]]/1000)</f>
        <v/>
      </c>
      <c r="G122" s="523" t="str">
        <f>IF(OR(données_step[[#This Row],[E_NH4]]&lt;=0,données_step[[#This Row],[E_NH4]]=""),"",données_step[[#This Row],[D_QTRAI]]*données_step[[#This Row],[E_NH4]]/1000)</f>
        <v/>
      </c>
      <c r="H122" s="523" t="str">
        <f>IF(OR(données_step[[#This Row],[E_NTOT]]&lt;=0,données_step[[#This Row],[E_NTOT]]=""),"",données_step[[#This Row],[D_QTRAI]]*données_step[[#This Row],[E_NTOT]]/1000)</f>
        <v/>
      </c>
      <c r="I122" s="523" t="str">
        <f>IF(OR(données_step[[#This Row],[E_NTOT]]&lt;=0,données_step[[#This Row],[E_NTOT]]=""),"",données_step[[#This Row],[D_QTRAI]]*données_step[[#This Row],[E_PTOT]]/1000)</f>
        <v/>
      </c>
      <c r="J122" s="523" t="str">
        <f>IF(OR(données_step[[#This Row],[S_DBO5]]&lt;=0,données_step[[#This Row],[S_DBO5]]=""),"",données_step[[#This Row],[D_QTRAI]]*données_step[[#This Row],[S_DBO5]]/1000)</f>
        <v/>
      </c>
      <c r="K122" s="523" t="str">
        <f>IF(OR(données_step[[#This Row],[S_DCO]]&lt;=0,données_step[[#This Row],[S_DCO]]=""),"",données_step[[#This Row],[D_QTRAI]]*données_step[[#This Row],[S_DCO]]/1000)</f>
        <v/>
      </c>
      <c r="L122" s="523" t="str">
        <f>IF(OR(données_step[[#This Row],[S_COD]]&lt;=0,données_step[[#This Row],[S_COD]]=""),"",données_step[[#This Row],[D_QTRAI]]*données_step[[#This Row],[S_COD]]/1000)</f>
        <v/>
      </c>
      <c r="M122" s="523" t="str">
        <f>IF(OR(données_step[[#This Row],[S_NH4]]&lt;=0,données_step[[#This Row],[S_NH4]]=""),"",données_step[[#This Row],[D_QTRAI]]*données_step[[#This Row],[S_NH4]]/1000)</f>
        <v/>
      </c>
      <c r="N122" s="523" t="str">
        <f>IF(OR(données_step[[#This Row],[S_NO2]]&lt;=0,données_step[[#This Row],[S_NO2]]=""),"",données_step[[#This Row],[D_QTRAI]]*données_step[[#This Row],[S_NO2]]/1000)</f>
        <v/>
      </c>
      <c r="O122" s="523" t="str">
        <f>IF(OR(données_step[[#This Row],[S_NO3]]&lt;=0,données_step[[#This Row],[S_NO3]]=""),"",données_step[[#This Row],[D_QTRAI]]*données_step[[#This Row],[S_NO3]]/1000)</f>
        <v/>
      </c>
      <c r="P122" s="523" t="str">
        <f>IF(OR(données_step[[#This Row],[S_PTOT]]&lt;=0,données_step[[#This Row],[S_PTOT]]=""),"",données_step[[#This Row],[D_QTRAI]]*données_step[[#This Row],[S_PTOT]]/1000)</f>
        <v/>
      </c>
      <c r="Q122" s="523" t="str">
        <f>IF(OR(données_step[[#This Row],[S_MES]]&lt;=0,données_step[[#This Row],[S_MES]]=""),"",données_step[[#This Row],[D_QTRAI]]*données_step[[#This Row],[S_MES]]/1000)</f>
        <v/>
      </c>
      <c r="R122" s="523">
        <f>MAX(données_step[[#This Row],[D_QTRAI]],données_step[[#This Row],[D_QTRAI2]])</f>
        <v>0</v>
      </c>
      <c r="S122" s="523" t="str">
        <f>IF(AND($R122&gt;0,données_step[[#This Row],[E_DCO]]&gt;0),données_step[[#This Row],[E_DCO]],"")</f>
        <v/>
      </c>
      <c r="T122" s="523" t="str">
        <f>IF(S122="","",(1-données_step[[#This Row],[E_DCO]]/$V$7)*100)</f>
        <v/>
      </c>
      <c r="U122" s="523" t="str">
        <f t="shared" si="18"/>
        <v/>
      </c>
      <c r="V122" s="523" t="str">
        <f t="shared" si="19"/>
        <v/>
      </c>
      <c r="W122" s="523" t="str">
        <f t="shared" si="20"/>
        <v/>
      </c>
      <c r="X122" s="523" t="e">
        <f>IF(((100-100/$V$7*données_step[[#This Row],[E_DCO]])/100*QTS)&lt;0,NA(),IF(OR(U122&lt;0,U122=""),NA(),((100-100/$V$7*données_step[[#This Row],[E_DCO]])/100*QTS)))</f>
        <v>#NUM!</v>
      </c>
      <c r="Y122" s="523" t="str">
        <f>IF(AND($R122&gt;0,données_step[[#This Row],[E_COT]]&gt;0),données_step[[#This Row],[E_COT]],"")</f>
        <v/>
      </c>
      <c r="Z122" s="523" t="str">
        <f>IF(Y122="","",(1-données_step[[#This Row],[E_COT]]/$AB$7)*100)</f>
        <v/>
      </c>
      <c r="AA122" s="523" t="str">
        <f t="shared" si="21"/>
        <v/>
      </c>
      <c r="AB122" s="523" t="str">
        <f t="shared" si="22"/>
        <v/>
      </c>
      <c r="AC122" s="523" t="str">
        <f t="shared" si="23"/>
        <v/>
      </c>
      <c r="AD122" s="523" t="e">
        <f>IF(((100-100/$AB$7*données_step[[#This Row],[E_COT]])/100*QTS)&lt;0,NA(),IF(OR(AA122&lt;0,AA122=""),NA(),((100-100/$AB$7*données_step[[#This Row],[E_COT]])/100*QTS)))</f>
        <v>#NUM!</v>
      </c>
      <c r="AE122" s="523" t="str">
        <f>IF(AND($R122&gt;0,données_step[[#This Row],[E_NH4]]&gt;0),données_step[[#This Row],[E_NH4]],"")</f>
        <v/>
      </c>
      <c r="AF122" s="523" t="str">
        <f>IF(AE122="","",(1-données_step[[#This Row],[E_NH4]]/$AH$7)*100)</f>
        <v/>
      </c>
      <c r="AG122" s="523" t="str">
        <f t="shared" si="24"/>
        <v/>
      </c>
      <c r="AH122" s="523" t="str">
        <f t="shared" si="25"/>
        <v/>
      </c>
      <c r="AI122" s="523" t="str">
        <f t="shared" si="26"/>
        <v/>
      </c>
      <c r="AJ122" s="523" t="e">
        <f>IF(((100-100/$AH$7*données_step[[#This Row],[E_NH4]])/100*QTS)&lt;0,NA(),IF(OR(AG122&lt;0,AG122=""),NA(),((100-100/$AH$7*données_step[[#This Row],[E_NH4]])/100*QTS)))</f>
        <v>#NUM!</v>
      </c>
      <c r="AK122" s="523" t="str">
        <f>IF(AND($R122&gt;0,données_step[[#This Row],[E_PTOT]]&gt;0),données_step[[#This Row],[E_PTOT]],"")</f>
        <v/>
      </c>
      <c r="AL122" s="523" t="str">
        <f>IF(AK122="","",(1-données_step[[#This Row],[E_PTOT]]/$AN$7)*100)</f>
        <v/>
      </c>
      <c r="AM122" s="523" t="str">
        <f t="shared" si="27"/>
        <v/>
      </c>
      <c r="AN122" s="523" t="str">
        <f t="shared" si="28"/>
        <v/>
      </c>
      <c r="AO122" s="523" t="str">
        <f t="shared" si="29"/>
        <v/>
      </c>
      <c r="AP122" s="523" t="e">
        <f>IF(((100-100/$AN$7*données_step[[#This Row],[E_PTOT]])/100*QTS)&lt;0,NA(),IF(OR(AM122&lt;0,AM122=""),NA(),((100-100/$AN$7*données_step[[#This Row],[E_PTOT]])/100*QTS)))</f>
        <v>#NUM!</v>
      </c>
      <c r="AQ122" s="524" t="e">
        <f t="shared" si="30"/>
        <v>#NUM!</v>
      </c>
      <c r="AR122" s="524" t="str">
        <f t="shared" si="31"/>
        <v/>
      </c>
      <c r="AY122" s="523" t="str">
        <f>_xlfn.IFNA(IF(données_step[[#This Row],[E_DCO]]&lt;=0,NA(),charge_entree[[#This Row],[ch_E_DCO]]/constanten!$B$8*1000),"")</f>
        <v/>
      </c>
      <c r="AZ122" s="523" t="str">
        <f>_xlfn.IFNA(IF(données_step[[#This Row],[E_NTOT]]&lt;=0,NA(),charge_entree[[#This Row],[ch_E_NTOT]]/constanten!$B$10*1000),"")</f>
        <v/>
      </c>
      <c r="BA122" s="523" t="str">
        <f>_xlfn.IFNA(IF(données_step[[#This Row],[E_NH4]]&lt;=0,NA(),charge_entree[[#This Row],[ch_E_NH4]]/constanten!$B$12*1000),"")</f>
        <v/>
      </c>
      <c r="BB122" s="523" t="str">
        <f>_xlfn.IFNA(IF(données_step[[#This Row],[E_COT]]&lt;=0,NA(),charge_entree[[#This Row],[ch_E_COT]]/constanten!$B$9*1000),"")</f>
        <v/>
      </c>
      <c r="BC122" s="523" t="str">
        <f>IFERROR(_xlfn.IFNA(IF(données_step[[#This Row],[E_PTOT]]&lt;=0,NA(),charge_entree[[#This Row],[ch_E_PTOT]]/constanten!$B$15*1000),""),"")</f>
        <v/>
      </c>
      <c r="BD122" s="535" t="e">
        <f>calculs!E122 * (1-0.4) / (données_step[[#This Row],[X_BA_VOL]]*données_step[[#This Row],[X_BACONC]])</f>
        <v>#VALUE!</v>
      </c>
      <c r="BE122" s="522" t="e">
        <f>(données_step[[#This Row],[X_BA_VOL]]*données_step[[#This Row],[X_BACONC]])/((données_step[[#This Row],[D_QTRAI2]]*données_step[[#This Row],[S_MES]]/1000)+(données_step[[#This Row],[X_BX_Q]]*données_step[[#This Row],[X_BXCONC]]))</f>
        <v>#VALUE!</v>
      </c>
      <c r="BF122" s="890" t="str">
        <f>IFERROR(données_step[[#This Row],[D_QTRAI]]/AY122*1000,"")</f>
        <v/>
      </c>
      <c r="BG122" s="535" t="str">
        <f>IFERROR(1-données_step[[#This Row],[S_DBO5]]/données_step[[#This Row],[E_DBO5]],"")</f>
        <v/>
      </c>
      <c r="BH122" s="536" t="str">
        <f>IFERROR(1-données_step[[#This Row],[S_DCO]]/données_step[[#This Row],[E_DCO]],"")</f>
        <v/>
      </c>
      <c r="BI122" s="535" t="str">
        <f>IFERROR(1-données_step[[#This Row],[S_COD]]/données_step[[#This Row],[E_COT]],"")</f>
        <v/>
      </c>
      <c r="BJ122" s="535" t="str">
        <f>IFERROR(1-données_step[[#This Row],[S_NH4]]/données_step[[#This Row],[E_NTOT]],"")</f>
        <v/>
      </c>
      <c r="BK122" s="535" t="str">
        <f>IFERROR(1-données_step[[#This Row],[S_PTOT]]/données_step[[#This Row],[E_PTOT]],"")</f>
        <v/>
      </c>
      <c r="BL122" s="521" t="str">
        <f>IFERROR(IF(données_step[[#This Row],[E_DCO]]/données_step[[#This Row],[E_DBO5]]=0,NA(),données_step[[#This Row],[E_DCO]]/données_step[[#This Row],[E_DBO5]]),"")</f>
        <v/>
      </c>
      <c r="BM122" s="521" t="str">
        <f>IFERROR(IF(données_step[[#This Row],[E_NH4]]/données_step[[#This Row],[E_NTOT]]=0,NA(),données_step[[#This Row],[E_NH4]]/données_step[[#This Row],[E_NTOT]]),"")</f>
        <v/>
      </c>
      <c r="BN122" s="521" t="str">
        <f>IFERROR(IF(données_step[[#This Row],[E_NTOT]]/données_step[[#This Row],[E_COT]]=0,NA(),données_step[[#This Row],[E_NTOT]]/données_step[[#This Row],[E_COT]]),"")</f>
        <v/>
      </c>
      <c r="BO122" s="521" t="str">
        <f>IFERROR(IF(données_step[[#This Row],[E_PTOT]]/données_step[[#This Row],[E_COT]]=0,NA(),données_step[[#This Row],[E_PTOT]]/données_step[[#This Row],[E_COT]]),"")</f>
        <v/>
      </c>
      <c r="BP122" s="521" t="e">
        <f>IF(données_step[[#This Row],[E_DCO]]/données_step[[#This Row],[E_COT]]=0,NA(),données_step[[#This Row],[E_DCO]]/données_step[[#This Row],[E_COT]])</f>
        <v>#DIV/0!</v>
      </c>
      <c r="BQ122" s="521" t="e">
        <f>IF(données_step[[#This Row],[E_NTOT]]/données_step[[#This Row],[E_DCO]]=0,NA(),données_step[[#This Row],[E_NTOT]]/données_step[[#This Row],[E_DCO]])</f>
        <v>#DIV/0!</v>
      </c>
      <c r="BR122" s="521" t="e">
        <f>IF(données_step[[#This Row],[E_PTOT]]/données_step[[#This Row],[E_DCO]]=0,NA(),données_step[[#This Row],[E_PTOT]]/données_step[[#This Row],[E_DCO]])</f>
        <v>#DIV/0!</v>
      </c>
      <c r="BS122" s="747" t="e">
        <f ca="1">test_NH4_temp(données_step[[#This Row],[S_NH4]],données_step[[#This Row],[Temp_eaux]])</f>
        <v>#NAME?</v>
      </c>
    </row>
    <row r="123" spans="1:71" x14ac:dyDescent="0.2">
      <c r="A123" s="222">
        <f>données_step[[#This Row],[Datum]]</f>
        <v>44674</v>
      </c>
      <c r="B123" s="223"/>
      <c r="C123" s="224">
        <f t="shared" si="34"/>
        <v>7</v>
      </c>
      <c r="D123" s="523" t="str">
        <f>IF(OR(données_step[[#This Row],[E_DBO5]]&lt;=0,données_step[[#This Row],[E_DBO5]]=""),"",données_step[[#This Row],[D_QTRAI]]*données_step[[#This Row],[E_DBO5]]/1000)</f>
        <v/>
      </c>
      <c r="E123" s="523" t="str">
        <f>IF(OR(données_step[[#This Row],[E_DCO]]&lt;=0,données_step[[#This Row],[E_DCO]]=""),"",données_step[[#This Row],[D_QTRAI]]*données_step[[#This Row],[E_DCO]]/1000)</f>
        <v/>
      </c>
      <c r="F123" s="523" t="str">
        <f>IF(OR(données_step[[#This Row],[E_COT]]&lt;=0,données_step[[#This Row],[E_COT]]=""),"",données_step[[#This Row],[D_QTRAI]]*données_step[[#This Row],[E_COT]]/1000)</f>
        <v/>
      </c>
      <c r="G123" s="523" t="str">
        <f>IF(OR(données_step[[#This Row],[E_NH4]]&lt;=0,données_step[[#This Row],[E_NH4]]=""),"",données_step[[#This Row],[D_QTRAI]]*données_step[[#This Row],[E_NH4]]/1000)</f>
        <v/>
      </c>
      <c r="H123" s="523" t="str">
        <f>IF(OR(données_step[[#This Row],[E_NTOT]]&lt;=0,données_step[[#This Row],[E_NTOT]]=""),"",données_step[[#This Row],[D_QTRAI]]*données_step[[#This Row],[E_NTOT]]/1000)</f>
        <v/>
      </c>
      <c r="I123" s="523" t="str">
        <f>IF(OR(données_step[[#This Row],[E_NTOT]]&lt;=0,données_step[[#This Row],[E_NTOT]]=""),"",données_step[[#This Row],[D_QTRAI]]*données_step[[#This Row],[E_PTOT]]/1000)</f>
        <v/>
      </c>
      <c r="J123" s="523" t="str">
        <f>IF(OR(données_step[[#This Row],[S_DBO5]]&lt;=0,données_step[[#This Row],[S_DBO5]]=""),"",données_step[[#This Row],[D_QTRAI]]*données_step[[#This Row],[S_DBO5]]/1000)</f>
        <v/>
      </c>
      <c r="K123" s="523" t="str">
        <f>IF(OR(données_step[[#This Row],[S_DCO]]&lt;=0,données_step[[#This Row],[S_DCO]]=""),"",données_step[[#This Row],[D_QTRAI]]*données_step[[#This Row],[S_DCO]]/1000)</f>
        <v/>
      </c>
      <c r="L123" s="523" t="str">
        <f>IF(OR(données_step[[#This Row],[S_COD]]&lt;=0,données_step[[#This Row],[S_COD]]=""),"",données_step[[#This Row],[D_QTRAI]]*données_step[[#This Row],[S_COD]]/1000)</f>
        <v/>
      </c>
      <c r="M123" s="523" t="str">
        <f>IF(OR(données_step[[#This Row],[S_NH4]]&lt;=0,données_step[[#This Row],[S_NH4]]=""),"",données_step[[#This Row],[D_QTRAI]]*données_step[[#This Row],[S_NH4]]/1000)</f>
        <v/>
      </c>
      <c r="N123" s="523" t="str">
        <f>IF(OR(données_step[[#This Row],[S_NO2]]&lt;=0,données_step[[#This Row],[S_NO2]]=""),"",données_step[[#This Row],[D_QTRAI]]*données_step[[#This Row],[S_NO2]]/1000)</f>
        <v/>
      </c>
      <c r="O123" s="523" t="str">
        <f>IF(OR(données_step[[#This Row],[S_NO3]]&lt;=0,données_step[[#This Row],[S_NO3]]=""),"",données_step[[#This Row],[D_QTRAI]]*données_step[[#This Row],[S_NO3]]/1000)</f>
        <v/>
      </c>
      <c r="P123" s="523" t="str">
        <f>IF(OR(données_step[[#This Row],[S_PTOT]]&lt;=0,données_step[[#This Row],[S_PTOT]]=""),"",données_step[[#This Row],[D_QTRAI]]*données_step[[#This Row],[S_PTOT]]/1000)</f>
        <v/>
      </c>
      <c r="Q123" s="523" t="str">
        <f>IF(OR(données_step[[#This Row],[S_MES]]&lt;=0,données_step[[#This Row],[S_MES]]=""),"",données_step[[#This Row],[D_QTRAI]]*données_step[[#This Row],[S_MES]]/1000)</f>
        <v/>
      </c>
      <c r="R123" s="523">
        <f>MAX(données_step[[#This Row],[D_QTRAI]],données_step[[#This Row],[D_QTRAI2]])</f>
        <v>0</v>
      </c>
      <c r="S123" s="523" t="str">
        <f>IF(AND($R123&gt;0,données_step[[#This Row],[E_DCO]]&gt;0),données_step[[#This Row],[E_DCO]],"")</f>
        <v/>
      </c>
      <c r="T123" s="523" t="str">
        <f>IF(S123="","",(1-données_step[[#This Row],[E_DCO]]/$V$7)*100)</f>
        <v/>
      </c>
      <c r="U123" s="523" t="str">
        <f t="shared" si="18"/>
        <v/>
      </c>
      <c r="V123" s="523" t="str">
        <f t="shared" si="19"/>
        <v/>
      </c>
      <c r="W123" s="523" t="str">
        <f t="shared" si="20"/>
        <v/>
      </c>
      <c r="X123" s="523" t="e">
        <f>IF(((100-100/$V$7*données_step[[#This Row],[E_DCO]])/100*QTS)&lt;0,NA(),IF(OR(U123&lt;0,U123=""),NA(),((100-100/$V$7*données_step[[#This Row],[E_DCO]])/100*QTS)))</f>
        <v>#NUM!</v>
      </c>
      <c r="Y123" s="523" t="str">
        <f>IF(AND($R123&gt;0,données_step[[#This Row],[E_COT]]&gt;0),données_step[[#This Row],[E_COT]],"")</f>
        <v/>
      </c>
      <c r="Z123" s="523" t="str">
        <f>IF(Y123="","",(1-données_step[[#This Row],[E_COT]]/$AB$7)*100)</f>
        <v/>
      </c>
      <c r="AA123" s="523" t="str">
        <f t="shared" si="21"/>
        <v/>
      </c>
      <c r="AB123" s="523" t="str">
        <f t="shared" si="22"/>
        <v/>
      </c>
      <c r="AC123" s="523" t="str">
        <f t="shared" si="23"/>
        <v/>
      </c>
      <c r="AD123" s="523" t="e">
        <f>IF(((100-100/$AB$7*données_step[[#This Row],[E_COT]])/100*QTS)&lt;0,NA(),IF(OR(AA123&lt;0,AA123=""),NA(),((100-100/$AB$7*données_step[[#This Row],[E_COT]])/100*QTS)))</f>
        <v>#NUM!</v>
      </c>
      <c r="AE123" s="523" t="str">
        <f>IF(AND($R123&gt;0,données_step[[#This Row],[E_NH4]]&gt;0),données_step[[#This Row],[E_NH4]],"")</f>
        <v/>
      </c>
      <c r="AF123" s="523" t="str">
        <f>IF(AE123="","",(1-données_step[[#This Row],[E_NH4]]/$AH$7)*100)</f>
        <v/>
      </c>
      <c r="AG123" s="523" t="str">
        <f t="shared" si="24"/>
        <v/>
      </c>
      <c r="AH123" s="523" t="str">
        <f t="shared" si="25"/>
        <v/>
      </c>
      <c r="AI123" s="523" t="str">
        <f t="shared" si="26"/>
        <v/>
      </c>
      <c r="AJ123" s="523" t="e">
        <f>IF(((100-100/$AH$7*données_step[[#This Row],[E_NH4]])/100*QTS)&lt;0,NA(),IF(OR(AG123&lt;0,AG123=""),NA(),((100-100/$AH$7*données_step[[#This Row],[E_NH4]])/100*QTS)))</f>
        <v>#NUM!</v>
      </c>
      <c r="AK123" s="523" t="str">
        <f>IF(AND($R123&gt;0,données_step[[#This Row],[E_PTOT]]&gt;0),données_step[[#This Row],[E_PTOT]],"")</f>
        <v/>
      </c>
      <c r="AL123" s="523" t="str">
        <f>IF(AK123="","",(1-données_step[[#This Row],[E_PTOT]]/$AN$7)*100)</f>
        <v/>
      </c>
      <c r="AM123" s="523" t="str">
        <f t="shared" si="27"/>
        <v/>
      </c>
      <c r="AN123" s="523" t="str">
        <f t="shared" si="28"/>
        <v/>
      </c>
      <c r="AO123" s="523" t="str">
        <f t="shared" si="29"/>
        <v/>
      </c>
      <c r="AP123" s="523" t="e">
        <f>IF(((100-100/$AN$7*données_step[[#This Row],[E_PTOT]])/100*QTS)&lt;0,NA(),IF(OR(AM123&lt;0,AM123=""),NA(),((100-100/$AN$7*données_step[[#This Row],[E_PTOT]])/100*QTS)))</f>
        <v>#NUM!</v>
      </c>
      <c r="AQ123" s="524" t="e">
        <f t="shared" si="30"/>
        <v>#NUM!</v>
      </c>
      <c r="AR123" s="524" t="str">
        <f t="shared" si="31"/>
        <v/>
      </c>
      <c r="AY123" s="523" t="str">
        <f>_xlfn.IFNA(IF(données_step[[#This Row],[E_DCO]]&lt;=0,NA(),charge_entree[[#This Row],[ch_E_DCO]]/constanten!$B$8*1000),"")</f>
        <v/>
      </c>
      <c r="AZ123" s="523" t="str">
        <f>_xlfn.IFNA(IF(données_step[[#This Row],[E_NTOT]]&lt;=0,NA(),charge_entree[[#This Row],[ch_E_NTOT]]/constanten!$B$10*1000),"")</f>
        <v/>
      </c>
      <c r="BA123" s="523" t="str">
        <f>_xlfn.IFNA(IF(données_step[[#This Row],[E_NH4]]&lt;=0,NA(),charge_entree[[#This Row],[ch_E_NH4]]/constanten!$B$12*1000),"")</f>
        <v/>
      </c>
      <c r="BB123" s="523" t="str">
        <f>_xlfn.IFNA(IF(données_step[[#This Row],[E_COT]]&lt;=0,NA(),charge_entree[[#This Row],[ch_E_COT]]/constanten!$B$9*1000),"")</f>
        <v/>
      </c>
      <c r="BC123" s="523" t="str">
        <f>IFERROR(_xlfn.IFNA(IF(données_step[[#This Row],[E_PTOT]]&lt;=0,NA(),charge_entree[[#This Row],[ch_E_PTOT]]/constanten!$B$15*1000),""),"")</f>
        <v/>
      </c>
      <c r="BD123" s="535" t="e">
        <f>calculs!E123 * (1-0.4) / (données_step[[#This Row],[X_BA_VOL]]*données_step[[#This Row],[X_BACONC]])</f>
        <v>#VALUE!</v>
      </c>
      <c r="BE123" s="522" t="e">
        <f>(données_step[[#This Row],[X_BA_VOL]]*données_step[[#This Row],[X_BACONC]])/((données_step[[#This Row],[D_QTRAI2]]*données_step[[#This Row],[S_MES]]/1000)+(données_step[[#This Row],[X_BX_Q]]*données_step[[#This Row],[X_BXCONC]]))</f>
        <v>#VALUE!</v>
      </c>
      <c r="BF123" s="890" t="str">
        <f>IFERROR(données_step[[#This Row],[D_QTRAI]]/AY123*1000,"")</f>
        <v/>
      </c>
      <c r="BG123" s="535" t="str">
        <f>IFERROR(1-données_step[[#This Row],[S_DBO5]]/données_step[[#This Row],[E_DBO5]],"")</f>
        <v/>
      </c>
      <c r="BH123" s="536" t="str">
        <f>IFERROR(1-données_step[[#This Row],[S_DCO]]/données_step[[#This Row],[E_DCO]],"")</f>
        <v/>
      </c>
      <c r="BI123" s="535" t="str">
        <f>IFERROR(1-données_step[[#This Row],[S_COD]]/données_step[[#This Row],[E_COT]],"")</f>
        <v/>
      </c>
      <c r="BJ123" s="535" t="str">
        <f>IFERROR(1-données_step[[#This Row],[S_NH4]]/données_step[[#This Row],[E_NTOT]],"")</f>
        <v/>
      </c>
      <c r="BK123" s="535" t="str">
        <f>IFERROR(1-données_step[[#This Row],[S_PTOT]]/données_step[[#This Row],[E_PTOT]],"")</f>
        <v/>
      </c>
      <c r="BL123" s="521" t="str">
        <f>IFERROR(IF(données_step[[#This Row],[E_DCO]]/données_step[[#This Row],[E_DBO5]]=0,NA(),données_step[[#This Row],[E_DCO]]/données_step[[#This Row],[E_DBO5]]),"")</f>
        <v/>
      </c>
      <c r="BM123" s="521" t="str">
        <f>IFERROR(IF(données_step[[#This Row],[E_NH4]]/données_step[[#This Row],[E_NTOT]]=0,NA(),données_step[[#This Row],[E_NH4]]/données_step[[#This Row],[E_NTOT]]),"")</f>
        <v/>
      </c>
      <c r="BN123" s="521" t="str">
        <f>IFERROR(IF(données_step[[#This Row],[E_NTOT]]/données_step[[#This Row],[E_COT]]=0,NA(),données_step[[#This Row],[E_NTOT]]/données_step[[#This Row],[E_COT]]),"")</f>
        <v/>
      </c>
      <c r="BO123" s="521" t="str">
        <f>IFERROR(IF(données_step[[#This Row],[E_PTOT]]/données_step[[#This Row],[E_COT]]=0,NA(),données_step[[#This Row],[E_PTOT]]/données_step[[#This Row],[E_COT]]),"")</f>
        <v/>
      </c>
      <c r="BP123" s="521" t="e">
        <f>IF(données_step[[#This Row],[E_DCO]]/données_step[[#This Row],[E_COT]]=0,NA(),données_step[[#This Row],[E_DCO]]/données_step[[#This Row],[E_COT]])</f>
        <v>#DIV/0!</v>
      </c>
      <c r="BQ123" s="521" t="e">
        <f>IF(données_step[[#This Row],[E_NTOT]]/données_step[[#This Row],[E_DCO]]=0,NA(),données_step[[#This Row],[E_NTOT]]/données_step[[#This Row],[E_DCO]])</f>
        <v>#DIV/0!</v>
      </c>
      <c r="BR123" s="521" t="e">
        <f>IF(données_step[[#This Row],[E_PTOT]]/données_step[[#This Row],[E_DCO]]=0,NA(),données_step[[#This Row],[E_PTOT]]/données_step[[#This Row],[E_DCO]])</f>
        <v>#DIV/0!</v>
      </c>
      <c r="BS123" s="747" t="e">
        <f ca="1">test_NH4_temp(données_step[[#This Row],[S_NH4]],données_step[[#This Row],[Temp_eaux]])</f>
        <v>#NAME?</v>
      </c>
    </row>
    <row r="124" spans="1:71" x14ac:dyDescent="0.2">
      <c r="A124" s="222">
        <f>données_step[[#This Row],[Datum]]</f>
        <v>44675</v>
      </c>
      <c r="B124" s="223"/>
      <c r="C124" s="224">
        <f t="shared" si="34"/>
        <v>1</v>
      </c>
      <c r="D124" s="523" t="str">
        <f>IF(OR(données_step[[#This Row],[E_DBO5]]&lt;=0,données_step[[#This Row],[E_DBO5]]=""),"",données_step[[#This Row],[D_QTRAI]]*données_step[[#This Row],[E_DBO5]]/1000)</f>
        <v/>
      </c>
      <c r="E124" s="523" t="str">
        <f>IF(OR(données_step[[#This Row],[E_DCO]]&lt;=0,données_step[[#This Row],[E_DCO]]=""),"",données_step[[#This Row],[D_QTRAI]]*données_step[[#This Row],[E_DCO]]/1000)</f>
        <v/>
      </c>
      <c r="F124" s="523" t="str">
        <f>IF(OR(données_step[[#This Row],[E_COT]]&lt;=0,données_step[[#This Row],[E_COT]]=""),"",données_step[[#This Row],[D_QTRAI]]*données_step[[#This Row],[E_COT]]/1000)</f>
        <v/>
      </c>
      <c r="G124" s="523" t="str">
        <f>IF(OR(données_step[[#This Row],[E_NH4]]&lt;=0,données_step[[#This Row],[E_NH4]]=""),"",données_step[[#This Row],[D_QTRAI]]*données_step[[#This Row],[E_NH4]]/1000)</f>
        <v/>
      </c>
      <c r="H124" s="523" t="str">
        <f>IF(OR(données_step[[#This Row],[E_NTOT]]&lt;=0,données_step[[#This Row],[E_NTOT]]=""),"",données_step[[#This Row],[D_QTRAI]]*données_step[[#This Row],[E_NTOT]]/1000)</f>
        <v/>
      </c>
      <c r="I124" s="523" t="str">
        <f>IF(OR(données_step[[#This Row],[E_NTOT]]&lt;=0,données_step[[#This Row],[E_NTOT]]=""),"",données_step[[#This Row],[D_QTRAI]]*données_step[[#This Row],[E_PTOT]]/1000)</f>
        <v/>
      </c>
      <c r="J124" s="523" t="str">
        <f>IF(OR(données_step[[#This Row],[S_DBO5]]&lt;=0,données_step[[#This Row],[S_DBO5]]=""),"",données_step[[#This Row],[D_QTRAI]]*données_step[[#This Row],[S_DBO5]]/1000)</f>
        <v/>
      </c>
      <c r="K124" s="523" t="str">
        <f>IF(OR(données_step[[#This Row],[S_DCO]]&lt;=0,données_step[[#This Row],[S_DCO]]=""),"",données_step[[#This Row],[D_QTRAI]]*données_step[[#This Row],[S_DCO]]/1000)</f>
        <v/>
      </c>
      <c r="L124" s="523" t="str">
        <f>IF(OR(données_step[[#This Row],[S_COD]]&lt;=0,données_step[[#This Row],[S_COD]]=""),"",données_step[[#This Row],[D_QTRAI]]*données_step[[#This Row],[S_COD]]/1000)</f>
        <v/>
      </c>
      <c r="M124" s="523" t="str">
        <f>IF(OR(données_step[[#This Row],[S_NH4]]&lt;=0,données_step[[#This Row],[S_NH4]]=""),"",données_step[[#This Row],[D_QTRAI]]*données_step[[#This Row],[S_NH4]]/1000)</f>
        <v/>
      </c>
      <c r="N124" s="523" t="str">
        <f>IF(OR(données_step[[#This Row],[S_NO2]]&lt;=0,données_step[[#This Row],[S_NO2]]=""),"",données_step[[#This Row],[D_QTRAI]]*données_step[[#This Row],[S_NO2]]/1000)</f>
        <v/>
      </c>
      <c r="O124" s="523" t="str">
        <f>IF(OR(données_step[[#This Row],[S_NO3]]&lt;=0,données_step[[#This Row],[S_NO3]]=""),"",données_step[[#This Row],[D_QTRAI]]*données_step[[#This Row],[S_NO3]]/1000)</f>
        <v/>
      </c>
      <c r="P124" s="523" t="str">
        <f>IF(OR(données_step[[#This Row],[S_PTOT]]&lt;=0,données_step[[#This Row],[S_PTOT]]=""),"",données_step[[#This Row],[D_QTRAI]]*données_step[[#This Row],[S_PTOT]]/1000)</f>
        <v/>
      </c>
      <c r="Q124" s="523" t="str">
        <f>IF(OR(données_step[[#This Row],[S_MES]]&lt;=0,données_step[[#This Row],[S_MES]]=""),"",données_step[[#This Row],[D_QTRAI]]*données_step[[#This Row],[S_MES]]/1000)</f>
        <v/>
      </c>
      <c r="R124" s="523">
        <f>MAX(données_step[[#This Row],[D_QTRAI]],données_step[[#This Row],[D_QTRAI2]])</f>
        <v>0</v>
      </c>
      <c r="S124" s="523" t="str">
        <f>IF(AND($R124&gt;0,données_step[[#This Row],[E_DCO]]&gt;0),données_step[[#This Row],[E_DCO]],"")</f>
        <v/>
      </c>
      <c r="T124" s="523" t="str">
        <f>IF(S124="","",(1-données_step[[#This Row],[E_DCO]]/$V$7)*100)</f>
        <v/>
      </c>
      <c r="U124" s="523" t="str">
        <f t="shared" si="18"/>
        <v/>
      </c>
      <c r="V124" s="523" t="str">
        <f t="shared" si="19"/>
        <v/>
      </c>
      <c r="W124" s="523" t="str">
        <f t="shared" si="20"/>
        <v/>
      </c>
      <c r="X124" s="523" t="e">
        <f>IF(((100-100/$V$7*données_step[[#This Row],[E_DCO]])/100*QTS)&lt;0,NA(),IF(OR(U124&lt;0,U124=""),NA(),((100-100/$V$7*données_step[[#This Row],[E_DCO]])/100*QTS)))</f>
        <v>#NUM!</v>
      </c>
      <c r="Y124" s="523" t="str">
        <f>IF(AND($R124&gt;0,données_step[[#This Row],[E_COT]]&gt;0),données_step[[#This Row],[E_COT]],"")</f>
        <v/>
      </c>
      <c r="Z124" s="523" t="str">
        <f>IF(Y124="","",(1-données_step[[#This Row],[E_COT]]/$AB$7)*100)</f>
        <v/>
      </c>
      <c r="AA124" s="523" t="str">
        <f t="shared" si="21"/>
        <v/>
      </c>
      <c r="AB124" s="523" t="str">
        <f t="shared" si="22"/>
        <v/>
      </c>
      <c r="AC124" s="523" t="str">
        <f t="shared" si="23"/>
        <v/>
      </c>
      <c r="AD124" s="523" t="e">
        <f>IF(((100-100/$AB$7*données_step[[#This Row],[E_COT]])/100*QTS)&lt;0,NA(),IF(OR(AA124&lt;0,AA124=""),NA(),((100-100/$AB$7*données_step[[#This Row],[E_COT]])/100*QTS)))</f>
        <v>#NUM!</v>
      </c>
      <c r="AE124" s="523" t="str">
        <f>IF(AND($R124&gt;0,données_step[[#This Row],[E_NH4]]&gt;0),données_step[[#This Row],[E_NH4]],"")</f>
        <v/>
      </c>
      <c r="AF124" s="523" t="str">
        <f>IF(AE124="","",(1-données_step[[#This Row],[E_NH4]]/$AH$7)*100)</f>
        <v/>
      </c>
      <c r="AG124" s="523" t="str">
        <f t="shared" si="24"/>
        <v/>
      </c>
      <c r="AH124" s="523" t="str">
        <f t="shared" si="25"/>
        <v/>
      </c>
      <c r="AI124" s="523" t="str">
        <f t="shared" si="26"/>
        <v/>
      </c>
      <c r="AJ124" s="523" t="e">
        <f>IF(((100-100/$AH$7*données_step[[#This Row],[E_NH4]])/100*QTS)&lt;0,NA(),IF(OR(AG124&lt;0,AG124=""),NA(),((100-100/$AH$7*données_step[[#This Row],[E_NH4]])/100*QTS)))</f>
        <v>#NUM!</v>
      </c>
      <c r="AK124" s="523" t="str">
        <f>IF(AND($R124&gt;0,données_step[[#This Row],[E_PTOT]]&gt;0),données_step[[#This Row],[E_PTOT]],"")</f>
        <v/>
      </c>
      <c r="AL124" s="523" t="str">
        <f>IF(AK124="","",(1-données_step[[#This Row],[E_PTOT]]/$AN$7)*100)</f>
        <v/>
      </c>
      <c r="AM124" s="523" t="str">
        <f t="shared" si="27"/>
        <v/>
      </c>
      <c r="AN124" s="523" t="str">
        <f t="shared" si="28"/>
        <v/>
      </c>
      <c r="AO124" s="523" t="str">
        <f t="shared" si="29"/>
        <v/>
      </c>
      <c r="AP124" s="523" t="e">
        <f>IF(((100-100/$AN$7*données_step[[#This Row],[E_PTOT]])/100*QTS)&lt;0,NA(),IF(OR(AM124&lt;0,AM124=""),NA(),((100-100/$AN$7*données_step[[#This Row],[E_PTOT]])/100*QTS)))</f>
        <v>#NUM!</v>
      </c>
      <c r="AQ124" s="524" t="e">
        <f t="shared" si="30"/>
        <v>#NUM!</v>
      </c>
      <c r="AR124" s="524" t="str">
        <f t="shared" si="31"/>
        <v/>
      </c>
      <c r="AY124" s="523" t="str">
        <f>_xlfn.IFNA(IF(données_step[[#This Row],[E_DCO]]&lt;=0,NA(),charge_entree[[#This Row],[ch_E_DCO]]/constanten!$B$8*1000),"")</f>
        <v/>
      </c>
      <c r="AZ124" s="523" t="str">
        <f>_xlfn.IFNA(IF(données_step[[#This Row],[E_NTOT]]&lt;=0,NA(),charge_entree[[#This Row],[ch_E_NTOT]]/constanten!$B$10*1000),"")</f>
        <v/>
      </c>
      <c r="BA124" s="523" t="str">
        <f>_xlfn.IFNA(IF(données_step[[#This Row],[E_NH4]]&lt;=0,NA(),charge_entree[[#This Row],[ch_E_NH4]]/constanten!$B$12*1000),"")</f>
        <v/>
      </c>
      <c r="BB124" s="523" t="str">
        <f>_xlfn.IFNA(IF(données_step[[#This Row],[E_COT]]&lt;=0,NA(),charge_entree[[#This Row],[ch_E_COT]]/constanten!$B$9*1000),"")</f>
        <v/>
      </c>
      <c r="BC124" s="523" t="str">
        <f>IFERROR(_xlfn.IFNA(IF(données_step[[#This Row],[E_PTOT]]&lt;=0,NA(),charge_entree[[#This Row],[ch_E_PTOT]]/constanten!$B$15*1000),""),"")</f>
        <v/>
      </c>
      <c r="BD124" s="535" t="e">
        <f>calculs!E124 * (1-0.4) / (données_step[[#This Row],[X_BA_VOL]]*données_step[[#This Row],[X_BACONC]])</f>
        <v>#VALUE!</v>
      </c>
      <c r="BE124" s="522" t="e">
        <f>(données_step[[#This Row],[X_BA_VOL]]*données_step[[#This Row],[X_BACONC]])/((données_step[[#This Row],[D_QTRAI2]]*données_step[[#This Row],[S_MES]]/1000)+(données_step[[#This Row],[X_BX_Q]]*données_step[[#This Row],[X_BXCONC]]))</f>
        <v>#VALUE!</v>
      </c>
      <c r="BF124" s="890" t="str">
        <f>IFERROR(données_step[[#This Row],[D_QTRAI]]/AY124*1000,"")</f>
        <v/>
      </c>
      <c r="BG124" s="535" t="str">
        <f>IFERROR(1-données_step[[#This Row],[S_DBO5]]/données_step[[#This Row],[E_DBO5]],"")</f>
        <v/>
      </c>
      <c r="BH124" s="536" t="str">
        <f>IFERROR(1-données_step[[#This Row],[S_DCO]]/données_step[[#This Row],[E_DCO]],"")</f>
        <v/>
      </c>
      <c r="BI124" s="535" t="str">
        <f>IFERROR(1-données_step[[#This Row],[S_COD]]/données_step[[#This Row],[E_COT]],"")</f>
        <v/>
      </c>
      <c r="BJ124" s="535" t="str">
        <f>IFERROR(1-données_step[[#This Row],[S_NH4]]/données_step[[#This Row],[E_NTOT]],"")</f>
        <v/>
      </c>
      <c r="BK124" s="535" t="str">
        <f>IFERROR(1-données_step[[#This Row],[S_PTOT]]/données_step[[#This Row],[E_PTOT]],"")</f>
        <v/>
      </c>
      <c r="BL124" s="521" t="str">
        <f>IFERROR(IF(données_step[[#This Row],[E_DCO]]/données_step[[#This Row],[E_DBO5]]=0,NA(),données_step[[#This Row],[E_DCO]]/données_step[[#This Row],[E_DBO5]]),"")</f>
        <v/>
      </c>
      <c r="BM124" s="521" t="str">
        <f>IFERROR(IF(données_step[[#This Row],[E_NH4]]/données_step[[#This Row],[E_NTOT]]=0,NA(),données_step[[#This Row],[E_NH4]]/données_step[[#This Row],[E_NTOT]]),"")</f>
        <v/>
      </c>
      <c r="BN124" s="521" t="str">
        <f>IFERROR(IF(données_step[[#This Row],[E_NTOT]]/données_step[[#This Row],[E_COT]]=0,NA(),données_step[[#This Row],[E_NTOT]]/données_step[[#This Row],[E_COT]]),"")</f>
        <v/>
      </c>
      <c r="BO124" s="521" t="str">
        <f>IFERROR(IF(données_step[[#This Row],[E_PTOT]]/données_step[[#This Row],[E_COT]]=0,NA(),données_step[[#This Row],[E_PTOT]]/données_step[[#This Row],[E_COT]]),"")</f>
        <v/>
      </c>
      <c r="BP124" s="521" t="e">
        <f>IF(données_step[[#This Row],[E_DCO]]/données_step[[#This Row],[E_COT]]=0,NA(),données_step[[#This Row],[E_DCO]]/données_step[[#This Row],[E_COT]])</f>
        <v>#DIV/0!</v>
      </c>
      <c r="BQ124" s="521" t="e">
        <f>IF(données_step[[#This Row],[E_NTOT]]/données_step[[#This Row],[E_DCO]]=0,NA(),données_step[[#This Row],[E_NTOT]]/données_step[[#This Row],[E_DCO]])</f>
        <v>#DIV/0!</v>
      </c>
      <c r="BR124" s="521" t="e">
        <f>IF(données_step[[#This Row],[E_PTOT]]/données_step[[#This Row],[E_DCO]]=0,NA(),données_step[[#This Row],[E_PTOT]]/données_step[[#This Row],[E_DCO]])</f>
        <v>#DIV/0!</v>
      </c>
      <c r="BS124" s="747" t="e">
        <f ca="1">test_NH4_temp(données_step[[#This Row],[S_NH4]],données_step[[#This Row],[Temp_eaux]])</f>
        <v>#NAME?</v>
      </c>
    </row>
    <row r="125" spans="1:71" x14ac:dyDescent="0.2">
      <c r="A125" s="222">
        <f>données_step[[#This Row],[Datum]]</f>
        <v>44676</v>
      </c>
      <c r="B125" s="223"/>
      <c r="C125" s="224">
        <f t="shared" si="34"/>
        <v>2</v>
      </c>
      <c r="D125" s="523" t="str">
        <f>IF(OR(données_step[[#This Row],[E_DBO5]]&lt;=0,données_step[[#This Row],[E_DBO5]]=""),"",données_step[[#This Row],[D_QTRAI]]*données_step[[#This Row],[E_DBO5]]/1000)</f>
        <v/>
      </c>
      <c r="E125" s="523" t="str">
        <f>IF(OR(données_step[[#This Row],[E_DCO]]&lt;=0,données_step[[#This Row],[E_DCO]]=""),"",données_step[[#This Row],[D_QTRAI]]*données_step[[#This Row],[E_DCO]]/1000)</f>
        <v/>
      </c>
      <c r="F125" s="523" t="str">
        <f>IF(OR(données_step[[#This Row],[E_COT]]&lt;=0,données_step[[#This Row],[E_COT]]=""),"",données_step[[#This Row],[D_QTRAI]]*données_step[[#This Row],[E_COT]]/1000)</f>
        <v/>
      </c>
      <c r="G125" s="523" t="str">
        <f>IF(OR(données_step[[#This Row],[E_NH4]]&lt;=0,données_step[[#This Row],[E_NH4]]=""),"",données_step[[#This Row],[D_QTRAI]]*données_step[[#This Row],[E_NH4]]/1000)</f>
        <v/>
      </c>
      <c r="H125" s="523" t="str">
        <f>IF(OR(données_step[[#This Row],[E_NTOT]]&lt;=0,données_step[[#This Row],[E_NTOT]]=""),"",données_step[[#This Row],[D_QTRAI]]*données_step[[#This Row],[E_NTOT]]/1000)</f>
        <v/>
      </c>
      <c r="I125" s="523" t="str">
        <f>IF(OR(données_step[[#This Row],[E_NTOT]]&lt;=0,données_step[[#This Row],[E_NTOT]]=""),"",données_step[[#This Row],[D_QTRAI]]*données_step[[#This Row],[E_PTOT]]/1000)</f>
        <v/>
      </c>
      <c r="J125" s="523" t="str">
        <f>IF(OR(données_step[[#This Row],[S_DBO5]]&lt;=0,données_step[[#This Row],[S_DBO5]]=""),"",données_step[[#This Row],[D_QTRAI]]*données_step[[#This Row],[S_DBO5]]/1000)</f>
        <v/>
      </c>
      <c r="K125" s="523" t="str">
        <f>IF(OR(données_step[[#This Row],[S_DCO]]&lt;=0,données_step[[#This Row],[S_DCO]]=""),"",données_step[[#This Row],[D_QTRAI]]*données_step[[#This Row],[S_DCO]]/1000)</f>
        <v/>
      </c>
      <c r="L125" s="523" t="str">
        <f>IF(OR(données_step[[#This Row],[S_COD]]&lt;=0,données_step[[#This Row],[S_COD]]=""),"",données_step[[#This Row],[D_QTRAI]]*données_step[[#This Row],[S_COD]]/1000)</f>
        <v/>
      </c>
      <c r="M125" s="523" t="str">
        <f>IF(OR(données_step[[#This Row],[S_NH4]]&lt;=0,données_step[[#This Row],[S_NH4]]=""),"",données_step[[#This Row],[D_QTRAI]]*données_step[[#This Row],[S_NH4]]/1000)</f>
        <v/>
      </c>
      <c r="N125" s="523" t="str">
        <f>IF(OR(données_step[[#This Row],[S_NO2]]&lt;=0,données_step[[#This Row],[S_NO2]]=""),"",données_step[[#This Row],[D_QTRAI]]*données_step[[#This Row],[S_NO2]]/1000)</f>
        <v/>
      </c>
      <c r="O125" s="523" t="str">
        <f>IF(OR(données_step[[#This Row],[S_NO3]]&lt;=0,données_step[[#This Row],[S_NO3]]=""),"",données_step[[#This Row],[D_QTRAI]]*données_step[[#This Row],[S_NO3]]/1000)</f>
        <v/>
      </c>
      <c r="P125" s="523" t="str">
        <f>IF(OR(données_step[[#This Row],[S_PTOT]]&lt;=0,données_step[[#This Row],[S_PTOT]]=""),"",données_step[[#This Row],[D_QTRAI]]*données_step[[#This Row],[S_PTOT]]/1000)</f>
        <v/>
      </c>
      <c r="Q125" s="523" t="str">
        <f>IF(OR(données_step[[#This Row],[S_MES]]&lt;=0,données_step[[#This Row],[S_MES]]=""),"",données_step[[#This Row],[D_QTRAI]]*données_step[[#This Row],[S_MES]]/1000)</f>
        <v/>
      </c>
      <c r="R125" s="523">
        <f>MAX(données_step[[#This Row],[D_QTRAI]],données_step[[#This Row],[D_QTRAI2]])</f>
        <v>0</v>
      </c>
      <c r="S125" s="523" t="str">
        <f>IF(AND($R125&gt;0,données_step[[#This Row],[E_DCO]]&gt;0),données_step[[#This Row],[E_DCO]],"")</f>
        <v/>
      </c>
      <c r="T125" s="523" t="str">
        <f>IF(S125="","",(1-données_step[[#This Row],[E_DCO]]/$V$7)*100)</f>
        <v/>
      </c>
      <c r="U125" s="523" t="str">
        <f t="shared" si="18"/>
        <v/>
      </c>
      <c r="V125" s="523" t="str">
        <f t="shared" si="19"/>
        <v/>
      </c>
      <c r="W125" s="523" t="str">
        <f t="shared" si="20"/>
        <v/>
      </c>
      <c r="X125" s="523" t="e">
        <f>IF(((100-100/$V$7*données_step[[#This Row],[E_DCO]])/100*QTS)&lt;0,NA(),IF(OR(U125&lt;0,U125=""),NA(),((100-100/$V$7*données_step[[#This Row],[E_DCO]])/100*QTS)))</f>
        <v>#NUM!</v>
      </c>
      <c r="Y125" s="523" t="str">
        <f>IF(AND($R125&gt;0,données_step[[#This Row],[E_COT]]&gt;0),données_step[[#This Row],[E_COT]],"")</f>
        <v/>
      </c>
      <c r="Z125" s="523" t="str">
        <f>IF(Y125="","",(1-données_step[[#This Row],[E_COT]]/$AB$7)*100)</f>
        <v/>
      </c>
      <c r="AA125" s="523" t="str">
        <f t="shared" si="21"/>
        <v/>
      </c>
      <c r="AB125" s="523" t="str">
        <f t="shared" si="22"/>
        <v/>
      </c>
      <c r="AC125" s="523" t="str">
        <f t="shared" si="23"/>
        <v/>
      </c>
      <c r="AD125" s="523" t="e">
        <f>IF(((100-100/$AB$7*données_step[[#This Row],[E_COT]])/100*QTS)&lt;0,NA(),IF(OR(AA125&lt;0,AA125=""),NA(),((100-100/$AB$7*données_step[[#This Row],[E_COT]])/100*QTS)))</f>
        <v>#NUM!</v>
      </c>
      <c r="AE125" s="523" t="str">
        <f>IF(AND($R125&gt;0,données_step[[#This Row],[E_NH4]]&gt;0),données_step[[#This Row],[E_NH4]],"")</f>
        <v/>
      </c>
      <c r="AF125" s="523" t="str">
        <f>IF(AE125="","",(1-données_step[[#This Row],[E_NH4]]/$AH$7)*100)</f>
        <v/>
      </c>
      <c r="AG125" s="523" t="str">
        <f t="shared" si="24"/>
        <v/>
      </c>
      <c r="AH125" s="523" t="str">
        <f t="shared" si="25"/>
        <v/>
      </c>
      <c r="AI125" s="523" t="str">
        <f t="shared" si="26"/>
        <v/>
      </c>
      <c r="AJ125" s="523" t="e">
        <f>IF(((100-100/$AH$7*données_step[[#This Row],[E_NH4]])/100*QTS)&lt;0,NA(),IF(OR(AG125&lt;0,AG125=""),NA(),((100-100/$AH$7*données_step[[#This Row],[E_NH4]])/100*QTS)))</f>
        <v>#NUM!</v>
      </c>
      <c r="AK125" s="523" t="str">
        <f>IF(AND($R125&gt;0,données_step[[#This Row],[E_PTOT]]&gt;0),données_step[[#This Row],[E_PTOT]],"")</f>
        <v/>
      </c>
      <c r="AL125" s="523" t="str">
        <f>IF(AK125="","",(1-données_step[[#This Row],[E_PTOT]]/$AN$7)*100)</f>
        <v/>
      </c>
      <c r="AM125" s="523" t="str">
        <f t="shared" si="27"/>
        <v/>
      </c>
      <c r="AN125" s="523" t="str">
        <f t="shared" si="28"/>
        <v/>
      </c>
      <c r="AO125" s="523" t="str">
        <f t="shared" si="29"/>
        <v/>
      </c>
      <c r="AP125" s="523" t="e">
        <f>IF(((100-100/$AN$7*données_step[[#This Row],[E_PTOT]])/100*QTS)&lt;0,NA(),IF(OR(AM125&lt;0,AM125=""),NA(),((100-100/$AN$7*données_step[[#This Row],[E_PTOT]])/100*QTS)))</f>
        <v>#NUM!</v>
      </c>
      <c r="AQ125" s="524" t="e">
        <f t="shared" si="30"/>
        <v>#NUM!</v>
      </c>
      <c r="AR125" s="524" t="str">
        <f t="shared" si="31"/>
        <v/>
      </c>
      <c r="AY125" s="523" t="str">
        <f>_xlfn.IFNA(IF(données_step[[#This Row],[E_DCO]]&lt;=0,NA(),charge_entree[[#This Row],[ch_E_DCO]]/constanten!$B$8*1000),"")</f>
        <v/>
      </c>
      <c r="AZ125" s="523" t="str">
        <f>_xlfn.IFNA(IF(données_step[[#This Row],[E_NTOT]]&lt;=0,NA(),charge_entree[[#This Row],[ch_E_NTOT]]/constanten!$B$10*1000),"")</f>
        <v/>
      </c>
      <c r="BA125" s="523" t="str">
        <f>_xlfn.IFNA(IF(données_step[[#This Row],[E_NH4]]&lt;=0,NA(),charge_entree[[#This Row],[ch_E_NH4]]/constanten!$B$12*1000),"")</f>
        <v/>
      </c>
      <c r="BB125" s="523" t="str">
        <f>_xlfn.IFNA(IF(données_step[[#This Row],[E_COT]]&lt;=0,NA(),charge_entree[[#This Row],[ch_E_COT]]/constanten!$B$9*1000),"")</f>
        <v/>
      </c>
      <c r="BC125" s="523" t="str">
        <f>IFERROR(_xlfn.IFNA(IF(données_step[[#This Row],[E_PTOT]]&lt;=0,NA(),charge_entree[[#This Row],[ch_E_PTOT]]/constanten!$B$15*1000),""),"")</f>
        <v/>
      </c>
      <c r="BD125" s="535" t="e">
        <f>calculs!E125 * (1-0.4) / (données_step[[#This Row],[X_BA_VOL]]*données_step[[#This Row],[X_BACONC]])</f>
        <v>#VALUE!</v>
      </c>
      <c r="BE125" s="522" t="e">
        <f>(données_step[[#This Row],[X_BA_VOL]]*données_step[[#This Row],[X_BACONC]])/((données_step[[#This Row],[D_QTRAI2]]*données_step[[#This Row],[S_MES]]/1000)+(données_step[[#This Row],[X_BX_Q]]*données_step[[#This Row],[X_BXCONC]]))</f>
        <v>#VALUE!</v>
      </c>
      <c r="BF125" s="890" t="str">
        <f>IFERROR(données_step[[#This Row],[D_QTRAI]]/AY125*1000,"")</f>
        <v/>
      </c>
      <c r="BG125" s="535" t="str">
        <f>IFERROR(1-données_step[[#This Row],[S_DBO5]]/données_step[[#This Row],[E_DBO5]],"")</f>
        <v/>
      </c>
      <c r="BH125" s="536" t="str">
        <f>IFERROR(1-données_step[[#This Row],[S_DCO]]/données_step[[#This Row],[E_DCO]],"")</f>
        <v/>
      </c>
      <c r="BI125" s="535" t="str">
        <f>IFERROR(1-données_step[[#This Row],[S_COD]]/données_step[[#This Row],[E_COT]],"")</f>
        <v/>
      </c>
      <c r="BJ125" s="535" t="str">
        <f>IFERROR(1-données_step[[#This Row],[S_NH4]]/données_step[[#This Row],[E_NTOT]],"")</f>
        <v/>
      </c>
      <c r="BK125" s="535" t="str">
        <f>IFERROR(1-données_step[[#This Row],[S_PTOT]]/données_step[[#This Row],[E_PTOT]],"")</f>
        <v/>
      </c>
      <c r="BL125" s="521" t="str">
        <f>IFERROR(IF(données_step[[#This Row],[E_DCO]]/données_step[[#This Row],[E_DBO5]]=0,NA(),données_step[[#This Row],[E_DCO]]/données_step[[#This Row],[E_DBO5]]),"")</f>
        <v/>
      </c>
      <c r="BM125" s="521" t="str">
        <f>IFERROR(IF(données_step[[#This Row],[E_NH4]]/données_step[[#This Row],[E_NTOT]]=0,NA(),données_step[[#This Row],[E_NH4]]/données_step[[#This Row],[E_NTOT]]),"")</f>
        <v/>
      </c>
      <c r="BN125" s="521" t="str">
        <f>IFERROR(IF(données_step[[#This Row],[E_NTOT]]/données_step[[#This Row],[E_COT]]=0,NA(),données_step[[#This Row],[E_NTOT]]/données_step[[#This Row],[E_COT]]),"")</f>
        <v/>
      </c>
      <c r="BO125" s="521" t="str">
        <f>IFERROR(IF(données_step[[#This Row],[E_PTOT]]/données_step[[#This Row],[E_COT]]=0,NA(),données_step[[#This Row],[E_PTOT]]/données_step[[#This Row],[E_COT]]),"")</f>
        <v/>
      </c>
      <c r="BP125" s="521" t="e">
        <f>IF(données_step[[#This Row],[E_DCO]]/données_step[[#This Row],[E_COT]]=0,NA(),données_step[[#This Row],[E_DCO]]/données_step[[#This Row],[E_COT]])</f>
        <v>#DIV/0!</v>
      </c>
      <c r="BQ125" s="521" t="e">
        <f>IF(données_step[[#This Row],[E_NTOT]]/données_step[[#This Row],[E_DCO]]=0,NA(),données_step[[#This Row],[E_NTOT]]/données_step[[#This Row],[E_DCO]])</f>
        <v>#DIV/0!</v>
      </c>
      <c r="BR125" s="521" t="e">
        <f>IF(données_step[[#This Row],[E_PTOT]]/données_step[[#This Row],[E_DCO]]=0,NA(),données_step[[#This Row],[E_PTOT]]/données_step[[#This Row],[E_DCO]])</f>
        <v>#DIV/0!</v>
      </c>
      <c r="BS125" s="747" t="e">
        <f ca="1">test_NH4_temp(données_step[[#This Row],[S_NH4]],données_step[[#This Row],[Temp_eaux]])</f>
        <v>#NAME?</v>
      </c>
    </row>
    <row r="126" spans="1:71" x14ac:dyDescent="0.2">
      <c r="A126" s="222">
        <f>données_step[[#This Row],[Datum]]</f>
        <v>44677</v>
      </c>
      <c r="B126" s="223"/>
      <c r="C126" s="224">
        <f t="shared" si="34"/>
        <v>3</v>
      </c>
      <c r="D126" s="523" t="str">
        <f>IF(OR(données_step[[#This Row],[E_DBO5]]&lt;=0,données_step[[#This Row],[E_DBO5]]=""),"",données_step[[#This Row],[D_QTRAI]]*données_step[[#This Row],[E_DBO5]]/1000)</f>
        <v/>
      </c>
      <c r="E126" s="523" t="str">
        <f>IF(OR(données_step[[#This Row],[E_DCO]]&lt;=0,données_step[[#This Row],[E_DCO]]=""),"",données_step[[#This Row],[D_QTRAI]]*données_step[[#This Row],[E_DCO]]/1000)</f>
        <v/>
      </c>
      <c r="F126" s="523" t="str">
        <f>IF(OR(données_step[[#This Row],[E_COT]]&lt;=0,données_step[[#This Row],[E_COT]]=""),"",données_step[[#This Row],[D_QTRAI]]*données_step[[#This Row],[E_COT]]/1000)</f>
        <v/>
      </c>
      <c r="G126" s="523" t="str">
        <f>IF(OR(données_step[[#This Row],[E_NH4]]&lt;=0,données_step[[#This Row],[E_NH4]]=""),"",données_step[[#This Row],[D_QTRAI]]*données_step[[#This Row],[E_NH4]]/1000)</f>
        <v/>
      </c>
      <c r="H126" s="523" t="str">
        <f>IF(OR(données_step[[#This Row],[E_NTOT]]&lt;=0,données_step[[#This Row],[E_NTOT]]=""),"",données_step[[#This Row],[D_QTRAI]]*données_step[[#This Row],[E_NTOT]]/1000)</f>
        <v/>
      </c>
      <c r="I126" s="523" t="str">
        <f>IF(OR(données_step[[#This Row],[E_NTOT]]&lt;=0,données_step[[#This Row],[E_NTOT]]=""),"",données_step[[#This Row],[D_QTRAI]]*données_step[[#This Row],[E_PTOT]]/1000)</f>
        <v/>
      </c>
      <c r="J126" s="523" t="str">
        <f>IF(OR(données_step[[#This Row],[S_DBO5]]&lt;=0,données_step[[#This Row],[S_DBO5]]=""),"",données_step[[#This Row],[D_QTRAI]]*données_step[[#This Row],[S_DBO5]]/1000)</f>
        <v/>
      </c>
      <c r="K126" s="523" t="str">
        <f>IF(OR(données_step[[#This Row],[S_DCO]]&lt;=0,données_step[[#This Row],[S_DCO]]=""),"",données_step[[#This Row],[D_QTRAI]]*données_step[[#This Row],[S_DCO]]/1000)</f>
        <v/>
      </c>
      <c r="L126" s="523" t="str">
        <f>IF(OR(données_step[[#This Row],[S_COD]]&lt;=0,données_step[[#This Row],[S_COD]]=""),"",données_step[[#This Row],[D_QTRAI]]*données_step[[#This Row],[S_COD]]/1000)</f>
        <v/>
      </c>
      <c r="M126" s="523" t="str">
        <f>IF(OR(données_step[[#This Row],[S_NH4]]&lt;=0,données_step[[#This Row],[S_NH4]]=""),"",données_step[[#This Row],[D_QTRAI]]*données_step[[#This Row],[S_NH4]]/1000)</f>
        <v/>
      </c>
      <c r="N126" s="523" t="str">
        <f>IF(OR(données_step[[#This Row],[S_NO2]]&lt;=0,données_step[[#This Row],[S_NO2]]=""),"",données_step[[#This Row],[D_QTRAI]]*données_step[[#This Row],[S_NO2]]/1000)</f>
        <v/>
      </c>
      <c r="O126" s="523" t="str">
        <f>IF(OR(données_step[[#This Row],[S_NO3]]&lt;=0,données_step[[#This Row],[S_NO3]]=""),"",données_step[[#This Row],[D_QTRAI]]*données_step[[#This Row],[S_NO3]]/1000)</f>
        <v/>
      </c>
      <c r="P126" s="523" t="str">
        <f>IF(OR(données_step[[#This Row],[S_PTOT]]&lt;=0,données_step[[#This Row],[S_PTOT]]=""),"",données_step[[#This Row],[D_QTRAI]]*données_step[[#This Row],[S_PTOT]]/1000)</f>
        <v/>
      </c>
      <c r="Q126" s="523" t="str">
        <f>IF(OR(données_step[[#This Row],[S_MES]]&lt;=0,données_step[[#This Row],[S_MES]]=""),"",données_step[[#This Row],[D_QTRAI]]*données_step[[#This Row],[S_MES]]/1000)</f>
        <v/>
      </c>
      <c r="R126" s="523">
        <f>MAX(données_step[[#This Row],[D_QTRAI]],données_step[[#This Row],[D_QTRAI2]])</f>
        <v>0</v>
      </c>
      <c r="S126" s="523" t="str">
        <f>IF(AND($R126&gt;0,données_step[[#This Row],[E_DCO]]&gt;0),données_step[[#This Row],[E_DCO]],"")</f>
        <v/>
      </c>
      <c r="T126" s="523" t="str">
        <f>IF(S126="","",(1-données_step[[#This Row],[E_DCO]]/$V$7)*100)</f>
        <v/>
      </c>
      <c r="U126" s="523" t="str">
        <f t="shared" si="18"/>
        <v/>
      </c>
      <c r="V126" s="523" t="str">
        <f t="shared" si="19"/>
        <v/>
      </c>
      <c r="W126" s="523" t="str">
        <f t="shared" si="20"/>
        <v/>
      </c>
      <c r="X126" s="523" t="e">
        <f>IF(((100-100/$V$7*données_step[[#This Row],[E_DCO]])/100*QTS)&lt;0,NA(),IF(OR(U126&lt;0,U126=""),NA(),((100-100/$V$7*données_step[[#This Row],[E_DCO]])/100*QTS)))</f>
        <v>#NUM!</v>
      </c>
      <c r="Y126" s="523" t="str">
        <f>IF(AND($R126&gt;0,données_step[[#This Row],[E_COT]]&gt;0),données_step[[#This Row],[E_COT]],"")</f>
        <v/>
      </c>
      <c r="Z126" s="523" t="str">
        <f>IF(Y126="","",(1-données_step[[#This Row],[E_COT]]/$AB$7)*100)</f>
        <v/>
      </c>
      <c r="AA126" s="523" t="str">
        <f t="shared" si="21"/>
        <v/>
      </c>
      <c r="AB126" s="523" t="str">
        <f t="shared" si="22"/>
        <v/>
      </c>
      <c r="AC126" s="523" t="str">
        <f t="shared" si="23"/>
        <v/>
      </c>
      <c r="AD126" s="523" t="e">
        <f>IF(((100-100/$AB$7*données_step[[#This Row],[E_COT]])/100*QTS)&lt;0,NA(),IF(OR(AA126&lt;0,AA126=""),NA(),((100-100/$AB$7*données_step[[#This Row],[E_COT]])/100*QTS)))</f>
        <v>#NUM!</v>
      </c>
      <c r="AE126" s="523" t="str">
        <f>IF(AND($R126&gt;0,données_step[[#This Row],[E_NH4]]&gt;0),données_step[[#This Row],[E_NH4]],"")</f>
        <v/>
      </c>
      <c r="AF126" s="523" t="str">
        <f>IF(AE126="","",(1-données_step[[#This Row],[E_NH4]]/$AH$7)*100)</f>
        <v/>
      </c>
      <c r="AG126" s="523" t="str">
        <f t="shared" si="24"/>
        <v/>
      </c>
      <c r="AH126" s="523" t="str">
        <f t="shared" si="25"/>
        <v/>
      </c>
      <c r="AI126" s="523" t="str">
        <f t="shared" si="26"/>
        <v/>
      </c>
      <c r="AJ126" s="523" t="e">
        <f>IF(((100-100/$AH$7*données_step[[#This Row],[E_NH4]])/100*QTS)&lt;0,NA(),IF(OR(AG126&lt;0,AG126=""),NA(),((100-100/$AH$7*données_step[[#This Row],[E_NH4]])/100*QTS)))</f>
        <v>#NUM!</v>
      </c>
      <c r="AK126" s="523" t="str">
        <f>IF(AND($R126&gt;0,données_step[[#This Row],[E_PTOT]]&gt;0),données_step[[#This Row],[E_PTOT]],"")</f>
        <v/>
      </c>
      <c r="AL126" s="523" t="str">
        <f>IF(AK126="","",(1-données_step[[#This Row],[E_PTOT]]/$AN$7)*100)</f>
        <v/>
      </c>
      <c r="AM126" s="523" t="str">
        <f t="shared" si="27"/>
        <v/>
      </c>
      <c r="AN126" s="523" t="str">
        <f t="shared" si="28"/>
        <v/>
      </c>
      <c r="AO126" s="523" t="str">
        <f t="shared" si="29"/>
        <v/>
      </c>
      <c r="AP126" s="523" t="e">
        <f>IF(((100-100/$AN$7*données_step[[#This Row],[E_PTOT]])/100*QTS)&lt;0,NA(),IF(OR(AM126&lt;0,AM126=""),NA(),((100-100/$AN$7*données_step[[#This Row],[E_PTOT]])/100*QTS)))</f>
        <v>#NUM!</v>
      </c>
      <c r="AQ126" s="524" t="e">
        <f t="shared" si="30"/>
        <v>#NUM!</v>
      </c>
      <c r="AR126" s="524" t="str">
        <f t="shared" si="31"/>
        <v/>
      </c>
      <c r="AY126" s="523" t="str">
        <f>_xlfn.IFNA(IF(données_step[[#This Row],[E_DCO]]&lt;=0,NA(),charge_entree[[#This Row],[ch_E_DCO]]/constanten!$B$8*1000),"")</f>
        <v/>
      </c>
      <c r="AZ126" s="523" t="str">
        <f>_xlfn.IFNA(IF(données_step[[#This Row],[E_NTOT]]&lt;=0,NA(),charge_entree[[#This Row],[ch_E_NTOT]]/constanten!$B$10*1000),"")</f>
        <v/>
      </c>
      <c r="BA126" s="523" t="str">
        <f>_xlfn.IFNA(IF(données_step[[#This Row],[E_NH4]]&lt;=0,NA(),charge_entree[[#This Row],[ch_E_NH4]]/constanten!$B$12*1000),"")</f>
        <v/>
      </c>
      <c r="BB126" s="523" t="str">
        <f>_xlfn.IFNA(IF(données_step[[#This Row],[E_COT]]&lt;=0,NA(),charge_entree[[#This Row],[ch_E_COT]]/constanten!$B$9*1000),"")</f>
        <v/>
      </c>
      <c r="BC126" s="523" t="str">
        <f>IFERROR(_xlfn.IFNA(IF(données_step[[#This Row],[E_PTOT]]&lt;=0,NA(),charge_entree[[#This Row],[ch_E_PTOT]]/constanten!$B$15*1000),""),"")</f>
        <v/>
      </c>
      <c r="BD126" s="535" t="e">
        <f>calculs!E126 * (1-0.4) / (données_step[[#This Row],[X_BA_VOL]]*données_step[[#This Row],[X_BACONC]])</f>
        <v>#VALUE!</v>
      </c>
      <c r="BE126" s="522" t="e">
        <f>(données_step[[#This Row],[X_BA_VOL]]*données_step[[#This Row],[X_BACONC]])/((données_step[[#This Row],[D_QTRAI2]]*données_step[[#This Row],[S_MES]]/1000)+(données_step[[#This Row],[X_BX_Q]]*données_step[[#This Row],[X_BXCONC]]))</f>
        <v>#VALUE!</v>
      </c>
      <c r="BF126" s="890" t="str">
        <f>IFERROR(données_step[[#This Row],[D_QTRAI]]/AY126*1000,"")</f>
        <v/>
      </c>
      <c r="BG126" s="535" t="str">
        <f>IFERROR(1-données_step[[#This Row],[S_DBO5]]/données_step[[#This Row],[E_DBO5]],"")</f>
        <v/>
      </c>
      <c r="BH126" s="536" t="str">
        <f>IFERROR(1-données_step[[#This Row],[S_DCO]]/données_step[[#This Row],[E_DCO]],"")</f>
        <v/>
      </c>
      <c r="BI126" s="535" t="str">
        <f>IFERROR(1-données_step[[#This Row],[S_COD]]/données_step[[#This Row],[E_COT]],"")</f>
        <v/>
      </c>
      <c r="BJ126" s="535" t="str">
        <f>IFERROR(1-données_step[[#This Row],[S_NH4]]/données_step[[#This Row],[E_NTOT]],"")</f>
        <v/>
      </c>
      <c r="BK126" s="535" t="str">
        <f>IFERROR(1-données_step[[#This Row],[S_PTOT]]/données_step[[#This Row],[E_PTOT]],"")</f>
        <v/>
      </c>
      <c r="BL126" s="521" t="str">
        <f>IFERROR(IF(données_step[[#This Row],[E_DCO]]/données_step[[#This Row],[E_DBO5]]=0,NA(),données_step[[#This Row],[E_DCO]]/données_step[[#This Row],[E_DBO5]]),"")</f>
        <v/>
      </c>
      <c r="BM126" s="521" t="str">
        <f>IFERROR(IF(données_step[[#This Row],[E_NH4]]/données_step[[#This Row],[E_NTOT]]=0,NA(),données_step[[#This Row],[E_NH4]]/données_step[[#This Row],[E_NTOT]]),"")</f>
        <v/>
      </c>
      <c r="BN126" s="521" t="str">
        <f>IFERROR(IF(données_step[[#This Row],[E_NTOT]]/données_step[[#This Row],[E_COT]]=0,NA(),données_step[[#This Row],[E_NTOT]]/données_step[[#This Row],[E_COT]]),"")</f>
        <v/>
      </c>
      <c r="BO126" s="521" t="str">
        <f>IFERROR(IF(données_step[[#This Row],[E_PTOT]]/données_step[[#This Row],[E_COT]]=0,NA(),données_step[[#This Row],[E_PTOT]]/données_step[[#This Row],[E_COT]]),"")</f>
        <v/>
      </c>
      <c r="BP126" s="521" t="e">
        <f>IF(données_step[[#This Row],[E_DCO]]/données_step[[#This Row],[E_COT]]=0,NA(),données_step[[#This Row],[E_DCO]]/données_step[[#This Row],[E_COT]])</f>
        <v>#DIV/0!</v>
      </c>
      <c r="BQ126" s="521" t="e">
        <f>IF(données_step[[#This Row],[E_NTOT]]/données_step[[#This Row],[E_DCO]]=0,NA(),données_step[[#This Row],[E_NTOT]]/données_step[[#This Row],[E_DCO]])</f>
        <v>#DIV/0!</v>
      </c>
      <c r="BR126" s="521" t="e">
        <f>IF(données_step[[#This Row],[E_PTOT]]/données_step[[#This Row],[E_DCO]]=0,NA(),données_step[[#This Row],[E_PTOT]]/données_step[[#This Row],[E_DCO]])</f>
        <v>#DIV/0!</v>
      </c>
      <c r="BS126" s="747" t="e">
        <f ca="1">test_NH4_temp(données_step[[#This Row],[S_NH4]],données_step[[#This Row],[Temp_eaux]])</f>
        <v>#NAME?</v>
      </c>
    </row>
    <row r="127" spans="1:71" x14ac:dyDescent="0.2">
      <c r="A127" s="222">
        <f>données_step[[#This Row],[Datum]]</f>
        <v>44678</v>
      </c>
      <c r="B127" s="223"/>
      <c r="C127" s="224">
        <f t="shared" si="34"/>
        <v>4</v>
      </c>
      <c r="D127" s="523" t="str">
        <f>IF(OR(données_step[[#This Row],[E_DBO5]]&lt;=0,données_step[[#This Row],[E_DBO5]]=""),"",données_step[[#This Row],[D_QTRAI]]*données_step[[#This Row],[E_DBO5]]/1000)</f>
        <v/>
      </c>
      <c r="E127" s="523" t="str">
        <f>IF(OR(données_step[[#This Row],[E_DCO]]&lt;=0,données_step[[#This Row],[E_DCO]]=""),"",données_step[[#This Row],[D_QTRAI]]*données_step[[#This Row],[E_DCO]]/1000)</f>
        <v/>
      </c>
      <c r="F127" s="523" t="str">
        <f>IF(OR(données_step[[#This Row],[E_COT]]&lt;=0,données_step[[#This Row],[E_COT]]=""),"",données_step[[#This Row],[D_QTRAI]]*données_step[[#This Row],[E_COT]]/1000)</f>
        <v/>
      </c>
      <c r="G127" s="523" t="str">
        <f>IF(OR(données_step[[#This Row],[E_NH4]]&lt;=0,données_step[[#This Row],[E_NH4]]=""),"",données_step[[#This Row],[D_QTRAI]]*données_step[[#This Row],[E_NH4]]/1000)</f>
        <v/>
      </c>
      <c r="H127" s="523" t="str">
        <f>IF(OR(données_step[[#This Row],[E_NTOT]]&lt;=0,données_step[[#This Row],[E_NTOT]]=""),"",données_step[[#This Row],[D_QTRAI]]*données_step[[#This Row],[E_NTOT]]/1000)</f>
        <v/>
      </c>
      <c r="I127" s="523" t="str">
        <f>IF(OR(données_step[[#This Row],[E_NTOT]]&lt;=0,données_step[[#This Row],[E_NTOT]]=""),"",données_step[[#This Row],[D_QTRAI]]*données_step[[#This Row],[E_PTOT]]/1000)</f>
        <v/>
      </c>
      <c r="J127" s="523" t="str">
        <f>IF(OR(données_step[[#This Row],[S_DBO5]]&lt;=0,données_step[[#This Row],[S_DBO5]]=""),"",données_step[[#This Row],[D_QTRAI]]*données_step[[#This Row],[S_DBO5]]/1000)</f>
        <v/>
      </c>
      <c r="K127" s="523" t="str">
        <f>IF(OR(données_step[[#This Row],[S_DCO]]&lt;=0,données_step[[#This Row],[S_DCO]]=""),"",données_step[[#This Row],[D_QTRAI]]*données_step[[#This Row],[S_DCO]]/1000)</f>
        <v/>
      </c>
      <c r="L127" s="523" t="str">
        <f>IF(OR(données_step[[#This Row],[S_COD]]&lt;=0,données_step[[#This Row],[S_COD]]=""),"",données_step[[#This Row],[D_QTRAI]]*données_step[[#This Row],[S_COD]]/1000)</f>
        <v/>
      </c>
      <c r="M127" s="523" t="str">
        <f>IF(OR(données_step[[#This Row],[S_NH4]]&lt;=0,données_step[[#This Row],[S_NH4]]=""),"",données_step[[#This Row],[D_QTRAI]]*données_step[[#This Row],[S_NH4]]/1000)</f>
        <v/>
      </c>
      <c r="N127" s="523" t="str">
        <f>IF(OR(données_step[[#This Row],[S_NO2]]&lt;=0,données_step[[#This Row],[S_NO2]]=""),"",données_step[[#This Row],[D_QTRAI]]*données_step[[#This Row],[S_NO2]]/1000)</f>
        <v/>
      </c>
      <c r="O127" s="523" t="str">
        <f>IF(OR(données_step[[#This Row],[S_NO3]]&lt;=0,données_step[[#This Row],[S_NO3]]=""),"",données_step[[#This Row],[D_QTRAI]]*données_step[[#This Row],[S_NO3]]/1000)</f>
        <v/>
      </c>
      <c r="P127" s="523" t="str">
        <f>IF(OR(données_step[[#This Row],[S_PTOT]]&lt;=0,données_step[[#This Row],[S_PTOT]]=""),"",données_step[[#This Row],[D_QTRAI]]*données_step[[#This Row],[S_PTOT]]/1000)</f>
        <v/>
      </c>
      <c r="Q127" s="523" t="str">
        <f>IF(OR(données_step[[#This Row],[S_MES]]&lt;=0,données_step[[#This Row],[S_MES]]=""),"",données_step[[#This Row],[D_QTRAI]]*données_step[[#This Row],[S_MES]]/1000)</f>
        <v/>
      </c>
      <c r="R127" s="523">
        <f>MAX(données_step[[#This Row],[D_QTRAI]],données_step[[#This Row],[D_QTRAI2]])</f>
        <v>0</v>
      </c>
      <c r="S127" s="523" t="str">
        <f>IF(AND($R127&gt;0,données_step[[#This Row],[E_DCO]]&gt;0),données_step[[#This Row],[E_DCO]],"")</f>
        <v/>
      </c>
      <c r="T127" s="523" t="str">
        <f>IF(S127="","",(1-données_step[[#This Row],[E_DCO]]/$V$7)*100)</f>
        <v/>
      </c>
      <c r="U127" s="523" t="str">
        <f t="shared" si="18"/>
        <v/>
      </c>
      <c r="V127" s="523" t="str">
        <f t="shared" si="19"/>
        <v/>
      </c>
      <c r="W127" s="523" t="str">
        <f t="shared" si="20"/>
        <v/>
      </c>
      <c r="X127" s="523" t="e">
        <f>IF(((100-100/$V$7*données_step[[#This Row],[E_DCO]])/100*QTS)&lt;0,NA(),IF(OR(U127&lt;0,U127=""),NA(),((100-100/$V$7*données_step[[#This Row],[E_DCO]])/100*QTS)))</f>
        <v>#NUM!</v>
      </c>
      <c r="Y127" s="523" t="str">
        <f>IF(AND($R127&gt;0,données_step[[#This Row],[E_COT]]&gt;0),données_step[[#This Row],[E_COT]],"")</f>
        <v/>
      </c>
      <c r="Z127" s="523" t="str">
        <f>IF(Y127="","",(1-données_step[[#This Row],[E_COT]]/$AB$7)*100)</f>
        <v/>
      </c>
      <c r="AA127" s="523" t="str">
        <f t="shared" si="21"/>
        <v/>
      </c>
      <c r="AB127" s="523" t="str">
        <f t="shared" si="22"/>
        <v/>
      </c>
      <c r="AC127" s="523" t="str">
        <f t="shared" si="23"/>
        <v/>
      </c>
      <c r="AD127" s="523" t="e">
        <f>IF(((100-100/$AB$7*données_step[[#This Row],[E_COT]])/100*QTS)&lt;0,NA(),IF(OR(AA127&lt;0,AA127=""),NA(),((100-100/$AB$7*données_step[[#This Row],[E_COT]])/100*QTS)))</f>
        <v>#NUM!</v>
      </c>
      <c r="AE127" s="523" t="str">
        <f>IF(AND($R127&gt;0,données_step[[#This Row],[E_NH4]]&gt;0),données_step[[#This Row],[E_NH4]],"")</f>
        <v/>
      </c>
      <c r="AF127" s="523" t="str">
        <f>IF(AE127="","",(1-données_step[[#This Row],[E_NH4]]/$AH$7)*100)</f>
        <v/>
      </c>
      <c r="AG127" s="523" t="str">
        <f t="shared" si="24"/>
        <v/>
      </c>
      <c r="AH127" s="523" t="str">
        <f t="shared" si="25"/>
        <v/>
      </c>
      <c r="AI127" s="523" t="str">
        <f t="shared" si="26"/>
        <v/>
      </c>
      <c r="AJ127" s="523" t="e">
        <f>IF(((100-100/$AH$7*données_step[[#This Row],[E_NH4]])/100*QTS)&lt;0,NA(),IF(OR(AG127&lt;0,AG127=""),NA(),((100-100/$AH$7*données_step[[#This Row],[E_NH4]])/100*QTS)))</f>
        <v>#NUM!</v>
      </c>
      <c r="AK127" s="523" t="str">
        <f>IF(AND($R127&gt;0,données_step[[#This Row],[E_PTOT]]&gt;0),données_step[[#This Row],[E_PTOT]],"")</f>
        <v/>
      </c>
      <c r="AL127" s="523" t="str">
        <f>IF(AK127="","",(1-données_step[[#This Row],[E_PTOT]]/$AN$7)*100)</f>
        <v/>
      </c>
      <c r="AM127" s="523" t="str">
        <f t="shared" si="27"/>
        <v/>
      </c>
      <c r="AN127" s="523" t="str">
        <f t="shared" si="28"/>
        <v/>
      </c>
      <c r="AO127" s="523" t="str">
        <f t="shared" si="29"/>
        <v/>
      </c>
      <c r="AP127" s="523" t="e">
        <f>IF(((100-100/$AN$7*données_step[[#This Row],[E_PTOT]])/100*QTS)&lt;0,NA(),IF(OR(AM127&lt;0,AM127=""),NA(),((100-100/$AN$7*données_step[[#This Row],[E_PTOT]])/100*QTS)))</f>
        <v>#NUM!</v>
      </c>
      <c r="AQ127" s="524" t="e">
        <f t="shared" si="30"/>
        <v>#NUM!</v>
      </c>
      <c r="AR127" s="524" t="str">
        <f t="shared" si="31"/>
        <v/>
      </c>
      <c r="AY127" s="523" t="str">
        <f>_xlfn.IFNA(IF(données_step[[#This Row],[E_DCO]]&lt;=0,NA(),charge_entree[[#This Row],[ch_E_DCO]]/constanten!$B$8*1000),"")</f>
        <v/>
      </c>
      <c r="AZ127" s="523" t="str">
        <f>_xlfn.IFNA(IF(données_step[[#This Row],[E_NTOT]]&lt;=0,NA(),charge_entree[[#This Row],[ch_E_NTOT]]/constanten!$B$10*1000),"")</f>
        <v/>
      </c>
      <c r="BA127" s="523" t="str">
        <f>_xlfn.IFNA(IF(données_step[[#This Row],[E_NH4]]&lt;=0,NA(),charge_entree[[#This Row],[ch_E_NH4]]/constanten!$B$12*1000),"")</f>
        <v/>
      </c>
      <c r="BB127" s="523" t="str">
        <f>_xlfn.IFNA(IF(données_step[[#This Row],[E_COT]]&lt;=0,NA(),charge_entree[[#This Row],[ch_E_COT]]/constanten!$B$9*1000),"")</f>
        <v/>
      </c>
      <c r="BC127" s="523" t="str">
        <f>IFERROR(_xlfn.IFNA(IF(données_step[[#This Row],[E_PTOT]]&lt;=0,NA(),charge_entree[[#This Row],[ch_E_PTOT]]/constanten!$B$15*1000),""),"")</f>
        <v/>
      </c>
      <c r="BD127" s="535" t="e">
        <f>calculs!E127 * (1-0.4) / (données_step[[#This Row],[X_BA_VOL]]*données_step[[#This Row],[X_BACONC]])</f>
        <v>#VALUE!</v>
      </c>
      <c r="BE127" s="522" t="e">
        <f>(données_step[[#This Row],[X_BA_VOL]]*données_step[[#This Row],[X_BACONC]])/((données_step[[#This Row],[D_QTRAI2]]*données_step[[#This Row],[S_MES]]/1000)+(données_step[[#This Row],[X_BX_Q]]*données_step[[#This Row],[X_BXCONC]]))</f>
        <v>#VALUE!</v>
      </c>
      <c r="BF127" s="890" t="str">
        <f>IFERROR(données_step[[#This Row],[D_QTRAI]]/AY127*1000,"")</f>
        <v/>
      </c>
      <c r="BG127" s="535" t="str">
        <f>IFERROR(1-données_step[[#This Row],[S_DBO5]]/données_step[[#This Row],[E_DBO5]],"")</f>
        <v/>
      </c>
      <c r="BH127" s="536" t="str">
        <f>IFERROR(1-données_step[[#This Row],[S_DCO]]/données_step[[#This Row],[E_DCO]],"")</f>
        <v/>
      </c>
      <c r="BI127" s="535" t="str">
        <f>IFERROR(1-données_step[[#This Row],[S_COD]]/données_step[[#This Row],[E_COT]],"")</f>
        <v/>
      </c>
      <c r="BJ127" s="535" t="str">
        <f>IFERROR(1-données_step[[#This Row],[S_NH4]]/données_step[[#This Row],[E_NTOT]],"")</f>
        <v/>
      </c>
      <c r="BK127" s="535" t="str">
        <f>IFERROR(1-données_step[[#This Row],[S_PTOT]]/données_step[[#This Row],[E_PTOT]],"")</f>
        <v/>
      </c>
      <c r="BL127" s="521" t="str">
        <f>IFERROR(IF(données_step[[#This Row],[E_DCO]]/données_step[[#This Row],[E_DBO5]]=0,NA(),données_step[[#This Row],[E_DCO]]/données_step[[#This Row],[E_DBO5]]),"")</f>
        <v/>
      </c>
      <c r="BM127" s="521" t="str">
        <f>IFERROR(IF(données_step[[#This Row],[E_NH4]]/données_step[[#This Row],[E_NTOT]]=0,NA(),données_step[[#This Row],[E_NH4]]/données_step[[#This Row],[E_NTOT]]),"")</f>
        <v/>
      </c>
      <c r="BN127" s="521" t="str">
        <f>IFERROR(IF(données_step[[#This Row],[E_NTOT]]/données_step[[#This Row],[E_COT]]=0,NA(),données_step[[#This Row],[E_NTOT]]/données_step[[#This Row],[E_COT]]),"")</f>
        <v/>
      </c>
      <c r="BO127" s="521" t="str">
        <f>IFERROR(IF(données_step[[#This Row],[E_PTOT]]/données_step[[#This Row],[E_COT]]=0,NA(),données_step[[#This Row],[E_PTOT]]/données_step[[#This Row],[E_COT]]),"")</f>
        <v/>
      </c>
      <c r="BP127" s="521" t="e">
        <f>IF(données_step[[#This Row],[E_DCO]]/données_step[[#This Row],[E_COT]]=0,NA(),données_step[[#This Row],[E_DCO]]/données_step[[#This Row],[E_COT]])</f>
        <v>#DIV/0!</v>
      </c>
      <c r="BQ127" s="521" t="e">
        <f>IF(données_step[[#This Row],[E_NTOT]]/données_step[[#This Row],[E_DCO]]=0,NA(),données_step[[#This Row],[E_NTOT]]/données_step[[#This Row],[E_DCO]])</f>
        <v>#DIV/0!</v>
      </c>
      <c r="BR127" s="521" t="e">
        <f>IF(données_step[[#This Row],[E_PTOT]]/données_step[[#This Row],[E_DCO]]=0,NA(),données_step[[#This Row],[E_PTOT]]/données_step[[#This Row],[E_DCO]])</f>
        <v>#DIV/0!</v>
      </c>
      <c r="BS127" s="747" t="e">
        <f ca="1">test_NH4_temp(données_step[[#This Row],[S_NH4]],données_step[[#This Row],[Temp_eaux]])</f>
        <v>#NAME?</v>
      </c>
    </row>
    <row r="128" spans="1:71" x14ac:dyDescent="0.2">
      <c r="A128" s="222">
        <f>données_step[[#This Row],[Datum]]</f>
        <v>44679</v>
      </c>
      <c r="B128" s="223"/>
      <c r="C128" s="224">
        <f t="shared" si="34"/>
        <v>5</v>
      </c>
      <c r="D128" s="523" t="str">
        <f>IF(OR(données_step[[#This Row],[E_DBO5]]&lt;=0,données_step[[#This Row],[E_DBO5]]=""),"",données_step[[#This Row],[D_QTRAI]]*données_step[[#This Row],[E_DBO5]]/1000)</f>
        <v/>
      </c>
      <c r="E128" s="523" t="str">
        <f>IF(OR(données_step[[#This Row],[E_DCO]]&lt;=0,données_step[[#This Row],[E_DCO]]=""),"",données_step[[#This Row],[D_QTRAI]]*données_step[[#This Row],[E_DCO]]/1000)</f>
        <v/>
      </c>
      <c r="F128" s="523" t="str">
        <f>IF(OR(données_step[[#This Row],[E_COT]]&lt;=0,données_step[[#This Row],[E_COT]]=""),"",données_step[[#This Row],[D_QTRAI]]*données_step[[#This Row],[E_COT]]/1000)</f>
        <v/>
      </c>
      <c r="G128" s="523" t="str">
        <f>IF(OR(données_step[[#This Row],[E_NH4]]&lt;=0,données_step[[#This Row],[E_NH4]]=""),"",données_step[[#This Row],[D_QTRAI]]*données_step[[#This Row],[E_NH4]]/1000)</f>
        <v/>
      </c>
      <c r="H128" s="523" t="str">
        <f>IF(OR(données_step[[#This Row],[E_NTOT]]&lt;=0,données_step[[#This Row],[E_NTOT]]=""),"",données_step[[#This Row],[D_QTRAI]]*données_step[[#This Row],[E_NTOT]]/1000)</f>
        <v/>
      </c>
      <c r="I128" s="523" t="str">
        <f>IF(OR(données_step[[#This Row],[E_NTOT]]&lt;=0,données_step[[#This Row],[E_NTOT]]=""),"",données_step[[#This Row],[D_QTRAI]]*données_step[[#This Row],[E_PTOT]]/1000)</f>
        <v/>
      </c>
      <c r="J128" s="523" t="str">
        <f>IF(OR(données_step[[#This Row],[S_DBO5]]&lt;=0,données_step[[#This Row],[S_DBO5]]=""),"",données_step[[#This Row],[D_QTRAI]]*données_step[[#This Row],[S_DBO5]]/1000)</f>
        <v/>
      </c>
      <c r="K128" s="523" t="str">
        <f>IF(OR(données_step[[#This Row],[S_DCO]]&lt;=0,données_step[[#This Row],[S_DCO]]=""),"",données_step[[#This Row],[D_QTRAI]]*données_step[[#This Row],[S_DCO]]/1000)</f>
        <v/>
      </c>
      <c r="L128" s="523" t="str">
        <f>IF(OR(données_step[[#This Row],[S_COD]]&lt;=0,données_step[[#This Row],[S_COD]]=""),"",données_step[[#This Row],[D_QTRAI]]*données_step[[#This Row],[S_COD]]/1000)</f>
        <v/>
      </c>
      <c r="M128" s="523" t="str">
        <f>IF(OR(données_step[[#This Row],[S_NH4]]&lt;=0,données_step[[#This Row],[S_NH4]]=""),"",données_step[[#This Row],[D_QTRAI]]*données_step[[#This Row],[S_NH4]]/1000)</f>
        <v/>
      </c>
      <c r="N128" s="523" t="str">
        <f>IF(OR(données_step[[#This Row],[S_NO2]]&lt;=0,données_step[[#This Row],[S_NO2]]=""),"",données_step[[#This Row],[D_QTRAI]]*données_step[[#This Row],[S_NO2]]/1000)</f>
        <v/>
      </c>
      <c r="O128" s="523" t="str">
        <f>IF(OR(données_step[[#This Row],[S_NO3]]&lt;=0,données_step[[#This Row],[S_NO3]]=""),"",données_step[[#This Row],[D_QTRAI]]*données_step[[#This Row],[S_NO3]]/1000)</f>
        <v/>
      </c>
      <c r="P128" s="523" t="str">
        <f>IF(OR(données_step[[#This Row],[S_PTOT]]&lt;=0,données_step[[#This Row],[S_PTOT]]=""),"",données_step[[#This Row],[D_QTRAI]]*données_step[[#This Row],[S_PTOT]]/1000)</f>
        <v/>
      </c>
      <c r="Q128" s="523" t="str">
        <f>IF(OR(données_step[[#This Row],[S_MES]]&lt;=0,données_step[[#This Row],[S_MES]]=""),"",données_step[[#This Row],[D_QTRAI]]*données_step[[#This Row],[S_MES]]/1000)</f>
        <v/>
      </c>
      <c r="R128" s="523">
        <f>MAX(données_step[[#This Row],[D_QTRAI]],données_step[[#This Row],[D_QTRAI2]])</f>
        <v>0</v>
      </c>
      <c r="S128" s="523" t="str">
        <f>IF(AND($R128&gt;0,données_step[[#This Row],[E_DCO]]&gt;0),données_step[[#This Row],[E_DCO]],"")</f>
        <v/>
      </c>
      <c r="T128" s="523" t="str">
        <f>IF(S128="","",(1-données_step[[#This Row],[E_DCO]]/$V$7)*100)</f>
        <v/>
      </c>
      <c r="U128" s="523" t="str">
        <f t="shared" si="18"/>
        <v/>
      </c>
      <c r="V128" s="523" t="str">
        <f t="shared" si="19"/>
        <v/>
      </c>
      <c r="W128" s="523" t="str">
        <f t="shared" si="20"/>
        <v/>
      </c>
      <c r="X128" s="523" t="e">
        <f>IF(((100-100/$V$7*données_step[[#This Row],[E_DCO]])/100*QTS)&lt;0,NA(),IF(OR(U128&lt;0,U128=""),NA(),((100-100/$V$7*données_step[[#This Row],[E_DCO]])/100*QTS)))</f>
        <v>#NUM!</v>
      </c>
      <c r="Y128" s="523" t="str">
        <f>IF(AND($R128&gt;0,données_step[[#This Row],[E_COT]]&gt;0),données_step[[#This Row],[E_COT]],"")</f>
        <v/>
      </c>
      <c r="Z128" s="523" t="str">
        <f>IF(Y128="","",(1-données_step[[#This Row],[E_COT]]/$AB$7)*100)</f>
        <v/>
      </c>
      <c r="AA128" s="523" t="str">
        <f t="shared" si="21"/>
        <v/>
      </c>
      <c r="AB128" s="523" t="str">
        <f t="shared" si="22"/>
        <v/>
      </c>
      <c r="AC128" s="523" t="str">
        <f t="shared" si="23"/>
        <v/>
      </c>
      <c r="AD128" s="523" t="e">
        <f>IF(((100-100/$AB$7*données_step[[#This Row],[E_COT]])/100*QTS)&lt;0,NA(),IF(OR(AA128&lt;0,AA128=""),NA(),((100-100/$AB$7*données_step[[#This Row],[E_COT]])/100*QTS)))</f>
        <v>#NUM!</v>
      </c>
      <c r="AE128" s="523" t="str">
        <f>IF(AND($R128&gt;0,données_step[[#This Row],[E_NH4]]&gt;0),données_step[[#This Row],[E_NH4]],"")</f>
        <v/>
      </c>
      <c r="AF128" s="523" t="str">
        <f>IF(AE128="","",(1-données_step[[#This Row],[E_NH4]]/$AH$7)*100)</f>
        <v/>
      </c>
      <c r="AG128" s="523" t="str">
        <f t="shared" si="24"/>
        <v/>
      </c>
      <c r="AH128" s="523" t="str">
        <f t="shared" si="25"/>
        <v/>
      </c>
      <c r="AI128" s="523" t="str">
        <f t="shared" si="26"/>
        <v/>
      </c>
      <c r="AJ128" s="523" t="e">
        <f>IF(((100-100/$AH$7*données_step[[#This Row],[E_NH4]])/100*QTS)&lt;0,NA(),IF(OR(AG128&lt;0,AG128=""),NA(),((100-100/$AH$7*données_step[[#This Row],[E_NH4]])/100*QTS)))</f>
        <v>#NUM!</v>
      </c>
      <c r="AK128" s="523" t="str">
        <f>IF(AND($R128&gt;0,données_step[[#This Row],[E_PTOT]]&gt;0),données_step[[#This Row],[E_PTOT]],"")</f>
        <v/>
      </c>
      <c r="AL128" s="523" t="str">
        <f>IF(AK128="","",(1-données_step[[#This Row],[E_PTOT]]/$AN$7)*100)</f>
        <v/>
      </c>
      <c r="AM128" s="523" t="str">
        <f t="shared" si="27"/>
        <v/>
      </c>
      <c r="AN128" s="523" t="str">
        <f t="shared" si="28"/>
        <v/>
      </c>
      <c r="AO128" s="523" t="str">
        <f t="shared" si="29"/>
        <v/>
      </c>
      <c r="AP128" s="523" t="e">
        <f>IF(((100-100/$AN$7*données_step[[#This Row],[E_PTOT]])/100*QTS)&lt;0,NA(),IF(OR(AM128&lt;0,AM128=""),NA(),((100-100/$AN$7*données_step[[#This Row],[E_PTOT]])/100*QTS)))</f>
        <v>#NUM!</v>
      </c>
      <c r="AQ128" s="524" t="e">
        <f t="shared" si="30"/>
        <v>#NUM!</v>
      </c>
      <c r="AR128" s="524" t="str">
        <f t="shared" si="31"/>
        <v/>
      </c>
      <c r="AY128" s="523" t="str">
        <f>_xlfn.IFNA(IF(données_step[[#This Row],[E_DCO]]&lt;=0,NA(),charge_entree[[#This Row],[ch_E_DCO]]/constanten!$B$8*1000),"")</f>
        <v/>
      </c>
      <c r="AZ128" s="523" t="str">
        <f>_xlfn.IFNA(IF(données_step[[#This Row],[E_NTOT]]&lt;=0,NA(),charge_entree[[#This Row],[ch_E_NTOT]]/constanten!$B$10*1000),"")</f>
        <v/>
      </c>
      <c r="BA128" s="523" t="str">
        <f>_xlfn.IFNA(IF(données_step[[#This Row],[E_NH4]]&lt;=0,NA(),charge_entree[[#This Row],[ch_E_NH4]]/constanten!$B$12*1000),"")</f>
        <v/>
      </c>
      <c r="BB128" s="523" t="str">
        <f>_xlfn.IFNA(IF(données_step[[#This Row],[E_COT]]&lt;=0,NA(),charge_entree[[#This Row],[ch_E_COT]]/constanten!$B$9*1000),"")</f>
        <v/>
      </c>
      <c r="BC128" s="523" t="str">
        <f>IFERROR(_xlfn.IFNA(IF(données_step[[#This Row],[E_PTOT]]&lt;=0,NA(),charge_entree[[#This Row],[ch_E_PTOT]]/constanten!$B$15*1000),""),"")</f>
        <v/>
      </c>
      <c r="BD128" s="535" t="e">
        <f>calculs!E128 * (1-0.4) / (données_step[[#This Row],[X_BA_VOL]]*données_step[[#This Row],[X_BACONC]])</f>
        <v>#VALUE!</v>
      </c>
      <c r="BE128" s="522" t="e">
        <f>(données_step[[#This Row],[X_BA_VOL]]*données_step[[#This Row],[X_BACONC]])/((données_step[[#This Row],[D_QTRAI2]]*données_step[[#This Row],[S_MES]]/1000)+(données_step[[#This Row],[X_BX_Q]]*données_step[[#This Row],[X_BXCONC]]))</f>
        <v>#VALUE!</v>
      </c>
      <c r="BF128" s="890" t="str">
        <f>IFERROR(données_step[[#This Row],[D_QTRAI]]/AY128*1000,"")</f>
        <v/>
      </c>
      <c r="BG128" s="535" t="str">
        <f>IFERROR(1-données_step[[#This Row],[S_DBO5]]/données_step[[#This Row],[E_DBO5]],"")</f>
        <v/>
      </c>
      <c r="BH128" s="536" t="str">
        <f>IFERROR(1-données_step[[#This Row],[S_DCO]]/données_step[[#This Row],[E_DCO]],"")</f>
        <v/>
      </c>
      <c r="BI128" s="535" t="str">
        <f>IFERROR(1-données_step[[#This Row],[S_COD]]/données_step[[#This Row],[E_COT]],"")</f>
        <v/>
      </c>
      <c r="BJ128" s="535" t="str">
        <f>IFERROR(1-données_step[[#This Row],[S_NH4]]/données_step[[#This Row],[E_NTOT]],"")</f>
        <v/>
      </c>
      <c r="BK128" s="535" t="str">
        <f>IFERROR(1-données_step[[#This Row],[S_PTOT]]/données_step[[#This Row],[E_PTOT]],"")</f>
        <v/>
      </c>
      <c r="BL128" s="521" t="str">
        <f>IFERROR(IF(données_step[[#This Row],[E_DCO]]/données_step[[#This Row],[E_DBO5]]=0,NA(),données_step[[#This Row],[E_DCO]]/données_step[[#This Row],[E_DBO5]]),"")</f>
        <v/>
      </c>
      <c r="BM128" s="521" t="str">
        <f>IFERROR(IF(données_step[[#This Row],[E_NH4]]/données_step[[#This Row],[E_NTOT]]=0,NA(),données_step[[#This Row],[E_NH4]]/données_step[[#This Row],[E_NTOT]]),"")</f>
        <v/>
      </c>
      <c r="BN128" s="521" t="str">
        <f>IFERROR(IF(données_step[[#This Row],[E_NTOT]]/données_step[[#This Row],[E_COT]]=0,NA(),données_step[[#This Row],[E_NTOT]]/données_step[[#This Row],[E_COT]]),"")</f>
        <v/>
      </c>
      <c r="BO128" s="521" t="str">
        <f>IFERROR(IF(données_step[[#This Row],[E_PTOT]]/données_step[[#This Row],[E_COT]]=0,NA(),données_step[[#This Row],[E_PTOT]]/données_step[[#This Row],[E_COT]]),"")</f>
        <v/>
      </c>
      <c r="BP128" s="521" t="e">
        <f>IF(données_step[[#This Row],[E_DCO]]/données_step[[#This Row],[E_COT]]=0,NA(),données_step[[#This Row],[E_DCO]]/données_step[[#This Row],[E_COT]])</f>
        <v>#DIV/0!</v>
      </c>
      <c r="BQ128" s="521" t="e">
        <f>IF(données_step[[#This Row],[E_NTOT]]/données_step[[#This Row],[E_DCO]]=0,NA(),données_step[[#This Row],[E_NTOT]]/données_step[[#This Row],[E_DCO]])</f>
        <v>#DIV/0!</v>
      </c>
      <c r="BR128" s="521" t="e">
        <f>IF(données_step[[#This Row],[E_PTOT]]/données_step[[#This Row],[E_DCO]]=0,NA(),données_step[[#This Row],[E_PTOT]]/données_step[[#This Row],[E_DCO]])</f>
        <v>#DIV/0!</v>
      </c>
      <c r="BS128" s="747" t="e">
        <f ca="1">test_NH4_temp(données_step[[#This Row],[S_NH4]],données_step[[#This Row],[Temp_eaux]])</f>
        <v>#NAME?</v>
      </c>
    </row>
    <row r="129" spans="1:71" x14ac:dyDescent="0.2">
      <c r="A129" s="222">
        <f>données_step[[#This Row],[Datum]]</f>
        <v>44680</v>
      </c>
      <c r="B129" s="223"/>
      <c r="C129" s="224">
        <f t="shared" si="34"/>
        <v>6</v>
      </c>
      <c r="D129" s="523" t="str">
        <f>IF(OR(données_step[[#This Row],[E_DBO5]]&lt;=0,données_step[[#This Row],[E_DBO5]]=""),"",données_step[[#This Row],[D_QTRAI]]*données_step[[#This Row],[E_DBO5]]/1000)</f>
        <v/>
      </c>
      <c r="E129" s="523" t="str">
        <f>IF(OR(données_step[[#This Row],[E_DCO]]&lt;=0,données_step[[#This Row],[E_DCO]]=""),"",données_step[[#This Row],[D_QTRAI]]*données_step[[#This Row],[E_DCO]]/1000)</f>
        <v/>
      </c>
      <c r="F129" s="523" t="str">
        <f>IF(OR(données_step[[#This Row],[E_COT]]&lt;=0,données_step[[#This Row],[E_COT]]=""),"",données_step[[#This Row],[D_QTRAI]]*données_step[[#This Row],[E_COT]]/1000)</f>
        <v/>
      </c>
      <c r="G129" s="523" t="str">
        <f>IF(OR(données_step[[#This Row],[E_NH4]]&lt;=0,données_step[[#This Row],[E_NH4]]=""),"",données_step[[#This Row],[D_QTRAI]]*données_step[[#This Row],[E_NH4]]/1000)</f>
        <v/>
      </c>
      <c r="H129" s="523" t="str">
        <f>IF(OR(données_step[[#This Row],[E_NTOT]]&lt;=0,données_step[[#This Row],[E_NTOT]]=""),"",données_step[[#This Row],[D_QTRAI]]*données_step[[#This Row],[E_NTOT]]/1000)</f>
        <v/>
      </c>
      <c r="I129" s="523" t="str">
        <f>IF(OR(données_step[[#This Row],[E_NTOT]]&lt;=0,données_step[[#This Row],[E_NTOT]]=""),"",données_step[[#This Row],[D_QTRAI]]*données_step[[#This Row],[E_PTOT]]/1000)</f>
        <v/>
      </c>
      <c r="J129" s="523" t="str">
        <f>IF(OR(données_step[[#This Row],[S_DBO5]]&lt;=0,données_step[[#This Row],[S_DBO5]]=""),"",données_step[[#This Row],[D_QTRAI]]*données_step[[#This Row],[S_DBO5]]/1000)</f>
        <v/>
      </c>
      <c r="K129" s="523" t="str">
        <f>IF(OR(données_step[[#This Row],[S_DCO]]&lt;=0,données_step[[#This Row],[S_DCO]]=""),"",données_step[[#This Row],[D_QTRAI]]*données_step[[#This Row],[S_DCO]]/1000)</f>
        <v/>
      </c>
      <c r="L129" s="523" t="str">
        <f>IF(OR(données_step[[#This Row],[S_COD]]&lt;=0,données_step[[#This Row],[S_COD]]=""),"",données_step[[#This Row],[D_QTRAI]]*données_step[[#This Row],[S_COD]]/1000)</f>
        <v/>
      </c>
      <c r="M129" s="523" t="str">
        <f>IF(OR(données_step[[#This Row],[S_NH4]]&lt;=0,données_step[[#This Row],[S_NH4]]=""),"",données_step[[#This Row],[D_QTRAI]]*données_step[[#This Row],[S_NH4]]/1000)</f>
        <v/>
      </c>
      <c r="N129" s="523" t="str">
        <f>IF(OR(données_step[[#This Row],[S_NO2]]&lt;=0,données_step[[#This Row],[S_NO2]]=""),"",données_step[[#This Row],[D_QTRAI]]*données_step[[#This Row],[S_NO2]]/1000)</f>
        <v/>
      </c>
      <c r="O129" s="523" t="str">
        <f>IF(OR(données_step[[#This Row],[S_NO3]]&lt;=0,données_step[[#This Row],[S_NO3]]=""),"",données_step[[#This Row],[D_QTRAI]]*données_step[[#This Row],[S_NO3]]/1000)</f>
        <v/>
      </c>
      <c r="P129" s="523" t="str">
        <f>IF(OR(données_step[[#This Row],[S_PTOT]]&lt;=0,données_step[[#This Row],[S_PTOT]]=""),"",données_step[[#This Row],[D_QTRAI]]*données_step[[#This Row],[S_PTOT]]/1000)</f>
        <v/>
      </c>
      <c r="Q129" s="523" t="str">
        <f>IF(OR(données_step[[#This Row],[S_MES]]&lt;=0,données_step[[#This Row],[S_MES]]=""),"",données_step[[#This Row],[D_QTRAI]]*données_step[[#This Row],[S_MES]]/1000)</f>
        <v/>
      </c>
      <c r="R129" s="523">
        <f>MAX(données_step[[#This Row],[D_QTRAI]],données_step[[#This Row],[D_QTRAI2]])</f>
        <v>0</v>
      </c>
      <c r="S129" s="523" t="str">
        <f>IF(AND($R129&gt;0,données_step[[#This Row],[E_DCO]]&gt;0),données_step[[#This Row],[E_DCO]],"")</f>
        <v/>
      </c>
      <c r="T129" s="523" t="str">
        <f>IF(S129="","",(1-données_step[[#This Row],[E_DCO]]/$V$7)*100)</f>
        <v/>
      </c>
      <c r="U129" s="523" t="str">
        <f t="shared" si="18"/>
        <v/>
      </c>
      <c r="V129" s="523" t="str">
        <f t="shared" si="19"/>
        <v/>
      </c>
      <c r="W129" s="523" t="str">
        <f t="shared" si="20"/>
        <v/>
      </c>
      <c r="X129" s="523" t="e">
        <f>IF(((100-100/$V$7*données_step[[#This Row],[E_DCO]])/100*QTS)&lt;0,NA(),IF(OR(U129&lt;0,U129=""),NA(),((100-100/$V$7*données_step[[#This Row],[E_DCO]])/100*QTS)))</f>
        <v>#NUM!</v>
      </c>
      <c r="Y129" s="523" t="str">
        <f>IF(AND($R129&gt;0,données_step[[#This Row],[E_COT]]&gt;0),données_step[[#This Row],[E_COT]],"")</f>
        <v/>
      </c>
      <c r="Z129" s="523" t="str">
        <f>IF(Y129="","",(1-données_step[[#This Row],[E_COT]]/$AB$7)*100)</f>
        <v/>
      </c>
      <c r="AA129" s="523" t="str">
        <f t="shared" si="21"/>
        <v/>
      </c>
      <c r="AB129" s="523" t="str">
        <f t="shared" si="22"/>
        <v/>
      </c>
      <c r="AC129" s="523" t="str">
        <f t="shared" si="23"/>
        <v/>
      </c>
      <c r="AD129" s="523" t="e">
        <f>IF(((100-100/$AB$7*données_step[[#This Row],[E_COT]])/100*QTS)&lt;0,NA(),IF(OR(AA129&lt;0,AA129=""),NA(),((100-100/$AB$7*données_step[[#This Row],[E_COT]])/100*QTS)))</f>
        <v>#NUM!</v>
      </c>
      <c r="AE129" s="523" t="str">
        <f>IF(AND($R129&gt;0,données_step[[#This Row],[E_NH4]]&gt;0),données_step[[#This Row],[E_NH4]],"")</f>
        <v/>
      </c>
      <c r="AF129" s="523" t="str">
        <f>IF(AE129="","",(1-données_step[[#This Row],[E_NH4]]/$AH$7)*100)</f>
        <v/>
      </c>
      <c r="AG129" s="523" t="str">
        <f t="shared" si="24"/>
        <v/>
      </c>
      <c r="AH129" s="523" t="str">
        <f t="shared" si="25"/>
        <v/>
      </c>
      <c r="AI129" s="523" t="str">
        <f t="shared" si="26"/>
        <v/>
      </c>
      <c r="AJ129" s="523" t="e">
        <f>IF(((100-100/$AH$7*données_step[[#This Row],[E_NH4]])/100*QTS)&lt;0,NA(),IF(OR(AG129&lt;0,AG129=""),NA(),((100-100/$AH$7*données_step[[#This Row],[E_NH4]])/100*QTS)))</f>
        <v>#NUM!</v>
      </c>
      <c r="AK129" s="523" t="str">
        <f>IF(AND($R129&gt;0,données_step[[#This Row],[E_PTOT]]&gt;0),données_step[[#This Row],[E_PTOT]],"")</f>
        <v/>
      </c>
      <c r="AL129" s="523" t="str">
        <f>IF(AK129="","",(1-données_step[[#This Row],[E_PTOT]]/$AN$7)*100)</f>
        <v/>
      </c>
      <c r="AM129" s="523" t="str">
        <f t="shared" si="27"/>
        <v/>
      </c>
      <c r="AN129" s="523" t="str">
        <f t="shared" si="28"/>
        <v/>
      </c>
      <c r="AO129" s="523" t="str">
        <f t="shared" si="29"/>
        <v/>
      </c>
      <c r="AP129" s="523" t="e">
        <f>IF(((100-100/$AN$7*données_step[[#This Row],[E_PTOT]])/100*QTS)&lt;0,NA(),IF(OR(AM129&lt;0,AM129=""),NA(),((100-100/$AN$7*données_step[[#This Row],[E_PTOT]])/100*QTS)))</f>
        <v>#NUM!</v>
      </c>
      <c r="AQ129" s="524" t="e">
        <f t="shared" si="30"/>
        <v>#NUM!</v>
      </c>
      <c r="AR129" s="524" t="str">
        <f t="shared" si="31"/>
        <v/>
      </c>
      <c r="AY129" s="523" t="str">
        <f>_xlfn.IFNA(IF(données_step[[#This Row],[E_DCO]]&lt;=0,NA(),charge_entree[[#This Row],[ch_E_DCO]]/constanten!$B$8*1000),"")</f>
        <v/>
      </c>
      <c r="AZ129" s="523" t="str">
        <f>_xlfn.IFNA(IF(données_step[[#This Row],[E_NTOT]]&lt;=0,NA(),charge_entree[[#This Row],[ch_E_NTOT]]/constanten!$B$10*1000),"")</f>
        <v/>
      </c>
      <c r="BA129" s="523" t="str">
        <f>_xlfn.IFNA(IF(données_step[[#This Row],[E_NH4]]&lt;=0,NA(),charge_entree[[#This Row],[ch_E_NH4]]/constanten!$B$12*1000),"")</f>
        <v/>
      </c>
      <c r="BB129" s="523" t="str">
        <f>_xlfn.IFNA(IF(données_step[[#This Row],[E_COT]]&lt;=0,NA(),charge_entree[[#This Row],[ch_E_COT]]/constanten!$B$9*1000),"")</f>
        <v/>
      </c>
      <c r="BC129" s="523" t="str">
        <f>IFERROR(_xlfn.IFNA(IF(données_step[[#This Row],[E_PTOT]]&lt;=0,NA(),charge_entree[[#This Row],[ch_E_PTOT]]/constanten!$B$15*1000),""),"")</f>
        <v/>
      </c>
      <c r="BD129" s="535" t="e">
        <f>calculs!E129 * (1-0.4) / (données_step[[#This Row],[X_BA_VOL]]*données_step[[#This Row],[X_BACONC]])</f>
        <v>#VALUE!</v>
      </c>
      <c r="BE129" s="522" t="e">
        <f>(données_step[[#This Row],[X_BA_VOL]]*données_step[[#This Row],[X_BACONC]])/((données_step[[#This Row],[D_QTRAI2]]*données_step[[#This Row],[S_MES]]/1000)+(données_step[[#This Row],[X_BX_Q]]*données_step[[#This Row],[X_BXCONC]]))</f>
        <v>#VALUE!</v>
      </c>
      <c r="BF129" s="890" t="str">
        <f>IFERROR(données_step[[#This Row],[D_QTRAI]]/AY129*1000,"")</f>
        <v/>
      </c>
      <c r="BG129" s="535" t="str">
        <f>IFERROR(1-données_step[[#This Row],[S_DBO5]]/données_step[[#This Row],[E_DBO5]],"")</f>
        <v/>
      </c>
      <c r="BH129" s="536" t="str">
        <f>IFERROR(1-données_step[[#This Row],[S_DCO]]/données_step[[#This Row],[E_DCO]],"")</f>
        <v/>
      </c>
      <c r="BI129" s="535" t="str">
        <f>IFERROR(1-données_step[[#This Row],[S_COD]]/données_step[[#This Row],[E_COT]],"")</f>
        <v/>
      </c>
      <c r="BJ129" s="535" t="str">
        <f>IFERROR(1-données_step[[#This Row],[S_NH4]]/données_step[[#This Row],[E_NTOT]],"")</f>
        <v/>
      </c>
      <c r="BK129" s="535" t="str">
        <f>IFERROR(1-données_step[[#This Row],[S_PTOT]]/données_step[[#This Row],[E_PTOT]],"")</f>
        <v/>
      </c>
      <c r="BL129" s="521" t="str">
        <f>IFERROR(IF(données_step[[#This Row],[E_DCO]]/données_step[[#This Row],[E_DBO5]]=0,NA(),données_step[[#This Row],[E_DCO]]/données_step[[#This Row],[E_DBO5]]),"")</f>
        <v/>
      </c>
      <c r="BM129" s="521" t="str">
        <f>IFERROR(IF(données_step[[#This Row],[E_NH4]]/données_step[[#This Row],[E_NTOT]]=0,NA(),données_step[[#This Row],[E_NH4]]/données_step[[#This Row],[E_NTOT]]),"")</f>
        <v/>
      </c>
      <c r="BN129" s="521" t="str">
        <f>IFERROR(IF(données_step[[#This Row],[E_NTOT]]/données_step[[#This Row],[E_COT]]=0,NA(),données_step[[#This Row],[E_NTOT]]/données_step[[#This Row],[E_COT]]),"")</f>
        <v/>
      </c>
      <c r="BO129" s="521" t="str">
        <f>IFERROR(IF(données_step[[#This Row],[E_PTOT]]/données_step[[#This Row],[E_COT]]=0,NA(),données_step[[#This Row],[E_PTOT]]/données_step[[#This Row],[E_COT]]),"")</f>
        <v/>
      </c>
      <c r="BP129" s="521" t="e">
        <f>IF(données_step[[#This Row],[E_DCO]]/données_step[[#This Row],[E_COT]]=0,NA(),données_step[[#This Row],[E_DCO]]/données_step[[#This Row],[E_COT]])</f>
        <v>#DIV/0!</v>
      </c>
      <c r="BQ129" s="521" t="e">
        <f>IF(données_step[[#This Row],[E_NTOT]]/données_step[[#This Row],[E_DCO]]=0,NA(),données_step[[#This Row],[E_NTOT]]/données_step[[#This Row],[E_DCO]])</f>
        <v>#DIV/0!</v>
      </c>
      <c r="BR129" s="521" t="e">
        <f>IF(données_step[[#This Row],[E_PTOT]]/données_step[[#This Row],[E_DCO]]=0,NA(),données_step[[#This Row],[E_PTOT]]/données_step[[#This Row],[E_DCO]])</f>
        <v>#DIV/0!</v>
      </c>
      <c r="BS129" s="747" t="e">
        <f ca="1">test_NH4_temp(données_step[[#This Row],[S_NH4]],données_step[[#This Row],[Temp_eaux]])</f>
        <v>#NAME?</v>
      </c>
    </row>
    <row r="130" spans="1:71" x14ac:dyDescent="0.2">
      <c r="A130" s="222">
        <f>données_step[[#This Row],[Datum]]</f>
        <v>44681</v>
      </c>
      <c r="B130" s="223"/>
      <c r="C130" s="224">
        <f t="shared" si="34"/>
        <v>7</v>
      </c>
      <c r="D130" s="523" t="str">
        <f>IF(OR(données_step[[#This Row],[E_DBO5]]&lt;=0,données_step[[#This Row],[E_DBO5]]=""),"",données_step[[#This Row],[D_QTRAI]]*données_step[[#This Row],[E_DBO5]]/1000)</f>
        <v/>
      </c>
      <c r="E130" s="523" t="str">
        <f>IF(OR(données_step[[#This Row],[E_DCO]]&lt;=0,données_step[[#This Row],[E_DCO]]=""),"",données_step[[#This Row],[D_QTRAI]]*données_step[[#This Row],[E_DCO]]/1000)</f>
        <v/>
      </c>
      <c r="F130" s="523" t="str">
        <f>IF(OR(données_step[[#This Row],[E_COT]]&lt;=0,données_step[[#This Row],[E_COT]]=""),"",données_step[[#This Row],[D_QTRAI]]*données_step[[#This Row],[E_COT]]/1000)</f>
        <v/>
      </c>
      <c r="G130" s="523" t="str">
        <f>IF(OR(données_step[[#This Row],[E_NH4]]&lt;=0,données_step[[#This Row],[E_NH4]]=""),"",données_step[[#This Row],[D_QTRAI]]*données_step[[#This Row],[E_NH4]]/1000)</f>
        <v/>
      </c>
      <c r="H130" s="523" t="str">
        <f>IF(OR(données_step[[#This Row],[E_NTOT]]&lt;=0,données_step[[#This Row],[E_NTOT]]=""),"",données_step[[#This Row],[D_QTRAI]]*données_step[[#This Row],[E_NTOT]]/1000)</f>
        <v/>
      </c>
      <c r="I130" s="523" t="str">
        <f>IF(OR(données_step[[#This Row],[E_NTOT]]&lt;=0,données_step[[#This Row],[E_NTOT]]=""),"",données_step[[#This Row],[D_QTRAI]]*données_step[[#This Row],[E_PTOT]]/1000)</f>
        <v/>
      </c>
      <c r="J130" s="523" t="str">
        <f>IF(OR(données_step[[#This Row],[S_DBO5]]&lt;=0,données_step[[#This Row],[S_DBO5]]=""),"",données_step[[#This Row],[D_QTRAI]]*données_step[[#This Row],[S_DBO5]]/1000)</f>
        <v/>
      </c>
      <c r="K130" s="523" t="str">
        <f>IF(OR(données_step[[#This Row],[S_DCO]]&lt;=0,données_step[[#This Row],[S_DCO]]=""),"",données_step[[#This Row],[D_QTRAI]]*données_step[[#This Row],[S_DCO]]/1000)</f>
        <v/>
      </c>
      <c r="L130" s="523" t="str">
        <f>IF(OR(données_step[[#This Row],[S_COD]]&lt;=0,données_step[[#This Row],[S_COD]]=""),"",données_step[[#This Row],[D_QTRAI]]*données_step[[#This Row],[S_COD]]/1000)</f>
        <v/>
      </c>
      <c r="M130" s="523" t="str">
        <f>IF(OR(données_step[[#This Row],[S_NH4]]&lt;=0,données_step[[#This Row],[S_NH4]]=""),"",données_step[[#This Row],[D_QTRAI]]*données_step[[#This Row],[S_NH4]]/1000)</f>
        <v/>
      </c>
      <c r="N130" s="523" t="str">
        <f>IF(OR(données_step[[#This Row],[S_NO2]]&lt;=0,données_step[[#This Row],[S_NO2]]=""),"",données_step[[#This Row],[D_QTRAI]]*données_step[[#This Row],[S_NO2]]/1000)</f>
        <v/>
      </c>
      <c r="O130" s="523" t="str">
        <f>IF(OR(données_step[[#This Row],[S_NO3]]&lt;=0,données_step[[#This Row],[S_NO3]]=""),"",données_step[[#This Row],[D_QTRAI]]*données_step[[#This Row],[S_NO3]]/1000)</f>
        <v/>
      </c>
      <c r="P130" s="523" t="str">
        <f>IF(OR(données_step[[#This Row],[S_PTOT]]&lt;=0,données_step[[#This Row],[S_PTOT]]=""),"",données_step[[#This Row],[D_QTRAI]]*données_step[[#This Row],[S_PTOT]]/1000)</f>
        <v/>
      </c>
      <c r="Q130" s="523" t="str">
        <f>IF(OR(données_step[[#This Row],[S_MES]]&lt;=0,données_step[[#This Row],[S_MES]]=""),"",données_step[[#This Row],[D_QTRAI]]*données_step[[#This Row],[S_MES]]/1000)</f>
        <v/>
      </c>
      <c r="R130" s="523">
        <f>MAX(données_step[[#This Row],[D_QTRAI]],données_step[[#This Row],[D_QTRAI2]])</f>
        <v>0</v>
      </c>
      <c r="S130" s="523" t="str">
        <f>IF(AND($R130&gt;0,données_step[[#This Row],[E_DCO]]&gt;0),données_step[[#This Row],[E_DCO]],"")</f>
        <v/>
      </c>
      <c r="T130" s="523" t="str">
        <f>IF(S130="","",(1-données_step[[#This Row],[E_DCO]]/$V$7)*100)</f>
        <v/>
      </c>
      <c r="U130" s="523" t="str">
        <f t="shared" si="18"/>
        <v/>
      </c>
      <c r="V130" s="523" t="str">
        <f t="shared" si="19"/>
        <v/>
      </c>
      <c r="W130" s="523" t="str">
        <f t="shared" si="20"/>
        <v/>
      </c>
      <c r="X130" s="523" t="e">
        <f>IF(((100-100/$V$7*données_step[[#This Row],[E_DCO]])/100*QTS)&lt;0,NA(),IF(OR(U130&lt;0,U130=""),NA(),((100-100/$V$7*données_step[[#This Row],[E_DCO]])/100*QTS)))</f>
        <v>#NUM!</v>
      </c>
      <c r="Y130" s="523" t="str">
        <f>IF(AND($R130&gt;0,données_step[[#This Row],[E_COT]]&gt;0),données_step[[#This Row],[E_COT]],"")</f>
        <v/>
      </c>
      <c r="Z130" s="523" t="str">
        <f>IF(Y130="","",(1-données_step[[#This Row],[E_COT]]/$AB$7)*100)</f>
        <v/>
      </c>
      <c r="AA130" s="523" t="str">
        <f t="shared" si="21"/>
        <v/>
      </c>
      <c r="AB130" s="523" t="str">
        <f t="shared" si="22"/>
        <v/>
      </c>
      <c r="AC130" s="523" t="str">
        <f t="shared" si="23"/>
        <v/>
      </c>
      <c r="AD130" s="523" t="e">
        <f>IF(((100-100/$AB$7*données_step[[#This Row],[E_COT]])/100*QTS)&lt;0,NA(),IF(OR(AA130&lt;0,AA130=""),NA(),((100-100/$AB$7*données_step[[#This Row],[E_COT]])/100*QTS)))</f>
        <v>#NUM!</v>
      </c>
      <c r="AE130" s="523" t="str">
        <f>IF(AND($R130&gt;0,données_step[[#This Row],[E_NH4]]&gt;0),données_step[[#This Row],[E_NH4]],"")</f>
        <v/>
      </c>
      <c r="AF130" s="523" t="str">
        <f>IF(AE130="","",(1-données_step[[#This Row],[E_NH4]]/$AH$7)*100)</f>
        <v/>
      </c>
      <c r="AG130" s="523" t="str">
        <f t="shared" si="24"/>
        <v/>
      </c>
      <c r="AH130" s="523" t="str">
        <f t="shared" si="25"/>
        <v/>
      </c>
      <c r="AI130" s="523" t="str">
        <f t="shared" si="26"/>
        <v/>
      </c>
      <c r="AJ130" s="523" t="e">
        <f>IF(((100-100/$AH$7*données_step[[#This Row],[E_NH4]])/100*QTS)&lt;0,NA(),IF(OR(AG130&lt;0,AG130=""),NA(),((100-100/$AH$7*données_step[[#This Row],[E_NH4]])/100*QTS)))</f>
        <v>#NUM!</v>
      </c>
      <c r="AK130" s="523" t="str">
        <f>IF(AND($R130&gt;0,données_step[[#This Row],[E_PTOT]]&gt;0),données_step[[#This Row],[E_PTOT]],"")</f>
        <v/>
      </c>
      <c r="AL130" s="523" t="str">
        <f>IF(AK130="","",(1-données_step[[#This Row],[E_PTOT]]/$AN$7)*100)</f>
        <v/>
      </c>
      <c r="AM130" s="523" t="str">
        <f t="shared" si="27"/>
        <v/>
      </c>
      <c r="AN130" s="523" t="str">
        <f t="shared" si="28"/>
        <v/>
      </c>
      <c r="AO130" s="523" t="str">
        <f t="shared" si="29"/>
        <v/>
      </c>
      <c r="AP130" s="523" t="e">
        <f>IF(((100-100/$AN$7*données_step[[#This Row],[E_PTOT]])/100*QTS)&lt;0,NA(),IF(OR(AM130&lt;0,AM130=""),NA(),((100-100/$AN$7*données_step[[#This Row],[E_PTOT]])/100*QTS)))</f>
        <v>#NUM!</v>
      </c>
      <c r="AQ130" s="524" t="e">
        <f t="shared" si="30"/>
        <v>#NUM!</v>
      </c>
      <c r="AR130" s="524" t="str">
        <f t="shared" si="31"/>
        <v/>
      </c>
      <c r="AY130" s="523" t="str">
        <f>_xlfn.IFNA(IF(données_step[[#This Row],[E_DCO]]&lt;=0,NA(),charge_entree[[#This Row],[ch_E_DCO]]/constanten!$B$8*1000),"")</f>
        <v/>
      </c>
      <c r="AZ130" s="523" t="str">
        <f>_xlfn.IFNA(IF(données_step[[#This Row],[E_NTOT]]&lt;=0,NA(),charge_entree[[#This Row],[ch_E_NTOT]]/constanten!$B$10*1000),"")</f>
        <v/>
      </c>
      <c r="BA130" s="523" t="str">
        <f>_xlfn.IFNA(IF(données_step[[#This Row],[E_NH4]]&lt;=0,NA(),charge_entree[[#This Row],[ch_E_NH4]]/constanten!$B$12*1000),"")</f>
        <v/>
      </c>
      <c r="BB130" s="523" t="str">
        <f>_xlfn.IFNA(IF(données_step[[#This Row],[E_COT]]&lt;=0,NA(),charge_entree[[#This Row],[ch_E_COT]]/constanten!$B$9*1000),"")</f>
        <v/>
      </c>
      <c r="BC130" s="523" t="str">
        <f>IFERROR(_xlfn.IFNA(IF(données_step[[#This Row],[E_PTOT]]&lt;=0,NA(),charge_entree[[#This Row],[ch_E_PTOT]]/constanten!$B$15*1000),""),"")</f>
        <v/>
      </c>
      <c r="BD130" s="535" t="e">
        <f>calculs!E130 * (1-0.4) / (données_step[[#This Row],[X_BA_VOL]]*données_step[[#This Row],[X_BACONC]])</f>
        <v>#VALUE!</v>
      </c>
      <c r="BE130" s="522" t="e">
        <f>(données_step[[#This Row],[X_BA_VOL]]*données_step[[#This Row],[X_BACONC]])/((données_step[[#This Row],[D_QTRAI2]]*données_step[[#This Row],[S_MES]]/1000)+(données_step[[#This Row],[X_BX_Q]]*données_step[[#This Row],[X_BXCONC]]))</f>
        <v>#VALUE!</v>
      </c>
      <c r="BF130" s="890" t="str">
        <f>IFERROR(données_step[[#This Row],[D_QTRAI]]/AY130*1000,"")</f>
        <v/>
      </c>
      <c r="BG130" s="535" t="str">
        <f>IFERROR(1-données_step[[#This Row],[S_DBO5]]/données_step[[#This Row],[E_DBO5]],"")</f>
        <v/>
      </c>
      <c r="BH130" s="536" t="str">
        <f>IFERROR(1-données_step[[#This Row],[S_DCO]]/données_step[[#This Row],[E_DCO]],"")</f>
        <v/>
      </c>
      <c r="BI130" s="535" t="str">
        <f>IFERROR(1-données_step[[#This Row],[S_COD]]/données_step[[#This Row],[E_COT]],"")</f>
        <v/>
      </c>
      <c r="BJ130" s="535" t="str">
        <f>IFERROR(1-données_step[[#This Row],[S_NH4]]/données_step[[#This Row],[E_NTOT]],"")</f>
        <v/>
      </c>
      <c r="BK130" s="535" t="str">
        <f>IFERROR(1-données_step[[#This Row],[S_PTOT]]/données_step[[#This Row],[E_PTOT]],"")</f>
        <v/>
      </c>
      <c r="BL130" s="521" t="str">
        <f>IFERROR(IF(données_step[[#This Row],[E_DCO]]/données_step[[#This Row],[E_DBO5]]=0,NA(),données_step[[#This Row],[E_DCO]]/données_step[[#This Row],[E_DBO5]]),"")</f>
        <v/>
      </c>
      <c r="BM130" s="521" t="str">
        <f>IFERROR(IF(données_step[[#This Row],[E_NH4]]/données_step[[#This Row],[E_NTOT]]=0,NA(),données_step[[#This Row],[E_NH4]]/données_step[[#This Row],[E_NTOT]]),"")</f>
        <v/>
      </c>
      <c r="BN130" s="521" t="str">
        <f>IFERROR(IF(données_step[[#This Row],[E_NTOT]]/données_step[[#This Row],[E_COT]]=0,NA(),données_step[[#This Row],[E_NTOT]]/données_step[[#This Row],[E_COT]]),"")</f>
        <v/>
      </c>
      <c r="BO130" s="521" t="str">
        <f>IFERROR(IF(données_step[[#This Row],[E_PTOT]]/données_step[[#This Row],[E_COT]]=0,NA(),données_step[[#This Row],[E_PTOT]]/données_step[[#This Row],[E_COT]]),"")</f>
        <v/>
      </c>
      <c r="BP130" s="521" t="e">
        <f>IF(données_step[[#This Row],[E_DCO]]/données_step[[#This Row],[E_COT]]=0,NA(),données_step[[#This Row],[E_DCO]]/données_step[[#This Row],[E_COT]])</f>
        <v>#DIV/0!</v>
      </c>
      <c r="BQ130" s="521" t="e">
        <f>IF(données_step[[#This Row],[E_NTOT]]/données_step[[#This Row],[E_DCO]]=0,NA(),données_step[[#This Row],[E_NTOT]]/données_step[[#This Row],[E_DCO]])</f>
        <v>#DIV/0!</v>
      </c>
      <c r="BR130" s="521" t="e">
        <f>IF(données_step[[#This Row],[E_PTOT]]/données_step[[#This Row],[E_DCO]]=0,NA(),données_step[[#This Row],[E_PTOT]]/données_step[[#This Row],[E_DCO]])</f>
        <v>#DIV/0!</v>
      </c>
      <c r="BS130" s="747" t="e">
        <f ca="1">test_NH4_temp(données_step[[#This Row],[S_NH4]],données_step[[#This Row],[Temp_eaux]])</f>
        <v>#NAME?</v>
      </c>
    </row>
    <row r="131" spans="1:71" x14ac:dyDescent="0.2">
      <c r="A131" s="222">
        <f>données_step[[#This Row],[Datum]]</f>
        <v>44682</v>
      </c>
      <c r="B131" s="223"/>
      <c r="C131" s="224">
        <f t="shared" si="34"/>
        <v>1</v>
      </c>
      <c r="D131" s="523" t="str">
        <f>IF(OR(données_step[[#This Row],[E_DBO5]]&lt;=0,données_step[[#This Row],[E_DBO5]]=""),"",données_step[[#This Row],[D_QTRAI]]*données_step[[#This Row],[E_DBO5]]/1000)</f>
        <v/>
      </c>
      <c r="E131" s="523" t="str">
        <f>IF(OR(données_step[[#This Row],[E_DCO]]&lt;=0,données_step[[#This Row],[E_DCO]]=""),"",données_step[[#This Row],[D_QTRAI]]*données_step[[#This Row],[E_DCO]]/1000)</f>
        <v/>
      </c>
      <c r="F131" s="523" t="str">
        <f>IF(OR(données_step[[#This Row],[E_COT]]&lt;=0,données_step[[#This Row],[E_COT]]=""),"",données_step[[#This Row],[D_QTRAI]]*données_step[[#This Row],[E_COT]]/1000)</f>
        <v/>
      </c>
      <c r="G131" s="523" t="str">
        <f>IF(OR(données_step[[#This Row],[E_NH4]]&lt;=0,données_step[[#This Row],[E_NH4]]=""),"",données_step[[#This Row],[D_QTRAI]]*données_step[[#This Row],[E_NH4]]/1000)</f>
        <v/>
      </c>
      <c r="H131" s="523" t="str">
        <f>IF(OR(données_step[[#This Row],[E_NTOT]]&lt;=0,données_step[[#This Row],[E_NTOT]]=""),"",données_step[[#This Row],[D_QTRAI]]*données_step[[#This Row],[E_NTOT]]/1000)</f>
        <v/>
      </c>
      <c r="I131" s="523" t="str">
        <f>IF(OR(données_step[[#This Row],[E_NTOT]]&lt;=0,données_step[[#This Row],[E_NTOT]]=""),"",données_step[[#This Row],[D_QTRAI]]*données_step[[#This Row],[E_PTOT]]/1000)</f>
        <v/>
      </c>
      <c r="J131" s="523" t="str">
        <f>IF(OR(données_step[[#This Row],[S_DBO5]]&lt;=0,données_step[[#This Row],[S_DBO5]]=""),"",données_step[[#This Row],[D_QTRAI]]*données_step[[#This Row],[S_DBO5]]/1000)</f>
        <v/>
      </c>
      <c r="K131" s="523" t="str">
        <f>IF(OR(données_step[[#This Row],[S_DCO]]&lt;=0,données_step[[#This Row],[S_DCO]]=""),"",données_step[[#This Row],[D_QTRAI]]*données_step[[#This Row],[S_DCO]]/1000)</f>
        <v/>
      </c>
      <c r="L131" s="523" t="str">
        <f>IF(OR(données_step[[#This Row],[S_COD]]&lt;=0,données_step[[#This Row],[S_COD]]=""),"",données_step[[#This Row],[D_QTRAI]]*données_step[[#This Row],[S_COD]]/1000)</f>
        <v/>
      </c>
      <c r="M131" s="523" t="str">
        <f>IF(OR(données_step[[#This Row],[S_NH4]]&lt;=0,données_step[[#This Row],[S_NH4]]=""),"",données_step[[#This Row],[D_QTRAI]]*données_step[[#This Row],[S_NH4]]/1000)</f>
        <v/>
      </c>
      <c r="N131" s="523" t="str">
        <f>IF(OR(données_step[[#This Row],[S_NO2]]&lt;=0,données_step[[#This Row],[S_NO2]]=""),"",données_step[[#This Row],[D_QTRAI]]*données_step[[#This Row],[S_NO2]]/1000)</f>
        <v/>
      </c>
      <c r="O131" s="523" t="str">
        <f>IF(OR(données_step[[#This Row],[S_NO3]]&lt;=0,données_step[[#This Row],[S_NO3]]=""),"",données_step[[#This Row],[D_QTRAI]]*données_step[[#This Row],[S_NO3]]/1000)</f>
        <v/>
      </c>
      <c r="P131" s="523" t="str">
        <f>IF(OR(données_step[[#This Row],[S_PTOT]]&lt;=0,données_step[[#This Row],[S_PTOT]]=""),"",données_step[[#This Row],[D_QTRAI]]*données_step[[#This Row],[S_PTOT]]/1000)</f>
        <v/>
      </c>
      <c r="Q131" s="523" t="str">
        <f>IF(OR(données_step[[#This Row],[S_MES]]&lt;=0,données_step[[#This Row],[S_MES]]=""),"",données_step[[#This Row],[D_QTRAI]]*données_step[[#This Row],[S_MES]]/1000)</f>
        <v/>
      </c>
      <c r="R131" s="523">
        <f>MAX(données_step[[#This Row],[D_QTRAI]],données_step[[#This Row],[D_QTRAI2]])</f>
        <v>0</v>
      </c>
      <c r="S131" s="523" t="str">
        <f>IF(AND($R131&gt;0,données_step[[#This Row],[E_DCO]]&gt;0),données_step[[#This Row],[E_DCO]],"")</f>
        <v/>
      </c>
      <c r="T131" s="523" t="str">
        <f>IF(S131="","",(1-données_step[[#This Row],[E_DCO]]/$V$7)*100)</f>
        <v/>
      </c>
      <c r="U131" s="523" t="str">
        <f t="shared" si="18"/>
        <v/>
      </c>
      <c r="V131" s="523" t="str">
        <f t="shared" si="19"/>
        <v/>
      </c>
      <c r="W131" s="523" t="str">
        <f t="shared" si="20"/>
        <v/>
      </c>
      <c r="X131" s="523" t="e">
        <f>IF(((100-100/$V$7*données_step[[#This Row],[E_DCO]])/100*QTS)&lt;0,NA(),IF(OR(U131&lt;0,U131=""),NA(),((100-100/$V$7*données_step[[#This Row],[E_DCO]])/100*QTS)))</f>
        <v>#NUM!</v>
      </c>
      <c r="Y131" s="523" t="str">
        <f>IF(AND($R131&gt;0,données_step[[#This Row],[E_COT]]&gt;0),données_step[[#This Row],[E_COT]],"")</f>
        <v/>
      </c>
      <c r="Z131" s="523" t="str">
        <f>IF(Y131="","",(1-données_step[[#This Row],[E_COT]]/$AB$7)*100)</f>
        <v/>
      </c>
      <c r="AA131" s="523" t="str">
        <f t="shared" si="21"/>
        <v/>
      </c>
      <c r="AB131" s="523" t="str">
        <f t="shared" si="22"/>
        <v/>
      </c>
      <c r="AC131" s="523" t="str">
        <f t="shared" si="23"/>
        <v/>
      </c>
      <c r="AD131" s="523" t="e">
        <f>IF(((100-100/$AB$7*données_step[[#This Row],[E_COT]])/100*QTS)&lt;0,NA(),IF(OR(AA131&lt;0,AA131=""),NA(),((100-100/$AB$7*données_step[[#This Row],[E_COT]])/100*QTS)))</f>
        <v>#NUM!</v>
      </c>
      <c r="AE131" s="523" t="str">
        <f>IF(AND($R131&gt;0,données_step[[#This Row],[E_NH4]]&gt;0),données_step[[#This Row],[E_NH4]],"")</f>
        <v/>
      </c>
      <c r="AF131" s="523" t="str">
        <f>IF(AE131="","",(1-données_step[[#This Row],[E_NH4]]/$AH$7)*100)</f>
        <v/>
      </c>
      <c r="AG131" s="523" t="str">
        <f t="shared" si="24"/>
        <v/>
      </c>
      <c r="AH131" s="523" t="str">
        <f t="shared" si="25"/>
        <v/>
      </c>
      <c r="AI131" s="523" t="str">
        <f t="shared" si="26"/>
        <v/>
      </c>
      <c r="AJ131" s="523" t="e">
        <f>IF(((100-100/$AH$7*données_step[[#This Row],[E_NH4]])/100*QTS)&lt;0,NA(),IF(OR(AG131&lt;0,AG131=""),NA(),((100-100/$AH$7*données_step[[#This Row],[E_NH4]])/100*QTS)))</f>
        <v>#NUM!</v>
      </c>
      <c r="AK131" s="523" t="str">
        <f>IF(AND($R131&gt;0,données_step[[#This Row],[E_PTOT]]&gt;0),données_step[[#This Row],[E_PTOT]],"")</f>
        <v/>
      </c>
      <c r="AL131" s="523" t="str">
        <f>IF(AK131="","",(1-données_step[[#This Row],[E_PTOT]]/$AN$7)*100)</f>
        <v/>
      </c>
      <c r="AM131" s="523" t="str">
        <f t="shared" si="27"/>
        <v/>
      </c>
      <c r="AN131" s="523" t="str">
        <f t="shared" si="28"/>
        <v/>
      </c>
      <c r="AO131" s="523" t="str">
        <f t="shared" si="29"/>
        <v/>
      </c>
      <c r="AP131" s="523" t="e">
        <f>IF(((100-100/$AN$7*données_step[[#This Row],[E_PTOT]])/100*QTS)&lt;0,NA(),IF(OR(AM131&lt;0,AM131=""),NA(),((100-100/$AN$7*données_step[[#This Row],[E_PTOT]])/100*QTS)))</f>
        <v>#NUM!</v>
      </c>
      <c r="AQ131" s="524" t="e">
        <f t="shared" si="30"/>
        <v>#NUM!</v>
      </c>
      <c r="AR131" s="524" t="str">
        <f t="shared" si="31"/>
        <v/>
      </c>
      <c r="AY131" s="523" t="str">
        <f>_xlfn.IFNA(IF(données_step[[#This Row],[E_DCO]]&lt;=0,NA(),charge_entree[[#This Row],[ch_E_DCO]]/constanten!$B$8*1000),"")</f>
        <v/>
      </c>
      <c r="AZ131" s="523" t="str">
        <f>_xlfn.IFNA(IF(données_step[[#This Row],[E_NTOT]]&lt;=0,NA(),charge_entree[[#This Row],[ch_E_NTOT]]/constanten!$B$10*1000),"")</f>
        <v/>
      </c>
      <c r="BA131" s="523" t="str">
        <f>_xlfn.IFNA(IF(données_step[[#This Row],[E_NH4]]&lt;=0,NA(),charge_entree[[#This Row],[ch_E_NH4]]/constanten!$B$12*1000),"")</f>
        <v/>
      </c>
      <c r="BB131" s="523" t="str">
        <f>_xlfn.IFNA(IF(données_step[[#This Row],[E_COT]]&lt;=0,NA(),charge_entree[[#This Row],[ch_E_COT]]/constanten!$B$9*1000),"")</f>
        <v/>
      </c>
      <c r="BC131" s="523" t="str">
        <f>IFERROR(_xlfn.IFNA(IF(données_step[[#This Row],[E_PTOT]]&lt;=0,NA(),charge_entree[[#This Row],[ch_E_PTOT]]/constanten!$B$15*1000),""),"")</f>
        <v/>
      </c>
      <c r="BD131" s="535" t="e">
        <f>calculs!E131 * (1-0.4) / (données_step[[#This Row],[X_BA_VOL]]*données_step[[#This Row],[X_BACONC]])</f>
        <v>#VALUE!</v>
      </c>
      <c r="BE131" s="522" t="e">
        <f>(données_step[[#This Row],[X_BA_VOL]]*données_step[[#This Row],[X_BACONC]])/((données_step[[#This Row],[D_QTRAI2]]*données_step[[#This Row],[S_MES]]/1000)+(données_step[[#This Row],[X_BX_Q]]*données_step[[#This Row],[X_BXCONC]]))</f>
        <v>#VALUE!</v>
      </c>
      <c r="BF131" s="890" t="str">
        <f>IFERROR(données_step[[#This Row],[D_QTRAI]]/AY131*1000,"")</f>
        <v/>
      </c>
      <c r="BG131" s="535" t="str">
        <f>IFERROR(1-données_step[[#This Row],[S_DBO5]]/données_step[[#This Row],[E_DBO5]],"")</f>
        <v/>
      </c>
      <c r="BH131" s="536" t="str">
        <f>IFERROR(1-données_step[[#This Row],[S_DCO]]/données_step[[#This Row],[E_DCO]],"")</f>
        <v/>
      </c>
      <c r="BI131" s="535" t="str">
        <f>IFERROR(1-données_step[[#This Row],[S_COD]]/données_step[[#This Row],[E_COT]],"")</f>
        <v/>
      </c>
      <c r="BJ131" s="535" t="str">
        <f>IFERROR(1-données_step[[#This Row],[S_NH4]]/données_step[[#This Row],[E_NTOT]],"")</f>
        <v/>
      </c>
      <c r="BK131" s="535" t="str">
        <f>IFERROR(1-données_step[[#This Row],[S_PTOT]]/données_step[[#This Row],[E_PTOT]],"")</f>
        <v/>
      </c>
      <c r="BL131" s="521" t="str">
        <f>IFERROR(IF(données_step[[#This Row],[E_DCO]]/données_step[[#This Row],[E_DBO5]]=0,NA(),données_step[[#This Row],[E_DCO]]/données_step[[#This Row],[E_DBO5]]),"")</f>
        <v/>
      </c>
      <c r="BM131" s="521" t="str">
        <f>IFERROR(IF(données_step[[#This Row],[E_NH4]]/données_step[[#This Row],[E_NTOT]]=0,NA(),données_step[[#This Row],[E_NH4]]/données_step[[#This Row],[E_NTOT]]),"")</f>
        <v/>
      </c>
      <c r="BN131" s="521" t="str">
        <f>IFERROR(IF(données_step[[#This Row],[E_NTOT]]/données_step[[#This Row],[E_COT]]=0,NA(),données_step[[#This Row],[E_NTOT]]/données_step[[#This Row],[E_COT]]),"")</f>
        <v/>
      </c>
      <c r="BO131" s="521" t="str">
        <f>IFERROR(IF(données_step[[#This Row],[E_PTOT]]/données_step[[#This Row],[E_COT]]=0,NA(),données_step[[#This Row],[E_PTOT]]/données_step[[#This Row],[E_COT]]),"")</f>
        <v/>
      </c>
      <c r="BP131" s="521" t="e">
        <f>IF(données_step[[#This Row],[E_DCO]]/données_step[[#This Row],[E_COT]]=0,NA(),données_step[[#This Row],[E_DCO]]/données_step[[#This Row],[E_COT]])</f>
        <v>#DIV/0!</v>
      </c>
      <c r="BQ131" s="521" t="e">
        <f>IF(données_step[[#This Row],[E_NTOT]]/données_step[[#This Row],[E_DCO]]=0,NA(),données_step[[#This Row],[E_NTOT]]/données_step[[#This Row],[E_DCO]])</f>
        <v>#DIV/0!</v>
      </c>
      <c r="BR131" s="521" t="e">
        <f>IF(données_step[[#This Row],[E_PTOT]]/données_step[[#This Row],[E_DCO]]=0,NA(),données_step[[#This Row],[E_PTOT]]/données_step[[#This Row],[E_DCO]])</f>
        <v>#DIV/0!</v>
      </c>
      <c r="BS131" s="747" t="e">
        <f ca="1">test_NH4_temp(données_step[[#This Row],[S_NH4]],données_step[[#This Row],[Temp_eaux]])</f>
        <v>#NAME?</v>
      </c>
    </row>
    <row r="132" spans="1:71" x14ac:dyDescent="0.2">
      <c r="A132" s="222">
        <f>données_step[[#This Row],[Datum]]</f>
        <v>44683</v>
      </c>
      <c r="B132" s="223"/>
      <c r="C132" s="224">
        <f t="shared" si="34"/>
        <v>2</v>
      </c>
      <c r="D132" s="523" t="str">
        <f>IF(OR(données_step[[#This Row],[E_DBO5]]&lt;=0,données_step[[#This Row],[E_DBO5]]=""),"",données_step[[#This Row],[D_QTRAI]]*données_step[[#This Row],[E_DBO5]]/1000)</f>
        <v/>
      </c>
      <c r="E132" s="523" t="str">
        <f>IF(OR(données_step[[#This Row],[E_DCO]]&lt;=0,données_step[[#This Row],[E_DCO]]=""),"",données_step[[#This Row],[D_QTRAI]]*données_step[[#This Row],[E_DCO]]/1000)</f>
        <v/>
      </c>
      <c r="F132" s="523" t="str">
        <f>IF(OR(données_step[[#This Row],[E_COT]]&lt;=0,données_step[[#This Row],[E_COT]]=""),"",données_step[[#This Row],[D_QTRAI]]*données_step[[#This Row],[E_COT]]/1000)</f>
        <v/>
      </c>
      <c r="G132" s="523" t="str">
        <f>IF(OR(données_step[[#This Row],[E_NH4]]&lt;=0,données_step[[#This Row],[E_NH4]]=""),"",données_step[[#This Row],[D_QTRAI]]*données_step[[#This Row],[E_NH4]]/1000)</f>
        <v/>
      </c>
      <c r="H132" s="523" t="str">
        <f>IF(OR(données_step[[#This Row],[E_NTOT]]&lt;=0,données_step[[#This Row],[E_NTOT]]=""),"",données_step[[#This Row],[D_QTRAI]]*données_step[[#This Row],[E_NTOT]]/1000)</f>
        <v/>
      </c>
      <c r="I132" s="523" t="str">
        <f>IF(OR(données_step[[#This Row],[E_NTOT]]&lt;=0,données_step[[#This Row],[E_NTOT]]=""),"",données_step[[#This Row],[D_QTRAI]]*données_step[[#This Row],[E_PTOT]]/1000)</f>
        <v/>
      </c>
      <c r="J132" s="523" t="str">
        <f>IF(OR(données_step[[#This Row],[S_DBO5]]&lt;=0,données_step[[#This Row],[S_DBO5]]=""),"",données_step[[#This Row],[D_QTRAI]]*données_step[[#This Row],[S_DBO5]]/1000)</f>
        <v/>
      </c>
      <c r="K132" s="523" t="str">
        <f>IF(OR(données_step[[#This Row],[S_DCO]]&lt;=0,données_step[[#This Row],[S_DCO]]=""),"",données_step[[#This Row],[D_QTRAI]]*données_step[[#This Row],[S_DCO]]/1000)</f>
        <v/>
      </c>
      <c r="L132" s="523" t="str">
        <f>IF(OR(données_step[[#This Row],[S_COD]]&lt;=0,données_step[[#This Row],[S_COD]]=""),"",données_step[[#This Row],[D_QTRAI]]*données_step[[#This Row],[S_COD]]/1000)</f>
        <v/>
      </c>
      <c r="M132" s="523" t="str">
        <f>IF(OR(données_step[[#This Row],[S_NH4]]&lt;=0,données_step[[#This Row],[S_NH4]]=""),"",données_step[[#This Row],[D_QTRAI]]*données_step[[#This Row],[S_NH4]]/1000)</f>
        <v/>
      </c>
      <c r="N132" s="523" t="str">
        <f>IF(OR(données_step[[#This Row],[S_NO2]]&lt;=0,données_step[[#This Row],[S_NO2]]=""),"",données_step[[#This Row],[D_QTRAI]]*données_step[[#This Row],[S_NO2]]/1000)</f>
        <v/>
      </c>
      <c r="O132" s="523" t="str">
        <f>IF(OR(données_step[[#This Row],[S_NO3]]&lt;=0,données_step[[#This Row],[S_NO3]]=""),"",données_step[[#This Row],[D_QTRAI]]*données_step[[#This Row],[S_NO3]]/1000)</f>
        <v/>
      </c>
      <c r="P132" s="523" t="str">
        <f>IF(OR(données_step[[#This Row],[S_PTOT]]&lt;=0,données_step[[#This Row],[S_PTOT]]=""),"",données_step[[#This Row],[D_QTRAI]]*données_step[[#This Row],[S_PTOT]]/1000)</f>
        <v/>
      </c>
      <c r="Q132" s="523" t="str">
        <f>IF(OR(données_step[[#This Row],[S_MES]]&lt;=0,données_step[[#This Row],[S_MES]]=""),"",données_step[[#This Row],[D_QTRAI]]*données_step[[#This Row],[S_MES]]/1000)</f>
        <v/>
      </c>
      <c r="R132" s="523">
        <f>MAX(données_step[[#This Row],[D_QTRAI]],données_step[[#This Row],[D_QTRAI2]])</f>
        <v>0</v>
      </c>
      <c r="S132" s="523" t="str">
        <f>IF(AND($R132&gt;0,données_step[[#This Row],[E_DCO]]&gt;0),données_step[[#This Row],[E_DCO]],"")</f>
        <v/>
      </c>
      <c r="T132" s="523" t="str">
        <f>IF(S132="","",(1-données_step[[#This Row],[E_DCO]]/$V$7)*100)</f>
        <v/>
      </c>
      <c r="U132" s="523" t="str">
        <f t="shared" si="18"/>
        <v/>
      </c>
      <c r="V132" s="523" t="str">
        <f t="shared" si="19"/>
        <v/>
      </c>
      <c r="W132" s="523" t="str">
        <f t="shared" si="20"/>
        <v/>
      </c>
      <c r="X132" s="523" t="e">
        <f>IF(((100-100/$V$7*données_step[[#This Row],[E_DCO]])/100*QTS)&lt;0,NA(),IF(OR(U132&lt;0,U132=""),NA(),((100-100/$V$7*données_step[[#This Row],[E_DCO]])/100*QTS)))</f>
        <v>#NUM!</v>
      </c>
      <c r="Y132" s="523" t="str">
        <f>IF(AND($R132&gt;0,données_step[[#This Row],[E_COT]]&gt;0),données_step[[#This Row],[E_COT]],"")</f>
        <v/>
      </c>
      <c r="Z132" s="523" t="str">
        <f>IF(Y132="","",(1-données_step[[#This Row],[E_COT]]/$AB$7)*100)</f>
        <v/>
      </c>
      <c r="AA132" s="523" t="str">
        <f t="shared" si="21"/>
        <v/>
      </c>
      <c r="AB132" s="523" t="str">
        <f t="shared" si="22"/>
        <v/>
      </c>
      <c r="AC132" s="523" t="str">
        <f t="shared" si="23"/>
        <v/>
      </c>
      <c r="AD132" s="523" t="e">
        <f>IF(((100-100/$AB$7*données_step[[#This Row],[E_COT]])/100*QTS)&lt;0,NA(),IF(OR(AA132&lt;0,AA132=""),NA(),((100-100/$AB$7*données_step[[#This Row],[E_COT]])/100*QTS)))</f>
        <v>#NUM!</v>
      </c>
      <c r="AE132" s="523" t="str">
        <f>IF(AND($R132&gt;0,données_step[[#This Row],[E_NH4]]&gt;0),données_step[[#This Row],[E_NH4]],"")</f>
        <v/>
      </c>
      <c r="AF132" s="523" t="str">
        <f>IF(AE132="","",(1-données_step[[#This Row],[E_NH4]]/$AH$7)*100)</f>
        <v/>
      </c>
      <c r="AG132" s="523" t="str">
        <f t="shared" si="24"/>
        <v/>
      </c>
      <c r="AH132" s="523" t="str">
        <f t="shared" si="25"/>
        <v/>
      </c>
      <c r="AI132" s="523" t="str">
        <f t="shared" si="26"/>
        <v/>
      </c>
      <c r="AJ132" s="523" t="e">
        <f>IF(((100-100/$AH$7*données_step[[#This Row],[E_NH4]])/100*QTS)&lt;0,NA(),IF(OR(AG132&lt;0,AG132=""),NA(),((100-100/$AH$7*données_step[[#This Row],[E_NH4]])/100*QTS)))</f>
        <v>#NUM!</v>
      </c>
      <c r="AK132" s="523" t="str">
        <f>IF(AND($R132&gt;0,données_step[[#This Row],[E_PTOT]]&gt;0),données_step[[#This Row],[E_PTOT]],"")</f>
        <v/>
      </c>
      <c r="AL132" s="523" t="str">
        <f>IF(AK132="","",(1-données_step[[#This Row],[E_PTOT]]/$AN$7)*100)</f>
        <v/>
      </c>
      <c r="AM132" s="523" t="str">
        <f t="shared" si="27"/>
        <v/>
      </c>
      <c r="AN132" s="523" t="str">
        <f t="shared" si="28"/>
        <v/>
      </c>
      <c r="AO132" s="523" t="str">
        <f t="shared" si="29"/>
        <v/>
      </c>
      <c r="AP132" s="523" t="e">
        <f>IF(((100-100/$AN$7*données_step[[#This Row],[E_PTOT]])/100*QTS)&lt;0,NA(),IF(OR(AM132&lt;0,AM132=""),NA(),((100-100/$AN$7*données_step[[#This Row],[E_PTOT]])/100*QTS)))</f>
        <v>#NUM!</v>
      </c>
      <c r="AQ132" s="524" t="e">
        <f t="shared" si="30"/>
        <v>#NUM!</v>
      </c>
      <c r="AR132" s="524" t="str">
        <f t="shared" si="31"/>
        <v/>
      </c>
      <c r="AY132" s="523" t="str">
        <f>_xlfn.IFNA(IF(données_step[[#This Row],[E_DCO]]&lt;=0,NA(),charge_entree[[#This Row],[ch_E_DCO]]/constanten!$B$8*1000),"")</f>
        <v/>
      </c>
      <c r="AZ132" s="523" t="str">
        <f>_xlfn.IFNA(IF(données_step[[#This Row],[E_NTOT]]&lt;=0,NA(),charge_entree[[#This Row],[ch_E_NTOT]]/constanten!$B$10*1000),"")</f>
        <v/>
      </c>
      <c r="BA132" s="523" t="str">
        <f>_xlfn.IFNA(IF(données_step[[#This Row],[E_NH4]]&lt;=0,NA(),charge_entree[[#This Row],[ch_E_NH4]]/constanten!$B$12*1000),"")</f>
        <v/>
      </c>
      <c r="BB132" s="523" t="str">
        <f>_xlfn.IFNA(IF(données_step[[#This Row],[E_COT]]&lt;=0,NA(),charge_entree[[#This Row],[ch_E_COT]]/constanten!$B$9*1000),"")</f>
        <v/>
      </c>
      <c r="BC132" s="523" t="str">
        <f>IFERROR(_xlfn.IFNA(IF(données_step[[#This Row],[E_PTOT]]&lt;=0,NA(),charge_entree[[#This Row],[ch_E_PTOT]]/constanten!$B$15*1000),""),"")</f>
        <v/>
      </c>
      <c r="BD132" s="535" t="e">
        <f>calculs!E132 * (1-0.4) / (données_step[[#This Row],[X_BA_VOL]]*données_step[[#This Row],[X_BACONC]])</f>
        <v>#VALUE!</v>
      </c>
      <c r="BE132" s="522" t="e">
        <f>(données_step[[#This Row],[X_BA_VOL]]*données_step[[#This Row],[X_BACONC]])/((données_step[[#This Row],[D_QTRAI2]]*données_step[[#This Row],[S_MES]]/1000)+(données_step[[#This Row],[X_BX_Q]]*données_step[[#This Row],[X_BXCONC]]))</f>
        <v>#VALUE!</v>
      </c>
      <c r="BF132" s="890" t="str">
        <f>IFERROR(données_step[[#This Row],[D_QTRAI]]/AY132*1000,"")</f>
        <v/>
      </c>
      <c r="BG132" s="535" t="str">
        <f>IFERROR(1-données_step[[#This Row],[S_DBO5]]/données_step[[#This Row],[E_DBO5]],"")</f>
        <v/>
      </c>
      <c r="BH132" s="536" t="str">
        <f>IFERROR(1-données_step[[#This Row],[S_DCO]]/données_step[[#This Row],[E_DCO]],"")</f>
        <v/>
      </c>
      <c r="BI132" s="535" t="str">
        <f>IFERROR(1-données_step[[#This Row],[S_COD]]/données_step[[#This Row],[E_COT]],"")</f>
        <v/>
      </c>
      <c r="BJ132" s="535" t="str">
        <f>IFERROR(1-données_step[[#This Row],[S_NH4]]/données_step[[#This Row],[E_NTOT]],"")</f>
        <v/>
      </c>
      <c r="BK132" s="535" t="str">
        <f>IFERROR(1-données_step[[#This Row],[S_PTOT]]/données_step[[#This Row],[E_PTOT]],"")</f>
        <v/>
      </c>
      <c r="BL132" s="521" t="str">
        <f>IFERROR(IF(données_step[[#This Row],[E_DCO]]/données_step[[#This Row],[E_DBO5]]=0,NA(),données_step[[#This Row],[E_DCO]]/données_step[[#This Row],[E_DBO5]]),"")</f>
        <v/>
      </c>
      <c r="BM132" s="521" t="str">
        <f>IFERROR(IF(données_step[[#This Row],[E_NH4]]/données_step[[#This Row],[E_NTOT]]=0,NA(),données_step[[#This Row],[E_NH4]]/données_step[[#This Row],[E_NTOT]]),"")</f>
        <v/>
      </c>
      <c r="BN132" s="521" t="str">
        <f>IFERROR(IF(données_step[[#This Row],[E_NTOT]]/données_step[[#This Row],[E_COT]]=0,NA(),données_step[[#This Row],[E_NTOT]]/données_step[[#This Row],[E_COT]]),"")</f>
        <v/>
      </c>
      <c r="BO132" s="521" t="str">
        <f>IFERROR(IF(données_step[[#This Row],[E_PTOT]]/données_step[[#This Row],[E_COT]]=0,NA(),données_step[[#This Row],[E_PTOT]]/données_step[[#This Row],[E_COT]]),"")</f>
        <v/>
      </c>
      <c r="BP132" s="521" t="e">
        <f>IF(données_step[[#This Row],[E_DCO]]/données_step[[#This Row],[E_COT]]=0,NA(),données_step[[#This Row],[E_DCO]]/données_step[[#This Row],[E_COT]])</f>
        <v>#DIV/0!</v>
      </c>
      <c r="BQ132" s="521" t="e">
        <f>IF(données_step[[#This Row],[E_NTOT]]/données_step[[#This Row],[E_DCO]]=0,NA(),données_step[[#This Row],[E_NTOT]]/données_step[[#This Row],[E_DCO]])</f>
        <v>#DIV/0!</v>
      </c>
      <c r="BR132" s="521" t="e">
        <f>IF(données_step[[#This Row],[E_PTOT]]/données_step[[#This Row],[E_DCO]]=0,NA(),données_step[[#This Row],[E_PTOT]]/données_step[[#This Row],[E_DCO]])</f>
        <v>#DIV/0!</v>
      </c>
      <c r="BS132" s="747" t="e">
        <f ca="1">test_NH4_temp(données_step[[#This Row],[S_NH4]],données_step[[#This Row],[Temp_eaux]])</f>
        <v>#NAME?</v>
      </c>
    </row>
    <row r="133" spans="1:71" x14ac:dyDescent="0.2">
      <c r="A133" s="222">
        <f>données_step[[#This Row],[Datum]]</f>
        <v>44684</v>
      </c>
      <c r="B133" s="223"/>
      <c r="C133" s="224">
        <f t="shared" si="34"/>
        <v>3</v>
      </c>
      <c r="D133" s="523" t="str">
        <f>IF(OR(données_step[[#This Row],[E_DBO5]]&lt;=0,données_step[[#This Row],[E_DBO5]]=""),"",données_step[[#This Row],[D_QTRAI]]*données_step[[#This Row],[E_DBO5]]/1000)</f>
        <v/>
      </c>
      <c r="E133" s="523" t="str">
        <f>IF(OR(données_step[[#This Row],[E_DCO]]&lt;=0,données_step[[#This Row],[E_DCO]]=""),"",données_step[[#This Row],[D_QTRAI]]*données_step[[#This Row],[E_DCO]]/1000)</f>
        <v/>
      </c>
      <c r="F133" s="523" t="str">
        <f>IF(OR(données_step[[#This Row],[E_COT]]&lt;=0,données_step[[#This Row],[E_COT]]=""),"",données_step[[#This Row],[D_QTRAI]]*données_step[[#This Row],[E_COT]]/1000)</f>
        <v/>
      </c>
      <c r="G133" s="523" t="str">
        <f>IF(OR(données_step[[#This Row],[E_NH4]]&lt;=0,données_step[[#This Row],[E_NH4]]=""),"",données_step[[#This Row],[D_QTRAI]]*données_step[[#This Row],[E_NH4]]/1000)</f>
        <v/>
      </c>
      <c r="H133" s="523" t="str">
        <f>IF(OR(données_step[[#This Row],[E_NTOT]]&lt;=0,données_step[[#This Row],[E_NTOT]]=""),"",données_step[[#This Row],[D_QTRAI]]*données_step[[#This Row],[E_NTOT]]/1000)</f>
        <v/>
      </c>
      <c r="I133" s="523" t="str">
        <f>IF(OR(données_step[[#This Row],[E_NTOT]]&lt;=0,données_step[[#This Row],[E_NTOT]]=""),"",données_step[[#This Row],[D_QTRAI]]*données_step[[#This Row],[E_PTOT]]/1000)</f>
        <v/>
      </c>
      <c r="J133" s="523" t="str">
        <f>IF(OR(données_step[[#This Row],[S_DBO5]]&lt;=0,données_step[[#This Row],[S_DBO5]]=""),"",données_step[[#This Row],[D_QTRAI]]*données_step[[#This Row],[S_DBO5]]/1000)</f>
        <v/>
      </c>
      <c r="K133" s="523" t="str">
        <f>IF(OR(données_step[[#This Row],[S_DCO]]&lt;=0,données_step[[#This Row],[S_DCO]]=""),"",données_step[[#This Row],[D_QTRAI]]*données_step[[#This Row],[S_DCO]]/1000)</f>
        <v/>
      </c>
      <c r="L133" s="523" t="str">
        <f>IF(OR(données_step[[#This Row],[S_COD]]&lt;=0,données_step[[#This Row],[S_COD]]=""),"",données_step[[#This Row],[D_QTRAI]]*données_step[[#This Row],[S_COD]]/1000)</f>
        <v/>
      </c>
      <c r="M133" s="523" t="str">
        <f>IF(OR(données_step[[#This Row],[S_NH4]]&lt;=0,données_step[[#This Row],[S_NH4]]=""),"",données_step[[#This Row],[D_QTRAI]]*données_step[[#This Row],[S_NH4]]/1000)</f>
        <v/>
      </c>
      <c r="N133" s="523" t="str">
        <f>IF(OR(données_step[[#This Row],[S_NO2]]&lt;=0,données_step[[#This Row],[S_NO2]]=""),"",données_step[[#This Row],[D_QTRAI]]*données_step[[#This Row],[S_NO2]]/1000)</f>
        <v/>
      </c>
      <c r="O133" s="523" t="str">
        <f>IF(OR(données_step[[#This Row],[S_NO3]]&lt;=0,données_step[[#This Row],[S_NO3]]=""),"",données_step[[#This Row],[D_QTRAI]]*données_step[[#This Row],[S_NO3]]/1000)</f>
        <v/>
      </c>
      <c r="P133" s="523" t="str">
        <f>IF(OR(données_step[[#This Row],[S_PTOT]]&lt;=0,données_step[[#This Row],[S_PTOT]]=""),"",données_step[[#This Row],[D_QTRAI]]*données_step[[#This Row],[S_PTOT]]/1000)</f>
        <v/>
      </c>
      <c r="Q133" s="523" t="str">
        <f>IF(OR(données_step[[#This Row],[S_MES]]&lt;=0,données_step[[#This Row],[S_MES]]=""),"",données_step[[#This Row],[D_QTRAI]]*données_step[[#This Row],[S_MES]]/1000)</f>
        <v/>
      </c>
      <c r="R133" s="523">
        <f>MAX(données_step[[#This Row],[D_QTRAI]],données_step[[#This Row],[D_QTRAI2]])</f>
        <v>0</v>
      </c>
      <c r="S133" s="523" t="str">
        <f>IF(AND($R133&gt;0,données_step[[#This Row],[E_DCO]]&gt;0),données_step[[#This Row],[E_DCO]],"")</f>
        <v/>
      </c>
      <c r="T133" s="523" t="str">
        <f>IF(S133="","",(1-données_step[[#This Row],[E_DCO]]/$V$7)*100)</f>
        <v/>
      </c>
      <c r="U133" s="523" t="str">
        <f t="shared" si="18"/>
        <v/>
      </c>
      <c r="V133" s="523" t="str">
        <f t="shared" si="19"/>
        <v/>
      </c>
      <c r="W133" s="523" t="str">
        <f t="shared" si="20"/>
        <v/>
      </c>
      <c r="X133" s="523" t="e">
        <f>IF(((100-100/$V$7*données_step[[#This Row],[E_DCO]])/100*QTS)&lt;0,NA(),IF(OR(U133&lt;0,U133=""),NA(),((100-100/$V$7*données_step[[#This Row],[E_DCO]])/100*QTS)))</f>
        <v>#NUM!</v>
      </c>
      <c r="Y133" s="523" t="str">
        <f>IF(AND($R133&gt;0,données_step[[#This Row],[E_COT]]&gt;0),données_step[[#This Row],[E_COT]],"")</f>
        <v/>
      </c>
      <c r="Z133" s="523" t="str">
        <f>IF(Y133="","",(1-données_step[[#This Row],[E_COT]]/$AB$7)*100)</f>
        <v/>
      </c>
      <c r="AA133" s="523" t="str">
        <f t="shared" si="21"/>
        <v/>
      </c>
      <c r="AB133" s="523" t="str">
        <f t="shared" si="22"/>
        <v/>
      </c>
      <c r="AC133" s="523" t="str">
        <f t="shared" si="23"/>
        <v/>
      </c>
      <c r="AD133" s="523" t="e">
        <f>IF(((100-100/$AB$7*données_step[[#This Row],[E_COT]])/100*QTS)&lt;0,NA(),IF(OR(AA133&lt;0,AA133=""),NA(),((100-100/$AB$7*données_step[[#This Row],[E_COT]])/100*QTS)))</f>
        <v>#NUM!</v>
      </c>
      <c r="AE133" s="523" t="str">
        <f>IF(AND($R133&gt;0,données_step[[#This Row],[E_NH4]]&gt;0),données_step[[#This Row],[E_NH4]],"")</f>
        <v/>
      </c>
      <c r="AF133" s="523" t="str">
        <f>IF(AE133="","",(1-données_step[[#This Row],[E_NH4]]/$AH$7)*100)</f>
        <v/>
      </c>
      <c r="AG133" s="523" t="str">
        <f t="shared" si="24"/>
        <v/>
      </c>
      <c r="AH133" s="523" t="str">
        <f t="shared" si="25"/>
        <v/>
      </c>
      <c r="AI133" s="523" t="str">
        <f t="shared" si="26"/>
        <v/>
      </c>
      <c r="AJ133" s="523" t="e">
        <f>IF(((100-100/$AH$7*données_step[[#This Row],[E_NH4]])/100*QTS)&lt;0,NA(),IF(OR(AG133&lt;0,AG133=""),NA(),((100-100/$AH$7*données_step[[#This Row],[E_NH4]])/100*QTS)))</f>
        <v>#NUM!</v>
      </c>
      <c r="AK133" s="523" t="str">
        <f>IF(AND($R133&gt;0,données_step[[#This Row],[E_PTOT]]&gt;0),données_step[[#This Row],[E_PTOT]],"")</f>
        <v/>
      </c>
      <c r="AL133" s="523" t="str">
        <f>IF(AK133="","",(1-données_step[[#This Row],[E_PTOT]]/$AN$7)*100)</f>
        <v/>
      </c>
      <c r="AM133" s="523" t="str">
        <f t="shared" si="27"/>
        <v/>
      </c>
      <c r="AN133" s="523" t="str">
        <f t="shared" si="28"/>
        <v/>
      </c>
      <c r="AO133" s="523" t="str">
        <f t="shared" si="29"/>
        <v/>
      </c>
      <c r="AP133" s="523" t="e">
        <f>IF(((100-100/$AN$7*données_step[[#This Row],[E_PTOT]])/100*QTS)&lt;0,NA(),IF(OR(AM133&lt;0,AM133=""),NA(),((100-100/$AN$7*données_step[[#This Row],[E_PTOT]])/100*QTS)))</f>
        <v>#NUM!</v>
      </c>
      <c r="AQ133" s="524" t="e">
        <f t="shared" si="30"/>
        <v>#NUM!</v>
      </c>
      <c r="AR133" s="524" t="str">
        <f t="shared" si="31"/>
        <v/>
      </c>
      <c r="AY133" s="523" t="str">
        <f>_xlfn.IFNA(IF(données_step[[#This Row],[E_DCO]]&lt;=0,NA(),charge_entree[[#This Row],[ch_E_DCO]]/constanten!$B$8*1000),"")</f>
        <v/>
      </c>
      <c r="AZ133" s="523" t="str">
        <f>_xlfn.IFNA(IF(données_step[[#This Row],[E_NTOT]]&lt;=0,NA(),charge_entree[[#This Row],[ch_E_NTOT]]/constanten!$B$10*1000),"")</f>
        <v/>
      </c>
      <c r="BA133" s="523" t="str">
        <f>_xlfn.IFNA(IF(données_step[[#This Row],[E_NH4]]&lt;=0,NA(),charge_entree[[#This Row],[ch_E_NH4]]/constanten!$B$12*1000),"")</f>
        <v/>
      </c>
      <c r="BB133" s="523" t="str">
        <f>_xlfn.IFNA(IF(données_step[[#This Row],[E_COT]]&lt;=0,NA(),charge_entree[[#This Row],[ch_E_COT]]/constanten!$B$9*1000),"")</f>
        <v/>
      </c>
      <c r="BC133" s="523" t="str">
        <f>IFERROR(_xlfn.IFNA(IF(données_step[[#This Row],[E_PTOT]]&lt;=0,NA(),charge_entree[[#This Row],[ch_E_PTOT]]/constanten!$B$15*1000),""),"")</f>
        <v/>
      </c>
      <c r="BD133" s="535" t="e">
        <f>calculs!E133 * (1-0.4) / (données_step[[#This Row],[X_BA_VOL]]*données_step[[#This Row],[X_BACONC]])</f>
        <v>#VALUE!</v>
      </c>
      <c r="BE133" s="522" t="e">
        <f>(données_step[[#This Row],[X_BA_VOL]]*données_step[[#This Row],[X_BACONC]])/((données_step[[#This Row],[D_QTRAI2]]*données_step[[#This Row],[S_MES]]/1000)+(données_step[[#This Row],[X_BX_Q]]*données_step[[#This Row],[X_BXCONC]]))</f>
        <v>#VALUE!</v>
      </c>
      <c r="BF133" s="890" t="str">
        <f>IFERROR(données_step[[#This Row],[D_QTRAI]]/AY133*1000,"")</f>
        <v/>
      </c>
      <c r="BG133" s="535" t="str">
        <f>IFERROR(1-données_step[[#This Row],[S_DBO5]]/données_step[[#This Row],[E_DBO5]],"")</f>
        <v/>
      </c>
      <c r="BH133" s="536" t="str">
        <f>IFERROR(1-données_step[[#This Row],[S_DCO]]/données_step[[#This Row],[E_DCO]],"")</f>
        <v/>
      </c>
      <c r="BI133" s="535" t="str">
        <f>IFERROR(1-données_step[[#This Row],[S_COD]]/données_step[[#This Row],[E_COT]],"")</f>
        <v/>
      </c>
      <c r="BJ133" s="535" t="str">
        <f>IFERROR(1-données_step[[#This Row],[S_NH4]]/données_step[[#This Row],[E_NTOT]],"")</f>
        <v/>
      </c>
      <c r="BK133" s="535" t="str">
        <f>IFERROR(1-données_step[[#This Row],[S_PTOT]]/données_step[[#This Row],[E_PTOT]],"")</f>
        <v/>
      </c>
      <c r="BL133" s="521" t="str">
        <f>IFERROR(IF(données_step[[#This Row],[E_DCO]]/données_step[[#This Row],[E_DBO5]]=0,NA(),données_step[[#This Row],[E_DCO]]/données_step[[#This Row],[E_DBO5]]),"")</f>
        <v/>
      </c>
      <c r="BM133" s="521" t="str">
        <f>IFERROR(IF(données_step[[#This Row],[E_NH4]]/données_step[[#This Row],[E_NTOT]]=0,NA(),données_step[[#This Row],[E_NH4]]/données_step[[#This Row],[E_NTOT]]),"")</f>
        <v/>
      </c>
      <c r="BN133" s="521" t="str">
        <f>IFERROR(IF(données_step[[#This Row],[E_NTOT]]/données_step[[#This Row],[E_COT]]=0,NA(),données_step[[#This Row],[E_NTOT]]/données_step[[#This Row],[E_COT]]),"")</f>
        <v/>
      </c>
      <c r="BO133" s="521" t="str">
        <f>IFERROR(IF(données_step[[#This Row],[E_PTOT]]/données_step[[#This Row],[E_COT]]=0,NA(),données_step[[#This Row],[E_PTOT]]/données_step[[#This Row],[E_COT]]),"")</f>
        <v/>
      </c>
      <c r="BP133" s="521" t="e">
        <f>IF(données_step[[#This Row],[E_DCO]]/données_step[[#This Row],[E_COT]]=0,NA(),données_step[[#This Row],[E_DCO]]/données_step[[#This Row],[E_COT]])</f>
        <v>#DIV/0!</v>
      </c>
      <c r="BQ133" s="521" t="e">
        <f>IF(données_step[[#This Row],[E_NTOT]]/données_step[[#This Row],[E_DCO]]=0,NA(),données_step[[#This Row],[E_NTOT]]/données_step[[#This Row],[E_DCO]])</f>
        <v>#DIV/0!</v>
      </c>
      <c r="BR133" s="521" t="e">
        <f>IF(données_step[[#This Row],[E_PTOT]]/données_step[[#This Row],[E_DCO]]=0,NA(),données_step[[#This Row],[E_PTOT]]/données_step[[#This Row],[E_DCO]])</f>
        <v>#DIV/0!</v>
      </c>
      <c r="BS133" s="747" t="e">
        <f ca="1">test_NH4_temp(données_step[[#This Row],[S_NH4]],données_step[[#This Row],[Temp_eaux]])</f>
        <v>#NAME?</v>
      </c>
    </row>
    <row r="134" spans="1:71" x14ac:dyDescent="0.2">
      <c r="A134" s="222">
        <f>données_step[[#This Row],[Datum]]</f>
        <v>44685</v>
      </c>
      <c r="B134" s="223"/>
      <c r="C134" s="224">
        <f t="shared" si="34"/>
        <v>4</v>
      </c>
      <c r="D134" s="523" t="str">
        <f>IF(OR(données_step[[#This Row],[E_DBO5]]&lt;=0,données_step[[#This Row],[E_DBO5]]=""),"",données_step[[#This Row],[D_QTRAI]]*données_step[[#This Row],[E_DBO5]]/1000)</f>
        <v/>
      </c>
      <c r="E134" s="523" t="str">
        <f>IF(OR(données_step[[#This Row],[E_DCO]]&lt;=0,données_step[[#This Row],[E_DCO]]=""),"",données_step[[#This Row],[D_QTRAI]]*données_step[[#This Row],[E_DCO]]/1000)</f>
        <v/>
      </c>
      <c r="F134" s="523" t="str">
        <f>IF(OR(données_step[[#This Row],[E_COT]]&lt;=0,données_step[[#This Row],[E_COT]]=""),"",données_step[[#This Row],[D_QTRAI]]*données_step[[#This Row],[E_COT]]/1000)</f>
        <v/>
      </c>
      <c r="G134" s="523" t="str">
        <f>IF(OR(données_step[[#This Row],[E_NH4]]&lt;=0,données_step[[#This Row],[E_NH4]]=""),"",données_step[[#This Row],[D_QTRAI]]*données_step[[#This Row],[E_NH4]]/1000)</f>
        <v/>
      </c>
      <c r="H134" s="523" t="str">
        <f>IF(OR(données_step[[#This Row],[E_NTOT]]&lt;=0,données_step[[#This Row],[E_NTOT]]=""),"",données_step[[#This Row],[D_QTRAI]]*données_step[[#This Row],[E_NTOT]]/1000)</f>
        <v/>
      </c>
      <c r="I134" s="523" t="str">
        <f>IF(OR(données_step[[#This Row],[E_NTOT]]&lt;=0,données_step[[#This Row],[E_NTOT]]=""),"",données_step[[#This Row],[D_QTRAI]]*données_step[[#This Row],[E_PTOT]]/1000)</f>
        <v/>
      </c>
      <c r="J134" s="523" t="str">
        <f>IF(OR(données_step[[#This Row],[S_DBO5]]&lt;=0,données_step[[#This Row],[S_DBO5]]=""),"",données_step[[#This Row],[D_QTRAI]]*données_step[[#This Row],[S_DBO5]]/1000)</f>
        <v/>
      </c>
      <c r="K134" s="523" t="str">
        <f>IF(OR(données_step[[#This Row],[S_DCO]]&lt;=0,données_step[[#This Row],[S_DCO]]=""),"",données_step[[#This Row],[D_QTRAI]]*données_step[[#This Row],[S_DCO]]/1000)</f>
        <v/>
      </c>
      <c r="L134" s="523" t="str">
        <f>IF(OR(données_step[[#This Row],[S_COD]]&lt;=0,données_step[[#This Row],[S_COD]]=""),"",données_step[[#This Row],[D_QTRAI]]*données_step[[#This Row],[S_COD]]/1000)</f>
        <v/>
      </c>
      <c r="M134" s="523" t="str">
        <f>IF(OR(données_step[[#This Row],[S_NH4]]&lt;=0,données_step[[#This Row],[S_NH4]]=""),"",données_step[[#This Row],[D_QTRAI]]*données_step[[#This Row],[S_NH4]]/1000)</f>
        <v/>
      </c>
      <c r="N134" s="523" t="str">
        <f>IF(OR(données_step[[#This Row],[S_NO2]]&lt;=0,données_step[[#This Row],[S_NO2]]=""),"",données_step[[#This Row],[D_QTRAI]]*données_step[[#This Row],[S_NO2]]/1000)</f>
        <v/>
      </c>
      <c r="O134" s="523" t="str">
        <f>IF(OR(données_step[[#This Row],[S_NO3]]&lt;=0,données_step[[#This Row],[S_NO3]]=""),"",données_step[[#This Row],[D_QTRAI]]*données_step[[#This Row],[S_NO3]]/1000)</f>
        <v/>
      </c>
      <c r="P134" s="523" t="str">
        <f>IF(OR(données_step[[#This Row],[S_PTOT]]&lt;=0,données_step[[#This Row],[S_PTOT]]=""),"",données_step[[#This Row],[D_QTRAI]]*données_step[[#This Row],[S_PTOT]]/1000)</f>
        <v/>
      </c>
      <c r="Q134" s="523" t="str">
        <f>IF(OR(données_step[[#This Row],[S_MES]]&lt;=0,données_step[[#This Row],[S_MES]]=""),"",données_step[[#This Row],[D_QTRAI]]*données_step[[#This Row],[S_MES]]/1000)</f>
        <v/>
      </c>
      <c r="R134" s="523">
        <f>MAX(données_step[[#This Row],[D_QTRAI]],données_step[[#This Row],[D_QTRAI2]])</f>
        <v>0</v>
      </c>
      <c r="S134" s="523" t="str">
        <f>IF(AND($R134&gt;0,données_step[[#This Row],[E_DCO]]&gt;0),données_step[[#This Row],[E_DCO]],"")</f>
        <v/>
      </c>
      <c r="T134" s="523" t="str">
        <f>IF(S134="","",(1-données_step[[#This Row],[E_DCO]]/$V$7)*100)</f>
        <v/>
      </c>
      <c r="U134" s="523" t="str">
        <f t="shared" si="18"/>
        <v/>
      </c>
      <c r="V134" s="523" t="str">
        <f t="shared" si="19"/>
        <v/>
      </c>
      <c r="W134" s="523" t="str">
        <f t="shared" si="20"/>
        <v/>
      </c>
      <c r="X134" s="523" t="e">
        <f>IF(((100-100/$V$7*données_step[[#This Row],[E_DCO]])/100*QTS)&lt;0,NA(),IF(OR(U134&lt;0,U134=""),NA(),((100-100/$V$7*données_step[[#This Row],[E_DCO]])/100*QTS)))</f>
        <v>#NUM!</v>
      </c>
      <c r="Y134" s="523" t="str">
        <f>IF(AND($R134&gt;0,données_step[[#This Row],[E_COT]]&gt;0),données_step[[#This Row],[E_COT]],"")</f>
        <v/>
      </c>
      <c r="Z134" s="523" t="str">
        <f>IF(Y134="","",(1-données_step[[#This Row],[E_COT]]/$AB$7)*100)</f>
        <v/>
      </c>
      <c r="AA134" s="523" t="str">
        <f t="shared" si="21"/>
        <v/>
      </c>
      <c r="AB134" s="523" t="str">
        <f t="shared" si="22"/>
        <v/>
      </c>
      <c r="AC134" s="523" t="str">
        <f t="shared" si="23"/>
        <v/>
      </c>
      <c r="AD134" s="523" t="e">
        <f>IF(((100-100/$AB$7*données_step[[#This Row],[E_COT]])/100*QTS)&lt;0,NA(),IF(OR(AA134&lt;0,AA134=""),NA(),((100-100/$AB$7*données_step[[#This Row],[E_COT]])/100*QTS)))</f>
        <v>#NUM!</v>
      </c>
      <c r="AE134" s="523" t="str">
        <f>IF(AND($R134&gt;0,données_step[[#This Row],[E_NH4]]&gt;0),données_step[[#This Row],[E_NH4]],"")</f>
        <v/>
      </c>
      <c r="AF134" s="523" t="str">
        <f>IF(AE134="","",(1-données_step[[#This Row],[E_NH4]]/$AH$7)*100)</f>
        <v/>
      </c>
      <c r="AG134" s="523" t="str">
        <f t="shared" si="24"/>
        <v/>
      </c>
      <c r="AH134" s="523" t="str">
        <f t="shared" si="25"/>
        <v/>
      </c>
      <c r="AI134" s="523" t="str">
        <f t="shared" si="26"/>
        <v/>
      </c>
      <c r="AJ134" s="523" t="e">
        <f>IF(((100-100/$AH$7*données_step[[#This Row],[E_NH4]])/100*QTS)&lt;0,NA(),IF(OR(AG134&lt;0,AG134=""),NA(),((100-100/$AH$7*données_step[[#This Row],[E_NH4]])/100*QTS)))</f>
        <v>#NUM!</v>
      </c>
      <c r="AK134" s="523" t="str">
        <f>IF(AND($R134&gt;0,données_step[[#This Row],[E_PTOT]]&gt;0),données_step[[#This Row],[E_PTOT]],"")</f>
        <v/>
      </c>
      <c r="AL134" s="523" t="str">
        <f>IF(AK134="","",(1-données_step[[#This Row],[E_PTOT]]/$AN$7)*100)</f>
        <v/>
      </c>
      <c r="AM134" s="523" t="str">
        <f t="shared" si="27"/>
        <v/>
      </c>
      <c r="AN134" s="523" t="str">
        <f t="shared" si="28"/>
        <v/>
      </c>
      <c r="AO134" s="523" t="str">
        <f t="shared" si="29"/>
        <v/>
      </c>
      <c r="AP134" s="523" t="e">
        <f>IF(((100-100/$AN$7*données_step[[#This Row],[E_PTOT]])/100*QTS)&lt;0,NA(),IF(OR(AM134&lt;0,AM134=""),NA(),((100-100/$AN$7*données_step[[#This Row],[E_PTOT]])/100*QTS)))</f>
        <v>#NUM!</v>
      </c>
      <c r="AQ134" s="524" t="e">
        <f t="shared" si="30"/>
        <v>#NUM!</v>
      </c>
      <c r="AR134" s="524" t="str">
        <f t="shared" si="31"/>
        <v/>
      </c>
      <c r="AY134" s="523" t="str">
        <f>_xlfn.IFNA(IF(données_step[[#This Row],[E_DCO]]&lt;=0,NA(),charge_entree[[#This Row],[ch_E_DCO]]/constanten!$B$8*1000),"")</f>
        <v/>
      </c>
      <c r="AZ134" s="523" t="str">
        <f>_xlfn.IFNA(IF(données_step[[#This Row],[E_NTOT]]&lt;=0,NA(),charge_entree[[#This Row],[ch_E_NTOT]]/constanten!$B$10*1000),"")</f>
        <v/>
      </c>
      <c r="BA134" s="523" t="str">
        <f>_xlfn.IFNA(IF(données_step[[#This Row],[E_NH4]]&lt;=0,NA(),charge_entree[[#This Row],[ch_E_NH4]]/constanten!$B$12*1000),"")</f>
        <v/>
      </c>
      <c r="BB134" s="523" t="str">
        <f>_xlfn.IFNA(IF(données_step[[#This Row],[E_COT]]&lt;=0,NA(),charge_entree[[#This Row],[ch_E_COT]]/constanten!$B$9*1000),"")</f>
        <v/>
      </c>
      <c r="BC134" s="523" t="str">
        <f>IFERROR(_xlfn.IFNA(IF(données_step[[#This Row],[E_PTOT]]&lt;=0,NA(),charge_entree[[#This Row],[ch_E_PTOT]]/constanten!$B$15*1000),""),"")</f>
        <v/>
      </c>
      <c r="BD134" s="535" t="e">
        <f>calculs!E134 * (1-0.4) / (données_step[[#This Row],[X_BA_VOL]]*données_step[[#This Row],[X_BACONC]])</f>
        <v>#VALUE!</v>
      </c>
      <c r="BE134" s="522" t="e">
        <f>(données_step[[#This Row],[X_BA_VOL]]*données_step[[#This Row],[X_BACONC]])/((données_step[[#This Row],[D_QTRAI2]]*données_step[[#This Row],[S_MES]]/1000)+(données_step[[#This Row],[X_BX_Q]]*données_step[[#This Row],[X_BXCONC]]))</f>
        <v>#VALUE!</v>
      </c>
      <c r="BF134" s="890" t="str">
        <f>IFERROR(données_step[[#This Row],[D_QTRAI]]/AY134*1000,"")</f>
        <v/>
      </c>
      <c r="BG134" s="535" t="str">
        <f>IFERROR(1-données_step[[#This Row],[S_DBO5]]/données_step[[#This Row],[E_DBO5]],"")</f>
        <v/>
      </c>
      <c r="BH134" s="536" t="str">
        <f>IFERROR(1-données_step[[#This Row],[S_DCO]]/données_step[[#This Row],[E_DCO]],"")</f>
        <v/>
      </c>
      <c r="BI134" s="535" t="str">
        <f>IFERROR(1-données_step[[#This Row],[S_COD]]/données_step[[#This Row],[E_COT]],"")</f>
        <v/>
      </c>
      <c r="BJ134" s="535" t="str">
        <f>IFERROR(1-données_step[[#This Row],[S_NH4]]/données_step[[#This Row],[E_NTOT]],"")</f>
        <v/>
      </c>
      <c r="BK134" s="535" t="str">
        <f>IFERROR(1-données_step[[#This Row],[S_PTOT]]/données_step[[#This Row],[E_PTOT]],"")</f>
        <v/>
      </c>
      <c r="BL134" s="521" t="str">
        <f>IFERROR(IF(données_step[[#This Row],[E_DCO]]/données_step[[#This Row],[E_DBO5]]=0,NA(),données_step[[#This Row],[E_DCO]]/données_step[[#This Row],[E_DBO5]]),"")</f>
        <v/>
      </c>
      <c r="BM134" s="521" t="str">
        <f>IFERROR(IF(données_step[[#This Row],[E_NH4]]/données_step[[#This Row],[E_NTOT]]=0,NA(),données_step[[#This Row],[E_NH4]]/données_step[[#This Row],[E_NTOT]]),"")</f>
        <v/>
      </c>
      <c r="BN134" s="521" t="str">
        <f>IFERROR(IF(données_step[[#This Row],[E_NTOT]]/données_step[[#This Row],[E_COT]]=0,NA(),données_step[[#This Row],[E_NTOT]]/données_step[[#This Row],[E_COT]]),"")</f>
        <v/>
      </c>
      <c r="BO134" s="521" t="str">
        <f>IFERROR(IF(données_step[[#This Row],[E_PTOT]]/données_step[[#This Row],[E_COT]]=0,NA(),données_step[[#This Row],[E_PTOT]]/données_step[[#This Row],[E_COT]]),"")</f>
        <v/>
      </c>
      <c r="BP134" s="521" t="e">
        <f>IF(données_step[[#This Row],[E_DCO]]/données_step[[#This Row],[E_COT]]=0,NA(),données_step[[#This Row],[E_DCO]]/données_step[[#This Row],[E_COT]])</f>
        <v>#DIV/0!</v>
      </c>
      <c r="BQ134" s="521" t="e">
        <f>IF(données_step[[#This Row],[E_NTOT]]/données_step[[#This Row],[E_DCO]]=0,NA(),données_step[[#This Row],[E_NTOT]]/données_step[[#This Row],[E_DCO]])</f>
        <v>#DIV/0!</v>
      </c>
      <c r="BR134" s="521" t="e">
        <f>IF(données_step[[#This Row],[E_PTOT]]/données_step[[#This Row],[E_DCO]]=0,NA(),données_step[[#This Row],[E_PTOT]]/données_step[[#This Row],[E_DCO]])</f>
        <v>#DIV/0!</v>
      </c>
      <c r="BS134" s="747" t="e">
        <f ca="1">test_NH4_temp(données_step[[#This Row],[S_NH4]],données_step[[#This Row],[Temp_eaux]])</f>
        <v>#NAME?</v>
      </c>
    </row>
    <row r="135" spans="1:71" x14ac:dyDescent="0.2">
      <c r="A135" s="222">
        <f>données_step[[#This Row],[Datum]]</f>
        <v>44686</v>
      </c>
      <c r="B135" s="223"/>
      <c r="C135" s="224">
        <f t="shared" si="34"/>
        <v>5</v>
      </c>
      <c r="D135" s="523" t="str">
        <f>IF(OR(données_step[[#This Row],[E_DBO5]]&lt;=0,données_step[[#This Row],[E_DBO5]]=""),"",données_step[[#This Row],[D_QTRAI]]*données_step[[#This Row],[E_DBO5]]/1000)</f>
        <v/>
      </c>
      <c r="E135" s="523" t="str">
        <f>IF(OR(données_step[[#This Row],[E_DCO]]&lt;=0,données_step[[#This Row],[E_DCO]]=""),"",données_step[[#This Row],[D_QTRAI]]*données_step[[#This Row],[E_DCO]]/1000)</f>
        <v/>
      </c>
      <c r="F135" s="523" t="str">
        <f>IF(OR(données_step[[#This Row],[E_COT]]&lt;=0,données_step[[#This Row],[E_COT]]=""),"",données_step[[#This Row],[D_QTRAI]]*données_step[[#This Row],[E_COT]]/1000)</f>
        <v/>
      </c>
      <c r="G135" s="523" t="str">
        <f>IF(OR(données_step[[#This Row],[E_NH4]]&lt;=0,données_step[[#This Row],[E_NH4]]=""),"",données_step[[#This Row],[D_QTRAI]]*données_step[[#This Row],[E_NH4]]/1000)</f>
        <v/>
      </c>
      <c r="H135" s="523" t="str">
        <f>IF(OR(données_step[[#This Row],[E_NTOT]]&lt;=0,données_step[[#This Row],[E_NTOT]]=""),"",données_step[[#This Row],[D_QTRAI]]*données_step[[#This Row],[E_NTOT]]/1000)</f>
        <v/>
      </c>
      <c r="I135" s="523" t="str">
        <f>IF(OR(données_step[[#This Row],[E_NTOT]]&lt;=0,données_step[[#This Row],[E_NTOT]]=""),"",données_step[[#This Row],[D_QTRAI]]*données_step[[#This Row],[E_PTOT]]/1000)</f>
        <v/>
      </c>
      <c r="J135" s="523" t="str">
        <f>IF(OR(données_step[[#This Row],[S_DBO5]]&lt;=0,données_step[[#This Row],[S_DBO5]]=""),"",données_step[[#This Row],[D_QTRAI]]*données_step[[#This Row],[S_DBO5]]/1000)</f>
        <v/>
      </c>
      <c r="K135" s="523" t="str">
        <f>IF(OR(données_step[[#This Row],[S_DCO]]&lt;=0,données_step[[#This Row],[S_DCO]]=""),"",données_step[[#This Row],[D_QTRAI]]*données_step[[#This Row],[S_DCO]]/1000)</f>
        <v/>
      </c>
      <c r="L135" s="523" t="str">
        <f>IF(OR(données_step[[#This Row],[S_COD]]&lt;=0,données_step[[#This Row],[S_COD]]=""),"",données_step[[#This Row],[D_QTRAI]]*données_step[[#This Row],[S_COD]]/1000)</f>
        <v/>
      </c>
      <c r="M135" s="523" t="str">
        <f>IF(OR(données_step[[#This Row],[S_NH4]]&lt;=0,données_step[[#This Row],[S_NH4]]=""),"",données_step[[#This Row],[D_QTRAI]]*données_step[[#This Row],[S_NH4]]/1000)</f>
        <v/>
      </c>
      <c r="N135" s="523" t="str">
        <f>IF(OR(données_step[[#This Row],[S_NO2]]&lt;=0,données_step[[#This Row],[S_NO2]]=""),"",données_step[[#This Row],[D_QTRAI]]*données_step[[#This Row],[S_NO2]]/1000)</f>
        <v/>
      </c>
      <c r="O135" s="523" t="str">
        <f>IF(OR(données_step[[#This Row],[S_NO3]]&lt;=0,données_step[[#This Row],[S_NO3]]=""),"",données_step[[#This Row],[D_QTRAI]]*données_step[[#This Row],[S_NO3]]/1000)</f>
        <v/>
      </c>
      <c r="P135" s="523" t="str">
        <f>IF(OR(données_step[[#This Row],[S_PTOT]]&lt;=0,données_step[[#This Row],[S_PTOT]]=""),"",données_step[[#This Row],[D_QTRAI]]*données_step[[#This Row],[S_PTOT]]/1000)</f>
        <v/>
      </c>
      <c r="Q135" s="523" t="str">
        <f>IF(OR(données_step[[#This Row],[S_MES]]&lt;=0,données_step[[#This Row],[S_MES]]=""),"",données_step[[#This Row],[D_QTRAI]]*données_step[[#This Row],[S_MES]]/1000)</f>
        <v/>
      </c>
      <c r="R135" s="523">
        <f>MAX(données_step[[#This Row],[D_QTRAI]],données_step[[#This Row],[D_QTRAI2]])</f>
        <v>0</v>
      </c>
      <c r="S135" s="523" t="str">
        <f>IF(AND($R135&gt;0,données_step[[#This Row],[E_DCO]]&gt;0),données_step[[#This Row],[E_DCO]],"")</f>
        <v/>
      </c>
      <c r="T135" s="523" t="str">
        <f>IF(S135="","",(1-données_step[[#This Row],[E_DCO]]/$V$7)*100)</f>
        <v/>
      </c>
      <c r="U135" s="523" t="str">
        <f t="shared" si="18"/>
        <v/>
      </c>
      <c r="V135" s="523" t="str">
        <f t="shared" si="19"/>
        <v/>
      </c>
      <c r="W135" s="523" t="str">
        <f t="shared" si="20"/>
        <v/>
      </c>
      <c r="X135" s="523" t="e">
        <f>IF(((100-100/$V$7*données_step[[#This Row],[E_DCO]])/100*QTS)&lt;0,NA(),IF(OR(U135&lt;0,U135=""),NA(),((100-100/$V$7*données_step[[#This Row],[E_DCO]])/100*QTS)))</f>
        <v>#NUM!</v>
      </c>
      <c r="Y135" s="523" t="str">
        <f>IF(AND($R135&gt;0,données_step[[#This Row],[E_COT]]&gt;0),données_step[[#This Row],[E_COT]],"")</f>
        <v/>
      </c>
      <c r="Z135" s="523" t="str">
        <f>IF(Y135="","",(1-données_step[[#This Row],[E_COT]]/$AB$7)*100)</f>
        <v/>
      </c>
      <c r="AA135" s="523" t="str">
        <f t="shared" si="21"/>
        <v/>
      </c>
      <c r="AB135" s="523" t="str">
        <f t="shared" si="22"/>
        <v/>
      </c>
      <c r="AC135" s="523" t="str">
        <f t="shared" si="23"/>
        <v/>
      </c>
      <c r="AD135" s="523" t="e">
        <f>IF(((100-100/$AB$7*données_step[[#This Row],[E_COT]])/100*QTS)&lt;0,NA(),IF(OR(AA135&lt;0,AA135=""),NA(),((100-100/$AB$7*données_step[[#This Row],[E_COT]])/100*QTS)))</f>
        <v>#NUM!</v>
      </c>
      <c r="AE135" s="523" t="str">
        <f>IF(AND($R135&gt;0,données_step[[#This Row],[E_NH4]]&gt;0),données_step[[#This Row],[E_NH4]],"")</f>
        <v/>
      </c>
      <c r="AF135" s="523" t="str">
        <f>IF(AE135="","",(1-données_step[[#This Row],[E_NH4]]/$AH$7)*100)</f>
        <v/>
      </c>
      <c r="AG135" s="523" t="str">
        <f t="shared" si="24"/>
        <v/>
      </c>
      <c r="AH135" s="523" t="str">
        <f t="shared" si="25"/>
        <v/>
      </c>
      <c r="AI135" s="523" t="str">
        <f t="shared" si="26"/>
        <v/>
      </c>
      <c r="AJ135" s="523" t="e">
        <f>IF(((100-100/$AH$7*données_step[[#This Row],[E_NH4]])/100*QTS)&lt;0,NA(),IF(OR(AG135&lt;0,AG135=""),NA(),((100-100/$AH$7*données_step[[#This Row],[E_NH4]])/100*QTS)))</f>
        <v>#NUM!</v>
      </c>
      <c r="AK135" s="523" t="str">
        <f>IF(AND($R135&gt;0,données_step[[#This Row],[E_PTOT]]&gt;0),données_step[[#This Row],[E_PTOT]],"")</f>
        <v/>
      </c>
      <c r="AL135" s="523" t="str">
        <f>IF(AK135="","",(1-données_step[[#This Row],[E_PTOT]]/$AN$7)*100)</f>
        <v/>
      </c>
      <c r="AM135" s="523" t="str">
        <f t="shared" si="27"/>
        <v/>
      </c>
      <c r="AN135" s="523" t="str">
        <f t="shared" si="28"/>
        <v/>
      </c>
      <c r="AO135" s="523" t="str">
        <f t="shared" si="29"/>
        <v/>
      </c>
      <c r="AP135" s="523" t="e">
        <f>IF(((100-100/$AN$7*données_step[[#This Row],[E_PTOT]])/100*QTS)&lt;0,NA(),IF(OR(AM135&lt;0,AM135=""),NA(),((100-100/$AN$7*données_step[[#This Row],[E_PTOT]])/100*QTS)))</f>
        <v>#NUM!</v>
      </c>
      <c r="AQ135" s="524" t="e">
        <f t="shared" si="30"/>
        <v>#NUM!</v>
      </c>
      <c r="AR135" s="524" t="str">
        <f t="shared" si="31"/>
        <v/>
      </c>
      <c r="AY135" s="523" t="str">
        <f>_xlfn.IFNA(IF(données_step[[#This Row],[E_DCO]]&lt;=0,NA(),charge_entree[[#This Row],[ch_E_DCO]]/constanten!$B$8*1000),"")</f>
        <v/>
      </c>
      <c r="AZ135" s="523" t="str">
        <f>_xlfn.IFNA(IF(données_step[[#This Row],[E_NTOT]]&lt;=0,NA(),charge_entree[[#This Row],[ch_E_NTOT]]/constanten!$B$10*1000),"")</f>
        <v/>
      </c>
      <c r="BA135" s="523" t="str">
        <f>_xlfn.IFNA(IF(données_step[[#This Row],[E_NH4]]&lt;=0,NA(),charge_entree[[#This Row],[ch_E_NH4]]/constanten!$B$12*1000),"")</f>
        <v/>
      </c>
      <c r="BB135" s="523" t="str">
        <f>_xlfn.IFNA(IF(données_step[[#This Row],[E_COT]]&lt;=0,NA(),charge_entree[[#This Row],[ch_E_COT]]/constanten!$B$9*1000),"")</f>
        <v/>
      </c>
      <c r="BC135" s="523" t="str">
        <f>IFERROR(_xlfn.IFNA(IF(données_step[[#This Row],[E_PTOT]]&lt;=0,NA(),charge_entree[[#This Row],[ch_E_PTOT]]/constanten!$B$15*1000),""),"")</f>
        <v/>
      </c>
      <c r="BD135" s="535" t="e">
        <f>calculs!E135 * (1-0.4) / (données_step[[#This Row],[X_BA_VOL]]*données_step[[#This Row],[X_BACONC]])</f>
        <v>#VALUE!</v>
      </c>
      <c r="BE135" s="522" t="e">
        <f>(données_step[[#This Row],[X_BA_VOL]]*données_step[[#This Row],[X_BACONC]])/((données_step[[#This Row],[D_QTRAI2]]*données_step[[#This Row],[S_MES]]/1000)+(données_step[[#This Row],[X_BX_Q]]*données_step[[#This Row],[X_BXCONC]]))</f>
        <v>#VALUE!</v>
      </c>
      <c r="BF135" s="890" t="str">
        <f>IFERROR(données_step[[#This Row],[D_QTRAI]]/AY135*1000,"")</f>
        <v/>
      </c>
      <c r="BG135" s="535" t="str">
        <f>IFERROR(1-données_step[[#This Row],[S_DBO5]]/données_step[[#This Row],[E_DBO5]],"")</f>
        <v/>
      </c>
      <c r="BH135" s="536" t="str">
        <f>IFERROR(1-données_step[[#This Row],[S_DCO]]/données_step[[#This Row],[E_DCO]],"")</f>
        <v/>
      </c>
      <c r="BI135" s="535" t="str">
        <f>IFERROR(1-données_step[[#This Row],[S_COD]]/données_step[[#This Row],[E_COT]],"")</f>
        <v/>
      </c>
      <c r="BJ135" s="535" t="str">
        <f>IFERROR(1-données_step[[#This Row],[S_NH4]]/données_step[[#This Row],[E_NTOT]],"")</f>
        <v/>
      </c>
      <c r="BK135" s="535" t="str">
        <f>IFERROR(1-données_step[[#This Row],[S_PTOT]]/données_step[[#This Row],[E_PTOT]],"")</f>
        <v/>
      </c>
      <c r="BL135" s="521" t="str">
        <f>IFERROR(IF(données_step[[#This Row],[E_DCO]]/données_step[[#This Row],[E_DBO5]]=0,NA(),données_step[[#This Row],[E_DCO]]/données_step[[#This Row],[E_DBO5]]),"")</f>
        <v/>
      </c>
      <c r="BM135" s="521" t="str">
        <f>IFERROR(IF(données_step[[#This Row],[E_NH4]]/données_step[[#This Row],[E_NTOT]]=0,NA(),données_step[[#This Row],[E_NH4]]/données_step[[#This Row],[E_NTOT]]),"")</f>
        <v/>
      </c>
      <c r="BN135" s="521" t="str">
        <f>IFERROR(IF(données_step[[#This Row],[E_NTOT]]/données_step[[#This Row],[E_COT]]=0,NA(),données_step[[#This Row],[E_NTOT]]/données_step[[#This Row],[E_COT]]),"")</f>
        <v/>
      </c>
      <c r="BO135" s="521" t="str">
        <f>IFERROR(IF(données_step[[#This Row],[E_PTOT]]/données_step[[#This Row],[E_COT]]=0,NA(),données_step[[#This Row],[E_PTOT]]/données_step[[#This Row],[E_COT]]),"")</f>
        <v/>
      </c>
      <c r="BP135" s="521" t="e">
        <f>IF(données_step[[#This Row],[E_DCO]]/données_step[[#This Row],[E_COT]]=0,NA(),données_step[[#This Row],[E_DCO]]/données_step[[#This Row],[E_COT]])</f>
        <v>#DIV/0!</v>
      </c>
      <c r="BQ135" s="521" t="e">
        <f>IF(données_step[[#This Row],[E_NTOT]]/données_step[[#This Row],[E_DCO]]=0,NA(),données_step[[#This Row],[E_NTOT]]/données_step[[#This Row],[E_DCO]])</f>
        <v>#DIV/0!</v>
      </c>
      <c r="BR135" s="521" t="e">
        <f>IF(données_step[[#This Row],[E_PTOT]]/données_step[[#This Row],[E_DCO]]=0,NA(),données_step[[#This Row],[E_PTOT]]/données_step[[#This Row],[E_DCO]])</f>
        <v>#DIV/0!</v>
      </c>
      <c r="BS135" s="747" t="e">
        <f ca="1">test_NH4_temp(données_step[[#This Row],[S_NH4]],données_step[[#This Row],[Temp_eaux]])</f>
        <v>#NAME?</v>
      </c>
    </row>
    <row r="136" spans="1:71" x14ac:dyDescent="0.2">
      <c r="A136" s="222">
        <f>données_step[[#This Row],[Datum]]</f>
        <v>44687</v>
      </c>
      <c r="B136" s="223"/>
      <c r="C136" s="224">
        <f t="shared" si="34"/>
        <v>6</v>
      </c>
      <c r="D136" s="523" t="str">
        <f>IF(OR(données_step[[#This Row],[E_DBO5]]&lt;=0,données_step[[#This Row],[E_DBO5]]=""),"",données_step[[#This Row],[D_QTRAI]]*données_step[[#This Row],[E_DBO5]]/1000)</f>
        <v/>
      </c>
      <c r="E136" s="523" t="str">
        <f>IF(OR(données_step[[#This Row],[E_DCO]]&lt;=0,données_step[[#This Row],[E_DCO]]=""),"",données_step[[#This Row],[D_QTRAI]]*données_step[[#This Row],[E_DCO]]/1000)</f>
        <v/>
      </c>
      <c r="F136" s="523" t="str">
        <f>IF(OR(données_step[[#This Row],[E_COT]]&lt;=0,données_step[[#This Row],[E_COT]]=""),"",données_step[[#This Row],[D_QTRAI]]*données_step[[#This Row],[E_COT]]/1000)</f>
        <v/>
      </c>
      <c r="G136" s="523" t="str">
        <f>IF(OR(données_step[[#This Row],[E_NH4]]&lt;=0,données_step[[#This Row],[E_NH4]]=""),"",données_step[[#This Row],[D_QTRAI]]*données_step[[#This Row],[E_NH4]]/1000)</f>
        <v/>
      </c>
      <c r="H136" s="523" t="str">
        <f>IF(OR(données_step[[#This Row],[E_NTOT]]&lt;=0,données_step[[#This Row],[E_NTOT]]=""),"",données_step[[#This Row],[D_QTRAI]]*données_step[[#This Row],[E_NTOT]]/1000)</f>
        <v/>
      </c>
      <c r="I136" s="523" t="str">
        <f>IF(OR(données_step[[#This Row],[E_NTOT]]&lt;=0,données_step[[#This Row],[E_NTOT]]=""),"",données_step[[#This Row],[D_QTRAI]]*données_step[[#This Row],[E_PTOT]]/1000)</f>
        <v/>
      </c>
      <c r="J136" s="523" t="str">
        <f>IF(OR(données_step[[#This Row],[S_DBO5]]&lt;=0,données_step[[#This Row],[S_DBO5]]=""),"",données_step[[#This Row],[D_QTRAI]]*données_step[[#This Row],[S_DBO5]]/1000)</f>
        <v/>
      </c>
      <c r="K136" s="523" t="str">
        <f>IF(OR(données_step[[#This Row],[S_DCO]]&lt;=0,données_step[[#This Row],[S_DCO]]=""),"",données_step[[#This Row],[D_QTRAI]]*données_step[[#This Row],[S_DCO]]/1000)</f>
        <v/>
      </c>
      <c r="L136" s="523" t="str">
        <f>IF(OR(données_step[[#This Row],[S_COD]]&lt;=0,données_step[[#This Row],[S_COD]]=""),"",données_step[[#This Row],[D_QTRAI]]*données_step[[#This Row],[S_COD]]/1000)</f>
        <v/>
      </c>
      <c r="M136" s="523" t="str">
        <f>IF(OR(données_step[[#This Row],[S_NH4]]&lt;=0,données_step[[#This Row],[S_NH4]]=""),"",données_step[[#This Row],[D_QTRAI]]*données_step[[#This Row],[S_NH4]]/1000)</f>
        <v/>
      </c>
      <c r="N136" s="523" t="str">
        <f>IF(OR(données_step[[#This Row],[S_NO2]]&lt;=0,données_step[[#This Row],[S_NO2]]=""),"",données_step[[#This Row],[D_QTRAI]]*données_step[[#This Row],[S_NO2]]/1000)</f>
        <v/>
      </c>
      <c r="O136" s="523" t="str">
        <f>IF(OR(données_step[[#This Row],[S_NO3]]&lt;=0,données_step[[#This Row],[S_NO3]]=""),"",données_step[[#This Row],[D_QTRAI]]*données_step[[#This Row],[S_NO3]]/1000)</f>
        <v/>
      </c>
      <c r="P136" s="523" t="str">
        <f>IF(OR(données_step[[#This Row],[S_PTOT]]&lt;=0,données_step[[#This Row],[S_PTOT]]=""),"",données_step[[#This Row],[D_QTRAI]]*données_step[[#This Row],[S_PTOT]]/1000)</f>
        <v/>
      </c>
      <c r="Q136" s="523" t="str">
        <f>IF(OR(données_step[[#This Row],[S_MES]]&lt;=0,données_step[[#This Row],[S_MES]]=""),"",données_step[[#This Row],[D_QTRAI]]*données_step[[#This Row],[S_MES]]/1000)</f>
        <v/>
      </c>
      <c r="R136" s="523">
        <f>MAX(données_step[[#This Row],[D_QTRAI]],données_step[[#This Row],[D_QTRAI2]])</f>
        <v>0</v>
      </c>
      <c r="S136" s="523" t="str">
        <f>IF(AND($R136&gt;0,données_step[[#This Row],[E_DCO]]&gt;0),données_step[[#This Row],[E_DCO]],"")</f>
        <v/>
      </c>
      <c r="T136" s="523" t="str">
        <f>IF(S136="","",(1-données_step[[#This Row],[E_DCO]]/$V$7)*100)</f>
        <v/>
      </c>
      <c r="U136" s="523" t="str">
        <f t="shared" si="18"/>
        <v/>
      </c>
      <c r="V136" s="523" t="str">
        <f t="shared" si="19"/>
        <v/>
      </c>
      <c r="W136" s="523" t="str">
        <f t="shared" si="20"/>
        <v/>
      </c>
      <c r="X136" s="523" t="e">
        <f>IF(((100-100/$V$7*données_step[[#This Row],[E_DCO]])/100*QTS)&lt;0,NA(),IF(OR(U136&lt;0,U136=""),NA(),((100-100/$V$7*données_step[[#This Row],[E_DCO]])/100*QTS)))</f>
        <v>#NUM!</v>
      </c>
      <c r="Y136" s="523" t="str">
        <f>IF(AND($R136&gt;0,données_step[[#This Row],[E_COT]]&gt;0),données_step[[#This Row],[E_COT]],"")</f>
        <v/>
      </c>
      <c r="Z136" s="523" t="str">
        <f>IF(Y136="","",(1-données_step[[#This Row],[E_COT]]/$AB$7)*100)</f>
        <v/>
      </c>
      <c r="AA136" s="523" t="str">
        <f t="shared" si="21"/>
        <v/>
      </c>
      <c r="AB136" s="523" t="str">
        <f t="shared" si="22"/>
        <v/>
      </c>
      <c r="AC136" s="523" t="str">
        <f t="shared" si="23"/>
        <v/>
      </c>
      <c r="AD136" s="523" t="e">
        <f>IF(((100-100/$AB$7*données_step[[#This Row],[E_COT]])/100*QTS)&lt;0,NA(),IF(OR(AA136&lt;0,AA136=""),NA(),((100-100/$AB$7*données_step[[#This Row],[E_COT]])/100*QTS)))</f>
        <v>#NUM!</v>
      </c>
      <c r="AE136" s="523" t="str">
        <f>IF(AND($R136&gt;0,données_step[[#This Row],[E_NH4]]&gt;0),données_step[[#This Row],[E_NH4]],"")</f>
        <v/>
      </c>
      <c r="AF136" s="523" t="str">
        <f>IF(AE136="","",(1-données_step[[#This Row],[E_NH4]]/$AH$7)*100)</f>
        <v/>
      </c>
      <c r="AG136" s="523" t="str">
        <f t="shared" si="24"/>
        <v/>
      </c>
      <c r="AH136" s="523" t="str">
        <f t="shared" si="25"/>
        <v/>
      </c>
      <c r="AI136" s="523" t="str">
        <f t="shared" si="26"/>
        <v/>
      </c>
      <c r="AJ136" s="523" t="e">
        <f>IF(((100-100/$AH$7*données_step[[#This Row],[E_NH4]])/100*QTS)&lt;0,NA(),IF(OR(AG136&lt;0,AG136=""),NA(),((100-100/$AH$7*données_step[[#This Row],[E_NH4]])/100*QTS)))</f>
        <v>#NUM!</v>
      </c>
      <c r="AK136" s="523" t="str">
        <f>IF(AND($R136&gt;0,données_step[[#This Row],[E_PTOT]]&gt;0),données_step[[#This Row],[E_PTOT]],"")</f>
        <v/>
      </c>
      <c r="AL136" s="523" t="str">
        <f>IF(AK136="","",(1-données_step[[#This Row],[E_PTOT]]/$AN$7)*100)</f>
        <v/>
      </c>
      <c r="AM136" s="523" t="str">
        <f t="shared" si="27"/>
        <v/>
      </c>
      <c r="AN136" s="523" t="str">
        <f t="shared" si="28"/>
        <v/>
      </c>
      <c r="AO136" s="523" t="str">
        <f t="shared" si="29"/>
        <v/>
      </c>
      <c r="AP136" s="523" t="e">
        <f>IF(((100-100/$AN$7*données_step[[#This Row],[E_PTOT]])/100*QTS)&lt;0,NA(),IF(OR(AM136&lt;0,AM136=""),NA(),((100-100/$AN$7*données_step[[#This Row],[E_PTOT]])/100*QTS)))</f>
        <v>#NUM!</v>
      </c>
      <c r="AQ136" s="524" t="e">
        <f t="shared" si="30"/>
        <v>#NUM!</v>
      </c>
      <c r="AR136" s="524" t="str">
        <f t="shared" si="31"/>
        <v/>
      </c>
      <c r="AY136" s="523" t="str">
        <f>_xlfn.IFNA(IF(données_step[[#This Row],[E_DCO]]&lt;=0,NA(),charge_entree[[#This Row],[ch_E_DCO]]/constanten!$B$8*1000),"")</f>
        <v/>
      </c>
      <c r="AZ136" s="523" t="str">
        <f>_xlfn.IFNA(IF(données_step[[#This Row],[E_NTOT]]&lt;=0,NA(),charge_entree[[#This Row],[ch_E_NTOT]]/constanten!$B$10*1000),"")</f>
        <v/>
      </c>
      <c r="BA136" s="523" t="str">
        <f>_xlfn.IFNA(IF(données_step[[#This Row],[E_NH4]]&lt;=0,NA(),charge_entree[[#This Row],[ch_E_NH4]]/constanten!$B$12*1000),"")</f>
        <v/>
      </c>
      <c r="BB136" s="523" t="str">
        <f>_xlfn.IFNA(IF(données_step[[#This Row],[E_COT]]&lt;=0,NA(),charge_entree[[#This Row],[ch_E_COT]]/constanten!$B$9*1000),"")</f>
        <v/>
      </c>
      <c r="BC136" s="523" t="str">
        <f>IFERROR(_xlfn.IFNA(IF(données_step[[#This Row],[E_PTOT]]&lt;=0,NA(),charge_entree[[#This Row],[ch_E_PTOT]]/constanten!$B$15*1000),""),"")</f>
        <v/>
      </c>
      <c r="BD136" s="535" t="e">
        <f>calculs!E136 * (1-0.4) / (données_step[[#This Row],[X_BA_VOL]]*données_step[[#This Row],[X_BACONC]])</f>
        <v>#VALUE!</v>
      </c>
      <c r="BE136" s="522" t="e">
        <f>(données_step[[#This Row],[X_BA_VOL]]*données_step[[#This Row],[X_BACONC]])/((données_step[[#This Row],[D_QTRAI2]]*données_step[[#This Row],[S_MES]]/1000)+(données_step[[#This Row],[X_BX_Q]]*données_step[[#This Row],[X_BXCONC]]))</f>
        <v>#VALUE!</v>
      </c>
      <c r="BF136" s="890" t="str">
        <f>IFERROR(données_step[[#This Row],[D_QTRAI]]/AY136*1000,"")</f>
        <v/>
      </c>
      <c r="BG136" s="535" t="str">
        <f>IFERROR(1-données_step[[#This Row],[S_DBO5]]/données_step[[#This Row],[E_DBO5]],"")</f>
        <v/>
      </c>
      <c r="BH136" s="536" t="str">
        <f>IFERROR(1-données_step[[#This Row],[S_DCO]]/données_step[[#This Row],[E_DCO]],"")</f>
        <v/>
      </c>
      <c r="BI136" s="535" t="str">
        <f>IFERROR(1-données_step[[#This Row],[S_COD]]/données_step[[#This Row],[E_COT]],"")</f>
        <v/>
      </c>
      <c r="BJ136" s="535" t="str">
        <f>IFERROR(1-données_step[[#This Row],[S_NH4]]/données_step[[#This Row],[E_NTOT]],"")</f>
        <v/>
      </c>
      <c r="BK136" s="535" t="str">
        <f>IFERROR(1-données_step[[#This Row],[S_PTOT]]/données_step[[#This Row],[E_PTOT]],"")</f>
        <v/>
      </c>
      <c r="BL136" s="521" t="str">
        <f>IFERROR(IF(données_step[[#This Row],[E_DCO]]/données_step[[#This Row],[E_DBO5]]=0,NA(),données_step[[#This Row],[E_DCO]]/données_step[[#This Row],[E_DBO5]]),"")</f>
        <v/>
      </c>
      <c r="BM136" s="521" t="str">
        <f>IFERROR(IF(données_step[[#This Row],[E_NH4]]/données_step[[#This Row],[E_NTOT]]=0,NA(),données_step[[#This Row],[E_NH4]]/données_step[[#This Row],[E_NTOT]]),"")</f>
        <v/>
      </c>
      <c r="BN136" s="521" t="str">
        <f>IFERROR(IF(données_step[[#This Row],[E_NTOT]]/données_step[[#This Row],[E_COT]]=0,NA(),données_step[[#This Row],[E_NTOT]]/données_step[[#This Row],[E_COT]]),"")</f>
        <v/>
      </c>
      <c r="BO136" s="521" t="str">
        <f>IFERROR(IF(données_step[[#This Row],[E_PTOT]]/données_step[[#This Row],[E_COT]]=0,NA(),données_step[[#This Row],[E_PTOT]]/données_step[[#This Row],[E_COT]]),"")</f>
        <v/>
      </c>
      <c r="BP136" s="521" t="e">
        <f>IF(données_step[[#This Row],[E_DCO]]/données_step[[#This Row],[E_COT]]=0,NA(),données_step[[#This Row],[E_DCO]]/données_step[[#This Row],[E_COT]])</f>
        <v>#DIV/0!</v>
      </c>
      <c r="BQ136" s="521" t="e">
        <f>IF(données_step[[#This Row],[E_NTOT]]/données_step[[#This Row],[E_DCO]]=0,NA(),données_step[[#This Row],[E_NTOT]]/données_step[[#This Row],[E_DCO]])</f>
        <v>#DIV/0!</v>
      </c>
      <c r="BR136" s="521" t="e">
        <f>IF(données_step[[#This Row],[E_PTOT]]/données_step[[#This Row],[E_DCO]]=0,NA(),données_step[[#This Row],[E_PTOT]]/données_step[[#This Row],[E_DCO]])</f>
        <v>#DIV/0!</v>
      </c>
      <c r="BS136" s="747" t="e">
        <f ca="1">test_NH4_temp(données_step[[#This Row],[S_NH4]],données_step[[#This Row],[Temp_eaux]])</f>
        <v>#NAME?</v>
      </c>
    </row>
    <row r="137" spans="1:71" x14ac:dyDescent="0.2">
      <c r="A137" s="222">
        <f>données_step[[#This Row],[Datum]]</f>
        <v>44688</v>
      </c>
      <c r="B137" s="223"/>
      <c r="C137" s="224">
        <f t="shared" si="34"/>
        <v>7</v>
      </c>
      <c r="D137" s="523" t="str">
        <f>IF(OR(données_step[[#This Row],[E_DBO5]]&lt;=0,données_step[[#This Row],[E_DBO5]]=""),"",données_step[[#This Row],[D_QTRAI]]*données_step[[#This Row],[E_DBO5]]/1000)</f>
        <v/>
      </c>
      <c r="E137" s="523" t="str">
        <f>IF(OR(données_step[[#This Row],[E_DCO]]&lt;=0,données_step[[#This Row],[E_DCO]]=""),"",données_step[[#This Row],[D_QTRAI]]*données_step[[#This Row],[E_DCO]]/1000)</f>
        <v/>
      </c>
      <c r="F137" s="523" t="str">
        <f>IF(OR(données_step[[#This Row],[E_COT]]&lt;=0,données_step[[#This Row],[E_COT]]=""),"",données_step[[#This Row],[D_QTRAI]]*données_step[[#This Row],[E_COT]]/1000)</f>
        <v/>
      </c>
      <c r="G137" s="523" t="str">
        <f>IF(OR(données_step[[#This Row],[E_NH4]]&lt;=0,données_step[[#This Row],[E_NH4]]=""),"",données_step[[#This Row],[D_QTRAI]]*données_step[[#This Row],[E_NH4]]/1000)</f>
        <v/>
      </c>
      <c r="H137" s="523" t="str">
        <f>IF(OR(données_step[[#This Row],[E_NTOT]]&lt;=0,données_step[[#This Row],[E_NTOT]]=""),"",données_step[[#This Row],[D_QTRAI]]*données_step[[#This Row],[E_NTOT]]/1000)</f>
        <v/>
      </c>
      <c r="I137" s="523" t="str">
        <f>IF(OR(données_step[[#This Row],[E_NTOT]]&lt;=0,données_step[[#This Row],[E_NTOT]]=""),"",données_step[[#This Row],[D_QTRAI]]*données_step[[#This Row],[E_PTOT]]/1000)</f>
        <v/>
      </c>
      <c r="J137" s="523" t="str">
        <f>IF(OR(données_step[[#This Row],[S_DBO5]]&lt;=0,données_step[[#This Row],[S_DBO5]]=""),"",données_step[[#This Row],[D_QTRAI]]*données_step[[#This Row],[S_DBO5]]/1000)</f>
        <v/>
      </c>
      <c r="K137" s="523" t="str">
        <f>IF(OR(données_step[[#This Row],[S_DCO]]&lt;=0,données_step[[#This Row],[S_DCO]]=""),"",données_step[[#This Row],[D_QTRAI]]*données_step[[#This Row],[S_DCO]]/1000)</f>
        <v/>
      </c>
      <c r="L137" s="523" t="str">
        <f>IF(OR(données_step[[#This Row],[S_COD]]&lt;=0,données_step[[#This Row],[S_COD]]=""),"",données_step[[#This Row],[D_QTRAI]]*données_step[[#This Row],[S_COD]]/1000)</f>
        <v/>
      </c>
      <c r="M137" s="523" t="str">
        <f>IF(OR(données_step[[#This Row],[S_NH4]]&lt;=0,données_step[[#This Row],[S_NH4]]=""),"",données_step[[#This Row],[D_QTRAI]]*données_step[[#This Row],[S_NH4]]/1000)</f>
        <v/>
      </c>
      <c r="N137" s="523" t="str">
        <f>IF(OR(données_step[[#This Row],[S_NO2]]&lt;=0,données_step[[#This Row],[S_NO2]]=""),"",données_step[[#This Row],[D_QTRAI]]*données_step[[#This Row],[S_NO2]]/1000)</f>
        <v/>
      </c>
      <c r="O137" s="523" t="str">
        <f>IF(OR(données_step[[#This Row],[S_NO3]]&lt;=0,données_step[[#This Row],[S_NO3]]=""),"",données_step[[#This Row],[D_QTRAI]]*données_step[[#This Row],[S_NO3]]/1000)</f>
        <v/>
      </c>
      <c r="P137" s="523" t="str">
        <f>IF(OR(données_step[[#This Row],[S_PTOT]]&lt;=0,données_step[[#This Row],[S_PTOT]]=""),"",données_step[[#This Row],[D_QTRAI]]*données_step[[#This Row],[S_PTOT]]/1000)</f>
        <v/>
      </c>
      <c r="Q137" s="523" t="str">
        <f>IF(OR(données_step[[#This Row],[S_MES]]&lt;=0,données_step[[#This Row],[S_MES]]=""),"",données_step[[#This Row],[D_QTRAI]]*données_step[[#This Row],[S_MES]]/1000)</f>
        <v/>
      </c>
      <c r="R137" s="523">
        <f>MAX(données_step[[#This Row],[D_QTRAI]],données_step[[#This Row],[D_QTRAI2]])</f>
        <v>0</v>
      </c>
      <c r="S137" s="523" t="str">
        <f>IF(AND($R137&gt;0,données_step[[#This Row],[E_DCO]]&gt;0),données_step[[#This Row],[E_DCO]],"")</f>
        <v/>
      </c>
      <c r="T137" s="523" t="str">
        <f>IF(S137="","",(1-données_step[[#This Row],[E_DCO]]/$V$7)*100)</f>
        <v/>
      </c>
      <c r="U137" s="523" t="str">
        <f t="shared" si="18"/>
        <v/>
      </c>
      <c r="V137" s="523" t="str">
        <f t="shared" si="19"/>
        <v/>
      </c>
      <c r="W137" s="523" t="str">
        <f t="shared" si="20"/>
        <v/>
      </c>
      <c r="X137" s="523" t="e">
        <f>IF(((100-100/$V$7*données_step[[#This Row],[E_DCO]])/100*QTS)&lt;0,NA(),IF(OR(U137&lt;0,U137=""),NA(),((100-100/$V$7*données_step[[#This Row],[E_DCO]])/100*QTS)))</f>
        <v>#NUM!</v>
      </c>
      <c r="Y137" s="523" t="str">
        <f>IF(AND($R137&gt;0,données_step[[#This Row],[E_COT]]&gt;0),données_step[[#This Row],[E_COT]],"")</f>
        <v/>
      </c>
      <c r="Z137" s="523" t="str">
        <f>IF(Y137="","",(1-données_step[[#This Row],[E_COT]]/$AB$7)*100)</f>
        <v/>
      </c>
      <c r="AA137" s="523" t="str">
        <f t="shared" si="21"/>
        <v/>
      </c>
      <c r="AB137" s="523" t="str">
        <f t="shared" si="22"/>
        <v/>
      </c>
      <c r="AC137" s="523" t="str">
        <f t="shared" si="23"/>
        <v/>
      </c>
      <c r="AD137" s="523" t="e">
        <f>IF(((100-100/$AB$7*données_step[[#This Row],[E_COT]])/100*QTS)&lt;0,NA(),IF(OR(AA137&lt;0,AA137=""),NA(),((100-100/$AB$7*données_step[[#This Row],[E_COT]])/100*QTS)))</f>
        <v>#NUM!</v>
      </c>
      <c r="AE137" s="523" t="str">
        <f>IF(AND($R137&gt;0,données_step[[#This Row],[E_NH4]]&gt;0),données_step[[#This Row],[E_NH4]],"")</f>
        <v/>
      </c>
      <c r="AF137" s="523" t="str">
        <f>IF(AE137="","",(1-données_step[[#This Row],[E_NH4]]/$AH$7)*100)</f>
        <v/>
      </c>
      <c r="AG137" s="523" t="str">
        <f t="shared" si="24"/>
        <v/>
      </c>
      <c r="AH137" s="523" t="str">
        <f t="shared" si="25"/>
        <v/>
      </c>
      <c r="AI137" s="523" t="str">
        <f t="shared" si="26"/>
        <v/>
      </c>
      <c r="AJ137" s="523" t="e">
        <f>IF(((100-100/$AH$7*données_step[[#This Row],[E_NH4]])/100*QTS)&lt;0,NA(),IF(OR(AG137&lt;0,AG137=""),NA(),((100-100/$AH$7*données_step[[#This Row],[E_NH4]])/100*QTS)))</f>
        <v>#NUM!</v>
      </c>
      <c r="AK137" s="523" t="str">
        <f>IF(AND($R137&gt;0,données_step[[#This Row],[E_PTOT]]&gt;0),données_step[[#This Row],[E_PTOT]],"")</f>
        <v/>
      </c>
      <c r="AL137" s="523" t="str">
        <f>IF(AK137="","",(1-données_step[[#This Row],[E_PTOT]]/$AN$7)*100)</f>
        <v/>
      </c>
      <c r="AM137" s="523" t="str">
        <f t="shared" si="27"/>
        <v/>
      </c>
      <c r="AN137" s="523" t="str">
        <f t="shared" si="28"/>
        <v/>
      </c>
      <c r="AO137" s="523" t="str">
        <f t="shared" si="29"/>
        <v/>
      </c>
      <c r="AP137" s="523" t="e">
        <f>IF(((100-100/$AN$7*données_step[[#This Row],[E_PTOT]])/100*QTS)&lt;0,NA(),IF(OR(AM137&lt;0,AM137=""),NA(),((100-100/$AN$7*données_step[[#This Row],[E_PTOT]])/100*QTS)))</f>
        <v>#NUM!</v>
      </c>
      <c r="AQ137" s="524" t="e">
        <f t="shared" si="30"/>
        <v>#NUM!</v>
      </c>
      <c r="AR137" s="524" t="str">
        <f t="shared" si="31"/>
        <v/>
      </c>
      <c r="AY137" s="523" t="str">
        <f>_xlfn.IFNA(IF(données_step[[#This Row],[E_DCO]]&lt;=0,NA(),charge_entree[[#This Row],[ch_E_DCO]]/constanten!$B$8*1000),"")</f>
        <v/>
      </c>
      <c r="AZ137" s="523" t="str">
        <f>_xlfn.IFNA(IF(données_step[[#This Row],[E_NTOT]]&lt;=0,NA(),charge_entree[[#This Row],[ch_E_NTOT]]/constanten!$B$10*1000),"")</f>
        <v/>
      </c>
      <c r="BA137" s="523" t="str">
        <f>_xlfn.IFNA(IF(données_step[[#This Row],[E_NH4]]&lt;=0,NA(),charge_entree[[#This Row],[ch_E_NH4]]/constanten!$B$12*1000),"")</f>
        <v/>
      </c>
      <c r="BB137" s="523" t="str">
        <f>_xlfn.IFNA(IF(données_step[[#This Row],[E_COT]]&lt;=0,NA(),charge_entree[[#This Row],[ch_E_COT]]/constanten!$B$9*1000),"")</f>
        <v/>
      </c>
      <c r="BC137" s="523" t="str">
        <f>IFERROR(_xlfn.IFNA(IF(données_step[[#This Row],[E_PTOT]]&lt;=0,NA(),charge_entree[[#This Row],[ch_E_PTOT]]/constanten!$B$15*1000),""),"")</f>
        <v/>
      </c>
      <c r="BD137" s="535" t="e">
        <f>calculs!E137 * (1-0.4) / (données_step[[#This Row],[X_BA_VOL]]*données_step[[#This Row],[X_BACONC]])</f>
        <v>#VALUE!</v>
      </c>
      <c r="BE137" s="522" t="e">
        <f>(données_step[[#This Row],[X_BA_VOL]]*données_step[[#This Row],[X_BACONC]])/((données_step[[#This Row],[D_QTRAI2]]*données_step[[#This Row],[S_MES]]/1000)+(données_step[[#This Row],[X_BX_Q]]*données_step[[#This Row],[X_BXCONC]]))</f>
        <v>#VALUE!</v>
      </c>
      <c r="BF137" s="890" t="str">
        <f>IFERROR(données_step[[#This Row],[D_QTRAI]]/AY137*1000,"")</f>
        <v/>
      </c>
      <c r="BG137" s="535" t="str">
        <f>IFERROR(1-données_step[[#This Row],[S_DBO5]]/données_step[[#This Row],[E_DBO5]],"")</f>
        <v/>
      </c>
      <c r="BH137" s="536" t="str">
        <f>IFERROR(1-données_step[[#This Row],[S_DCO]]/données_step[[#This Row],[E_DCO]],"")</f>
        <v/>
      </c>
      <c r="BI137" s="535" t="str">
        <f>IFERROR(1-données_step[[#This Row],[S_COD]]/données_step[[#This Row],[E_COT]],"")</f>
        <v/>
      </c>
      <c r="BJ137" s="535" t="str">
        <f>IFERROR(1-données_step[[#This Row],[S_NH4]]/données_step[[#This Row],[E_NTOT]],"")</f>
        <v/>
      </c>
      <c r="BK137" s="535" t="str">
        <f>IFERROR(1-données_step[[#This Row],[S_PTOT]]/données_step[[#This Row],[E_PTOT]],"")</f>
        <v/>
      </c>
      <c r="BL137" s="521" t="str">
        <f>IFERROR(IF(données_step[[#This Row],[E_DCO]]/données_step[[#This Row],[E_DBO5]]=0,NA(),données_step[[#This Row],[E_DCO]]/données_step[[#This Row],[E_DBO5]]),"")</f>
        <v/>
      </c>
      <c r="BM137" s="521" t="str">
        <f>IFERROR(IF(données_step[[#This Row],[E_NH4]]/données_step[[#This Row],[E_NTOT]]=0,NA(),données_step[[#This Row],[E_NH4]]/données_step[[#This Row],[E_NTOT]]),"")</f>
        <v/>
      </c>
      <c r="BN137" s="521" t="str">
        <f>IFERROR(IF(données_step[[#This Row],[E_NTOT]]/données_step[[#This Row],[E_COT]]=0,NA(),données_step[[#This Row],[E_NTOT]]/données_step[[#This Row],[E_COT]]),"")</f>
        <v/>
      </c>
      <c r="BO137" s="521" t="str">
        <f>IFERROR(IF(données_step[[#This Row],[E_PTOT]]/données_step[[#This Row],[E_COT]]=0,NA(),données_step[[#This Row],[E_PTOT]]/données_step[[#This Row],[E_COT]]),"")</f>
        <v/>
      </c>
      <c r="BP137" s="521" t="e">
        <f>IF(données_step[[#This Row],[E_DCO]]/données_step[[#This Row],[E_COT]]=0,NA(),données_step[[#This Row],[E_DCO]]/données_step[[#This Row],[E_COT]])</f>
        <v>#DIV/0!</v>
      </c>
      <c r="BQ137" s="521" t="e">
        <f>IF(données_step[[#This Row],[E_NTOT]]/données_step[[#This Row],[E_DCO]]=0,NA(),données_step[[#This Row],[E_NTOT]]/données_step[[#This Row],[E_DCO]])</f>
        <v>#DIV/0!</v>
      </c>
      <c r="BR137" s="521" t="e">
        <f>IF(données_step[[#This Row],[E_PTOT]]/données_step[[#This Row],[E_DCO]]=0,NA(),données_step[[#This Row],[E_PTOT]]/données_step[[#This Row],[E_DCO]])</f>
        <v>#DIV/0!</v>
      </c>
      <c r="BS137" s="747" t="e">
        <f ca="1">test_NH4_temp(données_step[[#This Row],[S_NH4]],données_step[[#This Row],[Temp_eaux]])</f>
        <v>#NAME?</v>
      </c>
    </row>
    <row r="138" spans="1:71" x14ac:dyDescent="0.2">
      <c r="A138" s="222">
        <f>données_step[[#This Row],[Datum]]</f>
        <v>44689</v>
      </c>
      <c r="B138" s="223"/>
      <c r="C138" s="224">
        <f t="shared" si="34"/>
        <v>1</v>
      </c>
      <c r="D138" s="523" t="str">
        <f>IF(OR(données_step[[#This Row],[E_DBO5]]&lt;=0,données_step[[#This Row],[E_DBO5]]=""),"",données_step[[#This Row],[D_QTRAI]]*données_step[[#This Row],[E_DBO5]]/1000)</f>
        <v/>
      </c>
      <c r="E138" s="523" t="str">
        <f>IF(OR(données_step[[#This Row],[E_DCO]]&lt;=0,données_step[[#This Row],[E_DCO]]=""),"",données_step[[#This Row],[D_QTRAI]]*données_step[[#This Row],[E_DCO]]/1000)</f>
        <v/>
      </c>
      <c r="F138" s="523" t="str">
        <f>IF(OR(données_step[[#This Row],[E_COT]]&lt;=0,données_step[[#This Row],[E_COT]]=""),"",données_step[[#This Row],[D_QTRAI]]*données_step[[#This Row],[E_COT]]/1000)</f>
        <v/>
      </c>
      <c r="G138" s="523" t="str">
        <f>IF(OR(données_step[[#This Row],[E_NH4]]&lt;=0,données_step[[#This Row],[E_NH4]]=""),"",données_step[[#This Row],[D_QTRAI]]*données_step[[#This Row],[E_NH4]]/1000)</f>
        <v/>
      </c>
      <c r="H138" s="523" t="str">
        <f>IF(OR(données_step[[#This Row],[E_NTOT]]&lt;=0,données_step[[#This Row],[E_NTOT]]=""),"",données_step[[#This Row],[D_QTRAI]]*données_step[[#This Row],[E_NTOT]]/1000)</f>
        <v/>
      </c>
      <c r="I138" s="523" t="str">
        <f>IF(OR(données_step[[#This Row],[E_NTOT]]&lt;=0,données_step[[#This Row],[E_NTOT]]=""),"",données_step[[#This Row],[D_QTRAI]]*données_step[[#This Row],[E_PTOT]]/1000)</f>
        <v/>
      </c>
      <c r="J138" s="523" t="str">
        <f>IF(OR(données_step[[#This Row],[S_DBO5]]&lt;=0,données_step[[#This Row],[S_DBO5]]=""),"",données_step[[#This Row],[D_QTRAI]]*données_step[[#This Row],[S_DBO5]]/1000)</f>
        <v/>
      </c>
      <c r="K138" s="523" t="str">
        <f>IF(OR(données_step[[#This Row],[S_DCO]]&lt;=0,données_step[[#This Row],[S_DCO]]=""),"",données_step[[#This Row],[D_QTRAI]]*données_step[[#This Row],[S_DCO]]/1000)</f>
        <v/>
      </c>
      <c r="L138" s="523" t="str">
        <f>IF(OR(données_step[[#This Row],[S_COD]]&lt;=0,données_step[[#This Row],[S_COD]]=""),"",données_step[[#This Row],[D_QTRAI]]*données_step[[#This Row],[S_COD]]/1000)</f>
        <v/>
      </c>
      <c r="M138" s="523" t="str">
        <f>IF(OR(données_step[[#This Row],[S_NH4]]&lt;=0,données_step[[#This Row],[S_NH4]]=""),"",données_step[[#This Row],[D_QTRAI]]*données_step[[#This Row],[S_NH4]]/1000)</f>
        <v/>
      </c>
      <c r="N138" s="523" t="str">
        <f>IF(OR(données_step[[#This Row],[S_NO2]]&lt;=0,données_step[[#This Row],[S_NO2]]=""),"",données_step[[#This Row],[D_QTRAI]]*données_step[[#This Row],[S_NO2]]/1000)</f>
        <v/>
      </c>
      <c r="O138" s="523" t="str">
        <f>IF(OR(données_step[[#This Row],[S_NO3]]&lt;=0,données_step[[#This Row],[S_NO3]]=""),"",données_step[[#This Row],[D_QTRAI]]*données_step[[#This Row],[S_NO3]]/1000)</f>
        <v/>
      </c>
      <c r="P138" s="523" t="str">
        <f>IF(OR(données_step[[#This Row],[S_PTOT]]&lt;=0,données_step[[#This Row],[S_PTOT]]=""),"",données_step[[#This Row],[D_QTRAI]]*données_step[[#This Row],[S_PTOT]]/1000)</f>
        <v/>
      </c>
      <c r="Q138" s="523" t="str">
        <f>IF(OR(données_step[[#This Row],[S_MES]]&lt;=0,données_step[[#This Row],[S_MES]]=""),"",données_step[[#This Row],[D_QTRAI]]*données_step[[#This Row],[S_MES]]/1000)</f>
        <v/>
      </c>
      <c r="R138" s="523">
        <f>MAX(données_step[[#This Row],[D_QTRAI]],données_step[[#This Row],[D_QTRAI2]])</f>
        <v>0</v>
      </c>
      <c r="S138" s="523" t="str">
        <f>IF(AND($R138&gt;0,données_step[[#This Row],[E_DCO]]&gt;0),données_step[[#This Row],[E_DCO]],"")</f>
        <v/>
      </c>
      <c r="T138" s="523" t="str">
        <f>IF(S138="","",(1-données_step[[#This Row],[E_DCO]]/$V$7)*100)</f>
        <v/>
      </c>
      <c r="U138" s="523" t="str">
        <f t="shared" si="18"/>
        <v/>
      </c>
      <c r="V138" s="523" t="str">
        <f t="shared" si="19"/>
        <v/>
      </c>
      <c r="W138" s="523" t="str">
        <f t="shared" si="20"/>
        <v/>
      </c>
      <c r="X138" s="523" t="e">
        <f>IF(((100-100/$V$7*données_step[[#This Row],[E_DCO]])/100*QTS)&lt;0,NA(),IF(OR(U138&lt;0,U138=""),NA(),((100-100/$V$7*données_step[[#This Row],[E_DCO]])/100*QTS)))</f>
        <v>#NUM!</v>
      </c>
      <c r="Y138" s="523" t="str">
        <f>IF(AND($R138&gt;0,données_step[[#This Row],[E_COT]]&gt;0),données_step[[#This Row],[E_COT]],"")</f>
        <v/>
      </c>
      <c r="Z138" s="523" t="str">
        <f>IF(Y138="","",(1-données_step[[#This Row],[E_COT]]/$AB$7)*100)</f>
        <v/>
      </c>
      <c r="AA138" s="523" t="str">
        <f t="shared" si="21"/>
        <v/>
      </c>
      <c r="AB138" s="523" t="str">
        <f t="shared" si="22"/>
        <v/>
      </c>
      <c r="AC138" s="523" t="str">
        <f t="shared" si="23"/>
        <v/>
      </c>
      <c r="AD138" s="523" t="e">
        <f>IF(((100-100/$AB$7*données_step[[#This Row],[E_COT]])/100*QTS)&lt;0,NA(),IF(OR(AA138&lt;0,AA138=""),NA(),((100-100/$AB$7*données_step[[#This Row],[E_COT]])/100*QTS)))</f>
        <v>#NUM!</v>
      </c>
      <c r="AE138" s="523" t="str">
        <f>IF(AND($R138&gt;0,données_step[[#This Row],[E_NH4]]&gt;0),données_step[[#This Row],[E_NH4]],"")</f>
        <v/>
      </c>
      <c r="AF138" s="523" t="str">
        <f>IF(AE138="","",(1-données_step[[#This Row],[E_NH4]]/$AH$7)*100)</f>
        <v/>
      </c>
      <c r="AG138" s="523" t="str">
        <f t="shared" si="24"/>
        <v/>
      </c>
      <c r="AH138" s="523" t="str">
        <f t="shared" si="25"/>
        <v/>
      </c>
      <c r="AI138" s="523" t="str">
        <f t="shared" si="26"/>
        <v/>
      </c>
      <c r="AJ138" s="523" t="e">
        <f>IF(((100-100/$AH$7*données_step[[#This Row],[E_NH4]])/100*QTS)&lt;0,NA(),IF(OR(AG138&lt;0,AG138=""),NA(),((100-100/$AH$7*données_step[[#This Row],[E_NH4]])/100*QTS)))</f>
        <v>#NUM!</v>
      </c>
      <c r="AK138" s="523" t="str">
        <f>IF(AND($R138&gt;0,données_step[[#This Row],[E_PTOT]]&gt;0),données_step[[#This Row],[E_PTOT]],"")</f>
        <v/>
      </c>
      <c r="AL138" s="523" t="str">
        <f>IF(AK138="","",(1-données_step[[#This Row],[E_PTOT]]/$AN$7)*100)</f>
        <v/>
      </c>
      <c r="AM138" s="523" t="str">
        <f t="shared" si="27"/>
        <v/>
      </c>
      <c r="AN138" s="523" t="str">
        <f t="shared" si="28"/>
        <v/>
      </c>
      <c r="AO138" s="523" t="str">
        <f t="shared" si="29"/>
        <v/>
      </c>
      <c r="AP138" s="523" t="e">
        <f>IF(((100-100/$AN$7*données_step[[#This Row],[E_PTOT]])/100*QTS)&lt;0,NA(),IF(OR(AM138&lt;0,AM138=""),NA(),((100-100/$AN$7*données_step[[#This Row],[E_PTOT]])/100*QTS)))</f>
        <v>#NUM!</v>
      </c>
      <c r="AQ138" s="524" t="e">
        <f t="shared" si="30"/>
        <v>#NUM!</v>
      </c>
      <c r="AR138" s="524" t="str">
        <f t="shared" si="31"/>
        <v/>
      </c>
      <c r="AY138" s="523" t="str">
        <f>_xlfn.IFNA(IF(données_step[[#This Row],[E_DCO]]&lt;=0,NA(),charge_entree[[#This Row],[ch_E_DCO]]/constanten!$B$8*1000),"")</f>
        <v/>
      </c>
      <c r="AZ138" s="523" t="str">
        <f>_xlfn.IFNA(IF(données_step[[#This Row],[E_NTOT]]&lt;=0,NA(),charge_entree[[#This Row],[ch_E_NTOT]]/constanten!$B$10*1000),"")</f>
        <v/>
      </c>
      <c r="BA138" s="523" t="str">
        <f>_xlfn.IFNA(IF(données_step[[#This Row],[E_NH4]]&lt;=0,NA(),charge_entree[[#This Row],[ch_E_NH4]]/constanten!$B$12*1000),"")</f>
        <v/>
      </c>
      <c r="BB138" s="523" t="str">
        <f>_xlfn.IFNA(IF(données_step[[#This Row],[E_COT]]&lt;=0,NA(),charge_entree[[#This Row],[ch_E_COT]]/constanten!$B$9*1000),"")</f>
        <v/>
      </c>
      <c r="BC138" s="523" t="str">
        <f>IFERROR(_xlfn.IFNA(IF(données_step[[#This Row],[E_PTOT]]&lt;=0,NA(),charge_entree[[#This Row],[ch_E_PTOT]]/constanten!$B$15*1000),""),"")</f>
        <v/>
      </c>
      <c r="BD138" s="535" t="e">
        <f>calculs!E138 * (1-0.4) / (données_step[[#This Row],[X_BA_VOL]]*données_step[[#This Row],[X_BACONC]])</f>
        <v>#VALUE!</v>
      </c>
      <c r="BE138" s="522" t="e">
        <f>(données_step[[#This Row],[X_BA_VOL]]*données_step[[#This Row],[X_BACONC]])/((données_step[[#This Row],[D_QTRAI2]]*données_step[[#This Row],[S_MES]]/1000)+(données_step[[#This Row],[X_BX_Q]]*données_step[[#This Row],[X_BXCONC]]))</f>
        <v>#VALUE!</v>
      </c>
      <c r="BF138" s="890" t="str">
        <f>IFERROR(données_step[[#This Row],[D_QTRAI]]/AY138*1000,"")</f>
        <v/>
      </c>
      <c r="BG138" s="535" t="str">
        <f>IFERROR(1-données_step[[#This Row],[S_DBO5]]/données_step[[#This Row],[E_DBO5]],"")</f>
        <v/>
      </c>
      <c r="BH138" s="536" t="str">
        <f>IFERROR(1-données_step[[#This Row],[S_DCO]]/données_step[[#This Row],[E_DCO]],"")</f>
        <v/>
      </c>
      <c r="BI138" s="535" t="str">
        <f>IFERROR(1-données_step[[#This Row],[S_COD]]/données_step[[#This Row],[E_COT]],"")</f>
        <v/>
      </c>
      <c r="BJ138" s="535" t="str">
        <f>IFERROR(1-données_step[[#This Row],[S_NH4]]/données_step[[#This Row],[E_NTOT]],"")</f>
        <v/>
      </c>
      <c r="BK138" s="535" t="str">
        <f>IFERROR(1-données_step[[#This Row],[S_PTOT]]/données_step[[#This Row],[E_PTOT]],"")</f>
        <v/>
      </c>
      <c r="BL138" s="521" t="str">
        <f>IFERROR(IF(données_step[[#This Row],[E_DCO]]/données_step[[#This Row],[E_DBO5]]=0,NA(),données_step[[#This Row],[E_DCO]]/données_step[[#This Row],[E_DBO5]]),"")</f>
        <v/>
      </c>
      <c r="BM138" s="521" t="str">
        <f>IFERROR(IF(données_step[[#This Row],[E_NH4]]/données_step[[#This Row],[E_NTOT]]=0,NA(),données_step[[#This Row],[E_NH4]]/données_step[[#This Row],[E_NTOT]]),"")</f>
        <v/>
      </c>
      <c r="BN138" s="521" t="str">
        <f>IFERROR(IF(données_step[[#This Row],[E_NTOT]]/données_step[[#This Row],[E_COT]]=0,NA(),données_step[[#This Row],[E_NTOT]]/données_step[[#This Row],[E_COT]]),"")</f>
        <v/>
      </c>
      <c r="BO138" s="521" t="str">
        <f>IFERROR(IF(données_step[[#This Row],[E_PTOT]]/données_step[[#This Row],[E_COT]]=0,NA(),données_step[[#This Row],[E_PTOT]]/données_step[[#This Row],[E_COT]]),"")</f>
        <v/>
      </c>
      <c r="BP138" s="521" t="e">
        <f>IF(données_step[[#This Row],[E_DCO]]/données_step[[#This Row],[E_COT]]=0,NA(),données_step[[#This Row],[E_DCO]]/données_step[[#This Row],[E_COT]])</f>
        <v>#DIV/0!</v>
      </c>
      <c r="BQ138" s="521" t="e">
        <f>IF(données_step[[#This Row],[E_NTOT]]/données_step[[#This Row],[E_DCO]]=0,NA(),données_step[[#This Row],[E_NTOT]]/données_step[[#This Row],[E_DCO]])</f>
        <v>#DIV/0!</v>
      </c>
      <c r="BR138" s="521" t="e">
        <f>IF(données_step[[#This Row],[E_PTOT]]/données_step[[#This Row],[E_DCO]]=0,NA(),données_step[[#This Row],[E_PTOT]]/données_step[[#This Row],[E_DCO]])</f>
        <v>#DIV/0!</v>
      </c>
      <c r="BS138" s="747" t="e">
        <f ca="1">test_NH4_temp(données_step[[#This Row],[S_NH4]],données_step[[#This Row],[Temp_eaux]])</f>
        <v>#NAME?</v>
      </c>
    </row>
    <row r="139" spans="1:71" x14ac:dyDescent="0.2">
      <c r="A139" s="222">
        <f>données_step[[#This Row],[Datum]]</f>
        <v>44690</v>
      </c>
      <c r="B139" s="223"/>
      <c r="C139" s="224">
        <f t="shared" si="34"/>
        <v>2</v>
      </c>
      <c r="D139" s="523" t="str">
        <f>IF(OR(données_step[[#This Row],[E_DBO5]]&lt;=0,données_step[[#This Row],[E_DBO5]]=""),"",données_step[[#This Row],[D_QTRAI]]*données_step[[#This Row],[E_DBO5]]/1000)</f>
        <v/>
      </c>
      <c r="E139" s="523" t="str">
        <f>IF(OR(données_step[[#This Row],[E_DCO]]&lt;=0,données_step[[#This Row],[E_DCO]]=""),"",données_step[[#This Row],[D_QTRAI]]*données_step[[#This Row],[E_DCO]]/1000)</f>
        <v/>
      </c>
      <c r="F139" s="523" t="str">
        <f>IF(OR(données_step[[#This Row],[E_COT]]&lt;=0,données_step[[#This Row],[E_COT]]=""),"",données_step[[#This Row],[D_QTRAI]]*données_step[[#This Row],[E_COT]]/1000)</f>
        <v/>
      </c>
      <c r="G139" s="523" t="str">
        <f>IF(OR(données_step[[#This Row],[E_NH4]]&lt;=0,données_step[[#This Row],[E_NH4]]=""),"",données_step[[#This Row],[D_QTRAI]]*données_step[[#This Row],[E_NH4]]/1000)</f>
        <v/>
      </c>
      <c r="H139" s="523" t="str">
        <f>IF(OR(données_step[[#This Row],[E_NTOT]]&lt;=0,données_step[[#This Row],[E_NTOT]]=""),"",données_step[[#This Row],[D_QTRAI]]*données_step[[#This Row],[E_NTOT]]/1000)</f>
        <v/>
      </c>
      <c r="I139" s="523" t="str">
        <f>IF(OR(données_step[[#This Row],[E_NTOT]]&lt;=0,données_step[[#This Row],[E_NTOT]]=""),"",données_step[[#This Row],[D_QTRAI]]*données_step[[#This Row],[E_PTOT]]/1000)</f>
        <v/>
      </c>
      <c r="J139" s="523" t="str">
        <f>IF(OR(données_step[[#This Row],[S_DBO5]]&lt;=0,données_step[[#This Row],[S_DBO5]]=""),"",données_step[[#This Row],[D_QTRAI]]*données_step[[#This Row],[S_DBO5]]/1000)</f>
        <v/>
      </c>
      <c r="K139" s="523" t="str">
        <f>IF(OR(données_step[[#This Row],[S_DCO]]&lt;=0,données_step[[#This Row],[S_DCO]]=""),"",données_step[[#This Row],[D_QTRAI]]*données_step[[#This Row],[S_DCO]]/1000)</f>
        <v/>
      </c>
      <c r="L139" s="523" t="str">
        <f>IF(OR(données_step[[#This Row],[S_COD]]&lt;=0,données_step[[#This Row],[S_COD]]=""),"",données_step[[#This Row],[D_QTRAI]]*données_step[[#This Row],[S_COD]]/1000)</f>
        <v/>
      </c>
      <c r="M139" s="523" t="str">
        <f>IF(OR(données_step[[#This Row],[S_NH4]]&lt;=0,données_step[[#This Row],[S_NH4]]=""),"",données_step[[#This Row],[D_QTRAI]]*données_step[[#This Row],[S_NH4]]/1000)</f>
        <v/>
      </c>
      <c r="N139" s="523" t="str">
        <f>IF(OR(données_step[[#This Row],[S_NO2]]&lt;=0,données_step[[#This Row],[S_NO2]]=""),"",données_step[[#This Row],[D_QTRAI]]*données_step[[#This Row],[S_NO2]]/1000)</f>
        <v/>
      </c>
      <c r="O139" s="523" t="str">
        <f>IF(OR(données_step[[#This Row],[S_NO3]]&lt;=0,données_step[[#This Row],[S_NO3]]=""),"",données_step[[#This Row],[D_QTRAI]]*données_step[[#This Row],[S_NO3]]/1000)</f>
        <v/>
      </c>
      <c r="P139" s="523" t="str">
        <f>IF(OR(données_step[[#This Row],[S_PTOT]]&lt;=0,données_step[[#This Row],[S_PTOT]]=""),"",données_step[[#This Row],[D_QTRAI]]*données_step[[#This Row],[S_PTOT]]/1000)</f>
        <v/>
      </c>
      <c r="Q139" s="523" t="str">
        <f>IF(OR(données_step[[#This Row],[S_MES]]&lt;=0,données_step[[#This Row],[S_MES]]=""),"",données_step[[#This Row],[D_QTRAI]]*données_step[[#This Row],[S_MES]]/1000)</f>
        <v/>
      </c>
      <c r="R139" s="523">
        <f>MAX(données_step[[#This Row],[D_QTRAI]],données_step[[#This Row],[D_QTRAI2]])</f>
        <v>0</v>
      </c>
      <c r="S139" s="523" t="str">
        <f>IF(AND($R139&gt;0,données_step[[#This Row],[E_DCO]]&gt;0),données_step[[#This Row],[E_DCO]],"")</f>
        <v/>
      </c>
      <c r="T139" s="523" t="str">
        <f>IF(S139="","",(1-données_step[[#This Row],[E_DCO]]/$V$7)*100)</f>
        <v/>
      </c>
      <c r="U139" s="523" t="str">
        <f t="shared" si="18"/>
        <v/>
      </c>
      <c r="V139" s="523" t="str">
        <f t="shared" si="19"/>
        <v/>
      </c>
      <c r="W139" s="523" t="str">
        <f t="shared" si="20"/>
        <v/>
      </c>
      <c r="X139" s="523" t="e">
        <f>IF(((100-100/$V$7*données_step[[#This Row],[E_DCO]])/100*QTS)&lt;0,NA(),IF(OR(U139&lt;0,U139=""),NA(),((100-100/$V$7*données_step[[#This Row],[E_DCO]])/100*QTS)))</f>
        <v>#NUM!</v>
      </c>
      <c r="Y139" s="523" t="str">
        <f>IF(AND($R139&gt;0,données_step[[#This Row],[E_COT]]&gt;0),données_step[[#This Row],[E_COT]],"")</f>
        <v/>
      </c>
      <c r="Z139" s="523" t="str">
        <f>IF(Y139="","",(1-données_step[[#This Row],[E_COT]]/$AB$7)*100)</f>
        <v/>
      </c>
      <c r="AA139" s="523" t="str">
        <f t="shared" si="21"/>
        <v/>
      </c>
      <c r="AB139" s="523" t="str">
        <f t="shared" si="22"/>
        <v/>
      </c>
      <c r="AC139" s="523" t="str">
        <f t="shared" si="23"/>
        <v/>
      </c>
      <c r="AD139" s="523" t="e">
        <f>IF(((100-100/$AB$7*données_step[[#This Row],[E_COT]])/100*QTS)&lt;0,NA(),IF(OR(AA139&lt;0,AA139=""),NA(),((100-100/$AB$7*données_step[[#This Row],[E_COT]])/100*QTS)))</f>
        <v>#NUM!</v>
      </c>
      <c r="AE139" s="523" t="str">
        <f>IF(AND($R139&gt;0,données_step[[#This Row],[E_NH4]]&gt;0),données_step[[#This Row],[E_NH4]],"")</f>
        <v/>
      </c>
      <c r="AF139" s="523" t="str">
        <f>IF(AE139="","",(1-données_step[[#This Row],[E_NH4]]/$AH$7)*100)</f>
        <v/>
      </c>
      <c r="AG139" s="523" t="str">
        <f t="shared" si="24"/>
        <v/>
      </c>
      <c r="AH139" s="523" t="str">
        <f t="shared" si="25"/>
        <v/>
      </c>
      <c r="AI139" s="523" t="str">
        <f t="shared" si="26"/>
        <v/>
      </c>
      <c r="AJ139" s="523" t="e">
        <f>IF(((100-100/$AH$7*données_step[[#This Row],[E_NH4]])/100*QTS)&lt;0,NA(),IF(OR(AG139&lt;0,AG139=""),NA(),((100-100/$AH$7*données_step[[#This Row],[E_NH4]])/100*QTS)))</f>
        <v>#NUM!</v>
      </c>
      <c r="AK139" s="523" t="str">
        <f>IF(AND($R139&gt;0,données_step[[#This Row],[E_PTOT]]&gt;0),données_step[[#This Row],[E_PTOT]],"")</f>
        <v/>
      </c>
      <c r="AL139" s="523" t="str">
        <f>IF(AK139="","",(1-données_step[[#This Row],[E_PTOT]]/$AN$7)*100)</f>
        <v/>
      </c>
      <c r="AM139" s="523" t="str">
        <f t="shared" si="27"/>
        <v/>
      </c>
      <c r="AN139" s="523" t="str">
        <f t="shared" si="28"/>
        <v/>
      </c>
      <c r="AO139" s="523" t="str">
        <f t="shared" si="29"/>
        <v/>
      </c>
      <c r="AP139" s="523" t="e">
        <f>IF(((100-100/$AN$7*données_step[[#This Row],[E_PTOT]])/100*QTS)&lt;0,NA(),IF(OR(AM139&lt;0,AM139=""),NA(),((100-100/$AN$7*données_step[[#This Row],[E_PTOT]])/100*QTS)))</f>
        <v>#NUM!</v>
      </c>
      <c r="AQ139" s="524" t="e">
        <f t="shared" si="30"/>
        <v>#NUM!</v>
      </c>
      <c r="AR139" s="524" t="str">
        <f t="shared" si="31"/>
        <v/>
      </c>
      <c r="AY139" s="523" t="str">
        <f>_xlfn.IFNA(IF(données_step[[#This Row],[E_DCO]]&lt;=0,NA(),charge_entree[[#This Row],[ch_E_DCO]]/constanten!$B$8*1000),"")</f>
        <v/>
      </c>
      <c r="AZ139" s="523" t="str">
        <f>_xlfn.IFNA(IF(données_step[[#This Row],[E_NTOT]]&lt;=0,NA(),charge_entree[[#This Row],[ch_E_NTOT]]/constanten!$B$10*1000),"")</f>
        <v/>
      </c>
      <c r="BA139" s="523" t="str">
        <f>_xlfn.IFNA(IF(données_step[[#This Row],[E_NH4]]&lt;=0,NA(),charge_entree[[#This Row],[ch_E_NH4]]/constanten!$B$12*1000),"")</f>
        <v/>
      </c>
      <c r="BB139" s="523" t="str">
        <f>_xlfn.IFNA(IF(données_step[[#This Row],[E_COT]]&lt;=0,NA(),charge_entree[[#This Row],[ch_E_COT]]/constanten!$B$9*1000),"")</f>
        <v/>
      </c>
      <c r="BC139" s="523" t="str">
        <f>IFERROR(_xlfn.IFNA(IF(données_step[[#This Row],[E_PTOT]]&lt;=0,NA(),charge_entree[[#This Row],[ch_E_PTOT]]/constanten!$B$15*1000),""),"")</f>
        <v/>
      </c>
      <c r="BD139" s="535" t="e">
        <f>calculs!E139 * (1-0.4) / (données_step[[#This Row],[X_BA_VOL]]*données_step[[#This Row],[X_BACONC]])</f>
        <v>#VALUE!</v>
      </c>
      <c r="BE139" s="522" t="e">
        <f>(données_step[[#This Row],[X_BA_VOL]]*données_step[[#This Row],[X_BACONC]])/((données_step[[#This Row],[D_QTRAI2]]*données_step[[#This Row],[S_MES]]/1000)+(données_step[[#This Row],[X_BX_Q]]*données_step[[#This Row],[X_BXCONC]]))</f>
        <v>#VALUE!</v>
      </c>
      <c r="BF139" s="890" t="str">
        <f>IFERROR(données_step[[#This Row],[D_QTRAI]]/AY139*1000,"")</f>
        <v/>
      </c>
      <c r="BG139" s="535" t="str">
        <f>IFERROR(1-données_step[[#This Row],[S_DBO5]]/données_step[[#This Row],[E_DBO5]],"")</f>
        <v/>
      </c>
      <c r="BH139" s="536" t="str">
        <f>IFERROR(1-données_step[[#This Row],[S_DCO]]/données_step[[#This Row],[E_DCO]],"")</f>
        <v/>
      </c>
      <c r="BI139" s="535" t="str">
        <f>IFERROR(1-données_step[[#This Row],[S_COD]]/données_step[[#This Row],[E_COT]],"")</f>
        <v/>
      </c>
      <c r="BJ139" s="535" t="str">
        <f>IFERROR(1-données_step[[#This Row],[S_NH4]]/données_step[[#This Row],[E_NTOT]],"")</f>
        <v/>
      </c>
      <c r="BK139" s="535" t="str">
        <f>IFERROR(1-données_step[[#This Row],[S_PTOT]]/données_step[[#This Row],[E_PTOT]],"")</f>
        <v/>
      </c>
      <c r="BL139" s="521" t="str">
        <f>IFERROR(IF(données_step[[#This Row],[E_DCO]]/données_step[[#This Row],[E_DBO5]]=0,NA(),données_step[[#This Row],[E_DCO]]/données_step[[#This Row],[E_DBO5]]),"")</f>
        <v/>
      </c>
      <c r="BM139" s="521" t="str">
        <f>IFERROR(IF(données_step[[#This Row],[E_NH4]]/données_step[[#This Row],[E_NTOT]]=0,NA(),données_step[[#This Row],[E_NH4]]/données_step[[#This Row],[E_NTOT]]),"")</f>
        <v/>
      </c>
      <c r="BN139" s="521" t="str">
        <f>IFERROR(IF(données_step[[#This Row],[E_NTOT]]/données_step[[#This Row],[E_COT]]=0,NA(),données_step[[#This Row],[E_NTOT]]/données_step[[#This Row],[E_COT]]),"")</f>
        <v/>
      </c>
      <c r="BO139" s="521" t="str">
        <f>IFERROR(IF(données_step[[#This Row],[E_PTOT]]/données_step[[#This Row],[E_COT]]=0,NA(),données_step[[#This Row],[E_PTOT]]/données_step[[#This Row],[E_COT]]),"")</f>
        <v/>
      </c>
      <c r="BP139" s="521" t="e">
        <f>IF(données_step[[#This Row],[E_DCO]]/données_step[[#This Row],[E_COT]]=0,NA(),données_step[[#This Row],[E_DCO]]/données_step[[#This Row],[E_COT]])</f>
        <v>#DIV/0!</v>
      </c>
      <c r="BQ139" s="521" t="e">
        <f>IF(données_step[[#This Row],[E_NTOT]]/données_step[[#This Row],[E_DCO]]=0,NA(),données_step[[#This Row],[E_NTOT]]/données_step[[#This Row],[E_DCO]])</f>
        <v>#DIV/0!</v>
      </c>
      <c r="BR139" s="521" t="e">
        <f>IF(données_step[[#This Row],[E_PTOT]]/données_step[[#This Row],[E_DCO]]=0,NA(),données_step[[#This Row],[E_PTOT]]/données_step[[#This Row],[E_DCO]])</f>
        <v>#DIV/0!</v>
      </c>
      <c r="BS139" s="747" t="e">
        <f ca="1">test_NH4_temp(données_step[[#This Row],[S_NH4]],données_step[[#This Row],[Temp_eaux]])</f>
        <v>#NAME?</v>
      </c>
    </row>
    <row r="140" spans="1:71" x14ac:dyDescent="0.2">
      <c r="A140" s="222">
        <f>données_step[[#This Row],[Datum]]</f>
        <v>44691</v>
      </c>
      <c r="B140" s="223"/>
      <c r="C140" s="224">
        <f t="shared" si="34"/>
        <v>3</v>
      </c>
      <c r="D140" s="523" t="str">
        <f>IF(OR(données_step[[#This Row],[E_DBO5]]&lt;=0,données_step[[#This Row],[E_DBO5]]=""),"",données_step[[#This Row],[D_QTRAI]]*données_step[[#This Row],[E_DBO5]]/1000)</f>
        <v/>
      </c>
      <c r="E140" s="523" t="str">
        <f>IF(OR(données_step[[#This Row],[E_DCO]]&lt;=0,données_step[[#This Row],[E_DCO]]=""),"",données_step[[#This Row],[D_QTRAI]]*données_step[[#This Row],[E_DCO]]/1000)</f>
        <v/>
      </c>
      <c r="F140" s="523" t="str">
        <f>IF(OR(données_step[[#This Row],[E_COT]]&lt;=0,données_step[[#This Row],[E_COT]]=""),"",données_step[[#This Row],[D_QTRAI]]*données_step[[#This Row],[E_COT]]/1000)</f>
        <v/>
      </c>
      <c r="G140" s="523" t="str">
        <f>IF(OR(données_step[[#This Row],[E_NH4]]&lt;=0,données_step[[#This Row],[E_NH4]]=""),"",données_step[[#This Row],[D_QTRAI]]*données_step[[#This Row],[E_NH4]]/1000)</f>
        <v/>
      </c>
      <c r="H140" s="523" t="str">
        <f>IF(OR(données_step[[#This Row],[E_NTOT]]&lt;=0,données_step[[#This Row],[E_NTOT]]=""),"",données_step[[#This Row],[D_QTRAI]]*données_step[[#This Row],[E_NTOT]]/1000)</f>
        <v/>
      </c>
      <c r="I140" s="523" t="str">
        <f>IF(OR(données_step[[#This Row],[E_NTOT]]&lt;=0,données_step[[#This Row],[E_NTOT]]=""),"",données_step[[#This Row],[D_QTRAI]]*données_step[[#This Row],[E_PTOT]]/1000)</f>
        <v/>
      </c>
      <c r="J140" s="523" t="str">
        <f>IF(OR(données_step[[#This Row],[S_DBO5]]&lt;=0,données_step[[#This Row],[S_DBO5]]=""),"",données_step[[#This Row],[D_QTRAI]]*données_step[[#This Row],[S_DBO5]]/1000)</f>
        <v/>
      </c>
      <c r="K140" s="523" t="str">
        <f>IF(OR(données_step[[#This Row],[S_DCO]]&lt;=0,données_step[[#This Row],[S_DCO]]=""),"",données_step[[#This Row],[D_QTRAI]]*données_step[[#This Row],[S_DCO]]/1000)</f>
        <v/>
      </c>
      <c r="L140" s="523" t="str">
        <f>IF(OR(données_step[[#This Row],[S_COD]]&lt;=0,données_step[[#This Row],[S_COD]]=""),"",données_step[[#This Row],[D_QTRAI]]*données_step[[#This Row],[S_COD]]/1000)</f>
        <v/>
      </c>
      <c r="M140" s="523" t="str">
        <f>IF(OR(données_step[[#This Row],[S_NH4]]&lt;=0,données_step[[#This Row],[S_NH4]]=""),"",données_step[[#This Row],[D_QTRAI]]*données_step[[#This Row],[S_NH4]]/1000)</f>
        <v/>
      </c>
      <c r="N140" s="523" t="str">
        <f>IF(OR(données_step[[#This Row],[S_NO2]]&lt;=0,données_step[[#This Row],[S_NO2]]=""),"",données_step[[#This Row],[D_QTRAI]]*données_step[[#This Row],[S_NO2]]/1000)</f>
        <v/>
      </c>
      <c r="O140" s="523" t="str">
        <f>IF(OR(données_step[[#This Row],[S_NO3]]&lt;=0,données_step[[#This Row],[S_NO3]]=""),"",données_step[[#This Row],[D_QTRAI]]*données_step[[#This Row],[S_NO3]]/1000)</f>
        <v/>
      </c>
      <c r="P140" s="523" t="str">
        <f>IF(OR(données_step[[#This Row],[S_PTOT]]&lt;=0,données_step[[#This Row],[S_PTOT]]=""),"",données_step[[#This Row],[D_QTRAI]]*données_step[[#This Row],[S_PTOT]]/1000)</f>
        <v/>
      </c>
      <c r="Q140" s="523" t="str">
        <f>IF(OR(données_step[[#This Row],[S_MES]]&lt;=0,données_step[[#This Row],[S_MES]]=""),"",données_step[[#This Row],[D_QTRAI]]*données_step[[#This Row],[S_MES]]/1000)</f>
        <v/>
      </c>
      <c r="R140" s="523">
        <f>MAX(données_step[[#This Row],[D_QTRAI]],données_step[[#This Row],[D_QTRAI2]])</f>
        <v>0</v>
      </c>
      <c r="S140" s="523" t="str">
        <f>IF(AND($R140&gt;0,données_step[[#This Row],[E_DCO]]&gt;0),données_step[[#This Row],[E_DCO]],"")</f>
        <v/>
      </c>
      <c r="T140" s="523" t="str">
        <f>IF(S140="","",(1-données_step[[#This Row],[E_DCO]]/$V$7)*100)</f>
        <v/>
      </c>
      <c r="U140" s="523" t="str">
        <f t="shared" ref="U140:U203" si="35">IF(OR(T140="",T140&lt;0),"",T140)</f>
        <v/>
      </c>
      <c r="V140" s="523" t="str">
        <f t="shared" ref="V140:V203" si="36">IF(T140="","",T140*$R140/8640)</f>
        <v/>
      </c>
      <c r="W140" s="523" t="str">
        <f t="shared" ref="W140:W203" si="37">V140</f>
        <v/>
      </c>
      <c r="X140" s="523" t="e">
        <f>IF(((100-100/$V$7*données_step[[#This Row],[E_DCO]])/100*QTS)&lt;0,NA(),IF(OR(U140&lt;0,U140=""),NA(),((100-100/$V$7*données_step[[#This Row],[E_DCO]])/100*QTS)))</f>
        <v>#NUM!</v>
      </c>
      <c r="Y140" s="523" t="str">
        <f>IF(AND($R140&gt;0,données_step[[#This Row],[E_COT]]&gt;0),données_step[[#This Row],[E_COT]],"")</f>
        <v/>
      </c>
      <c r="Z140" s="523" t="str">
        <f>IF(Y140="","",(1-données_step[[#This Row],[E_COT]]/$AB$7)*100)</f>
        <v/>
      </c>
      <c r="AA140" s="523" t="str">
        <f t="shared" ref="AA140:AA203" si="38">IF(OR(Z140="",Z140&lt;0),"",Z140)</f>
        <v/>
      </c>
      <c r="AB140" s="523" t="str">
        <f t="shared" ref="AB140:AB203" si="39">IF(Z140="","",Z140*$R140/8640)</f>
        <v/>
      </c>
      <c r="AC140" s="523" t="str">
        <f t="shared" ref="AC140:AC203" si="40">AB140</f>
        <v/>
      </c>
      <c r="AD140" s="523" t="e">
        <f>IF(((100-100/$AB$7*données_step[[#This Row],[E_COT]])/100*QTS)&lt;0,NA(),IF(OR(AA140&lt;0,AA140=""),NA(),((100-100/$AB$7*données_step[[#This Row],[E_COT]])/100*QTS)))</f>
        <v>#NUM!</v>
      </c>
      <c r="AE140" s="523" t="str">
        <f>IF(AND($R140&gt;0,données_step[[#This Row],[E_NH4]]&gt;0),données_step[[#This Row],[E_NH4]],"")</f>
        <v/>
      </c>
      <c r="AF140" s="523" t="str">
        <f>IF(AE140="","",(1-données_step[[#This Row],[E_NH4]]/$AH$7)*100)</f>
        <v/>
      </c>
      <c r="AG140" s="523" t="str">
        <f t="shared" ref="AG140:AG203" si="41">IF(OR(AF140="",AF140&lt;0),"",AF140)</f>
        <v/>
      </c>
      <c r="AH140" s="523" t="str">
        <f t="shared" ref="AH140:AH203" si="42">IF(AF140="","",AF140*$R140/8640)</f>
        <v/>
      </c>
      <c r="AI140" s="523" t="str">
        <f t="shared" ref="AI140:AI203" si="43">AH140</f>
        <v/>
      </c>
      <c r="AJ140" s="523" t="e">
        <f>IF(((100-100/$AH$7*données_step[[#This Row],[E_NH4]])/100*QTS)&lt;0,NA(),IF(OR(AG140&lt;0,AG140=""),NA(),((100-100/$AH$7*données_step[[#This Row],[E_NH4]])/100*QTS)))</f>
        <v>#NUM!</v>
      </c>
      <c r="AK140" s="523" t="str">
        <f>IF(AND($R140&gt;0,données_step[[#This Row],[E_PTOT]]&gt;0),données_step[[#This Row],[E_PTOT]],"")</f>
        <v/>
      </c>
      <c r="AL140" s="523" t="str">
        <f>IF(AK140="","",(1-données_step[[#This Row],[E_PTOT]]/$AN$7)*100)</f>
        <v/>
      </c>
      <c r="AM140" s="523" t="str">
        <f t="shared" ref="AM140:AM203" si="44">IF(OR(AL140="",AL140&lt;0),"",AL140)</f>
        <v/>
      </c>
      <c r="AN140" s="523" t="str">
        <f t="shared" ref="AN140:AN203" si="45">IF(AL140="","",AL140*$R140/8640)</f>
        <v/>
      </c>
      <c r="AO140" s="523" t="str">
        <f t="shared" ref="AO140:AO203" si="46">AN140</f>
        <v/>
      </c>
      <c r="AP140" s="523" t="e">
        <f>IF(((100-100/$AN$7*données_step[[#This Row],[E_PTOT]])/100*QTS)&lt;0,NA(),IF(OR(AM140&lt;0,AM140=""),NA(),((100-100/$AN$7*données_step[[#This Row],[E_PTOT]])/100*QTS)))</f>
        <v>#NUM!</v>
      </c>
      <c r="AQ140" s="524" t="e">
        <f t="shared" ref="AQ140:AQ203" si="47">_xlfn.IFNA(AVERAGE(X140,AD140,AJ140,AP140),"")</f>
        <v>#NUM!</v>
      </c>
      <c r="AR140" s="524" t="str">
        <f t="shared" ref="AR140:AR203" si="48">IFERROR(AVERAGE(U140,AA140,AG140,AM140),"")</f>
        <v/>
      </c>
      <c r="AY140" s="523" t="str">
        <f>_xlfn.IFNA(IF(données_step[[#This Row],[E_DCO]]&lt;=0,NA(),charge_entree[[#This Row],[ch_E_DCO]]/constanten!$B$8*1000),"")</f>
        <v/>
      </c>
      <c r="AZ140" s="523" t="str">
        <f>_xlfn.IFNA(IF(données_step[[#This Row],[E_NTOT]]&lt;=0,NA(),charge_entree[[#This Row],[ch_E_NTOT]]/constanten!$B$10*1000),"")</f>
        <v/>
      </c>
      <c r="BA140" s="523" t="str">
        <f>_xlfn.IFNA(IF(données_step[[#This Row],[E_NH4]]&lt;=0,NA(),charge_entree[[#This Row],[ch_E_NH4]]/constanten!$B$12*1000),"")</f>
        <v/>
      </c>
      <c r="BB140" s="523" t="str">
        <f>_xlfn.IFNA(IF(données_step[[#This Row],[E_COT]]&lt;=0,NA(),charge_entree[[#This Row],[ch_E_COT]]/constanten!$B$9*1000),"")</f>
        <v/>
      </c>
      <c r="BC140" s="523" t="str">
        <f>IFERROR(_xlfn.IFNA(IF(données_step[[#This Row],[E_PTOT]]&lt;=0,NA(),charge_entree[[#This Row],[ch_E_PTOT]]/constanten!$B$15*1000),""),"")</f>
        <v/>
      </c>
      <c r="BD140" s="535" t="e">
        <f>calculs!E140 * (1-0.4) / (données_step[[#This Row],[X_BA_VOL]]*données_step[[#This Row],[X_BACONC]])</f>
        <v>#VALUE!</v>
      </c>
      <c r="BE140" s="522" t="e">
        <f>(données_step[[#This Row],[X_BA_VOL]]*données_step[[#This Row],[X_BACONC]])/((données_step[[#This Row],[D_QTRAI2]]*données_step[[#This Row],[S_MES]]/1000)+(données_step[[#This Row],[X_BX_Q]]*données_step[[#This Row],[X_BXCONC]]))</f>
        <v>#VALUE!</v>
      </c>
      <c r="BF140" s="890" t="str">
        <f>IFERROR(données_step[[#This Row],[D_QTRAI]]/AY140*1000,"")</f>
        <v/>
      </c>
      <c r="BG140" s="535" t="str">
        <f>IFERROR(1-données_step[[#This Row],[S_DBO5]]/données_step[[#This Row],[E_DBO5]],"")</f>
        <v/>
      </c>
      <c r="BH140" s="536" t="str">
        <f>IFERROR(1-données_step[[#This Row],[S_DCO]]/données_step[[#This Row],[E_DCO]],"")</f>
        <v/>
      </c>
      <c r="BI140" s="535" t="str">
        <f>IFERROR(1-données_step[[#This Row],[S_COD]]/données_step[[#This Row],[E_COT]],"")</f>
        <v/>
      </c>
      <c r="BJ140" s="535" t="str">
        <f>IFERROR(1-données_step[[#This Row],[S_NH4]]/données_step[[#This Row],[E_NTOT]],"")</f>
        <v/>
      </c>
      <c r="BK140" s="535" t="str">
        <f>IFERROR(1-données_step[[#This Row],[S_PTOT]]/données_step[[#This Row],[E_PTOT]],"")</f>
        <v/>
      </c>
      <c r="BL140" s="521" t="str">
        <f>IFERROR(IF(données_step[[#This Row],[E_DCO]]/données_step[[#This Row],[E_DBO5]]=0,NA(),données_step[[#This Row],[E_DCO]]/données_step[[#This Row],[E_DBO5]]),"")</f>
        <v/>
      </c>
      <c r="BM140" s="521" t="str">
        <f>IFERROR(IF(données_step[[#This Row],[E_NH4]]/données_step[[#This Row],[E_NTOT]]=0,NA(),données_step[[#This Row],[E_NH4]]/données_step[[#This Row],[E_NTOT]]),"")</f>
        <v/>
      </c>
      <c r="BN140" s="521" t="str">
        <f>IFERROR(IF(données_step[[#This Row],[E_NTOT]]/données_step[[#This Row],[E_COT]]=0,NA(),données_step[[#This Row],[E_NTOT]]/données_step[[#This Row],[E_COT]]),"")</f>
        <v/>
      </c>
      <c r="BO140" s="521" t="str">
        <f>IFERROR(IF(données_step[[#This Row],[E_PTOT]]/données_step[[#This Row],[E_COT]]=0,NA(),données_step[[#This Row],[E_PTOT]]/données_step[[#This Row],[E_COT]]),"")</f>
        <v/>
      </c>
      <c r="BP140" s="521" t="e">
        <f>IF(données_step[[#This Row],[E_DCO]]/données_step[[#This Row],[E_COT]]=0,NA(),données_step[[#This Row],[E_DCO]]/données_step[[#This Row],[E_COT]])</f>
        <v>#DIV/0!</v>
      </c>
      <c r="BQ140" s="521" t="e">
        <f>IF(données_step[[#This Row],[E_NTOT]]/données_step[[#This Row],[E_DCO]]=0,NA(),données_step[[#This Row],[E_NTOT]]/données_step[[#This Row],[E_DCO]])</f>
        <v>#DIV/0!</v>
      </c>
      <c r="BR140" s="521" t="e">
        <f>IF(données_step[[#This Row],[E_PTOT]]/données_step[[#This Row],[E_DCO]]=0,NA(),données_step[[#This Row],[E_PTOT]]/données_step[[#This Row],[E_DCO]])</f>
        <v>#DIV/0!</v>
      </c>
      <c r="BS140" s="747" t="e">
        <f ca="1">test_NH4_temp(données_step[[#This Row],[S_NH4]],données_step[[#This Row],[Temp_eaux]])</f>
        <v>#NAME?</v>
      </c>
    </row>
    <row r="141" spans="1:71" x14ac:dyDescent="0.2">
      <c r="A141" s="222">
        <f>données_step[[#This Row],[Datum]]</f>
        <v>44692</v>
      </c>
      <c r="B141" s="223"/>
      <c r="C141" s="224">
        <f t="shared" si="34"/>
        <v>4</v>
      </c>
      <c r="D141" s="523" t="str">
        <f>IF(OR(données_step[[#This Row],[E_DBO5]]&lt;=0,données_step[[#This Row],[E_DBO5]]=""),"",données_step[[#This Row],[D_QTRAI]]*données_step[[#This Row],[E_DBO5]]/1000)</f>
        <v/>
      </c>
      <c r="E141" s="523" t="str">
        <f>IF(OR(données_step[[#This Row],[E_DCO]]&lt;=0,données_step[[#This Row],[E_DCO]]=""),"",données_step[[#This Row],[D_QTRAI]]*données_step[[#This Row],[E_DCO]]/1000)</f>
        <v/>
      </c>
      <c r="F141" s="523" t="str">
        <f>IF(OR(données_step[[#This Row],[E_COT]]&lt;=0,données_step[[#This Row],[E_COT]]=""),"",données_step[[#This Row],[D_QTRAI]]*données_step[[#This Row],[E_COT]]/1000)</f>
        <v/>
      </c>
      <c r="G141" s="523" t="str">
        <f>IF(OR(données_step[[#This Row],[E_NH4]]&lt;=0,données_step[[#This Row],[E_NH4]]=""),"",données_step[[#This Row],[D_QTRAI]]*données_step[[#This Row],[E_NH4]]/1000)</f>
        <v/>
      </c>
      <c r="H141" s="523" t="str">
        <f>IF(OR(données_step[[#This Row],[E_NTOT]]&lt;=0,données_step[[#This Row],[E_NTOT]]=""),"",données_step[[#This Row],[D_QTRAI]]*données_step[[#This Row],[E_NTOT]]/1000)</f>
        <v/>
      </c>
      <c r="I141" s="523" t="str">
        <f>IF(OR(données_step[[#This Row],[E_NTOT]]&lt;=0,données_step[[#This Row],[E_NTOT]]=""),"",données_step[[#This Row],[D_QTRAI]]*données_step[[#This Row],[E_PTOT]]/1000)</f>
        <v/>
      </c>
      <c r="J141" s="523" t="str">
        <f>IF(OR(données_step[[#This Row],[S_DBO5]]&lt;=0,données_step[[#This Row],[S_DBO5]]=""),"",données_step[[#This Row],[D_QTRAI]]*données_step[[#This Row],[S_DBO5]]/1000)</f>
        <v/>
      </c>
      <c r="K141" s="523" t="str">
        <f>IF(OR(données_step[[#This Row],[S_DCO]]&lt;=0,données_step[[#This Row],[S_DCO]]=""),"",données_step[[#This Row],[D_QTRAI]]*données_step[[#This Row],[S_DCO]]/1000)</f>
        <v/>
      </c>
      <c r="L141" s="523" t="str">
        <f>IF(OR(données_step[[#This Row],[S_COD]]&lt;=0,données_step[[#This Row],[S_COD]]=""),"",données_step[[#This Row],[D_QTRAI]]*données_step[[#This Row],[S_COD]]/1000)</f>
        <v/>
      </c>
      <c r="M141" s="523" t="str">
        <f>IF(OR(données_step[[#This Row],[S_NH4]]&lt;=0,données_step[[#This Row],[S_NH4]]=""),"",données_step[[#This Row],[D_QTRAI]]*données_step[[#This Row],[S_NH4]]/1000)</f>
        <v/>
      </c>
      <c r="N141" s="523" t="str">
        <f>IF(OR(données_step[[#This Row],[S_NO2]]&lt;=0,données_step[[#This Row],[S_NO2]]=""),"",données_step[[#This Row],[D_QTRAI]]*données_step[[#This Row],[S_NO2]]/1000)</f>
        <v/>
      </c>
      <c r="O141" s="523" t="str">
        <f>IF(OR(données_step[[#This Row],[S_NO3]]&lt;=0,données_step[[#This Row],[S_NO3]]=""),"",données_step[[#This Row],[D_QTRAI]]*données_step[[#This Row],[S_NO3]]/1000)</f>
        <v/>
      </c>
      <c r="P141" s="523" t="str">
        <f>IF(OR(données_step[[#This Row],[S_PTOT]]&lt;=0,données_step[[#This Row],[S_PTOT]]=""),"",données_step[[#This Row],[D_QTRAI]]*données_step[[#This Row],[S_PTOT]]/1000)</f>
        <v/>
      </c>
      <c r="Q141" s="523" t="str">
        <f>IF(OR(données_step[[#This Row],[S_MES]]&lt;=0,données_step[[#This Row],[S_MES]]=""),"",données_step[[#This Row],[D_QTRAI]]*données_step[[#This Row],[S_MES]]/1000)</f>
        <v/>
      </c>
      <c r="R141" s="523">
        <f>MAX(données_step[[#This Row],[D_QTRAI]],données_step[[#This Row],[D_QTRAI2]])</f>
        <v>0</v>
      </c>
      <c r="S141" s="523" t="str">
        <f>IF(AND($R141&gt;0,données_step[[#This Row],[E_DCO]]&gt;0),données_step[[#This Row],[E_DCO]],"")</f>
        <v/>
      </c>
      <c r="T141" s="523" t="str">
        <f>IF(S141="","",(1-données_step[[#This Row],[E_DCO]]/$V$7)*100)</f>
        <v/>
      </c>
      <c r="U141" s="523" t="str">
        <f t="shared" si="35"/>
        <v/>
      </c>
      <c r="V141" s="523" t="str">
        <f t="shared" si="36"/>
        <v/>
      </c>
      <c r="W141" s="523" t="str">
        <f t="shared" si="37"/>
        <v/>
      </c>
      <c r="X141" s="523" t="e">
        <f>IF(((100-100/$V$7*données_step[[#This Row],[E_DCO]])/100*QTS)&lt;0,NA(),IF(OR(U141&lt;0,U141=""),NA(),((100-100/$V$7*données_step[[#This Row],[E_DCO]])/100*QTS)))</f>
        <v>#NUM!</v>
      </c>
      <c r="Y141" s="523" t="str">
        <f>IF(AND($R141&gt;0,données_step[[#This Row],[E_COT]]&gt;0),données_step[[#This Row],[E_COT]],"")</f>
        <v/>
      </c>
      <c r="Z141" s="523" t="str">
        <f>IF(Y141="","",(1-données_step[[#This Row],[E_COT]]/$AB$7)*100)</f>
        <v/>
      </c>
      <c r="AA141" s="523" t="str">
        <f t="shared" si="38"/>
        <v/>
      </c>
      <c r="AB141" s="523" t="str">
        <f t="shared" si="39"/>
        <v/>
      </c>
      <c r="AC141" s="523" t="str">
        <f t="shared" si="40"/>
        <v/>
      </c>
      <c r="AD141" s="523" t="e">
        <f>IF(((100-100/$AB$7*données_step[[#This Row],[E_COT]])/100*QTS)&lt;0,NA(),IF(OR(AA141&lt;0,AA141=""),NA(),((100-100/$AB$7*données_step[[#This Row],[E_COT]])/100*QTS)))</f>
        <v>#NUM!</v>
      </c>
      <c r="AE141" s="523" t="str">
        <f>IF(AND($R141&gt;0,données_step[[#This Row],[E_NH4]]&gt;0),données_step[[#This Row],[E_NH4]],"")</f>
        <v/>
      </c>
      <c r="AF141" s="523" t="str">
        <f>IF(AE141="","",(1-données_step[[#This Row],[E_NH4]]/$AH$7)*100)</f>
        <v/>
      </c>
      <c r="AG141" s="523" t="str">
        <f t="shared" si="41"/>
        <v/>
      </c>
      <c r="AH141" s="523" t="str">
        <f t="shared" si="42"/>
        <v/>
      </c>
      <c r="AI141" s="523" t="str">
        <f t="shared" si="43"/>
        <v/>
      </c>
      <c r="AJ141" s="523" t="e">
        <f>IF(((100-100/$AH$7*données_step[[#This Row],[E_NH4]])/100*QTS)&lt;0,NA(),IF(OR(AG141&lt;0,AG141=""),NA(),((100-100/$AH$7*données_step[[#This Row],[E_NH4]])/100*QTS)))</f>
        <v>#NUM!</v>
      </c>
      <c r="AK141" s="523" t="str">
        <f>IF(AND($R141&gt;0,données_step[[#This Row],[E_PTOT]]&gt;0),données_step[[#This Row],[E_PTOT]],"")</f>
        <v/>
      </c>
      <c r="AL141" s="523" t="str">
        <f>IF(AK141="","",(1-données_step[[#This Row],[E_PTOT]]/$AN$7)*100)</f>
        <v/>
      </c>
      <c r="AM141" s="523" t="str">
        <f t="shared" si="44"/>
        <v/>
      </c>
      <c r="AN141" s="523" t="str">
        <f t="shared" si="45"/>
        <v/>
      </c>
      <c r="AO141" s="523" t="str">
        <f t="shared" si="46"/>
        <v/>
      </c>
      <c r="AP141" s="523" t="e">
        <f>IF(((100-100/$AN$7*données_step[[#This Row],[E_PTOT]])/100*QTS)&lt;0,NA(),IF(OR(AM141&lt;0,AM141=""),NA(),((100-100/$AN$7*données_step[[#This Row],[E_PTOT]])/100*QTS)))</f>
        <v>#NUM!</v>
      </c>
      <c r="AQ141" s="524" t="e">
        <f t="shared" si="47"/>
        <v>#NUM!</v>
      </c>
      <c r="AR141" s="524" t="str">
        <f t="shared" si="48"/>
        <v/>
      </c>
      <c r="AY141" s="523" t="str">
        <f>_xlfn.IFNA(IF(données_step[[#This Row],[E_DCO]]&lt;=0,NA(),charge_entree[[#This Row],[ch_E_DCO]]/constanten!$B$8*1000),"")</f>
        <v/>
      </c>
      <c r="AZ141" s="523" t="str">
        <f>_xlfn.IFNA(IF(données_step[[#This Row],[E_NTOT]]&lt;=0,NA(),charge_entree[[#This Row],[ch_E_NTOT]]/constanten!$B$10*1000),"")</f>
        <v/>
      </c>
      <c r="BA141" s="523" t="str">
        <f>_xlfn.IFNA(IF(données_step[[#This Row],[E_NH4]]&lt;=0,NA(),charge_entree[[#This Row],[ch_E_NH4]]/constanten!$B$12*1000),"")</f>
        <v/>
      </c>
      <c r="BB141" s="523" t="str">
        <f>_xlfn.IFNA(IF(données_step[[#This Row],[E_COT]]&lt;=0,NA(),charge_entree[[#This Row],[ch_E_COT]]/constanten!$B$9*1000),"")</f>
        <v/>
      </c>
      <c r="BC141" s="523" t="str">
        <f>IFERROR(_xlfn.IFNA(IF(données_step[[#This Row],[E_PTOT]]&lt;=0,NA(),charge_entree[[#This Row],[ch_E_PTOT]]/constanten!$B$15*1000),""),"")</f>
        <v/>
      </c>
      <c r="BD141" s="535" t="e">
        <f>calculs!E141 * (1-0.4) / (données_step[[#This Row],[X_BA_VOL]]*données_step[[#This Row],[X_BACONC]])</f>
        <v>#VALUE!</v>
      </c>
      <c r="BE141" s="522" t="e">
        <f>(données_step[[#This Row],[X_BA_VOL]]*données_step[[#This Row],[X_BACONC]])/((données_step[[#This Row],[D_QTRAI2]]*données_step[[#This Row],[S_MES]]/1000)+(données_step[[#This Row],[X_BX_Q]]*données_step[[#This Row],[X_BXCONC]]))</f>
        <v>#VALUE!</v>
      </c>
      <c r="BF141" s="890" t="str">
        <f>IFERROR(données_step[[#This Row],[D_QTRAI]]/AY141*1000,"")</f>
        <v/>
      </c>
      <c r="BG141" s="535" t="str">
        <f>IFERROR(1-données_step[[#This Row],[S_DBO5]]/données_step[[#This Row],[E_DBO5]],"")</f>
        <v/>
      </c>
      <c r="BH141" s="536" t="str">
        <f>IFERROR(1-données_step[[#This Row],[S_DCO]]/données_step[[#This Row],[E_DCO]],"")</f>
        <v/>
      </c>
      <c r="BI141" s="535" t="str">
        <f>IFERROR(1-données_step[[#This Row],[S_COD]]/données_step[[#This Row],[E_COT]],"")</f>
        <v/>
      </c>
      <c r="BJ141" s="535" t="str">
        <f>IFERROR(1-données_step[[#This Row],[S_NH4]]/données_step[[#This Row],[E_NTOT]],"")</f>
        <v/>
      </c>
      <c r="BK141" s="535" t="str">
        <f>IFERROR(1-données_step[[#This Row],[S_PTOT]]/données_step[[#This Row],[E_PTOT]],"")</f>
        <v/>
      </c>
      <c r="BL141" s="521" t="str">
        <f>IFERROR(IF(données_step[[#This Row],[E_DCO]]/données_step[[#This Row],[E_DBO5]]=0,NA(),données_step[[#This Row],[E_DCO]]/données_step[[#This Row],[E_DBO5]]),"")</f>
        <v/>
      </c>
      <c r="BM141" s="521" t="str">
        <f>IFERROR(IF(données_step[[#This Row],[E_NH4]]/données_step[[#This Row],[E_NTOT]]=0,NA(),données_step[[#This Row],[E_NH4]]/données_step[[#This Row],[E_NTOT]]),"")</f>
        <v/>
      </c>
      <c r="BN141" s="521" t="str">
        <f>IFERROR(IF(données_step[[#This Row],[E_NTOT]]/données_step[[#This Row],[E_COT]]=0,NA(),données_step[[#This Row],[E_NTOT]]/données_step[[#This Row],[E_COT]]),"")</f>
        <v/>
      </c>
      <c r="BO141" s="521" t="str">
        <f>IFERROR(IF(données_step[[#This Row],[E_PTOT]]/données_step[[#This Row],[E_COT]]=0,NA(),données_step[[#This Row],[E_PTOT]]/données_step[[#This Row],[E_COT]]),"")</f>
        <v/>
      </c>
      <c r="BP141" s="521" t="e">
        <f>IF(données_step[[#This Row],[E_DCO]]/données_step[[#This Row],[E_COT]]=0,NA(),données_step[[#This Row],[E_DCO]]/données_step[[#This Row],[E_COT]])</f>
        <v>#DIV/0!</v>
      </c>
      <c r="BQ141" s="521" t="e">
        <f>IF(données_step[[#This Row],[E_NTOT]]/données_step[[#This Row],[E_DCO]]=0,NA(),données_step[[#This Row],[E_NTOT]]/données_step[[#This Row],[E_DCO]])</f>
        <v>#DIV/0!</v>
      </c>
      <c r="BR141" s="521" t="e">
        <f>IF(données_step[[#This Row],[E_PTOT]]/données_step[[#This Row],[E_DCO]]=0,NA(),données_step[[#This Row],[E_PTOT]]/données_step[[#This Row],[E_DCO]])</f>
        <v>#DIV/0!</v>
      </c>
      <c r="BS141" s="747" t="e">
        <f ca="1">test_NH4_temp(données_step[[#This Row],[S_NH4]],données_step[[#This Row],[Temp_eaux]])</f>
        <v>#NAME?</v>
      </c>
    </row>
    <row r="142" spans="1:71" x14ac:dyDescent="0.2">
      <c r="A142" s="222">
        <f>données_step[[#This Row],[Datum]]</f>
        <v>44693</v>
      </c>
      <c r="B142" s="223"/>
      <c r="C142" s="224">
        <f t="shared" si="34"/>
        <v>5</v>
      </c>
      <c r="D142" s="523" t="str">
        <f>IF(OR(données_step[[#This Row],[E_DBO5]]&lt;=0,données_step[[#This Row],[E_DBO5]]=""),"",données_step[[#This Row],[D_QTRAI]]*données_step[[#This Row],[E_DBO5]]/1000)</f>
        <v/>
      </c>
      <c r="E142" s="523" t="str">
        <f>IF(OR(données_step[[#This Row],[E_DCO]]&lt;=0,données_step[[#This Row],[E_DCO]]=""),"",données_step[[#This Row],[D_QTRAI]]*données_step[[#This Row],[E_DCO]]/1000)</f>
        <v/>
      </c>
      <c r="F142" s="523" t="str">
        <f>IF(OR(données_step[[#This Row],[E_COT]]&lt;=0,données_step[[#This Row],[E_COT]]=""),"",données_step[[#This Row],[D_QTRAI]]*données_step[[#This Row],[E_COT]]/1000)</f>
        <v/>
      </c>
      <c r="G142" s="523" t="str">
        <f>IF(OR(données_step[[#This Row],[E_NH4]]&lt;=0,données_step[[#This Row],[E_NH4]]=""),"",données_step[[#This Row],[D_QTRAI]]*données_step[[#This Row],[E_NH4]]/1000)</f>
        <v/>
      </c>
      <c r="H142" s="523" t="str">
        <f>IF(OR(données_step[[#This Row],[E_NTOT]]&lt;=0,données_step[[#This Row],[E_NTOT]]=""),"",données_step[[#This Row],[D_QTRAI]]*données_step[[#This Row],[E_NTOT]]/1000)</f>
        <v/>
      </c>
      <c r="I142" s="523" t="str">
        <f>IF(OR(données_step[[#This Row],[E_NTOT]]&lt;=0,données_step[[#This Row],[E_NTOT]]=""),"",données_step[[#This Row],[D_QTRAI]]*données_step[[#This Row],[E_PTOT]]/1000)</f>
        <v/>
      </c>
      <c r="J142" s="523" t="str">
        <f>IF(OR(données_step[[#This Row],[S_DBO5]]&lt;=0,données_step[[#This Row],[S_DBO5]]=""),"",données_step[[#This Row],[D_QTRAI]]*données_step[[#This Row],[S_DBO5]]/1000)</f>
        <v/>
      </c>
      <c r="K142" s="523" t="str">
        <f>IF(OR(données_step[[#This Row],[S_DCO]]&lt;=0,données_step[[#This Row],[S_DCO]]=""),"",données_step[[#This Row],[D_QTRAI]]*données_step[[#This Row],[S_DCO]]/1000)</f>
        <v/>
      </c>
      <c r="L142" s="523" t="str">
        <f>IF(OR(données_step[[#This Row],[S_COD]]&lt;=0,données_step[[#This Row],[S_COD]]=""),"",données_step[[#This Row],[D_QTRAI]]*données_step[[#This Row],[S_COD]]/1000)</f>
        <v/>
      </c>
      <c r="M142" s="523" t="str">
        <f>IF(OR(données_step[[#This Row],[S_NH4]]&lt;=0,données_step[[#This Row],[S_NH4]]=""),"",données_step[[#This Row],[D_QTRAI]]*données_step[[#This Row],[S_NH4]]/1000)</f>
        <v/>
      </c>
      <c r="N142" s="523" t="str">
        <f>IF(OR(données_step[[#This Row],[S_NO2]]&lt;=0,données_step[[#This Row],[S_NO2]]=""),"",données_step[[#This Row],[D_QTRAI]]*données_step[[#This Row],[S_NO2]]/1000)</f>
        <v/>
      </c>
      <c r="O142" s="523" t="str">
        <f>IF(OR(données_step[[#This Row],[S_NO3]]&lt;=0,données_step[[#This Row],[S_NO3]]=""),"",données_step[[#This Row],[D_QTRAI]]*données_step[[#This Row],[S_NO3]]/1000)</f>
        <v/>
      </c>
      <c r="P142" s="523" t="str">
        <f>IF(OR(données_step[[#This Row],[S_PTOT]]&lt;=0,données_step[[#This Row],[S_PTOT]]=""),"",données_step[[#This Row],[D_QTRAI]]*données_step[[#This Row],[S_PTOT]]/1000)</f>
        <v/>
      </c>
      <c r="Q142" s="523" t="str">
        <f>IF(OR(données_step[[#This Row],[S_MES]]&lt;=0,données_step[[#This Row],[S_MES]]=""),"",données_step[[#This Row],[D_QTRAI]]*données_step[[#This Row],[S_MES]]/1000)</f>
        <v/>
      </c>
      <c r="R142" s="523">
        <f>MAX(données_step[[#This Row],[D_QTRAI]],données_step[[#This Row],[D_QTRAI2]])</f>
        <v>0</v>
      </c>
      <c r="S142" s="523" t="str">
        <f>IF(AND($R142&gt;0,données_step[[#This Row],[E_DCO]]&gt;0),données_step[[#This Row],[E_DCO]],"")</f>
        <v/>
      </c>
      <c r="T142" s="523" t="str">
        <f>IF(S142="","",(1-données_step[[#This Row],[E_DCO]]/$V$7)*100)</f>
        <v/>
      </c>
      <c r="U142" s="523" t="str">
        <f t="shared" si="35"/>
        <v/>
      </c>
      <c r="V142" s="523" t="str">
        <f t="shared" si="36"/>
        <v/>
      </c>
      <c r="W142" s="523" t="str">
        <f t="shared" si="37"/>
        <v/>
      </c>
      <c r="X142" s="523" t="e">
        <f>IF(((100-100/$V$7*données_step[[#This Row],[E_DCO]])/100*QTS)&lt;0,NA(),IF(OR(U142&lt;0,U142=""),NA(),((100-100/$V$7*données_step[[#This Row],[E_DCO]])/100*QTS)))</f>
        <v>#NUM!</v>
      </c>
      <c r="Y142" s="523" t="str">
        <f>IF(AND($R142&gt;0,données_step[[#This Row],[E_COT]]&gt;0),données_step[[#This Row],[E_COT]],"")</f>
        <v/>
      </c>
      <c r="Z142" s="523" t="str">
        <f>IF(Y142="","",(1-données_step[[#This Row],[E_COT]]/$AB$7)*100)</f>
        <v/>
      </c>
      <c r="AA142" s="523" t="str">
        <f t="shared" si="38"/>
        <v/>
      </c>
      <c r="AB142" s="523" t="str">
        <f t="shared" si="39"/>
        <v/>
      </c>
      <c r="AC142" s="523" t="str">
        <f t="shared" si="40"/>
        <v/>
      </c>
      <c r="AD142" s="523" t="e">
        <f>IF(((100-100/$AB$7*données_step[[#This Row],[E_COT]])/100*QTS)&lt;0,NA(),IF(OR(AA142&lt;0,AA142=""),NA(),((100-100/$AB$7*données_step[[#This Row],[E_COT]])/100*QTS)))</f>
        <v>#NUM!</v>
      </c>
      <c r="AE142" s="523" t="str">
        <f>IF(AND($R142&gt;0,données_step[[#This Row],[E_NH4]]&gt;0),données_step[[#This Row],[E_NH4]],"")</f>
        <v/>
      </c>
      <c r="AF142" s="523" t="str">
        <f>IF(AE142="","",(1-données_step[[#This Row],[E_NH4]]/$AH$7)*100)</f>
        <v/>
      </c>
      <c r="AG142" s="523" t="str">
        <f t="shared" si="41"/>
        <v/>
      </c>
      <c r="AH142" s="523" t="str">
        <f t="shared" si="42"/>
        <v/>
      </c>
      <c r="AI142" s="523" t="str">
        <f t="shared" si="43"/>
        <v/>
      </c>
      <c r="AJ142" s="523" t="e">
        <f>IF(((100-100/$AH$7*données_step[[#This Row],[E_NH4]])/100*QTS)&lt;0,NA(),IF(OR(AG142&lt;0,AG142=""),NA(),((100-100/$AH$7*données_step[[#This Row],[E_NH4]])/100*QTS)))</f>
        <v>#NUM!</v>
      </c>
      <c r="AK142" s="523" t="str">
        <f>IF(AND($R142&gt;0,données_step[[#This Row],[E_PTOT]]&gt;0),données_step[[#This Row],[E_PTOT]],"")</f>
        <v/>
      </c>
      <c r="AL142" s="523" t="str">
        <f>IF(AK142="","",(1-données_step[[#This Row],[E_PTOT]]/$AN$7)*100)</f>
        <v/>
      </c>
      <c r="AM142" s="523" t="str">
        <f t="shared" si="44"/>
        <v/>
      </c>
      <c r="AN142" s="523" t="str">
        <f t="shared" si="45"/>
        <v/>
      </c>
      <c r="AO142" s="523" t="str">
        <f t="shared" si="46"/>
        <v/>
      </c>
      <c r="AP142" s="523" t="e">
        <f>IF(((100-100/$AN$7*données_step[[#This Row],[E_PTOT]])/100*QTS)&lt;0,NA(),IF(OR(AM142&lt;0,AM142=""),NA(),((100-100/$AN$7*données_step[[#This Row],[E_PTOT]])/100*QTS)))</f>
        <v>#NUM!</v>
      </c>
      <c r="AQ142" s="524" t="e">
        <f t="shared" si="47"/>
        <v>#NUM!</v>
      </c>
      <c r="AR142" s="524" t="str">
        <f t="shared" si="48"/>
        <v/>
      </c>
      <c r="AY142" s="523" t="str">
        <f>_xlfn.IFNA(IF(données_step[[#This Row],[E_DCO]]&lt;=0,NA(),charge_entree[[#This Row],[ch_E_DCO]]/constanten!$B$8*1000),"")</f>
        <v/>
      </c>
      <c r="AZ142" s="523" t="str">
        <f>_xlfn.IFNA(IF(données_step[[#This Row],[E_NTOT]]&lt;=0,NA(),charge_entree[[#This Row],[ch_E_NTOT]]/constanten!$B$10*1000),"")</f>
        <v/>
      </c>
      <c r="BA142" s="523" t="str">
        <f>_xlfn.IFNA(IF(données_step[[#This Row],[E_NH4]]&lt;=0,NA(),charge_entree[[#This Row],[ch_E_NH4]]/constanten!$B$12*1000),"")</f>
        <v/>
      </c>
      <c r="BB142" s="523" t="str">
        <f>_xlfn.IFNA(IF(données_step[[#This Row],[E_COT]]&lt;=0,NA(),charge_entree[[#This Row],[ch_E_COT]]/constanten!$B$9*1000),"")</f>
        <v/>
      </c>
      <c r="BC142" s="523" t="str">
        <f>IFERROR(_xlfn.IFNA(IF(données_step[[#This Row],[E_PTOT]]&lt;=0,NA(),charge_entree[[#This Row],[ch_E_PTOT]]/constanten!$B$15*1000),""),"")</f>
        <v/>
      </c>
      <c r="BD142" s="535" t="e">
        <f>calculs!E142 * (1-0.4) / (données_step[[#This Row],[X_BA_VOL]]*données_step[[#This Row],[X_BACONC]])</f>
        <v>#VALUE!</v>
      </c>
      <c r="BE142" s="522" t="e">
        <f>(données_step[[#This Row],[X_BA_VOL]]*données_step[[#This Row],[X_BACONC]])/((données_step[[#This Row],[D_QTRAI2]]*données_step[[#This Row],[S_MES]]/1000)+(données_step[[#This Row],[X_BX_Q]]*données_step[[#This Row],[X_BXCONC]]))</f>
        <v>#VALUE!</v>
      </c>
      <c r="BF142" s="890" t="str">
        <f>IFERROR(données_step[[#This Row],[D_QTRAI]]/AY142*1000,"")</f>
        <v/>
      </c>
      <c r="BG142" s="535" t="str">
        <f>IFERROR(1-données_step[[#This Row],[S_DBO5]]/données_step[[#This Row],[E_DBO5]],"")</f>
        <v/>
      </c>
      <c r="BH142" s="536" t="str">
        <f>IFERROR(1-données_step[[#This Row],[S_DCO]]/données_step[[#This Row],[E_DCO]],"")</f>
        <v/>
      </c>
      <c r="BI142" s="535" t="str">
        <f>IFERROR(1-données_step[[#This Row],[S_COD]]/données_step[[#This Row],[E_COT]],"")</f>
        <v/>
      </c>
      <c r="BJ142" s="535" t="str">
        <f>IFERROR(1-données_step[[#This Row],[S_NH4]]/données_step[[#This Row],[E_NTOT]],"")</f>
        <v/>
      </c>
      <c r="BK142" s="535" t="str">
        <f>IFERROR(1-données_step[[#This Row],[S_PTOT]]/données_step[[#This Row],[E_PTOT]],"")</f>
        <v/>
      </c>
      <c r="BL142" s="521" t="str">
        <f>IFERROR(IF(données_step[[#This Row],[E_DCO]]/données_step[[#This Row],[E_DBO5]]=0,NA(),données_step[[#This Row],[E_DCO]]/données_step[[#This Row],[E_DBO5]]),"")</f>
        <v/>
      </c>
      <c r="BM142" s="521" t="str">
        <f>IFERROR(IF(données_step[[#This Row],[E_NH4]]/données_step[[#This Row],[E_NTOT]]=0,NA(),données_step[[#This Row],[E_NH4]]/données_step[[#This Row],[E_NTOT]]),"")</f>
        <v/>
      </c>
      <c r="BN142" s="521" t="str">
        <f>IFERROR(IF(données_step[[#This Row],[E_NTOT]]/données_step[[#This Row],[E_COT]]=0,NA(),données_step[[#This Row],[E_NTOT]]/données_step[[#This Row],[E_COT]]),"")</f>
        <v/>
      </c>
      <c r="BO142" s="521" t="str">
        <f>IFERROR(IF(données_step[[#This Row],[E_PTOT]]/données_step[[#This Row],[E_COT]]=0,NA(),données_step[[#This Row],[E_PTOT]]/données_step[[#This Row],[E_COT]]),"")</f>
        <v/>
      </c>
      <c r="BP142" s="521" t="e">
        <f>IF(données_step[[#This Row],[E_DCO]]/données_step[[#This Row],[E_COT]]=0,NA(),données_step[[#This Row],[E_DCO]]/données_step[[#This Row],[E_COT]])</f>
        <v>#DIV/0!</v>
      </c>
      <c r="BQ142" s="521" t="e">
        <f>IF(données_step[[#This Row],[E_NTOT]]/données_step[[#This Row],[E_DCO]]=0,NA(),données_step[[#This Row],[E_NTOT]]/données_step[[#This Row],[E_DCO]])</f>
        <v>#DIV/0!</v>
      </c>
      <c r="BR142" s="521" t="e">
        <f>IF(données_step[[#This Row],[E_PTOT]]/données_step[[#This Row],[E_DCO]]=0,NA(),données_step[[#This Row],[E_PTOT]]/données_step[[#This Row],[E_DCO]])</f>
        <v>#DIV/0!</v>
      </c>
      <c r="BS142" s="747" t="e">
        <f ca="1">test_NH4_temp(données_step[[#This Row],[S_NH4]],données_step[[#This Row],[Temp_eaux]])</f>
        <v>#NAME?</v>
      </c>
    </row>
    <row r="143" spans="1:71" x14ac:dyDescent="0.2">
      <c r="A143" s="222">
        <f>données_step[[#This Row],[Datum]]</f>
        <v>44694</v>
      </c>
      <c r="B143" s="223"/>
      <c r="C143" s="224">
        <f t="shared" si="34"/>
        <v>6</v>
      </c>
      <c r="D143" s="523" t="str">
        <f>IF(OR(données_step[[#This Row],[E_DBO5]]&lt;=0,données_step[[#This Row],[E_DBO5]]=""),"",données_step[[#This Row],[D_QTRAI]]*données_step[[#This Row],[E_DBO5]]/1000)</f>
        <v/>
      </c>
      <c r="E143" s="523" t="str">
        <f>IF(OR(données_step[[#This Row],[E_DCO]]&lt;=0,données_step[[#This Row],[E_DCO]]=""),"",données_step[[#This Row],[D_QTRAI]]*données_step[[#This Row],[E_DCO]]/1000)</f>
        <v/>
      </c>
      <c r="F143" s="523" t="str">
        <f>IF(OR(données_step[[#This Row],[E_COT]]&lt;=0,données_step[[#This Row],[E_COT]]=""),"",données_step[[#This Row],[D_QTRAI]]*données_step[[#This Row],[E_COT]]/1000)</f>
        <v/>
      </c>
      <c r="G143" s="523" t="str">
        <f>IF(OR(données_step[[#This Row],[E_NH4]]&lt;=0,données_step[[#This Row],[E_NH4]]=""),"",données_step[[#This Row],[D_QTRAI]]*données_step[[#This Row],[E_NH4]]/1000)</f>
        <v/>
      </c>
      <c r="H143" s="523" t="str">
        <f>IF(OR(données_step[[#This Row],[E_NTOT]]&lt;=0,données_step[[#This Row],[E_NTOT]]=""),"",données_step[[#This Row],[D_QTRAI]]*données_step[[#This Row],[E_NTOT]]/1000)</f>
        <v/>
      </c>
      <c r="I143" s="523" t="str">
        <f>IF(OR(données_step[[#This Row],[E_NTOT]]&lt;=0,données_step[[#This Row],[E_NTOT]]=""),"",données_step[[#This Row],[D_QTRAI]]*données_step[[#This Row],[E_PTOT]]/1000)</f>
        <v/>
      </c>
      <c r="J143" s="523" t="str">
        <f>IF(OR(données_step[[#This Row],[S_DBO5]]&lt;=0,données_step[[#This Row],[S_DBO5]]=""),"",données_step[[#This Row],[D_QTRAI]]*données_step[[#This Row],[S_DBO5]]/1000)</f>
        <v/>
      </c>
      <c r="K143" s="523" t="str">
        <f>IF(OR(données_step[[#This Row],[S_DCO]]&lt;=0,données_step[[#This Row],[S_DCO]]=""),"",données_step[[#This Row],[D_QTRAI]]*données_step[[#This Row],[S_DCO]]/1000)</f>
        <v/>
      </c>
      <c r="L143" s="523" t="str">
        <f>IF(OR(données_step[[#This Row],[S_COD]]&lt;=0,données_step[[#This Row],[S_COD]]=""),"",données_step[[#This Row],[D_QTRAI]]*données_step[[#This Row],[S_COD]]/1000)</f>
        <v/>
      </c>
      <c r="M143" s="523" t="str">
        <f>IF(OR(données_step[[#This Row],[S_NH4]]&lt;=0,données_step[[#This Row],[S_NH4]]=""),"",données_step[[#This Row],[D_QTRAI]]*données_step[[#This Row],[S_NH4]]/1000)</f>
        <v/>
      </c>
      <c r="N143" s="523" t="str">
        <f>IF(OR(données_step[[#This Row],[S_NO2]]&lt;=0,données_step[[#This Row],[S_NO2]]=""),"",données_step[[#This Row],[D_QTRAI]]*données_step[[#This Row],[S_NO2]]/1000)</f>
        <v/>
      </c>
      <c r="O143" s="523" t="str">
        <f>IF(OR(données_step[[#This Row],[S_NO3]]&lt;=0,données_step[[#This Row],[S_NO3]]=""),"",données_step[[#This Row],[D_QTRAI]]*données_step[[#This Row],[S_NO3]]/1000)</f>
        <v/>
      </c>
      <c r="P143" s="523" t="str">
        <f>IF(OR(données_step[[#This Row],[S_PTOT]]&lt;=0,données_step[[#This Row],[S_PTOT]]=""),"",données_step[[#This Row],[D_QTRAI]]*données_step[[#This Row],[S_PTOT]]/1000)</f>
        <v/>
      </c>
      <c r="Q143" s="523" t="str">
        <f>IF(OR(données_step[[#This Row],[S_MES]]&lt;=0,données_step[[#This Row],[S_MES]]=""),"",données_step[[#This Row],[D_QTRAI]]*données_step[[#This Row],[S_MES]]/1000)</f>
        <v/>
      </c>
      <c r="R143" s="523">
        <f>MAX(données_step[[#This Row],[D_QTRAI]],données_step[[#This Row],[D_QTRAI2]])</f>
        <v>0</v>
      </c>
      <c r="S143" s="523" t="str">
        <f>IF(AND($R143&gt;0,données_step[[#This Row],[E_DCO]]&gt;0),données_step[[#This Row],[E_DCO]],"")</f>
        <v/>
      </c>
      <c r="T143" s="523" t="str">
        <f>IF(S143="","",(1-données_step[[#This Row],[E_DCO]]/$V$7)*100)</f>
        <v/>
      </c>
      <c r="U143" s="523" t="str">
        <f t="shared" si="35"/>
        <v/>
      </c>
      <c r="V143" s="523" t="str">
        <f t="shared" si="36"/>
        <v/>
      </c>
      <c r="W143" s="523" t="str">
        <f t="shared" si="37"/>
        <v/>
      </c>
      <c r="X143" s="523" t="e">
        <f>IF(((100-100/$V$7*données_step[[#This Row],[E_DCO]])/100*QTS)&lt;0,NA(),IF(OR(U143&lt;0,U143=""),NA(),((100-100/$V$7*données_step[[#This Row],[E_DCO]])/100*QTS)))</f>
        <v>#NUM!</v>
      </c>
      <c r="Y143" s="523" t="str">
        <f>IF(AND($R143&gt;0,données_step[[#This Row],[E_COT]]&gt;0),données_step[[#This Row],[E_COT]],"")</f>
        <v/>
      </c>
      <c r="Z143" s="523" t="str">
        <f>IF(Y143="","",(1-données_step[[#This Row],[E_COT]]/$AB$7)*100)</f>
        <v/>
      </c>
      <c r="AA143" s="523" t="str">
        <f t="shared" si="38"/>
        <v/>
      </c>
      <c r="AB143" s="523" t="str">
        <f t="shared" si="39"/>
        <v/>
      </c>
      <c r="AC143" s="523" t="str">
        <f t="shared" si="40"/>
        <v/>
      </c>
      <c r="AD143" s="523" t="e">
        <f>IF(((100-100/$AB$7*données_step[[#This Row],[E_COT]])/100*QTS)&lt;0,NA(),IF(OR(AA143&lt;0,AA143=""),NA(),((100-100/$AB$7*données_step[[#This Row],[E_COT]])/100*QTS)))</f>
        <v>#NUM!</v>
      </c>
      <c r="AE143" s="523" t="str">
        <f>IF(AND($R143&gt;0,données_step[[#This Row],[E_NH4]]&gt;0),données_step[[#This Row],[E_NH4]],"")</f>
        <v/>
      </c>
      <c r="AF143" s="523" t="str">
        <f>IF(AE143="","",(1-données_step[[#This Row],[E_NH4]]/$AH$7)*100)</f>
        <v/>
      </c>
      <c r="AG143" s="523" t="str">
        <f t="shared" si="41"/>
        <v/>
      </c>
      <c r="AH143" s="523" t="str">
        <f t="shared" si="42"/>
        <v/>
      </c>
      <c r="AI143" s="523" t="str">
        <f t="shared" si="43"/>
        <v/>
      </c>
      <c r="AJ143" s="523" t="e">
        <f>IF(((100-100/$AH$7*données_step[[#This Row],[E_NH4]])/100*QTS)&lt;0,NA(),IF(OR(AG143&lt;0,AG143=""),NA(),((100-100/$AH$7*données_step[[#This Row],[E_NH4]])/100*QTS)))</f>
        <v>#NUM!</v>
      </c>
      <c r="AK143" s="523" t="str">
        <f>IF(AND($R143&gt;0,données_step[[#This Row],[E_PTOT]]&gt;0),données_step[[#This Row],[E_PTOT]],"")</f>
        <v/>
      </c>
      <c r="AL143" s="523" t="str">
        <f>IF(AK143="","",(1-données_step[[#This Row],[E_PTOT]]/$AN$7)*100)</f>
        <v/>
      </c>
      <c r="AM143" s="523" t="str">
        <f t="shared" si="44"/>
        <v/>
      </c>
      <c r="AN143" s="523" t="str">
        <f t="shared" si="45"/>
        <v/>
      </c>
      <c r="AO143" s="523" t="str">
        <f t="shared" si="46"/>
        <v/>
      </c>
      <c r="AP143" s="523" t="e">
        <f>IF(((100-100/$AN$7*données_step[[#This Row],[E_PTOT]])/100*QTS)&lt;0,NA(),IF(OR(AM143&lt;0,AM143=""),NA(),((100-100/$AN$7*données_step[[#This Row],[E_PTOT]])/100*QTS)))</f>
        <v>#NUM!</v>
      </c>
      <c r="AQ143" s="524" t="e">
        <f t="shared" si="47"/>
        <v>#NUM!</v>
      </c>
      <c r="AR143" s="524" t="str">
        <f t="shared" si="48"/>
        <v/>
      </c>
      <c r="AY143" s="523" t="str">
        <f>_xlfn.IFNA(IF(données_step[[#This Row],[E_DCO]]&lt;=0,NA(),charge_entree[[#This Row],[ch_E_DCO]]/constanten!$B$8*1000),"")</f>
        <v/>
      </c>
      <c r="AZ143" s="523" t="str">
        <f>_xlfn.IFNA(IF(données_step[[#This Row],[E_NTOT]]&lt;=0,NA(),charge_entree[[#This Row],[ch_E_NTOT]]/constanten!$B$10*1000),"")</f>
        <v/>
      </c>
      <c r="BA143" s="523" t="str">
        <f>_xlfn.IFNA(IF(données_step[[#This Row],[E_NH4]]&lt;=0,NA(),charge_entree[[#This Row],[ch_E_NH4]]/constanten!$B$12*1000),"")</f>
        <v/>
      </c>
      <c r="BB143" s="523" t="str">
        <f>_xlfn.IFNA(IF(données_step[[#This Row],[E_COT]]&lt;=0,NA(),charge_entree[[#This Row],[ch_E_COT]]/constanten!$B$9*1000),"")</f>
        <v/>
      </c>
      <c r="BC143" s="523" t="str">
        <f>IFERROR(_xlfn.IFNA(IF(données_step[[#This Row],[E_PTOT]]&lt;=0,NA(),charge_entree[[#This Row],[ch_E_PTOT]]/constanten!$B$15*1000),""),"")</f>
        <v/>
      </c>
      <c r="BD143" s="535" t="e">
        <f>calculs!E143 * (1-0.4) / (données_step[[#This Row],[X_BA_VOL]]*données_step[[#This Row],[X_BACONC]])</f>
        <v>#VALUE!</v>
      </c>
      <c r="BE143" s="522" t="e">
        <f>(données_step[[#This Row],[X_BA_VOL]]*données_step[[#This Row],[X_BACONC]])/((données_step[[#This Row],[D_QTRAI2]]*données_step[[#This Row],[S_MES]]/1000)+(données_step[[#This Row],[X_BX_Q]]*données_step[[#This Row],[X_BXCONC]]))</f>
        <v>#VALUE!</v>
      </c>
      <c r="BF143" s="890" t="str">
        <f>IFERROR(données_step[[#This Row],[D_QTRAI]]/AY143*1000,"")</f>
        <v/>
      </c>
      <c r="BG143" s="535" t="str">
        <f>IFERROR(1-données_step[[#This Row],[S_DBO5]]/données_step[[#This Row],[E_DBO5]],"")</f>
        <v/>
      </c>
      <c r="BH143" s="536" t="str">
        <f>IFERROR(1-données_step[[#This Row],[S_DCO]]/données_step[[#This Row],[E_DCO]],"")</f>
        <v/>
      </c>
      <c r="BI143" s="535" t="str">
        <f>IFERROR(1-données_step[[#This Row],[S_COD]]/données_step[[#This Row],[E_COT]],"")</f>
        <v/>
      </c>
      <c r="BJ143" s="535" t="str">
        <f>IFERROR(1-données_step[[#This Row],[S_NH4]]/données_step[[#This Row],[E_NTOT]],"")</f>
        <v/>
      </c>
      <c r="BK143" s="535" t="str">
        <f>IFERROR(1-données_step[[#This Row],[S_PTOT]]/données_step[[#This Row],[E_PTOT]],"")</f>
        <v/>
      </c>
      <c r="BL143" s="521" t="str">
        <f>IFERROR(IF(données_step[[#This Row],[E_DCO]]/données_step[[#This Row],[E_DBO5]]=0,NA(),données_step[[#This Row],[E_DCO]]/données_step[[#This Row],[E_DBO5]]),"")</f>
        <v/>
      </c>
      <c r="BM143" s="521" t="str">
        <f>IFERROR(IF(données_step[[#This Row],[E_NH4]]/données_step[[#This Row],[E_NTOT]]=0,NA(),données_step[[#This Row],[E_NH4]]/données_step[[#This Row],[E_NTOT]]),"")</f>
        <v/>
      </c>
      <c r="BN143" s="521" t="str">
        <f>IFERROR(IF(données_step[[#This Row],[E_NTOT]]/données_step[[#This Row],[E_COT]]=0,NA(),données_step[[#This Row],[E_NTOT]]/données_step[[#This Row],[E_COT]]),"")</f>
        <v/>
      </c>
      <c r="BO143" s="521" t="str">
        <f>IFERROR(IF(données_step[[#This Row],[E_PTOT]]/données_step[[#This Row],[E_COT]]=0,NA(),données_step[[#This Row],[E_PTOT]]/données_step[[#This Row],[E_COT]]),"")</f>
        <v/>
      </c>
      <c r="BP143" s="521" t="e">
        <f>IF(données_step[[#This Row],[E_DCO]]/données_step[[#This Row],[E_COT]]=0,NA(),données_step[[#This Row],[E_DCO]]/données_step[[#This Row],[E_COT]])</f>
        <v>#DIV/0!</v>
      </c>
      <c r="BQ143" s="521" t="e">
        <f>IF(données_step[[#This Row],[E_NTOT]]/données_step[[#This Row],[E_DCO]]=0,NA(),données_step[[#This Row],[E_NTOT]]/données_step[[#This Row],[E_DCO]])</f>
        <v>#DIV/0!</v>
      </c>
      <c r="BR143" s="521" t="e">
        <f>IF(données_step[[#This Row],[E_PTOT]]/données_step[[#This Row],[E_DCO]]=0,NA(),données_step[[#This Row],[E_PTOT]]/données_step[[#This Row],[E_DCO]])</f>
        <v>#DIV/0!</v>
      </c>
      <c r="BS143" s="747" t="e">
        <f ca="1">test_NH4_temp(données_step[[#This Row],[S_NH4]],données_step[[#This Row],[Temp_eaux]])</f>
        <v>#NAME?</v>
      </c>
    </row>
    <row r="144" spans="1:71" x14ac:dyDescent="0.2">
      <c r="A144" s="222">
        <f>données_step[[#This Row],[Datum]]</f>
        <v>44695</v>
      </c>
      <c r="B144" s="223"/>
      <c r="C144" s="224">
        <f t="shared" si="34"/>
        <v>7</v>
      </c>
      <c r="D144" s="523" t="str">
        <f>IF(OR(données_step[[#This Row],[E_DBO5]]&lt;=0,données_step[[#This Row],[E_DBO5]]=""),"",données_step[[#This Row],[D_QTRAI]]*données_step[[#This Row],[E_DBO5]]/1000)</f>
        <v/>
      </c>
      <c r="E144" s="523" t="str">
        <f>IF(OR(données_step[[#This Row],[E_DCO]]&lt;=0,données_step[[#This Row],[E_DCO]]=""),"",données_step[[#This Row],[D_QTRAI]]*données_step[[#This Row],[E_DCO]]/1000)</f>
        <v/>
      </c>
      <c r="F144" s="523" t="str">
        <f>IF(OR(données_step[[#This Row],[E_COT]]&lt;=0,données_step[[#This Row],[E_COT]]=""),"",données_step[[#This Row],[D_QTRAI]]*données_step[[#This Row],[E_COT]]/1000)</f>
        <v/>
      </c>
      <c r="G144" s="523" t="str">
        <f>IF(OR(données_step[[#This Row],[E_NH4]]&lt;=0,données_step[[#This Row],[E_NH4]]=""),"",données_step[[#This Row],[D_QTRAI]]*données_step[[#This Row],[E_NH4]]/1000)</f>
        <v/>
      </c>
      <c r="H144" s="523" t="str">
        <f>IF(OR(données_step[[#This Row],[E_NTOT]]&lt;=0,données_step[[#This Row],[E_NTOT]]=""),"",données_step[[#This Row],[D_QTRAI]]*données_step[[#This Row],[E_NTOT]]/1000)</f>
        <v/>
      </c>
      <c r="I144" s="523" t="str">
        <f>IF(OR(données_step[[#This Row],[E_NTOT]]&lt;=0,données_step[[#This Row],[E_NTOT]]=""),"",données_step[[#This Row],[D_QTRAI]]*données_step[[#This Row],[E_PTOT]]/1000)</f>
        <v/>
      </c>
      <c r="J144" s="523" t="str">
        <f>IF(OR(données_step[[#This Row],[S_DBO5]]&lt;=0,données_step[[#This Row],[S_DBO5]]=""),"",données_step[[#This Row],[D_QTRAI]]*données_step[[#This Row],[S_DBO5]]/1000)</f>
        <v/>
      </c>
      <c r="K144" s="523" t="str">
        <f>IF(OR(données_step[[#This Row],[S_DCO]]&lt;=0,données_step[[#This Row],[S_DCO]]=""),"",données_step[[#This Row],[D_QTRAI]]*données_step[[#This Row],[S_DCO]]/1000)</f>
        <v/>
      </c>
      <c r="L144" s="523" t="str">
        <f>IF(OR(données_step[[#This Row],[S_COD]]&lt;=0,données_step[[#This Row],[S_COD]]=""),"",données_step[[#This Row],[D_QTRAI]]*données_step[[#This Row],[S_COD]]/1000)</f>
        <v/>
      </c>
      <c r="M144" s="523" t="str">
        <f>IF(OR(données_step[[#This Row],[S_NH4]]&lt;=0,données_step[[#This Row],[S_NH4]]=""),"",données_step[[#This Row],[D_QTRAI]]*données_step[[#This Row],[S_NH4]]/1000)</f>
        <v/>
      </c>
      <c r="N144" s="523" t="str">
        <f>IF(OR(données_step[[#This Row],[S_NO2]]&lt;=0,données_step[[#This Row],[S_NO2]]=""),"",données_step[[#This Row],[D_QTRAI]]*données_step[[#This Row],[S_NO2]]/1000)</f>
        <v/>
      </c>
      <c r="O144" s="523" t="str">
        <f>IF(OR(données_step[[#This Row],[S_NO3]]&lt;=0,données_step[[#This Row],[S_NO3]]=""),"",données_step[[#This Row],[D_QTRAI]]*données_step[[#This Row],[S_NO3]]/1000)</f>
        <v/>
      </c>
      <c r="P144" s="523" t="str">
        <f>IF(OR(données_step[[#This Row],[S_PTOT]]&lt;=0,données_step[[#This Row],[S_PTOT]]=""),"",données_step[[#This Row],[D_QTRAI]]*données_step[[#This Row],[S_PTOT]]/1000)</f>
        <v/>
      </c>
      <c r="Q144" s="523" t="str">
        <f>IF(OR(données_step[[#This Row],[S_MES]]&lt;=0,données_step[[#This Row],[S_MES]]=""),"",données_step[[#This Row],[D_QTRAI]]*données_step[[#This Row],[S_MES]]/1000)</f>
        <v/>
      </c>
      <c r="R144" s="523">
        <f>MAX(données_step[[#This Row],[D_QTRAI]],données_step[[#This Row],[D_QTRAI2]])</f>
        <v>0</v>
      </c>
      <c r="S144" s="523" t="str">
        <f>IF(AND($R144&gt;0,données_step[[#This Row],[E_DCO]]&gt;0),données_step[[#This Row],[E_DCO]],"")</f>
        <v/>
      </c>
      <c r="T144" s="523" t="str">
        <f>IF(S144="","",(1-données_step[[#This Row],[E_DCO]]/$V$7)*100)</f>
        <v/>
      </c>
      <c r="U144" s="523" t="str">
        <f t="shared" si="35"/>
        <v/>
      </c>
      <c r="V144" s="523" t="str">
        <f t="shared" si="36"/>
        <v/>
      </c>
      <c r="W144" s="523" t="str">
        <f t="shared" si="37"/>
        <v/>
      </c>
      <c r="X144" s="523" t="e">
        <f>IF(((100-100/$V$7*données_step[[#This Row],[E_DCO]])/100*QTS)&lt;0,NA(),IF(OR(U144&lt;0,U144=""),NA(),((100-100/$V$7*données_step[[#This Row],[E_DCO]])/100*QTS)))</f>
        <v>#NUM!</v>
      </c>
      <c r="Y144" s="523" t="str">
        <f>IF(AND($R144&gt;0,données_step[[#This Row],[E_COT]]&gt;0),données_step[[#This Row],[E_COT]],"")</f>
        <v/>
      </c>
      <c r="Z144" s="523" t="str">
        <f>IF(Y144="","",(1-données_step[[#This Row],[E_COT]]/$AB$7)*100)</f>
        <v/>
      </c>
      <c r="AA144" s="523" t="str">
        <f t="shared" si="38"/>
        <v/>
      </c>
      <c r="AB144" s="523" t="str">
        <f t="shared" si="39"/>
        <v/>
      </c>
      <c r="AC144" s="523" t="str">
        <f t="shared" si="40"/>
        <v/>
      </c>
      <c r="AD144" s="523" t="e">
        <f>IF(((100-100/$AB$7*données_step[[#This Row],[E_COT]])/100*QTS)&lt;0,NA(),IF(OR(AA144&lt;0,AA144=""),NA(),((100-100/$AB$7*données_step[[#This Row],[E_COT]])/100*QTS)))</f>
        <v>#NUM!</v>
      </c>
      <c r="AE144" s="523" t="str">
        <f>IF(AND($R144&gt;0,données_step[[#This Row],[E_NH4]]&gt;0),données_step[[#This Row],[E_NH4]],"")</f>
        <v/>
      </c>
      <c r="AF144" s="523" t="str">
        <f>IF(AE144="","",(1-données_step[[#This Row],[E_NH4]]/$AH$7)*100)</f>
        <v/>
      </c>
      <c r="AG144" s="523" t="str">
        <f t="shared" si="41"/>
        <v/>
      </c>
      <c r="AH144" s="523" t="str">
        <f t="shared" si="42"/>
        <v/>
      </c>
      <c r="AI144" s="523" t="str">
        <f t="shared" si="43"/>
        <v/>
      </c>
      <c r="AJ144" s="523" t="e">
        <f>IF(((100-100/$AH$7*données_step[[#This Row],[E_NH4]])/100*QTS)&lt;0,NA(),IF(OR(AG144&lt;0,AG144=""),NA(),((100-100/$AH$7*données_step[[#This Row],[E_NH4]])/100*QTS)))</f>
        <v>#NUM!</v>
      </c>
      <c r="AK144" s="523" t="str">
        <f>IF(AND($R144&gt;0,données_step[[#This Row],[E_PTOT]]&gt;0),données_step[[#This Row],[E_PTOT]],"")</f>
        <v/>
      </c>
      <c r="AL144" s="523" t="str">
        <f>IF(AK144="","",(1-données_step[[#This Row],[E_PTOT]]/$AN$7)*100)</f>
        <v/>
      </c>
      <c r="AM144" s="523" t="str">
        <f t="shared" si="44"/>
        <v/>
      </c>
      <c r="AN144" s="523" t="str">
        <f t="shared" si="45"/>
        <v/>
      </c>
      <c r="AO144" s="523" t="str">
        <f t="shared" si="46"/>
        <v/>
      </c>
      <c r="AP144" s="523" t="e">
        <f>IF(((100-100/$AN$7*données_step[[#This Row],[E_PTOT]])/100*QTS)&lt;0,NA(),IF(OR(AM144&lt;0,AM144=""),NA(),((100-100/$AN$7*données_step[[#This Row],[E_PTOT]])/100*QTS)))</f>
        <v>#NUM!</v>
      </c>
      <c r="AQ144" s="524" t="e">
        <f t="shared" si="47"/>
        <v>#NUM!</v>
      </c>
      <c r="AR144" s="524" t="str">
        <f t="shared" si="48"/>
        <v/>
      </c>
      <c r="AY144" s="523" t="str">
        <f>_xlfn.IFNA(IF(données_step[[#This Row],[E_DCO]]&lt;=0,NA(),charge_entree[[#This Row],[ch_E_DCO]]/constanten!$B$8*1000),"")</f>
        <v/>
      </c>
      <c r="AZ144" s="523" t="str">
        <f>_xlfn.IFNA(IF(données_step[[#This Row],[E_NTOT]]&lt;=0,NA(),charge_entree[[#This Row],[ch_E_NTOT]]/constanten!$B$10*1000),"")</f>
        <v/>
      </c>
      <c r="BA144" s="523" t="str">
        <f>_xlfn.IFNA(IF(données_step[[#This Row],[E_NH4]]&lt;=0,NA(),charge_entree[[#This Row],[ch_E_NH4]]/constanten!$B$12*1000),"")</f>
        <v/>
      </c>
      <c r="BB144" s="523" t="str">
        <f>_xlfn.IFNA(IF(données_step[[#This Row],[E_COT]]&lt;=0,NA(),charge_entree[[#This Row],[ch_E_COT]]/constanten!$B$9*1000),"")</f>
        <v/>
      </c>
      <c r="BC144" s="523" t="str">
        <f>IFERROR(_xlfn.IFNA(IF(données_step[[#This Row],[E_PTOT]]&lt;=0,NA(),charge_entree[[#This Row],[ch_E_PTOT]]/constanten!$B$15*1000),""),"")</f>
        <v/>
      </c>
      <c r="BD144" s="535" t="e">
        <f>calculs!E144 * (1-0.4) / (données_step[[#This Row],[X_BA_VOL]]*données_step[[#This Row],[X_BACONC]])</f>
        <v>#VALUE!</v>
      </c>
      <c r="BE144" s="522" t="e">
        <f>(données_step[[#This Row],[X_BA_VOL]]*données_step[[#This Row],[X_BACONC]])/((données_step[[#This Row],[D_QTRAI2]]*données_step[[#This Row],[S_MES]]/1000)+(données_step[[#This Row],[X_BX_Q]]*données_step[[#This Row],[X_BXCONC]]))</f>
        <v>#VALUE!</v>
      </c>
      <c r="BF144" s="890" t="str">
        <f>IFERROR(données_step[[#This Row],[D_QTRAI]]/AY144*1000,"")</f>
        <v/>
      </c>
      <c r="BG144" s="535" t="str">
        <f>IFERROR(1-données_step[[#This Row],[S_DBO5]]/données_step[[#This Row],[E_DBO5]],"")</f>
        <v/>
      </c>
      <c r="BH144" s="536" t="str">
        <f>IFERROR(1-données_step[[#This Row],[S_DCO]]/données_step[[#This Row],[E_DCO]],"")</f>
        <v/>
      </c>
      <c r="BI144" s="535" t="str">
        <f>IFERROR(1-données_step[[#This Row],[S_COD]]/données_step[[#This Row],[E_COT]],"")</f>
        <v/>
      </c>
      <c r="BJ144" s="535" t="str">
        <f>IFERROR(1-données_step[[#This Row],[S_NH4]]/données_step[[#This Row],[E_NTOT]],"")</f>
        <v/>
      </c>
      <c r="BK144" s="535" t="str">
        <f>IFERROR(1-données_step[[#This Row],[S_PTOT]]/données_step[[#This Row],[E_PTOT]],"")</f>
        <v/>
      </c>
      <c r="BL144" s="521" t="str">
        <f>IFERROR(IF(données_step[[#This Row],[E_DCO]]/données_step[[#This Row],[E_DBO5]]=0,NA(),données_step[[#This Row],[E_DCO]]/données_step[[#This Row],[E_DBO5]]),"")</f>
        <v/>
      </c>
      <c r="BM144" s="521" t="str">
        <f>IFERROR(IF(données_step[[#This Row],[E_NH4]]/données_step[[#This Row],[E_NTOT]]=0,NA(),données_step[[#This Row],[E_NH4]]/données_step[[#This Row],[E_NTOT]]),"")</f>
        <v/>
      </c>
      <c r="BN144" s="521" t="str">
        <f>IFERROR(IF(données_step[[#This Row],[E_NTOT]]/données_step[[#This Row],[E_COT]]=0,NA(),données_step[[#This Row],[E_NTOT]]/données_step[[#This Row],[E_COT]]),"")</f>
        <v/>
      </c>
      <c r="BO144" s="521" t="str">
        <f>IFERROR(IF(données_step[[#This Row],[E_PTOT]]/données_step[[#This Row],[E_COT]]=0,NA(),données_step[[#This Row],[E_PTOT]]/données_step[[#This Row],[E_COT]]),"")</f>
        <v/>
      </c>
      <c r="BP144" s="521" t="e">
        <f>IF(données_step[[#This Row],[E_DCO]]/données_step[[#This Row],[E_COT]]=0,NA(),données_step[[#This Row],[E_DCO]]/données_step[[#This Row],[E_COT]])</f>
        <v>#DIV/0!</v>
      </c>
      <c r="BQ144" s="521" t="e">
        <f>IF(données_step[[#This Row],[E_NTOT]]/données_step[[#This Row],[E_DCO]]=0,NA(),données_step[[#This Row],[E_NTOT]]/données_step[[#This Row],[E_DCO]])</f>
        <v>#DIV/0!</v>
      </c>
      <c r="BR144" s="521" t="e">
        <f>IF(données_step[[#This Row],[E_PTOT]]/données_step[[#This Row],[E_DCO]]=0,NA(),données_step[[#This Row],[E_PTOT]]/données_step[[#This Row],[E_DCO]])</f>
        <v>#DIV/0!</v>
      </c>
      <c r="BS144" s="747" t="e">
        <f ca="1">test_NH4_temp(données_step[[#This Row],[S_NH4]],données_step[[#This Row],[Temp_eaux]])</f>
        <v>#NAME?</v>
      </c>
    </row>
    <row r="145" spans="1:71" x14ac:dyDescent="0.2">
      <c r="A145" s="222">
        <f>données_step[[#This Row],[Datum]]</f>
        <v>44696</v>
      </c>
      <c r="B145" s="223"/>
      <c r="C145" s="224">
        <f t="shared" si="34"/>
        <v>1</v>
      </c>
      <c r="D145" s="523" t="str">
        <f>IF(OR(données_step[[#This Row],[E_DBO5]]&lt;=0,données_step[[#This Row],[E_DBO5]]=""),"",données_step[[#This Row],[D_QTRAI]]*données_step[[#This Row],[E_DBO5]]/1000)</f>
        <v/>
      </c>
      <c r="E145" s="523" t="str">
        <f>IF(OR(données_step[[#This Row],[E_DCO]]&lt;=0,données_step[[#This Row],[E_DCO]]=""),"",données_step[[#This Row],[D_QTRAI]]*données_step[[#This Row],[E_DCO]]/1000)</f>
        <v/>
      </c>
      <c r="F145" s="523" t="str">
        <f>IF(OR(données_step[[#This Row],[E_COT]]&lt;=0,données_step[[#This Row],[E_COT]]=""),"",données_step[[#This Row],[D_QTRAI]]*données_step[[#This Row],[E_COT]]/1000)</f>
        <v/>
      </c>
      <c r="G145" s="523" t="str">
        <f>IF(OR(données_step[[#This Row],[E_NH4]]&lt;=0,données_step[[#This Row],[E_NH4]]=""),"",données_step[[#This Row],[D_QTRAI]]*données_step[[#This Row],[E_NH4]]/1000)</f>
        <v/>
      </c>
      <c r="H145" s="523" t="str">
        <f>IF(OR(données_step[[#This Row],[E_NTOT]]&lt;=0,données_step[[#This Row],[E_NTOT]]=""),"",données_step[[#This Row],[D_QTRAI]]*données_step[[#This Row],[E_NTOT]]/1000)</f>
        <v/>
      </c>
      <c r="I145" s="523" t="str">
        <f>IF(OR(données_step[[#This Row],[E_NTOT]]&lt;=0,données_step[[#This Row],[E_NTOT]]=""),"",données_step[[#This Row],[D_QTRAI]]*données_step[[#This Row],[E_PTOT]]/1000)</f>
        <v/>
      </c>
      <c r="J145" s="523" t="str">
        <f>IF(OR(données_step[[#This Row],[S_DBO5]]&lt;=0,données_step[[#This Row],[S_DBO5]]=""),"",données_step[[#This Row],[D_QTRAI]]*données_step[[#This Row],[S_DBO5]]/1000)</f>
        <v/>
      </c>
      <c r="K145" s="523" t="str">
        <f>IF(OR(données_step[[#This Row],[S_DCO]]&lt;=0,données_step[[#This Row],[S_DCO]]=""),"",données_step[[#This Row],[D_QTRAI]]*données_step[[#This Row],[S_DCO]]/1000)</f>
        <v/>
      </c>
      <c r="L145" s="523" t="str">
        <f>IF(OR(données_step[[#This Row],[S_COD]]&lt;=0,données_step[[#This Row],[S_COD]]=""),"",données_step[[#This Row],[D_QTRAI]]*données_step[[#This Row],[S_COD]]/1000)</f>
        <v/>
      </c>
      <c r="M145" s="523" t="str">
        <f>IF(OR(données_step[[#This Row],[S_NH4]]&lt;=0,données_step[[#This Row],[S_NH4]]=""),"",données_step[[#This Row],[D_QTRAI]]*données_step[[#This Row],[S_NH4]]/1000)</f>
        <v/>
      </c>
      <c r="N145" s="523" t="str">
        <f>IF(OR(données_step[[#This Row],[S_NO2]]&lt;=0,données_step[[#This Row],[S_NO2]]=""),"",données_step[[#This Row],[D_QTRAI]]*données_step[[#This Row],[S_NO2]]/1000)</f>
        <v/>
      </c>
      <c r="O145" s="523" t="str">
        <f>IF(OR(données_step[[#This Row],[S_NO3]]&lt;=0,données_step[[#This Row],[S_NO3]]=""),"",données_step[[#This Row],[D_QTRAI]]*données_step[[#This Row],[S_NO3]]/1000)</f>
        <v/>
      </c>
      <c r="P145" s="523" t="str">
        <f>IF(OR(données_step[[#This Row],[S_PTOT]]&lt;=0,données_step[[#This Row],[S_PTOT]]=""),"",données_step[[#This Row],[D_QTRAI]]*données_step[[#This Row],[S_PTOT]]/1000)</f>
        <v/>
      </c>
      <c r="Q145" s="523" t="str">
        <f>IF(OR(données_step[[#This Row],[S_MES]]&lt;=0,données_step[[#This Row],[S_MES]]=""),"",données_step[[#This Row],[D_QTRAI]]*données_step[[#This Row],[S_MES]]/1000)</f>
        <v/>
      </c>
      <c r="R145" s="523">
        <f>MAX(données_step[[#This Row],[D_QTRAI]],données_step[[#This Row],[D_QTRAI2]])</f>
        <v>0</v>
      </c>
      <c r="S145" s="523" t="str">
        <f>IF(AND($R145&gt;0,données_step[[#This Row],[E_DCO]]&gt;0),données_step[[#This Row],[E_DCO]],"")</f>
        <v/>
      </c>
      <c r="T145" s="523" t="str">
        <f>IF(S145="","",(1-données_step[[#This Row],[E_DCO]]/$V$7)*100)</f>
        <v/>
      </c>
      <c r="U145" s="523" t="str">
        <f t="shared" si="35"/>
        <v/>
      </c>
      <c r="V145" s="523" t="str">
        <f t="shared" si="36"/>
        <v/>
      </c>
      <c r="W145" s="523" t="str">
        <f t="shared" si="37"/>
        <v/>
      </c>
      <c r="X145" s="523" t="e">
        <f>IF(((100-100/$V$7*données_step[[#This Row],[E_DCO]])/100*QTS)&lt;0,NA(),IF(OR(U145&lt;0,U145=""),NA(),((100-100/$V$7*données_step[[#This Row],[E_DCO]])/100*QTS)))</f>
        <v>#NUM!</v>
      </c>
      <c r="Y145" s="523" t="str">
        <f>IF(AND($R145&gt;0,données_step[[#This Row],[E_COT]]&gt;0),données_step[[#This Row],[E_COT]],"")</f>
        <v/>
      </c>
      <c r="Z145" s="523" t="str">
        <f>IF(Y145="","",(1-données_step[[#This Row],[E_COT]]/$AB$7)*100)</f>
        <v/>
      </c>
      <c r="AA145" s="523" t="str">
        <f t="shared" si="38"/>
        <v/>
      </c>
      <c r="AB145" s="523" t="str">
        <f t="shared" si="39"/>
        <v/>
      </c>
      <c r="AC145" s="523" t="str">
        <f t="shared" si="40"/>
        <v/>
      </c>
      <c r="AD145" s="523" t="e">
        <f>IF(((100-100/$AB$7*données_step[[#This Row],[E_COT]])/100*QTS)&lt;0,NA(),IF(OR(AA145&lt;0,AA145=""),NA(),((100-100/$AB$7*données_step[[#This Row],[E_COT]])/100*QTS)))</f>
        <v>#NUM!</v>
      </c>
      <c r="AE145" s="523" t="str">
        <f>IF(AND($R145&gt;0,données_step[[#This Row],[E_NH4]]&gt;0),données_step[[#This Row],[E_NH4]],"")</f>
        <v/>
      </c>
      <c r="AF145" s="523" t="str">
        <f>IF(AE145="","",(1-données_step[[#This Row],[E_NH4]]/$AH$7)*100)</f>
        <v/>
      </c>
      <c r="AG145" s="523" t="str">
        <f t="shared" si="41"/>
        <v/>
      </c>
      <c r="AH145" s="523" t="str">
        <f t="shared" si="42"/>
        <v/>
      </c>
      <c r="AI145" s="523" t="str">
        <f t="shared" si="43"/>
        <v/>
      </c>
      <c r="AJ145" s="523" t="e">
        <f>IF(((100-100/$AH$7*données_step[[#This Row],[E_NH4]])/100*QTS)&lt;0,NA(),IF(OR(AG145&lt;0,AG145=""),NA(),((100-100/$AH$7*données_step[[#This Row],[E_NH4]])/100*QTS)))</f>
        <v>#NUM!</v>
      </c>
      <c r="AK145" s="523" t="str">
        <f>IF(AND($R145&gt;0,données_step[[#This Row],[E_PTOT]]&gt;0),données_step[[#This Row],[E_PTOT]],"")</f>
        <v/>
      </c>
      <c r="AL145" s="523" t="str">
        <f>IF(AK145="","",(1-données_step[[#This Row],[E_PTOT]]/$AN$7)*100)</f>
        <v/>
      </c>
      <c r="AM145" s="523" t="str">
        <f t="shared" si="44"/>
        <v/>
      </c>
      <c r="AN145" s="523" t="str">
        <f t="shared" si="45"/>
        <v/>
      </c>
      <c r="AO145" s="523" t="str">
        <f t="shared" si="46"/>
        <v/>
      </c>
      <c r="AP145" s="523" t="e">
        <f>IF(((100-100/$AN$7*données_step[[#This Row],[E_PTOT]])/100*QTS)&lt;0,NA(),IF(OR(AM145&lt;0,AM145=""),NA(),((100-100/$AN$7*données_step[[#This Row],[E_PTOT]])/100*QTS)))</f>
        <v>#NUM!</v>
      </c>
      <c r="AQ145" s="524" t="e">
        <f t="shared" si="47"/>
        <v>#NUM!</v>
      </c>
      <c r="AR145" s="524" t="str">
        <f t="shared" si="48"/>
        <v/>
      </c>
      <c r="AY145" s="523" t="str">
        <f>_xlfn.IFNA(IF(données_step[[#This Row],[E_DCO]]&lt;=0,NA(),charge_entree[[#This Row],[ch_E_DCO]]/constanten!$B$8*1000),"")</f>
        <v/>
      </c>
      <c r="AZ145" s="523" t="str">
        <f>_xlfn.IFNA(IF(données_step[[#This Row],[E_NTOT]]&lt;=0,NA(),charge_entree[[#This Row],[ch_E_NTOT]]/constanten!$B$10*1000),"")</f>
        <v/>
      </c>
      <c r="BA145" s="523" t="str">
        <f>_xlfn.IFNA(IF(données_step[[#This Row],[E_NH4]]&lt;=0,NA(),charge_entree[[#This Row],[ch_E_NH4]]/constanten!$B$12*1000),"")</f>
        <v/>
      </c>
      <c r="BB145" s="523" t="str">
        <f>_xlfn.IFNA(IF(données_step[[#This Row],[E_COT]]&lt;=0,NA(),charge_entree[[#This Row],[ch_E_COT]]/constanten!$B$9*1000),"")</f>
        <v/>
      </c>
      <c r="BC145" s="523" t="str">
        <f>IFERROR(_xlfn.IFNA(IF(données_step[[#This Row],[E_PTOT]]&lt;=0,NA(),charge_entree[[#This Row],[ch_E_PTOT]]/constanten!$B$15*1000),""),"")</f>
        <v/>
      </c>
      <c r="BD145" s="535" t="e">
        <f>calculs!E145 * (1-0.4) / (données_step[[#This Row],[X_BA_VOL]]*données_step[[#This Row],[X_BACONC]])</f>
        <v>#VALUE!</v>
      </c>
      <c r="BE145" s="522" t="e">
        <f>(données_step[[#This Row],[X_BA_VOL]]*données_step[[#This Row],[X_BACONC]])/((données_step[[#This Row],[D_QTRAI2]]*données_step[[#This Row],[S_MES]]/1000)+(données_step[[#This Row],[X_BX_Q]]*données_step[[#This Row],[X_BXCONC]]))</f>
        <v>#VALUE!</v>
      </c>
      <c r="BF145" s="890" t="str">
        <f>IFERROR(données_step[[#This Row],[D_QTRAI]]/AY145*1000,"")</f>
        <v/>
      </c>
      <c r="BG145" s="535" t="str">
        <f>IFERROR(1-données_step[[#This Row],[S_DBO5]]/données_step[[#This Row],[E_DBO5]],"")</f>
        <v/>
      </c>
      <c r="BH145" s="536" t="str">
        <f>IFERROR(1-données_step[[#This Row],[S_DCO]]/données_step[[#This Row],[E_DCO]],"")</f>
        <v/>
      </c>
      <c r="BI145" s="535" t="str">
        <f>IFERROR(1-données_step[[#This Row],[S_COD]]/données_step[[#This Row],[E_COT]],"")</f>
        <v/>
      </c>
      <c r="BJ145" s="535" t="str">
        <f>IFERROR(1-données_step[[#This Row],[S_NH4]]/données_step[[#This Row],[E_NTOT]],"")</f>
        <v/>
      </c>
      <c r="BK145" s="535" t="str">
        <f>IFERROR(1-données_step[[#This Row],[S_PTOT]]/données_step[[#This Row],[E_PTOT]],"")</f>
        <v/>
      </c>
      <c r="BL145" s="521" t="str">
        <f>IFERROR(IF(données_step[[#This Row],[E_DCO]]/données_step[[#This Row],[E_DBO5]]=0,NA(),données_step[[#This Row],[E_DCO]]/données_step[[#This Row],[E_DBO5]]),"")</f>
        <v/>
      </c>
      <c r="BM145" s="521" t="str">
        <f>IFERROR(IF(données_step[[#This Row],[E_NH4]]/données_step[[#This Row],[E_NTOT]]=0,NA(),données_step[[#This Row],[E_NH4]]/données_step[[#This Row],[E_NTOT]]),"")</f>
        <v/>
      </c>
      <c r="BN145" s="521" t="str">
        <f>IFERROR(IF(données_step[[#This Row],[E_NTOT]]/données_step[[#This Row],[E_COT]]=0,NA(),données_step[[#This Row],[E_NTOT]]/données_step[[#This Row],[E_COT]]),"")</f>
        <v/>
      </c>
      <c r="BO145" s="521" t="str">
        <f>IFERROR(IF(données_step[[#This Row],[E_PTOT]]/données_step[[#This Row],[E_COT]]=0,NA(),données_step[[#This Row],[E_PTOT]]/données_step[[#This Row],[E_COT]]),"")</f>
        <v/>
      </c>
      <c r="BP145" s="521" t="e">
        <f>IF(données_step[[#This Row],[E_DCO]]/données_step[[#This Row],[E_COT]]=0,NA(),données_step[[#This Row],[E_DCO]]/données_step[[#This Row],[E_COT]])</f>
        <v>#DIV/0!</v>
      </c>
      <c r="BQ145" s="521" t="e">
        <f>IF(données_step[[#This Row],[E_NTOT]]/données_step[[#This Row],[E_DCO]]=0,NA(),données_step[[#This Row],[E_NTOT]]/données_step[[#This Row],[E_DCO]])</f>
        <v>#DIV/0!</v>
      </c>
      <c r="BR145" s="521" t="e">
        <f>IF(données_step[[#This Row],[E_PTOT]]/données_step[[#This Row],[E_DCO]]=0,NA(),données_step[[#This Row],[E_PTOT]]/données_step[[#This Row],[E_DCO]])</f>
        <v>#DIV/0!</v>
      </c>
      <c r="BS145" s="747" t="e">
        <f ca="1">test_NH4_temp(données_step[[#This Row],[S_NH4]],données_step[[#This Row],[Temp_eaux]])</f>
        <v>#NAME?</v>
      </c>
    </row>
    <row r="146" spans="1:71" x14ac:dyDescent="0.2">
      <c r="A146" s="222">
        <f>données_step[[#This Row],[Datum]]</f>
        <v>44697</v>
      </c>
      <c r="B146" s="223"/>
      <c r="C146" s="224">
        <f t="shared" si="34"/>
        <v>2</v>
      </c>
      <c r="D146" s="523" t="str">
        <f>IF(OR(données_step[[#This Row],[E_DBO5]]&lt;=0,données_step[[#This Row],[E_DBO5]]=""),"",données_step[[#This Row],[D_QTRAI]]*données_step[[#This Row],[E_DBO5]]/1000)</f>
        <v/>
      </c>
      <c r="E146" s="523" t="str">
        <f>IF(OR(données_step[[#This Row],[E_DCO]]&lt;=0,données_step[[#This Row],[E_DCO]]=""),"",données_step[[#This Row],[D_QTRAI]]*données_step[[#This Row],[E_DCO]]/1000)</f>
        <v/>
      </c>
      <c r="F146" s="523" t="str">
        <f>IF(OR(données_step[[#This Row],[E_COT]]&lt;=0,données_step[[#This Row],[E_COT]]=""),"",données_step[[#This Row],[D_QTRAI]]*données_step[[#This Row],[E_COT]]/1000)</f>
        <v/>
      </c>
      <c r="G146" s="523" t="str">
        <f>IF(OR(données_step[[#This Row],[E_NH4]]&lt;=0,données_step[[#This Row],[E_NH4]]=""),"",données_step[[#This Row],[D_QTRAI]]*données_step[[#This Row],[E_NH4]]/1000)</f>
        <v/>
      </c>
      <c r="H146" s="523" t="str">
        <f>IF(OR(données_step[[#This Row],[E_NTOT]]&lt;=0,données_step[[#This Row],[E_NTOT]]=""),"",données_step[[#This Row],[D_QTRAI]]*données_step[[#This Row],[E_NTOT]]/1000)</f>
        <v/>
      </c>
      <c r="I146" s="523" t="str">
        <f>IF(OR(données_step[[#This Row],[E_NTOT]]&lt;=0,données_step[[#This Row],[E_NTOT]]=""),"",données_step[[#This Row],[D_QTRAI]]*données_step[[#This Row],[E_PTOT]]/1000)</f>
        <v/>
      </c>
      <c r="J146" s="523" t="str">
        <f>IF(OR(données_step[[#This Row],[S_DBO5]]&lt;=0,données_step[[#This Row],[S_DBO5]]=""),"",données_step[[#This Row],[D_QTRAI]]*données_step[[#This Row],[S_DBO5]]/1000)</f>
        <v/>
      </c>
      <c r="K146" s="523" t="str">
        <f>IF(OR(données_step[[#This Row],[S_DCO]]&lt;=0,données_step[[#This Row],[S_DCO]]=""),"",données_step[[#This Row],[D_QTRAI]]*données_step[[#This Row],[S_DCO]]/1000)</f>
        <v/>
      </c>
      <c r="L146" s="523" t="str">
        <f>IF(OR(données_step[[#This Row],[S_COD]]&lt;=0,données_step[[#This Row],[S_COD]]=""),"",données_step[[#This Row],[D_QTRAI]]*données_step[[#This Row],[S_COD]]/1000)</f>
        <v/>
      </c>
      <c r="M146" s="523" t="str">
        <f>IF(OR(données_step[[#This Row],[S_NH4]]&lt;=0,données_step[[#This Row],[S_NH4]]=""),"",données_step[[#This Row],[D_QTRAI]]*données_step[[#This Row],[S_NH4]]/1000)</f>
        <v/>
      </c>
      <c r="N146" s="523" t="str">
        <f>IF(OR(données_step[[#This Row],[S_NO2]]&lt;=0,données_step[[#This Row],[S_NO2]]=""),"",données_step[[#This Row],[D_QTRAI]]*données_step[[#This Row],[S_NO2]]/1000)</f>
        <v/>
      </c>
      <c r="O146" s="523" t="str">
        <f>IF(OR(données_step[[#This Row],[S_NO3]]&lt;=0,données_step[[#This Row],[S_NO3]]=""),"",données_step[[#This Row],[D_QTRAI]]*données_step[[#This Row],[S_NO3]]/1000)</f>
        <v/>
      </c>
      <c r="P146" s="523" t="str">
        <f>IF(OR(données_step[[#This Row],[S_PTOT]]&lt;=0,données_step[[#This Row],[S_PTOT]]=""),"",données_step[[#This Row],[D_QTRAI]]*données_step[[#This Row],[S_PTOT]]/1000)</f>
        <v/>
      </c>
      <c r="Q146" s="523" t="str">
        <f>IF(OR(données_step[[#This Row],[S_MES]]&lt;=0,données_step[[#This Row],[S_MES]]=""),"",données_step[[#This Row],[D_QTRAI]]*données_step[[#This Row],[S_MES]]/1000)</f>
        <v/>
      </c>
      <c r="R146" s="523">
        <f>MAX(données_step[[#This Row],[D_QTRAI]],données_step[[#This Row],[D_QTRAI2]])</f>
        <v>0</v>
      </c>
      <c r="S146" s="523" t="str">
        <f>IF(AND($R146&gt;0,données_step[[#This Row],[E_DCO]]&gt;0),données_step[[#This Row],[E_DCO]],"")</f>
        <v/>
      </c>
      <c r="T146" s="523" t="str">
        <f>IF(S146="","",(1-données_step[[#This Row],[E_DCO]]/$V$7)*100)</f>
        <v/>
      </c>
      <c r="U146" s="523" t="str">
        <f t="shared" si="35"/>
        <v/>
      </c>
      <c r="V146" s="523" t="str">
        <f t="shared" si="36"/>
        <v/>
      </c>
      <c r="W146" s="523" t="str">
        <f t="shared" si="37"/>
        <v/>
      </c>
      <c r="X146" s="523" t="e">
        <f>IF(((100-100/$V$7*données_step[[#This Row],[E_DCO]])/100*QTS)&lt;0,NA(),IF(OR(U146&lt;0,U146=""),NA(),((100-100/$V$7*données_step[[#This Row],[E_DCO]])/100*QTS)))</f>
        <v>#NUM!</v>
      </c>
      <c r="Y146" s="523" t="str">
        <f>IF(AND($R146&gt;0,données_step[[#This Row],[E_COT]]&gt;0),données_step[[#This Row],[E_COT]],"")</f>
        <v/>
      </c>
      <c r="Z146" s="523" t="str">
        <f>IF(Y146="","",(1-données_step[[#This Row],[E_COT]]/$AB$7)*100)</f>
        <v/>
      </c>
      <c r="AA146" s="523" t="str">
        <f t="shared" si="38"/>
        <v/>
      </c>
      <c r="AB146" s="523" t="str">
        <f t="shared" si="39"/>
        <v/>
      </c>
      <c r="AC146" s="523" t="str">
        <f t="shared" si="40"/>
        <v/>
      </c>
      <c r="AD146" s="523" t="e">
        <f>IF(((100-100/$AB$7*données_step[[#This Row],[E_COT]])/100*QTS)&lt;0,NA(),IF(OR(AA146&lt;0,AA146=""),NA(),((100-100/$AB$7*données_step[[#This Row],[E_COT]])/100*QTS)))</f>
        <v>#NUM!</v>
      </c>
      <c r="AE146" s="523" t="str">
        <f>IF(AND($R146&gt;0,données_step[[#This Row],[E_NH4]]&gt;0),données_step[[#This Row],[E_NH4]],"")</f>
        <v/>
      </c>
      <c r="AF146" s="523" t="str">
        <f>IF(AE146="","",(1-données_step[[#This Row],[E_NH4]]/$AH$7)*100)</f>
        <v/>
      </c>
      <c r="AG146" s="523" t="str">
        <f t="shared" si="41"/>
        <v/>
      </c>
      <c r="AH146" s="523" t="str">
        <f t="shared" si="42"/>
        <v/>
      </c>
      <c r="AI146" s="523" t="str">
        <f t="shared" si="43"/>
        <v/>
      </c>
      <c r="AJ146" s="523" t="e">
        <f>IF(((100-100/$AH$7*données_step[[#This Row],[E_NH4]])/100*QTS)&lt;0,NA(),IF(OR(AG146&lt;0,AG146=""),NA(),((100-100/$AH$7*données_step[[#This Row],[E_NH4]])/100*QTS)))</f>
        <v>#NUM!</v>
      </c>
      <c r="AK146" s="523" t="str">
        <f>IF(AND($R146&gt;0,données_step[[#This Row],[E_PTOT]]&gt;0),données_step[[#This Row],[E_PTOT]],"")</f>
        <v/>
      </c>
      <c r="AL146" s="523" t="str">
        <f>IF(AK146="","",(1-données_step[[#This Row],[E_PTOT]]/$AN$7)*100)</f>
        <v/>
      </c>
      <c r="AM146" s="523" t="str">
        <f t="shared" si="44"/>
        <v/>
      </c>
      <c r="AN146" s="523" t="str">
        <f t="shared" si="45"/>
        <v/>
      </c>
      <c r="AO146" s="523" t="str">
        <f t="shared" si="46"/>
        <v/>
      </c>
      <c r="AP146" s="523" t="e">
        <f>IF(((100-100/$AN$7*données_step[[#This Row],[E_PTOT]])/100*QTS)&lt;0,NA(),IF(OR(AM146&lt;0,AM146=""),NA(),((100-100/$AN$7*données_step[[#This Row],[E_PTOT]])/100*QTS)))</f>
        <v>#NUM!</v>
      </c>
      <c r="AQ146" s="524" t="e">
        <f t="shared" si="47"/>
        <v>#NUM!</v>
      </c>
      <c r="AR146" s="524" t="str">
        <f t="shared" si="48"/>
        <v/>
      </c>
      <c r="AY146" s="523" t="str">
        <f>_xlfn.IFNA(IF(données_step[[#This Row],[E_DCO]]&lt;=0,NA(),charge_entree[[#This Row],[ch_E_DCO]]/constanten!$B$8*1000),"")</f>
        <v/>
      </c>
      <c r="AZ146" s="523" t="str">
        <f>_xlfn.IFNA(IF(données_step[[#This Row],[E_NTOT]]&lt;=0,NA(),charge_entree[[#This Row],[ch_E_NTOT]]/constanten!$B$10*1000),"")</f>
        <v/>
      </c>
      <c r="BA146" s="523" t="str">
        <f>_xlfn.IFNA(IF(données_step[[#This Row],[E_NH4]]&lt;=0,NA(),charge_entree[[#This Row],[ch_E_NH4]]/constanten!$B$12*1000),"")</f>
        <v/>
      </c>
      <c r="BB146" s="523" t="str">
        <f>_xlfn.IFNA(IF(données_step[[#This Row],[E_COT]]&lt;=0,NA(),charge_entree[[#This Row],[ch_E_COT]]/constanten!$B$9*1000),"")</f>
        <v/>
      </c>
      <c r="BC146" s="523" t="str">
        <f>IFERROR(_xlfn.IFNA(IF(données_step[[#This Row],[E_PTOT]]&lt;=0,NA(),charge_entree[[#This Row],[ch_E_PTOT]]/constanten!$B$15*1000),""),"")</f>
        <v/>
      </c>
      <c r="BD146" s="535" t="e">
        <f>calculs!E146 * (1-0.4) / (données_step[[#This Row],[X_BA_VOL]]*données_step[[#This Row],[X_BACONC]])</f>
        <v>#VALUE!</v>
      </c>
      <c r="BE146" s="522" t="e">
        <f>(données_step[[#This Row],[X_BA_VOL]]*données_step[[#This Row],[X_BACONC]])/((données_step[[#This Row],[D_QTRAI2]]*données_step[[#This Row],[S_MES]]/1000)+(données_step[[#This Row],[X_BX_Q]]*données_step[[#This Row],[X_BXCONC]]))</f>
        <v>#VALUE!</v>
      </c>
      <c r="BF146" s="890" t="str">
        <f>IFERROR(données_step[[#This Row],[D_QTRAI]]/AY146*1000,"")</f>
        <v/>
      </c>
      <c r="BG146" s="535" t="str">
        <f>IFERROR(1-données_step[[#This Row],[S_DBO5]]/données_step[[#This Row],[E_DBO5]],"")</f>
        <v/>
      </c>
      <c r="BH146" s="536" t="str">
        <f>IFERROR(1-données_step[[#This Row],[S_DCO]]/données_step[[#This Row],[E_DCO]],"")</f>
        <v/>
      </c>
      <c r="BI146" s="535" t="str">
        <f>IFERROR(1-données_step[[#This Row],[S_COD]]/données_step[[#This Row],[E_COT]],"")</f>
        <v/>
      </c>
      <c r="BJ146" s="535" t="str">
        <f>IFERROR(1-données_step[[#This Row],[S_NH4]]/données_step[[#This Row],[E_NTOT]],"")</f>
        <v/>
      </c>
      <c r="BK146" s="535" t="str">
        <f>IFERROR(1-données_step[[#This Row],[S_PTOT]]/données_step[[#This Row],[E_PTOT]],"")</f>
        <v/>
      </c>
      <c r="BL146" s="521" t="str">
        <f>IFERROR(IF(données_step[[#This Row],[E_DCO]]/données_step[[#This Row],[E_DBO5]]=0,NA(),données_step[[#This Row],[E_DCO]]/données_step[[#This Row],[E_DBO5]]),"")</f>
        <v/>
      </c>
      <c r="BM146" s="521" t="str">
        <f>IFERROR(IF(données_step[[#This Row],[E_NH4]]/données_step[[#This Row],[E_NTOT]]=0,NA(),données_step[[#This Row],[E_NH4]]/données_step[[#This Row],[E_NTOT]]),"")</f>
        <v/>
      </c>
      <c r="BN146" s="521" t="str">
        <f>IFERROR(IF(données_step[[#This Row],[E_NTOT]]/données_step[[#This Row],[E_COT]]=0,NA(),données_step[[#This Row],[E_NTOT]]/données_step[[#This Row],[E_COT]]),"")</f>
        <v/>
      </c>
      <c r="BO146" s="521" t="str">
        <f>IFERROR(IF(données_step[[#This Row],[E_PTOT]]/données_step[[#This Row],[E_COT]]=0,NA(),données_step[[#This Row],[E_PTOT]]/données_step[[#This Row],[E_COT]]),"")</f>
        <v/>
      </c>
      <c r="BP146" s="521" t="e">
        <f>IF(données_step[[#This Row],[E_DCO]]/données_step[[#This Row],[E_COT]]=0,NA(),données_step[[#This Row],[E_DCO]]/données_step[[#This Row],[E_COT]])</f>
        <v>#DIV/0!</v>
      </c>
      <c r="BQ146" s="521" t="e">
        <f>IF(données_step[[#This Row],[E_NTOT]]/données_step[[#This Row],[E_DCO]]=0,NA(),données_step[[#This Row],[E_NTOT]]/données_step[[#This Row],[E_DCO]])</f>
        <v>#DIV/0!</v>
      </c>
      <c r="BR146" s="521" t="e">
        <f>IF(données_step[[#This Row],[E_PTOT]]/données_step[[#This Row],[E_DCO]]=0,NA(),données_step[[#This Row],[E_PTOT]]/données_step[[#This Row],[E_DCO]])</f>
        <v>#DIV/0!</v>
      </c>
      <c r="BS146" s="747" t="e">
        <f ca="1">test_NH4_temp(données_step[[#This Row],[S_NH4]],données_step[[#This Row],[Temp_eaux]])</f>
        <v>#NAME?</v>
      </c>
    </row>
    <row r="147" spans="1:71" x14ac:dyDescent="0.2">
      <c r="A147" s="222">
        <f>données_step[[#This Row],[Datum]]</f>
        <v>44698</v>
      </c>
      <c r="B147" s="223"/>
      <c r="C147" s="224">
        <f t="shared" si="34"/>
        <v>3</v>
      </c>
      <c r="D147" s="523" t="str">
        <f>IF(OR(données_step[[#This Row],[E_DBO5]]&lt;=0,données_step[[#This Row],[E_DBO5]]=""),"",données_step[[#This Row],[D_QTRAI]]*données_step[[#This Row],[E_DBO5]]/1000)</f>
        <v/>
      </c>
      <c r="E147" s="523" t="str">
        <f>IF(OR(données_step[[#This Row],[E_DCO]]&lt;=0,données_step[[#This Row],[E_DCO]]=""),"",données_step[[#This Row],[D_QTRAI]]*données_step[[#This Row],[E_DCO]]/1000)</f>
        <v/>
      </c>
      <c r="F147" s="523" t="str">
        <f>IF(OR(données_step[[#This Row],[E_COT]]&lt;=0,données_step[[#This Row],[E_COT]]=""),"",données_step[[#This Row],[D_QTRAI]]*données_step[[#This Row],[E_COT]]/1000)</f>
        <v/>
      </c>
      <c r="G147" s="523" t="str">
        <f>IF(OR(données_step[[#This Row],[E_NH4]]&lt;=0,données_step[[#This Row],[E_NH4]]=""),"",données_step[[#This Row],[D_QTRAI]]*données_step[[#This Row],[E_NH4]]/1000)</f>
        <v/>
      </c>
      <c r="H147" s="523" t="str">
        <f>IF(OR(données_step[[#This Row],[E_NTOT]]&lt;=0,données_step[[#This Row],[E_NTOT]]=""),"",données_step[[#This Row],[D_QTRAI]]*données_step[[#This Row],[E_NTOT]]/1000)</f>
        <v/>
      </c>
      <c r="I147" s="523" t="str">
        <f>IF(OR(données_step[[#This Row],[E_NTOT]]&lt;=0,données_step[[#This Row],[E_NTOT]]=""),"",données_step[[#This Row],[D_QTRAI]]*données_step[[#This Row],[E_PTOT]]/1000)</f>
        <v/>
      </c>
      <c r="J147" s="523" t="str">
        <f>IF(OR(données_step[[#This Row],[S_DBO5]]&lt;=0,données_step[[#This Row],[S_DBO5]]=""),"",données_step[[#This Row],[D_QTRAI]]*données_step[[#This Row],[S_DBO5]]/1000)</f>
        <v/>
      </c>
      <c r="K147" s="523" t="str">
        <f>IF(OR(données_step[[#This Row],[S_DCO]]&lt;=0,données_step[[#This Row],[S_DCO]]=""),"",données_step[[#This Row],[D_QTRAI]]*données_step[[#This Row],[S_DCO]]/1000)</f>
        <v/>
      </c>
      <c r="L147" s="523" t="str">
        <f>IF(OR(données_step[[#This Row],[S_COD]]&lt;=0,données_step[[#This Row],[S_COD]]=""),"",données_step[[#This Row],[D_QTRAI]]*données_step[[#This Row],[S_COD]]/1000)</f>
        <v/>
      </c>
      <c r="M147" s="523" t="str">
        <f>IF(OR(données_step[[#This Row],[S_NH4]]&lt;=0,données_step[[#This Row],[S_NH4]]=""),"",données_step[[#This Row],[D_QTRAI]]*données_step[[#This Row],[S_NH4]]/1000)</f>
        <v/>
      </c>
      <c r="N147" s="523" t="str">
        <f>IF(OR(données_step[[#This Row],[S_NO2]]&lt;=0,données_step[[#This Row],[S_NO2]]=""),"",données_step[[#This Row],[D_QTRAI]]*données_step[[#This Row],[S_NO2]]/1000)</f>
        <v/>
      </c>
      <c r="O147" s="523" t="str">
        <f>IF(OR(données_step[[#This Row],[S_NO3]]&lt;=0,données_step[[#This Row],[S_NO3]]=""),"",données_step[[#This Row],[D_QTRAI]]*données_step[[#This Row],[S_NO3]]/1000)</f>
        <v/>
      </c>
      <c r="P147" s="523" t="str">
        <f>IF(OR(données_step[[#This Row],[S_PTOT]]&lt;=0,données_step[[#This Row],[S_PTOT]]=""),"",données_step[[#This Row],[D_QTRAI]]*données_step[[#This Row],[S_PTOT]]/1000)</f>
        <v/>
      </c>
      <c r="Q147" s="523" t="str">
        <f>IF(OR(données_step[[#This Row],[S_MES]]&lt;=0,données_step[[#This Row],[S_MES]]=""),"",données_step[[#This Row],[D_QTRAI]]*données_step[[#This Row],[S_MES]]/1000)</f>
        <v/>
      </c>
      <c r="R147" s="523">
        <f>MAX(données_step[[#This Row],[D_QTRAI]],données_step[[#This Row],[D_QTRAI2]])</f>
        <v>0</v>
      </c>
      <c r="S147" s="523" t="str">
        <f>IF(AND($R147&gt;0,données_step[[#This Row],[E_DCO]]&gt;0),données_step[[#This Row],[E_DCO]],"")</f>
        <v/>
      </c>
      <c r="T147" s="523" t="str">
        <f>IF(S147="","",(1-données_step[[#This Row],[E_DCO]]/$V$7)*100)</f>
        <v/>
      </c>
      <c r="U147" s="523" t="str">
        <f t="shared" si="35"/>
        <v/>
      </c>
      <c r="V147" s="523" t="str">
        <f t="shared" si="36"/>
        <v/>
      </c>
      <c r="W147" s="523" t="str">
        <f t="shared" si="37"/>
        <v/>
      </c>
      <c r="X147" s="523" t="e">
        <f>IF(((100-100/$V$7*données_step[[#This Row],[E_DCO]])/100*QTS)&lt;0,NA(),IF(OR(U147&lt;0,U147=""),NA(),((100-100/$V$7*données_step[[#This Row],[E_DCO]])/100*QTS)))</f>
        <v>#NUM!</v>
      </c>
      <c r="Y147" s="523" t="str">
        <f>IF(AND($R147&gt;0,données_step[[#This Row],[E_COT]]&gt;0),données_step[[#This Row],[E_COT]],"")</f>
        <v/>
      </c>
      <c r="Z147" s="523" t="str">
        <f>IF(Y147="","",(1-données_step[[#This Row],[E_COT]]/$AB$7)*100)</f>
        <v/>
      </c>
      <c r="AA147" s="523" t="str">
        <f t="shared" si="38"/>
        <v/>
      </c>
      <c r="AB147" s="523" t="str">
        <f t="shared" si="39"/>
        <v/>
      </c>
      <c r="AC147" s="523" t="str">
        <f t="shared" si="40"/>
        <v/>
      </c>
      <c r="AD147" s="523" t="e">
        <f>IF(((100-100/$AB$7*données_step[[#This Row],[E_COT]])/100*QTS)&lt;0,NA(),IF(OR(AA147&lt;0,AA147=""),NA(),((100-100/$AB$7*données_step[[#This Row],[E_COT]])/100*QTS)))</f>
        <v>#NUM!</v>
      </c>
      <c r="AE147" s="523" t="str">
        <f>IF(AND($R147&gt;0,données_step[[#This Row],[E_NH4]]&gt;0),données_step[[#This Row],[E_NH4]],"")</f>
        <v/>
      </c>
      <c r="AF147" s="523" t="str">
        <f>IF(AE147="","",(1-données_step[[#This Row],[E_NH4]]/$AH$7)*100)</f>
        <v/>
      </c>
      <c r="AG147" s="523" t="str">
        <f t="shared" si="41"/>
        <v/>
      </c>
      <c r="AH147" s="523" t="str">
        <f t="shared" si="42"/>
        <v/>
      </c>
      <c r="AI147" s="523" t="str">
        <f t="shared" si="43"/>
        <v/>
      </c>
      <c r="AJ147" s="523" t="e">
        <f>IF(((100-100/$AH$7*données_step[[#This Row],[E_NH4]])/100*QTS)&lt;0,NA(),IF(OR(AG147&lt;0,AG147=""),NA(),((100-100/$AH$7*données_step[[#This Row],[E_NH4]])/100*QTS)))</f>
        <v>#NUM!</v>
      </c>
      <c r="AK147" s="523" t="str">
        <f>IF(AND($R147&gt;0,données_step[[#This Row],[E_PTOT]]&gt;0),données_step[[#This Row],[E_PTOT]],"")</f>
        <v/>
      </c>
      <c r="AL147" s="523" t="str">
        <f>IF(AK147="","",(1-données_step[[#This Row],[E_PTOT]]/$AN$7)*100)</f>
        <v/>
      </c>
      <c r="AM147" s="523" t="str">
        <f t="shared" si="44"/>
        <v/>
      </c>
      <c r="AN147" s="523" t="str">
        <f t="shared" si="45"/>
        <v/>
      </c>
      <c r="AO147" s="523" t="str">
        <f t="shared" si="46"/>
        <v/>
      </c>
      <c r="AP147" s="523" t="e">
        <f>IF(((100-100/$AN$7*données_step[[#This Row],[E_PTOT]])/100*QTS)&lt;0,NA(),IF(OR(AM147&lt;0,AM147=""),NA(),((100-100/$AN$7*données_step[[#This Row],[E_PTOT]])/100*QTS)))</f>
        <v>#NUM!</v>
      </c>
      <c r="AQ147" s="524" t="e">
        <f t="shared" si="47"/>
        <v>#NUM!</v>
      </c>
      <c r="AR147" s="524" t="str">
        <f t="shared" si="48"/>
        <v/>
      </c>
      <c r="AY147" s="523" t="str">
        <f>_xlfn.IFNA(IF(données_step[[#This Row],[E_DCO]]&lt;=0,NA(),charge_entree[[#This Row],[ch_E_DCO]]/constanten!$B$8*1000),"")</f>
        <v/>
      </c>
      <c r="AZ147" s="523" t="str">
        <f>_xlfn.IFNA(IF(données_step[[#This Row],[E_NTOT]]&lt;=0,NA(),charge_entree[[#This Row],[ch_E_NTOT]]/constanten!$B$10*1000),"")</f>
        <v/>
      </c>
      <c r="BA147" s="523" t="str">
        <f>_xlfn.IFNA(IF(données_step[[#This Row],[E_NH4]]&lt;=0,NA(),charge_entree[[#This Row],[ch_E_NH4]]/constanten!$B$12*1000),"")</f>
        <v/>
      </c>
      <c r="BB147" s="523" t="str">
        <f>_xlfn.IFNA(IF(données_step[[#This Row],[E_COT]]&lt;=0,NA(),charge_entree[[#This Row],[ch_E_COT]]/constanten!$B$9*1000),"")</f>
        <v/>
      </c>
      <c r="BC147" s="523" t="str">
        <f>IFERROR(_xlfn.IFNA(IF(données_step[[#This Row],[E_PTOT]]&lt;=0,NA(),charge_entree[[#This Row],[ch_E_PTOT]]/constanten!$B$15*1000),""),"")</f>
        <v/>
      </c>
      <c r="BD147" s="535" t="e">
        <f>calculs!E147 * (1-0.4) / (données_step[[#This Row],[X_BA_VOL]]*données_step[[#This Row],[X_BACONC]])</f>
        <v>#VALUE!</v>
      </c>
      <c r="BE147" s="522" t="e">
        <f>(données_step[[#This Row],[X_BA_VOL]]*données_step[[#This Row],[X_BACONC]])/((données_step[[#This Row],[D_QTRAI2]]*données_step[[#This Row],[S_MES]]/1000)+(données_step[[#This Row],[X_BX_Q]]*données_step[[#This Row],[X_BXCONC]]))</f>
        <v>#VALUE!</v>
      </c>
      <c r="BF147" s="890" t="str">
        <f>IFERROR(données_step[[#This Row],[D_QTRAI]]/AY147*1000,"")</f>
        <v/>
      </c>
      <c r="BG147" s="535" t="str">
        <f>IFERROR(1-données_step[[#This Row],[S_DBO5]]/données_step[[#This Row],[E_DBO5]],"")</f>
        <v/>
      </c>
      <c r="BH147" s="536" t="str">
        <f>IFERROR(1-données_step[[#This Row],[S_DCO]]/données_step[[#This Row],[E_DCO]],"")</f>
        <v/>
      </c>
      <c r="BI147" s="535" t="str">
        <f>IFERROR(1-données_step[[#This Row],[S_COD]]/données_step[[#This Row],[E_COT]],"")</f>
        <v/>
      </c>
      <c r="BJ147" s="535" t="str">
        <f>IFERROR(1-données_step[[#This Row],[S_NH4]]/données_step[[#This Row],[E_NTOT]],"")</f>
        <v/>
      </c>
      <c r="BK147" s="535" t="str">
        <f>IFERROR(1-données_step[[#This Row],[S_PTOT]]/données_step[[#This Row],[E_PTOT]],"")</f>
        <v/>
      </c>
      <c r="BL147" s="521" t="str">
        <f>IFERROR(IF(données_step[[#This Row],[E_DCO]]/données_step[[#This Row],[E_DBO5]]=0,NA(),données_step[[#This Row],[E_DCO]]/données_step[[#This Row],[E_DBO5]]),"")</f>
        <v/>
      </c>
      <c r="BM147" s="521" t="str">
        <f>IFERROR(IF(données_step[[#This Row],[E_NH4]]/données_step[[#This Row],[E_NTOT]]=0,NA(),données_step[[#This Row],[E_NH4]]/données_step[[#This Row],[E_NTOT]]),"")</f>
        <v/>
      </c>
      <c r="BN147" s="521" t="str">
        <f>IFERROR(IF(données_step[[#This Row],[E_NTOT]]/données_step[[#This Row],[E_COT]]=0,NA(),données_step[[#This Row],[E_NTOT]]/données_step[[#This Row],[E_COT]]),"")</f>
        <v/>
      </c>
      <c r="BO147" s="521" t="str">
        <f>IFERROR(IF(données_step[[#This Row],[E_PTOT]]/données_step[[#This Row],[E_COT]]=0,NA(),données_step[[#This Row],[E_PTOT]]/données_step[[#This Row],[E_COT]]),"")</f>
        <v/>
      </c>
      <c r="BP147" s="521" t="e">
        <f>IF(données_step[[#This Row],[E_DCO]]/données_step[[#This Row],[E_COT]]=0,NA(),données_step[[#This Row],[E_DCO]]/données_step[[#This Row],[E_COT]])</f>
        <v>#DIV/0!</v>
      </c>
      <c r="BQ147" s="521" t="e">
        <f>IF(données_step[[#This Row],[E_NTOT]]/données_step[[#This Row],[E_DCO]]=0,NA(),données_step[[#This Row],[E_NTOT]]/données_step[[#This Row],[E_DCO]])</f>
        <v>#DIV/0!</v>
      </c>
      <c r="BR147" s="521" t="e">
        <f>IF(données_step[[#This Row],[E_PTOT]]/données_step[[#This Row],[E_DCO]]=0,NA(),données_step[[#This Row],[E_PTOT]]/données_step[[#This Row],[E_DCO]])</f>
        <v>#DIV/0!</v>
      </c>
      <c r="BS147" s="747" t="e">
        <f ca="1">test_NH4_temp(données_step[[#This Row],[S_NH4]],données_step[[#This Row],[Temp_eaux]])</f>
        <v>#NAME?</v>
      </c>
    </row>
    <row r="148" spans="1:71" x14ac:dyDescent="0.2">
      <c r="A148" s="222">
        <f>données_step[[#This Row],[Datum]]</f>
        <v>44699</v>
      </c>
      <c r="B148" s="223"/>
      <c r="C148" s="224">
        <f t="shared" si="34"/>
        <v>4</v>
      </c>
      <c r="D148" s="523" t="str">
        <f>IF(OR(données_step[[#This Row],[E_DBO5]]&lt;=0,données_step[[#This Row],[E_DBO5]]=""),"",données_step[[#This Row],[D_QTRAI]]*données_step[[#This Row],[E_DBO5]]/1000)</f>
        <v/>
      </c>
      <c r="E148" s="523" t="str">
        <f>IF(OR(données_step[[#This Row],[E_DCO]]&lt;=0,données_step[[#This Row],[E_DCO]]=""),"",données_step[[#This Row],[D_QTRAI]]*données_step[[#This Row],[E_DCO]]/1000)</f>
        <v/>
      </c>
      <c r="F148" s="523" t="str">
        <f>IF(OR(données_step[[#This Row],[E_COT]]&lt;=0,données_step[[#This Row],[E_COT]]=""),"",données_step[[#This Row],[D_QTRAI]]*données_step[[#This Row],[E_COT]]/1000)</f>
        <v/>
      </c>
      <c r="G148" s="523" t="str">
        <f>IF(OR(données_step[[#This Row],[E_NH4]]&lt;=0,données_step[[#This Row],[E_NH4]]=""),"",données_step[[#This Row],[D_QTRAI]]*données_step[[#This Row],[E_NH4]]/1000)</f>
        <v/>
      </c>
      <c r="H148" s="523" t="str">
        <f>IF(OR(données_step[[#This Row],[E_NTOT]]&lt;=0,données_step[[#This Row],[E_NTOT]]=""),"",données_step[[#This Row],[D_QTRAI]]*données_step[[#This Row],[E_NTOT]]/1000)</f>
        <v/>
      </c>
      <c r="I148" s="523" t="str">
        <f>IF(OR(données_step[[#This Row],[E_NTOT]]&lt;=0,données_step[[#This Row],[E_NTOT]]=""),"",données_step[[#This Row],[D_QTRAI]]*données_step[[#This Row],[E_PTOT]]/1000)</f>
        <v/>
      </c>
      <c r="J148" s="523" t="str">
        <f>IF(OR(données_step[[#This Row],[S_DBO5]]&lt;=0,données_step[[#This Row],[S_DBO5]]=""),"",données_step[[#This Row],[D_QTRAI]]*données_step[[#This Row],[S_DBO5]]/1000)</f>
        <v/>
      </c>
      <c r="K148" s="523" t="str">
        <f>IF(OR(données_step[[#This Row],[S_DCO]]&lt;=0,données_step[[#This Row],[S_DCO]]=""),"",données_step[[#This Row],[D_QTRAI]]*données_step[[#This Row],[S_DCO]]/1000)</f>
        <v/>
      </c>
      <c r="L148" s="523" t="str">
        <f>IF(OR(données_step[[#This Row],[S_COD]]&lt;=0,données_step[[#This Row],[S_COD]]=""),"",données_step[[#This Row],[D_QTRAI]]*données_step[[#This Row],[S_COD]]/1000)</f>
        <v/>
      </c>
      <c r="M148" s="523" t="str">
        <f>IF(OR(données_step[[#This Row],[S_NH4]]&lt;=0,données_step[[#This Row],[S_NH4]]=""),"",données_step[[#This Row],[D_QTRAI]]*données_step[[#This Row],[S_NH4]]/1000)</f>
        <v/>
      </c>
      <c r="N148" s="523" t="str">
        <f>IF(OR(données_step[[#This Row],[S_NO2]]&lt;=0,données_step[[#This Row],[S_NO2]]=""),"",données_step[[#This Row],[D_QTRAI]]*données_step[[#This Row],[S_NO2]]/1000)</f>
        <v/>
      </c>
      <c r="O148" s="523" t="str">
        <f>IF(OR(données_step[[#This Row],[S_NO3]]&lt;=0,données_step[[#This Row],[S_NO3]]=""),"",données_step[[#This Row],[D_QTRAI]]*données_step[[#This Row],[S_NO3]]/1000)</f>
        <v/>
      </c>
      <c r="P148" s="523" t="str">
        <f>IF(OR(données_step[[#This Row],[S_PTOT]]&lt;=0,données_step[[#This Row],[S_PTOT]]=""),"",données_step[[#This Row],[D_QTRAI]]*données_step[[#This Row],[S_PTOT]]/1000)</f>
        <v/>
      </c>
      <c r="Q148" s="523" t="str">
        <f>IF(OR(données_step[[#This Row],[S_MES]]&lt;=0,données_step[[#This Row],[S_MES]]=""),"",données_step[[#This Row],[D_QTRAI]]*données_step[[#This Row],[S_MES]]/1000)</f>
        <v/>
      </c>
      <c r="R148" s="523">
        <f>MAX(données_step[[#This Row],[D_QTRAI]],données_step[[#This Row],[D_QTRAI2]])</f>
        <v>0</v>
      </c>
      <c r="S148" s="523" t="str">
        <f>IF(AND($R148&gt;0,données_step[[#This Row],[E_DCO]]&gt;0),données_step[[#This Row],[E_DCO]],"")</f>
        <v/>
      </c>
      <c r="T148" s="523" t="str">
        <f>IF(S148="","",(1-données_step[[#This Row],[E_DCO]]/$V$7)*100)</f>
        <v/>
      </c>
      <c r="U148" s="523" t="str">
        <f t="shared" si="35"/>
        <v/>
      </c>
      <c r="V148" s="523" t="str">
        <f t="shared" si="36"/>
        <v/>
      </c>
      <c r="W148" s="523" t="str">
        <f t="shared" si="37"/>
        <v/>
      </c>
      <c r="X148" s="523" t="e">
        <f>IF(((100-100/$V$7*données_step[[#This Row],[E_DCO]])/100*QTS)&lt;0,NA(),IF(OR(U148&lt;0,U148=""),NA(),((100-100/$V$7*données_step[[#This Row],[E_DCO]])/100*QTS)))</f>
        <v>#NUM!</v>
      </c>
      <c r="Y148" s="523" t="str">
        <f>IF(AND($R148&gt;0,données_step[[#This Row],[E_COT]]&gt;0),données_step[[#This Row],[E_COT]],"")</f>
        <v/>
      </c>
      <c r="Z148" s="523" t="str">
        <f>IF(Y148="","",(1-données_step[[#This Row],[E_COT]]/$AB$7)*100)</f>
        <v/>
      </c>
      <c r="AA148" s="523" t="str">
        <f t="shared" si="38"/>
        <v/>
      </c>
      <c r="AB148" s="523" t="str">
        <f t="shared" si="39"/>
        <v/>
      </c>
      <c r="AC148" s="523" t="str">
        <f t="shared" si="40"/>
        <v/>
      </c>
      <c r="AD148" s="523" t="e">
        <f>IF(((100-100/$AB$7*données_step[[#This Row],[E_COT]])/100*QTS)&lt;0,NA(),IF(OR(AA148&lt;0,AA148=""),NA(),((100-100/$AB$7*données_step[[#This Row],[E_COT]])/100*QTS)))</f>
        <v>#NUM!</v>
      </c>
      <c r="AE148" s="523" t="str">
        <f>IF(AND($R148&gt;0,données_step[[#This Row],[E_NH4]]&gt;0),données_step[[#This Row],[E_NH4]],"")</f>
        <v/>
      </c>
      <c r="AF148" s="523" t="str">
        <f>IF(AE148="","",(1-données_step[[#This Row],[E_NH4]]/$AH$7)*100)</f>
        <v/>
      </c>
      <c r="AG148" s="523" t="str">
        <f t="shared" si="41"/>
        <v/>
      </c>
      <c r="AH148" s="523" t="str">
        <f t="shared" si="42"/>
        <v/>
      </c>
      <c r="AI148" s="523" t="str">
        <f t="shared" si="43"/>
        <v/>
      </c>
      <c r="AJ148" s="523" t="e">
        <f>IF(((100-100/$AH$7*données_step[[#This Row],[E_NH4]])/100*QTS)&lt;0,NA(),IF(OR(AG148&lt;0,AG148=""),NA(),((100-100/$AH$7*données_step[[#This Row],[E_NH4]])/100*QTS)))</f>
        <v>#NUM!</v>
      </c>
      <c r="AK148" s="523" t="str">
        <f>IF(AND($R148&gt;0,données_step[[#This Row],[E_PTOT]]&gt;0),données_step[[#This Row],[E_PTOT]],"")</f>
        <v/>
      </c>
      <c r="AL148" s="523" t="str">
        <f>IF(AK148="","",(1-données_step[[#This Row],[E_PTOT]]/$AN$7)*100)</f>
        <v/>
      </c>
      <c r="AM148" s="523" t="str">
        <f t="shared" si="44"/>
        <v/>
      </c>
      <c r="AN148" s="523" t="str">
        <f t="shared" si="45"/>
        <v/>
      </c>
      <c r="AO148" s="523" t="str">
        <f t="shared" si="46"/>
        <v/>
      </c>
      <c r="AP148" s="523" t="e">
        <f>IF(((100-100/$AN$7*données_step[[#This Row],[E_PTOT]])/100*QTS)&lt;0,NA(),IF(OR(AM148&lt;0,AM148=""),NA(),((100-100/$AN$7*données_step[[#This Row],[E_PTOT]])/100*QTS)))</f>
        <v>#NUM!</v>
      </c>
      <c r="AQ148" s="524" t="e">
        <f t="shared" si="47"/>
        <v>#NUM!</v>
      </c>
      <c r="AR148" s="524" t="str">
        <f t="shared" si="48"/>
        <v/>
      </c>
      <c r="AY148" s="523" t="str">
        <f>_xlfn.IFNA(IF(données_step[[#This Row],[E_DCO]]&lt;=0,NA(),charge_entree[[#This Row],[ch_E_DCO]]/constanten!$B$8*1000),"")</f>
        <v/>
      </c>
      <c r="AZ148" s="523" t="str">
        <f>_xlfn.IFNA(IF(données_step[[#This Row],[E_NTOT]]&lt;=0,NA(),charge_entree[[#This Row],[ch_E_NTOT]]/constanten!$B$10*1000),"")</f>
        <v/>
      </c>
      <c r="BA148" s="523" t="str">
        <f>_xlfn.IFNA(IF(données_step[[#This Row],[E_NH4]]&lt;=0,NA(),charge_entree[[#This Row],[ch_E_NH4]]/constanten!$B$12*1000),"")</f>
        <v/>
      </c>
      <c r="BB148" s="523" t="str">
        <f>_xlfn.IFNA(IF(données_step[[#This Row],[E_COT]]&lt;=0,NA(),charge_entree[[#This Row],[ch_E_COT]]/constanten!$B$9*1000),"")</f>
        <v/>
      </c>
      <c r="BC148" s="523" t="str">
        <f>IFERROR(_xlfn.IFNA(IF(données_step[[#This Row],[E_PTOT]]&lt;=0,NA(),charge_entree[[#This Row],[ch_E_PTOT]]/constanten!$B$15*1000),""),"")</f>
        <v/>
      </c>
      <c r="BD148" s="535" t="e">
        <f>calculs!E148 * (1-0.4) / (données_step[[#This Row],[X_BA_VOL]]*données_step[[#This Row],[X_BACONC]])</f>
        <v>#VALUE!</v>
      </c>
      <c r="BE148" s="522" t="e">
        <f>(données_step[[#This Row],[X_BA_VOL]]*données_step[[#This Row],[X_BACONC]])/((données_step[[#This Row],[D_QTRAI2]]*données_step[[#This Row],[S_MES]]/1000)+(données_step[[#This Row],[X_BX_Q]]*données_step[[#This Row],[X_BXCONC]]))</f>
        <v>#VALUE!</v>
      </c>
      <c r="BF148" s="890" t="str">
        <f>IFERROR(données_step[[#This Row],[D_QTRAI]]/AY148*1000,"")</f>
        <v/>
      </c>
      <c r="BG148" s="535" t="str">
        <f>IFERROR(1-données_step[[#This Row],[S_DBO5]]/données_step[[#This Row],[E_DBO5]],"")</f>
        <v/>
      </c>
      <c r="BH148" s="536" t="str">
        <f>IFERROR(1-données_step[[#This Row],[S_DCO]]/données_step[[#This Row],[E_DCO]],"")</f>
        <v/>
      </c>
      <c r="BI148" s="535" t="str">
        <f>IFERROR(1-données_step[[#This Row],[S_COD]]/données_step[[#This Row],[E_COT]],"")</f>
        <v/>
      </c>
      <c r="BJ148" s="535" t="str">
        <f>IFERROR(1-données_step[[#This Row],[S_NH4]]/données_step[[#This Row],[E_NTOT]],"")</f>
        <v/>
      </c>
      <c r="BK148" s="535" t="str">
        <f>IFERROR(1-données_step[[#This Row],[S_PTOT]]/données_step[[#This Row],[E_PTOT]],"")</f>
        <v/>
      </c>
      <c r="BL148" s="521" t="str">
        <f>IFERROR(IF(données_step[[#This Row],[E_DCO]]/données_step[[#This Row],[E_DBO5]]=0,NA(),données_step[[#This Row],[E_DCO]]/données_step[[#This Row],[E_DBO5]]),"")</f>
        <v/>
      </c>
      <c r="BM148" s="521" t="str">
        <f>IFERROR(IF(données_step[[#This Row],[E_NH4]]/données_step[[#This Row],[E_NTOT]]=0,NA(),données_step[[#This Row],[E_NH4]]/données_step[[#This Row],[E_NTOT]]),"")</f>
        <v/>
      </c>
      <c r="BN148" s="521" t="str">
        <f>IFERROR(IF(données_step[[#This Row],[E_NTOT]]/données_step[[#This Row],[E_COT]]=0,NA(),données_step[[#This Row],[E_NTOT]]/données_step[[#This Row],[E_COT]]),"")</f>
        <v/>
      </c>
      <c r="BO148" s="521" t="str">
        <f>IFERROR(IF(données_step[[#This Row],[E_PTOT]]/données_step[[#This Row],[E_COT]]=0,NA(),données_step[[#This Row],[E_PTOT]]/données_step[[#This Row],[E_COT]]),"")</f>
        <v/>
      </c>
      <c r="BP148" s="521" t="e">
        <f>IF(données_step[[#This Row],[E_DCO]]/données_step[[#This Row],[E_COT]]=0,NA(),données_step[[#This Row],[E_DCO]]/données_step[[#This Row],[E_COT]])</f>
        <v>#DIV/0!</v>
      </c>
      <c r="BQ148" s="521" t="e">
        <f>IF(données_step[[#This Row],[E_NTOT]]/données_step[[#This Row],[E_DCO]]=0,NA(),données_step[[#This Row],[E_NTOT]]/données_step[[#This Row],[E_DCO]])</f>
        <v>#DIV/0!</v>
      </c>
      <c r="BR148" s="521" t="e">
        <f>IF(données_step[[#This Row],[E_PTOT]]/données_step[[#This Row],[E_DCO]]=0,NA(),données_step[[#This Row],[E_PTOT]]/données_step[[#This Row],[E_DCO]])</f>
        <v>#DIV/0!</v>
      </c>
      <c r="BS148" s="747" t="e">
        <f ca="1">test_NH4_temp(données_step[[#This Row],[S_NH4]],données_step[[#This Row],[Temp_eaux]])</f>
        <v>#NAME?</v>
      </c>
    </row>
    <row r="149" spans="1:71" x14ac:dyDescent="0.2">
      <c r="A149" s="222">
        <f>données_step[[#This Row],[Datum]]</f>
        <v>44700</v>
      </c>
      <c r="B149" s="223"/>
      <c r="C149" s="224">
        <f t="shared" si="34"/>
        <v>5</v>
      </c>
      <c r="D149" s="523" t="str">
        <f>IF(OR(données_step[[#This Row],[E_DBO5]]&lt;=0,données_step[[#This Row],[E_DBO5]]=""),"",données_step[[#This Row],[D_QTRAI]]*données_step[[#This Row],[E_DBO5]]/1000)</f>
        <v/>
      </c>
      <c r="E149" s="523" t="str">
        <f>IF(OR(données_step[[#This Row],[E_DCO]]&lt;=0,données_step[[#This Row],[E_DCO]]=""),"",données_step[[#This Row],[D_QTRAI]]*données_step[[#This Row],[E_DCO]]/1000)</f>
        <v/>
      </c>
      <c r="F149" s="523" t="str">
        <f>IF(OR(données_step[[#This Row],[E_COT]]&lt;=0,données_step[[#This Row],[E_COT]]=""),"",données_step[[#This Row],[D_QTRAI]]*données_step[[#This Row],[E_COT]]/1000)</f>
        <v/>
      </c>
      <c r="G149" s="523" t="str">
        <f>IF(OR(données_step[[#This Row],[E_NH4]]&lt;=0,données_step[[#This Row],[E_NH4]]=""),"",données_step[[#This Row],[D_QTRAI]]*données_step[[#This Row],[E_NH4]]/1000)</f>
        <v/>
      </c>
      <c r="H149" s="523" t="str">
        <f>IF(OR(données_step[[#This Row],[E_NTOT]]&lt;=0,données_step[[#This Row],[E_NTOT]]=""),"",données_step[[#This Row],[D_QTRAI]]*données_step[[#This Row],[E_NTOT]]/1000)</f>
        <v/>
      </c>
      <c r="I149" s="523" t="str">
        <f>IF(OR(données_step[[#This Row],[E_NTOT]]&lt;=0,données_step[[#This Row],[E_NTOT]]=""),"",données_step[[#This Row],[D_QTRAI]]*données_step[[#This Row],[E_PTOT]]/1000)</f>
        <v/>
      </c>
      <c r="J149" s="523" t="str">
        <f>IF(OR(données_step[[#This Row],[S_DBO5]]&lt;=0,données_step[[#This Row],[S_DBO5]]=""),"",données_step[[#This Row],[D_QTRAI]]*données_step[[#This Row],[S_DBO5]]/1000)</f>
        <v/>
      </c>
      <c r="K149" s="523" t="str">
        <f>IF(OR(données_step[[#This Row],[S_DCO]]&lt;=0,données_step[[#This Row],[S_DCO]]=""),"",données_step[[#This Row],[D_QTRAI]]*données_step[[#This Row],[S_DCO]]/1000)</f>
        <v/>
      </c>
      <c r="L149" s="523" t="str">
        <f>IF(OR(données_step[[#This Row],[S_COD]]&lt;=0,données_step[[#This Row],[S_COD]]=""),"",données_step[[#This Row],[D_QTRAI]]*données_step[[#This Row],[S_COD]]/1000)</f>
        <v/>
      </c>
      <c r="M149" s="523" t="str">
        <f>IF(OR(données_step[[#This Row],[S_NH4]]&lt;=0,données_step[[#This Row],[S_NH4]]=""),"",données_step[[#This Row],[D_QTRAI]]*données_step[[#This Row],[S_NH4]]/1000)</f>
        <v/>
      </c>
      <c r="N149" s="523" t="str">
        <f>IF(OR(données_step[[#This Row],[S_NO2]]&lt;=0,données_step[[#This Row],[S_NO2]]=""),"",données_step[[#This Row],[D_QTRAI]]*données_step[[#This Row],[S_NO2]]/1000)</f>
        <v/>
      </c>
      <c r="O149" s="523" t="str">
        <f>IF(OR(données_step[[#This Row],[S_NO3]]&lt;=0,données_step[[#This Row],[S_NO3]]=""),"",données_step[[#This Row],[D_QTRAI]]*données_step[[#This Row],[S_NO3]]/1000)</f>
        <v/>
      </c>
      <c r="P149" s="523" t="str">
        <f>IF(OR(données_step[[#This Row],[S_PTOT]]&lt;=0,données_step[[#This Row],[S_PTOT]]=""),"",données_step[[#This Row],[D_QTRAI]]*données_step[[#This Row],[S_PTOT]]/1000)</f>
        <v/>
      </c>
      <c r="Q149" s="523" t="str">
        <f>IF(OR(données_step[[#This Row],[S_MES]]&lt;=0,données_step[[#This Row],[S_MES]]=""),"",données_step[[#This Row],[D_QTRAI]]*données_step[[#This Row],[S_MES]]/1000)</f>
        <v/>
      </c>
      <c r="R149" s="523">
        <f>MAX(données_step[[#This Row],[D_QTRAI]],données_step[[#This Row],[D_QTRAI2]])</f>
        <v>0</v>
      </c>
      <c r="S149" s="523" t="str">
        <f>IF(AND($R149&gt;0,données_step[[#This Row],[E_DCO]]&gt;0),données_step[[#This Row],[E_DCO]],"")</f>
        <v/>
      </c>
      <c r="T149" s="523" t="str">
        <f>IF(S149="","",(1-données_step[[#This Row],[E_DCO]]/$V$7)*100)</f>
        <v/>
      </c>
      <c r="U149" s="523" t="str">
        <f t="shared" si="35"/>
        <v/>
      </c>
      <c r="V149" s="523" t="str">
        <f t="shared" si="36"/>
        <v/>
      </c>
      <c r="W149" s="523" t="str">
        <f t="shared" si="37"/>
        <v/>
      </c>
      <c r="X149" s="523" t="e">
        <f>IF(((100-100/$V$7*données_step[[#This Row],[E_DCO]])/100*QTS)&lt;0,NA(),IF(OR(U149&lt;0,U149=""),NA(),((100-100/$V$7*données_step[[#This Row],[E_DCO]])/100*QTS)))</f>
        <v>#NUM!</v>
      </c>
      <c r="Y149" s="523" t="str">
        <f>IF(AND($R149&gt;0,données_step[[#This Row],[E_COT]]&gt;0),données_step[[#This Row],[E_COT]],"")</f>
        <v/>
      </c>
      <c r="Z149" s="523" t="str">
        <f>IF(Y149="","",(1-données_step[[#This Row],[E_COT]]/$AB$7)*100)</f>
        <v/>
      </c>
      <c r="AA149" s="523" t="str">
        <f t="shared" si="38"/>
        <v/>
      </c>
      <c r="AB149" s="523" t="str">
        <f t="shared" si="39"/>
        <v/>
      </c>
      <c r="AC149" s="523" t="str">
        <f t="shared" si="40"/>
        <v/>
      </c>
      <c r="AD149" s="523" t="e">
        <f>IF(((100-100/$AB$7*données_step[[#This Row],[E_COT]])/100*QTS)&lt;0,NA(),IF(OR(AA149&lt;0,AA149=""),NA(),((100-100/$AB$7*données_step[[#This Row],[E_COT]])/100*QTS)))</f>
        <v>#NUM!</v>
      </c>
      <c r="AE149" s="523" t="str">
        <f>IF(AND($R149&gt;0,données_step[[#This Row],[E_NH4]]&gt;0),données_step[[#This Row],[E_NH4]],"")</f>
        <v/>
      </c>
      <c r="AF149" s="523" t="str">
        <f>IF(AE149="","",(1-données_step[[#This Row],[E_NH4]]/$AH$7)*100)</f>
        <v/>
      </c>
      <c r="AG149" s="523" t="str">
        <f t="shared" si="41"/>
        <v/>
      </c>
      <c r="AH149" s="523" t="str">
        <f t="shared" si="42"/>
        <v/>
      </c>
      <c r="AI149" s="523" t="str">
        <f t="shared" si="43"/>
        <v/>
      </c>
      <c r="AJ149" s="523" t="e">
        <f>IF(((100-100/$AH$7*données_step[[#This Row],[E_NH4]])/100*QTS)&lt;0,NA(),IF(OR(AG149&lt;0,AG149=""),NA(),((100-100/$AH$7*données_step[[#This Row],[E_NH4]])/100*QTS)))</f>
        <v>#NUM!</v>
      </c>
      <c r="AK149" s="523" t="str">
        <f>IF(AND($R149&gt;0,données_step[[#This Row],[E_PTOT]]&gt;0),données_step[[#This Row],[E_PTOT]],"")</f>
        <v/>
      </c>
      <c r="AL149" s="523" t="str">
        <f>IF(AK149="","",(1-données_step[[#This Row],[E_PTOT]]/$AN$7)*100)</f>
        <v/>
      </c>
      <c r="AM149" s="523" t="str">
        <f t="shared" si="44"/>
        <v/>
      </c>
      <c r="AN149" s="523" t="str">
        <f t="shared" si="45"/>
        <v/>
      </c>
      <c r="AO149" s="523" t="str">
        <f t="shared" si="46"/>
        <v/>
      </c>
      <c r="AP149" s="523" t="e">
        <f>IF(((100-100/$AN$7*données_step[[#This Row],[E_PTOT]])/100*QTS)&lt;0,NA(),IF(OR(AM149&lt;0,AM149=""),NA(),((100-100/$AN$7*données_step[[#This Row],[E_PTOT]])/100*QTS)))</f>
        <v>#NUM!</v>
      </c>
      <c r="AQ149" s="524" t="e">
        <f t="shared" si="47"/>
        <v>#NUM!</v>
      </c>
      <c r="AR149" s="524" t="str">
        <f t="shared" si="48"/>
        <v/>
      </c>
      <c r="AY149" s="523" t="str">
        <f>_xlfn.IFNA(IF(données_step[[#This Row],[E_DCO]]&lt;=0,NA(),charge_entree[[#This Row],[ch_E_DCO]]/constanten!$B$8*1000),"")</f>
        <v/>
      </c>
      <c r="AZ149" s="523" t="str">
        <f>_xlfn.IFNA(IF(données_step[[#This Row],[E_NTOT]]&lt;=0,NA(),charge_entree[[#This Row],[ch_E_NTOT]]/constanten!$B$10*1000),"")</f>
        <v/>
      </c>
      <c r="BA149" s="523" t="str">
        <f>_xlfn.IFNA(IF(données_step[[#This Row],[E_NH4]]&lt;=0,NA(),charge_entree[[#This Row],[ch_E_NH4]]/constanten!$B$12*1000),"")</f>
        <v/>
      </c>
      <c r="BB149" s="523" t="str">
        <f>_xlfn.IFNA(IF(données_step[[#This Row],[E_COT]]&lt;=0,NA(),charge_entree[[#This Row],[ch_E_COT]]/constanten!$B$9*1000),"")</f>
        <v/>
      </c>
      <c r="BC149" s="523" t="str">
        <f>IFERROR(_xlfn.IFNA(IF(données_step[[#This Row],[E_PTOT]]&lt;=0,NA(),charge_entree[[#This Row],[ch_E_PTOT]]/constanten!$B$15*1000),""),"")</f>
        <v/>
      </c>
      <c r="BD149" s="535" t="e">
        <f>calculs!E149 * (1-0.4) / (données_step[[#This Row],[X_BA_VOL]]*données_step[[#This Row],[X_BACONC]])</f>
        <v>#VALUE!</v>
      </c>
      <c r="BE149" s="522" t="e">
        <f>(données_step[[#This Row],[X_BA_VOL]]*données_step[[#This Row],[X_BACONC]])/((données_step[[#This Row],[D_QTRAI2]]*données_step[[#This Row],[S_MES]]/1000)+(données_step[[#This Row],[X_BX_Q]]*données_step[[#This Row],[X_BXCONC]]))</f>
        <v>#VALUE!</v>
      </c>
      <c r="BF149" s="890" t="str">
        <f>IFERROR(données_step[[#This Row],[D_QTRAI]]/AY149*1000,"")</f>
        <v/>
      </c>
      <c r="BG149" s="535" t="str">
        <f>IFERROR(1-données_step[[#This Row],[S_DBO5]]/données_step[[#This Row],[E_DBO5]],"")</f>
        <v/>
      </c>
      <c r="BH149" s="536" t="str">
        <f>IFERROR(1-données_step[[#This Row],[S_DCO]]/données_step[[#This Row],[E_DCO]],"")</f>
        <v/>
      </c>
      <c r="BI149" s="535" t="str">
        <f>IFERROR(1-données_step[[#This Row],[S_COD]]/données_step[[#This Row],[E_COT]],"")</f>
        <v/>
      </c>
      <c r="BJ149" s="535" t="str">
        <f>IFERROR(1-données_step[[#This Row],[S_NH4]]/données_step[[#This Row],[E_NTOT]],"")</f>
        <v/>
      </c>
      <c r="BK149" s="535" t="str">
        <f>IFERROR(1-données_step[[#This Row],[S_PTOT]]/données_step[[#This Row],[E_PTOT]],"")</f>
        <v/>
      </c>
      <c r="BL149" s="521" t="str">
        <f>IFERROR(IF(données_step[[#This Row],[E_DCO]]/données_step[[#This Row],[E_DBO5]]=0,NA(),données_step[[#This Row],[E_DCO]]/données_step[[#This Row],[E_DBO5]]),"")</f>
        <v/>
      </c>
      <c r="BM149" s="521" t="str">
        <f>IFERROR(IF(données_step[[#This Row],[E_NH4]]/données_step[[#This Row],[E_NTOT]]=0,NA(),données_step[[#This Row],[E_NH4]]/données_step[[#This Row],[E_NTOT]]),"")</f>
        <v/>
      </c>
      <c r="BN149" s="521" t="str">
        <f>IFERROR(IF(données_step[[#This Row],[E_NTOT]]/données_step[[#This Row],[E_COT]]=0,NA(),données_step[[#This Row],[E_NTOT]]/données_step[[#This Row],[E_COT]]),"")</f>
        <v/>
      </c>
      <c r="BO149" s="521" t="str">
        <f>IFERROR(IF(données_step[[#This Row],[E_PTOT]]/données_step[[#This Row],[E_COT]]=0,NA(),données_step[[#This Row],[E_PTOT]]/données_step[[#This Row],[E_COT]]),"")</f>
        <v/>
      </c>
      <c r="BP149" s="521" t="e">
        <f>IF(données_step[[#This Row],[E_DCO]]/données_step[[#This Row],[E_COT]]=0,NA(),données_step[[#This Row],[E_DCO]]/données_step[[#This Row],[E_COT]])</f>
        <v>#DIV/0!</v>
      </c>
      <c r="BQ149" s="521" t="e">
        <f>IF(données_step[[#This Row],[E_NTOT]]/données_step[[#This Row],[E_DCO]]=0,NA(),données_step[[#This Row],[E_NTOT]]/données_step[[#This Row],[E_DCO]])</f>
        <v>#DIV/0!</v>
      </c>
      <c r="BR149" s="521" t="e">
        <f>IF(données_step[[#This Row],[E_PTOT]]/données_step[[#This Row],[E_DCO]]=0,NA(),données_step[[#This Row],[E_PTOT]]/données_step[[#This Row],[E_DCO]])</f>
        <v>#DIV/0!</v>
      </c>
      <c r="BS149" s="747" t="e">
        <f ca="1">test_NH4_temp(données_step[[#This Row],[S_NH4]],données_step[[#This Row],[Temp_eaux]])</f>
        <v>#NAME?</v>
      </c>
    </row>
    <row r="150" spans="1:71" x14ac:dyDescent="0.2">
      <c r="A150" s="222">
        <f>données_step[[#This Row],[Datum]]</f>
        <v>44701</v>
      </c>
      <c r="B150" s="223"/>
      <c r="C150" s="224">
        <f t="shared" si="34"/>
        <v>6</v>
      </c>
      <c r="D150" s="523" t="str">
        <f>IF(OR(données_step[[#This Row],[E_DBO5]]&lt;=0,données_step[[#This Row],[E_DBO5]]=""),"",données_step[[#This Row],[D_QTRAI]]*données_step[[#This Row],[E_DBO5]]/1000)</f>
        <v/>
      </c>
      <c r="E150" s="523" t="str">
        <f>IF(OR(données_step[[#This Row],[E_DCO]]&lt;=0,données_step[[#This Row],[E_DCO]]=""),"",données_step[[#This Row],[D_QTRAI]]*données_step[[#This Row],[E_DCO]]/1000)</f>
        <v/>
      </c>
      <c r="F150" s="523" t="str">
        <f>IF(OR(données_step[[#This Row],[E_COT]]&lt;=0,données_step[[#This Row],[E_COT]]=""),"",données_step[[#This Row],[D_QTRAI]]*données_step[[#This Row],[E_COT]]/1000)</f>
        <v/>
      </c>
      <c r="G150" s="523" t="str">
        <f>IF(OR(données_step[[#This Row],[E_NH4]]&lt;=0,données_step[[#This Row],[E_NH4]]=""),"",données_step[[#This Row],[D_QTRAI]]*données_step[[#This Row],[E_NH4]]/1000)</f>
        <v/>
      </c>
      <c r="H150" s="523" t="str">
        <f>IF(OR(données_step[[#This Row],[E_NTOT]]&lt;=0,données_step[[#This Row],[E_NTOT]]=""),"",données_step[[#This Row],[D_QTRAI]]*données_step[[#This Row],[E_NTOT]]/1000)</f>
        <v/>
      </c>
      <c r="I150" s="523" t="str">
        <f>IF(OR(données_step[[#This Row],[E_NTOT]]&lt;=0,données_step[[#This Row],[E_NTOT]]=""),"",données_step[[#This Row],[D_QTRAI]]*données_step[[#This Row],[E_PTOT]]/1000)</f>
        <v/>
      </c>
      <c r="J150" s="523" t="str">
        <f>IF(OR(données_step[[#This Row],[S_DBO5]]&lt;=0,données_step[[#This Row],[S_DBO5]]=""),"",données_step[[#This Row],[D_QTRAI]]*données_step[[#This Row],[S_DBO5]]/1000)</f>
        <v/>
      </c>
      <c r="K150" s="523" t="str">
        <f>IF(OR(données_step[[#This Row],[S_DCO]]&lt;=0,données_step[[#This Row],[S_DCO]]=""),"",données_step[[#This Row],[D_QTRAI]]*données_step[[#This Row],[S_DCO]]/1000)</f>
        <v/>
      </c>
      <c r="L150" s="523" t="str">
        <f>IF(OR(données_step[[#This Row],[S_COD]]&lt;=0,données_step[[#This Row],[S_COD]]=""),"",données_step[[#This Row],[D_QTRAI]]*données_step[[#This Row],[S_COD]]/1000)</f>
        <v/>
      </c>
      <c r="M150" s="523" t="str">
        <f>IF(OR(données_step[[#This Row],[S_NH4]]&lt;=0,données_step[[#This Row],[S_NH4]]=""),"",données_step[[#This Row],[D_QTRAI]]*données_step[[#This Row],[S_NH4]]/1000)</f>
        <v/>
      </c>
      <c r="N150" s="523" t="str">
        <f>IF(OR(données_step[[#This Row],[S_NO2]]&lt;=0,données_step[[#This Row],[S_NO2]]=""),"",données_step[[#This Row],[D_QTRAI]]*données_step[[#This Row],[S_NO2]]/1000)</f>
        <v/>
      </c>
      <c r="O150" s="523" t="str">
        <f>IF(OR(données_step[[#This Row],[S_NO3]]&lt;=0,données_step[[#This Row],[S_NO3]]=""),"",données_step[[#This Row],[D_QTRAI]]*données_step[[#This Row],[S_NO3]]/1000)</f>
        <v/>
      </c>
      <c r="P150" s="523" t="str">
        <f>IF(OR(données_step[[#This Row],[S_PTOT]]&lt;=0,données_step[[#This Row],[S_PTOT]]=""),"",données_step[[#This Row],[D_QTRAI]]*données_step[[#This Row],[S_PTOT]]/1000)</f>
        <v/>
      </c>
      <c r="Q150" s="523" t="str">
        <f>IF(OR(données_step[[#This Row],[S_MES]]&lt;=0,données_step[[#This Row],[S_MES]]=""),"",données_step[[#This Row],[D_QTRAI]]*données_step[[#This Row],[S_MES]]/1000)</f>
        <v/>
      </c>
      <c r="R150" s="523">
        <f>MAX(données_step[[#This Row],[D_QTRAI]],données_step[[#This Row],[D_QTRAI2]])</f>
        <v>0</v>
      </c>
      <c r="S150" s="523" t="str">
        <f>IF(AND($R150&gt;0,données_step[[#This Row],[E_DCO]]&gt;0),données_step[[#This Row],[E_DCO]],"")</f>
        <v/>
      </c>
      <c r="T150" s="523" t="str">
        <f>IF(S150="","",(1-données_step[[#This Row],[E_DCO]]/$V$7)*100)</f>
        <v/>
      </c>
      <c r="U150" s="523" t="str">
        <f t="shared" si="35"/>
        <v/>
      </c>
      <c r="V150" s="523" t="str">
        <f t="shared" si="36"/>
        <v/>
      </c>
      <c r="W150" s="523" t="str">
        <f t="shared" si="37"/>
        <v/>
      </c>
      <c r="X150" s="523" t="e">
        <f>IF(((100-100/$V$7*données_step[[#This Row],[E_DCO]])/100*QTS)&lt;0,NA(),IF(OR(U150&lt;0,U150=""),NA(),((100-100/$V$7*données_step[[#This Row],[E_DCO]])/100*QTS)))</f>
        <v>#NUM!</v>
      </c>
      <c r="Y150" s="523" t="str">
        <f>IF(AND($R150&gt;0,données_step[[#This Row],[E_COT]]&gt;0),données_step[[#This Row],[E_COT]],"")</f>
        <v/>
      </c>
      <c r="Z150" s="523" t="str">
        <f>IF(Y150="","",(1-données_step[[#This Row],[E_COT]]/$AB$7)*100)</f>
        <v/>
      </c>
      <c r="AA150" s="523" t="str">
        <f t="shared" si="38"/>
        <v/>
      </c>
      <c r="AB150" s="523" t="str">
        <f t="shared" si="39"/>
        <v/>
      </c>
      <c r="AC150" s="523" t="str">
        <f t="shared" si="40"/>
        <v/>
      </c>
      <c r="AD150" s="523" t="e">
        <f>IF(((100-100/$AB$7*données_step[[#This Row],[E_COT]])/100*QTS)&lt;0,NA(),IF(OR(AA150&lt;0,AA150=""),NA(),((100-100/$AB$7*données_step[[#This Row],[E_COT]])/100*QTS)))</f>
        <v>#NUM!</v>
      </c>
      <c r="AE150" s="523" t="str">
        <f>IF(AND($R150&gt;0,données_step[[#This Row],[E_NH4]]&gt;0),données_step[[#This Row],[E_NH4]],"")</f>
        <v/>
      </c>
      <c r="AF150" s="523" t="str">
        <f>IF(AE150="","",(1-données_step[[#This Row],[E_NH4]]/$AH$7)*100)</f>
        <v/>
      </c>
      <c r="AG150" s="523" t="str">
        <f t="shared" si="41"/>
        <v/>
      </c>
      <c r="AH150" s="523" t="str">
        <f t="shared" si="42"/>
        <v/>
      </c>
      <c r="AI150" s="523" t="str">
        <f t="shared" si="43"/>
        <v/>
      </c>
      <c r="AJ150" s="523" t="e">
        <f>IF(((100-100/$AH$7*données_step[[#This Row],[E_NH4]])/100*QTS)&lt;0,NA(),IF(OR(AG150&lt;0,AG150=""),NA(),((100-100/$AH$7*données_step[[#This Row],[E_NH4]])/100*QTS)))</f>
        <v>#NUM!</v>
      </c>
      <c r="AK150" s="523" t="str">
        <f>IF(AND($R150&gt;0,données_step[[#This Row],[E_PTOT]]&gt;0),données_step[[#This Row],[E_PTOT]],"")</f>
        <v/>
      </c>
      <c r="AL150" s="523" t="str">
        <f>IF(AK150="","",(1-données_step[[#This Row],[E_PTOT]]/$AN$7)*100)</f>
        <v/>
      </c>
      <c r="AM150" s="523" t="str">
        <f t="shared" si="44"/>
        <v/>
      </c>
      <c r="AN150" s="523" t="str">
        <f t="shared" si="45"/>
        <v/>
      </c>
      <c r="AO150" s="523" t="str">
        <f t="shared" si="46"/>
        <v/>
      </c>
      <c r="AP150" s="523" t="e">
        <f>IF(((100-100/$AN$7*données_step[[#This Row],[E_PTOT]])/100*QTS)&lt;0,NA(),IF(OR(AM150&lt;0,AM150=""),NA(),((100-100/$AN$7*données_step[[#This Row],[E_PTOT]])/100*QTS)))</f>
        <v>#NUM!</v>
      </c>
      <c r="AQ150" s="524" t="e">
        <f t="shared" si="47"/>
        <v>#NUM!</v>
      </c>
      <c r="AR150" s="524" t="str">
        <f t="shared" si="48"/>
        <v/>
      </c>
      <c r="AY150" s="523" t="str">
        <f>_xlfn.IFNA(IF(données_step[[#This Row],[E_DCO]]&lt;=0,NA(),charge_entree[[#This Row],[ch_E_DCO]]/constanten!$B$8*1000),"")</f>
        <v/>
      </c>
      <c r="AZ150" s="523" t="str">
        <f>_xlfn.IFNA(IF(données_step[[#This Row],[E_NTOT]]&lt;=0,NA(),charge_entree[[#This Row],[ch_E_NTOT]]/constanten!$B$10*1000),"")</f>
        <v/>
      </c>
      <c r="BA150" s="523" t="str">
        <f>_xlfn.IFNA(IF(données_step[[#This Row],[E_NH4]]&lt;=0,NA(),charge_entree[[#This Row],[ch_E_NH4]]/constanten!$B$12*1000),"")</f>
        <v/>
      </c>
      <c r="BB150" s="523" t="str">
        <f>_xlfn.IFNA(IF(données_step[[#This Row],[E_COT]]&lt;=0,NA(),charge_entree[[#This Row],[ch_E_COT]]/constanten!$B$9*1000),"")</f>
        <v/>
      </c>
      <c r="BC150" s="523" t="str">
        <f>IFERROR(_xlfn.IFNA(IF(données_step[[#This Row],[E_PTOT]]&lt;=0,NA(),charge_entree[[#This Row],[ch_E_PTOT]]/constanten!$B$15*1000),""),"")</f>
        <v/>
      </c>
      <c r="BD150" s="535" t="e">
        <f>calculs!E150 * (1-0.4) / (données_step[[#This Row],[X_BA_VOL]]*données_step[[#This Row],[X_BACONC]])</f>
        <v>#VALUE!</v>
      </c>
      <c r="BE150" s="522" t="e">
        <f>(données_step[[#This Row],[X_BA_VOL]]*données_step[[#This Row],[X_BACONC]])/((données_step[[#This Row],[D_QTRAI2]]*données_step[[#This Row],[S_MES]]/1000)+(données_step[[#This Row],[X_BX_Q]]*données_step[[#This Row],[X_BXCONC]]))</f>
        <v>#VALUE!</v>
      </c>
      <c r="BF150" s="890" t="str">
        <f>IFERROR(données_step[[#This Row],[D_QTRAI]]/AY150*1000,"")</f>
        <v/>
      </c>
      <c r="BG150" s="535" t="str">
        <f>IFERROR(1-données_step[[#This Row],[S_DBO5]]/données_step[[#This Row],[E_DBO5]],"")</f>
        <v/>
      </c>
      <c r="BH150" s="536" t="str">
        <f>IFERROR(1-données_step[[#This Row],[S_DCO]]/données_step[[#This Row],[E_DCO]],"")</f>
        <v/>
      </c>
      <c r="BI150" s="535" t="str">
        <f>IFERROR(1-données_step[[#This Row],[S_COD]]/données_step[[#This Row],[E_COT]],"")</f>
        <v/>
      </c>
      <c r="BJ150" s="535" t="str">
        <f>IFERROR(1-données_step[[#This Row],[S_NH4]]/données_step[[#This Row],[E_NTOT]],"")</f>
        <v/>
      </c>
      <c r="BK150" s="535" t="str">
        <f>IFERROR(1-données_step[[#This Row],[S_PTOT]]/données_step[[#This Row],[E_PTOT]],"")</f>
        <v/>
      </c>
      <c r="BL150" s="521" t="str">
        <f>IFERROR(IF(données_step[[#This Row],[E_DCO]]/données_step[[#This Row],[E_DBO5]]=0,NA(),données_step[[#This Row],[E_DCO]]/données_step[[#This Row],[E_DBO5]]),"")</f>
        <v/>
      </c>
      <c r="BM150" s="521" t="str">
        <f>IFERROR(IF(données_step[[#This Row],[E_NH4]]/données_step[[#This Row],[E_NTOT]]=0,NA(),données_step[[#This Row],[E_NH4]]/données_step[[#This Row],[E_NTOT]]),"")</f>
        <v/>
      </c>
      <c r="BN150" s="521" t="str">
        <f>IFERROR(IF(données_step[[#This Row],[E_NTOT]]/données_step[[#This Row],[E_COT]]=0,NA(),données_step[[#This Row],[E_NTOT]]/données_step[[#This Row],[E_COT]]),"")</f>
        <v/>
      </c>
      <c r="BO150" s="521" t="str">
        <f>IFERROR(IF(données_step[[#This Row],[E_PTOT]]/données_step[[#This Row],[E_COT]]=0,NA(),données_step[[#This Row],[E_PTOT]]/données_step[[#This Row],[E_COT]]),"")</f>
        <v/>
      </c>
      <c r="BP150" s="521" t="e">
        <f>IF(données_step[[#This Row],[E_DCO]]/données_step[[#This Row],[E_COT]]=0,NA(),données_step[[#This Row],[E_DCO]]/données_step[[#This Row],[E_COT]])</f>
        <v>#DIV/0!</v>
      </c>
      <c r="BQ150" s="521" t="e">
        <f>IF(données_step[[#This Row],[E_NTOT]]/données_step[[#This Row],[E_DCO]]=0,NA(),données_step[[#This Row],[E_NTOT]]/données_step[[#This Row],[E_DCO]])</f>
        <v>#DIV/0!</v>
      </c>
      <c r="BR150" s="521" t="e">
        <f>IF(données_step[[#This Row],[E_PTOT]]/données_step[[#This Row],[E_DCO]]=0,NA(),données_step[[#This Row],[E_PTOT]]/données_step[[#This Row],[E_DCO]])</f>
        <v>#DIV/0!</v>
      </c>
      <c r="BS150" s="747" t="e">
        <f ca="1">test_NH4_temp(données_step[[#This Row],[S_NH4]],données_step[[#This Row],[Temp_eaux]])</f>
        <v>#NAME?</v>
      </c>
    </row>
    <row r="151" spans="1:71" x14ac:dyDescent="0.2">
      <c r="A151" s="222">
        <f>données_step[[#This Row],[Datum]]</f>
        <v>44702</v>
      </c>
      <c r="B151" s="223"/>
      <c r="C151" s="224">
        <f t="shared" si="34"/>
        <v>7</v>
      </c>
      <c r="D151" s="523" t="str">
        <f>IF(OR(données_step[[#This Row],[E_DBO5]]&lt;=0,données_step[[#This Row],[E_DBO5]]=""),"",données_step[[#This Row],[D_QTRAI]]*données_step[[#This Row],[E_DBO5]]/1000)</f>
        <v/>
      </c>
      <c r="E151" s="523" t="str">
        <f>IF(OR(données_step[[#This Row],[E_DCO]]&lt;=0,données_step[[#This Row],[E_DCO]]=""),"",données_step[[#This Row],[D_QTRAI]]*données_step[[#This Row],[E_DCO]]/1000)</f>
        <v/>
      </c>
      <c r="F151" s="523" t="str">
        <f>IF(OR(données_step[[#This Row],[E_COT]]&lt;=0,données_step[[#This Row],[E_COT]]=""),"",données_step[[#This Row],[D_QTRAI]]*données_step[[#This Row],[E_COT]]/1000)</f>
        <v/>
      </c>
      <c r="G151" s="523" t="str">
        <f>IF(OR(données_step[[#This Row],[E_NH4]]&lt;=0,données_step[[#This Row],[E_NH4]]=""),"",données_step[[#This Row],[D_QTRAI]]*données_step[[#This Row],[E_NH4]]/1000)</f>
        <v/>
      </c>
      <c r="H151" s="523" t="str">
        <f>IF(OR(données_step[[#This Row],[E_NTOT]]&lt;=0,données_step[[#This Row],[E_NTOT]]=""),"",données_step[[#This Row],[D_QTRAI]]*données_step[[#This Row],[E_NTOT]]/1000)</f>
        <v/>
      </c>
      <c r="I151" s="523" t="str">
        <f>IF(OR(données_step[[#This Row],[E_NTOT]]&lt;=0,données_step[[#This Row],[E_NTOT]]=""),"",données_step[[#This Row],[D_QTRAI]]*données_step[[#This Row],[E_PTOT]]/1000)</f>
        <v/>
      </c>
      <c r="J151" s="523" t="str">
        <f>IF(OR(données_step[[#This Row],[S_DBO5]]&lt;=0,données_step[[#This Row],[S_DBO5]]=""),"",données_step[[#This Row],[D_QTRAI]]*données_step[[#This Row],[S_DBO5]]/1000)</f>
        <v/>
      </c>
      <c r="K151" s="523" t="str">
        <f>IF(OR(données_step[[#This Row],[S_DCO]]&lt;=0,données_step[[#This Row],[S_DCO]]=""),"",données_step[[#This Row],[D_QTRAI]]*données_step[[#This Row],[S_DCO]]/1000)</f>
        <v/>
      </c>
      <c r="L151" s="523" t="str">
        <f>IF(OR(données_step[[#This Row],[S_COD]]&lt;=0,données_step[[#This Row],[S_COD]]=""),"",données_step[[#This Row],[D_QTRAI]]*données_step[[#This Row],[S_COD]]/1000)</f>
        <v/>
      </c>
      <c r="M151" s="523" t="str">
        <f>IF(OR(données_step[[#This Row],[S_NH4]]&lt;=0,données_step[[#This Row],[S_NH4]]=""),"",données_step[[#This Row],[D_QTRAI]]*données_step[[#This Row],[S_NH4]]/1000)</f>
        <v/>
      </c>
      <c r="N151" s="523" t="str">
        <f>IF(OR(données_step[[#This Row],[S_NO2]]&lt;=0,données_step[[#This Row],[S_NO2]]=""),"",données_step[[#This Row],[D_QTRAI]]*données_step[[#This Row],[S_NO2]]/1000)</f>
        <v/>
      </c>
      <c r="O151" s="523" t="str">
        <f>IF(OR(données_step[[#This Row],[S_NO3]]&lt;=0,données_step[[#This Row],[S_NO3]]=""),"",données_step[[#This Row],[D_QTRAI]]*données_step[[#This Row],[S_NO3]]/1000)</f>
        <v/>
      </c>
      <c r="P151" s="523" t="str">
        <f>IF(OR(données_step[[#This Row],[S_PTOT]]&lt;=0,données_step[[#This Row],[S_PTOT]]=""),"",données_step[[#This Row],[D_QTRAI]]*données_step[[#This Row],[S_PTOT]]/1000)</f>
        <v/>
      </c>
      <c r="Q151" s="523" t="str">
        <f>IF(OR(données_step[[#This Row],[S_MES]]&lt;=0,données_step[[#This Row],[S_MES]]=""),"",données_step[[#This Row],[D_QTRAI]]*données_step[[#This Row],[S_MES]]/1000)</f>
        <v/>
      </c>
      <c r="R151" s="523">
        <f>MAX(données_step[[#This Row],[D_QTRAI]],données_step[[#This Row],[D_QTRAI2]])</f>
        <v>0</v>
      </c>
      <c r="S151" s="523" t="str">
        <f>IF(AND($R151&gt;0,données_step[[#This Row],[E_DCO]]&gt;0),données_step[[#This Row],[E_DCO]],"")</f>
        <v/>
      </c>
      <c r="T151" s="523" t="str">
        <f>IF(S151="","",(1-données_step[[#This Row],[E_DCO]]/$V$7)*100)</f>
        <v/>
      </c>
      <c r="U151" s="523" t="str">
        <f t="shared" si="35"/>
        <v/>
      </c>
      <c r="V151" s="523" t="str">
        <f t="shared" si="36"/>
        <v/>
      </c>
      <c r="W151" s="523" t="str">
        <f t="shared" si="37"/>
        <v/>
      </c>
      <c r="X151" s="523" t="e">
        <f>IF(((100-100/$V$7*données_step[[#This Row],[E_DCO]])/100*QTS)&lt;0,NA(),IF(OR(U151&lt;0,U151=""),NA(),((100-100/$V$7*données_step[[#This Row],[E_DCO]])/100*QTS)))</f>
        <v>#NUM!</v>
      </c>
      <c r="Y151" s="523" t="str">
        <f>IF(AND($R151&gt;0,données_step[[#This Row],[E_COT]]&gt;0),données_step[[#This Row],[E_COT]],"")</f>
        <v/>
      </c>
      <c r="Z151" s="523" t="str">
        <f>IF(Y151="","",(1-données_step[[#This Row],[E_COT]]/$AB$7)*100)</f>
        <v/>
      </c>
      <c r="AA151" s="523" t="str">
        <f t="shared" si="38"/>
        <v/>
      </c>
      <c r="AB151" s="523" t="str">
        <f t="shared" si="39"/>
        <v/>
      </c>
      <c r="AC151" s="523" t="str">
        <f t="shared" si="40"/>
        <v/>
      </c>
      <c r="AD151" s="523" t="e">
        <f>IF(((100-100/$AB$7*données_step[[#This Row],[E_COT]])/100*QTS)&lt;0,NA(),IF(OR(AA151&lt;0,AA151=""),NA(),((100-100/$AB$7*données_step[[#This Row],[E_COT]])/100*QTS)))</f>
        <v>#NUM!</v>
      </c>
      <c r="AE151" s="523" t="str">
        <f>IF(AND($R151&gt;0,données_step[[#This Row],[E_NH4]]&gt;0),données_step[[#This Row],[E_NH4]],"")</f>
        <v/>
      </c>
      <c r="AF151" s="523" t="str">
        <f>IF(AE151="","",(1-données_step[[#This Row],[E_NH4]]/$AH$7)*100)</f>
        <v/>
      </c>
      <c r="AG151" s="523" t="str">
        <f t="shared" si="41"/>
        <v/>
      </c>
      <c r="AH151" s="523" t="str">
        <f t="shared" si="42"/>
        <v/>
      </c>
      <c r="AI151" s="523" t="str">
        <f t="shared" si="43"/>
        <v/>
      </c>
      <c r="AJ151" s="523" t="e">
        <f>IF(((100-100/$AH$7*données_step[[#This Row],[E_NH4]])/100*QTS)&lt;0,NA(),IF(OR(AG151&lt;0,AG151=""),NA(),((100-100/$AH$7*données_step[[#This Row],[E_NH4]])/100*QTS)))</f>
        <v>#NUM!</v>
      </c>
      <c r="AK151" s="523" t="str">
        <f>IF(AND($R151&gt;0,données_step[[#This Row],[E_PTOT]]&gt;0),données_step[[#This Row],[E_PTOT]],"")</f>
        <v/>
      </c>
      <c r="AL151" s="523" t="str">
        <f>IF(AK151="","",(1-données_step[[#This Row],[E_PTOT]]/$AN$7)*100)</f>
        <v/>
      </c>
      <c r="AM151" s="523" t="str">
        <f t="shared" si="44"/>
        <v/>
      </c>
      <c r="AN151" s="523" t="str">
        <f t="shared" si="45"/>
        <v/>
      </c>
      <c r="AO151" s="523" t="str">
        <f t="shared" si="46"/>
        <v/>
      </c>
      <c r="AP151" s="523" t="e">
        <f>IF(((100-100/$AN$7*données_step[[#This Row],[E_PTOT]])/100*QTS)&lt;0,NA(),IF(OR(AM151&lt;0,AM151=""),NA(),((100-100/$AN$7*données_step[[#This Row],[E_PTOT]])/100*QTS)))</f>
        <v>#NUM!</v>
      </c>
      <c r="AQ151" s="524" t="e">
        <f t="shared" si="47"/>
        <v>#NUM!</v>
      </c>
      <c r="AR151" s="524" t="str">
        <f t="shared" si="48"/>
        <v/>
      </c>
      <c r="AY151" s="523" t="str">
        <f>_xlfn.IFNA(IF(données_step[[#This Row],[E_DCO]]&lt;=0,NA(),charge_entree[[#This Row],[ch_E_DCO]]/constanten!$B$8*1000),"")</f>
        <v/>
      </c>
      <c r="AZ151" s="523" t="str">
        <f>_xlfn.IFNA(IF(données_step[[#This Row],[E_NTOT]]&lt;=0,NA(),charge_entree[[#This Row],[ch_E_NTOT]]/constanten!$B$10*1000),"")</f>
        <v/>
      </c>
      <c r="BA151" s="523" t="str">
        <f>_xlfn.IFNA(IF(données_step[[#This Row],[E_NH4]]&lt;=0,NA(),charge_entree[[#This Row],[ch_E_NH4]]/constanten!$B$12*1000),"")</f>
        <v/>
      </c>
      <c r="BB151" s="523" t="str">
        <f>_xlfn.IFNA(IF(données_step[[#This Row],[E_COT]]&lt;=0,NA(),charge_entree[[#This Row],[ch_E_COT]]/constanten!$B$9*1000),"")</f>
        <v/>
      </c>
      <c r="BC151" s="523" t="str">
        <f>IFERROR(_xlfn.IFNA(IF(données_step[[#This Row],[E_PTOT]]&lt;=0,NA(),charge_entree[[#This Row],[ch_E_PTOT]]/constanten!$B$15*1000),""),"")</f>
        <v/>
      </c>
      <c r="BD151" s="535" t="e">
        <f>calculs!E151 * (1-0.4) / (données_step[[#This Row],[X_BA_VOL]]*données_step[[#This Row],[X_BACONC]])</f>
        <v>#VALUE!</v>
      </c>
      <c r="BE151" s="522" t="e">
        <f>(données_step[[#This Row],[X_BA_VOL]]*données_step[[#This Row],[X_BACONC]])/((données_step[[#This Row],[D_QTRAI2]]*données_step[[#This Row],[S_MES]]/1000)+(données_step[[#This Row],[X_BX_Q]]*données_step[[#This Row],[X_BXCONC]]))</f>
        <v>#VALUE!</v>
      </c>
      <c r="BF151" s="890" t="str">
        <f>IFERROR(données_step[[#This Row],[D_QTRAI]]/AY151*1000,"")</f>
        <v/>
      </c>
      <c r="BG151" s="535" t="str">
        <f>IFERROR(1-données_step[[#This Row],[S_DBO5]]/données_step[[#This Row],[E_DBO5]],"")</f>
        <v/>
      </c>
      <c r="BH151" s="536" t="str">
        <f>IFERROR(1-données_step[[#This Row],[S_DCO]]/données_step[[#This Row],[E_DCO]],"")</f>
        <v/>
      </c>
      <c r="BI151" s="535" t="str">
        <f>IFERROR(1-données_step[[#This Row],[S_COD]]/données_step[[#This Row],[E_COT]],"")</f>
        <v/>
      </c>
      <c r="BJ151" s="535" t="str">
        <f>IFERROR(1-données_step[[#This Row],[S_NH4]]/données_step[[#This Row],[E_NTOT]],"")</f>
        <v/>
      </c>
      <c r="BK151" s="535" t="str">
        <f>IFERROR(1-données_step[[#This Row],[S_PTOT]]/données_step[[#This Row],[E_PTOT]],"")</f>
        <v/>
      </c>
      <c r="BL151" s="521" t="str">
        <f>IFERROR(IF(données_step[[#This Row],[E_DCO]]/données_step[[#This Row],[E_DBO5]]=0,NA(),données_step[[#This Row],[E_DCO]]/données_step[[#This Row],[E_DBO5]]),"")</f>
        <v/>
      </c>
      <c r="BM151" s="521" t="str">
        <f>IFERROR(IF(données_step[[#This Row],[E_NH4]]/données_step[[#This Row],[E_NTOT]]=0,NA(),données_step[[#This Row],[E_NH4]]/données_step[[#This Row],[E_NTOT]]),"")</f>
        <v/>
      </c>
      <c r="BN151" s="521" t="str">
        <f>IFERROR(IF(données_step[[#This Row],[E_NTOT]]/données_step[[#This Row],[E_COT]]=0,NA(),données_step[[#This Row],[E_NTOT]]/données_step[[#This Row],[E_COT]]),"")</f>
        <v/>
      </c>
      <c r="BO151" s="521" t="str">
        <f>IFERROR(IF(données_step[[#This Row],[E_PTOT]]/données_step[[#This Row],[E_COT]]=0,NA(),données_step[[#This Row],[E_PTOT]]/données_step[[#This Row],[E_COT]]),"")</f>
        <v/>
      </c>
      <c r="BP151" s="521" t="e">
        <f>IF(données_step[[#This Row],[E_DCO]]/données_step[[#This Row],[E_COT]]=0,NA(),données_step[[#This Row],[E_DCO]]/données_step[[#This Row],[E_COT]])</f>
        <v>#DIV/0!</v>
      </c>
      <c r="BQ151" s="521" t="e">
        <f>IF(données_step[[#This Row],[E_NTOT]]/données_step[[#This Row],[E_DCO]]=0,NA(),données_step[[#This Row],[E_NTOT]]/données_step[[#This Row],[E_DCO]])</f>
        <v>#DIV/0!</v>
      </c>
      <c r="BR151" s="521" t="e">
        <f>IF(données_step[[#This Row],[E_PTOT]]/données_step[[#This Row],[E_DCO]]=0,NA(),données_step[[#This Row],[E_PTOT]]/données_step[[#This Row],[E_DCO]])</f>
        <v>#DIV/0!</v>
      </c>
      <c r="BS151" s="747" t="e">
        <f ca="1">test_NH4_temp(données_step[[#This Row],[S_NH4]],données_step[[#This Row],[Temp_eaux]])</f>
        <v>#NAME?</v>
      </c>
    </row>
    <row r="152" spans="1:71" x14ac:dyDescent="0.2">
      <c r="A152" s="222">
        <f>données_step[[#This Row],[Datum]]</f>
        <v>44703</v>
      </c>
      <c r="B152" s="223"/>
      <c r="C152" s="224">
        <f t="shared" si="34"/>
        <v>1</v>
      </c>
      <c r="D152" s="523" t="str">
        <f>IF(OR(données_step[[#This Row],[E_DBO5]]&lt;=0,données_step[[#This Row],[E_DBO5]]=""),"",données_step[[#This Row],[D_QTRAI]]*données_step[[#This Row],[E_DBO5]]/1000)</f>
        <v/>
      </c>
      <c r="E152" s="523" t="str">
        <f>IF(OR(données_step[[#This Row],[E_DCO]]&lt;=0,données_step[[#This Row],[E_DCO]]=""),"",données_step[[#This Row],[D_QTRAI]]*données_step[[#This Row],[E_DCO]]/1000)</f>
        <v/>
      </c>
      <c r="F152" s="523" t="str">
        <f>IF(OR(données_step[[#This Row],[E_COT]]&lt;=0,données_step[[#This Row],[E_COT]]=""),"",données_step[[#This Row],[D_QTRAI]]*données_step[[#This Row],[E_COT]]/1000)</f>
        <v/>
      </c>
      <c r="G152" s="523" t="str">
        <f>IF(OR(données_step[[#This Row],[E_NH4]]&lt;=0,données_step[[#This Row],[E_NH4]]=""),"",données_step[[#This Row],[D_QTRAI]]*données_step[[#This Row],[E_NH4]]/1000)</f>
        <v/>
      </c>
      <c r="H152" s="523" t="str">
        <f>IF(OR(données_step[[#This Row],[E_NTOT]]&lt;=0,données_step[[#This Row],[E_NTOT]]=""),"",données_step[[#This Row],[D_QTRAI]]*données_step[[#This Row],[E_NTOT]]/1000)</f>
        <v/>
      </c>
      <c r="I152" s="523" t="str">
        <f>IF(OR(données_step[[#This Row],[E_NTOT]]&lt;=0,données_step[[#This Row],[E_NTOT]]=""),"",données_step[[#This Row],[D_QTRAI]]*données_step[[#This Row],[E_PTOT]]/1000)</f>
        <v/>
      </c>
      <c r="J152" s="523" t="str">
        <f>IF(OR(données_step[[#This Row],[S_DBO5]]&lt;=0,données_step[[#This Row],[S_DBO5]]=""),"",données_step[[#This Row],[D_QTRAI]]*données_step[[#This Row],[S_DBO5]]/1000)</f>
        <v/>
      </c>
      <c r="K152" s="523" t="str">
        <f>IF(OR(données_step[[#This Row],[S_DCO]]&lt;=0,données_step[[#This Row],[S_DCO]]=""),"",données_step[[#This Row],[D_QTRAI]]*données_step[[#This Row],[S_DCO]]/1000)</f>
        <v/>
      </c>
      <c r="L152" s="523" t="str">
        <f>IF(OR(données_step[[#This Row],[S_COD]]&lt;=0,données_step[[#This Row],[S_COD]]=""),"",données_step[[#This Row],[D_QTRAI]]*données_step[[#This Row],[S_COD]]/1000)</f>
        <v/>
      </c>
      <c r="M152" s="523" t="str">
        <f>IF(OR(données_step[[#This Row],[S_NH4]]&lt;=0,données_step[[#This Row],[S_NH4]]=""),"",données_step[[#This Row],[D_QTRAI]]*données_step[[#This Row],[S_NH4]]/1000)</f>
        <v/>
      </c>
      <c r="N152" s="523" t="str">
        <f>IF(OR(données_step[[#This Row],[S_NO2]]&lt;=0,données_step[[#This Row],[S_NO2]]=""),"",données_step[[#This Row],[D_QTRAI]]*données_step[[#This Row],[S_NO2]]/1000)</f>
        <v/>
      </c>
      <c r="O152" s="523" t="str">
        <f>IF(OR(données_step[[#This Row],[S_NO3]]&lt;=0,données_step[[#This Row],[S_NO3]]=""),"",données_step[[#This Row],[D_QTRAI]]*données_step[[#This Row],[S_NO3]]/1000)</f>
        <v/>
      </c>
      <c r="P152" s="523" t="str">
        <f>IF(OR(données_step[[#This Row],[S_PTOT]]&lt;=0,données_step[[#This Row],[S_PTOT]]=""),"",données_step[[#This Row],[D_QTRAI]]*données_step[[#This Row],[S_PTOT]]/1000)</f>
        <v/>
      </c>
      <c r="Q152" s="523" t="str">
        <f>IF(OR(données_step[[#This Row],[S_MES]]&lt;=0,données_step[[#This Row],[S_MES]]=""),"",données_step[[#This Row],[D_QTRAI]]*données_step[[#This Row],[S_MES]]/1000)</f>
        <v/>
      </c>
      <c r="R152" s="523">
        <f>MAX(données_step[[#This Row],[D_QTRAI]],données_step[[#This Row],[D_QTRAI2]])</f>
        <v>0</v>
      </c>
      <c r="S152" s="523" t="str">
        <f>IF(AND($R152&gt;0,données_step[[#This Row],[E_DCO]]&gt;0),données_step[[#This Row],[E_DCO]],"")</f>
        <v/>
      </c>
      <c r="T152" s="523" t="str">
        <f>IF(S152="","",(1-données_step[[#This Row],[E_DCO]]/$V$7)*100)</f>
        <v/>
      </c>
      <c r="U152" s="523" t="str">
        <f t="shared" si="35"/>
        <v/>
      </c>
      <c r="V152" s="523" t="str">
        <f t="shared" si="36"/>
        <v/>
      </c>
      <c r="W152" s="523" t="str">
        <f t="shared" si="37"/>
        <v/>
      </c>
      <c r="X152" s="523" t="e">
        <f>IF(((100-100/$V$7*données_step[[#This Row],[E_DCO]])/100*QTS)&lt;0,NA(),IF(OR(U152&lt;0,U152=""),NA(),((100-100/$V$7*données_step[[#This Row],[E_DCO]])/100*QTS)))</f>
        <v>#NUM!</v>
      </c>
      <c r="Y152" s="523" t="str">
        <f>IF(AND($R152&gt;0,données_step[[#This Row],[E_COT]]&gt;0),données_step[[#This Row],[E_COT]],"")</f>
        <v/>
      </c>
      <c r="Z152" s="523" t="str">
        <f>IF(Y152="","",(1-données_step[[#This Row],[E_COT]]/$AB$7)*100)</f>
        <v/>
      </c>
      <c r="AA152" s="523" t="str">
        <f t="shared" si="38"/>
        <v/>
      </c>
      <c r="AB152" s="523" t="str">
        <f t="shared" si="39"/>
        <v/>
      </c>
      <c r="AC152" s="523" t="str">
        <f t="shared" si="40"/>
        <v/>
      </c>
      <c r="AD152" s="523" t="e">
        <f>IF(((100-100/$AB$7*données_step[[#This Row],[E_COT]])/100*QTS)&lt;0,NA(),IF(OR(AA152&lt;0,AA152=""),NA(),((100-100/$AB$7*données_step[[#This Row],[E_COT]])/100*QTS)))</f>
        <v>#NUM!</v>
      </c>
      <c r="AE152" s="523" t="str">
        <f>IF(AND($R152&gt;0,données_step[[#This Row],[E_NH4]]&gt;0),données_step[[#This Row],[E_NH4]],"")</f>
        <v/>
      </c>
      <c r="AF152" s="523" t="str">
        <f>IF(AE152="","",(1-données_step[[#This Row],[E_NH4]]/$AH$7)*100)</f>
        <v/>
      </c>
      <c r="AG152" s="523" t="str">
        <f t="shared" si="41"/>
        <v/>
      </c>
      <c r="AH152" s="523" t="str">
        <f t="shared" si="42"/>
        <v/>
      </c>
      <c r="AI152" s="523" t="str">
        <f t="shared" si="43"/>
        <v/>
      </c>
      <c r="AJ152" s="523" t="e">
        <f>IF(((100-100/$AH$7*données_step[[#This Row],[E_NH4]])/100*QTS)&lt;0,NA(),IF(OR(AG152&lt;0,AG152=""),NA(),((100-100/$AH$7*données_step[[#This Row],[E_NH4]])/100*QTS)))</f>
        <v>#NUM!</v>
      </c>
      <c r="AK152" s="523" t="str">
        <f>IF(AND($R152&gt;0,données_step[[#This Row],[E_PTOT]]&gt;0),données_step[[#This Row],[E_PTOT]],"")</f>
        <v/>
      </c>
      <c r="AL152" s="523" t="str">
        <f>IF(AK152="","",(1-données_step[[#This Row],[E_PTOT]]/$AN$7)*100)</f>
        <v/>
      </c>
      <c r="AM152" s="523" t="str">
        <f t="shared" si="44"/>
        <v/>
      </c>
      <c r="AN152" s="523" t="str">
        <f t="shared" si="45"/>
        <v/>
      </c>
      <c r="AO152" s="523" t="str">
        <f t="shared" si="46"/>
        <v/>
      </c>
      <c r="AP152" s="523" t="e">
        <f>IF(((100-100/$AN$7*données_step[[#This Row],[E_PTOT]])/100*QTS)&lt;0,NA(),IF(OR(AM152&lt;0,AM152=""),NA(),((100-100/$AN$7*données_step[[#This Row],[E_PTOT]])/100*QTS)))</f>
        <v>#NUM!</v>
      </c>
      <c r="AQ152" s="524" t="e">
        <f t="shared" si="47"/>
        <v>#NUM!</v>
      </c>
      <c r="AR152" s="524" t="str">
        <f t="shared" si="48"/>
        <v/>
      </c>
      <c r="AY152" s="523" t="str">
        <f>_xlfn.IFNA(IF(données_step[[#This Row],[E_DCO]]&lt;=0,NA(),charge_entree[[#This Row],[ch_E_DCO]]/constanten!$B$8*1000),"")</f>
        <v/>
      </c>
      <c r="AZ152" s="523" t="str">
        <f>_xlfn.IFNA(IF(données_step[[#This Row],[E_NTOT]]&lt;=0,NA(),charge_entree[[#This Row],[ch_E_NTOT]]/constanten!$B$10*1000),"")</f>
        <v/>
      </c>
      <c r="BA152" s="523" t="str">
        <f>_xlfn.IFNA(IF(données_step[[#This Row],[E_NH4]]&lt;=0,NA(),charge_entree[[#This Row],[ch_E_NH4]]/constanten!$B$12*1000),"")</f>
        <v/>
      </c>
      <c r="BB152" s="523" t="str">
        <f>_xlfn.IFNA(IF(données_step[[#This Row],[E_COT]]&lt;=0,NA(),charge_entree[[#This Row],[ch_E_COT]]/constanten!$B$9*1000),"")</f>
        <v/>
      </c>
      <c r="BC152" s="523" t="str">
        <f>IFERROR(_xlfn.IFNA(IF(données_step[[#This Row],[E_PTOT]]&lt;=0,NA(),charge_entree[[#This Row],[ch_E_PTOT]]/constanten!$B$15*1000),""),"")</f>
        <v/>
      </c>
      <c r="BD152" s="535" t="e">
        <f>calculs!E152 * (1-0.4) / (données_step[[#This Row],[X_BA_VOL]]*données_step[[#This Row],[X_BACONC]])</f>
        <v>#VALUE!</v>
      </c>
      <c r="BE152" s="522" t="e">
        <f>(données_step[[#This Row],[X_BA_VOL]]*données_step[[#This Row],[X_BACONC]])/((données_step[[#This Row],[D_QTRAI2]]*données_step[[#This Row],[S_MES]]/1000)+(données_step[[#This Row],[X_BX_Q]]*données_step[[#This Row],[X_BXCONC]]))</f>
        <v>#VALUE!</v>
      </c>
      <c r="BF152" s="890" t="str">
        <f>IFERROR(données_step[[#This Row],[D_QTRAI]]/AY152*1000,"")</f>
        <v/>
      </c>
      <c r="BG152" s="535" t="str">
        <f>IFERROR(1-données_step[[#This Row],[S_DBO5]]/données_step[[#This Row],[E_DBO5]],"")</f>
        <v/>
      </c>
      <c r="BH152" s="536" t="str">
        <f>IFERROR(1-données_step[[#This Row],[S_DCO]]/données_step[[#This Row],[E_DCO]],"")</f>
        <v/>
      </c>
      <c r="BI152" s="535" t="str">
        <f>IFERROR(1-données_step[[#This Row],[S_COD]]/données_step[[#This Row],[E_COT]],"")</f>
        <v/>
      </c>
      <c r="BJ152" s="535" t="str">
        <f>IFERROR(1-données_step[[#This Row],[S_NH4]]/données_step[[#This Row],[E_NTOT]],"")</f>
        <v/>
      </c>
      <c r="BK152" s="535" t="str">
        <f>IFERROR(1-données_step[[#This Row],[S_PTOT]]/données_step[[#This Row],[E_PTOT]],"")</f>
        <v/>
      </c>
      <c r="BL152" s="521" t="str">
        <f>IFERROR(IF(données_step[[#This Row],[E_DCO]]/données_step[[#This Row],[E_DBO5]]=0,NA(),données_step[[#This Row],[E_DCO]]/données_step[[#This Row],[E_DBO5]]),"")</f>
        <v/>
      </c>
      <c r="BM152" s="521" t="str">
        <f>IFERROR(IF(données_step[[#This Row],[E_NH4]]/données_step[[#This Row],[E_NTOT]]=0,NA(),données_step[[#This Row],[E_NH4]]/données_step[[#This Row],[E_NTOT]]),"")</f>
        <v/>
      </c>
      <c r="BN152" s="521" t="str">
        <f>IFERROR(IF(données_step[[#This Row],[E_NTOT]]/données_step[[#This Row],[E_COT]]=0,NA(),données_step[[#This Row],[E_NTOT]]/données_step[[#This Row],[E_COT]]),"")</f>
        <v/>
      </c>
      <c r="BO152" s="521" t="str">
        <f>IFERROR(IF(données_step[[#This Row],[E_PTOT]]/données_step[[#This Row],[E_COT]]=0,NA(),données_step[[#This Row],[E_PTOT]]/données_step[[#This Row],[E_COT]]),"")</f>
        <v/>
      </c>
      <c r="BP152" s="521" t="e">
        <f>IF(données_step[[#This Row],[E_DCO]]/données_step[[#This Row],[E_COT]]=0,NA(),données_step[[#This Row],[E_DCO]]/données_step[[#This Row],[E_COT]])</f>
        <v>#DIV/0!</v>
      </c>
      <c r="BQ152" s="521" t="e">
        <f>IF(données_step[[#This Row],[E_NTOT]]/données_step[[#This Row],[E_DCO]]=0,NA(),données_step[[#This Row],[E_NTOT]]/données_step[[#This Row],[E_DCO]])</f>
        <v>#DIV/0!</v>
      </c>
      <c r="BR152" s="521" t="e">
        <f>IF(données_step[[#This Row],[E_PTOT]]/données_step[[#This Row],[E_DCO]]=0,NA(),données_step[[#This Row],[E_PTOT]]/données_step[[#This Row],[E_DCO]])</f>
        <v>#DIV/0!</v>
      </c>
      <c r="BS152" s="747" t="e">
        <f ca="1">test_NH4_temp(données_step[[#This Row],[S_NH4]],données_step[[#This Row],[Temp_eaux]])</f>
        <v>#NAME?</v>
      </c>
    </row>
    <row r="153" spans="1:71" x14ac:dyDescent="0.2">
      <c r="A153" s="222">
        <f>données_step[[#This Row],[Datum]]</f>
        <v>44704</v>
      </c>
      <c r="B153" s="223"/>
      <c r="C153" s="224">
        <f t="shared" si="34"/>
        <v>2</v>
      </c>
      <c r="D153" s="523" t="str">
        <f>IF(OR(données_step[[#This Row],[E_DBO5]]&lt;=0,données_step[[#This Row],[E_DBO5]]=""),"",données_step[[#This Row],[D_QTRAI]]*données_step[[#This Row],[E_DBO5]]/1000)</f>
        <v/>
      </c>
      <c r="E153" s="523" t="str">
        <f>IF(OR(données_step[[#This Row],[E_DCO]]&lt;=0,données_step[[#This Row],[E_DCO]]=""),"",données_step[[#This Row],[D_QTRAI]]*données_step[[#This Row],[E_DCO]]/1000)</f>
        <v/>
      </c>
      <c r="F153" s="523" t="str">
        <f>IF(OR(données_step[[#This Row],[E_COT]]&lt;=0,données_step[[#This Row],[E_COT]]=""),"",données_step[[#This Row],[D_QTRAI]]*données_step[[#This Row],[E_COT]]/1000)</f>
        <v/>
      </c>
      <c r="G153" s="523" t="str">
        <f>IF(OR(données_step[[#This Row],[E_NH4]]&lt;=0,données_step[[#This Row],[E_NH4]]=""),"",données_step[[#This Row],[D_QTRAI]]*données_step[[#This Row],[E_NH4]]/1000)</f>
        <v/>
      </c>
      <c r="H153" s="523" t="str">
        <f>IF(OR(données_step[[#This Row],[E_NTOT]]&lt;=0,données_step[[#This Row],[E_NTOT]]=""),"",données_step[[#This Row],[D_QTRAI]]*données_step[[#This Row],[E_NTOT]]/1000)</f>
        <v/>
      </c>
      <c r="I153" s="523" t="str">
        <f>IF(OR(données_step[[#This Row],[E_NTOT]]&lt;=0,données_step[[#This Row],[E_NTOT]]=""),"",données_step[[#This Row],[D_QTRAI]]*données_step[[#This Row],[E_PTOT]]/1000)</f>
        <v/>
      </c>
      <c r="J153" s="523" t="str">
        <f>IF(OR(données_step[[#This Row],[S_DBO5]]&lt;=0,données_step[[#This Row],[S_DBO5]]=""),"",données_step[[#This Row],[D_QTRAI]]*données_step[[#This Row],[S_DBO5]]/1000)</f>
        <v/>
      </c>
      <c r="K153" s="523" t="str">
        <f>IF(OR(données_step[[#This Row],[S_DCO]]&lt;=0,données_step[[#This Row],[S_DCO]]=""),"",données_step[[#This Row],[D_QTRAI]]*données_step[[#This Row],[S_DCO]]/1000)</f>
        <v/>
      </c>
      <c r="L153" s="523" t="str">
        <f>IF(OR(données_step[[#This Row],[S_COD]]&lt;=0,données_step[[#This Row],[S_COD]]=""),"",données_step[[#This Row],[D_QTRAI]]*données_step[[#This Row],[S_COD]]/1000)</f>
        <v/>
      </c>
      <c r="M153" s="523" t="str">
        <f>IF(OR(données_step[[#This Row],[S_NH4]]&lt;=0,données_step[[#This Row],[S_NH4]]=""),"",données_step[[#This Row],[D_QTRAI]]*données_step[[#This Row],[S_NH4]]/1000)</f>
        <v/>
      </c>
      <c r="N153" s="523" t="str">
        <f>IF(OR(données_step[[#This Row],[S_NO2]]&lt;=0,données_step[[#This Row],[S_NO2]]=""),"",données_step[[#This Row],[D_QTRAI]]*données_step[[#This Row],[S_NO2]]/1000)</f>
        <v/>
      </c>
      <c r="O153" s="523" t="str">
        <f>IF(OR(données_step[[#This Row],[S_NO3]]&lt;=0,données_step[[#This Row],[S_NO3]]=""),"",données_step[[#This Row],[D_QTRAI]]*données_step[[#This Row],[S_NO3]]/1000)</f>
        <v/>
      </c>
      <c r="P153" s="523" t="str">
        <f>IF(OR(données_step[[#This Row],[S_PTOT]]&lt;=0,données_step[[#This Row],[S_PTOT]]=""),"",données_step[[#This Row],[D_QTRAI]]*données_step[[#This Row],[S_PTOT]]/1000)</f>
        <v/>
      </c>
      <c r="Q153" s="523" t="str">
        <f>IF(OR(données_step[[#This Row],[S_MES]]&lt;=0,données_step[[#This Row],[S_MES]]=""),"",données_step[[#This Row],[D_QTRAI]]*données_step[[#This Row],[S_MES]]/1000)</f>
        <v/>
      </c>
      <c r="R153" s="523">
        <f>MAX(données_step[[#This Row],[D_QTRAI]],données_step[[#This Row],[D_QTRAI2]])</f>
        <v>0</v>
      </c>
      <c r="S153" s="523" t="str">
        <f>IF(AND($R153&gt;0,données_step[[#This Row],[E_DCO]]&gt;0),données_step[[#This Row],[E_DCO]],"")</f>
        <v/>
      </c>
      <c r="T153" s="523" t="str">
        <f>IF(S153="","",(1-données_step[[#This Row],[E_DCO]]/$V$7)*100)</f>
        <v/>
      </c>
      <c r="U153" s="523" t="str">
        <f t="shared" si="35"/>
        <v/>
      </c>
      <c r="V153" s="523" t="str">
        <f t="shared" si="36"/>
        <v/>
      </c>
      <c r="W153" s="523" t="str">
        <f t="shared" si="37"/>
        <v/>
      </c>
      <c r="X153" s="523" t="e">
        <f>IF(((100-100/$V$7*données_step[[#This Row],[E_DCO]])/100*QTS)&lt;0,NA(),IF(OR(U153&lt;0,U153=""),NA(),((100-100/$V$7*données_step[[#This Row],[E_DCO]])/100*QTS)))</f>
        <v>#NUM!</v>
      </c>
      <c r="Y153" s="523" t="str">
        <f>IF(AND($R153&gt;0,données_step[[#This Row],[E_COT]]&gt;0),données_step[[#This Row],[E_COT]],"")</f>
        <v/>
      </c>
      <c r="Z153" s="523" t="str">
        <f>IF(Y153="","",(1-données_step[[#This Row],[E_COT]]/$AB$7)*100)</f>
        <v/>
      </c>
      <c r="AA153" s="523" t="str">
        <f t="shared" si="38"/>
        <v/>
      </c>
      <c r="AB153" s="523" t="str">
        <f t="shared" si="39"/>
        <v/>
      </c>
      <c r="AC153" s="523" t="str">
        <f t="shared" si="40"/>
        <v/>
      </c>
      <c r="AD153" s="523" t="e">
        <f>IF(((100-100/$AB$7*données_step[[#This Row],[E_COT]])/100*QTS)&lt;0,NA(),IF(OR(AA153&lt;0,AA153=""),NA(),((100-100/$AB$7*données_step[[#This Row],[E_COT]])/100*QTS)))</f>
        <v>#NUM!</v>
      </c>
      <c r="AE153" s="523" t="str">
        <f>IF(AND($R153&gt;0,données_step[[#This Row],[E_NH4]]&gt;0),données_step[[#This Row],[E_NH4]],"")</f>
        <v/>
      </c>
      <c r="AF153" s="523" t="str">
        <f>IF(AE153="","",(1-données_step[[#This Row],[E_NH4]]/$AH$7)*100)</f>
        <v/>
      </c>
      <c r="AG153" s="523" t="str">
        <f t="shared" si="41"/>
        <v/>
      </c>
      <c r="AH153" s="523" t="str">
        <f t="shared" si="42"/>
        <v/>
      </c>
      <c r="AI153" s="523" t="str">
        <f t="shared" si="43"/>
        <v/>
      </c>
      <c r="AJ153" s="523" t="e">
        <f>IF(((100-100/$AH$7*données_step[[#This Row],[E_NH4]])/100*QTS)&lt;0,NA(),IF(OR(AG153&lt;0,AG153=""),NA(),((100-100/$AH$7*données_step[[#This Row],[E_NH4]])/100*QTS)))</f>
        <v>#NUM!</v>
      </c>
      <c r="AK153" s="523" t="str">
        <f>IF(AND($R153&gt;0,données_step[[#This Row],[E_PTOT]]&gt;0),données_step[[#This Row],[E_PTOT]],"")</f>
        <v/>
      </c>
      <c r="AL153" s="523" t="str">
        <f>IF(AK153="","",(1-données_step[[#This Row],[E_PTOT]]/$AN$7)*100)</f>
        <v/>
      </c>
      <c r="AM153" s="523" t="str">
        <f t="shared" si="44"/>
        <v/>
      </c>
      <c r="AN153" s="523" t="str">
        <f t="shared" si="45"/>
        <v/>
      </c>
      <c r="AO153" s="523" t="str">
        <f t="shared" si="46"/>
        <v/>
      </c>
      <c r="AP153" s="523" t="e">
        <f>IF(((100-100/$AN$7*données_step[[#This Row],[E_PTOT]])/100*QTS)&lt;0,NA(),IF(OR(AM153&lt;0,AM153=""),NA(),((100-100/$AN$7*données_step[[#This Row],[E_PTOT]])/100*QTS)))</f>
        <v>#NUM!</v>
      </c>
      <c r="AQ153" s="524" t="e">
        <f t="shared" si="47"/>
        <v>#NUM!</v>
      </c>
      <c r="AR153" s="524" t="str">
        <f t="shared" si="48"/>
        <v/>
      </c>
      <c r="AY153" s="523" t="str">
        <f>_xlfn.IFNA(IF(données_step[[#This Row],[E_DCO]]&lt;=0,NA(),charge_entree[[#This Row],[ch_E_DCO]]/constanten!$B$8*1000),"")</f>
        <v/>
      </c>
      <c r="AZ153" s="523" t="str">
        <f>_xlfn.IFNA(IF(données_step[[#This Row],[E_NTOT]]&lt;=0,NA(),charge_entree[[#This Row],[ch_E_NTOT]]/constanten!$B$10*1000),"")</f>
        <v/>
      </c>
      <c r="BA153" s="523" t="str">
        <f>_xlfn.IFNA(IF(données_step[[#This Row],[E_NH4]]&lt;=0,NA(),charge_entree[[#This Row],[ch_E_NH4]]/constanten!$B$12*1000),"")</f>
        <v/>
      </c>
      <c r="BB153" s="523" t="str">
        <f>_xlfn.IFNA(IF(données_step[[#This Row],[E_COT]]&lt;=0,NA(),charge_entree[[#This Row],[ch_E_COT]]/constanten!$B$9*1000),"")</f>
        <v/>
      </c>
      <c r="BC153" s="523" t="str">
        <f>IFERROR(_xlfn.IFNA(IF(données_step[[#This Row],[E_PTOT]]&lt;=0,NA(),charge_entree[[#This Row],[ch_E_PTOT]]/constanten!$B$15*1000),""),"")</f>
        <v/>
      </c>
      <c r="BD153" s="535" t="e">
        <f>calculs!E153 * (1-0.4) / (données_step[[#This Row],[X_BA_VOL]]*données_step[[#This Row],[X_BACONC]])</f>
        <v>#VALUE!</v>
      </c>
      <c r="BE153" s="522" t="e">
        <f>(données_step[[#This Row],[X_BA_VOL]]*données_step[[#This Row],[X_BACONC]])/((données_step[[#This Row],[D_QTRAI2]]*données_step[[#This Row],[S_MES]]/1000)+(données_step[[#This Row],[X_BX_Q]]*données_step[[#This Row],[X_BXCONC]]))</f>
        <v>#VALUE!</v>
      </c>
      <c r="BF153" s="890" t="str">
        <f>IFERROR(données_step[[#This Row],[D_QTRAI]]/AY153*1000,"")</f>
        <v/>
      </c>
      <c r="BG153" s="535" t="str">
        <f>IFERROR(1-données_step[[#This Row],[S_DBO5]]/données_step[[#This Row],[E_DBO5]],"")</f>
        <v/>
      </c>
      <c r="BH153" s="536" t="str">
        <f>IFERROR(1-données_step[[#This Row],[S_DCO]]/données_step[[#This Row],[E_DCO]],"")</f>
        <v/>
      </c>
      <c r="BI153" s="535" t="str">
        <f>IFERROR(1-données_step[[#This Row],[S_COD]]/données_step[[#This Row],[E_COT]],"")</f>
        <v/>
      </c>
      <c r="BJ153" s="535" t="str">
        <f>IFERROR(1-données_step[[#This Row],[S_NH4]]/données_step[[#This Row],[E_NTOT]],"")</f>
        <v/>
      </c>
      <c r="BK153" s="535" t="str">
        <f>IFERROR(1-données_step[[#This Row],[S_PTOT]]/données_step[[#This Row],[E_PTOT]],"")</f>
        <v/>
      </c>
      <c r="BL153" s="521" t="str">
        <f>IFERROR(IF(données_step[[#This Row],[E_DCO]]/données_step[[#This Row],[E_DBO5]]=0,NA(),données_step[[#This Row],[E_DCO]]/données_step[[#This Row],[E_DBO5]]),"")</f>
        <v/>
      </c>
      <c r="BM153" s="521" t="str">
        <f>IFERROR(IF(données_step[[#This Row],[E_NH4]]/données_step[[#This Row],[E_NTOT]]=0,NA(),données_step[[#This Row],[E_NH4]]/données_step[[#This Row],[E_NTOT]]),"")</f>
        <v/>
      </c>
      <c r="BN153" s="521" t="str">
        <f>IFERROR(IF(données_step[[#This Row],[E_NTOT]]/données_step[[#This Row],[E_COT]]=0,NA(),données_step[[#This Row],[E_NTOT]]/données_step[[#This Row],[E_COT]]),"")</f>
        <v/>
      </c>
      <c r="BO153" s="521" t="str">
        <f>IFERROR(IF(données_step[[#This Row],[E_PTOT]]/données_step[[#This Row],[E_COT]]=0,NA(),données_step[[#This Row],[E_PTOT]]/données_step[[#This Row],[E_COT]]),"")</f>
        <v/>
      </c>
      <c r="BP153" s="521" t="e">
        <f>IF(données_step[[#This Row],[E_DCO]]/données_step[[#This Row],[E_COT]]=0,NA(),données_step[[#This Row],[E_DCO]]/données_step[[#This Row],[E_COT]])</f>
        <v>#DIV/0!</v>
      </c>
      <c r="BQ153" s="521" t="e">
        <f>IF(données_step[[#This Row],[E_NTOT]]/données_step[[#This Row],[E_DCO]]=0,NA(),données_step[[#This Row],[E_NTOT]]/données_step[[#This Row],[E_DCO]])</f>
        <v>#DIV/0!</v>
      </c>
      <c r="BR153" s="521" t="e">
        <f>IF(données_step[[#This Row],[E_PTOT]]/données_step[[#This Row],[E_DCO]]=0,NA(),données_step[[#This Row],[E_PTOT]]/données_step[[#This Row],[E_DCO]])</f>
        <v>#DIV/0!</v>
      </c>
      <c r="BS153" s="747" t="e">
        <f ca="1">test_NH4_temp(données_step[[#This Row],[S_NH4]],données_step[[#This Row],[Temp_eaux]])</f>
        <v>#NAME?</v>
      </c>
    </row>
    <row r="154" spans="1:71" x14ac:dyDescent="0.2">
      <c r="A154" s="222">
        <f>données_step[[#This Row],[Datum]]</f>
        <v>44705</v>
      </c>
      <c r="B154" s="223"/>
      <c r="C154" s="224">
        <f t="shared" si="34"/>
        <v>3</v>
      </c>
      <c r="D154" s="523" t="str">
        <f>IF(OR(données_step[[#This Row],[E_DBO5]]&lt;=0,données_step[[#This Row],[E_DBO5]]=""),"",données_step[[#This Row],[D_QTRAI]]*données_step[[#This Row],[E_DBO5]]/1000)</f>
        <v/>
      </c>
      <c r="E154" s="523" t="str">
        <f>IF(OR(données_step[[#This Row],[E_DCO]]&lt;=0,données_step[[#This Row],[E_DCO]]=""),"",données_step[[#This Row],[D_QTRAI]]*données_step[[#This Row],[E_DCO]]/1000)</f>
        <v/>
      </c>
      <c r="F154" s="523" t="str">
        <f>IF(OR(données_step[[#This Row],[E_COT]]&lt;=0,données_step[[#This Row],[E_COT]]=""),"",données_step[[#This Row],[D_QTRAI]]*données_step[[#This Row],[E_COT]]/1000)</f>
        <v/>
      </c>
      <c r="G154" s="523" t="str">
        <f>IF(OR(données_step[[#This Row],[E_NH4]]&lt;=0,données_step[[#This Row],[E_NH4]]=""),"",données_step[[#This Row],[D_QTRAI]]*données_step[[#This Row],[E_NH4]]/1000)</f>
        <v/>
      </c>
      <c r="H154" s="523" t="str">
        <f>IF(OR(données_step[[#This Row],[E_NTOT]]&lt;=0,données_step[[#This Row],[E_NTOT]]=""),"",données_step[[#This Row],[D_QTRAI]]*données_step[[#This Row],[E_NTOT]]/1000)</f>
        <v/>
      </c>
      <c r="I154" s="523" t="str">
        <f>IF(OR(données_step[[#This Row],[E_NTOT]]&lt;=0,données_step[[#This Row],[E_NTOT]]=""),"",données_step[[#This Row],[D_QTRAI]]*données_step[[#This Row],[E_PTOT]]/1000)</f>
        <v/>
      </c>
      <c r="J154" s="523" t="str">
        <f>IF(OR(données_step[[#This Row],[S_DBO5]]&lt;=0,données_step[[#This Row],[S_DBO5]]=""),"",données_step[[#This Row],[D_QTRAI]]*données_step[[#This Row],[S_DBO5]]/1000)</f>
        <v/>
      </c>
      <c r="K154" s="523" t="str">
        <f>IF(OR(données_step[[#This Row],[S_DCO]]&lt;=0,données_step[[#This Row],[S_DCO]]=""),"",données_step[[#This Row],[D_QTRAI]]*données_step[[#This Row],[S_DCO]]/1000)</f>
        <v/>
      </c>
      <c r="L154" s="523" t="str">
        <f>IF(OR(données_step[[#This Row],[S_COD]]&lt;=0,données_step[[#This Row],[S_COD]]=""),"",données_step[[#This Row],[D_QTRAI]]*données_step[[#This Row],[S_COD]]/1000)</f>
        <v/>
      </c>
      <c r="M154" s="523" t="str">
        <f>IF(OR(données_step[[#This Row],[S_NH4]]&lt;=0,données_step[[#This Row],[S_NH4]]=""),"",données_step[[#This Row],[D_QTRAI]]*données_step[[#This Row],[S_NH4]]/1000)</f>
        <v/>
      </c>
      <c r="N154" s="523" t="str">
        <f>IF(OR(données_step[[#This Row],[S_NO2]]&lt;=0,données_step[[#This Row],[S_NO2]]=""),"",données_step[[#This Row],[D_QTRAI]]*données_step[[#This Row],[S_NO2]]/1000)</f>
        <v/>
      </c>
      <c r="O154" s="523" t="str">
        <f>IF(OR(données_step[[#This Row],[S_NO3]]&lt;=0,données_step[[#This Row],[S_NO3]]=""),"",données_step[[#This Row],[D_QTRAI]]*données_step[[#This Row],[S_NO3]]/1000)</f>
        <v/>
      </c>
      <c r="P154" s="523" t="str">
        <f>IF(OR(données_step[[#This Row],[S_PTOT]]&lt;=0,données_step[[#This Row],[S_PTOT]]=""),"",données_step[[#This Row],[D_QTRAI]]*données_step[[#This Row],[S_PTOT]]/1000)</f>
        <v/>
      </c>
      <c r="Q154" s="523" t="str">
        <f>IF(OR(données_step[[#This Row],[S_MES]]&lt;=0,données_step[[#This Row],[S_MES]]=""),"",données_step[[#This Row],[D_QTRAI]]*données_step[[#This Row],[S_MES]]/1000)</f>
        <v/>
      </c>
      <c r="R154" s="523">
        <f>MAX(données_step[[#This Row],[D_QTRAI]],données_step[[#This Row],[D_QTRAI2]])</f>
        <v>0</v>
      </c>
      <c r="S154" s="523" t="str">
        <f>IF(AND($R154&gt;0,données_step[[#This Row],[E_DCO]]&gt;0),données_step[[#This Row],[E_DCO]],"")</f>
        <v/>
      </c>
      <c r="T154" s="523" t="str">
        <f>IF(S154="","",(1-données_step[[#This Row],[E_DCO]]/$V$7)*100)</f>
        <v/>
      </c>
      <c r="U154" s="523" t="str">
        <f t="shared" si="35"/>
        <v/>
      </c>
      <c r="V154" s="523" t="str">
        <f t="shared" si="36"/>
        <v/>
      </c>
      <c r="W154" s="523" t="str">
        <f t="shared" si="37"/>
        <v/>
      </c>
      <c r="X154" s="523" t="e">
        <f>IF(((100-100/$V$7*données_step[[#This Row],[E_DCO]])/100*QTS)&lt;0,NA(),IF(OR(U154&lt;0,U154=""),NA(),((100-100/$V$7*données_step[[#This Row],[E_DCO]])/100*QTS)))</f>
        <v>#NUM!</v>
      </c>
      <c r="Y154" s="523" t="str">
        <f>IF(AND($R154&gt;0,données_step[[#This Row],[E_COT]]&gt;0),données_step[[#This Row],[E_COT]],"")</f>
        <v/>
      </c>
      <c r="Z154" s="523" t="str">
        <f>IF(Y154="","",(1-données_step[[#This Row],[E_COT]]/$AB$7)*100)</f>
        <v/>
      </c>
      <c r="AA154" s="523" t="str">
        <f t="shared" si="38"/>
        <v/>
      </c>
      <c r="AB154" s="523" t="str">
        <f t="shared" si="39"/>
        <v/>
      </c>
      <c r="AC154" s="523" t="str">
        <f t="shared" si="40"/>
        <v/>
      </c>
      <c r="AD154" s="523" t="e">
        <f>IF(((100-100/$AB$7*données_step[[#This Row],[E_COT]])/100*QTS)&lt;0,NA(),IF(OR(AA154&lt;0,AA154=""),NA(),((100-100/$AB$7*données_step[[#This Row],[E_COT]])/100*QTS)))</f>
        <v>#NUM!</v>
      </c>
      <c r="AE154" s="523" t="str">
        <f>IF(AND($R154&gt;0,données_step[[#This Row],[E_NH4]]&gt;0),données_step[[#This Row],[E_NH4]],"")</f>
        <v/>
      </c>
      <c r="AF154" s="523" t="str">
        <f>IF(AE154="","",(1-données_step[[#This Row],[E_NH4]]/$AH$7)*100)</f>
        <v/>
      </c>
      <c r="AG154" s="523" t="str">
        <f t="shared" si="41"/>
        <v/>
      </c>
      <c r="AH154" s="523" t="str">
        <f t="shared" si="42"/>
        <v/>
      </c>
      <c r="AI154" s="523" t="str">
        <f t="shared" si="43"/>
        <v/>
      </c>
      <c r="AJ154" s="523" t="e">
        <f>IF(((100-100/$AH$7*données_step[[#This Row],[E_NH4]])/100*QTS)&lt;0,NA(),IF(OR(AG154&lt;0,AG154=""),NA(),((100-100/$AH$7*données_step[[#This Row],[E_NH4]])/100*QTS)))</f>
        <v>#NUM!</v>
      </c>
      <c r="AK154" s="523" t="str">
        <f>IF(AND($R154&gt;0,données_step[[#This Row],[E_PTOT]]&gt;0),données_step[[#This Row],[E_PTOT]],"")</f>
        <v/>
      </c>
      <c r="AL154" s="523" t="str">
        <f>IF(AK154="","",(1-données_step[[#This Row],[E_PTOT]]/$AN$7)*100)</f>
        <v/>
      </c>
      <c r="AM154" s="523" t="str">
        <f t="shared" si="44"/>
        <v/>
      </c>
      <c r="AN154" s="523" t="str">
        <f t="shared" si="45"/>
        <v/>
      </c>
      <c r="AO154" s="523" t="str">
        <f t="shared" si="46"/>
        <v/>
      </c>
      <c r="AP154" s="523" t="e">
        <f>IF(((100-100/$AN$7*données_step[[#This Row],[E_PTOT]])/100*QTS)&lt;0,NA(),IF(OR(AM154&lt;0,AM154=""),NA(),((100-100/$AN$7*données_step[[#This Row],[E_PTOT]])/100*QTS)))</f>
        <v>#NUM!</v>
      </c>
      <c r="AQ154" s="524" t="e">
        <f t="shared" si="47"/>
        <v>#NUM!</v>
      </c>
      <c r="AR154" s="524" t="str">
        <f t="shared" si="48"/>
        <v/>
      </c>
      <c r="AY154" s="523" t="str">
        <f>_xlfn.IFNA(IF(données_step[[#This Row],[E_DCO]]&lt;=0,NA(),charge_entree[[#This Row],[ch_E_DCO]]/constanten!$B$8*1000),"")</f>
        <v/>
      </c>
      <c r="AZ154" s="523" t="str">
        <f>_xlfn.IFNA(IF(données_step[[#This Row],[E_NTOT]]&lt;=0,NA(),charge_entree[[#This Row],[ch_E_NTOT]]/constanten!$B$10*1000),"")</f>
        <v/>
      </c>
      <c r="BA154" s="523" t="str">
        <f>_xlfn.IFNA(IF(données_step[[#This Row],[E_NH4]]&lt;=0,NA(),charge_entree[[#This Row],[ch_E_NH4]]/constanten!$B$12*1000),"")</f>
        <v/>
      </c>
      <c r="BB154" s="523" t="str">
        <f>_xlfn.IFNA(IF(données_step[[#This Row],[E_COT]]&lt;=0,NA(),charge_entree[[#This Row],[ch_E_COT]]/constanten!$B$9*1000),"")</f>
        <v/>
      </c>
      <c r="BC154" s="523" t="str">
        <f>IFERROR(_xlfn.IFNA(IF(données_step[[#This Row],[E_PTOT]]&lt;=0,NA(),charge_entree[[#This Row],[ch_E_PTOT]]/constanten!$B$15*1000),""),"")</f>
        <v/>
      </c>
      <c r="BD154" s="535" t="e">
        <f>calculs!E154 * (1-0.4) / (données_step[[#This Row],[X_BA_VOL]]*données_step[[#This Row],[X_BACONC]])</f>
        <v>#VALUE!</v>
      </c>
      <c r="BE154" s="522" t="e">
        <f>(données_step[[#This Row],[X_BA_VOL]]*données_step[[#This Row],[X_BACONC]])/((données_step[[#This Row],[D_QTRAI2]]*données_step[[#This Row],[S_MES]]/1000)+(données_step[[#This Row],[X_BX_Q]]*données_step[[#This Row],[X_BXCONC]]))</f>
        <v>#VALUE!</v>
      </c>
      <c r="BF154" s="890" t="str">
        <f>IFERROR(données_step[[#This Row],[D_QTRAI]]/AY154*1000,"")</f>
        <v/>
      </c>
      <c r="BG154" s="535" t="str">
        <f>IFERROR(1-données_step[[#This Row],[S_DBO5]]/données_step[[#This Row],[E_DBO5]],"")</f>
        <v/>
      </c>
      <c r="BH154" s="536" t="str">
        <f>IFERROR(1-données_step[[#This Row],[S_DCO]]/données_step[[#This Row],[E_DCO]],"")</f>
        <v/>
      </c>
      <c r="BI154" s="535" t="str">
        <f>IFERROR(1-données_step[[#This Row],[S_COD]]/données_step[[#This Row],[E_COT]],"")</f>
        <v/>
      </c>
      <c r="BJ154" s="535" t="str">
        <f>IFERROR(1-données_step[[#This Row],[S_NH4]]/données_step[[#This Row],[E_NTOT]],"")</f>
        <v/>
      </c>
      <c r="BK154" s="535" t="str">
        <f>IFERROR(1-données_step[[#This Row],[S_PTOT]]/données_step[[#This Row],[E_PTOT]],"")</f>
        <v/>
      </c>
      <c r="BL154" s="521" t="str">
        <f>IFERROR(IF(données_step[[#This Row],[E_DCO]]/données_step[[#This Row],[E_DBO5]]=0,NA(),données_step[[#This Row],[E_DCO]]/données_step[[#This Row],[E_DBO5]]),"")</f>
        <v/>
      </c>
      <c r="BM154" s="521" t="str">
        <f>IFERROR(IF(données_step[[#This Row],[E_NH4]]/données_step[[#This Row],[E_NTOT]]=0,NA(),données_step[[#This Row],[E_NH4]]/données_step[[#This Row],[E_NTOT]]),"")</f>
        <v/>
      </c>
      <c r="BN154" s="521" t="str">
        <f>IFERROR(IF(données_step[[#This Row],[E_NTOT]]/données_step[[#This Row],[E_COT]]=0,NA(),données_step[[#This Row],[E_NTOT]]/données_step[[#This Row],[E_COT]]),"")</f>
        <v/>
      </c>
      <c r="BO154" s="521" t="str">
        <f>IFERROR(IF(données_step[[#This Row],[E_PTOT]]/données_step[[#This Row],[E_COT]]=0,NA(),données_step[[#This Row],[E_PTOT]]/données_step[[#This Row],[E_COT]]),"")</f>
        <v/>
      </c>
      <c r="BP154" s="521" t="e">
        <f>IF(données_step[[#This Row],[E_DCO]]/données_step[[#This Row],[E_COT]]=0,NA(),données_step[[#This Row],[E_DCO]]/données_step[[#This Row],[E_COT]])</f>
        <v>#DIV/0!</v>
      </c>
      <c r="BQ154" s="521" t="e">
        <f>IF(données_step[[#This Row],[E_NTOT]]/données_step[[#This Row],[E_DCO]]=0,NA(),données_step[[#This Row],[E_NTOT]]/données_step[[#This Row],[E_DCO]])</f>
        <v>#DIV/0!</v>
      </c>
      <c r="BR154" s="521" t="e">
        <f>IF(données_step[[#This Row],[E_PTOT]]/données_step[[#This Row],[E_DCO]]=0,NA(),données_step[[#This Row],[E_PTOT]]/données_step[[#This Row],[E_DCO]])</f>
        <v>#DIV/0!</v>
      </c>
      <c r="BS154" s="747" t="e">
        <f ca="1">test_NH4_temp(données_step[[#This Row],[S_NH4]],données_step[[#This Row],[Temp_eaux]])</f>
        <v>#NAME?</v>
      </c>
    </row>
    <row r="155" spans="1:71" x14ac:dyDescent="0.2">
      <c r="A155" s="222">
        <f>données_step[[#This Row],[Datum]]</f>
        <v>44706</v>
      </c>
      <c r="B155" s="223"/>
      <c r="C155" s="224">
        <f t="shared" si="34"/>
        <v>4</v>
      </c>
      <c r="D155" s="523" t="str">
        <f>IF(OR(données_step[[#This Row],[E_DBO5]]&lt;=0,données_step[[#This Row],[E_DBO5]]=""),"",données_step[[#This Row],[D_QTRAI]]*données_step[[#This Row],[E_DBO5]]/1000)</f>
        <v/>
      </c>
      <c r="E155" s="523" t="str">
        <f>IF(OR(données_step[[#This Row],[E_DCO]]&lt;=0,données_step[[#This Row],[E_DCO]]=""),"",données_step[[#This Row],[D_QTRAI]]*données_step[[#This Row],[E_DCO]]/1000)</f>
        <v/>
      </c>
      <c r="F155" s="523" t="str">
        <f>IF(OR(données_step[[#This Row],[E_COT]]&lt;=0,données_step[[#This Row],[E_COT]]=""),"",données_step[[#This Row],[D_QTRAI]]*données_step[[#This Row],[E_COT]]/1000)</f>
        <v/>
      </c>
      <c r="G155" s="523" t="str">
        <f>IF(OR(données_step[[#This Row],[E_NH4]]&lt;=0,données_step[[#This Row],[E_NH4]]=""),"",données_step[[#This Row],[D_QTRAI]]*données_step[[#This Row],[E_NH4]]/1000)</f>
        <v/>
      </c>
      <c r="H155" s="523" t="str">
        <f>IF(OR(données_step[[#This Row],[E_NTOT]]&lt;=0,données_step[[#This Row],[E_NTOT]]=""),"",données_step[[#This Row],[D_QTRAI]]*données_step[[#This Row],[E_NTOT]]/1000)</f>
        <v/>
      </c>
      <c r="I155" s="523" t="str">
        <f>IF(OR(données_step[[#This Row],[E_NTOT]]&lt;=0,données_step[[#This Row],[E_NTOT]]=""),"",données_step[[#This Row],[D_QTRAI]]*données_step[[#This Row],[E_PTOT]]/1000)</f>
        <v/>
      </c>
      <c r="J155" s="523" t="str">
        <f>IF(OR(données_step[[#This Row],[S_DBO5]]&lt;=0,données_step[[#This Row],[S_DBO5]]=""),"",données_step[[#This Row],[D_QTRAI]]*données_step[[#This Row],[S_DBO5]]/1000)</f>
        <v/>
      </c>
      <c r="K155" s="523" t="str">
        <f>IF(OR(données_step[[#This Row],[S_DCO]]&lt;=0,données_step[[#This Row],[S_DCO]]=""),"",données_step[[#This Row],[D_QTRAI]]*données_step[[#This Row],[S_DCO]]/1000)</f>
        <v/>
      </c>
      <c r="L155" s="523" t="str">
        <f>IF(OR(données_step[[#This Row],[S_COD]]&lt;=0,données_step[[#This Row],[S_COD]]=""),"",données_step[[#This Row],[D_QTRAI]]*données_step[[#This Row],[S_COD]]/1000)</f>
        <v/>
      </c>
      <c r="M155" s="523" t="str">
        <f>IF(OR(données_step[[#This Row],[S_NH4]]&lt;=0,données_step[[#This Row],[S_NH4]]=""),"",données_step[[#This Row],[D_QTRAI]]*données_step[[#This Row],[S_NH4]]/1000)</f>
        <v/>
      </c>
      <c r="N155" s="523" t="str">
        <f>IF(OR(données_step[[#This Row],[S_NO2]]&lt;=0,données_step[[#This Row],[S_NO2]]=""),"",données_step[[#This Row],[D_QTRAI]]*données_step[[#This Row],[S_NO2]]/1000)</f>
        <v/>
      </c>
      <c r="O155" s="523" t="str">
        <f>IF(OR(données_step[[#This Row],[S_NO3]]&lt;=0,données_step[[#This Row],[S_NO3]]=""),"",données_step[[#This Row],[D_QTRAI]]*données_step[[#This Row],[S_NO3]]/1000)</f>
        <v/>
      </c>
      <c r="P155" s="523" t="str">
        <f>IF(OR(données_step[[#This Row],[S_PTOT]]&lt;=0,données_step[[#This Row],[S_PTOT]]=""),"",données_step[[#This Row],[D_QTRAI]]*données_step[[#This Row],[S_PTOT]]/1000)</f>
        <v/>
      </c>
      <c r="Q155" s="523" t="str">
        <f>IF(OR(données_step[[#This Row],[S_MES]]&lt;=0,données_step[[#This Row],[S_MES]]=""),"",données_step[[#This Row],[D_QTRAI]]*données_step[[#This Row],[S_MES]]/1000)</f>
        <v/>
      </c>
      <c r="R155" s="523">
        <f>MAX(données_step[[#This Row],[D_QTRAI]],données_step[[#This Row],[D_QTRAI2]])</f>
        <v>0</v>
      </c>
      <c r="S155" s="523" t="str">
        <f>IF(AND($R155&gt;0,données_step[[#This Row],[E_DCO]]&gt;0),données_step[[#This Row],[E_DCO]],"")</f>
        <v/>
      </c>
      <c r="T155" s="523" t="str">
        <f>IF(S155="","",(1-données_step[[#This Row],[E_DCO]]/$V$7)*100)</f>
        <v/>
      </c>
      <c r="U155" s="523" t="str">
        <f t="shared" si="35"/>
        <v/>
      </c>
      <c r="V155" s="523" t="str">
        <f t="shared" si="36"/>
        <v/>
      </c>
      <c r="W155" s="523" t="str">
        <f t="shared" si="37"/>
        <v/>
      </c>
      <c r="X155" s="523" t="e">
        <f>IF(((100-100/$V$7*données_step[[#This Row],[E_DCO]])/100*QTS)&lt;0,NA(),IF(OR(U155&lt;0,U155=""),NA(),((100-100/$V$7*données_step[[#This Row],[E_DCO]])/100*QTS)))</f>
        <v>#NUM!</v>
      </c>
      <c r="Y155" s="523" t="str">
        <f>IF(AND($R155&gt;0,données_step[[#This Row],[E_COT]]&gt;0),données_step[[#This Row],[E_COT]],"")</f>
        <v/>
      </c>
      <c r="Z155" s="523" t="str">
        <f>IF(Y155="","",(1-données_step[[#This Row],[E_COT]]/$AB$7)*100)</f>
        <v/>
      </c>
      <c r="AA155" s="523" t="str">
        <f t="shared" si="38"/>
        <v/>
      </c>
      <c r="AB155" s="523" t="str">
        <f t="shared" si="39"/>
        <v/>
      </c>
      <c r="AC155" s="523" t="str">
        <f t="shared" si="40"/>
        <v/>
      </c>
      <c r="AD155" s="523" t="e">
        <f>IF(((100-100/$AB$7*données_step[[#This Row],[E_COT]])/100*QTS)&lt;0,NA(),IF(OR(AA155&lt;0,AA155=""),NA(),((100-100/$AB$7*données_step[[#This Row],[E_COT]])/100*QTS)))</f>
        <v>#NUM!</v>
      </c>
      <c r="AE155" s="523" t="str">
        <f>IF(AND($R155&gt;0,données_step[[#This Row],[E_NH4]]&gt;0),données_step[[#This Row],[E_NH4]],"")</f>
        <v/>
      </c>
      <c r="AF155" s="523" t="str">
        <f>IF(AE155="","",(1-données_step[[#This Row],[E_NH4]]/$AH$7)*100)</f>
        <v/>
      </c>
      <c r="AG155" s="523" t="str">
        <f t="shared" si="41"/>
        <v/>
      </c>
      <c r="AH155" s="523" t="str">
        <f t="shared" si="42"/>
        <v/>
      </c>
      <c r="AI155" s="523" t="str">
        <f t="shared" si="43"/>
        <v/>
      </c>
      <c r="AJ155" s="523" t="e">
        <f>IF(((100-100/$AH$7*données_step[[#This Row],[E_NH4]])/100*QTS)&lt;0,NA(),IF(OR(AG155&lt;0,AG155=""),NA(),((100-100/$AH$7*données_step[[#This Row],[E_NH4]])/100*QTS)))</f>
        <v>#NUM!</v>
      </c>
      <c r="AK155" s="523" t="str">
        <f>IF(AND($R155&gt;0,données_step[[#This Row],[E_PTOT]]&gt;0),données_step[[#This Row],[E_PTOT]],"")</f>
        <v/>
      </c>
      <c r="AL155" s="523" t="str">
        <f>IF(AK155="","",(1-données_step[[#This Row],[E_PTOT]]/$AN$7)*100)</f>
        <v/>
      </c>
      <c r="AM155" s="523" t="str">
        <f t="shared" si="44"/>
        <v/>
      </c>
      <c r="AN155" s="523" t="str">
        <f t="shared" si="45"/>
        <v/>
      </c>
      <c r="AO155" s="523" t="str">
        <f t="shared" si="46"/>
        <v/>
      </c>
      <c r="AP155" s="523" t="e">
        <f>IF(((100-100/$AN$7*données_step[[#This Row],[E_PTOT]])/100*QTS)&lt;0,NA(),IF(OR(AM155&lt;0,AM155=""),NA(),((100-100/$AN$7*données_step[[#This Row],[E_PTOT]])/100*QTS)))</f>
        <v>#NUM!</v>
      </c>
      <c r="AQ155" s="524" t="e">
        <f t="shared" si="47"/>
        <v>#NUM!</v>
      </c>
      <c r="AR155" s="524" t="str">
        <f t="shared" si="48"/>
        <v/>
      </c>
      <c r="AY155" s="523" t="str">
        <f>_xlfn.IFNA(IF(données_step[[#This Row],[E_DCO]]&lt;=0,NA(),charge_entree[[#This Row],[ch_E_DCO]]/constanten!$B$8*1000),"")</f>
        <v/>
      </c>
      <c r="AZ155" s="523" t="str">
        <f>_xlfn.IFNA(IF(données_step[[#This Row],[E_NTOT]]&lt;=0,NA(),charge_entree[[#This Row],[ch_E_NTOT]]/constanten!$B$10*1000),"")</f>
        <v/>
      </c>
      <c r="BA155" s="523" t="str">
        <f>_xlfn.IFNA(IF(données_step[[#This Row],[E_NH4]]&lt;=0,NA(),charge_entree[[#This Row],[ch_E_NH4]]/constanten!$B$12*1000),"")</f>
        <v/>
      </c>
      <c r="BB155" s="523" t="str">
        <f>_xlfn.IFNA(IF(données_step[[#This Row],[E_COT]]&lt;=0,NA(),charge_entree[[#This Row],[ch_E_COT]]/constanten!$B$9*1000),"")</f>
        <v/>
      </c>
      <c r="BC155" s="523" t="str">
        <f>IFERROR(_xlfn.IFNA(IF(données_step[[#This Row],[E_PTOT]]&lt;=0,NA(),charge_entree[[#This Row],[ch_E_PTOT]]/constanten!$B$15*1000),""),"")</f>
        <v/>
      </c>
      <c r="BD155" s="535" t="e">
        <f>calculs!E155 * (1-0.4) / (données_step[[#This Row],[X_BA_VOL]]*données_step[[#This Row],[X_BACONC]])</f>
        <v>#VALUE!</v>
      </c>
      <c r="BE155" s="522" t="e">
        <f>(données_step[[#This Row],[X_BA_VOL]]*données_step[[#This Row],[X_BACONC]])/((données_step[[#This Row],[D_QTRAI2]]*données_step[[#This Row],[S_MES]]/1000)+(données_step[[#This Row],[X_BX_Q]]*données_step[[#This Row],[X_BXCONC]]))</f>
        <v>#VALUE!</v>
      </c>
      <c r="BF155" s="890" t="str">
        <f>IFERROR(données_step[[#This Row],[D_QTRAI]]/AY155*1000,"")</f>
        <v/>
      </c>
      <c r="BG155" s="535" t="str">
        <f>IFERROR(1-données_step[[#This Row],[S_DBO5]]/données_step[[#This Row],[E_DBO5]],"")</f>
        <v/>
      </c>
      <c r="BH155" s="536" t="str">
        <f>IFERROR(1-données_step[[#This Row],[S_DCO]]/données_step[[#This Row],[E_DCO]],"")</f>
        <v/>
      </c>
      <c r="BI155" s="535" t="str">
        <f>IFERROR(1-données_step[[#This Row],[S_COD]]/données_step[[#This Row],[E_COT]],"")</f>
        <v/>
      </c>
      <c r="BJ155" s="535" t="str">
        <f>IFERROR(1-données_step[[#This Row],[S_NH4]]/données_step[[#This Row],[E_NTOT]],"")</f>
        <v/>
      </c>
      <c r="BK155" s="535" t="str">
        <f>IFERROR(1-données_step[[#This Row],[S_PTOT]]/données_step[[#This Row],[E_PTOT]],"")</f>
        <v/>
      </c>
      <c r="BL155" s="521" t="str">
        <f>IFERROR(IF(données_step[[#This Row],[E_DCO]]/données_step[[#This Row],[E_DBO5]]=0,NA(),données_step[[#This Row],[E_DCO]]/données_step[[#This Row],[E_DBO5]]),"")</f>
        <v/>
      </c>
      <c r="BM155" s="521" t="str">
        <f>IFERROR(IF(données_step[[#This Row],[E_NH4]]/données_step[[#This Row],[E_NTOT]]=0,NA(),données_step[[#This Row],[E_NH4]]/données_step[[#This Row],[E_NTOT]]),"")</f>
        <v/>
      </c>
      <c r="BN155" s="521" t="str">
        <f>IFERROR(IF(données_step[[#This Row],[E_NTOT]]/données_step[[#This Row],[E_COT]]=0,NA(),données_step[[#This Row],[E_NTOT]]/données_step[[#This Row],[E_COT]]),"")</f>
        <v/>
      </c>
      <c r="BO155" s="521" t="str">
        <f>IFERROR(IF(données_step[[#This Row],[E_PTOT]]/données_step[[#This Row],[E_COT]]=0,NA(),données_step[[#This Row],[E_PTOT]]/données_step[[#This Row],[E_COT]]),"")</f>
        <v/>
      </c>
      <c r="BP155" s="521" t="e">
        <f>IF(données_step[[#This Row],[E_DCO]]/données_step[[#This Row],[E_COT]]=0,NA(),données_step[[#This Row],[E_DCO]]/données_step[[#This Row],[E_COT]])</f>
        <v>#DIV/0!</v>
      </c>
      <c r="BQ155" s="521" t="e">
        <f>IF(données_step[[#This Row],[E_NTOT]]/données_step[[#This Row],[E_DCO]]=0,NA(),données_step[[#This Row],[E_NTOT]]/données_step[[#This Row],[E_DCO]])</f>
        <v>#DIV/0!</v>
      </c>
      <c r="BR155" s="521" t="e">
        <f>IF(données_step[[#This Row],[E_PTOT]]/données_step[[#This Row],[E_DCO]]=0,NA(),données_step[[#This Row],[E_PTOT]]/données_step[[#This Row],[E_DCO]])</f>
        <v>#DIV/0!</v>
      </c>
      <c r="BS155" s="747" t="e">
        <f ca="1">test_NH4_temp(données_step[[#This Row],[S_NH4]],données_step[[#This Row],[Temp_eaux]])</f>
        <v>#NAME?</v>
      </c>
    </row>
    <row r="156" spans="1:71" x14ac:dyDescent="0.2">
      <c r="A156" s="222">
        <f>données_step[[#This Row],[Datum]]</f>
        <v>44707</v>
      </c>
      <c r="B156" s="223"/>
      <c r="C156" s="224">
        <f t="shared" si="34"/>
        <v>5</v>
      </c>
      <c r="D156" s="523" t="str">
        <f>IF(OR(données_step[[#This Row],[E_DBO5]]&lt;=0,données_step[[#This Row],[E_DBO5]]=""),"",données_step[[#This Row],[D_QTRAI]]*données_step[[#This Row],[E_DBO5]]/1000)</f>
        <v/>
      </c>
      <c r="E156" s="523" t="str">
        <f>IF(OR(données_step[[#This Row],[E_DCO]]&lt;=0,données_step[[#This Row],[E_DCO]]=""),"",données_step[[#This Row],[D_QTRAI]]*données_step[[#This Row],[E_DCO]]/1000)</f>
        <v/>
      </c>
      <c r="F156" s="523" t="str">
        <f>IF(OR(données_step[[#This Row],[E_COT]]&lt;=0,données_step[[#This Row],[E_COT]]=""),"",données_step[[#This Row],[D_QTRAI]]*données_step[[#This Row],[E_COT]]/1000)</f>
        <v/>
      </c>
      <c r="G156" s="523" t="str">
        <f>IF(OR(données_step[[#This Row],[E_NH4]]&lt;=0,données_step[[#This Row],[E_NH4]]=""),"",données_step[[#This Row],[D_QTRAI]]*données_step[[#This Row],[E_NH4]]/1000)</f>
        <v/>
      </c>
      <c r="H156" s="523" t="str">
        <f>IF(OR(données_step[[#This Row],[E_NTOT]]&lt;=0,données_step[[#This Row],[E_NTOT]]=""),"",données_step[[#This Row],[D_QTRAI]]*données_step[[#This Row],[E_NTOT]]/1000)</f>
        <v/>
      </c>
      <c r="I156" s="523" t="str">
        <f>IF(OR(données_step[[#This Row],[E_NTOT]]&lt;=0,données_step[[#This Row],[E_NTOT]]=""),"",données_step[[#This Row],[D_QTRAI]]*données_step[[#This Row],[E_PTOT]]/1000)</f>
        <v/>
      </c>
      <c r="J156" s="523" t="str">
        <f>IF(OR(données_step[[#This Row],[S_DBO5]]&lt;=0,données_step[[#This Row],[S_DBO5]]=""),"",données_step[[#This Row],[D_QTRAI]]*données_step[[#This Row],[S_DBO5]]/1000)</f>
        <v/>
      </c>
      <c r="K156" s="523" t="str">
        <f>IF(OR(données_step[[#This Row],[S_DCO]]&lt;=0,données_step[[#This Row],[S_DCO]]=""),"",données_step[[#This Row],[D_QTRAI]]*données_step[[#This Row],[S_DCO]]/1000)</f>
        <v/>
      </c>
      <c r="L156" s="523" t="str">
        <f>IF(OR(données_step[[#This Row],[S_COD]]&lt;=0,données_step[[#This Row],[S_COD]]=""),"",données_step[[#This Row],[D_QTRAI]]*données_step[[#This Row],[S_COD]]/1000)</f>
        <v/>
      </c>
      <c r="M156" s="523" t="str">
        <f>IF(OR(données_step[[#This Row],[S_NH4]]&lt;=0,données_step[[#This Row],[S_NH4]]=""),"",données_step[[#This Row],[D_QTRAI]]*données_step[[#This Row],[S_NH4]]/1000)</f>
        <v/>
      </c>
      <c r="N156" s="523" t="str">
        <f>IF(OR(données_step[[#This Row],[S_NO2]]&lt;=0,données_step[[#This Row],[S_NO2]]=""),"",données_step[[#This Row],[D_QTRAI]]*données_step[[#This Row],[S_NO2]]/1000)</f>
        <v/>
      </c>
      <c r="O156" s="523" t="str">
        <f>IF(OR(données_step[[#This Row],[S_NO3]]&lt;=0,données_step[[#This Row],[S_NO3]]=""),"",données_step[[#This Row],[D_QTRAI]]*données_step[[#This Row],[S_NO3]]/1000)</f>
        <v/>
      </c>
      <c r="P156" s="523" t="str">
        <f>IF(OR(données_step[[#This Row],[S_PTOT]]&lt;=0,données_step[[#This Row],[S_PTOT]]=""),"",données_step[[#This Row],[D_QTRAI]]*données_step[[#This Row],[S_PTOT]]/1000)</f>
        <v/>
      </c>
      <c r="Q156" s="523" t="str">
        <f>IF(OR(données_step[[#This Row],[S_MES]]&lt;=0,données_step[[#This Row],[S_MES]]=""),"",données_step[[#This Row],[D_QTRAI]]*données_step[[#This Row],[S_MES]]/1000)</f>
        <v/>
      </c>
      <c r="R156" s="523">
        <f>MAX(données_step[[#This Row],[D_QTRAI]],données_step[[#This Row],[D_QTRAI2]])</f>
        <v>0</v>
      </c>
      <c r="S156" s="523" t="str">
        <f>IF(AND($R156&gt;0,données_step[[#This Row],[E_DCO]]&gt;0),données_step[[#This Row],[E_DCO]],"")</f>
        <v/>
      </c>
      <c r="T156" s="523" t="str">
        <f>IF(S156="","",(1-données_step[[#This Row],[E_DCO]]/$V$7)*100)</f>
        <v/>
      </c>
      <c r="U156" s="523" t="str">
        <f t="shared" si="35"/>
        <v/>
      </c>
      <c r="V156" s="523" t="str">
        <f t="shared" si="36"/>
        <v/>
      </c>
      <c r="W156" s="523" t="str">
        <f t="shared" si="37"/>
        <v/>
      </c>
      <c r="X156" s="523" t="e">
        <f>IF(((100-100/$V$7*données_step[[#This Row],[E_DCO]])/100*QTS)&lt;0,NA(),IF(OR(U156&lt;0,U156=""),NA(),((100-100/$V$7*données_step[[#This Row],[E_DCO]])/100*QTS)))</f>
        <v>#NUM!</v>
      </c>
      <c r="Y156" s="523" t="str">
        <f>IF(AND($R156&gt;0,données_step[[#This Row],[E_COT]]&gt;0),données_step[[#This Row],[E_COT]],"")</f>
        <v/>
      </c>
      <c r="Z156" s="523" t="str">
        <f>IF(Y156="","",(1-données_step[[#This Row],[E_COT]]/$AB$7)*100)</f>
        <v/>
      </c>
      <c r="AA156" s="523" t="str">
        <f t="shared" si="38"/>
        <v/>
      </c>
      <c r="AB156" s="523" t="str">
        <f t="shared" si="39"/>
        <v/>
      </c>
      <c r="AC156" s="523" t="str">
        <f t="shared" si="40"/>
        <v/>
      </c>
      <c r="AD156" s="523" t="e">
        <f>IF(((100-100/$AB$7*données_step[[#This Row],[E_COT]])/100*QTS)&lt;0,NA(),IF(OR(AA156&lt;0,AA156=""),NA(),((100-100/$AB$7*données_step[[#This Row],[E_COT]])/100*QTS)))</f>
        <v>#NUM!</v>
      </c>
      <c r="AE156" s="523" t="str">
        <f>IF(AND($R156&gt;0,données_step[[#This Row],[E_NH4]]&gt;0),données_step[[#This Row],[E_NH4]],"")</f>
        <v/>
      </c>
      <c r="AF156" s="523" t="str">
        <f>IF(AE156="","",(1-données_step[[#This Row],[E_NH4]]/$AH$7)*100)</f>
        <v/>
      </c>
      <c r="AG156" s="523" t="str">
        <f t="shared" si="41"/>
        <v/>
      </c>
      <c r="AH156" s="523" t="str">
        <f t="shared" si="42"/>
        <v/>
      </c>
      <c r="AI156" s="523" t="str">
        <f t="shared" si="43"/>
        <v/>
      </c>
      <c r="AJ156" s="523" t="e">
        <f>IF(((100-100/$AH$7*données_step[[#This Row],[E_NH4]])/100*QTS)&lt;0,NA(),IF(OR(AG156&lt;0,AG156=""),NA(),((100-100/$AH$7*données_step[[#This Row],[E_NH4]])/100*QTS)))</f>
        <v>#NUM!</v>
      </c>
      <c r="AK156" s="523" t="str">
        <f>IF(AND($R156&gt;0,données_step[[#This Row],[E_PTOT]]&gt;0),données_step[[#This Row],[E_PTOT]],"")</f>
        <v/>
      </c>
      <c r="AL156" s="523" t="str">
        <f>IF(AK156="","",(1-données_step[[#This Row],[E_PTOT]]/$AN$7)*100)</f>
        <v/>
      </c>
      <c r="AM156" s="523" t="str">
        <f t="shared" si="44"/>
        <v/>
      </c>
      <c r="AN156" s="523" t="str">
        <f t="shared" si="45"/>
        <v/>
      </c>
      <c r="AO156" s="523" t="str">
        <f t="shared" si="46"/>
        <v/>
      </c>
      <c r="AP156" s="523" t="e">
        <f>IF(((100-100/$AN$7*données_step[[#This Row],[E_PTOT]])/100*QTS)&lt;0,NA(),IF(OR(AM156&lt;0,AM156=""),NA(),((100-100/$AN$7*données_step[[#This Row],[E_PTOT]])/100*QTS)))</f>
        <v>#NUM!</v>
      </c>
      <c r="AQ156" s="524" t="e">
        <f t="shared" si="47"/>
        <v>#NUM!</v>
      </c>
      <c r="AR156" s="524" t="str">
        <f t="shared" si="48"/>
        <v/>
      </c>
      <c r="AY156" s="523" t="str">
        <f>_xlfn.IFNA(IF(données_step[[#This Row],[E_DCO]]&lt;=0,NA(),charge_entree[[#This Row],[ch_E_DCO]]/constanten!$B$8*1000),"")</f>
        <v/>
      </c>
      <c r="AZ156" s="523" t="str">
        <f>_xlfn.IFNA(IF(données_step[[#This Row],[E_NTOT]]&lt;=0,NA(),charge_entree[[#This Row],[ch_E_NTOT]]/constanten!$B$10*1000),"")</f>
        <v/>
      </c>
      <c r="BA156" s="523" t="str">
        <f>_xlfn.IFNA(IF(données_step[[#This Row],[E_NH4]]&lt;=0,NA(),charge_entree[[#This Row],[ch_E_NH4]]/constanten!$B$12*1000),"")</f>
        <v/>
      </c>
      <c r="BB156" s="523" t="str">
        <f>_xlfn.IFNA(IF(données_step[[#This Row],[E_COT]]&lt;=0,NA(),charge_entree[[#This Row],[ch_E_COT]]/constanten!$B$9*1000),"")</f>
        <v/>
      </c>
      <c r="BC156" s="523" t="str">
        <f>IFERROR(_xlfn.IFNA(IF(données_step[[#This Row],[E_PTOT]]&lt;=0,NA(),charge_entree[[#This Row],[ch_E_PTOT]]/constanten!$B$15*1000),""),"")</f>
        <v/>
      </c>
      <c r="BD156" s="535" t="e">
        <f>calculs!E156 * (1-0.4) / (données_step[[#This Row],[X_BA_VOL]]*données_step[[#This Row],[X_BACONC]])</f>
        <v>#VALUE!</v>
      </c>
      <c r="BE156" s="522" t="e">
        <f>(données_step[[#This Row],[X_BA_VOL]]*données_step[[#This Row],[X_BACONC]])/((données_step[[#This Row],[D_QTRAI2]]*données_step[[#This Row],[S_MES]]/1000)+(données_step[[#This Row],[X_BX_Q]]*données_step[[#This Row],[X_BXCONC]]))</f>
        <v>#VALUE!</v>
      </c>
      <c r="BF156" s="890" t="str">
        <f>IFERROR(données_step[[#This Row],[D_QTRAI]]/AY156*1000,"")</f>
        <v/>
      </c>
      <c r="BG156" s="535" t="str">
        <f>IFERROR(1-données_step[[#This Row],[S_DBO5]]/données_step[[#This Row],[E_DBO5]],"")</f>
        <v/>
      </c>
      <c r="BH156" s="536" t="str">
        <f>IFERROR(1-données_step[[#This Row],[S_DCO]]/données_step[[#This Row],[E_DCO]],"")</f>
        <v/>
      </c>
      <c r="BI156" s="535" t="str">
        <f>IFERROR(1-données_step[[#This Row],[S_COD]]/données_step[[#This Row],[E_COT]],"")</f>
        <v/>
      </c>
      <c r="BJ156" s="535" t="str">
        <f>IFERROR(1-données_step[[#This Row],[S_NH4]]/données_step[[#This Row],[E_NTOT]],"")</f>
        <v/>
      </c>
      <c r="BK156" s="535" t="str">
        <f>IFERROR(1-données_step[[#This Row],[S_PTOT]]/données_step[[#This Row],[E_PTOT]],"")</f>
        <v/>
      </c>
      <c r="BL156" s="521" t="str">
        <f>IFERROR(IF(données_step[[#This Row],[E_DCO]]/données_step[[#This Row],[E_DBO5]]=0,NA(),données_step[[#This Row],[E_DCO]]/données_step[[#This Row],[E_DBO5]]),"")</f>
        <v/>
      </c>
      <c r="BM156" s="521" t="str">
        <f>IFERROR(IF(données_step[[#This Row],[E_NH4]]/données_step[[#This Row],[E_NTOT]]=0,NA(),données_step[[#This Row],[E_NH4]]/données_step[[#This Row],[E_NTOT]]),"")</f>
        <v/>
      </c>
      <c r="BN156" s="521" t="str">
        <f>IFERROR(IF(données_step[[#This Row],[E_NTOT]]/données_step[[#This Row],[E_COT]]=0,NA(),données_step[[#This Row],[E_NTOT]]/données_step[[#This Row],[E_COT]]),"")</f>
        <v/>
      </c>
      <c r="BO156" s="521" t="str">
        <f>IFERROR(IF(données_step[[#This Row],[E_PTOT]]/données_step[[#This Row],[E_COT]]=0,NA(),données_step[[#This Row],[E_PTOT]]/données_step[[#This Row],[E_COT]]),"")</f>
        <v/>
      </c>
      <c r="BP156" s="521" t="e">
        <f>IF(données_step[[#This Row],[E_DCO]]/données_step[[#This Row],[E_COT]]=0,NA(),données_step[[#This Row],[E_DCO]]/données_step[[#This Row],[E_COT]])</f>
        <v>#DIV/0!</v>
      </c>
      <c r="BQ156" s="521" t="e">
        <f>IF(données_step[[#This Row],[E_NTOT]]/données_step[[#This Row],[E_DCO]]=0,NA(),données_step[[#This Row],[E_NTOT]]/données_step[[#This Row],[E_DCO]])</f>
        <v>#DIV/0!</v>
      </c>
      <c r="BR156" s="521" t="e">
        <f>IF(données_step[[#This Row],[E_PTOT]]/données_step[[#This Row],[E_DCO]]=0,NA(),données_step[[#This Row],[E_PTOT]]/données_step[[#This Row],[E_DCO]])</f>
        <v>#DIV/0!</v>
      </c>
      <c r="BS156" s="747" t="e">
        <f ca="1">test_NH4_temp(données_step[[#This Row],[S_NH4]],données_step[[#This Row],[Temp_eaux]])</f>
        <v>#NAME?</v>
      </c>
    </row>
    <row r="157" spans="1:71" x14ac:dyDescent="0.2">
      <c r="A157" s="222">
        <f>données_step[[#This Row],[Datum]]</f>
        <v>44708</v>
      </c>
      <c r="B157" s="223"/>
      <c r="C157" s="224">
        <f t="shared" si="34"/>
        <v>6</v>
      </c>
      <c r="D157" s="523" t="str">
        <f>IF(OR(données_step[[#This Row],[E_DBO5]]&lt;=0,données_step[[#This Row],[E_DBO5]]=""),"",données_step[[#This Row],[D_QTRAI]]*données_step[[#This Row],[E_DBO5]]/1000)</f>
        <v/>
      </c>
      <c r="E157" s="523" t="str">
        <f>IF(OR(données_step[[#This Row],[E_DCO]]&lt;=0,données_step[[#This Row],[E_DCO]]=""),"",données_step[[#This Row],[D_QTRAI]]*données_step[[#This Row],[E_DCO]]/1000)</f>
        <v/>
      </c>
      <c r="F157" s="523" t="str">
        <f>IF(OR(données_step[[#This Row],[E_COT]]&lt;=0,données_step[[#This Row],[E_COT]]=""),"",données_step[[#This Row],[D_QTRAI]]*données_step[[#This Row],[E_COT]]/1000)</f>
        <v/>
      </c>
      <c r="G157" s="523" t="str">
        <f>IF(OR(données_step[[#This Row],[E_NH4]]&lt;=0,données_step[[#This Row],[E_NH4]]=""),"",données_step[[#This Row],[D_QTRAI]]*données_step[[#This Row],[E_NH4]]/1000)</f>
        <v/>
      </c>
      <c r="H157" s="523" t="str">
        <f>IF(OR(données_step[[#This Row],[E_NTOT]]&lt;=0,données_step[[#This Row],[E_NTOT]]=""),"",données_step[[#This Row],[D_QTRAI]]*données_step[[#This Row],[E_NTOT]]/1000)</f>
        <v/>
      </c>
      <c r="I157" s="523" t="str">
        <f>IF(OR(données_step[[#This Row],[E_NTOT]]&lt;=0,données_step[[#This Row],[E_NTOT]]=""),"",données_step[[#This Row],[D_QTRAI]]*données_step[[#This Row],[E_PTOT]]/1000)</f>
        <v/>
      </c>
      <c r="J157" s="523" t="str">
        <f>IF(OR(données_step[[#This Row],[S_DBO5]]&lt;=0,données_step[[#This Row],[S_DBO5]]=""),"",données_step[[#This Row],[D_QTRAI]]*données_step[[#This Row],[S_DBO5]]/1000)</f>
        <v/>
      </c>
      <c r="K157" s="523" t="str">
        <f>IF(OR(données_step[[#This Row],[S_DCO]]&lt;=0,données_step[[#This Row],[S_DCO]]=""),"",données_step[[#This Row],[D_QTRAI]]*données_step[[#This Row],[S_DCO]]/1000)</f>
        <v/>
      </c>
      <c r="L157" s="523" t="str">
        <f>IF(OR(données_step[[#This Row],[S_COD]]&lt;=0,données_step[[#This Row],[S_COD]]=""),"",données_step[[#This Row],[D_QTRAI]]*données_step[[#This Row],[S_COD]]/1000)</f>
        <v/>
      </c>
      <c r="M157" s="523" t="str">
        <f>IF(OR(données_step[[#This Row],[S_NH4]]&lt;=0,données_step[[#This Row],[S_NH4]]=""),"",données_step[[#This Row],[D_QTRAI]]*données_step[[#This Row],[S_NH4]]/1000)</f>
        <v/>
      </c>
      <c r="N157" s="523" t="str">
        <f>IF(OR(données_step[[#This Row],[S_NO2]]&lt;=0,données_step[[#This Row],[S_NO2]]=""),"",données_step[[#This Row],[D_QTRAI]]*données_step[[#This Row],[S_NO2]]/1000)</f>
        <v/>
      </c>
      <c r="O157" s="523" t="str">
        <f>IF(OR(données_step[[#This Row],[S_NO3]]&lt;=0,données_step[[#This Row],[S_NO3]]=""),"",données_step[[#This Row],[D_QTRAI]]*données_step[[#This Row],[S_NO3]]/1000)</f>
        <v/>
      </c>
      <c r="P157" s="523" t="str">
        <f>IF(OR(données_step[[#This Row],[S_PTOT]]&lt;=0,données_step[[#This Row],[S_PTOT]]=""),"",données_step[[#This Row],[D_QTRAI]]*données_step[[#This Row],[S_PTOT]]/1000)</f>
        <v/>
      </c>
      <c r="Q157" s="523" t="str">
        <f>IF(OR(données_step[[#This Row],[S_MES]]&lt;=0,données_step[[#This Row],[S_MES]]=""),"",données_step[[#This Row],[D_QTRAI]]*données_step[[#This Row],[S_MES]]/1000)</f>
        <v/>
      </c>
      <c r="R157" s="523">
        <f>MAX(données_step[[#This Row],[D_QTRAI]],données_step[[#This Row],[D_QTRAI2]])</f>
        <v>0</v>
      </c>
      <c r="S157" s="523" t="str">
        <f>IF(AND($R157&gt;0,données_step[[#This Row],[E_DCO]]&gt;0),données_step[[#This Row],[E_DCO]],"")</f>
        <v/>
      </c>
      <c r="T157" s="523" t="str">
        <f>IF(S157="","",(1-données_step[[#This Row],[E_DCO]]/$V$7)*100)</f>
        <v/>
      </c>
      <c r="U157" s="523" t="str">
        <f t="shared" si="35"/>
        <v/>
      </c>
      <c r="V157" s="523" t="str">
        <f t="shared" si="36"/>
        <v/>
      </c>
      <c r="W157" s="523" t="str">
        <f t="shared" si="37"/>
        <v/>
      </c>
      <c r="X157" s="523" t="e">
        <f>IF(((100-100/$V$7*données_step[[#This Row],[E_DCO]])/100*QTS)&lt;0,NA(),IF(OR(U157&lt;0,U157=""),NA(),((100-100/$V$7*données_step[[#This Row],[E_DCO]])/100*QTS)))</f>
        <v>#NUM!</v>
      </c>
      <c r="Y157" s="523" t="str">
        <f>IF(AND($R157&gt;0,données_step[[#This Row],[E_COT]]&gt;0),données_step[[#This Row],[E_COT]],"")</f>
        <v/>
      </c>
      <c r="Z157" s="523" t="str">
        <f>IF(Y157="","",(1-données_step[[#This Row],[E_COT]]/$AB$7)*100)</f>
        <v/>
      </c>
      <c r="AA157" s="523" t="str">
        <f t="shared" si="38"/>
        <v/>
      </c>
      <c r="AB157" s="523" t="str">
        <f t="shared" si="39"/>
        <v/>
      </c>
      <c r="AC157" s="523" t="str">
        <f t="shared" si="40"/>
        <v/>
      </c>
      <c r="AD157" s="523" t="e">
        <f>IF(((100-100/$AB$7*données_step[[#This Row],[E_COT]])/100*QTS)&lt;0,NA(),IF(OR(AA157&lt;0,AA157=""),NA(),((100-100/$AB$7*données_step[[#This Row],[E_COT]])/100*QTS)))</f>
        <v>#NUM!</v>
      </c>
      <c r="AE157" s="523" t="str">
        <f>IF(AND($R157&gt;0,données_step[[#This Row],[E_NH4]]&gt;0),données_step[[#This Row],[E_NH4]],"")</f>
        <v/>
      </c>
      <c r="AF157" s="523" t="str">
        <f>IF(AE157="","",(1-données_step[[#This Row],[E_NH4]]/$AH$7)*100)</f>
        <v/>
      </c>
      <c r="AG157" s="523" t="str">
        <f t="shared" si="41"/>
        <v/>
      </c>
      <c r="AH157" s="523" t="str">
        <f t="shared" si="42"/>
        <v/>
      </c>
      <c r="AI157" s="523" t="str">
        <f t="shared" si="43"/>
        <v/>
      </c>
      <c r="AJ157" s="523" t="e">
        <f>IF(((100-100/$AH$7*données_step[[#This Row],[E_NH4]])/100*QTS)&lt;0,NA(),IF(OR(AG157&lt;0,AG157=""),NA(),((100-100/$AH$7*données_step[[#This Row],[E_NH4]])/100*QTS)))</f>
        <v>#NUM!</v>
      </c>
      <c r="AK157" s="523" t="str">
        <f>IF(AND($R157&gt;0,données_step[[#This Row],[E_PTOT]]&gt;0),données_step[[#This Row],[E_PTOT]],"")</f>
        <v/>
      </c>
      <c r="AL157" s="523" t="str">
        <f>IF(AK157="","",(1-données_step[[#This Row],[E_PTOT]]/$AN$7)*100)</f>
        <v/>
      </c>
      <c r="AM157" s="523" t="str">
        <f t="shared" si="44"/>
        <v/>
      </c>
      <c r="AN157" s="523" t="str">
        <f t="shared" si="45"/>
        <v/>
      </c>
      <c r="AO157" s="523" t="str">
        <f t="shared" si="46"/>
        <v/>
      </c>
      <c r="AP157" s="523" t="e">
        <f>IF(((100-100/$AN$7*données_step[[#This Row],[E_PTOT]])/100*QTS)&lt;0,NA(),IF(OR(AM157&lt;0,AM157=""),NA(),((100-100/$AN$7*données_step[[#This Row],[E_PTOT]])/100*QTS)))</f>
        <v>#NUM!</v>
      </c>
      <c r="AQ157" s="524" t="e">
        <f t="shared" si="47"/>
        <v>#NUM!</v>
      </c>
      <c r="AR157" s="524" t="str">
        <f t="shared" si="48"/>
        <v/>
      </c>
      <c r="AY157" s="523" t="str">
        <f>_xlfn.IFNA(IF(données_step[[#This Row],[E_DCO]]&lt;=0,NA(),charge_entree[[#This Row],[ch_E_DCO]]/constanten!$B$8*1000),"")</f>
        <v/>
      </c>
      <c r="AZ157" s="523" t="str">
        <f>_xlfn.IFNA(IF(données_step[[#This Row],[E_NTOT]]&lt;=0,NA(),charge_entree[[#This Row],[ch_E_NTOT]]/constanten!$B$10*1000),"")</f>
        <v/>
      </c>
      <c r="BA157" s="523" t="str">
        <f>_xlfn.IFNA(IF(données_step[[#This Row],[E_NH4]]&lt;=0,NA(),charge_entree[[#This Row],[ch_E_NH4]]/constanten!$B$12*1000),"")</f>
        <v/>
      </c>
      <c r="BB157" s="523" t="str">
        <f>_xlfn.IFNA(IF(données_step[[#This Row],[E_COT]]&lt;=0,NA(),charge_entree[[#This Row],[ch_E_COT]]/constanten!$B$9*1000),"")</f>
        <v/>
      </c>
      <c r="BC157" s="523" t="str">
        <f>IFERROR(_xlfn.IFNA(IF(données_step[[#This Row],[E_PTOT]]&lt;=0,NA(),charge_entree[[#This Row],[ch_E_PTOT]]/constanten!$B$15*1000),""),"")</f>
        <v/>
      </c>
      <c r="BD157" s="535" t="e">
        <f>calculs!E157 * (1-0.4) / (données_step[[#This Row],[X_BA_VOL]]*données_step[[#This Row],[X_BACONC]])</f>
        <v>#VALUE!</v>
      </c>
      <c r="BE157" s="522" t="e">
        <f>(données_step[[#This Row],[X_BA_VOL]]*données_step[[#This Row],[X_BACONC]])/((données_step[[#This Row],[D_QTRAI2]]*données_step[[#This Row],[S_MES]]/1000)+(données_step[[#This Row],[X_BX_Q]]*données_step[[#This Row],[X_BXCONC]]))</f>
        <v>#VALUE!</v>
      </c>
      <c r="BF157" s="890" t="str">
        <f>IFERROR(données_step[[#This Row],[D_QTRAI]]/AY157*1000,"")</f>
        <v/>
      </c>
      <c r="BG157" s="535" t="str">
        <f>IFERROR(1-données_step[[#This Row],[S_DBO5]]/données_step[[#This Row],[E_DBO5]],"")</f>
        <v/>
      </c>
      <c r="BH157" s="536" t="str">
        <f>IFERROR(1-données_step[[#This Row],[S_DCO]]/données_step[[#This Row],[E_DCO]],"")</f>
        <v/>
      </c>
      <c r="BI157" s="535" t="str">
        <f>IFERROR(1-données_step[[#This Row],[S_COD]]/données_step[[#This Row],[E_COT]],"")</f>
        <v/>
      </c>
      <c r="BJ157" s="535" t="str">
        <f>IFERROR(1-données_step[[#This Row],[S_NH4]]/données_step[[#This Row],[E_NTOT]],"")</f>
        <v/>
      </c>
      <c r="BK157" s="535" t="str">
        <f>IFERROR(1-données_step[[#This Row],[S_PTOT]]/données_step[[#This Row],[E_PTOT]],"")</f>
        <v/>
      </c>
      <c r="BL157" s="521" t="str">
        <f>IFERROR(IF(données_step[[#This Row],[E_DCO]]/données_step[[#This Row],[E_DBO5]]=0,NA(),données_step[[#This Row],[E_DCO]]/données_step[[#This Row],[E_DBO5]]),"")</f>
        <v/>
      </c>
      <c r="BM157" s="521" t="str">
        <f>IFERROR(IF(données_step[[#This Row],[E_NH4]]/données_step[[#This Row],[E_NTOT]]=0,NA(),données_step[[#This Row],[E_NH4]]/données_step[[#This Row],[E_NTOT]]),"")</f>
        <v/>
      </c>
      <c r="BN157" s="521" t="str">
        <f>IFERROR(IF(données_step[[#This Row],[E_NTOT]]/données_step[[#This Row],[E_COT]]=0,NA(),données_step[[#This Row],[E_NTOT]]/données_step[[#This Row],[E_COT]]),"")</f>
        <v/>
      </c>
      <c r="BO157" s="521" t="str">
        <f>IFERROR(IF(données_step[[#This Row],[E_PTOT]]/données_step[[#This Row],[E_COT]]=0,NA(),données_step[[#This Row],[E_PTOT]]/données_step[[#This Row],[E_COT]]),"")</f>
        <v/>
      </c>
      <c r="BP157" s="521" t="e">
        <f>IF(données_step[[#This Row],[E_DCO]]/données_step[[#This Row],[E_COT]]=0,NA(),données_step[[#This Row],[E_DCO]]/données_step[[#This Row],[E_COT]])</f>
        <v>#DIV/0!</v>
      </c>
      <c r="BQ157" s="521" t="e">
        <f>IF(données_step[[#This Row],[E_NTOT]]/données_step[[#This Row],[E_DCO]]=0,NA(),données_step[[#This Row],[E_NTOT]]/données_step[[#This Row],[E_DCO]])</f>
        <v>#DIV/0!</v>
      </c>
      <c r="BR157" s="521" t="e">
        <f>IF(données_step[[#This Row],[E_PTOT]]/données_step[[#This Row],[E_DCO]]=0,NA(),données_step[[#This Row],[E_PTOT]]/données_step[[#This Row],[E_DCO]])</f>
        <v>#DIV/0!</v>
      </c>
      <c r="BS157" s="747" t="e">
        <f ca="1">test_NH4_temp(données_step[[#This Row],[S_NH4]],données_step[[#This Row],[Temp_eaux]])</f>
        <v>#NAME?</v>
      </c>
    </row>
    <row r="158" spans="1:71" x14ac:dyDescent="0.2">
      <c r="A158" s="222">
        <f>données_step[[#This Row],[Datum]]</f>
        <v>44709</v>
      </c>
      <c r="B158" s="223"/>
      <c r="C158" s="224">
        <f t="shared" si="34"/>
        <v>7</v>
      </c>
      <c r="D158" s="523" t="str">
        <f>IF(OR(données_step[[#This Row],[E_DBO5]]&lt;=0,données_step[[#This Row],[E_DBO5]]=""),"",données_step[[#This Row],[D_QTRAI]]*données_step[[#This Row],[E_DBO5]]/1000)</f>
        <v/>
      </c>
      <c r="E158" s="523" t="str">
        <f>IF(OR(données_step[[#This Row],[E_DCO]]&lt;=0,données_step[[#This Row],[E_DCO]]=""),"",données_step[[#This Row],[D_QTRAI]]*données_step[[#This Row],[E_DCO]]/1000)</f>
        <v/>
      </c>
      <c r="F158" s="523" t="str">
        <f>IF(OR(données_step[[#This Row],[E_COT]]&lt;=0,données_step[[#This Row],[E_COT]]=""),"",données_step[[#This Row],[D_QTRAI]]*données_step[[#This Row],[E_COT]]/1000)</f>
        <v/>
      </c>
      <c r="G158" s="523" t="str">
        <f>IF(OR(données_step[[#This Row],[E_NH4]]&lt;=0,données_step[[#This Row],[E_NH4]]=""),"",données_step[[#This Row],[D_QTRAI]]*données_step[[#This Row],[E_NH4]]/1000)</f>
        <v/>
      </c>
      <c r="H158" s="523" t="str">
        <f>IF(OR(données_step[[#This Row],[E_NTOT]]&lt;=0,données_step[[#This Row],[E_NTOT]]=""),"",données_step[[#This Row],[D_QTRAI]]*données_step[[#This Row],[E_NTOT]]/1000)</f>
        <v/>
      </c>
      <c r="I158" s="523" t="str">
        <f>IF(OR(données_step[[#This Row],[E_NTOT]]&lt;=0,données_step[[#This Row],[E_NTOT]]=""),"",données_step[[#This Row],[D_QTRAI]]*données_step[[#This Row],[E_PTOT]]/1000)</f>
        <v/>
      </c>
      <c r="J158" s="523" t="str">
        <f>IF(OR(données_step[[#This Row],[S_DBO5]]&lt;=0,données_step[[#This Row],[S_DBO5]]=""),"",données_step[[#This Row],[D_QTRAI]]*données_step[[#This Row],[S_DBO5]]/1000)</f>
        <v/>
      </c>
      <c r="K158" s="523" t="str">
        <f>IF(OR(données_step[[#This Row],[S_DCO]]&lt;=0,données_step[[#This Row],[S_DCO]]=""),"",données_step[[#This Row],[D_QTRAI]]*données_step[[#This Row],[S_DCO]]/1000)</f>
        <v/>
      </c>
      <c r="L158" s="523" t="str">
        <f>IF(OR(données_step[[#This Row],[S_COD]]&lt;=0,données_step[[#This Row],[S_COD]]=""),"",données_step[[#This Row],[D_QTRAI]]*données_step[[#This Row],[S_COD]]/1000)</f>
        <v/>
      </c>
      <c r="M158" s="523" t="str">
        <f>IF(OR(données_step[[#This Row],[S_NH4]]&lt;=0,données_step[[#This Row],[S_NH4]]=""),"",données_step[[#This Row],[D_QTRAI]]*données_step[[#This Row],[S_NH4]]/1000)</f>
        <v/>
      </c>
      <c r="N158" s="523" t="str">
        <f>IF(OR(données_step[[#This Row],[S_NO2]]&lt;=0,données_step[[#This Row],[S_NO2]]=""),"",données_step[[#This Row],[D_QTRAI]]*données_step[[#This Row],[S_NO2]]/1000)</f>
        <v/>
      </c>
      <c r="O158" s="523" t="str">
        <f>IF(OR(données_step[[#This Row],[S_NO3]]&lt;=0,données_step[[#This Row],[S_NO3]]=""),"",données_step[[#This Row],[D_QTRAI]]*données_step[[#This Row],[S_NO3]]/1000)</f>
        <v/>
      </c>
      <c r="P158" s="523" t="str">
        <f>IF(OR(données_step[[#This Row],[S_PTOT]]&lt;=0,données_step[[#This Row],[S_PTOT]]=""),"",données_step[[#This Row],[D_QTRAI]]*données_step[[#This Row],[S_PTOT]]/1000)</f>
        <v/>
      </c>
      <c r="Q158" s="523" t="str">
        <f>IF(OR(données_step[[#This Row],[S_MES]]&lt;=0,données_step[[#This Row],[S_MES]]=""),"",données_step[[#This Row],[D_QTRAI]]*données_step[[#This Row],[S_MES]]/1000)</f>
        <v/>
      </c>
      <c r="R158" s="523">
        <f>MAX(données_step[[#This Row],[D_QTRAI]],données_step[[#This Row],[D_QTRAI2]])</f>
        <v>0</v>
      </c>
      <c r="S158" s="523" t="str">
        <f>IF(AND($R158&gt;0,données_step[[#This Row],[E_DCO]]&gt;0),données_step[[#This Row],[E_DCO]],"")</f>
        <v/>
      </c>
      <c r="T158" s="523" t="str">
        <f>IF(S158="","",(1-données_step[[#This Row],[E_DCO]]/$V$7)*100)</f>
        <v/>
      </c>
      <c r="U158" s="523" t="str">
        <f t="shared" si="35"/>
        <v/>
      </c>
      <c r="V158" s="523" t="str">
        <f t="shared" si="36"/>
        <v/>
      </c>
      <c r="W158" s="523" t="str">
        <f t="shared" si="37"/>
        <v/>
      </c>
      <c r="X158" s="523" t="e">
        <f>IF(((100-100/$V$7*données_step[[#This Row],[E_DCO]])/100*QTS)&lt;0,NA(),IF(OR(U158&lt;0,U158=""),NA(),((100-100/$V$7*données_step[[#This Row],[E_DCO]])/100*QTS)))</f>
        <v>#NUM!</v>
      </c>
      <c r="Y158" s="523" t="str">
        <f>IF(AND($R158&gt;0,données_step[[#This Row],[E_COT]]&gt;0),données_step[[#This Row],[E_COT]],"")</f>
        <v/>
      </c>
      <c r="Z158" s="523" t="str">
        <f>IF(Y158="","",(1-données_step[[#This Row],[E_COT]]/$AB$7)*100)</f>
        <v/>
      </c>
      <c r="AA158" s="523" t="str">
        <f t="shared" si="38"/>
        <v/>
      </c>
      <c r="AB158" s="523" t="str">
        <f t="shared" si="39"/>
        <v/>
      </c>
      <c r="AC158" s="523" t="str">
        <f t="shared" si="40"/>
        <v/>
      </c>
      <c r="AD158" s="523" t="e">
        <f>IF(((100-100/$AB$7*données_step[[#This Row],[E_COT]])/100*QTS)&lt;0,NA(),IF(OR(AA158&lt;0,AA158=""),NA(),((100-100/$AB$7*données_step[[#This Row],[E_COT]])/100*QTS)))</f>
        <v>#NUM!</v>
      </c>
      <c r="AE158" s="523" t="str">
        <f>IF(AND($R158&gt;0,données_step[[#This Row],[E_NH4]]&gt;0),données_step[[#This Row],[E_NH4]],"")</f>
        <v/>
      </c>
      <c r="AF158" s="523" t="str">
        <f>IF(AE158="","",(1-données_step[[#This Row],[E_NH4]]/$AH$7)*100)</f>
        <v/>
      </c>
      <c r="AG158" s="523" t="str">
        <f t="shared" si="41"/>
        <v/>
      </c>
      <c r="AH158" s="523" t="str">
        <f t="shared" si="42"/>
        <v/>
      </c>
      <c r="AI158" s="523" t="str">
        <f t="shared" si="43"/>
        <v/>
      </c>
      <c r="AJ158" s="523" t="e">
        <f>IF(((100-100/$AH$7*données_step[[#This Row],[E_NH4]])/100*QTS)&lt;0,NA(),IF(OR(AG158&lt;0,AG158=""),NA(),((100-100/$AH$7*données_step[[#This Row],[E_NH4]])/100*QTS)))</f>
        <v>#NUM!</v>
      </c>
      <c r="AK158" s="523" t="str">
        <f>IF(AND($R158&gt;0,données_step[[#This Row],[E_PTOT]]&gt;0),données_step[[#This Row],[E_PTOT]],"")</f>
        <v/>
      </c>
      <c r="AL158" s="523" t="str">
        <f>IF(AK158="","",(1-données_step[[#This Row],[E_PTOT]]/$AN$7)*100)</f>
        <v/>
      </c>
      <c r="AM158" s="523" t="str">
        <f t="shared" si="44"/>
        <v/>
      </c>
      <c r="AN158" s="523" t="str">
        <f t="shared" si="45"/>
        <v/>
      </c>
      <c r="AO158" s="523" t="str">
        <f t="shared" si="46"/>
        <v/>
      </c>
      <c r="AP158" s="523" t="e">
        <f>IF(((100-100/$AN$7*données_step[[#This Row],[E_PTOT]])/100*QTS)&lt;0,NA(),IF(OR(AM158&lt;0,AM158=""),NA(),((100-100/$AN$7*données_step[[#This Row],[E_PTOT]])/100*QTS)))</f>
        <v>#NUM!</v>
      </c>
      <c r="AQ158" s="524" t="e">
        <f t="shared" si="47"/>
        <v>#NUM!</v>
      </c>
      <c r="AR158" s="524" t="str">
        <f t="shared" si="48"/>
        <v/>
      </c>
      <c r="AY158" s="523" t="str">
        <f>_xlfn.IFNA(IF(données_step[[#This Row],[E_DCO]]&lt;=0,NA(),charge_entree[[#This Row],[ch_E_DCO]]/constanten!$B$8*1000),"")</f>
        <v/>
      </c>
      <c r="AZ158" s="523" t="str">
        <f>_xlfn.IFNA(IF(données_step[[#This Row],[E_NTOT]]&lt;=0,NA(),charge_entree[[#This Row],[ch_E_NTOT]]/constanten!$B$10*1000),"")</f>
        <v/>
      </c>
      <c r="BA158" s="523" t="str">
        <f>_xlfn.IFNA(IF(données_step[[#This Row],[E_NH4]]&lt;=0,NA(),charge_entree[[#This Row],[ch_E_NH4]]/constanten!$B$12*1000),"")</f>
        <v/>
      </c>
      <c r="BB158" s="523" t="str">
        <f>_xlfn.IFNA(IF(données_step[[#This Row],[E_COT]]&lt;=0,NA(),charge_entree[[#This Row],[ch_E_COT]]/constanten!$B$9*1000),"")</f>
        <v/>
      </c>
      <c r="BC158" s="523" t="str">
        <f>IFERROR(_xlfn.IFNA(IF(données_step[[#This Row],[E_PTOT]]&lt;=0,NA(),charge_entree[[#This Row],[ch_E_PTOT]]/constanten!$B$15*1000),""),"")</f>
        <v/>
      </c>
      <c r="BD158" s="535" t="e">
        <f>calculs!E158 * (1-0.4) / (données_step[[#This Row],[X_BA_VOL]]*données_step[[#This Row],[X_BACONC]])</f>
        <v>#VALUE!</v>
      </c>
      <c r="BE158" s="522" t="e">
        <f>(données_step[[#This Row],[X_BA_VOL]]*données_step[[#This Row],[X_BACONC]])/((données_step[[#This Row],[D_QTRAI2]]*données_step[[#This Row],[S_MES]]/1000)+(données_step[[#This Row],[X_BX_Q]]*données_step[[#This Row],[X_BXCONC]]))</f>
        <v>#VALUE!</v>
      </c>
      <c r="BF158" s="890" t="str">
        <f>IFERROR(données_step[[#This Row],[D_QTRAI]]/AY158*1000,"")</f>
        <v/>
      </c>
      <c r="BG158" s="535" t="str">
        <f>IFERROR(1-données_step[[#This Row],[S_DBO5]]/données_step[[#This Row],[E_DBO5]],"")</f>
        <v/>
      </c>
      <c r="BH158" s="536" t="str">
        <f>IFERROR(1-données_step[[#This Row],[S_DCO]]/données_step[[#This Row],[E_DCO]],"")</f>
        <v/>
      </c>
      <c r="BI158" s="535" t="str">
        <f>IFERROR(1-données_step[[#This Row],[S_COD]]/données_step[[#This Row],[E_COT]],"")</f>
        <v/>
      </c>
      <c r="BJ158" s="535" t="str">
        <f>IFERROR(1-données_step[[#This Row],[S_NH4]]/données_step[[#This Row],[E_NTOT]],"")</f>
        <v/>
      </c>
      <c r="BK158" s="535" t="str">
        <f>IFERROR(1-données_step[[#This Row],[S_PTOT]]/données_step[[#This Row],[E_PTOT]],"")</f>
        <v/>
      </c>
      <c r="BL158" s="521" t="str">
        <f>IFERROR(IF(données_step[[#This Row],[E_DCO]]/données_step[[#This Row],[E_DBO5]]=0,NA(),données_step[[#This Row],[E_DCO]]/données_step[[#This Row],[E_DBO5]]),"")</f>
        <v/>
      </c>
      <c r="BM158" s="521" t="str">
        <f>IFERROR(IF(données_step[[#This Row],[E_NH4]]/données_step[[#This Row],[E_NTOT]]=0,NA(),données_step[[#This Row],[E_NH4]]/données_step[[#This Row],[E_NTOT]]),"")</f>
        <v/>
      </c>
      <c r="BN158" s="521" t="str">
        <f>IFERROR(IF(données_step[[#This Row],[E_NTOT]]/données_step[[#This Row],[E_COT]]=0,NA(),données_step[[#This Row],[E_NTOT]]/données_step[[#This Row],[E_COT]]),"")</f>
        <v/>
      </c>
      <c r="BO158" s="521" t="str">
        <f>IFERROR(IF(données_step[[#This Row],[E_PTOT]]/données_step[[#This Row],[E_COT]]=0,NA(),données_step[[#This Row],[E_PTOT]]/données_step[[#This Row],[E_COT]]),"")</f>
        <v/>
      </c>
      <c r="BP158" s="521" t="e">
        <f>IF(données_step[[#This Row],[E_DCO]]/données_step[[#This Row],[E_COT]]=0,NA(),données_step[[#This Row],[E_DCO]]/données_step[[#This Row],[E_COT]])</f>
        <v>#DIV/0!</v>
      </c>
      <c r="BQ158" s="521" t="e">
        <f>IF(données_step[[#This Row],[E_NTOT]]/données_step[[#This Row],[E_DCO]]=0,NA(),données_step[[#This Row],[E_NTOT]]/données_step[[#This Row],[E_DCO]])</f>
        <v>#DIV/0!</v>
      </c>
      <c r="BR158" s="521" t="e">
        <f>IF(données_step[[#This Row],[E_PTOT]]/données_step[[#This Row],[E_DCO]]=0,NA(),données_step[[#This Row],[E_PTOT]]/données_step[[#This Row],[E_DCO]])</f>
        <v>#DIV/0!</v>
      </c>
      <c r="BS158" s="747" t="e">
        <f ca="1">test_NH4_temp(données_step[[#This Row],[S_NH4]],données_step[[#This Row],[Temp_eaux]])</f>
        <v>#NAME?</v>
      </c>
    </row>
    <row r="159" spans="1:71" x14ac:dyDescent="0.2">
      <c r="A159" s="222">
        <f>données_step[[#This Row],[Datum]]</f>
        <v>44710</v>
      </c>
      <c r="B159" s="223"/>
      <c r="C159" s="224">
        <f t="shared" si="34"/>
        <v>1</v>
      </c>
      <c r="D159" s="523" t="str">
        <f>IF(OR(données_step[[#This Row],[E_DBO5]]&lt;=0,données_step[[#This Row],[E_DBO5]]=""),"",données_step[[#This Row],[D_QTRAI]]*données_step[[#This Row],[E_DBO5]]/1000)</f>
        <v/>
      </c>
      <c r="E159" s="523" t="str">
        <f>IF(OR(données_step[[#This Row],[E_DCO]]&lt;=0,données_step[[#This Row],[E_DCO]]=""),"",données_step[[#This Row],[D_QTRAI]]*données_step[[#This Row],[E_DCO]]/1000)</f>
        <v/>
      </c>
      <c r="F159" s="523" t="str">
        <f>IF(OR(données_step[[#This Row],[E_COT]]&lt;=0,données_step[[#This Row],[E_COT]]=""),"",données_step[[#This Row],[D_QTRAI]]*données_step[[#This Row],[E_COT]]/1000)</f>
        <v/>
      </c>
      <c r="G159" s="523" t="str">
        <f>IF(OR(données_step[[#This Row],[E_NH4]]&lt;=0,données_step[[#This Row],[E_NH4]]=""),"",données_step[[#This Row],[D_QTRAI]]*données_step[[#This Row],[E_NH4]]/1000)</f>
        <v/>
      </c>
      <c r="H159" s="523" t="str">
        <f>IF(OR(données_step[[#This Row],[E_NTOT]]&lt;=0,données_step[[#This Row],[E_NTOT]]=""),"",données_step[[#This Row],[D_QTRAI]]*données_step[[#This Row],[E_NTOT]]/1000)</f>
        <v/>
      </c>
      <c r="I159" s="523" t="str">
        <f>IF(OR(données_step[[#This Row],[E_NTOT]]&lt;=0,données_step[[#This Row],[E_NTOT]]=""),"",données_step[[#This Row],[D_QTRAI]]*données_step[[#This Row],[E_PTOT]]/1000)</f>
        <v/>
      </c>
      <c r="J159" s="523" t="str">
        <f>IF(OR(données_step[[#This Row],[S_DBO5]]&lt;=0,données_step[[#This Row],[S_DBO5]]=""),"",données_step[[#This Row],[D_QTRAI]]*données_step[[#This Row],[S_DBO5]]/1000)</f>
        <v/>
      </c>
      <c r="K159" s="523" t="str">
        <f>IF(OR(données_step[[#This Row],[S_DCO]]&lt;=0,données_step[[#This Row],[S_DCO]]=""),"",données_step[[#This Row],[D_QTRAI]]*données_step[[#This Row],[S_DCO]]/1000)</f>
        <v/>
      </c>
      <c r="L159" s="523" t="str">
        <f>IF(OR(données_step[[#This Row],[S_COD]]&lt;=0,données_step[[#This Row],[S_COD]]=""),"",données_step[[#This Row],[D_QTRAI]]*données_step[[#This Row],[S_COD]]/1000)</f>
        <v/>
      </c>
      <c r="M159" s="523" t="str">
        <f>IF(OR(données_step[[#This Row],[S_NH4]]&lt;=0,données_step[[#This Row],[S_NH4]]=""),"",données_step[[#This Row],[D_QTRAI]]*données_step[[#This Row],[S_NH4]]/1000)</f>
        <v/>
      </c>
      <c r="N159" s="523" t="str">
        <f>IF(OR(données_step[[#This Row],[S_NO2]]&lt;=0,données_step[[#This Row],[S_NO2]]=""),"",données_step[[#This Row],[D_QTRAI]]*données_step[[#This Row],[S_NO2]]/1000)</f>
        <v/>
      </c>
      <c r="O159" s="523" t="str">
        <f>IF(OR(données_step[[#This Row],[S_NO3]]&lt;=0,données_step[[#This Row],[S_NO3]]=""),"",données_step[[#This Row],[D_QTRAI]]*données_step[[#This Row],[S_NO3]]/1000)</f>
        <v/>
      </c>
      <c r="P159" s="523" t="str">
        <f>IF(OR(données_step[[#This Row],[S_PTOT]]&lt;=0,données_step[[#This Row],[S_PTOT]]=""),"",données_step[[#This Row],[D_QTRAI]]*données_step[[#This Row],[S_PTOT]]/1000)</f>
        <v/>
      </c>
      <c r="Q159" s="523" t="str">
        <f>IF(OR(données_step[[#This Row],[S_MES]]&lt;=0,données_step[[#This Row],[S_MES]]=""),"",données_step[[#This Row],[D_QTRAI]]*données_step[[#This Row],[S_MES]]/1000)</f>
        <v/>
      </c>
      <c r="R159" s="523">
        <f>MAX(données_step[[#This Row],[D_QTRAI]],données_step[[#This Row],[D_QTRAI2]])</f>
        <v>0</v>
      </c>
      <c r="S159" s="523" t="str">
        <f>IF(AND($R159&gt;0,données_step[[#This Row],[E_DCO]]&gt;0),données_step[[#This Row],[E_DCO]],"")</f>
        <v/>
      </c>
      <c r="T159" s="523" t="str">
        <f>IF(S159="","",(1-données_step[[#This Row],[E_DCO]]/$V$7)*100)</f>
        <v/>
      </c>
      <c r="U159" s="523" t="str">
        <f t="shared" si="35"/>
        <v/>
      </c>
      <c r="V159" s="523" t="str">
        <f t="shared" si="36"/>
        <v/>
      </c>
      <c r="W159" s="523" t="str">
        <f t="shared" si="37"/>
        <v/>
      </c>
      <c r="X159" s="523" t="e">
        <f>IF(((100-100/$V$7*données_step[[#This Row],[E_DCO]])/100*QTS)&lt;0,NA(),IF(OR(U159&lt;0,U159=""),NA(),((100-100/$V$7*données_step[[#This Row],[E_DCO]])/100*QTS)))</f>
        <v>#NUM!</v>
      </c>
      <c r="Y159" s="523" t="str">
        <f>IF(AND($R159&gt;0,données_step[[#This Row],[E_COT]]&gt;0),données_step[[#This Row],[E_COT]],"")</f>
        <v/>
      </c>
      <c r="Z159" s="523" t="str">
        <f>IF(Y159="","",(1-données_step[[#This Row],[E_COT]]/$AB$7)*100)</f>
        <v/>
      </c>
      <c r="AA159" s="523" t="str">
        <f t="shared" si="38"/>
        <v/>
      </c>
      <c r="AB159" s="523" t="str">
        <f t="shared" si="39"/>
        <v/>
      </c>
      <c r="AC159" s="523" t="str">
        <f t="shared" si="40"/>
        <v/>
      </c>
      <c r="AD159" s="523" t="e">
        <f>IF(((100-100/$AB$7*données_step[[#This Row],[E_COT]])/100*QTS)&lt;0,NA(),IF(OR(AA159&lt;0,AA159=""),NA(),((100-100/$AB$7*données_step[[#This Row],[E_COT]])/100*QTS)))</f>
        <v>#NUM!</v>
      </c>
      <c r="AE159" s="523" t="str">
        <f>IF(AND($R159&gt;0,données_step[[#This Row],[E_NH4]]&gt;0),données_step[[#This Row],[E_NH4]],"")</f>
        <v/>
      </c>
      <c r="AF159" s="523" t="str">
        <f>IF(AE159="","",(1-données_step[[#This Row],[E_NH4]]/$AH$7)*100)</f>
        <v/>
      </c>
      <c r="AG159" s="523" t="str">
        <f t="shared" si="41"/>
        <v/>
      </c>
      <c r="AH159" s="523" t="str">
        <f t="shared" si="42"/>
        <v/>
      </c>
      <c r="AI159" s="523" t="str">
        <f t="shared" si="43"/>
        <v/>
      </c>
      <c r="AJ159" s="523" t="e">
        <f>IF(((100-100/$AH$7*données_step[[#This Row],[E_NH4]])/100*QTS)&lt;0,NA(),IF(OR(AG159&lt;0,AG159=""),NA(),((100-100/$AH$7*données_step[[#This Row],[E_NH4]])/100*QTS)))</f>
        <v>#NUM!</v>
      </c>
      <c r="AK159" s="523" t="str">
        <f>IF(AND($R159&gt;0,données_step[[#This Row],[E_PTOT]]&gt;0),données_step[[#This Row],[E_PTOT]],"")</f>
        <v/>
      </c>
      <c r="AL159" s="523" t="str">
        <f>IF(AK159="","",(1-données_step[[#This Row],[E_PTOT]]/$AN$7)*100)</f>
        <v/>
      </c>
      <c r="AM159" s="523" t="str">
        <f t="shared" si="44"/>
        <v/>
      </c>
      <c r="AN159" s="523" t="str">
        <f t="shared" si="45"/>
        <v/>
      </c>
      <c r="AO159" s="523" t="str">
        <f t="shared" si="46"/>
        <v/>
      </c>
      <c r="AP159" s="523" t="e">
        <f>IF(((100-100/$AN$7*données_step[[#This Row],[E_PTOT]])/100*QTS)&lt;0,NA(),IF(OR(AM159&lt;0,AM159=""),NA(),((100-100/$AN$7*données_step[[#This Row],[E_PTOT]])/100*QTS)))</f>
        <v>#NUM!</v>
      </c>
      <c r="AQ159" s="524" t="e">
        <f t="shared" si="47"/>
        <v>#NUM!</v>
      </c>
      <c r="AR159" s="524" t="str">
        <f t="shared" si="48"/>
        <v/>
      </c>
      <c r="AY159" s="523" t="str">
        <f>_xlfn.IFNA(IF(données_step[[#This Row],[E_DCO]]&lt;=0,NA(),charge_entree[[#This Row],[ch_E_DCO]]/constanten!$B$8*1000),"")</f>
        <v/>
      </c>
      <c r="AZ159" s="523" t="str">
        <f>_xlfn.IFNA(IF(données_step[[#This Row],[E_NTOT]]&lt;=0,NA(),charge_entree[[#This Row],[ch_E_NTOT]]/constanten!$B$10*1000),"")</f>
        <v/>
      </c>
      <c r="BA159" s="523" t="str">
        <f>_xlfn.IFNA(IF(données_step[[#This Row],[E_NH4]]&lt;=0,NA(),charge_entree[[#This Row],[ch_E_NH4]]/constanten!$B$12*1000),"")</f>
        <v/>
      </c>
      <c r="BB159" s="523" t="str">
        <f>_xlfn.IFNA(IF(données_step[[#This Row],[E_COT]]&lt;=0,NA(),charge_entree[[#This Row],[ch_E_COT]]/constanten!$B$9*1000),"")</f>
        <v/>
      </c>
      <c r="BC159" s="523" t="str">
        <f>IFERROR(_xlfn.IFNA(IF(données_step[[#This Row],[E_PTOT]]&lt;=0,NA(),charge_entree[[#This Row],[ch_E_PTOT]]/constanten!$B$15*1000),""),"")</f>
        <v/>
      </c>
      <c r="BD159" s="535" t="e">
        <f>calculs!E159 * (1-0.4) / (données_step[[#This Row],[X_BA_VOL]]*données_step[[#This Row],[X_BACONC]])</f>
        <v>#VALUE!</v>
      </c>
      <c r="BE159" s="522" t="e">
        <f>(données_step[[#This Row],[X_BA_VOL]]*données_step[[#This Row],[X_BACONC]])/((données_step[[#This Row],[D_QTRAI2]]*données_step[[#This Row],[S_MES]]/1000)+(données_step[[#This Row],[X_BX_Q]]*données_step[[#This Row],[X_BXCONC]]))</f>
        <v>#VALUE!</v>
      </c>
      <c r="BF159" s="890" t="str">
        <f>IFERROR(données_step[[#This Row],[D_QTRAI]]/AY159*1000,"")</f>
        <v/>
      </c>
      <c r="BG159" s="535" t="str">
        <f>IFERROR(1-données_step[[#This Row],[S_DBO5]]/données_step[[#This Row],[E_DBO5]],"")</f>
        <v/>
      </c>
      <c r="BH159" s="536" t="str">
        <f>IFERROR(1-données_step[[#This Row],[S_DCO]]/données_step[[#This Row],[E_DCO]],"")</f>
        <v/>
      </c>
      <c r="BI159" s="535" t="str">
        <f>IFERROR(1-données_step[[#This Row],[S_COD]]/données_step[[#This Row],[E_COT]],"")</f>
        <v/>
      </c>
      <c r="BJ159" s="535" t="str">
        <f>IFERROR(1-données_step[[#This Row],[S_NH4]]/données_step[[#This Row],[E_NTOT]],"")</f>
        <v/>
      </c>
      <c r="BK159" s="535" t="str">
        <f>IFERROR(1-données_step[[#This Row],[S_PTOT]]/données_step[[#This Row],[E_PTOT]],"")</f>
        <v/>
      </c>
      <c r="BL159" s="521" t="str">
        <f>IFERROR(IF(données_step[[#This Row],[E_DCO]]/données_step[[#This Row],[E_DBO5]]=0,NA(),données_step[[#This Row],[E_DCO]]/données_step[[#This Row],[E_DBO5]]),"")</f>
        <v/>
      </c>
      <c r="BM159" s="521" t="str">
        <f>IFERROR(IF(données_step[[#This Row],[E_NH4]]/données_step[[#This Row],[E_NTOT]]=0,NA(),données_step[[#This Row],[E_NH4]]/données_step[[#This Row],[E_NTOT]]),"")</f>
        <v/>
      </c>
      <c r="BN159" s="521" t="str">
        <f>IFERROR(IF(données_step[[#This Row],[E_NTOT]]/données_step[[#This Row],[E_COT]]=0,NA(),données_step[[#This Row],[E_NTOT]]/données_step[[#This Row],[E_COT]]),"")</f>
        <v/>
      </c>
      <c r="BO159" s="521" t="str">
        <f>IFERROR(IF(données_step[[#This Row],[E_PTOT]]/données_step[[#This Row],[E_COT]]=0,NA(),données_step[[#This Row],[E_PTOT]]/données_step[[#This Row],[E_COT]]),"")</f>
        <v/>
      </c>
      <c r="BP159" s="521" t="e">
        <f>IF(données_step[[#This Row],[E_DCO]]/données_step[[#This Row],[E_COT]]=0,NA(),données_step[[#This Row],[E_DCO]]/données_step[[#This Row],[E_COT]])</f>
        <v>#DIV/0!</v>
      </c>
      <c r="BQ159" s="521" t="e">
        <f>IF(données_step[[#This Row],[E_NTOT]]/données_step[[#This Row],[E_DCO]]=0,NA(),données_step[[#This Row],[E_NTOT]]/données_step[[#This Row],[E_DCO]])</f>
        <v>#DIV/0!</v>
      </c>
      <c r="BR159" s="521" t="e">
        <f>IF(données_step[[#This Row],[E_PTOT]]/données_step[[#This Row],[E_DCO]]=0,NA(),données_step[[#This Row],[E_PTOT]]/données_step[[#This Row],[E_DCO]])</f>
        <v>#DIV/0!</v>
      </c>
      <c r="BS159" s="747" t="e">
        <f ca="1">test_NH4_temp(données_step[[#This Row],[S_NH4]],données_step[[#This Row],[Temp_eaux]])</f>
        <v>#NAME?</v>
      </c>
    </row>
    <row r="160" spans="1:71" x14ac:dyDescent="0.2">
      <c r="A160" s="222">
        <f>données_step[[#This Row],[Datum]]</f>
        <v>44711</v>
      </c>
      <c r="B160" s="223"/>
      <c r="C160" s="224">
        <f t="shared" ref="C160:C223" si="49">WEEKDAY(A160)</f>
        <v>2</v>
      </c>
      <c r="D160" s="523" t="str">
        <f>IF(OR(données_step[[#This Row],[E_DBO5]]&lt;=0,données_step[[#This Row],[E_DBO5]]=""),"",données_step[[#This Row],[D_QTRAI]]*données_step[[#This Row],[E_DBO5]]/1000)</f>
        <v/>
      </c>
      <c r="E160" s="523" t="str">
        <f>IF(OR(données_step[[#This Row],[E_DCO]]&lt;=0,données_step[[#This Row],[E_DCO]]=""),"",données_step[[#This Row],[D_QTRAI]]*données_step[[#This Row],[E_DCO]]/1000)</f>
        <v/>
      </c>
      <c r="F160" s="523" t="str">
        <f>IF(OR(données_step[[#This Row],[E_COT]]&lt;=0,données_step[[#This Row],[E_COT]]=""),"",données_step[[#This Row],[D_QTRAI]]*données_step[[#This Row],[E_COT]]/1000)</f>
        <v/>
      </c>
      <c r="G160" s="523" t="str">
        <f>IF(OR(données_step[[#This Row],[E_NH4]]&lt;=0,données_step[[#This Row],[E_NH4]]=""),"",données_step[[#This Row],[D_QTRAI]]*données_step[[#This Row],[E_NH4]]/1000)</f>
        <v/>
      </c>
      <c r="H160" s="523" t="str">
        <f>IF(OR(données_step[[#This Row],[E_NTOT]]&lt;=0,données_step[[#This Row],[E_NTOT]]=""),"",données_step[[#This Row],[D_QTRAI]]*données_step[[#This Row],[E_NTOT]]/1000)</f>
        <v/>
      </c>
      <c r="I160" s="523" t="str">
        <f>IF(OR(données_step[[#This Row],[E_NTOT]]&lt;=0,données_step[[#This Row],[E_NTOT]]=""),"",données_step[[#This Row],[D_QTRAI]]*données_step[[#This Row],[E_PTOT]]/1000)</f>
        <v/>
      </c>
      <c r="J160" s="523" t="str">
        <f>IF(OR(données_step[[#This Row],[S_DBO5]]&lt;=0,données_step[[#This Row],[S_DBO5]]=""),"",données_step[[#This Row],[D_QTRAI]]*données_step[[#This Row],[S_DBO5]]/1000)</f>
        <v/>
      </c>
      <c r="K160" s="523" t="str">
        <f>IF(OR(données_step[[#This Row],[S_DCO]]&lt;=0,données_step[[#This Row],[S_DCO]]=""),"",données_step[[#This Row],[D_QTRAI]]*données_step[[#This Row],[S_DCO]]/1000)</f>
        <v/>
      </c>
      <c r="L160" s="523" t="str">
        <f>IF(OR(données_step[[#This Row],[S_COD]]&lt;=0,données_step[[#This Row],[S_COD]]=""),"",données_step[[#This Row],[D_QTRAI]]*données_step[[#This Row],[S_COD]]/1000)</f>
        <v/>
      </c>
      <c r="M160" s="523" t="str">
        <f>IF(OR(données_step[[#This Row],[S_NH4]]&lt;=0,données_step[[#This Row],[S_NH4]]=""),"",données_step[[#This Row],[D_QTRAI]]*données_step[[#This Row],[S_NH4]]/1000)</f>
        <v/>
      </c>
      <c r="N160" s="523" t="str">
        <f>IF(OR(données_step[[#This Row],[S_NO2]]&lt;=0,données_step[[#This Row],[S_NO2]]=""),"",données_step[[#This Row],[D_QTRAI]]*données_step[[#This Row],[S_NO2]]/1000)</f>
        <v/>
      </c>
      <c r="O160" s="523" t="str">
        <f>IF(OR(données_step[[#This Row],[S_NO3]]&lt;=0,données_step[[#This Row],[S_NO3]]=""),"",données_step[[#This Row],[D_QTRAI]]*données_step[[#This Row],[S_NO3]]/1000)</f>
        <v/>
      </c>
      <c r="P160" s="523" t="str">
        <f>IF(OR(données_step[[#This Row],[S_PTOT]]&lt;=0,données_step[[#This Row],[S_PTOT]]=""),"",données_step[[#This Row],[D_QTRAI]]*données_step[[#This Row],[S_PTOT]]/1000)</f>
        <v/>
      </c>
      <c r="Q160" s="523" t="str">
        <f>IF(OR(données_step[[#This Row],[S_MES]]&lt;=0,données_step[[#This Row],[S_MES]]=""),"",données_step[[#This Row],[D_QTRAI]]*données_step[[#This Row],[S_MES]]/1000)</f>
        <v/>
      </c>
      <c r="R160" s="523">
        <f>MAX(données_step[[#This Row],[D_QTRAI]],données_step[[#This Row],[D_QTRAI2]])</f>
        <v>0</v>
      </c>
      <c r="S160" s="523" t="str">
        <f>IF(AND($R160&gt;0,données_step[[#This Row],[E_DCO]]&gt;0),données_step[[#This Row],[E_DCO]],"")</f>
        <v/>
      </c>
      <c r="T160" s="523" t="str">
        <f>IF(S160="","",(1-données_step[[#This Row],[E_DCO]]/$V$7)*100)</f>
        <v/>
      </c>
      <c r="U160" s="523" t="str">
        <f t="shared" si="35"/>
        <v/>
      </c>
      <c r="V160" s="523" t="str">
        <f t="shared" si="36"/>
        <v/>
      </c>
      <c r="W160" s="523" t="str">
        <f t="shared" si="37"/>
        <v/>
      </c>
      <c r="X160" s="523" t="e">
        <f>IF(((100-100/$V$7*données_step[[#This Row],[E_DCO]])/100*QTS)&lt;0,NA(),IF(OR(U160&lt;0,U160=""),NA(),((100-100/$V$7*données_step[[#This Row],[E_DCO]])/100*QTS)))</f>
        <v>#NUM!</v>
      </c>
      <c r="Y160" s="523" t="str">
        <f>IF(AND($R160&gt;0,données_step[[#This Row],[E_COT]]&gt;0),données_step[[#This Row],[E_COT]],"")</f>
        <v/>
      </c>
      <c r="Z160" s="523" t="str">
        <f>IF(Y160="","",(1-données_step[[#This Row],[E_COT]]/$AB$7)*100)</f>
        <v/>
      </c>
      <c r="AA160" s="523" t="str">
        <f t="shared" si="38"/>
        <v/>
      </c>
      <c r="AB160" s="523" t="str">
        <f t="shared" si="39"/>
        <v/>
      </c>
      <c r="AC160" s="523" t="str">
        <f t="shared" si="40"/>
        <v/>
      </c>
      <c r="AD160" s="523" t="e">
        <f>IF(((100-100/$AB$7*données_step[[#This Row],[E_COT]])/100*QTS)&lt;0,NA(),IF(OR(AA160&lt;0,AA160=""),NA(),((100-100/$AB$7*données_step[[#This Row],[E_COT]])/100*QTS)))</f>
        <v>#NUM!</v>
      </c>
      <c r="AE160" s="523" t="str">
        <f>IF(AND($R160&gt;0,données_step[[#This Row],[E_NH4]]&gt;0),données_step[[#This Row],[E_NH4]],"")</f>
        <v/>
      </c>
      <c r="AF160" s="523" t="str">
        <f>IF(AE160="","",(1-données_step[[#This Row],[E_NH4]]/$AH$7)*100)</f>
        <v/>
      </c>
      <c r="AG160" s="523" t="str">
        <f t="shared" si="41"/>
        <v/>
      </c>
      <c r="AH160" s="523" t="str">
        <f t="shared" si="42"/>
        <v/>
      </c>
      <c r="AI160" s="523" t="str">
        <f t="shared" si="43"/>
        <v/>
      </c>
      <c r="AJ160" s="523" t="e">
        <f>IF(((100-100/$AH$7*données_step[[#This Row],[E_NH4]])/100*QTS)&lt;0,NA(),IF(OR(AG160&lt;0,AG160=""),NA(),((100-100/$AH$7*données_step[[#This Row],[E_NH4]])/100*QTS)))</f>
        <v>#NUM!</v>
      </c>
      <c r="AK160" s="523" t="str">
        <f>IF(AND($R160&gt;0,données_step[[#This Row],[E_PTOT]]&gt;0),données_step[[#This Row],[E_PTOT]],"")</f>
        <v/>
      </c>
      <c r="AL160" s="523" t="str">
        <f>IF(AK160="","",(1-données_step[[#This Row],[E_PTOT]]/$AN$7)*100)</f>
        <v/>
      </c>
      <c r="AM160" s="523" t="str">
        <f t="shared" si="44"/>
        <v/>
      </c>
      <c r="AN160" s="523" t="str">
        <f t="shared" si="45"/>
        <v/>
      </c>
      <c r="AO160" s="523" t="str">
        <f t="shared" si="46"/>
        <v/>
      </c>
      <c r="AP160" s="523" t="e">
        <f>IF(((100-100/$AN$7*données_step[[#This Row],[E_PTOT]])/100*QTS)&lt;0,NA(),IF(OR(AM160&lt;0,AM160=""),NA(),((100-100/$AN$7*données_step[[#This Row],[E_PTOT]])/100*QTS)))</f>
        <v>#NUM!</v>
      </c>
      <c r="AQ160" s="524" t="e">
        <f t="shared" si="47"/>
        <v>#NUM!</v>
      </c>
      <c r="AR160" s="524" t="str">
        <f t="shared" si="48"/>
        <v/>
      </c>
      <c r="AY160" s="523" t="str">
        <f>_xlfn.IFNA(IF(données_step[[#This Row],[E_DCO]]&lt;=0,NA(),charge_entree[[#This Row],[ch_E_DCO]]/constanten!$B$8*1000),"")</f>
        <v/>
      </c>
      <c r="AZ160" s="523" t="str">
        <f>_xlfn.IFNA(IF(données_step[[#This Row],[E_NTOT]]&lt;=0,NA(),charge_entree[[#This Row],[ch_E_NTOT]]/constanten!$B$10*1000),"")</f>
        <v/>
      </c>
      <c r="BA160" s="523" t="str">
        <f>_xlfn.IFNA(IF(données_step[[#This Row],[E_NH4]]&lt;=0,NA(),charge_entree[[#This Row],[ch_E_NH4]]/constanten!$B$12*1000),"")</f>
        <v/>
      </c>
      <c r="BB160" s="523" t="str">
        <f>_xlfn.IFNA(IF(données_step[[#This Row],[E_COT]]&lt;=0,NA(),charge_entree[[#This Row],[ch_E_COT]]/constanten!$B$9*1000),"")</f>
        <v/>
      </c>
      <c r="BC160" s="523" t="str">
        <f>IFERROR(_xlfn.IFNA(IF(données_step[[#This Row],[E_PTOT]]&lt;=0,NA(),charge_entree[[#This Row],[ch_E_PTOT]]/constanten!$B$15*1000),""),"")</f>
        <v/>
      </c>
      <c r="BD160" s="535" t="e">
        <f>calculs!E160 * (1-0.4) / (données_step[[#This Row],[X_BA_VOL]]*données_step[[#This Row],[X_BACONC]])</f>
        <v>#VALUE!</v>
      </c>
      <c r="BE160" s="522" t="e">
        <f>(données_step[[#This Row],[X_BA_VOL]]*données_step[[#This Row],[X_BACONC]])/((données_step[[#This Row],[D_QTRAI2]]*données_step[[#This Row],[S_MES]]/1000)+(données_step[[#This Row],[X_BX_Q]]*données_step[[#This Row],[X_BXCONC]]))</f>
        <v>#VALUE!</v>
      </c>
      <c r="BF160" s="890" t="str">
        <f>IFERROR(données_step[[#This Row],[D_QTRAI]]/AY160*1000,"")</f>
        <v/>
      </c>
      <c r="BG160" s="535" t="str">
        <f>IFERROR(1-données_step[[#This Row],[S_DBO5]]/données_step[[#This Row],[E_DBO5]],"")</f>
        <v/>
      </c>
      <c r="BH160" s="536" t="str">
        <f>IFERROR(1-données_step[[#This Row],[S_DCO]]/données_step[[#This Row],[E_DCO]],"")</f>
        <v/>
      </c>
      <c r="BI160" s="535" t="str">
        <f>IFERROR(1-données_step[[#This Row],[S_COD]]/données_step[[#This Row],[E_COT]],"")</f>
        <v/>
      </c>
      <c r="BJ160" s="535" t="str">
        <f>IFERROR(1-données_step[[#This Row],[S_NH4]]/données_step[[#This Row],[E_NTOT]],"")</f>
        <v/>
      </c>
      <c r="BK160" s="535" t="str">
        <f>IFERROR(1-données_step[[#This Row],[S_PTOT]]/données_step[[#This Row],[E_PTOT]],"")</f>
        <v/>
      </c>
      <c r="BL160" s="521" t="str">
        <f>IFERROR(IF(données_step[[#This Row],[E_DCO]]/données_step[[#This Row],[E_DBO5]]=0,NA(),données_step[[#This Row],[E_DCO]]/données_step[[#This Row],[E_DBO5]]),"")</f>
        <v/>
      </c>
      <c r="BM160" s="521" t="str">
        <f>IFERROR(IF(données_step[[#This Row],[E_NH4]]/données_step[[#This Row],[E_NTOT]]=0,NA(),données_step[[#This Row],[E_NH4]]/données_step[[#This Row],[E_NTOT]]),"")</f>
        <v/>
      </c>
      <c r="BN160" s="521" t="str">
        <f>IFERROR(IF(données_step[[#This Row],[E_NTOT]]/données_step[[#This Row],[E_COT]]=0,NA(),données_step[[#This Row],[E_NTOT]]/données_step[[#This Row],[E_COT]]),"")</f>
        <v/>
      </c>
      <c r="BO160" s="521" t="str">
        <f>IFERROR(IF(données_step[[#This Row],[E_PTOT]]/données_step[[#This Row],[E_COT]]=0,NA(),données_step[[#This Row],[E_PTOT]]/données_step[[#This Row],[E_COT]]),"")</f>
        <v/>
      </c>
      <c r="BP160" s="521" t="e">
        <f>IF(données_step[[#This Row],[E_DCO]]/données_step[[#This Row],[E_COT]]=0,NA(),données_step[[#This Row],[E_DCO]]/données_step[[#This Row],[E_COT]])</f>
        <v>#DIV/0!</v>
      </c>
      <c r="BQ160" s="521" t="e">
        <f>IF(données_step[[#This Row],[E_NTOT]]/données_step[[#This Row],[E_DCO]]=0,NA(),données_step[[#This Row],[E_NTOT]]/données_step[[#This Row],[E_DCO]])</f>
        <v>#DIV/0!</v>
      </c>
      <c r="BR160" s="521" t="e">
        <f>IF(données_step[[#This Row],[E_PTOT]]/données_step[[#This Row],[E_DCO]]=0,NA(),données_step[[#This Row],[E_PTOT]]/données_step[[#This Row],[E_DCO]])</f>
        <v>#DIV/0!</v>
      </c>
      <c r="BS160" s="747" t="e">
        <f ca="1">test_NH4_temp(données_step[[#This Row],[S_NH4]],données_step[[#This Row],[Temp_eaux]])</f>
        <v>#NAME?</v>
      </c>
    </row>
    <row r="161" spans="1:71" x14ac:dyDescent="0.2">
      <c r="A161" s="222">
        <f>données_step[[#This Row],[Datum]]</f>
        <v>44712</v>
      </c>
      <c r="B161" s="223"/>
      <c r="C161" s="224">
        <f t="shared" si="49"/>
        <v>3</v>
      </c>
      <c r="D161" s="523" t="str">
        <f>IF(OR(données_step[[#This Row],[E_DBO5]]&lt;=0,données_step[[#This Row],[E_DBO5]]=""),"",données_step[[#This Row],[D_QTRAI]]*données_step[[#This Row],[E_DBO5]]/1000)</f>
        <v/>
      </c>
      <c r="E161" s="523" t="str">
        <f>IF(OR(données_step[[#This Row],[E_DCO]]&lt;=0,données_step[[#This Row],[E_DCO]]=""),"",données_step[[#This Row],[D_QTRAI]]*données_step[[#This Row],[E_DCO]]/1000)</f>
        <v/>
      </c>
      <c r="F161" s="523" t="str">
        <f>IF(OR(données_step[[#This Row],[E_COT]]&lt;=0,données_step[[#This Row],[E_COT]]=""),"",données_step[[#This Row],[D_QTRAI]]*données_step[[#This Row],[E_COT]]/1000)</f>
        <v/>
      </c>
      <c r="G161" s="523" t="str">
        <f>IF(OR(données_step[[#This Row],[E_NH4]]&lt;=0,données_step[[#This Row],[E_NH4]]=""),"",données_step[[#This Row],[D_QTRAI]]*données_step[[#This Row],[E_NH4]]/1000)</f>
        <v/>
      </c>
      <c r="H161" s="523" t="str">
        <f>IF(OR(données_step[[#This Row],[E_NTOT]]&lt;=0,données_step[[#This Row],[E_NTOT]]=""),"",données_step[[#This Row],[D_QTRAI]]*données_step[[#This Row],[E_NTOT]]/1000)</f>
        <v/>
      </c>
      <c r="I161" s="523" t="str">
        <f>IF(OR(données_step[[#This Row],[E_NTOT]]&lt;=0,données_step[[#This Row],[E_NTOT]]=""),"",données_step[[#This Row],[D_QTRAI]]*données_step[[#This Row],[E_PTOT]]/1000)</f>
        <v/>
      </c>
      <c r="J161" s="523" t="str">
        <f>IF(OR(données_step[[#This Row],[S_DBO5]]&lt;=0,données_step[[#This Row],[S_DBO5]]=""),"",données_step[[#This Row],[D_QTRAI]]*données_step[[#This Row],[S_DBO5]]/1000)</f>
        <v/>
      </c>
      <c r="K161" s="523" t="str">
        <f>IF(OR(données_step[[#This Row],[S_DCO]]&lt;=0,données_step[[#This Row],[S_DCO]]=""),"",données_step[[#This Row],[D_QTRAI]]*données_step[[#This Row],[S_DCO]]/1000)</f>
        <v/>
      </c>
      <c r="L161" s="523" t="str">
        <f>IF(OR(données_step[[#This Row],[S_COD]]&lt;=0,données_step[[#This Row],[S_COD]]=""),"",données_step[[#This Row],[D_QTRAI]]*données_step[[#This Row],[S_COD]]/1000)</f>
        <v/>
      </c>
      <c r="M161" s="523" t="str">
        <f>IF(OR(données_step[[#This Row],[S_NH4]]&lt;=0,données_step[[#This Row],[S_NH4]]=""),"",données_step[[#This Row],[D_QTRAI]]*données_step[[#This Row],[S_NH4]]/1000)</f>
        <v/>
      </c>
      <c r="N161" s="523" t="str">
        <f>IF(OR(données_step[[#This Row],[S_NO2]]&lt;=0,données_step[[#This Row],[S_NO2]]=""),"",données_step[[#This Row],[D_QTRAI]]*données_step[[#This Row],[S_NO2]]/1000)</f>
        <v/>
      </c>
      <c r="O161" s="523" t="str">
        <f>IF(OR(données_step[[#This Row],[S_NO3]]&lt;=0,données_step[[#This Row],[S_NO3]]=""),"",données_step[[#This Row],[D_QTRAI]]*données_step[[#This Row],[S_NO3]]/1000)</f>
        <v/>
      </c>
      <c r="P161" s="523" t="str">
        <f>IF(OR(données_step[[#This Row],[S_PTOT]]&lt;=0,données_step[[#This Row],[S_PTOT]]=""),"",données_step[[#This Row],[D_QTRAI]]*données_step[[#This Row],[S_PTOT]]/1000)</f>
        <v/>
      </c>
      <c r="Q161" s="523" t="str">
        <f>IF(OR(données_step[[#This Row],[S_MES]]&lt;=0,données_step[[#This Row],[S_MES]]=""),"",données_step[[#This Row],[D_QTRAI]]*données_step[[#This Row],[S_MES]]/1000)</f>
        <v/>
      </c>
      <c r="R161" s="523">
        <f>MAX(données_step[[#This Row],[D_QTRAI]],données_step[[#This Row],[D_QTRAI2]])</f>
        <v>0</v>
      </c>
      <c r="S161" s="523" t="str">
        <f>IF(AND($R161&gt;0,données_step[[#This Row],[E_DCO]]&gt;0),données_step[[#This Row],[E_DCO]],"")</f>
        <v/>
      </c>
      <c r="T161" s="523" t="str">
        <f>IF(S161="","",(1-données_step[[#This Row],[E_DCO]]/$V$7)*100)</f>
        <v/>
      </c>
      <c r="U161" s="523" t="str">
        <f t="shared" si="35"/>
        <v/>
      </c>
      <c r="V161" s="523" t="str">
        <f t="shared" si="36"/>
        <v/>
      </c>
      <c r="W161" s="523" t="str">
        <f t="shared" si="37"/>
        <v/>
      </c>
      <c r="X161" s="523" t="e">
        <f>IF(((100-100/$V$7*données_step[[#This Row],[E_DCO]])/100*QTS)&lt;0,NA(),IF(OR(U161&lt;0,U161=""),NA(),((100-100/$V$7*données_step[[#This Row],[E_DCO]])/100*QTS)))</f>
        <v>#NUM!</v>
      </c>
      <c r="Y161" s="523" t="str">
        <f>IF(AND($R161&gt;0,données_step[[#This Row],[E_COT]]&gt;0),données_step[[#This Row],[E_COT]],"")</f>
        <v/>
      </c>
      <c r="Z161" s="523" t="str">
        <f>IF(Y161="","",(1-données_step[[#This Row],[E_COT]]/$AB$7)*100)</f>
        <v/>
      </c>
      <c r="AA161" s="523" t="str">
        <f t="shared" si="38"/>
        <v/>
      </c>
      <c r="AB161" s="523" t="str">
        <f t="shared" si="39"/>
        <v/>
      </c>
      <c r="AC161" s="523" t="str">
        <f t="shared" si="40"/>
        <v/>
      </c>
      <c r="AD161" s="523" t="e">
        <f>IF(((100-100/$AB$7*données_step[[#This Row],[E_COT]])/100*QTS)&lt;0,NA(),IF(OR(AA161&lt;0,AA161=""),NA(),((100-100/$AB$7*données_step[[#This Row],[E_COT]])/100*QTS)))</f>
        <v>#NUM!</v>
      </c>
      <c r="AE161" s="523" t="str">
        <f>IF(AND($R161&gt;0,données_step[[#This Row],[E_NH4]]&gt;0),données_step[[#This Row],[E_NH4]],"")</f>
        <v/>
      </c>
      <c r="AF161" s="523" t="str">
        <f>IF(AE161="","",(1-données_step[[#This Row],[E_NH4]]/$AH$7)*100)</f>
        <v/>
      </c>
      <c r="AG161" s="523" t="str">
        <f t="shared" si="41"/>
        <v/>
      </c>
      <c r="AH161" s="523" t="str">
        <f t="shared" si="42"/>
        <v/>
      </c>
      <c r="AI161" s="523" t="str">
        <f t="shared" si="43"/>
        <v/>
      </c>
      <c r="AJ161" s="523" t="e">
        <f>IF(((100-100/$AH$7*données_step[[#This Row],[E_NH4]])/100*QTS)&lt;0,NA(),IF(OR(AG161&lt;0,AG161=""),NA(),((100-100/$AH$7*données_step[[#This Row],[E_NH4]])/100*QTS)))</f>
        <v>#NUM!</v>
      </c>
      <c r="AK161" s="523" t="str">
        <f>IF(AND($R161&gt;0,données_step[[#This Row],[E_PTOT]]&gt;0),données_step[[#This Row],[E_PTOT]],"")</f>
        <v/>
      </c>
      <c r="AL161" s="523" t="str">
        <f>IF(AK161="","",(1-données_step[[#This Row],[E_PTOT]]/$AN$7)*100)</f>
        <v/>
      </c>
      <c r="AM161" s="523" t="str">
        <f t="shared" si="44"/>
        <v/>
      </c>
      <c r="AN161" s="523" t="str">
        <f t="shared" si="45"/>
        <v/>
      </c>
      <c r="AO161" s="523" t="str">
        <f t="shared" si="46"/>
        <v/>
      </c>
      <c r="AP161" s="523" t="e">
        <f>IF(((100-100/$AN$7*données_step[[#This Row],[E_PTOT]])/100*QTS)&lt;0,NA(),IF(OR(AM161&lt;0,AM161=""),NA(),((100-100/$AN$7*données_step[[#This Row],[E_PTOT]])/100*QTS)))</f>
        <v>#NUM!</v>
      </c>
      <c r="AQ161" s="524" t="e">
        <f t="shared" si="47"/>
        <v>#NUM!</v>
      </c>
      <c r="AR161" s="524" t="str">
        <f t="shared" si="48"/>
        <v/>
      </c>
      <c r="AY161" s="523" t="str">
        <f>_xlfn.IFNA(IF(données_step[[#This Row],[E_DCO]]&lt;=0,NA(),charge_entree[[#This Row],[ch_E_DCO]]/constanten!$B$8*1000),"")</f>
        <v/>
      </c>
      <c r="AZ161" s="523" t="str">
        <f>_xlfn.IFNA(IF(données_step[[#This Row],[E_NTOT]]&lt;=0,NA(),charge_entree[[#This Row],[ch_E_NTOT]]/constanten!$B$10*1000),"")</f>
        <v/>
      </c>
      <c r="BA161" s="523" t="str">
        <f>_xlfn.IFNA(IF(données_step[[#This Row],[E_NH4]]&lt;=0,NA(),charge_entree[[#This Row],[ch_E_NH4]]/constanten!$B$12*1000),"")</f>
        <v/>
      </c>
      <c r="BB161" s="523" t="str">
        <f>_xlfn.IFNA(IF(données_step[[#This Row],[E_COT]]&lt;=0,NA(),charge_entree[[#This Row],[ch_E_COT]]/constanten!$B$9*1000),"")</f>
        <v/>
      </c>
      <c r="BC161" s="523" t="str">
        <f>IFERROR(_xlfn.IFNA(IF(données_step[[#This Row],[E_PTOT]]&lt;=0,NA(),charge_entree[[#This Row],[ch_E_PTOT]]/constanten!$B$15*1000),""),"")</f>
        <v/>
      </c>
      <c r="BD161" s="535" t="e">
        <f>calculs!E161 * (1-0.4) / (données_step[[#This Row],[X_BA_VOL]]*données_step[[#This Row],[X_BACONC]])</f>
        <v>#VALUE!</v>
      </c>
      <c r="BE161" s="522" t="e">
        <f>(données_step[[#This Row],[X_BA_VOL]]*données_step[[#This Row],[X_BACONC]])/((données_step[[#This Row],[D_QTRAI2]]*données_step[[#This Row],[S_MES]]/1000)+(données_step[[#This Row],[X_BX_Q]]*données_step[[#This Row],[X_BXCONC]]))</f>
        <v>#VALUE!</v>
      </c>
      <c r="BF161" s="890" t="str">
        <f>IFERROR(données_step[[#This Row],[D_QTRAI]]/AY161*1000,"")</f>
        <v/>
      </c>
      <c r="BG161" s="535" t="str">
        <f>IFERROR(1-données_step[[#This Row],[S_DBO5]]/données_step[[#This Row],[E_DBO5]],"")</f>
        <v/>
      </c>
      <c r="BH161" s="536" t="str">
        <f>IFERROR(1-données_step[[#This Row],[S_DCO]]/données_step[[#This Row],[E_DCO]],"")</f>
        <v/>
      </c>
      <c r="BI161" s="535" t="str">
        <f>IFERROR(1-données_step[[#This Row],[S_COD]]/données_step[[#This Row],[E_COT]],"")</f>
        <v/>
      </c>
      <c r="BJ161" s="535" t="str">
        <f>IFERROR(1-données_step[[#This Row],[S_NH4]]/données_step[[#This Row],[E_NTOT]],"")</f>
        <v/>
      </c>
      <c r="BK161" s="535" t="str">
        <f>IFERROR(1-données_step[[#This Row],[S_PTOT]]/données_step[[#This Row],[E_PTOT]],"")</f>
        <v/>
      </c>
      <c r="BL161" s="521" t="str">
        <f>IFERROR(IF(données_step[[#This Row],[E_DCO]]/données_step[[#This Row],[E_DBO5]]=0,NA(),données_step[[#This Row],[E_DCO]]/données_step[[#This Row],[E_DBO5]]),"")</f>
        <v/>
      </c>
      <c r="BM161" s="521" t="str">
        <f>IFERROR(IF(données_step[[#This Row],[E_NH4]]/données_step[[#This Row],[E_NTOT]]=0,NA(),données_step[[#This Row],[E_NH4]]/données_step[[#This Row],[E_NTOT]]),"")</f>
        <v/>
      </c>
      <c r="BN161" s="521" t="str">
        <f>IFERROR(IF(données_step[[#This Row],[E_NTOT]]/données_step[[#This Row],[E_COT]]=0,NA(),données_step[[#This Row],[E_NTOT]]/données_step[[#This Row],[E_COT]]),"")</f>
        <v/>
      </c>
      <c r="BO161" s="521" t="str">
        <f>IFERROR(IF(données_step[[#This Row],[E_PTOT]]/données_step[[#This Row],[E_COT]]=0,NA(),données_step[[#This Row],[E_PTOT]]/données_step[[#This Row],[E_COT]]),"")</f>
        <v/>
      </c>
      <c r="BP161" s="521" t="e">
        <f>IF(données_step[[#This Row],[E_DCO]]/données_step[[#This Row],[E_COT]]=0,NA(),données_step[[#This Row],[E_DCO]]/données_step[[#This Row],[E_COT]])</f>
        <v>#DIV/0!</v>
      </c>
      <c r="BQ161" s="521" t="e">
        <f>IF(données_step[[#This Row],[E_NTOT]]/données_step[[#This Row],[E_DCO]]=0,NA(),données_step[[#This Row],[E_NTOT]]/données_step[[#This Row],[E_DCO]])</f>
        <v>#DIV/0!</v>
      </c>
      <c r="BR161" s="521" t="e">
        <f>IF(données_step[[#This Row],[E_PTOT]]/données_step[[#This Row],[E_DCO]]=0,NA(),données_step[[#This Row],[E_PTOT]]/données_step[[#This Row],[E_DCO]])</f>
        <v>#DIV/0!</v>
      </c>
      <c r="BS161" s="747" t="e">
        <f ca="1">test_NH4_temp(données_step[[#This Row],[S_NH4]],données_step[[#This Row],[Temp_eaux]])</f>
        <v>#NAME?</v>
      </c>
    </row>
    <row r="162" spans="1:71" x14ac:dyDescent="0.2">
      <c r="A162" s="222">
        <f>données_step[[#This Row],[Datum]]</f>
        <v>44713</v>
      </c>
      <c r="B162" s="223"/>
      <c r="C162" s="224">
        <f t="shared" si="49"/>
        <v>4</v>
      </c>
      <c r="D162" s="523" t="str">
        <f>IF(OR(données_step[[#This Row],[E_DBO5]]&lt;=0,données_step[[#This Row],[E_DBO5]]=""),"",données_step[[#This Row],[D_QTRAI]]*données_step[[#This Row],[E_DBO5]]/1000)</f>
        <v/>
      </c>
      <c r="E162" s="523" t="str">
        <f>IF(OR(données_step[[#This Row],[E_DCO]]&lt;=0,données_step[[#This Row],[E_DCO]]=""),"",données_step[[#This Row],[D_QTRAI]]*données_step[[#This Row],[E_DCO]]/1000)</f>
        <v/>
      </c>
      <c r="F162" s="523" t="str">
        <f>IF(OR(données_step[[#This Row],[E_COT]]&lt;=0,données_step[[#This Row],[E_COT]]=""),"",données_step[[#This Row],[D_QTRAI]]*données_step[[#This Row],[E_COT]]/1000)</f>
        <v/>
      </c>
      <c r="G162" s="523" t="str">
        <f>IF(OR(données_step[[#This Row],[E_NH4]]&lt;=0,données_step[[#This Row],[E_NH4]]=""),"",données_step[[#This Row],[D_QTRAI]]*données_step[[#This Row],[E_NH4]]/1000)</f>
        <v/>
      </c>
      <c r="H162" s="523" t="str">
        <f>IF(OR(données_step[[#This Row],[E_NTOT]]&lt;=0,données_step[[#This Row],[E_NTOT]]=""),"",données_step[[#This Row],[D_QTRAI]]*données_step[[#This Row],[E_NTOT]]/1000)</f>
        <v/>
      </c>
      <c r="I162" s="523" t="str">
        <f>IF(OR(données_step[[#This Row],[E_NTOT]]&lt;=0,données_step[[#This Row],[E_NTOT]]=""),"",données_step[[#This Row],[D_QTRAI]]*données_step[[#This Row],[E_PTOT]]/1000)</f>
        <v/>
      </c>
      <c r="J162" s="523" t="str">
        <f>IF(OR(données_step[[#This Row],[S_DBO5]]&lt;=0,données_step[[#This Row],[S_DBO5]]=""),"",données_step[[#This Row],[D_QTRAI]]*données_step[[#This Row],[S_DBO5]]/1000)</f>
        <v/>
      </c>
      <c r="K162" s="523" t="str">
        <f>IF(OR(données_step[[#This Row],[S_DCO]]&lt;=0,données_step[[#This Row],[S_DCO]]=""),"",données_step[[#This Row],[D_QTRAI]]*données_step[[#This Row],[S_DCO]]/1000)</f>
        <v/>
      </c>
      <c r="L162" s="523" t="str">
        <f>IF(OR(données_step[[#This Row],[S_COD]]&lt;=0,données_step[[#This Row],[S_COD]]=""),"",données_step[[#This Row],[D_QTRAI]]*données_step[[#This Row],[S_COD]]/1000)</f>
        <v/>
      </c>
      <c r="M162" s="523" t="str">
        <f>IF(OR(données_step[[#This Row],[S_NH4]]&lt;=0,données_step[[#This Row],[S_NH4]]=""),"",données_step[[#This Row],[D_QTRAI]]*données_step[[#This Row],[S_NH4]]/1000)</f>
        <v/>
      </c>
      <c r="N162" s="523" t="str">
        <f>IF(OR(données_step[[#This Row],[S_NO2]]&lt;=0,données_step[[#This Row],[S_NO2]]=""),"",données_step[[#This Row],[D_QTRAI]]*données_step[[#This Row],[S_NO2]]/1000)</f>
        <v/>
      </c>
      <c r="O162" s="523" t="str">
        <f>IF(OR(données_step[[#This Row],[S_NO3]]&lt;=0,données_step[[#This Row],[S_NO3]]=""),"",données_step[[#This Row],[D_QTRAI]]*données_step[[#This Row],[S_NO3]]/1000)</f>
        <v/>
      </c>
      <c r="P162" s="523" t="str">
        <f>IF(OR(données_step[[#This Row],[S_PTOT]]&lt;=0,données_step[[#This Row],[S_PTOT]]=""),"",données_step[[#This Row],[D_QTRAI]]*données_step[[#This Row],[S_PTOT]]/1000)</f>
        <v/>
      </c>
      <c r="Q162" s="523" t="str">
        <f>IF(OR(données_step[[#This Row],[S_MES]]&lt;=0,données_step[[#This Row],[S_MES]]=""),"",données_step[[#This Row],[D_QTRAI]]*données_step[[#This Row],[S_MES]]/1000)</f>
        <v/>
      </c>
      <c r="R162" s="523">
        <f>MAX(données_step[[#This Row],[D_QTRAI]],données_step[[#This Row],[D_QTRAI2]])</f>
        <v>0</v>
      </c>
      <c r="S162" s="523" t="str">
        <f>IF(AND($R162&gt;0,données_step[[#This Row],[E_DCO]]&gt;0),données_step[[#This Row],[E_DCO]],"")</f>
        <v/>
      </c>
      <c r="T162" s="523" t="str">
        <f>IF(S162="","",(1-données_step[[#This Row],[E_DCO]]/$V$7)*100)</f>
        <v/>
      </c>
      <c r="U162" s="523" t="str">
        <f t="shared" si="35"/>
        <v/>
      </c>
      <c r="V162" s="523" t="str">
        <f t="shared" si="36"/>
        <v/>
      </c>
      <c r="W162" s="523" t="str">
        <f t="shared" si="37"/>
        <v/>
      </c>
      <c r="X162" s="523" t="e">
        <f>IF(((100-100/$V$7*données_step[[#This Row],[E_DCO]])/100*QTS)&lt;0,NA(),IF(OR(U162&lt;0,U162=""),NA(),((100-100/$V$7*données_step[[#This Row],[E_DCO]])/100*QTS)))</f>
        <v>#NUM!</v>
      </c>
      <c r="Y162" s="523" t="str">
        <f>IF(AND($R162&gt;0,données_step[[#This Row],[E_COT]]&gt;0),données_step[[#This Row],[E_COT]],"")</f>
        <v/>
      </c>
      <c r="Z162" s="523" t="str">
        <f>IF(Y162="","",(1-données_step[[#This Row],[E_COT]]/$AB$7)*100)</f>
        <v/>
      </c>
      <c r="AA162" s="523" t="str">
        <f t="shared" si="38"/>
        <v/>
      </c>
      <c r="AB162" s="523" t="str">
        <f t="shared" si="39"/>
        <v/>
      </c>
      <c r="AC162" s="523" t="str">
        <f t="shared" si="40"/>
        <v/>
      </c>
      <c r="AD162" s="523" t="e">
        <f>IF(((100-100/$AB$7*données_step[[#This Row],[E_COT]])/100*QTS)&lt;0,NA(),IF(OR(AA162&lt;0,AA162=""),NA(),((100-100/$AB$7*données_step[[#This Row],[E_COT]])/100*QTS)))</f>
        <v>#NUM!</v>
      </c>
      <c r="AE162" s="523" t="str">
        <f>IF(AND($R162&gt;0,données_step[[#This Row],[E_NH4]]&gt;0),données_step[[#This Row],[E_NH4]],"")</f>
        <v/>
      </c>
      <c r="AF162" s="523" t="str">
        <f>IF(AE162="","",(1-données_step[[#This Row],[E_NH4]]/$AH$7)*100)</f>
        <v/>
      </c>
      <c r="AG162" s="523" t="str">
        <f t="shared" si="41"/>
        <v/>
      </c>
      <c r="AH162" s="523" t="str">
        <f t="shared" si="42"/>
        <v/>
      </c>
      <c r="AI162" s="523" t="str">
        <f t="shared" si="43"/>
        <v/>
      </c>
      <c r="AJ162" s="523" t="e">
        <f>IF(((100-100/$AH$7*données_step[[#This Row],[E_NH4]])/100*QTS)&lt;0,NA(),IF(OR(AG162&lt;0,AG162=""),NA(),((100-100/$AH$7*données_step[[#This Row],[E_NH4]])/100*QTS)))</f>
        <v>#NUM!</v>
      </c>
      <c r="AK162" s="523" t="str">
        <f>IF(AND($R162&gt;0,données_step[[#This Row],[E_PTOT]]&gt;0),données_step[[#This Row],[E_PTOT]],"")</f>
        <v/>
      </c>
      <c r="AL162" s="523" t="str">
        <f>IF(AK162="","",(1-données_step[[#This Row],[E_PTOT]]/$AN$7)*100)</f>
        <v/>
      </c>
      <c r="AM162" s="523" t="str">
        <f t="shared" si="44"/>
        <v/>
      </c>
      <c r="AN162" s="523" t="str">
        <f t="shared" si="45"/>
        <v/>
      </c>
      <c r="AO162" s="523" t="str">
        <f t="shared" si="46"/>
        <v/>
      </c>
      <c r="AP162" s="523" t="e">
        <f>IF(((100-100/$AN$7*données_step[[#This Row],[E_PTOT]])/100*QTS)&lt;0,NA(),IF(OR(AM162&lt;0,AM162=""),NA(),((100-100/$AN$7*données_step[[#This Row],[E_PTOT]])/100*QTS)))</f>
        <v>#NUM!</v>
      </c>
      <c r="AQ162" s="524" t="e">
        <f t="shared" si="47"/>
        <v>#NUM!</v>
      </c>
      <c r="AR162" s="524" t="str">
        <f t="shared" si="48"/>
        <v/>
      </c>
      <c r="AY162" s="523" t="str">
        <f>_xlfn.IFNA(IF(données_step[[#This Row],[E_DCO]]&lt;=0,NA(),charge_entree[[#This Row],[ch_E_DCO]]/constanten!$B$8*1000),"")</f>
        <v/>
      </c>
      <c r="AZ162" s="523" t="str">
        <f>_xlfn.IFNA(IF(données_step[[#This Row],[E_NTOT]]&lt;=0,NA(),charge_entree[[#This Row],[ch_E_NTOT]]/constanten!$B$10*1000),"")</f>
        <v/>
      </c>
      <c r="BA162" s="523" t="str">
        <f>_xlfn.IFNA(IF(données_step[[#This Row],[E_NH4]]&lt;=0,NA(),charge_entree[[#This Row],[ch_E_NH4]]/constanten!$B$12*1000),"")</f>
        <v/>
      </c>
      <c r="BB162" s="523" t="str">
        <f>_xlfn.IFNA(IF(données_step[[#This Row],[E_COT]]&lt;=0,NA(),charge_entree[[#This Row],[ch_E_COT]]/constanten!$B$9*1000),"")</f>
        <v/>
      </c>
      <c r="BC162" s="523" t="str">
        <f>IFERROR(_xlfn.IFNA(IF(données_step[[#This Row],[E_PTOT]]&lt;=0,NA(),charge_entree[[#This Row],[ch_E_PTOT]]/constanten!$B$15*1000),""),"")</f>
        <v/>
      </c>
      <c r="BD162" s="535" t="e">
        <f>calculs!E162 * (1-0.4) / (données_step[[#This Row],[X_BA_VOL]]*données_step[[#This Row],[X_BACONC]])</f>
        <v>#VALUE!</v>
      </c>
      <c r="BE162" s="522" t="e">
        <f>(données_step[[#This Row],[X_BA_VOL]]*données_step[[#This Row],[X_BACONC]])/((données_step[[#This Row],[D_QTRAI2]]*données_step[[#This Row],[S_MES]]/1000)+(données_step[[#This Row],[X_BX_Q]]*données_step[[#This Row],[X_BXCONC]]))</f>
        <v>#VALUE!</v>
      </c>
      <c r="BF162" s="890" t="str">
        <f>IFERROR(données_step[[#This Row],[D_QTRAI]]/AY162*1000,"")</f>
        <v/>
      </c>
      <c r="BG162" s="535" t="str">
        <f>IFERROR(1-données_step[[#This Row],[S_DBO5]]/données_step[[#This Row],[E_DBO5]],"")</f>
        <v/>
      </c>
      <c r="BH162" s="536" t="str">
        <f>IFERROR(1-données_step[[#This Row],[S_DCO]]/données_step[[#This Row],[E_DCO]],"")</f>
        <v/>
      </c>
      <c r="BI162" s="535" t="str">
        <f>IFERROR(1-données_step[[#This Row],[S_COD]]/données_step[[#This Row],[E_COT]],"")</f>
        <v/>
      </c>
      <c r="BJ162" s="535" t="str">
        <f>IFERROR(1-données_step[[#This Row],[S_NH4]]/données_step[[#This Row],[E_NTOT]],"")</f>
        <v/>
      </c>
      <c r="BK162" s="535" t="str">
        <f>IFERROR(1-données_step[[#This Row],[S_PTOT]]/données_step[[#This Row],[E_PTOT]],"")</f>
        <v/>
      </c>
      <c r="BL162" s="521" t="str">
        <f>IFERROR(IF(données_step[[#This Row],[E_DCO]]/données_step[[#This Row],[E_DBO5]]=0,NA(),données_step[[#This Row],[E_DCO]]/données_step[[#This Row],[E_DBO5]]),"")</f>
        <v/>
      </c>
      <c r="BM162" s="521" t="str">
        <f>IFERROR(IF(données_step[[#This Row],[E_NH4]]/données_step[[#This Row],[E_NTOT]]=0,NA(),données_step[[#This Row],[E_NH4]]/données_step[[#This Row],[E_NTOT]]),"")</f>
        <v/>
      </c>
      <c r="BN162" s="521" t="str">
        <f>IFERROR(IF(données_step[[#This Row],[E_NTOT]]/données_step[[#This Row],[E_COT]]=0,NA(),données_step[[#This Row],[E_NTOT]]/données_step[[#This Row],[E_COT]]),"")</f>
        <v/>
      </c>
      <c r="BO162" s="521" t="str">
        <f>IFERROR(IF(données_step[[#This Row],[E_PTOT]]/données_step[[#This Row],[E_COT]]=0,NA(),données_step[[#This Row],[E_PTOT]]/données_step[[#This Row],[E_COT]]),"")</f>
        <v/>
      </c>
      <c r="BP162" s="521" t="e">
        <f>IF(données_step[[#This Row],[E_DCO]]/données_step[[#This Row],[E_COT]]=0,NA(),données_step[[#This Row],[E_DCO]]/données_step[[#This Row],[E_COT]])</f>
        <v>#DIV/0!</v>
      </c>
      <c r="BQ162" s="521" t="e">
        <f>IF(données_step[[#This Row],[E_NTOT]]/données_step[[#This Row],[E_DCO]]=0,NA(),données_step[[#This Row],[E_NTOT]]/données_step[[#This Row],[E_DCO]])</f>
        <v>#DIV/0!</v>
      </c>
      <c r="BR162" s="521" t="e">
        <f>IF(données_step[[#This Row],[E_PTOT]]/données_step[[#This Row],[E_DCO]]=0,NA(),données_step[[#This Row],[E_PTOT]]/données_step[[#This Row],[E_DCO]])</f>
        <v>#DIV/0!</v>
      </c>
      <c r="BS162" s="747" t="e">
        <f ca="1">test_NH4_temp(données_step[[#This Row],[S_NH4]],données_step[[#This Row],[Temp_eaux]])</f>
        <v>#NAME?</v>
      </c>
    </row>
    <row r="163" spans="1:71" x14ac:dyDescent="0.2">
      <c r="A163" s="222">
        <f>données_step[[#This Row],[Datum]]</f>
        <v>44714</v>
      </c>
      <c r="B163" s="223"/>
      <c r="C163" s="224">
        <f t="shared" si="49"/>
        <v>5</v>
      </c>
      <c r="D163" s="523" t="str">
        <f>IF(OR(données_step[[#This Row],[E_DBO5]]&lt;=0,données_step[[#This Row],[E_DBO5]]=""),"",données_step[[#This Row],[D_QTRAI]]*données_step[[#This Row],[E_DBO5]]/1000)</f>
        <v/>
      </c>
      <c r="E163" s="523" t="str">
        <f>IF(OR(données_step[[#This Row],[E_DCO]]&lt;=0,données_step[[#This Row],[E_DCO]]=""),"",données_step[[#This Row],[D_QTRAI]]*données_step[[#This Row],[E_DCO]]/1000)</f>
        <v/>
      </c>
      <c r="F163" s="523" t="str">
        <f>IF(OR(données_step[[#This Row],[E_COT]]&lt;=0,données_step[[#This Row],[E_COT]]=""),"",données_step[[#This Row],[D_QTRAI]]*données_step[[#This Row],[E_COT]]/1000)</f>
        <v/>
      </c>
      <c r="G163" s="523" t="str">
        <f>IF(OR(données_step[[#This Row],[E_NH4]]&lt;=0,données_step[[#This Row],[E_NH4]]=""),"",données_step[[#This Row],[D_QTRAI]]*données_step[[#This Row],[E_NH4]]/1000)</f>
        <v/>
      </c>
      <c r="H163" s="523" t="str">
        <f>IF(OR(données_step[[#This Row],[E_NTOT]]&lt;=0,données_step[[#This Row],[E_NTOT]]=""),"",données_step[[#This Row],[D_QTRAI]]*données_step[[#This Row],[E_NTOT]]/1000)</f>
        <v/>
      </c>
      <c r="I163" s="523" t="str">
        <f>IF(OR(données_step[[#This Row],[E_NTOT]]&lt;=0,données_step[[#This Row],[E_NTOT]]=""),"",données_step[[#This Row],[D_QTRAI]]*données_step[[#This Row],[E_PTOT]]/1000)</f>
        <v/>
      </c>
      <c r="J163" s="523" t="str">
        <f>IF(OR(données_step[[#This Row],[S_DBO5]]&lt;=0,données_step[[#This Row],[S_DBO5]]=""),"",données_step[[#This Row],[D_QTRAI]]*données_step[[#This Row],[S_DBO5]]/1000)</f>
        <v/>
      </c>
      <c r="K163" s="523" t="str">
        <f>IF(OR(données_step[[#This Row],[S_DCO]]&lt;=0,données_step[[#This Row],[S_DCO]]=""),"",données_step[[#This Row],[D_QTRAI]]*données_step[[#This Row],[S_DCO]]/1000)</f>
        <v/>
      </c>
      <c r="L163" s="523" t="str">
        <f>IF(OR(données_step[[#This Row],[S_COD]]&lt;=0,données_step[[#This Row],[S_COD]]=""),"",données_step[[#This Row],[D_QTRAI]]*données_step[[#This Row],[S_COD]]/1000)</f>
        <v/>
      </c>
      <c r="M163" s="523" t="str">
        <f>IF(OR(données_step[[#This Row],[S_NH4]]&lt;=0,données_step[[#This Row],[S_NH4]]=""),"",données_step[[#This Row],[D_QTRAI]]*données_step[[#This Row],[S_NH4]]/1000)</f>
        <v/>
      </c>
      <c r="N163" s="523" t="str">
        <f>IF(OR(données_step[[#This Row],[S_NO2]]&lt;=0,données_step[[#This Row],[S_NO2]]=""),"",données_step[[#This Row],[D_QTRAI]]*données_step[[#This Row],[S_NO2]]/1000)</f>
        <v/>
      </c>
      <c r="O163" s="523" t="str">
        <f>IF(OR(données_step[[#This Row],[S_NO3]]&lt;=0,données_step[[#This Row],[S_NO3]]=""),"",données_step[[#This Row],[D_QTRAI]]*données_step[[#This Row],[S_NO3]]/1000)</f>
        <v/>
      </c>
      <c r="P163" s="523" t="str">
        <f>IF(OR(données_step[[#This Row],[S_PTOT]]&lt;=0,données_step[[#This Row],[S_PTOT]]=""),"",données_step[[#This Row],[D_QTRAI]]*données_step[[#This Row],[S_PTOT]]/1000)</f>
        <v/>
      </c>
      <c r="Q163" s="523" t="str">
        <f>IF(OR(données_step[[#This Row],[S_MES]]&lt;=0,données_step[[#This Row],[S_MES]]=""),"",données_step[[#This Row],[D_QTRAI]]*données_step[[#This Row],[S_MES]]/1000)</f>
        <v/>
      </c>
      <c r="R163" s="523">
        <f>MAX(données_step[[#This Row],[D_QTRAI]],données_step[[#This Row],[D_QTRAI2]])</f>
        <v>0</v>
      </c>
      <c r="S163" s="523" t="str">
        <f>IF(AND($R163&gt;0,données_step[[#This Row],[E_DCO]]&gt;0),données_step[[#This Row],[E_DCO]],"")</f>
        <v/>
      </c>
      <c r="T163" s="523" t="str">
        <f>IF(S163="","",(1-données_step[[#This Row],[E_DCO]]/$V$7)*100)</f>
        <v/>
      </c>
      <c r="U163" s="523" t="str">
        <f t="shared" si="35"/>
        <v/>
      </c>
      <c r="V163" s="523" t="str">
        <f t="shared" si="36"/>
        <v/>
      </c>
      <c r="W163" s="523" t="str">
        <f t="shared" si="37"/>
        <v/>
      </c>
      <c r="X163" s="523" t="e">
        <f>IF(((100-100/$V$7*données_step[[#This Row],[E_DCO]])/100*QTS)&lt;0,NA(),IF(OR(U163&lt;0,U163=""),NA(),((100-100/$V$7*données_step[[#This Row],[E_DCO]])/100*QTS)))</f>
        <v>#NUM!</v>
      </c>
      <c r="Y163" s="523" t="str">
        <f>IF(AND($R163&gt;0,données_step[[#This Row],[E_COT]]&gt;0),données_step[[#This Row],[E_COT]],"")</f>
        <v/>
      </c>
      <c r="Z163" s="523" t="str">
        <f>IF(Y163="","",(1-données_step[[#This Row],[E_COT]]/$AB$7)*100)</f>
        <v/>
      </c>
      <c r="AA163" s="523" t="str">
        <f t="shared" si="38"/>
        <v/>
      </c>
      <c r="AB163" s="523" t="str">
        <f t="shared" si="39"/>
        <v/>
      </c>
      <c r="AC163" s="523" t="str">
        <f t="shared" si="40"/>
        <v/>
      </c>
      <c r="AD163" s="523" t="e">
        <f>IF(((100-100/$AB$7*données_step[[#This Row],[E_COT]])/100*QTS)&lt;0,NA(),IF(OR(AA163&lt;0,AA163=""),NA(),((100-100/$AB$7*données_step[[#This Row],[E_COT]])/100*QTS)))</f>
        <v>#NUM!</v>
      </c>
      <c r="AE163" s="523" t="str">
        <f>IF(AND($R163&gt;0,données_step[[#This Row],[E_NH4]]&gt;0),données_step[[#This Row],[E_NH4]],"")</f>
        <v/>
      </c>
      <c r="AF163" s="523" t="str">
        <f>IF(AE163="","",(1-données_step[[#This Row],[E_NH4]]/$AH$7)*100)</f>
        <v/>
      </c>
      <c r="AG163" s="523" t="str">
        <f t="shared" si="41"/>
        <v/>
      </c>
      <c r="AH163" s="523" t="str">
        <f t="shared" si="42"/>
        <v/>
      </c>
      <c r="AI163" s="523" t="str">
        <f t="shared" si="43"/>
        <v/>
      </c>
      <c r="AJ163" s="523" t="e">
        <f>IF(((100-100/$AH$7*données_step[[#This Row],[E_NH4]])/100*QTS)&lt;0,NA(),IF(OR(AG163&lt;0,AG163=""),NA(),((100-100/$AH$7*données_step[[#This Row],[E_NH4]])/100*QTS)))</f>
        <v>#NUM!</v>
      </c>
      <c r="AK163" s="523" t="str">
        <f>IF(AND($R163&gt;0,données_step[[#This Row],[E_PTOT]]&gt;0),données_step[[#This Row],[E_PTOT]],"")</f>
        <v/>
      </c>
      <c r="AL163" s="523" t="str">
        <f>IF(AK163="","",(1-données_step[[#This Row],[E_PTOT]]/$AN$7)*100)</f>
        <v/>
      </c>
      <c r="AM163" s="523" t="str">
        <f t="shared" si="44"/>
        <v/>
      </c>
      <c r="AN163" s="523" t="str">
        <f t="shared" si="45"/>
        <v/>
      </c>
      <c r="AO163" s="523" t="str">
        <f t="shared" si="46"/>
        <v/>
      </c>
      <c r="AP163" s="523" t="e">
        <f>IF(((100-100/$AN$7*données_step[[#This Row],[E_PTOT]])/100*QTS)&lt;0,NA(),IF(OR(AM163&lt;0,AM163=""),NA(),((100-100/$AN$7*données_step[[#This Row],[E_PTOT]])/100*QTS)))</f>
        <v>#NUM!</v>
      </c>
      <c r="AQ163" s="524" t="e">
        <f t="shared" si="47"/>
        <v>#NUM!</v>
      </c>
      <c r="AR163" s="524" t="str">
        <f t="shared" si="48"/>
        <v/>
      </c>
      <c r="AY163" s="523" t="str">
        <f>_xlfn.IFNA(IF(données_step[[#This Row],[E_DCO]]&lt;=0,NA(),charge_entree[[#This Row],[ch_E_DCO]]/constanten!$B$8*1000),"")</f>
        <v/>
      </c>
      <c r="AZ163" s="523" t="str">
        <f>_xlfn.IFNA(IF(données_step[[#This Row],[E_NTOT]]&lt;=0,NA(),charge_entree[[#This Row],[ch_E_NTOT]]/constanten!$B$10*1000),"")</f>
        <v/>
      </c>
      <c r="BA163" s="523" t="str">
        <f>_xlfn.IFNA(IF(données_step[[#This Row],[E_NH4]]&lt;=0,NA(),charge_entree[[#This Row],[ch_E_NH4]]/constanten!$B$12*1000),"")</f>
        <v/>
      </c>
      <c r="BB163" s="523" t="str">
        <f>_xlfn.IFNA(IF(données_step[[#This Row],[E_COT]]&lt;=0,NA(),charge_entree[[#This Row],[ch_E_COT]]/constanten!$B$9*1000),"")</f>
        <v/>
      </c>
      <c r="BC163" s="523" t="str">
        <f>IFERROR(_xlfn.IFNA(IF(données_step[[#This Row],[E_PTOT]]&lt;=0,NA(),charge_entree[[#This Row],[ch_E_PTOT]]/constanten!$B$15*1000),""),"")</f>
        <v/>
      </c>
      <c r="BD163" s="535" t="e">
        <f>calculs!E163 * (1-0.4) / (données_step[[#This Row],[X_BA_VOL]]*données_step[[#This Row],[X_BACONC]])</f>
        <v>#VALUE!</v>
      </c>
      <c r="BE163" s="522" t="e">
        <f>(données_step[[#This Row],[X_BA_VOL]]*données_step[[#This Row],[X_BACONC]])/((données_step[[#This Row],[D_QTRAI2]]*données_step[[#This Row],[S_MES]]/1000)+(données_step[[#This Row],[X_BX_Q]]*données_step[[#This Row],[X_BXCONC]]))</f>
        <v>#VALUE!</v>
      </c>
      <c r="BF163" s="890" t="str">
        <f>IFERROR(données_step[[#This Row],[D_QTRAI]]/AY163*1000,"")</f>
        <v/>
      </c>
      <c r="BG163" s="535" t="str">
        <f>IFERROR(1-données_step[[#This Row],[S_DBO5]]/données_step[[#This Row],[E_DBO5]],"")</f>
        <v/>
      </c>
      <c r="BH163" s="536" t="str">
        <f>IFERROR(1-données_step[[#This Row],[S_DCO]]/données_step[[#This Row],[E_DCO]],"")</f>
        <v/>
      </c>
      <c r="BI163" s="535" t="str">
        <f>IFERROR(1-données_step[[#This Row],[S_COD]]/données_step[[#This Row],[E_COT]],"")</f>
        <v/>
      </c>
      <c r="BJ163" s="535" t="str">
        <f>IFERROR(1-données_step[[#This Row],[S_NH4]]/données_step[[#This Row],[E_NTOT]],"")</f>
        <v/>
      </c>
      <c r="BK163" s="535" t="str">
        <f>IFERROR(1-données_step[[#This Row],[S_PTOT]]/données_step[[#This Row],[E_PTOT]],"")</f>
        <v/>
      </c>
      <c r="BL163" s="521" t="str">
        <f>IFERROR(IF(données_step[[#This Row],[E_DCO]]/données_step[[#This Row],[E_DBO5]]=0,NA(),données_step[[#This Row],[E_DCO]]/données_step[[#This Row],[E_DBO5]]),"")</f>
        <v/>
      </c>
      <c r="BM163" s="521" t="str">
        <f>IFERROR(IF(données_step[[#This Row],[E_NH4]]/données_step[[#This Row],[E_NTOT]]=0,NA(),données_step[[#This Row],[E_NH4]]/données_step[[#This Row],[E_NTOT]]),"")</f>
        <v/>
      </c>
      <c r="BN163" s="521" t="str">
        <f>IFERROR(IF(données_step[[#This Row],[E_NTOT]]/données_step[[#This Row],[E_COT]]=0,NA(),données_step[[#This Row],[E_NTOT]]/données_step[[#This Row],[E_COT]]),"")</f>
        <v/>
      </c>
      <c r="BO163" s="521" t="str">
        <f>IFERROR(IF(données_step[[#This Row],[E_PTOT]]/données_step[[#This Row],[E_COT]]=0,NA(),données_step[[#This Row],[E_PTOT]]/données_step[[#This Row],[E_COT]]),"")</f>
        <v/>
      </c>
      <c r="BP163" s="521" t="e">
        <f>IF(données_step[[#This Row],[E_DCO]]/données_step[[#This Row],[E_COT]]=0,NA(),données_step[[#This Row],[E_DCO]]/données_step[[#This Row],[E_COT]])</f>
        <v>#DIV/0!</v>
      </c>
      <c r="BQ163" s="521" t="e">
        <f>IF(données_step[[#This Row],[E_NTOT]]/données_step[[#This Row],[E_DCO]]=0,NA(),données_step[[#This Row],[E_NTOT]]/données_step[[#This Row],[E_DCO]])</f>
        <v>#DIV/0!</v>
      </c>
      <c r="BR163" s="521" t="e">
        <f>IF(données_step[[#This Row],[E_PTOT]]/données_step[[#This Row],[E_DCO]]=0,NA(),données_step[[#This Row],[E_PTOT]]/données_step[[#This Row],[E_DCO]])</f>
        <v>#DIV/0!</v>
      </c>
      <c r="BS163" s="747" t="e">
        <f ca="1">test_NH4_temp(données_step[[#This Row],[S_NH4]],données_step[[#This Row],[Temp_eaux]])</f>
        <v>#NAME?</v>
      </c>
    </row>
    <row r="164" spans="1:71" x14ac:dyDescent="0.2">
      <c r="A164" s="222">
        <f>données_step[[#This Row],[Datum]]</f>
        <v>44715</v>
      </c>
      <c r="B164" s="223"/>
      <c r="C164" s="224">
        <f t="shared" si="49"/>
        <v>6</v>
      </c>
      <c r="D164" s="523" t="str">
        <f>IF(OR(données_step[[#This Row],[E_DBO5]]&lt;=0,données_step[[#This Row],[E_DBO5]]=""),"",données_step[[#This Row],[D_QTRAI]]*données_step[[#This Row],[E_DBO5]]/1000)</f>
        <v/>
      </c>
      <c r="E164" s="523" t="str">
        <f>IF(OR(données_step[[#This Row],[E_DCO]]&lt;=0,données_step[[#This Row],[E_DCO]]=""),"",données_step[[#This Row],[D_QTRAI]]*données_step[[#This Row],[E_DCO]]/1000)</f>
        <v/>
      </c>
      <c r="F164" s="523" t="str">
        <f>IF(OR(données_step[[#This Row],[E_COT]]&lt;=0,données_step[[#This Row],[E_COT]]=""),"",données_step[[#This Row],[D_QTRAI]]*données_step[[#This Row],[E_COT]]/1000)</f>
        <v/>
      </c>
      <c r="G164" s="523" t="str">
        <f>IF(OR(données_step[[#This Row],[E_NH4]]&lt;=0,données_step[[#This Row],[E_NH4]]=""),"",données_step[[#This Row],[D_QTRAI]]*données_step[[#This Row],[E_NH4]]/1000)</f>
        <v/>
      </c>
      <c r="H164" s="523" t="str">
        <f>IF(OR(données_step[[#This Row],[E_NTOT]]&lt;=0,données_step[[#This Row],[E_NTOT]]=""),"",données_step[[#This Row],[D_QTRAI]]*données_step[[#This Row],[E_NTOT]]/1000)</f>
        <v/>
      </c>
      <c r="I164" s="523" t="str">
        <f>IF(OR(données_step[[#This Row],[E_NTOT]]&lt;=0,données_step[[#This Row],[E_NTOT]]=""),"",données_step[[#This Row],[D_QTRAI]]*données_step[[#This Row],[E_PTOT]]/1000)</f>
        <v/>
      </c>
      <c r="J164" s="523" t="str">
        <f>IF(OR(données_step[[#This Row],[S_DBO5]]&lt;=0,données_step[[#This Row],[S_DBO5]]=""),"",données_step[[#This Row],[D_QTRAI]]*données_step[[#This Row],[S_DBO5]]/1000)</f>
        <v/>
      </c>
      <c r="K164" s="523" t="str">
        <f>IF(OR(données_step[[#This Row],[S_DCO]]&lt;=0,données_step[[#This Row],[S_DCO]]=""),"",données_step[[#This Row],[D_QTRAI]]*données_step[[#This Row],[S_DCO]]/1000)</f>
        <v/>
      </c>
      <c r="L164" s="523" t="str">
        <f>IF(OR(données_step[[#This Row],[S_COD]]&lt;=0,données_step[[#This Row],[S_COD]]=""),"",données_step[[#This Row],[D_QTRAI]]*données_step[[#This Row],[S_COD]]/1000)</f>
        <v/>
      </c>
      <c r="M164" s="523" t="str">
        <f>IF(OR(données_step[[#This Row],[S_NH4]]&lt;=0,données_step[[#This Row],[S_NH4]]=""),"",données_step[[#This Row],[D_QTRAI]]*données_step[[#This Row],[S_NH4]]/1000)</f>
        <v/>
      </c>
      <c r="N164" s="523" t="str">
        <f>IF(OR(données_step[[#This Row],[S_NO2]]&lt;=0,données_step[[#This Row],[S_NO2]]=""),"",données_step[[#This Row],[D_QTRAI]]*données_step[[#This Row],[S_NO2]]/1000)</f>
        <v/>
      </c>
      <c r="O164" s="523" t="str">
        <f>IF(OR(données_step[[#This Row],[S_NO3]]&lt;=0,données_step[[#This Row],[S_NO3]]=""),"",données_step[[#This Row],[D_QTRAI]]*données_step[[#This Row],[S_NO3]]/1000)</f>
        <v/>
      </c>
      <c r="P164" s="523" t="str">
        <f>IF(OR(données_step[[#This Row],[S_PTOT]]&lt;=0,données_step[[#This Row],[S_PTOT]]=""),"",données_step[[#This Row],[D_QTRAI]]*données_step[[#This Row],[S_PTOT]]/1000)</f>
        <v/>
      </c>
      <c r="Q164" s="523" t="str">
        <f>IF(OR(données_step[[#This Row],[S_MES]]&lt;=0,données_step[[#This Row],[S_MES]]=""),"",données_step[[#This Row],[D_QTRAI]]*données_step[[#This Row],[S_MES]]/1000)</f>
        <v/>
      </c>
      <c r="R164" s="523">
        <f>MAX(données_step[[#This Row],[D_QTRAI]],données_step[[#This Row],[D_QTRAI2]])</f>
        <v>0</v>
      </c>
      <c r="S164" s="523" t="str">
        <f>IF(AND($R164&gt;0,données_step[[#This Row],[E_DCO]]&gt;0),données_step[[#This Row],[E_DCO]],"")</f>
        <v/>
      </c>
      <c r="T164" s="523" t="str">
        <f>IF(S164="","",(1-données_step[[#This Row],[E_DCO]]/$V$7)*100)</f>
        <v/>
      </c>
      <c r="U164" s="523" t="str">
        <f t="shared" si="35"/>
        <v/>
      </c>
      <c r="V164" s="523" t="str">
        <f t="shared" si="36"/>
        <v/>
      </c>
      <c r="W164" s="523" t="str">
        <f t="shared" si="37"/>
        <v/>
      </c>
      <c r="X164" s="523" t="e">
        <f>IF(((100-100/$V$7*données_step[[#This Row],[E_DCO]])/100*QTS)&lt;0,NA(),IF(OR(U164&lt;0,U164=""),NA(),((100-100/$V$7*données_step[[#This Row],[E_DCO]])/100*QTS)))</f>
        <v>#NUM!</v>
      </c>
      <c r="Y164" s="523" t="str">
        <f>IF(AND($R164&gt;0,données_step[[#This Row],[E_COT]]&gt;0),données_step[[#This Row],[E_COT]],"")</f>
        <v/>
      </c>
      <c r="Z164" s="523" t="str">
        <f>IF(Y164="","",(1-données_step[[#This Row],[E_COT]]/$AB$7)*100)</f>
        <v/>
      </c>
      <c r="AA164" s="523" t="str">
        <f t="shared" si="38"/>
        <v/>
      </c>
      <c r="AB164" s="523" t="str">
        <f t="shared" si="39"/>
        <v/>
      </c>
      <c r="AC164" s="523" t="str">
        <f t="shared" si="40"/>
        <v/>
      </c>
      <c r="AD164" s="523" t="e">
        <f>IF(((100-100/$AB$7*données_step[[#This Row],[E_COT]])/100*QTS)&lt;0,NA(),IF(OR(AA164&lt;0,AA164=""),NA(),((100-100/$AB$7*données_step[[#This Row],[E_COT]])/100*QTS)))</f>
        <v>#NUM!</v>
      </c>
      <c r="AE164" s="523" t="str">
        <f>IF(AND($R164&gt;0,données_step[[#This Row],[E_NH4]]&gt;0),données_step[[#This Row],[E_NH4]],"")</f>
        <v/>
      </c>
      <c r="AF164" s="523" t="str">
        <f>IF(AE164="","",(1-données_step[[#This Row],[E_NH4]]/$AH$7)*100)</f>
        <v/>
      </c>
      <c r="AG164" s="523" t="str">
        <f t="shared" si="41"/>
        <v/>
      </c>
      <c r="AH164" s="523" t="str">
        <f t="shared" si="42"/>
        <v/>
      </c>
      <c r="AI164" s="523" t="str">
        <f t="shared" si="43"/>
        <v/>
      </c>
      <c r="AJ164" s="523" t="e">
        <f>IF(((100-100/$AH$7*données_step[[#This Row],[E_NH4]])/100*QTS)&lt;0,NA(),IF(OR(AG164&lt;0,AG164=""),NA(),((100-100/$AH$7*données_step[[#This Row],[E_NH4]])/100*QTS)))</f>
        <v>#NUM!</v>
      </c>
      <c r="AK164" s="523" t="str">
        <f>IF(AND($R164&gt;0,données_step[[#This Row],[E_PTOT]]&gt;0),données_step[[#This Row],[E_PTOT]],"")</f>
        <v/>
      </c>
      <c r="AL164" s="523" t="str">
        <f>IF(AK164="","",(1-données_step[[#This Row],[E_PTOT]]/$AN$7)*100)</f>
        <v/>
      </c>
      <c r="AM164" s="523" t="str">
        <f t="shared" si="44"/>
        <v/>
      </c>
      <c r="AN164" s="523" t="str">
        <f t="shared" si="45"/>
        <v/>
      </c>
      <c r="AO164" s="523" t="str">
        <f t="shared" si="46"/>
        <v/>
      </c>
      <c r="AP164" s="523" t="e">
        <f>IF(((100-100/$AN$7*données_step[[#This Row],[E_PTOT]])/100*QTS)&lt;0,NA(),IF(OR(AM164&lt;0,AM164=""),NA(),((100-100/$AN$7*données_step[[#This Row],[E_PTOT]])/100*QTS)))</f>
        <v>#NUM!</v>
      </c>
      <c r="AQ164" s="524" t="e">
        <f t="shared" si="47"/>
        <v>#NUM!</v>
      </c>
      <c r="AR164" s="524" t="str">
        <f t="shared" si="48"/>
        <v/>
      </c>
      <c r="AY164" s="523" t="str">
        <f>_xlfn.IFNA(IF(données_step[[#This Row],[E_DCO]]&lt;=0,NA(),charge_entree[[#This Row],[ch_E_DCO]]/constanten!$B$8*1000),"")</f>
        <v/>
      </c>
      <c r="AZ164" s="523" t="str">
        <f>_xlfn.IFNA(IF(données_step[[#This Row],[E_NTOT]]&lt;=0,NA(),charge_entree[[#This Row],[ch_E_NTOT]]/constanten!$B$10*1000),"")</f>
        <v/>
      </c>
      <c r="BA164" s="523" t="str">
        <f>_xlfn.IFNA(IF(données_step[[#This Row],[E_NH4]]&lt;=0,NA(),charge_entree[[#This Row],[ch_E_NH4]]/constanten!$B$12*1000),"")</f>
        <v/>
      </c>
      <c r="BB164" s="523" t="str">
        <f>_xlfn.IFNA(IF(données_step[[#This Row],[E_COT]]&lt;=0,NA(),charge_entree[[#This Row],[ch_E_COT]]/constanten!$B$9*1000),"")</f>
        <v/>
      </c>
      <c r="BC164" s="523" t="str">
        <f>IFERROR(_xlfn.IFNA(IF(données_step[[#This Row],[E_PTOT]]&lt;=0,NA(),charge_entree[[#This Row],[ch_E_PTOT]]/constanten!$B$15*1000),""),"")</f>
        <v/>
      </c>
      <c r="BD164" s="535" t="e">
        <f>calculs!E164 * (1-0.4) / (données_step[[#This Row],[X_BA_VOL]]*données_step[[#This Row],[X_BACONC]])</f>
        <v>#VALUE!</v>
      </c>
      <c r="BE164" s="522" t="e">
        <f>(données_step[[#This Row],[X_BA_VOL]]*données_step[[#This Row],[X_BACONC]])/((données_step[[#This Row],[D_QTRAI2]]*données_step[[#This Row],[S_MES]]/1000)+(données_step[[#This Row],[X_BX_Q]]*données_step[[#This Row],[X_BXCONC]]))</f>
        <v>#VALUE!</v>
      </c>
      <c r="BF164" s="890" t="str">
        <f>IFERROR(données_step[[#This Row],[D_QTRAI]]/AY164*1000,"")</f>
        <v/>
      </c>
      <c r="BG164" s="535" t="str">
        <f>IFERROR(1-données_step[[#This Row],[S_DBO5]]/données_step[[#This Row],[E_DBO5]],"")</f>
        <v/>
      </c>
      <c r="BH164" s="536" t="str">
        <f>IFERROR(1-données_step[[#This Row],[S_DCO]]/données_step[[#This Row],[E_DCO]],"")</f>
        <v/>
      </c>
      <c r="BI164" s="535" t="str">
        <f>IFERROR(1-données_step[[#This Row],[S_COD]]/données_step[[#This Row],[E_COT]],"")</f>
        <v/>
      </c>
      <c r="BJ164" s="535" t="str">
        <f>IFERROR(1-données_step[[#This Row],[S_NH4]]/données_step[[#This Row],[E_NTOT]],"")</f>
        <v/>
      </c>
      <c r="BK164" s="535" t="str">
        <f>IFERROR(1-données_step[[#This Row],[S_PTOT]]/données_step[[#This Row],[E_PTOT]],"")</f>
        <v/>
      </c>
      <c r="BL164" s="521" t="str">
        <f>IFERROR(IF(données_step[[#This Row],[E_DCO]]/données_step[[#This Row],[E_DBO5]]=0,NA(),données_step[[#This Row],[E_DCO]]/données_step[[#This Row],[E_DBO5]]),"")</f>
        <v/>
      </c>
      <c r="BM164" s="521" t="str">
        <f>IFERROR(IF(données_step[[#This Row],[E_NH4]]/données_step[[#This Row],[E_NTOT]]=0,NA(),données_step[[#This Row],[E_NH4]]/données_step[[#This Row],[E_NTOT]]),"")</f>
        <v/>
      </c>
      <c r="BN164" s="521" t="str">
        <f>IFERROR(IF(données_step[[#This Row],[E_NTOT]]/données_step[[#This Row],[E_COT]]=0,NA(),données_step[[#This Row],[E_NTOT]]/données_step[[#This Row],[E_COT]]),"")</f>
        <v/>
      </c>
      <c r="BO164" s="521" t="str">
        <f>IFERROR(IF(données_step[[#This Row],[E_PTOT]]/données_step[[#This Row],[E_COT]]=0,NA(),données_step[[#This Row],[E_PTOT]]/données_step[[#This Row],[E_COT]]),"")</f>
        <v/>
      </c>
      <c r="BP164" s="521" t="e">
        <f>IF(données_step[[#This Row],[E_DCO]]/données_step[[#This Row],[E_COT]]=0,NA(),données_step[[#This Row],[E_DCO]]/données_step[[#This Row],[E_COT]])</f>
        <v>#DIV/0!</v>
      </c>
      <c r="BQ164" s="521" t="e">
        <f>IF(données_step[[#This Row],[E_NTOT]]/données_step[[#This Row],[E_DCO]]=0,NA(),données_step[[#This Row],[E_NTOT]]/données_step[[#This Row],[E_DCO]])</f>
        <v>#DIV/0!</v>
      </c>
      <c r="BR164" s="521" t="e">
        <f>IF(données_step[[#This Row],[E_PTOT]]/données_step[[#This Row],[E_DCO]]=0,NA(),données_step[[#This Row],[E_PTOT]]/données_step[[#This Row],[E_DCO]])</f>
        <v>#DIV/0!</v>
      </c>
      <c r="BS164" s="747" t="e">
        <f ca="1">test_NH4_temp(données_step[[#This Row],[S_NH4]],données_step[[#This Row],[Temp_eaux]])</f>
        <v>#NAME?</v>
      </c>
    </row>
    <row r="165" spans="1:71" x14ac:dyDescent="0.2">
      <c r="A165" s="222">
        <f>données_step[[#This Row],[Datum]]</f>
        <v>44716</v>
      </c>
      <c r="B165" s="223"/>
      <c r="C165" s="224">
        <f t="shared" si="49"/>
        <v>7</v>
      </c>
      <c r="D165" s="523" t="str">
        <f>IF(OR(données_step[[#This Row],[E_DBO5]]&lt;=0,données_step[[#This Row],[E_DBO5]]=""),"",données_step[[#This Row],[D_QTRAI]]*données_step[[#This Row],[E_DBO5]]/1000)</f>
        <v/>
      </c>
      <c r="E165" s="523" t="str">
        <f>IF(OR(données_step[[#This Row],[E_DCO]]&lt;=0,données_step[[#This Row],[E_DCO]]=""),"",données_step[[#This Row],[D_QTRAI]]*données_step[[#This Row],[E_DCO]]/1000)</f>
        <v/>
      </c>
      <c r="F165" s="523" t="str">
        <f>IF(OR(données_step[[#This Row],[E_COT]]&lt;=0,données_step[[#This Row],[E_COT]]=""),"",données_step[[#This Row],[D_QTRAI]]*données_step[[#This Row],[E_COT]]/1000)</f>
        <v/>
      </c>
      <c r="G165" s="523" t="str">
        <f>IF(OR(données_step[[#This Row],[E_NH4]]&lt;=0,données_step[[#This Row],[E_NH4]]=""),"",données_step[[#This Row],[D_QTRAI]]*données_step[[#This Row],[E_NH4]]/1000)</f>
        <v/>
      </c>
      <c r="H165" s="523" t="str">
        <f>IF(OR(données_step[[#This Row],[E_NTOT]]&lt;=0,données_step[[#This Row],[E_NTOT]]=""),"",données_step[[#This Row],[D_QTRAI]]*données_step[[#This Row],[E_NTOT]]/1000)</f>
        <v/>
      </c>
      <c r="I165" s="523" t="str">
        <f>IF(OR(données_step[[#This Row],[E_NTOT]]&lt;=0,données_step[[#This Row],[E_NTOT]]=""),"",données_step[[#This Row],[D_QTRAI]]*données_step[[#This Row],[E_PTOT]]/1000)</f>
        <v/>
      </c>
      <c r="J165" s="523" t="str">
        <f>IF(OR(données_step[[#This Row],[S_DBO5]]&lt;=0,données_step[[#This Row],[S_DBO5]]=""),"",données_step[[#This Row],[D_QTRAI]]*données_step[[#This Row],[S_DBO5]]/1000)</f>
        <v/>
      </c>
      <c r="K165" s="523" t="str">
        <f>IF(OR(données_step[[#This Row],[S_DCO]]&lt;=0,données_step[[#This Row],[S_DCO]]=""),"",données_step[[#This Row],[D_QTRAI]]*données_step[[#This Row],[S_DCO]]/1000)</f>
        <v/>
      </c>
      <c r="L165" s="523" t="str">
        <f>IF(OR(données_step[[#This Row],[S_COD]]&lt;=0,données_step[[#This Row],[S_COD]]=""),"",données_step[[#This Row],[D_QTRAI]]*données_step[[#This Row],[S_COD]]/1000)</f>
        <v/>
      </c>
      <c r="M165" s="523" t="str">
        <f>IF(OR(données_step[[#This Row],[S_NH4]]&lt;=0,données_step[[#This Row],[S_NH4]]=""),"",données_step[[#This Row],[D_QTRAI]]*données_step[[#This Row],[S_NH4]]/1000)</f>
        <v/>
      </c>
      <c r="N165" s="523" t="str">
        <f>IF(OR(données_step[[#This Row],[S_NO2]]&lt;=0,données_step[[#This Row],[S_NO2]]=""),"",données_step[[#This Row],[D_QTRAI]]*données_step[[#This Row],[S_NO2]]/1000)</f>
        <v/>
      </c>
      <c r="O165" s="523" t="str">
        <f>IF(OR(données_step[[#This Row],[S_NO3]]&lt;=0,données_step[[#This Row],[S_NO3]]=""),"",données_step[[#This Row],[D_QTRAI]]*données_step[[#This Row],[S_NO3]]/1000)</f>
        <v/>
      </c>
      <c r="P165" s="523" t="str">
        <f>IF(OR(données_step[[#This Row],[S_PTOT]]&lt;=0,données_step[[#This Row],[S_PTOT]]=""),"",données_step[[#This Row],[D_QTRAI]]*données_step[[#This Row],[S_PTOT]]/1000)</f>
        <v/>
      </c>
      <c r="Q165" s="523" t="str">
        <f>IF(OR(données_step[[#This Row],[S_MES]]&lt;=0,données_step[[#This Row],[S_MES]]=""),"",données_step[[#This Row],[D_QTRAI]]*données_step[[#This Row],[S_MES]]/1000)</f>
        <v/>
      </c>
      <c r="R165" s="523">
        <f>MAX(données_step[[#This Row],[D_QTRAI]],données_step[[#This Row],[D_QTRAI2]])</f>
        <v>0</v>
      </c>
      <c r="S165" s="523" t="str">
        <f>IF(AND($R165&gt;0,données_step[[#This Row],[E_DCO]]&gt;0),données_step[[#This Row],[E_DCO]],"")</f>
        <v/>
      </c>
      <c r="T165" s="523" t="str">
        <f>IF(S165="","",(1-données_step[[#This Row],[E_DCO]]/$V$7)*100)</f>
        <v/>
      </c>
      <c r="U165" s="523" t="str">
        <f t="shared" si="35"/>
        <v/>
      </c>
      <c r="V165" s="523" t="str">
        <f t="shared" si="36"/>
        <v/>
      </c>
      <c r="W165" s="523" t="str">
        <f t="shared" si="37"/>
        <v/>
      </c>
      <c r="X165" s="523" t="e">
        <f>IF(((100-100/$V$7*données_step[[#This Row],[E_DCO]])/100*QTS)&lt;0,NA(),IF(OR(U165&lt;0,U165=""),NA(),((100-100/$V$7*données_step[[#This Row],[E_DCO]])/100*QTS)))</f>
        <v>#NUM!</v>
      </c>
      <c r="Y165" s="523" t="str">
        <f>IF(AND($R165&gt;0,données_step[[#This Row],[E_COT]]&gt;0),données_step[[#This Row],[E_COT]],"")</f>
        <v/>
      </c>
      <c r="Z165" s="523" t="str">
        <f>IF(Y165="","",(1-données_step[[#This Row],[E_COT]]/$AB$7)*100)</f>
        <v/>
      </c>
      <c r="AA165" s="523" t="str">
        <f t="shared" si="38"/>
        <v/>
      </c>
      <c r="AB165" s="523" t="str">
        <f t="shared" si="39"/>
        <v/>
      </c>
      <c r="AC165" s="523" t="str">
        <f t="shared" si="40"/>
        <v/>
      </c>
      <c r="AD165" s="523" t="e">
        <f>IF(((100-100/$AB$7*données_step[[#This Row],[E_COT]])/100*QTS)&lt;0,NA(),IF(OR(AA165&lt;0,AA165=""),NA(),((100-100/$AB$7*données_step[[#This Row],[E_COT]])/100*QTS)))</f>
        <v>#NUM!</v>
      </c>
      <c r="AE165" s="523" t="str">
        <f>IF(AND($R165&gt;0,données_step[[#This Row],[E_NH4]]&gt;0),données_step[[#This Row],[E_NH4]],"")</f>
        <v/>
      </c>
      <c r="AF165" s="523" t="str">
        <f>IF(AE165="","",(1-données_step[[#This Row],[E_NH4]]/$AH$7)*100)</f>
        <v/>
      </c>
      <c r="AG165" s="523" t="str">
        <f t="shared" si="41"/>
        <v/>
      </c>
      <c r="AH165" s="523" t="str">
        <f t="shared" si="42"/>
        <v/>
      </c>
      <c r="AI165" s="523" t="str">
        <f t="shared" si="43"/>
        <v/>
      </c>
      <c r="AJ165" s="523" t="e">
        <f>IF(((100-100/$AH$7*données_step[[#This Row],[E_NH4]])/100*QTS)&lt;0,NA(),IF(OR(AG165&lt;0,AG165=""),NA(),((100-100/$AH$7*données_step[[#This Row],[E_NH4]])/100*QTS)))</f>
        <v>#NUM!</v>
      </c>
      <c r="AK165" s="523" t="str">
        <f>IF(AND($R165&gt;0,données_step[[#This Row],[E_PTOT]]&gt;0),données_step[[#This Row],[E_PTOT]],"")</f>
        <v/>
      </c>
      <c r="AL165" s="523" t="str">
        <f>IF(AK165="","",(1-données_step[[#This Row],[E_PTOT]]/$AN$7)*100)</f>
        <v/>
      </c>
      <c r="AM165" s="523" t="str">
        <f t="shared" si="44"/>
        <v/>
      </c>
      <c r="AN165" s="523" t="str">
        <f t="shared" si="45"/>
        <v/>
      </c>
      <c r="AO165" s="523" t="str">
        <f t="shared" si="46"/>
        <v/>
      </c>
      <c r="AP165" s="523" t="e">
        <f>IF(((100-100/$AN$7*données_step[[#This Row],[E_PTOT]])/100*QTS)&lt;0,NA(),IF(OR(AM165&lt;0,AM165=""),NA(),((100-100/$AN$7*données_step[[#This Row],[E_PTOT]])/100*QTS)))</f>
        <v>#NUM!</v>
      </c>
      <c r="AQ165" s="524" t="e">
        <f t="shared" si="47"/>
        <v>#NUM!</v>
      </c>
      <c r="AR165" s="524" t="str">
        <f t="shared" si="48"/>
        <v/>
      </c>
      <c r="AY165" s="523" t="str">
        <f>_xlfn.IFNA(IF(données_step[[#This Row],[E_DCO]]&lt;=0,NA(),charge_entree[[#This Row],[ch_E_DCO]]/constanten!$B$8*1000),"")</f>
        <v/>
      </c>
      <c r="AZ165" s="523" t="str">
        <f>_xlfn.IFNA(IF(données_step[[#This Row],[E_NTOT]]&lt;=0,NA(),charge_entree[[#This Row],[ch_E_NTOT]]/constanten!$B$10*1000),"")</f>
        <v/>
      </c>
      <c r="BA165" s="523" t="str">
        <f>_xlfn.IFNA(IF(données_step[[#This Row],[E_NH4]]&lt;=0,NA(),charge_entree[[#This Row],[ch_E_NH4]]/constanten!$B$12*1000),"")</f>
        <v/>
      </c>
      <c r="BB165" s="523" t="str">
        <f>_xlfn.IFNA(IF(données_step[[#This Row],[E_COT]]&lt;=0,NA(),charge_entree[[#This Row],[ch_E_COT]]/constanten!$B$9*1000),"")</f>
        <v/>
      </c>
      <c r="BC165" s="523" t="str">
        <f>IFERROR(_xlfn.IFNA(IF(données_step[[#This Row],[E_PTOT]]&lt;=0,NA(),charge_entree[[#This Row],[ch_E_PTOT]]/constanten!$B$15*1000),""),"")</f>
        <v/>
      </c>
      <c r="BD165" s="535" t="e">
        <f>calculs!E165 * (1-0.4) / (données_step[[#This Row],[X_BA_VOL]]*données_step[[#This Row],[X_BACONC]])</f>
        <v>#VALUE!</v>
      </c>
      <c r="BE165" s="522" t="e">
        <f>(données_step[[#This Row],[X_BA_VOL]]*données_step[[#This Row],[X_BACONC]])/((données_step[[#This Row],[D_QTRAI2]]*données_step[[#This Row],[S_MES]]/1000)+(données_step[[#This Row],[X_BX_Q]]*données_step[[#This Row],[X_BXCONC]]))</f>
        <v>#VALUE!</v>
      </c>
      <c r="BF165" s="890" t="str">
        <f>IFERROR(données_step[[#This Row],[D_QTRAI]]/AY165*1000,"")</f>
        <v/>
      </c>
      <c r="BG165" s="535" t="str">
        <f>IFERROR(1-données_step[[#This Row],[S_DBO5]]/données_step[[#This Row],[E_DBO5]],"")</f>
        <v/>
      </c>
      <c r="BH165" s="536" t="str">
        <f>IFERROR(1-données_step[[#This Row],[S_DCO]]/données_step[[#This Row],[E_DCO]],"")</f>
        <v/>
      </c>
      <c r="BI165" s="535" t="str">
        <f>IFERROR(1-données_step[[#This Row],[S_COD]]/données_step[[#This Row],[E_COT]],"")</f>
        <v/>
      </c>
      <c r="BJ165" s="535" t="str">
        <f>IFERROR(1-données_step[[#This Row],[S_NH4]]/données_step[[#This Row],[E_NTOT]],"")</f>
        <v/>
      </c>
      <c r="BK165" s="535" t="str">
        <f>IFERROR(1-données_step[[#This Row],[S_PTOT]]/données_step[[#This Row],[E_PTOT]],"")</f>
        <v/>
      </c>
      <c r="BL165" s="521" t="str">
        <f>IFERROR(IF(données_step[[#This Row],[E_DCO]]/données_step[[#This Row],[E_DBO5]]=0,NA(),données_step[[#This Row],[E_DCO]]/données_step[[#This Row],[E_DBO5]]),"")</f>
        <v/>
      </c>
      <c r="BM165" s="521" t="str">
        <f>IFERROR(IF(données_step[[#This Row],[E_NH4]]/données_step[[#This Row],[E_NTOT]]=0,NA(),données_step[[#This Row],[E_NH4]]/données_step[[#This Row],[E_NTOT]]),"")</f>
        <v/>
      </c>
      <c r="BN165" s="521" t="str">
        <f>IFERROR(IF(données_step[[#This Row],[E_NTOT]]/données_step[[#This Row],[E_COT]]=0,NA(),données_step[[#This Row],[E_NTOT]]/données_step[[#This Row],[E_COT]]),"")</f>
        <v/>
      </c>
      <c r="BO165" s="521" t="str">
        <f>IFERROR(IF(données_step[[#This Row],[E_PTOT]]/données_step[[#This Row],[E_COT]]=0,NA(),données_step[[#This Row],[E_PTOT]]/données_step[[#This Row],[E_COT]]),"")</f>
        <v/>
      </c>
      <c r="BP165" s="521" t="e">
        <f>IF(données_step[[#This Row],[E_DCO]]/données_step[[#This Row],[E_COT]]=0,NA(),données_step[[#This Row],[E_DCO]]/données_step[[#This Row],[E_COT]])</f>
        <v>#DIV/0!</v>
      </c>
      <c r="BQ165" s="521" t="e">
        <f>IF(données_step[[#This Row],[E_NTOT]]/données_step[[#This Row],[E_DCO]]=0,NA(),données_step[[#This Row],[E_NTOT]]/données_step[[#This Row],[E_DCO]])</f>
        <v>#DIV/0!</v>
      </c>
      <c r="BR165" s="521" t="e">
        <f>IF(données_step[[#This Row],[E_PTOT]]/données_step[[#This Row],[E_DCO]]=0,NA(),données_step[[#This Row],[E_PTOT]]/données_step[[#This Row],[E_DCO]])</f>
        <v>#DIV/0!</v>
      </c>
      <c r="BS165" s="747" t="e">
        <f ca="1">test_NH4_temp(données_step[[#This Row],[S_NH4]],données_step[[#This Row],[Temp_eaux]])</f>
        <v>#NAME?</v>
      </c>
    </row>
    <row r="166" spans="1:71" x14ac:dyDescent="0.2">
      <c r="A166" s="222">
        <f>données_step[[#This Row],[Datum]]</f>
        <v>44717</v>
      </c>
      <c r="B166" s="223"/>
      <c r="C166" s="224">
        <f t="shared" si="49"/>
        <v>1</v>
      </c>
      <c r="D166" s="523" t="str">
        <f>IF(OR(données_step[[#This Row],[E_DBO5]]&lt;=0,données_step[[#This Row],[E_DBO5]]=""),"",données_step[[#This Row],[D_QTRAI]]*données_step[[#This Row],[E_DBO5]]/1000)</f>
        <v/>
      </c>
      <c r="E166" s="523" t="str">
        <f>IF(OR(données_step[[#This Row],[E_DCO]]&lt;=0,données_step[[#This Row],[E_DCO]]=""),"",données_step[[#This Row],[D_QTRAI]]*données_step[[#This Row],[E_DCO]]/1000)</f>
        <v/>
      </c>
      <c r="F166" s="523" t="str">
        <f>IF(OR(données_step[[#This Row],[E_COT]]&lt;=0,données_step[[#This Row],[E_COT]]=""),"",données_step[[#This Row],[D_QTRAI]]*données_step[[#This Row],[E_COT]]/1000)</f>
        <v/>
      </c>
      <c r="G166" s="523" t="str">
        <f>IF(OR(données_step[[#This Row],[E_NH4]]&lt;=0,données_step[[#This Row],[E_NH4]]=""),"",données_step[[#This Row],[D_QTRAI]]*données_step[[#This Row],[E_NH4]]/1000)</f>
        <v/>
      </c>
      <c r="H166" s="523" t="str">
        <f>IF(OR(données_step[[#This Row],[E_NTOT]]&lt;=0,données_step[[#This Row],[E_NTOT]]=""),"",données_step[[#This Row],[D_QTRAI]]*données_step[[#This Row],[E_NTOT]]/1000)</f>
        <v/>
      </c>
      <c r="I166" s="523" t="str">
        <f>IF(OR(données_step[[#This Row],[E_NTOT]]&lt;=0,données_step[[#This Row],[E_NTOT]]=""),"",données_step[[#This Row],[D_QTRAI]]*données_step[[#This Row],[E_PTOT]]/1000)</f>
        <v/>
      </c>
      <c r="J166" s="523" t="str">
        <f>IF(OR(données_step[[#This Row],[S_DBO5]]&lt;=0,données_step[[#This Row],[S_DBO5]]=""),"",données_step[[#This Row],[D_QTRAI]]*données_step[[#This Row],[S_DBO5]]/1000)</f>
        <v/>
      </c>
      <c r="K166" s="523" t="str">
        <f>IF(OR(données_step[[#This Row],[S_DCO]]&lt;=0,données_step[[#This Row],[S_DCO]]=""),"",données_step[[#This Row],[D_QTRAI]]*données_step[[#This Row],[S_DCO]]/1000)</f>
        <v/>
      </c>
      <c r="L166" s="523" t="str">
        <f>IF(OR(données_step[[#This Row],[S_COD]]&lt;=0,données_step[[#This Row],[S_COD]]=""),"",données_step[[#This Row],[D_QTRAI]]*données_step[[#This Row],[S_COD]]/1000)</f>
        <v/>
      </c>
      <c r="M166" s="523" t="str">
        <f>IF(OR(données_step[[#This Row],[S_NH4]]&lt;=0,données_step[[#This Row],[S_NH4]]=""),"",données_step[[#This Row],[D_QTRAI]]*données_step[[#This Row],[S_NH4]]/1000)</f>
        <v/>
      </c>
      <c r="N166" s="523" t="str">
        <f>IF(OR(données_step[[#This Row],[S_NO2]]&lt;=0,données_step[[#This Row],[S_NO2]]=""),"",données_step[[#This Row],[D_QTRAI]]*données_step[[#This Row],[S_NO2]]/1000)</f>
        <v/>
      </c>
      <c r="O166" s="523" t="str">
        <f>IF(OR(données_step[[#This Row],[S_NO3]]&lt;=0,données_step[[#This Row],[S_NO3]]=""),"",données_step[[#This Row],[D_QTRAI]]*données_step[[#This Row],[S_NO3]]/1000)</f>
        <v/>
      </c>
      <c r="P166" s="523" t="str">
        <f>IF(OR(données_step[[#This Row],[S_PTOT]]&lt;=0,données_step[[#This Row],[S_PTOT]]=""),"",données_step[[#This Row],[D_QTRAI]]*données_step[[#This Row],[S_PTOT]]/1000)</f>
        <v/>
      </c>
      <c r="Q166" s="523" t="str">
        <f>IF(OR(données_step[[#This Row],[S_MES]]&lt;=0,données_step[[#This Row],[S_MES]]=""),"",données_step[[#This Row],[D_QTRAI]]*données_step[[#This Row],[S_MES]]/1000)</f>
        <v/>
      </c>
      <c r="R166" s="523">
        <f>MAX(données_step[[#This Row],[D_QTRAI]],données_step[[#This Row],[D_QTRAI2]])</f>
        <v>0</v>
      </c>
      <c r="S166" s="523" t="str">
        <f>IF(AND($R166&gt;0,données_step[[#This Row],[E_DCO]]&gt;0),données_step[[#This Row],[E_DCO]],"")</f>
        <v/>
      </c>
      <c r="T166" s="523" t="str">
        <f>IF(S166="","",(1-données_step[[#This Row],[E_DCO]]/$V$7)*100)</f>
        <v/>
      </c>
      <c r="U166" s="523" t="str">
        <f t="shared" si="35"/>
        <v/>
      </c>
      <c r="V166" s="523" t="str">
        <f t="shared" si="36"/>
        <v/>
      </c>
      <c r="W166" s="523" t="str">
        <f t="shared" si="37"/>
        <v/>
      </c>
      <c r="X166" s="523" t="e">
        <f>IF(((100-100/$V$7*données_step[[#This Row],[E_DCO]])/100*QTS)&lt;0,NA(),IF(OR(U166&lt;0,U166=""),NA(),((100-100/$V$7*données_step[[#This Row],[E_DCO]])/100*QTS)))</f>
        <v>#NUM!</v>
      </c>
      <c r="Y166" s="523" t="str">
        <f>IF(AND($R166&gt;0,données_step[[#This Row],[E_COT]]&gt;0),données_step[[#This Row],[E_COT]],"")</f>
        <v/>
      </c>
      <c r="Z166" s="523" t="str">
        <f>IF(Y166="","",(1-données_step[[#This Row],[E_COT]]/$AB$7)*100)</f>
        <v/>
      </c>
      <c r="AA166" s="523" t="str">
        <f t="shared" si="38"/>
        <v/>
      </c>
      <c r="AB166" s="523" t="str">
        <f t="shared" si="39"/>
        <v/>
      </c>
      <c r="AC166" s="523" t="str">
        <f t="shared" si="40"/>
        <v/>
      </c>
      <c r="AD166" s="523" t="e">
        <f>IF(((100-100/$AB$7*données_step[[#This Row],[E_COT]])/100*QTS)&lt;0,NA(),IF(OR(AA166&lt;0,AA166=""),NA(),((100-100/$AB$7*données_step[[#This Row],[E_COT]])/100*QTS)))</f>
        <v>#NUM!</v>
      </c>
      <c r="AE166" s="523" t="str">
        <f>IF(AND($R166&gt;0,données_step[[#This Row],[E_NH4]]&gt;0),données_step[[#This Row],[E_NH4]],"")</f>
        <v/>
      </c>
      <c r="AF166" s="523" t="str">
        <f>IF(AE166="","",(1-données_step[[#This Row],[E_NH4]]/$AH$7)*100)</f>
        <v/>
      </c>
      <c r="AG166" s="523" t="str">
        <f t="shared" si="41"/>
        <v/>
      </c>
      <c r="AH166" s="523" t="str">
        <f t="shared" si="42"/>
        <v/>
      </c>
      <c r="AI166" s="523" t="str">
        <f t="shared" si="43"/>
        <v/>
      </c>
      <c r="AJ166" s="523" t="e">
        <f>IF(((100-100/$AH$7*données_step[[#This Row],[E_NH4]])/100*QTS)&lt;0,NA(),IF(OR(AG166&lt;0,AG166=""),NA(),((100-100/$AH$7*données_step[[#This Row],[E_NH4]])/100*QTS)))</f>
        <v>#NUM!</v>
      </c>
      <c r="AK166" s="523" t="str">
        <f>IF(AND($R166&gt;0,données_step[[#This Row],[E_PTOT]]&gt;0),données_step[[#This Row],[E_PTOT]],"")</f>
        <v/>
      </c>
      <c r="AL166" s="523" t="str">
        <f>IF(AK166="","",(1-données_step[[#This Row],[E_PTOT]]/$AN$7)*100)</f>
        <v/>
      </c>
      <c r="AM166" s="523" t="str">
        <f t="shared" si="44"/>
        <v/>
      </c>
      <c r="AN166" s="523" t="str">
        <f t="shared" si="45"/>
        <v/>
      </c>
      <c r="AO166" s="523" t="str">
        <f t="shared" si="46"/>
        <v/>
      </c>
      <c r="AP166" s="523" t="e">
        <f>IF(((100-100/$AN$7*données_step[[#This Row],[E_PTOT]])/100*QTS)&lt;0,NA(),IF(OR(AM166&lt;0,AM166=""),NA(),((100-100/$AN$7*données_step[[#This Row],[E_PTOT]])/100*QTS)))</f>
        <v>#NUM!</v>
      </c>
      <c r="AQ166" s="524" t="e">
        <f t="shared" si="47"/>
        <v>#NUM!</v>
      </c>
      <c r="AR166" s="524" t="str">
        <f t="shared" si="48"/>
        <v/>
      </c>
      <c r="AY166" s="523" t="str">
        <f>_xlfn.IFNA(IF(données_step[[#This Row],[E_DCO]]&lt;=0,NA(),charge_entree[[#This Row],[ch_E_DCO]]/constanten!$B$8*1000),"")</f>
        <v/>
      </c>
      <c r="AZ166" s="523" t="str">
        <f>_xlfn.IFNA(IF(données_step[[#This Row],[E_NTOT]]&lt;=0,NA(),charge_entree[[#This Row],[ch_E_NTOT]]/constanten!$B$10*1000),"")</f>
        <v/>
      </c>
      <c r="BA166" s="523" t="str">
        <f>_xlfn.IFNA(IF(données_step[[#This Row],[E_NH4]]&lt;=0,NA(),charge_entree[[#This Row],[ch_E_NH4]]/constanten!$B$12*1000),"")</f>
        <v/>
      </c>
      <c r="BB166" s="523" t="str">
        <f>_xlfn.IFNA(IF(données_step[[#This Row],[E_COT]]&lt;=0,NA(),charge_entree[[#This Row],[ch_E_COT]]/constanten!$B$9*1000),"")</f>
        <v/>
      </c>
      <c r="BC166" s="523" t="str">
        <f>IFERROR(_xlfn.IFNA(IF(données_step[[#This Row],[E_PTOT]]&lt;=0,NA(),charge_entree[[#This Row],[ch_E_PTOT]]/constanten!$B$15*1000),""),"")</f>
        <v/>
      </c>
      <c r="BD166" s="535" t="e">
        <f>calculs!E166 * (1-0.4) / (données_step[[#This Row],[X_BA_VOL]]*données_step[[#This Row],[X_BACONC]])</f>
        <v>#VALUE!</v>
      </c>
      <c r="BE166" s="522" t="e">
        <f>(données_step[[#This Row],[X_BA_VOL]]*données_step[[#This Row],[X_BACONC]])/((données_step[[#This Row],[D_QTRAI2]]*données_step[[#This Row],[S_MES]]/1000)+(données_step[[#This Row],[X_BX_Q]]*données_step[[#This Row],[X_BXCONC]]))</f>
        <v>#VALUE!</v>
      </c>
      <c r="BF166" s="890" t="str">
        <f>IFERROR(données_step[[#This Row],[D_QTRAI]]/AY166*1000,"")</f>
        <v/>
      </c>
      <c r="BG166" s="535" t="str">
        <f>IFERROR(1-données_step[[#This Row],[S_DBO5]]/données_step[[#This Row],[E_DBO5]],"")</f>
        <v/>
      </c>
      <c r="BH166" s="536" t="str">
        <f>IFERROR(1-données_step[[#This Row],[S_DCO]]/données_step[[#This Row],[E_DCO]],"")</f>
        <v/>
      </c>
      <c r="BI166" s="535" t="str">
        <f>IFERROR(1-données_step[[#This Row],[S_COD]]/données_step[[#This Row],[E_COT]],"")</f>
        <v/>
      </c>
      <c r="BJ166" s="535" t="str">
        <f>IFERROR(1-données_step[[#This Row],[S_NH4]]/données_step[[#This Row],[E_NTOT]],"")</f>
        <v/>
      </c>
      <c r="BK166" s="535" t="str">
        <f>IFERROR(1-données_step[[#This Row],[S_PTOT]]/données_step[[#This Row],[E_PTOT]],"")</f>
        <v/>
      </c>
      <c r="BL166" s="521" t="str">
        <f>IFERROR(IF(données_step[[#This Row],[E_DCO]]/données_step[[#This Row],[E_DBO5]]=0,NA(),données_step[[#This Row],[E_DCO]]/données_step[[#This Row],[E_DBO5]]),"")</f>
        <v/>
      </c>
      <c r="BM166" s="521" t="str">
        <f>IFERROR(IF(données_step[[#This Row],[E_NH4]]/données_step[[#This Row],[E_NTOT]]=0,NA(),données_step[[#This Row],[E_NH4]]/données_step[[#This Row],[E_NTOT]]),"")</f>
        <v/>
      </c>
      <c r="BN166" s="521" t="str">
        <f>IFERROR(IF(données_step[[#This Row],[E_NTOT]]/données_step[[#This Row],[E_COT]]=0,NA(),données_step[[#This Row],[E_NTOT]]/données_step[[#This Row],[E_COT]]),"")</f>
        <v/>
      </c>
      <c r="BO166" s="521" t="str">
        <f>IFERROR(IF(données_step[[#This Row],[E_PTOT]]/données_step[[#This Row],[E_COT]]=0,NA(),données_step[[#This Row],[E_PTOT]]/données_step[[#This Row],[E_COT]]),"")</f>
        <v/>
      </c>
      <c r="BP166" s="521" t="e">
        <f>IF(données_step[[#This Row],[E_DCO]]/données_step[[#This Row],[E_COT]]=0,NA(),données_step[[#This Row],[E_DCO]]/données_step[[#This Row],[E_COT]])</f>
        <v>#DIV/0!</v>
      </c>
      <c r="BQ166" s="521" t="e">
        <f>IF(données_step[[#This Row],[E_NTOT]]/données_step[[#This Row],[E_DCO]]=0,NA(),données_step[[#This Row],[E_NTOT]]/données_step[[#This Row],[E_DCO]])</f>
        <v>#DIV/0!</v>
      </c>
      <c r="BR166" s="521" t="e">
        <f>IF(données_step[[#This Row],[E_PTOT]]/données_step[[#This Row],[E_DCO]]=0,NA(),données_step[[#This Row],[E_PTOT]]/données_step[[#This Row],[E_DCO]])</f>
        <v>#DIV/0!</v>
      </c>
      <c r="BS166" s="747" t="e">
        <f ca="1">test_NH4_temp(données_step[[#This Row],[S_NH4]],données_step[[#This Row],[Temp_eaux]])</f>
        <v>#NAME?</v>
      </c>
    </row>
    <row r="167" spans="1:71" x14ac:dyDescent="0.2">
      <c r="A167" s="222">
        <f>données_step[[#This Row],[Datum]]</f>
        <v>44718</v>
      </c>
      <c r="B167" s="223"/>
      <c r="C167" s="224">
        <f t="shared" si="49"/>
        <v>2</v>
      </c>
      <c r="D167" s="523" t="str">
        <f>IF(OR(données_step[[#This Row],[E_DBO5]]&lt;=0,données_step[[#This Row],[E_DBO5]]=""),"",données_step[[#This Row],[D_QTRAI]]*données_step[[#This Row],[E_DBO5]]/1000)</f>
        <v/>
      </c>
      <c r="E167" s="523" t="str">
        <f>IF(OR(données_step[[#This Row],[E_DCO]]&lt;=0,données_step[[#This Row],[E_DCO]]=""),"",données_step[[#This Row],[D_QTRAI]]*données_step[[#This Row],[E_DCO]]/1000)</f>
        <v/>
      </c>
      <c r="F167" s="523" t="str">
        <f>IF(OR(données_step[[#This Row],[E_COT]]&lt;=0,données_step[[#This Row],[E_COT]]=""),"",données_step[[#This Row],[D_QTRAI]]*données_step[[#This Row],[E_COT]]/1000)</f>
        <v/>
      </c>
      <c r="G167" s="523" t="str">
        <f>IF(OR(données_step[[#This Row],[E_NH4]]&lt;=0,données_step[[#This Row],[E_NH4]]=""),"",données_step[[#This Row],[D_QTRAI]]*données_step[[#This Row],[E_NH4]]/1000)</f>
        <v/>
      </c>
      <c r="H167" s="523" t="str">
        <f>IF(OR(données_step[[#This Row],[E_NTOT]]&lt;=0,données_step[[#This Row],[E_NTOT]]=""),"",données_step[[#This Row],[D_QTRAI]]*données_step[[#This Row],[E_NTOT]]/1000)</f>
        <v/>
      </c>
      <c r="I167" s="523" t="str">
        <f>IF(OR(données_step[[#This Row],[E_NTOT]]&lt;=0,données_step[[#This Row],[E_NTOT]]=""),"",données_step[[#This Row],[D_QTRAI]]*données_step[[#This Row],[E_PTOT]]/1000)</f>
        <v/>
      </c>
      <c r="J167" s="523" t="str">
        <f>IF(OR(données_step[[#This Row],[S_DBO5]]&lt;=0,données_step[[#This Row],[S_DBO5]]=""),"",données_step[[#This Row],[D_QTRAI]]*données_step[[#This Row],[S_DBO5]]/1000)</f>
        <v/>
      </c>
      <c r="K167" s="523" t="str">
        <f>IF(OR(données_step[[#This Row],[S_DCO]]&lt;=0,données_step[[#This Row],[S_DCO]]=""),"",données_step[[#This Row],[D_QTRAI]]*données_step[[#This Row],[S_DCO]]/1000)</f>
        <v/>
      </c>
      <c r="L167" s="523" t="str">
        <f>IF(OR(données_step[[#This Row],[S_COD]]&lt;=0,données_step[[#This Row],[S_COD]]=""),"",données_step[[#This Row],[D_QTRAI]]*données_step[[#This Row],[S_COD]]/1000)</f>
        <v/>
      </c>
      <c r="M167" s="523" t="str">
        <f>IF(OR(données_step[[#This Row],[S_NH4]]&lt;=0,données_step[[#This Row],[S_NH4]]=""),"",données_step[[#This Row],[D_QTRAI]]*données_step[[#This Row],[S_NH4]]/1000)</f>
        <v/>
      </c>
      <c r="N167" s="523" t="str">
        <f>IF(OR(données_step[[#This Row],[S_NO2]]&lt;=0,données_step[[#This Row],[S_NO2]]=""),"",données_step[[#This Row],[D_QTRAI]]*données_step[[#This Row],[S_NO2]]/1000)</f>
        <v/>
      </c>
      <c r="O167" s="523" t="str">
        <f>IF(OR(données_step[[#This Row],[S_NO3]]&lt;=0,données_step[[#This Row],[S_NO3]]=""),"",données_step[[#This Row],[D_QTRAI]]*données_step[[#This Row],[S_NO3]]/1000)</f>
        <v/>
      </c>
      <c r="P167" s="523" t="str">
        <f>IF(OR(données_step[[#This Row],[S_PTOT]]&lt;=0,données_step[[#This Row],[S_PTOT]]=""),"",données_step[[#This Row],[D_QTRAI]]*données_step[[#This Row],[S_PTOT]]/1000)</f>
        <v/>
      </c>
      <c r="Q167" s="523" t="str">
        <f>IF(OR(données_step[[#This Row],[S_MES]]&lt;=0,données_step[[#This Row],[S_MES]]=""),"",données_step[[#This Row],[D_QTRAI]]*données_step[[#This Row],[S_MES]]/1000)</f>
        <v/>
      </c>
      <c r="R167" s="523">
        <f>MAX(données_step[[#This Row],[D_QTRAI]],données_step[[#This Row],[D_QTRAI2]])</f>
        <v>0</v>
      </c>
      <c r="S167" s="523" t="str">
        <f>IF(AND($R167&gt;0,données_step[[#This Row],[E_DCO]]&gt;0),données_step[[#This Row],[E_DCO]],"")</f>
        <v/>
      </c>
      <c r="T167" s="523" t="str">
        <f>IF(S167="","",(1-données_step[[#This Row],[E_DCO]]/$V$7)*100)</f>
        <v/>
      </c>
      <c r="U167" s="523" t="str">
        <f t="shared" si="35"/>
        <v/>
      </c>
      <c r="V167" s="523" t="str">
        <f t="shared" si="36"/>
        <v/>
      </c>
      <c r="W167" s="523" t="str">
        <f t="shared" si="37"/>
        <v/>
      </c>
      <c r="X167" s="523" t="e">
        <f>IF(((100-100/$V$7*données_step[[#This Row],[E_DCO]])/100*QTS)&lt;0,NA(),IF(OR(U167&lt;0,U167=""),NA(),((100-100/$V$7*données_step[[#This Row],[E_DCO]])/100*QTS)))</f>
        <v>#NUM!</v>
      </c>
      <c r="Y167" s="523" t="str">
        <f>IF(AND($R167&gt;0,données_step[[#This Row],[E_COT]]&gt;0),données_step[[#This Row],[E_COT]],"")</f>
        <v/>
      </c>
      <c r="Z167" s="523" t="str">
        <f>IF(Y167="","",(1-données_step[[#This Row],[E_COT]]/$AB$7)*100)</f>
        <v/>
      </c>
      <c r="AA167" s="523" t="str">
        <f t="shared" si="38"/>
        <v/>
      </c>
      <c r="AB167" s="523" t="str">
        <f t="shared" si="39"/>
        <v/>
      </c>
      <c r="AC167" s="523" t="str">
        <f t="shared" si="40"/>
        <v/>
      </c>
      <c r="AD167" s="523" t="e">
        <f>IF(((100-100/$AB$7*données_step[[#This Row],[E_COT]])/100*QTS)&lt;0,NA(),IF(OR(AA167&lt;0,AA167=""),NA(),((100-100/$AB$7*données_step[[#This Row],[E_COT]])/100*QTS)))</f>
        <v>#NUM!</v>
      </c>
      <c r="AE167" s="523" t="str">
        <f>IF(AND($R167&gt;0,données_step[[#This Row],[E_NH4]]&gt;0),données_step[[#This Row],[E_NH4]],"")</f>
        <v/>
      </c>
      <c r="AF167" s="523" t="str">
        <f>IF(AE167="","",(1-données_step[[#This Row],[E_NH4]]/$AH$7)*100)</f>
        <v/>
      </c>
      <c r="AG167" s="523" t="str">
        <f t="shared" si="41"/>
        <v/>
      </c>
      <c r="AH167" s="523" t="str">
        <f t="shared" si="42"/>
        <v/>
      </c>
      <c r="AI167" s="523" t="str">
        <f t="shared" si="43"/>
        <v/>
      </c>
      <c r="AJ167" s="523" t="e">
        <f>IF(((100-100/$AH$7*données_step[[#This Row],[E_NH4]])/100*QTS)&lt;0,NA(),IF(OR(AG167&lt;0,AG167=""),NA(),((100-100/$AH$7*données_step[[#This Row],[E_NH4]])/100*QTS)))</f>
        <v>#NUM!</v>
      </c>
      <c r="AK167" s="523" t="str">
        <f>IF(AND($R167&gt;0,données_step[[#This Row],[E_PTOT]]&gt;0),données_step[[#This Row],[E_PTOT]],"")</f>
        <v/>
      </c>
      <c r="AL167" s="523" t="str">
        <f>IF(AK167="","",(1-données_step[[#This Row],[E_PTOT]]/$AN$7)*100)</f>
        <v/>
      </c>
      <c r="AM167" s="523" t="str">
        <f t="shared" si="44"/>
        <v/>
      </c>
      <c r="AN167" s="523" t="str">
        <f t="shared" si="45"/>
        <v/>
      </c>
      <c r="AO167" s="523" t="str">
        <f t="shared" si="46"/>
        <v/>
      </c>
      <c r="AP167" s="523" t="e">
        <f>IF(((100-100/$AN$7*données_step[[#This Row],[E_PTOT]])/100*QTS)&lt;0,NA(),IF(OR(AM167&lt;0,AM167=""),NA(),((100-100/$AN$7*données_step[[#This Row],[E_PTOT]])/100*QTS)))</f>
        <v>#NUM!</v>
      </c>
      <c r="AQ167" s="524" t="e">
        <f t="shared" si="47"/>
        <v>#NUM!</v>
      </c>
      <c r="AR167" s="524" t="str">
        <f t="shared" si="48"/>
        <v/>
      </c>
      <c r="AY167" s="523" t="str">
        <f>_xlfn.IFNA(IF(données_step[[#This Row],[E_DCO]]&lt;=0,NA(),charge_entree[[#This Row],[ch_E_DCO]]/constanten!$B$8*1000),"")</f>
        <v/>
      </c>
      <c r="AZ167" s="523" t="str">
        <f>_xlfn.IFNA(IF(données_step[[#This Row],[E_NTOT]]&lt;=0,NA(),charge_entree[[#This Row],[ch_E_NTOT]]/constanten!$B$10*1000),"")</f>
        <v/>
      </c>
      <c r="BA167" s="523" t="str">
        <f>_xlfn.IFNA(IF(données_step[[#This Row],[E_NH4]]&lt;=0,NA(),charge_entree[[#This Row],[ch_E_NH4]]/constanten!$B$12*1000),"")</f>
        <v/>
      </c>
      <c r="BB167" s="523" t="str">
        <f>_xlfn.IFNA(IF(données_step[[#This Row],[E_COT]]&lt;=0,NA(),charge_entree[[#This Row],[ch_E_COT]]/constanten!$B$9*1000),"")</f>
        <v/>
      </c>
      <c r="BC167" s="523" t="str">
        <f>IFERROR(_xlfn.IFNA(IF(données_step[[#This Row],[E_PTOT]]&lt;=0,NA(),charge_entree[[#This Row],[ch_E_PTOT]]/constanten!$B$15*1000),""),"")</f>
        <v/>
      </c>
      <c r="BD167" s="535" t="e">
        <f>calculs!E167 * (1-0.4) / (données_step[[#This Row],[X_BA_VOL]]*données_step[[#This Row],[X_BACONC]])</f>
        <v>#VALUE!</v>
      </c>
      <c r="BE167" s="522" t="e">
        <f>(données_step[[#This Row],[X_BA_VOL]]*données_step[[#This Row],[X_BACONC]])/((données_step[[#This Row],[D_QTRAI2]]*données_step[[#This Row],[S_MES]]/1000)+(données_step[[#This Row],[X_BX_Q]]*données_step[[#This Row],[X_BXCONC]]))</f>
        <v>#VALUE!</v>
      </c>
      <c r="BF167" s="890" t="str">
        <f>IFERROR(données_step[[#This Row],[D_QTRAI]]/AY167*1000,"")</f>
        <v/>
      </c>
      <c r="BG167" s="535" t="str">
        <f>IFERROR(1-données_step[[#This Row],[S_DBO5]]/données_step[[#This Row],[E_DBO5]],"")</f>
        <v/>
      </c>
      <c r="BH167" s="536" t="str">
        <f>IFERROR(1-données_step[[#This Row],[S_DCO]]/données_step[[#This Row],[E_DCO]],"")</f>
        <v/>
      </c>
      <c r="BI167" s="535" t="str">
        <f>IFERROR(1-données_step[[#This Row],[S_COD]]/données_step[[#This Row],[E_COT]],"")</f>
        <v/>
      </c>
      <c r="BJ167" s="535" t="str">
        <f>IFERROR(1-données_step[[#This Row],[S_NH4]]/données_step[[#This Row],[E_NTOT]],"")</f>
        <v/>
      </c>
      <c r="BK167" s="535" t="str">
        <f>IFERROR(1-données_step[[#This Row],[S_PTOT]]/données_step[[#This Row],[E_PTOT]],"")</f>
        <v/>
      </c>
      <c r="BL167" s="521" t="str">
        <f>IFERROR(IF(données_step[[#This Row],[E_DCO]]/données_step[[#This Row],[E_DBO5]]=0,NA(),données_step[[#This Row],[E_DCO]]/données_step[[#This Row],[E_DBO5]]),"")</f>
        <v/>
      </c>
      <c r="BM167" s="521" t="str">
        <f>IFERROR(IF(données_step[[#This Row],[E_NH4]]/données_step[[#This Row],[E_NTOT]]=0,NA(),données_step[[#This Row],[E_NH4]]/données_step[[#This Row],[E_NTOT]]),"")</f>
        <v/>
      </c>
      <c r="BN167" s="521" t="str">
        <f>IFERROR(IF(données_step[[#This Row],[E_NTOT]]/données_step[[#This Row],[E_COT]]=0,NA(),données_step[[#This Row],[E_NTOT]]/données_step[[#This Row],[E_COT]]),"")</f>
        <v/>
      </c>
      <c r="BO167" s="521" t="str">
        <f>IFERROR(IF(données_step[[#This Row],[E_PTOT]]/données_step[[#This Row],[E_COT]]=0,NA(),données_step[[#This Row],[E_PTOT]]/données_step[[#This Row],[E_COT]]),"")</f>
        <v/>
      </c>
      <c r="BP167" s="521" t="e">
        <f>IF(données_step[[#This Row],[E_DCO]]/données_step[[#This Row],[E_COT]]=0,NA(),données_step[[#This Row],[E_DCO]]/données_step[[#This Row],[E_COT]])</f>
        <v>#DIV/0!</v>
      </c>
      <c r="BQ167" s="521" t="e">
        <f>IF(données_step[[#This Row],[E_NTOT]]/données_step[[#This Row],[E_DCO]]=0,NA(),données_step[[#This Row],[E_NTOT]]/données_step[[#This Row],[E_DCO]])</f>
        <v>#DIV/0!</v>
      </c>
      <c r="BR167" s="521" t="e">
        <f>IF(données_step[[#This Row],[E_PTOT]]/données_step[[#This Row],[E_DCO]]=0,NA(),données_step[[#This Row],[E_PTOT]]/données_step[[#This Row],[E_DCO]])</f>
        <v>#DIV/0!</v>
      </c>
      <c r="BS167" s="747" t="e">
        <f ca="1">test_NH4_temp(données_step[[#This Row],[S_NH4]],données_step[[#This Row],[Temp_eaux]])</f>
        <v>#NAME?</v>
      </c>
    </row>
    <row r="168" spans="1:71" x14ac:dyDescent="0.2">
      <c r="A168" s="222">
        <f>données_step[[#This Row],[Datum]]</f>
        <v>44719</v>
      </c>
      <c r="B168" s="223"/>
      <c r="C168" s="224">
        <f t="shared" si="49"/>
        <v>3</v>
      </c>
      <c r="D168" s="523" t="str">
        <f>IF(OR(données_step[[#This Row],[E_DBO5]]&lt;=0,données_step[[#This Row],[E_DBO5]]=""),"",données_step[[#This Row],[D_QTRAI]]*données_step[[#This Row],[E_DBO5]]/1000)</f>
        <v/>
      </c>
      <c r="E168" s="523" t="str">
        <f>IF(OR(données_step[[#This Row],[E_DCO]]&lt;=0,données_step[[#This Row],[E_DCO]]=""),"",données_step[[#This Row],[D_QTRAI]]*données_step[[#This Row],[E_DCO]]/1000)</f>
        <v/>
      </c>
      <c r="F168" s="523" t="str">
        <f>IF(OR(données_step[[#This Row],[E_COT]]&lt;=0,données_step[[#This Row],[E_COT]]=""),"",données_step[[#This Row],[D_QTRAI]]*données_step[[#This Row],[E_COT]]/1000)</f>
        <v/>
      </c>
      <c r="G168" s="523" t="str">
        <f>IF(OR(données_step[[#This Row],[E_NH4]]&lt;=0,données_step[[#This Row],[E_NH4]]=""),"",données_step[[#This Row],[D_QTRAI]]*données_step[[#This Row],[E_NH4]]/1000)</f>
        <v/>
      </c>
      <c r="H168" s="523" t="str">
        <f>IF(OR(données_step[[#This Row],[E_NTOT]]&lt;=0,données_step[[#This Row],[E_NTOT]]=""),"",données_step[[#This Row],[D_QTRAI]]*données_step[[#This Row],[E_NTOT]]/1000)</f>
        <v/>
      </c>
      <c r="I168" s="523" t="str">
        <f>IF(OR(données_step[[#This Row],[E_NTOT]]&lt;=0,données_step[[#This Row],[E_NTOT]]=""),"",données_step[[#This Row],[D_QTRAI]]*données_step[[#This Row],[E_PTOT]]/1000)</f>
        <v/>
      </c>
      <c r="J168" s="523" t="str">
        <f>IF(OR(données_step[[#This Row],[S_DBO5]]&lt;=0,données_step[[#This Row],[S_DBO5]]=""),"",données_step[[#This Row],[D_QTRAI]]*données_step[[#This Row],[S_DBO5]]/1000)</f>
        <v/>
      </c>
      <c r="K168" s="523" t="str">
        <f>IF(OR(données_step[[#This Row],[S_DCO]]&lt;=0,données_step[[#This Row],[S_DCO]]=""),"",données_step[[#This Row],[D_QTRAI]]*données_step[[#This Row],[S_DCO]]/1000)</f>
        <v/>
      </c>
      <c r="L168" s="523" t="str">
        <f>IF(OR(données_step[[#This Row],[S_COD]]&lt;=0,données_step[[#This Row],[S_COD]]=""),"",données_step[[#This Row],[D_QTRAI]]*données_step[[#This Row],[S_COD]]/1000)</f>
        <v/>
      </c>
      <c r="M168" s="523" t="str">
        <f>IF(OR(données_step[[#This Row],[S_NH4]]&lt;=0,données_step[[#This Row],[S_NH4]]=""),"",données_step[[#This Row],[D_QTRAI]]*données_step[[#This Row],[S_NH4]]/1000)</f>
        <v/>
      </c>
      <c r="N168" s="523" t="str">
        <f>IF(OR(données_step[[#This Row],[S_NO2]]&lt;=0,données_step[[#This Row],[S_NO2]]=""),"",données_step[[#This Row],[D_QTRAI]]*données_step[[#This Row],[S_NO2]]/1000)</f>
        <v/>
      </c>
      <c r="O168" s="523" t="str">
        <f>IF(OR(données_step[[#This Row],[S_NO3]]&lt;=0,données_step[[#This Row],[S_NO3]]=""),"",données_step[[#This Row],[D_QTRAI]]*données_step[[#This Row],[S_NO3]]/1000)</f>
        <v/>
      </c>
      <c r="P168" s="523" t="str">
        <f>IF(OR(données_step[[#This Row],[S_PTOT]]&lt;=0,données_step[[#This Row],[S_PTOT]]=""),"",données_step[[#This Row],[D_QTRAI]]*données_step[[#This Row],[S_PTOT]]/1000)</f>
        <v/>
      </c>
      <c r="Q168" s="523" t="str">
        <f>IF(OR(données_step[[#This Row],[S_MES]]&lt;=0,données_step[[#This Row],[S_MES]]=""),"",données_step[[#This Row],[D_QTRAI]]*données_step[[#This Row],[S_MES]]/1000)</f>
        <v/>
      </c>
      <c r="R168" s="523">
        <f>MAX(données_step[[#This Row],[D_QTRAI]],données_step[[#This Row],[D_QTRAI2]])</f>
        <v>0</v>
      </c>
      <c r="S168" s="523" t="str">
        <f>IF(AND($R168&gt;0,données_step[[#This Row],[E_DCO]]&gt;0),données_step[[#This Row],[E_DCO]],"")</f>
        <v/>
      </c>
      <c r="T168" s="523" t="str">
        <f>IF(S168="","",(1-données_step[[#This Row],[E_DCO]]/$V$7)*100)</f>
        <v/>
      </c>
      <c r="U168" s="523" t="str">
        <f t="shared" si="35"/>
        <v/>
      </c>
      <c r="V168" s="523" t="str">
        <f t="shared" si="36"/>
        <v/>
      </c>
      <c r="W168" s="523" t="str">
        <f t="shared" si="37"/>
        <v/>
      </c>
      <c r="X168" s="523" t="e">
        <f>IF(((100-100/$V$7*données_step[[#This Row],[E_DCO]])/100*QTS)&lt;0,NA(),IF(OR(U168&lt;0,U168=""),NA(),((100-100/$V$7*données_step[[#This Row],[E_DCO]])/100*QTS)))</f>
        <v>#NUM!</v>
      </c>
      <c r="Y168" s="523" t="str">
        <f>IF(AND($R168&gt;0,données_step[[#This Row],[E_COT]]&gt;0),données_step[[#This Row],[E_COT]],"")</f>
        <v/>
      </c>
      <c r="Z168" s="523" t="str">
        <f>IF(Y168="","",(1-données_step[[#This Row],[E_COT]]/$AB$7)*100)</f>
        <v/>
      </c>
      <c r="AA168" s="523" t="str">
        <f t="shared" si="38"/>
        <v/>
      </c>
      <c r="AB168" s="523" t="str">
        <f t="shared" si="39"/>
        <v/>
      </c>
      <c r="AC168" s="523" t="str">
        <f t="shared" si="40"/>
        <v/>
      </c>
      <c r="AD168" s="523" t="e">
        <f>IF(((100-100/$AB$7*données_step[[#This Row],[E_COT]])/100*QTS)&lt;0,NA(),IF(OR(AA168&lt;0,AA168=""),NA(),((100-100/$AB$7*données_step[[#This Row],[E_COT]])/100*QTS)))</f>
        <v>#NUM!</v>
      </c>
      <c r="AE168" s="523" t="str">
        <f>IF(AND($R168&gt;0,données_step[[#This Row],[E_NH4]]&gt;0),données_step[[#This Row],[E_NH4]],"")</f>
        <v/>
      </c>
      <c r="AF168" s="523" t="str">
        <f>IF(AE168="","",(1-données_step[[#This Row],[E_NH4]]/$AH$7)*100)</f>
        <v/>
      </c>
      <c r="AG168" s="523" t="str">
        <f t="shared" si="41"/>
        <v/>
      </c>
      <c r="AH168" s="523" t="str">
        <f t="shared" si="42"/>
        <v/>
      </c>
      <c r="AI168" s="523" t="str">
        <f t="shared" si="43"/>
        <v/>
      </c>
      <c r="AJ168" s="523" t="e">
        <f>IF(((100-100/$AH$7*données_step[[#This Row],[E_NH4]])/100*QTS)&lt;0,NA(),IF(OR(AG168&lt;0,AG168=""),NA(),((100-100/$AH$7*données_step[[#This Row],[E_NH4]])/100*QTS)))</f>
        <v>#NUM!</v>
      </c>
      <c r="AK168" s="523" t="str">
        <f>IF(AND($R168&gt;0,données_step[[#This Row],[E_PTOT]]&gt;0),données_step[[#This Row],[E_PTOT]],"")</f>
        <v/>
      </c>
      <c r="AL168" s="523" t="str">
        <f>IF(AK168="","",(1-données_step[[#This Row],[E_PTOT]]/$AN$7)*100)</f>
        <v/>
      </c>
      <c r="AM168" s="523" t="str">
        <f t="shared" si="44"/>
        <v/>
      </c>
      <c r="AN168" s="523" t="str">
        <f t="shared" si="45"/>
        <v/>
      </c>
      <c r="AO168" s="523" t="str">
        <f t="shared" si="46"/>
        <v/>
      </c>
      <c r="AP168" s="523" t="e">
        <f>IF(((100-100/$AN$7*données_step[[#This Row],[E_PTOT]])/100*QTS)&lt;0,NA(),IF(OR(AM168&lt;0,AM168=""),NA(),((100-100/$AN$7*données_step[[#This Row],[E_PTOT]])/100*QTS)))</f>
        <v>#NUM!</v>
      </c>
      <c r="AQ168" s="524" t="e">
        <f t="shared" si="47"/>
        <v>#NUM!</v>
      </c>
      <c r="AR168" s="524" t="str">
        <f t="shared" si="48"/>
        <v/>
      </c>
      <c r="AY168" s="523" t="str">
        <f>_xlfn.IFNA(IF(données_step[[#This Row],[E_DCO]]&lt;=0,NA(),charge_entree[[#This Row],[ch_E_DCO]]/constanten!$B$8*1000),"")</f>
        <v/>
      </c>
      <c r="AZ168" s="523" t="str">
        <f>_xlfn.IFNA(IF(données_step[[#This Row],[E_NTOT]]&lt;=0,NA(),charge_entree[[#This Row],[ch_E_NTOT]]/constanten!$B$10*1000),"")</f>
        <v/>
      </c>
      <c r="BA168" s="523" t="str">
        <f>_xlfn.IFNA(IF(données_step[[#This Row],[E_NH4]]&lt;=0,NA(),charge_entree[[#This Row],[ch_E_NH4]]/constanten!$B$12*1000),"")</f>
        <v/>
      </c>
      <c r="BB168" s="523" t="str">
        <f>_xlfn.IFNA(IF(données_step[[#This Row],[E_COT]]&lt;=0,NA(),charge_entree[[#This Row],[ch_E_COT]]/constanten!$B$9*1000),"")</f>
        <v/>
      </c>
      <c r="BC168" s="523" t="str">
        <f>IFERROR(_xlfn.IFNA(IF(données_step[[#This Row],[E_PTOT]]&lt;=0,NA(),charge_entree[[#This Row],[ch_E_PTOT]]/constanten!$B$15*1000),""),"")</f>
        <v/>
      </c>
      <c r="BD168" s="535" t="e">
        <f>calculs!E168 * (1-0.4) / (données_step[[#This Row],[X_BA_VOL]]*données_step[[#This Row],[X_BACONC]])</f>
        <v>#VALUE!</v>
      </c>
      <c r="BE168" s="522" t="e">
        <f>(données_step[[#This Row],[X_BA_VOL]]*données_step[[#This Row],[X_BACONC]])/((données_step[[#This Row],[D_QTRAI2]]*données_step[[#This Row],[S_MES]]/1000)+(données_step[[#This Row],[X_BX_Q]]*données_step[[#This Row],[X_BXCONC]]))</f>
        <v>#VALUE!</v>
      </c>
      <c r="BF168" s="890" t="str">
        <f>IFERROR(données_step[[#This Row],[D_QTRAI]]/AY168*1000,"")</f>
        <v/>
      </c>
      <c r="BG168" s="535" t="str">
        <f>IFERROR(1-données_step[[#This Row],[S_DBO5]]/données_step[[#This Row],[E_DBO5]],"")</f>
        <v/>
      </c>
      <c r="BH168" s="536" t="str">
        <f>IFERROR(1-données_step[[#This Row],[S_DCO]]/données_step[[#This Row],[E_DCO]],"")</f>
        <v/>
      </c>
      <c r="BI168" s="535" t="str">
        <f>IFERROR(1-données_step[[#This Row],[S_COD]]/données_step[[#This Row],[E_COT]],"")</f>
        <v/>
      </c>
      <c r="BJ168" s="535" t="str">
        <f>IFERROR(1-données_step[[#This Row],[S_NH4]]/données_step[[#This Row],[E_NTOT]],"")</f>
        <v/>
      </c>
      <c r="BK168" s="535" t="str">
        <f>IFERROR(1-données_step[[#This Row],[S_PTOT]]/données_step[[#This Row],[E_PTOT]],"")</f>
        <v/>
      </c>
      <c r="BL168" s="521" t="str">
        <f>IFERROR(IF(données_step[[#This Row],[E_DCO]]/données_step[[#This Row],[E_DBO5]]=0,NA(),données_step[[#This Row],[E_DCO]]/données_step[[#This Row],[E_DBO5]]),"")</f>
        <v/>
      </c>
      <c r="BM168" s="521" t="str">
        <f>IFERROR(IF(données_step[[#This Row],[E_NH4]]/données_step[[#This Row],[E_NTOT]]=0,NA(),données_step[[#This Row],[E_NH4]]/données_step[[#This Row],[E_NTOT]]),"")</f>
        <v/>
      </c>
      <c r="BN168" s="521" t="str">
        <f>IFERROR(IF(données_step[[#This Row],[E_NTOT]]/données_step[[#This Row],[E_COT]]=0,NA(),données_step[[#This Row],[E_NTOT]]/données_step[[#This Row],[E_COT]]),"")</f>
        <v/>
      </c>
      <c r="BO168" s="521" t="str">
        <f>IFERROR(IF(données_step[[#This Row],[E_PTOT]]/données_step[[#This Row],[E_COT]]=0,NA(),données_step[[#This Row],[E_PTOT]]/données_step[[#This Row],[E_COT]]),"")</f>
        <v/>
      </c>
      <c r="BP168" s="521" t="e">
        <f>IF(données_step[[#This Row],[E_DCO]]/données_step[[#This Row],[E_COT]]=0,NA(),données_step[[#This Row],[E_DCO]]/données_step[[#This Row],[E_COT]])</f>
        <v>#DIV/0!</v>
      </c>
      <c r="BQ168" s="521" t="e">
        <f>IF(données_step[[#This Row],[E_NTOT]]/données_step[[#This Row],[E_DCO]]=0,NA(),données_step[[#This Row],[E_NTOT]]/données_step[[#This Row],[E_DCO]])</f>
        <v>#DIV/0!</v>
      </c>
      <c r="BR168" s="521" t="e">
        <f>IF(données_step[[#This Row],[E_PTOT]]/données_step[[#This Row],[E_DCO]]=0,NA(),données_step[[#This Row],[E_PTOT]]/données_step[[#This Row],[E_DCO]])</f>
        <v>#DIV/0!</v>
      </c>
      <c r="BS168" s="747" t="e">
        <f ca="1">test_NH4_temp(données_step[[#This Row],[S_NH4]],données_step[[#This Row],[Temp_eaux]])</f>
        <v>#NAME?</v>
      </c>
    </row>
    <row r="169" spans="1:71" x14ac:dyDescent="0.2">
      <c r="A169" s="222">
        <f>données_step[[#This Row],[Datum]]</f>
        <v>44720</v>
      </c>
      <c r="B169" s="223"/>
      <c r="C169" s="224">
        <f t="shared" si="49"/>
        <v>4</v>
      </c>
      <c r="D169" s="523" t="str">
        <f>IF(OR(données_step[[#This Row],[E_DBO5]]&lt;=0,données_step[[#This Row],[E_DBO5]]=""),"",données_step[[#This Row],[D_QTRAI]]*données_step[[#This Row],[E_DBO5]]/1000)</f>
        <v/>
      </c>
      <c r="E169" s="523" t="str">
        <f>IF(OR(données_step[[#This Row],[E_DCO]]&lt;=0,données_step[[#This Row],[E_DCO]]=""),"",données_step[[#This Row],[D_QTRAI]]*données_step[[#This Row],[E_DCO]]/1000)</f>
        <v/>
      </c>
      <c r="F169" s="523" t="str">
        <f>IF(OR(données_step[[#This Row],[E_COT]]&lt;=0,données_step[[#This Row],[E_COT]]=""),"",données_step[[#This Row],[D_QTRAI]]*données_step[[#This Row],[E_COT]]/1000)</f>
        <v/>
      </c>
      <c r="G169" s="523" t="str">
        <f>IF(OR(données_step[[#This Row],[E_NH4]]&lt;=0,données_step[[#This Row],[E_NH4]]=""),"",données_step[[#This Row],[D_QTRAI]]*données_step[[#This Row],[E_NH4]]/1000)</f>
        <v/>
      </c>
      <c r="H169" s="523" t="str">
        <f>IF(OR(données_step[[#This Row],[E_NTOT]]&lt;=0,données_step[[#This Row],[E_NTOT]]=""),"",données_step[[#This Row],[D_QTRAI]]*données_step[[#This Row],[E_NTOT]]/1000)</f>
        <v/>
      </c>
      <c r="I169" s="523" t="str">
        <f>IF(OR(données_step[[#This Row],[E_NTOT]]&lt;=0,données_step[[#This Row],[E_NTOT]]=""),"",données_step[[#This Row],[D_QTRAI]]*données_step[[#This Row],[E_PTOT]]/1000)</f>
        <v/>
      </c>
      <c r="J169" s="523" t="str">
        <f>IF(OR(données_step[[#This Row],[S_DBO5]]&lt;=0,données_step[[#This Row],[S_DBO5]]=""),"",données_step[[#This Row],[D_QTRAI]]*données_step[[#This Row],[S_DBO5]]/1000)</f>
        <v/>
      </c>
      <c r="K169" s="523" t="str">
        <f>IF(OR(données_step[[#This Row],[S_DCO]]&lt;=0,données_step[[#This Row],[S_DCO]]=""),"",données_step[[#This Row],[D_QTRAI]]*données_step[[#This Row],[S_DCO]]/1000)</f>
        <v/>
      </c>
      <c r="L169" s="523" t="str">
        <f>IF(OR(données_step[[#This Row],[S_COD]]&lt;=0,données_step[[#This Row],[S_COD]]=""),"",données_step[[#This Row],[D_QTRAI]]*données_step[[#This Row],[S_COD]]/1000)</f>
        <v/>
      </c>
      <c r="M169" s="523" t="str">
        <f>IF(OR(données_step[[#This Row],[S_NH4]]&lt;=0,données_step[[#This Row],[S_NH4]]=""),"",données_step[[#This Row],[D_QTRAI]]*données_step[[#This Row],[S_NH4]]/1000)</f>
        <v/>
      </c>
      <c r="N169" s="523" t="str">
        <f>IF(OR(données_step[[#This Row],[S_NO2]]&lt;=0,données_step[[#This Row],[S_NO2]]=""),"",données_step[[#This Row],[D_QTRAI]]*données_step[[#This Row],[S_NO2]]/1000)</f>
        <v/>
      </c>
      <c r="O169" s="523" t="str">
        <f>IF(OR(données_step[[#This Row],[S_NO3]]&lt;=0,données_step[[#This Row],[S_NO3]]=""),"",données_step[[#This Row],[D_QTRAI]]*données_step[[#This Row],[S_NO3]]/1000)</f>
        <v/>
      </c>
      <c r="P169" s="523" t="str">
        <f>IF(OR(données_step[[#This Row],[S_PTOT]]&lt;=0,données_step[[#This Row],[S_PTOT]]=""),"",données_step[[#This Row],[D_QTRAI]]*données_step[[#This Row],[S_PTOT]]/1000)</f>
        <v/>
      </c>
      <c r="Q169" s="523" t="str">
        <f>IF(OR(données_step[[#This Row],[S_MES]]&lt;=0,données_step[[#This Row],[S_MES]]=""),"",données_step[[#This Row],[D_QTRAI]]*données_step[[#This Row],[S_MES]]/1000)</f>
        <v/>
      </c>
      <c r="R169" s="523">
        <f>MAX(données_step[[#This Row],[D_QTRAI]],données_step[[#This Row],[D_QTRAI2]])</f>
        <v>0</v>
      </c>
      <c r="S169" s="523" t="str">
        <f>IF(AND($R169&gt;0,données_step[[#This Row],[E_DCO]]&gt;0),données_step[[#This Row],[E_DCO]],"")</f>
        <v/>
      </c>
      <c r="T169" s="523" t="str">
        <f>IF(S169="","",(1-données_step[[#This Row],[E_DCO]]/$V$7)*100)</f>
        <v/>
      </c>
      <c r="U169" s="523" t="str">
        <f t="shared" si="35"/>
        <v/>
      </c>
      <c r="V169" s="523" t="str">
        <f t="shared" si="36"/>
        <v/>
      </c>
      <c r="W169" s="523" t="str">
        <f t="shared" si="37"/>
        <v/>
      </c>
      <c r="X169" s="523" t="e">
        <f>IF(((100-100/$V$7*données_step[[#This Row],[E_DCO]])/100*QTS)&lt;0,NA(),IF(OR(U169&lt;0,U169=""),NA(),((100-100/$V$7*données_step[[#This Row],[E_DCO]])/100*QTS)))</f>
        <v>#NUM!</v>
      </c>
      <c r="Y169" s="523" t="str">
        <f>IF(AND($R169&gt;0,données_step[[#This Row],[E_COT]]&gt;0),données_step[[#This Row],[E_COT]],"")</f>
        <v/>
      </c>
      <c r="Z169" s="523" t="str">
        <f>IF(Y169="","",(1-données_step[[#This Row],[E_COT]]/$AB$7)*100)</f>
        <v/>
      </c>
      <c r="AA169" s="523" t="str">
        <f t="shared" si="38"/>
        <v/>
      </c>
      <c r="AB169" s="523" t="str">
        <f t="shared" si="39"/>
        <v/>
      </c>
      <c r="AC169" s="523" t="str">
        <f t="shared" si="40"/>
        <v/>
      </c>
      <c r="AD169" s="523" t="e">
        <f>IF(((100-100/$AB$7*données_step[[#This Row],[E_COT]])/100*QTS)&lt;0,NA(),IF(OR(AA169&lt;0,AA169=""),NA(),((100-100/$AB$7*données_step[[#This Row],[E_COT]])/100*QTS)))</f>
        <v>#NUM!</v>
      </c>
      <c r="AE169" s="523" t="str">
        <f>IF(AND($R169&gt;0,données_step[[#This Row],[E_NH4]]&gt;0),données_step[[#This Row],[E_NH4]],"")</f>
        <v/>
      </c>
      <c r="AF169" s="523" t="str">
        <f>IF(AE169="","",(1-données_step[[#This Row],[E_NH4]]/$AH$7)*100)</f>
        <v/>
      </c>
      <c r="AG169" s="523" t="str">
        <f t="shared" si="41"/>
        <v/>
      </c>
      <c r="AH169" s="523" t="str">
        <f t="shared" si="42"/>
        <v/>
      </c>
      <c r="AI169" s="523" t="str">
        <f t="shared" si="43"/>
        <v/>
      </c>
      <c r="AJ169" s="523" t="e">
        <f>IF(((100-100/$AH$7*données_step[[#This Row],[E_NH4]])/100*QTS)&lt;0,NA(),IF(OR(AG169&lt;0,AG169=""),NA(),((100-100/$AH$7*données_step[[#This Row],[E_NH4]])/100*QTS)))</f>
        <v>#NUM!</v>
      </c>
      <c r="AK169" s="523" t="str">
        <f>IF(AND($R169&gt;0,données_step[[#This Row],[E_PTOT]]&gt;0),données_step[[#This Row],[E_PTOT]],"")</f>
        <v/>
      </c>
      <c r="AL169" s="523" t="str">
        <f>IF(AK169="","",(1-données_step[[#This Row],[E_PTOT]]/$AN$7)*100)</f>
        <v/>
      </c>
      <c r="AM169" s="523" t="str">
        <f t="shared" si="44"/>
        <v/>
      </c>
      <c r="AN169" s="523" t="str">
        <f t="shared" si="45"/>
        <v/>
      </c>
      <c r="AO169" s="523" t="str">
        <f t="shared" si="46"/>
        <v/>
      </c>
      <c r="AP169" s="523" t="e">
        <f>IF(((100-100/$AN$7*données_step[[#This Row],[E_PTOT]])/100*QTS)&lt;0,NA(),IF(OR(AM169&lt;0,AM169=""),NA(),((100-100/$AN$7*données_step[[#This Row],[E_PTOT]])/100*QTS)))</f>
        <v>#NUM!</v>
      </c>
      <c r="AQ169" s="524" t="e">
        <f t="shared" si="47"/>
        <v>#NUM!</v>
      </c>
      <c r="AR169" s="524" t="str">
        <f t="shared" si="48"/>
        <v/>
      </c>
      <c r="AY169" s="523" t="str">
        <f>_xlfn.IFNA(IF(données_step[[#This Row],[E_DCO]]&lt;=0,NA(),charge_entree[[#This Row],[ch_E_DCO]]/constanten!$B$8*1000),"")</f>
        <v/>
      </c>
      <c r="AZ169" s="523" t="str">
        <f>_xlfn.IFNA(IF(données_step[[#This Row],[E_NTOT]]&lt;=0,NA(),charge_entree[[#This Row],[ch_E_NTOT]]/constanten!$B$10*1000),"")</f>
        <v/>
      </c>
      <c r="BA169" s="523" t="str">
        <f>_xlfn.IFNA(IF(données_step[[#This Row],[E_NH4]]&lt;=0,NA(),charge_entree[[#This Row],[ch_E_NH4]]/constanten!$B$12*1000),"")</f>
        <v/>
      </c>
      <c r="BB169" s="523" t="str">
        <f>_xlfn.IFNA(IF(données_step[[#This Row],[E_COT]]&lt;=0,NA(),charge_entree[[#This Row],[ch_E_COT]]/constanten!$B$9*1000),"")</f>
        <v/>
      </c>
      <c r="BC169" s="523" t="str">
        <f>IFERROR(_xlfn.IFNA(IF(données_step[[#This Row],[E_PTOT]]&lt;=0,NA(),charge_entree[[#This Row],[ch_E_PTOT]]/constanten!$B$15*1000),""),"")</f>
        <v/>
      </c>
      <c r="BD169" s="535" t="e">
        <f>calculs!E169 * (1-0.4) / (données_step[[#This Row],[X_BA_VOL]]*données_step[[#This Row],[X_BACONC]])</f>
        <v>#VALUE!</v>
      </c>
      <c r="BE169" s="522" t="e">
        <f>(données_step[[#This Row],[X_BA_VOL]]*données_step[[#This Row],[X_BACONC]])/((données_step[[#This Row],[D_QTRAI2]]*données_step[[#This Row],[S_MES]]/1000)+(données_step[[#This Row],[X_BX_Q]]*données_step[[#This Row],[X_BXCONC]]))</f>
        <v>#VALUE!</v>
      </c>
      <c r="BF169" s="890" t="str">
        <f>IFERROR(données_step[[#This Row],[D_QTRAI]]/AY169*1000,"")</f>
        <v/>
      </c>
      <c r="BG169" s="535" t="str">
        <f>IFERROR(1-données_step[[#This Row],[S_DBO5]]/données_step[[#This Row],[E_DBO5]],"")</f>
        <v/>
      </c>
      <c r="BH169" s="536" t="str">
        <f>IFERROR(1-données_step[[#This Row],[S_DCO]]/données_step[[#This Row],[E_DCO]],"")</f>
        <v/>
      </c>
      <c r="BI169" s="535" t="str">
        <f>IFERROR(1-données_step[[#This Row],[S_COD]]/données_step[[#This Row],[E_COT]],"")</f>
        <v/>
      </c>
      <c r="BJ169" s="535" t="str">
        <f>IFERROR(1-données_step[[#This Row],[S_NH4]]/données_step[[#This Row],[E_NTOT]],"")</f>
        <v/>
      </c>
      <c r="BK169" s="535" t="str">
        <f>IFERROR(1-données_step[[#This Row],[S_PTOT]]/données_step[[#This Row],[E_PTOT]],"")</f>
        <v/>
      </c>
      <c r="BL169" s="521" t="str">
        <f>IFERROR(IF(données_step[[#This Row],[E_DCO]]/données_step[[#This Row],[E_DBO5]]=0,NA(),données_step[[#This Row],[E_DCO]]/données_step[[#This Row],[E_DBO5]]),"")</f>
        <v/>
      </c>
      <c r="BM169" s="521" t="str">
        <f>IFERROR(IF(données_step[[#This Row],[E_NH4]]/données_step[[#This Row],[E_NTOT]]=0,NA(),données_step[[#This Row],[E_NH4]]/données_step[[#This Row],[E_NTOT]]),"")</f>
        <v/>
      </c>
      <c r="BN169" s="521" t="str">
        <f>IFERROR(IF(données_step[[#This Row],[E_NTOT]]/données_step[[#This Row],[E_COT]]=0,NA(),données_step[[#This Row],[E_NTOT]]/données_step[[#This Row],[E_COT]]),"")</f>
        <v/>
      </c>
      <c r="BO169" s="521" t="str">
        <f>IFERROR(IF(données_step[[#This Row],[E_PTOT]]/données_step[[#This Row],[E_COT]]=0,NA(),données_step[[#This Row],[E_PTOT]]/données_step[[#This Row],[E_COT]]),"")</f>
        <v/>
      </c>
      <c r="BP169" s="521" t="e">
        <f>IF(données_step[[#This Row],[E_DCO]]/données_step[[#This Row],[E_COT]]=0,NA(),données_step[[#This Row],[E_DCO]]/données_step[[#This Row],[E_COT]])</f>
        <v>#DIV/0!</v>
      </c>
      <c r="BQ169" s="521" t="e">
        <f>IF(données_step[[#This Row],[E_NTOT]]/données_step[[#This Row],[E_DCO]]=0,NA(),données_step[[#This Row],[E_NTOT]]/données_step[[#This Row],[E_DCO]])</f>
        <v>#DIV/0!</v>
      </c>
      <c r="BR169" s="521" t="e">
        <f>IF(données_step[[#This Row],[E_PTOT]]/données_step[[#This Row],[E_DCO]]=0,NA(),données_step[[#This Row],[E_PTOT]]/données_step[[#This Row],[E_DCO]])</f>
        <v>#DIV/0!</v>
      </c>
      <c r="BS169" s="747" t="e">
        <f ca="1">test_NH4_temp(données_step[[#This Row],[S_NH4]],données_step[[#This Row],[Temp_eaux]])</f>
        <v>#NAME?</v>
      </c>
    </row>
    <row r="170" spans="1:71" x14ac:dyDescent="0.2">
      <c r="A170" s="222">
        <f>données_step[[#This Row],[Datum]]</f>
        <v>44721</v>
      </c>
      <c r="B170" s="223"/>
      <c r="C170" s="224">
        <f t="shared" si="49"/>
        <v>5</v>
      </c>
      <c r="D170" s="523" t="str">
        <f>IF(OR(données_step[[#This Row],[E_DBO5]]&lt;=0,données_step[[#This Row],[E_DBO5]]=""),"",données_step[[#This Row],[D_QTRAI]]*données_step[[#This Row],[E_DBO5]]/1000)</f>
        <v/>
      </c>
      <c r="E170" s="523" t="str">
        <f>IF(OR(données_step[[#This Row],[E_DCO]]&lt;=0,données_step[[#This Row],[E_DCO]]=""),"",données_step[[#This Row],[D_QTRAI]]*données_step[[#This Row],[E_DCO]]/1000)</f>
        <v/>
      </c>
      <c r="F170" s="523" t="str">
        <f>IF(OR(données_step[[#This Row],[E_COT]]&lt;=0,données_step[[#This Row],[E_COT]]=""),"",données_step[[#This Row],[D_QTRAI]]*données_step[[#This Row],[E_COT]]/1000)</f>
        <v/>
      </c>
      <c r="G170" s="523" t="str">
        <f>IF(OR(données_step[[#This Row],[E_NH4]]&lt;=0,données_step[[#This Row],[E_NH4]]=""),"",données_step[[#This Row],[D_QTRAI]]*données_step[[#This Row],[E_NH4]]/1000)</f>
        <v/>
      </c>
      <c r="H170" s="523" t="str">
        <f>IF(OR(données_step[[#This Row],[E_NTOT]]&lt;=0,données_step[[#This Row],[E_NTOT]]=""),"",données_step[[#This Row],[D_QTRAI]]*données_step[[#This Row],[E_NTOT]]/1000)</f>
        <v/>
      </c>
      <c r="I170" s="523" t="str">
        <f>IF(OR(données_step[[#This Row],[E_NTOT]]&lt;=0,données_step[[#This Row],[E_NTOT]]=""),"",données_step[[#This Row],[D_QTRAI]]*données_step[[#This Row],[E_PTOT]]/1000)</f>
        <v/>
      </c>
      <c r="J170" s="523" t="str">
        <f>IF(OR(données_step[[#This Row],[S_DBO5]]&lt;=0,données_step[[#This Row],[S_DBO5]]=""),"",données_step[[#This Row],[D_QTRAI]]*données_step[[#This Row],[S_DBO5]]/1000)</f>
        <v/>
      </c>
      <c r="K170" s="523" t="str">
        <f>IF(OR(données_step[[#This Row],[S_DCO]]&lt;=0,données_step[[#This Row],[S_DCO]]=""),"",données_step[[#This Row],[D_QTRAI]]*données_step[[#This Row],[S_DCO]]/1000)</f>
        <v/>
      </c>
      <c r="L170" s="523" t="str">
        <f>IF(OR(données_step[[#This Row],[S_COD]]&lt;=0,données_step[[#This Row],[S_COD]]=""),"",données_step[[#This Row],[D_QTRAI]]*données_step[[#This Row],[S_COD]]/1000)</f>
        <v/>
      </c>
      <c r="M170" s="523" t="str">
        <f>IF(OR(données_step[[#This Row],[S_NH4]]&lt;=0,données_step[[#This Row],[S_NH4]]=""),"",données_step[[#This Row],[D_QTRAI]]*données_step[[#This Row],[S_NH4]]/1000)</f>
        <v/>
      </c>
      <c r="N170" s="523" t="str">
        <f>IF(OR(données_step[[#This Row],[S_NO2]]&lt;=0,données_step[[#This Row],[S_NO2]]=""),"",données_step[[#This Row],[D_QTRAI]]*données_step[[#This Row],[S_NO2]]/1000)</f>
        <v/>
      </c>
      <c r="O170" s="523" t="str">
        <f>IF(OR(données_step[[#This Row],[S_NO3]]&lt;=0,données_step[[#This Row],[S_NO3]]=""),"",données_step[[#This Row],[D_QTRAI]]*données_step[[#This Row],[S_NO3]]/1000)</f>
        <v/>
      </c>
      <c r="P170" s="523" t="str">
        <f>IF(OR(données_step[[#This Row],[S_PTOT]]&lt;=0,données_step[[#This Row],[S_PTOT]]=""),"",données_step[[#This Row],[D_QTRAI]]*données_step[[#This Row],[S_PTOT]]/1000)</f>
        <v/>
      </c>
      <c r="Q170" s="523" t="str">
        <f>IF(OR(données_step[[#This Row],[S_MES]]&lt;=0,données_step[[#This Row],[S_MES]]=""),"",données_step[[#This Row],[D_QTRAI]]*données_step[[#This Row],[S_MES]]/1000)</f>
        <v/>
      </c>
      <c r="R170" s="523">
        <f>MAX(données_step[[#This Row],[D_QTRAI]],données_step[[#This Row],[D_QTRAI2]])</f>
        <v>0</v>
      </c>
      <c r="S170" s="523" t="str">
        <f>IF(AND($R170&gt;0,données_step[[#This Row],[E_DCO]]&gt;0),données_step[[#This Row],[E_DCO]],"")</f>
        <v/>
      </c>
      <c r="T170" s="523" t="str">
        <f>IF(S170="","",(1-données_step[[#This Row],[E_DCO]]/$V$7)*100)</f>
        <v/>
      </c>
      <c r="U170" s="523" t="str">
        <f t="shared" si="35"/>
        <v/>
      </c>
      <c r="V170" s="523" t="str">
        <f t="shared" si="36"/>
        <v/>
      </c>
      <c r="W170" s="523" t="str">
        <f t="shared" si="37"/>
        <v/>
      </c>
      <c r="X170" s="523" t="e">
        <f>IF(((100-100/$V$7*données_step[[#This Row],[E_DCO]])/100*QTS)&lt;0,NA(),IF(OR(U170&lt;0,U170=""),NA(),((100-100/$V$7*données_step[[#This Row],[E_DCO]])/100*QTS)))</f>
        <v>#NUM!</v>
      </c>
      <c r="Y170" s="523" t="str">
        <f>IF(AND($R170&gt;0,données_step[[#This Row],[E_COT]]&gt;0),données_step[[#This Row],[E_COT]],"")</f>
        <v/>
      </c>
      <c r="Z170" s="523" t="str">
        <f>IF(Y170="","",(1-données_step[[#This Row],[E_COT]]/$AB$7)*100)</f>
        <v/>
      </c>
      <c r="AA170" s="523" t="str">
        <f t="shared" si="38"/>
        <v/>
      </c>
      <c r="AB170" s="523" t="str">
        <f t="shared" si="39"/>
        <v/>
      </c>
      <c r="AC170" s="523" t="str">
        <f t="shared" si="40"/>
        <v/>
      </c>
      <c r="AD170" s="523" t="e">
        <f>IF(((100-100/$AB$7*données_step[[#This Row],[E_COT]])/100*QTS)&lt;0,NA(),IF(OR(AA170&lt;0,AA170=""),NA(),((100-100/$AB$7*données_step[[#This Row],[E_COT]])/100*QTS)))</f>
        <v>#NUM!</v>
      </c>
      <c r="AE170" s="523" t="str">
        <f>IF(AND($R170&gt;0,données_step[[#This Row],[E_NH4]]&gt;0),données_step[[#This Row],[E_NH4]],"")</f>
        <v/>
      </c>
      <c r="AF170" s="523" t="str">
        <f>IF(AE170="","",(1-données_step[[#This Row],[E_NH4]]/$AH$7)*100)</f>
        <v/>
      </c>
      <c r="AG170" s="523" t="str">
        <f t="shared" si="41"/>
        <v/>
      </c>
      <c r="AH170" s="523" t="str">
        <f t="shared" si="42"/>
        <v/>
      </c>
      <c r="AI170" s="523" t="str">
        <f t="shared" si="43"/>
        <v/>
      </c>
      <c r="AJ170" s="523" t="e">
        <f>IF(((100-100/$AH$7*données_step[[#This Row],[E_NH4]])/100*QTS)&lt;0,NA(),IF(OR(AG170&lt;0,AG170=""),NA(),((100-100/$AH$7*données_step[[#This Row],[E_NH4]])/100*QTS)))</f>
        <v>#NUM!</v>
      </c>
      <c r="AK170" s="523" t="str">
        <f>IF(AND($R170&gt;0,données_step[[#This Row],[E_PTOT]]&gt;0),données_step[[#This Row],[E_PTOT]],"")</f>
        <v/>
      </c>
      <c r="AL170" s="523" t="str">
        <f>IF(AK170="","",(1-données_step[[#This Row],[E_PTOT]]/$AN$7)*100)</f>
        <v/>
      </c>
      <c r="AM170" s="523" t="str">
        <f t="shared" si="44"/>
        <v/>
      </c>
      <c r="AN170" s="523" t="str">
        <f t="shared" si="45"/>
        <v/>
      </c>
      <c r="AO170" s="523" t="str">
        <f t="shared" si="46"/>
        <v/>
      </c>
      <c r="AP170" s="523" t="e">
        <f>IF(((100-100/$AN$7*données_step[[#This Row],[E_PTOT]])/100*QTS)&lt;0,NA(),IF(OR(AM170&lt;0,AM170=""),NA(),((100-100/$AN$7*données_step[[#This Row],[E_PTOT]])/100*QTS)))</f>
        <v>#NUM!</v>
      </c>
      <c r="AQ170" s="524" t="e">
        <f t="shared" si="47"/>
        <v>#NUM!</v>
      </c>
      <c r="AR170" s="524" t="str">
        <f t="shared" si="48"/>
        <v/>
      </c>
      <c r="AY170" s="523" t="str">
        <f>_xlfn.IFNA(IF(données_step[[#This Row],[E_DCO]]&lt;=0,NA(),charge_entree[[#This Row],[ch_E_DCO]]/constanten!$B$8*1000),"")</f>
        <v/>
      </c>
      <c r="AZ170" s="523" t="str">
        <f>_xlfn.IFNA(IF(données_step[[#This Row],[E_NTOT]]&lt;=0,NA(),charge_entree[[#This Row],[ch_E_NTOT]]/constanten!$B$10*1000),"")</f>
        <v/>
      </c>
      <c r="BA170" s="523" t="str">
        <f>_xlfn.IFNA(IF(données_step[[#This Row],[E_NH4]]&lt;=0,NA(),charge_entree[[#This Row],[ch_E_NH4]]/constanten!$B$12*1000),"")</f>
        <v/>
      </c>
      <c r="BB170" s="523" t="str">
        <f>_xlfn.IFNA(IF(données_step[[#This Row],[E_COT]]&lt;=0,NA(),charge_entree[[#This Row],[ch_E_COT]]/constanten!$B$9*1000),"")</f>
        <v/>
      </c>
      <c r="BC170" s="523" t="str">
        <f>IFERROR(_xlfn.IFNA(IF(données_step[[#This Row],[E_PTOT]]&lt;=0,NA(),charge_entree[[#This Row],[ch_E_PTOT]]/constanten!$B$15*1000),""),"")</f>
        <v/>
      </c>
      <c r="BD170" s="535" t="e">
        <f>calculs!E170 * (1-0.4) / (données_step[[#This Row],[X_BA_VOL]]*données_step[[#This Row],[X_BACONC]])</f>
        <v>#VALUE!</v>
      </c>
      <c r="BE170" s="522" t="e">
        <f>(données_step[[#This Row],[X_BA_VOL]]*données_step[[#This Row],[X_BACONC]])/((données_step[[#This Row],[D_QTRAI2]]*données_step[[#This Row],[S_MES]]/1000)+(données_step[[#This Row],[X_BX_Q]]*données_step[[#This Row],[X_BXCONC]]))</f>
        <v>#VALUE!</v>
      </c>
      <c r="BF170" s="890" t="str">
        <f>IFERROR(données_step[[#This Row],[D_QTRAI]]/AY170*1000,"")</f>
        <v/>
      </c>
      <c r="BG170" s="535" t="str">
        <f>IFERROR(1-données_step[[#This Row],[S_DBO5]]/données_step[[#This Row],[E_DBO5]],"")</f>
        <v/>
      </c>
      <c r="BH170" s="536" t="str">
        <f>IFERROR(1-données_step[[#This Row],[S_DCO]]/données_step[[#This Row],[E_DCO]],"")</f>
        <v/>
      </c>
      <c r="BI170" s="535" t="str">
        <f>IFERROR(1-données_step[[#This Row],[S_COD]]/données_step[[#This Row],[E_COT]],"")</f>
        <v/>
      </c>
      <c r="BJ170" s="535" t="str">
        <f>IFERROR(1-données_step[[#This Row],[S_NH4]]/données_step[[#This Row],[E_NTOT]],"")</f>
        <v/>
      </c>
      <c r="BK170" s="535" t="str">
        <f>IFERROR(1-données_step[[#This Row],[S_PTOT]]/données_step[[#This Row],[E_PTOT]],"")</f>
        <v/>
      </c>
      <c r="BL170" s="521" t="str">
        <f>IFERROR(IF(données_step[[#This Row],[E_DCO]]/données_step[[#This Row],[E_DBO5]]=0,NA(),données_step[[#This Row],[E_DCO]]/données_step[[#This Row],[E_DBO5]]),"")</f>
        <v/>
      </c>
      <c r="BM170" s="521" t="str">
        <f>IFERROR(IF(données_step[[#This Row],[E_NH4]]/données_step[[#This Row],[E_NTOT]]=0,NA(),données_step[[#This Row],[E_NH4]]/données_step[[#This Row],[E_NTOT]]),"")</f>
        <v/>
      </c>
      <c r="BN170" s="521" t="str">
        <f>IFERROR(IF(données_step[[#This Row],[E_NTOT]]/données_step[[#This Row],[E_COT]]=0,NA(),données_step[[#This Row],[E_NTOT]]/données_step[[#This Row],[E_COT]]),"")</f>
        <v/>
      </c>
      <c r="BO170" s="521" t="str">
        <f>IFERROR(IF(données_step[[#This Row],[E_PTOT]]/données_step[[#This Row],[E_COT]]=0,NA(),données_step[[#This Row],[E_PTOT]]/données_step[[#This Row],[E_COT]]),"")</f>
        <v/>
      </c>
      <c r="BP170" s="521" t="e">
        <f>IF(données_step[[#This Row],[E_DCO]]/données_step[[#This Row],[E_COT]]=0,NA(),données_step[[#This Row],[E_DCO]]/données_step[[#This Row],[E_COT]])</f>
        <v>#DIV/0!</v>
      </c>
      <c r="BQ170" s="521" t="e">
        <f>IF(données_step[[#This Row],[E_NTOT]]/données_step[[#This Row],[E_DCO]]=0,NA(),données_step[[#This Row],[E_NTOT]]/données_step[[#This Row],[E_DCO]])</f>
        <v>#DIV/0!</v>
      </c>
      <c r="BR170" s="521" t="e">
        <f>IF(données_step[[#This Row],[E_PTOT]]/données_step[[#This Row],[E_DCO]]=0,NA(),données_step[[#This Row],[E_PTOT]]/données_step[[#This Row],[E_DCO]])</f>
        <v>#DIV/0!</v>
      </c>
      <c r="BS170" s="747" t="e">
        <f ca="1">test_NH4_temp(données_step[[#This Row],[S_NH4]],données_step[[#This Row],[Temp_eaux]])</f>
        <v>#NAME?</v>
      </c>
    </row>
    <row r="171" spans="1:71" x14ac:dyDescent="0.2">
      <c r="A171" s="222">
        <f>données_step[[#This Row],[Datum]]</f>
        <v>44722</v>
      </c>
      <c r="B171" s="223"/>
      <c r="C171" s="224">
        <f t="shared" si="49"/>
        <v>6</v>
      </c>
      <c r="D171" s="523" t="str">
        <f>IF(OR(données_step[[#This Row],[E_DBO5]]&lt;=0,données_step[[#This Row],[E_DBO5]]=""),"",données_step[[#This Row],[D_QTRAI]]*données_step[[#This Row],[E_DBO5]]/1000)</f>
        <v/>
      </c>
      <c r="E171" s="523" t="str">
        <f>IF(OR(données_step[[#This Row],[E_DCO]]&lt;=0,données_step[[#This Row],[E_DCO]]=""),"",données_step[[#This Row],[D_QTRAI]]*données_step[[#This Row],[E_DCO]]/1000)</f>
        <v/>
      </c>
      <c r="F171" s="523" t="str">
        <f>IF(OR(données_step[[#This Row],[E_COT]]&lt;=0,données_step[[#This Row],[E_COT]]=""),"",données_step[[#This Row],[D_QTRAI]]*données_step[[#This Row],[E_COT]]/1000)</f>
        <v/>
      </c>
      <c r="G171" s="523" t="str">
        <f>IF(OR(données_step[[#This Row],[E_NH4]]&lt;=0,données_step[[#This Row],[E_NH4]]=""),"",données_step[[#This Row],[D_QTRAI]]*données_step[[#This Row],[E_NH4]]/1000)</f>
        <v/>
      </c>
      <c r="H171" s="523" t="str">
        <f>IF(OR(données_step[[#This Row],[E_NTOT]]&lt;=0,données_step[[#This Row],[E_NTOT]]=""),"",données_step[[#This Row],[D_QTRAI]]*données_step[[#This Row],[E_NTOT]]/1000)</f>
        <v/>
      </c>
      <c r="I171" s="523" t="str">
        <f>IF(OR(données_step[[#This Row],[E_NTOT]]&lt;=0,données_step[[#This Row],[E_NTOT]]=""),"",données_step[[#This Row],[D_QTRAI]]*données_step[[#This Row],[E_PTOT]]/1000)</f>
        <v/>
      </c>
      <c r="J171" s="523" t="str">
        <f>IF(OR(données_step[[#This Row],[S_DBO5]]&lt;=0,données_step[[#This Row],[S_DBO5]]=""),"",données_step[[#This Row],[D_QTRAI]]*données_step[[#This Row],[S_DBO5]]/1000)</f>
        <v/>
      </c>
      <c r="K171" s="523" t="str">
        <f>IF(OR(données_step[[#This Row],[S_DCO]]&lt;=0,données_step[[#This Row],[S_DCO]]=""),"",données_step[[#This Row],[D_QTRAI]]*données_step[[#This Row],[S_DCO]]/1000)</f>
        <v/>
      </c>
      <c r="L171" s="523" t="str">
        <f>IF(OR(données_step[[#This Row],[S_COD]]&lt;=0,données_step[[#This Row],[S_COD]]=""),"",données_step[[#This Row],[D_QTRAI]]*données_step[[#This Row],[S_COD]]/1000)</f>
        <v/>
      </c>
      <c r="M171" s="523" t="str">
        <f>IF(OR(données_step[[#This Row],[S_NH4]]&lt;=0,données_step[[#This Row],[S_NH4]]=""),"",données_step[[#This Row],[D_QTRAI]]*données_step[[#This Row],[S_NH4]]/1000)</f>
        <v/>
      </c>
      <c r="N171" s="523" t="str">
        <f>IF(OR(données_step[[#This Row],[S_NO2]]&lt;=0,données_step[[#This Row],[S_NO2]]=""),"",données_step[[#This Row],[D_QTRAI]]*données_step[[#This Row],[S_NO2]]/1000)</f>
        <v/>
      </c>
      <c r="O171" s="523" t="str">
        <f>IF(OR(données_step[[#This Row],[S_NO3]]&lt;=0,données_step[[#This Row],[S_NO3]]=""),"",données_step[[#This Row],[D_QTRAI]]*données_step[[#This Row],[S_NO3]]/1000)</f>
        <v/>
      </c>
      <c r="P171" s="523" t="str">
        <f>IF(OR(données_step[[#This Row],[S_PTOT]]&lt;=0,données_step[[#This Row],[S_PTOT]]=""),"",données_step[[#This Row],[D_QTRAI]]*données_step[[#This Row],[S_PTOT]]/1000)</f>
        <v/>
      </c>
      <c r="Q171" s="523" t="str">
        <f>IF(OR(données_step[[#This Row],[S_MES]]&lt;=0,données_step[[#This Row],[S_MES]]=""),"",données_step[[#This Row],[D_QTRAI]]*données_step[[#This Row],[S_MES]]/1000)</f>
        <v/>
      </c>
      <c r="R171" s="523">
        <f>MAX(données_step[[#This Row],[D_QTRAI]],données_step[[#This Row],[D_QTRAI2]])</f>
        <v>0</v>
      </c>
      <c r="S171" s="523" t="str">
        <f>IF(AND($R171&gt;0,données_step[[#This Row],[E_DCO]]&gt;0),données_step[[#This Row],[E_DCO]],"")</f>
        <v/>
      </c>
      <c r="T171" s="523" t="str">
        <f>IF(S171="","",(1-données_step[[#This Row],[E_DCO]]/$V$7)*100)</f>
        <v/>
      </c>
      <c r="U171" s="523" t="str">
        <f t="shared" si="35"/>
        <v/>
      </c>
      <c r="V171" s="523" t="str">
        <f t="shared" si="36"/>
        <v/>
      </c>
      <c r="W171" s="523" t="str">
        <f t="shared" si="37"/>
        <v/>
      </c>
      <c r="X171" s="523" t="e">
        <f>IF(((100-100/$V$7*données_step[[#This Row],[E_DCO]])/100*QTS)&lt;0,NA(),IF(OR(U171&lt;0,U171=""),NA(),((100-100/$V$7*données_step[[#This Row],[E_DCO]])/100*QTS)))</f>
        <v>#NUM!</v>
      </c>
      <c r="Y171" s="523" t="str">
        <f>IF(AND($R171&gt;0,données_step[[#This Row],[E_COT]]&gt;0),données_step[[#This Row],[E_COT]],"")</f>
        <v/>
      </c>
      <c r="Z171" s="523" t="str">
        <f>IF(Y171="","",(1-données_step[[#This Row],[E_COT]]/$AB$7)*100)</f>
        <v/>
      </c>
      <c r="AA171" s="523" t="str">
        <f t="shared" si="38"/>
        <v/>
      </c>
      <c r="AB171" s="523" t="str">
        <f t="shared" si="39"/>
        <v/>
      </c>
      <c r="AC171" s="523" t="str">
        <f t="shared" si="40"/>
        <v/>
      </c>
      <c r="AD171" s="523" t="e">
        <f>IF(((100-100/$AB$7*données_step[[#This Row],[E_COT]])/100*QTS)&lt;0,NA(),IF(OR(AA171&lt;0,AA171=""),NA(),((100-100/$AB$7*données_step[[#This Row],[E_COT]])/100*QTS)))</f>
        <v>#NUM!</v>
      </c>
      <c r="AE171" s="523" t="str">
        <f>IF(AND($R171&gt;0,données_step[[#This Row],[E_NH4]]&gt;0),données_step[[#This Row],[E_NH4]],"")</f>
        <v/>
      </c>
      <c r="AF171" s="523" t="str">
        <f>IF(AE171="","",(1-données_step[[#This Row],[E_NH4]]/$AH$7)*100)</f>
        <v/>
      </c>
      <c r="AG171" s="523" t="str">
        <f t="shared" si="41"/>
        <v/>
      </c>
      <c r="AH171" s="523" t="str">
        <f t="shared" si="42"/>
        <v/>
      </c>
      <c r="AI171" s="523" t="str">
        <f t="shared" si="43"/>
        <v/>
      </c>
      <c r="AJ171" s="523" t="e">
        <f>IF(((100-100/$AH$7*données_step[[#This Row],[E_NH4]])/100*QTS)&lt;0,NA(),IF(OR(AG171&lt;0,AG171=""),NA(),((100-100/$AH$7*données_step[[#This Row],[E_NH4]])/100*QTS)))</f>
        <v>#NUM!</v>
      </c>
      <c r="AK171" s="523" t="str">
        <f>IF(AND($R171&gt;0,données_step[[#This Row],[E_PTOT]]&gt;0),données_step[[#This Row],[E_PTOT]],"")</f>
        <v/>
      </c>
      <c r="AL171" s="523" t="str">
        <f>IF(AK171="","",(1-données_step[[#This Row],[E_PTOT]]/$AN$7)*100)</f>
        <v/>
      </c>
      <c r="AM171" s="523" t="str">
        <f t="shared" si="44"/>
        <v/>
      </c>
      <c r="AN171" s="523" t="str">
        <f t="shared" si="45"/>
        <v/>
      </c>
      <c r="AO171" s="523" t="str">
        <f t="shared" si="46"/>
        <v/>
      </c>
      <c r="AP171" s="523" t="e">
        <f>IF(((100-100/$AN$7*données_step[[#This Row],[E_PTOT]])/100*QTS)&lt;0,NA(),IF(OR(AM171&lt;0,AM171=""),NA(),((100-100/$AN$7*données_step[[#This Row],[E_PTOT]])/100*QTS)))</f>
        <v>#NUM!</v>
      </c>
      <c r="AQ171" s="524" t="e">
        <f t="shared" si="47"/>
        <v>#NUM!</v>
      </c>
      <c r="AR171" s="524" t="str">
        <f t="shared" si="48"/>
        <v/>
      </c>
      <c r="AY171" s="523" t="str">
        <f>_xlfn.IFNA(IF(données_step[[#This Row],[E_DCO]]&lt;=0,NA(),charge_entree[[#This Row],[ch_E_DCO]]/constanten!$B$8*1000),"")</f>
        <v/>
      </c>
      <c r="AZ171" s="523" t="str">
        <f>_xlfn.IFNA(IF(données_step[[#This Row],[E_NTOT]]&lt;=0,NA(),charge_entree[[#This Row],[ch_E_NTOT]]/constanten!$B$10*1000),"")</f>
        <v/>
      </c>
      <c r="BA171" s="523" t="str">
        <f>_xlfn.IFNA(IF(données_step[[#This Row],[E_NH4]]&lt;=0,NA(),charge_entree[[#This Row],[ch_E_NH4]]/constanten!$B$12*1000),"")</f>
        <v/>
      </c>
      <c r="BB171" s="523" t="str">
        <f>_xlfn.IFNA(IF(données_step[[#This Row],[E_COT]]&lt;=0,NA(),charge_entree[[#This Row],[ch_E_COT]]/constanten!$B$9*1000),"")</f>
        <v/>
      </c>
      <c r="BC171" s="523" t="str">
        <f>IFERROR(_xlfn.IFNA(IF(données_step[[#This Row],[E_PTOT]]&lt;=0,NA(),charge_entree[[#This Row],[ch_E_PTOT]]/constanten!$B$15*1000),""),"")</f>
        <v/>
      </c>
      <c r="BD171" s="535" t="e">
        <f>calculs!E171 * (1-0.4) / (données_step[[#This Row],[X_BA_VOL]]*données_step[[#This Row],[X_BACONC]])</f>
        <v>#VALUE!</v>
      </c>
      <c r="BE171" s="522" t="e">
        <f>(données_step[[#This Row],[X_BA_VOL]]*données_step[[#This Row],[X_BACONC]])/((données_step[[#This Row],[D_QTRAI2]]*données_step[[#This Row],[S_MES]]/1000)+(données_step[[#This Row],[X_BX_Q]]*données_step[[#This Row],[X_BXCONC]]))</f>
        <v>#VALUE!</v>
      </c>
      <c r="BF171" s="890" t="str">
        <f>IFERROR(données_step[[#This Row],[D_QTRAI]]/AY171*1000,"")</f>
        <v/>
      </c>
      <c r="BG171" s="535" t="str">
        <f>IFERROR(1-données_step[[#This Row],[S_DBO5]]/données_step[[#This Row],[E_DBO5]],"")</f>
        <v/>
      </c>
      <c r="BH171" s="536" t="str">
        <f>IFERROR(1-données_step[[#This Row],[S_DCO]]/données_step[[#This Row],[E_DCO]],"")</f>
        <v/>
      </c>
      <c r="BI171" s="535" t="str">
        <f>IFERROR(1-données_step[[#This Row],[S_COD]]/données_step[[#This Row],[E_COT]],"")</f>
        <v/>
      </c>
      <c r="BJ171" s="535" t="str">
        <f>IFERROR(1-données_step[[#This Row],[S_NH4]]/données_step[[#This Row],[E_NTOT]],"")</f>
        <v/>
      </c>
      <c r="BK171" s="535" t="str">
        <f>IFERROR(1-données_step[[#This Row],[S_PTOT]]/données_step[[#This Row],[E_PTOT]],"")</f>
        <v/>
      </c>
      <c r="BL171" s="521" t="str">
        <f>IFERROR(IF(données_step[[#This Row],[E_DCO]]/données_step[[#This Row],[E_DBO5]]=0,NA(),données_step[[#This Row],[E_DCO]]/données_step[[#This Row],[E_DBO5]]),"")</f>
        <v/>
      </c>
      <c r="BM171" s="521" t="str">
        <f>IFERROR(IF(données_step[[#This Row],[E_NH4]]/données_step[[#This Row],[E_NTOT]]=0,NA(),données_step[[#This Row],[E_NH4]]/données_step[[#This Row],[E_NTOT]]),"")</f>
        <v/>
      </c>
      <c r="BN171" s="521" t="str">
        <f>IFERROR(IF(données_step[[#This Row],[E_NTOT]]/données_step[[#This Row],[E_COT]]=0,NA(),données_step[[#This Row],[E_NTOT]]/données_step[[#This Row],[E_COT]]),"")</f>
        <v/>
      </c>
      <c r="BO171" s="521" t="str">
        <f>IFERROR(IF(données_step[[#This Row],[E_PTOT]]/données_step[[#This Row],[E_COT]]=0,NA(),données_step[[#This Row],[E_PTOT]]/données_step[[#This Row],[E_COT]]),"")</f>
        <v/>
      </c>
      <c r="BP171" s="521" t="e">
        <f>IF(données_step[[#This Row],[E_DCO]]/données_step[[#This Row],[E_COT]]=0,NA(),données_step[[#This Row],[E_DCO]]/données_step[[#This Row],[E_COT]])</f>
        <v>#DIV/0!</v>
      </c>
      <c r="BQ171" s="521" t="e">
        <f>IF(données_step[[#This Row],[E_NTOT]]/données_step[[#This Row],[E_DCO]]=0,NA(),données_step[[#This Row],[E_NTOT]]/données_step[[#This Row],[E_DCO]])</f>
        <v>#DIV/0!</v>
      </c>
      <c r="BR171" s="521" t="e">
        <f>IF(données_step[[#This Row],[E_PTOT]]/données_step[[#This Row],[E_DCO]]=0,NA(),données_step[[#This Row],[E_PTOT]]/données_step[[#This Row],[E_DCO]])</f>
        <v>#DIV/0!</v>
      </c>
      <c r="BS171" s="747" t="e">
        <f ca="1">test_NH4_temp(données_step[[#This Row],[S_NH4]],données_step[[#This Row],[Temp_eaux]])</f>
        <v>#NAME?</v>
      </c>
    </row>
    <row r="172" spans="1:71" x14ac:dyDescent="0.2">
      <c r="A172" s="222">
        <f>données_step[[#This Row],[Datum]]</f>
        <v>44723</v>
      </c>
      <c r="B172" s="223"/>
      <c r="C172" s="224">
        <f t="shared" si="49"/>
        <v>7</v>
      </c>
      <c r="D172" s="523" t="str">
        <f>IF(OR(données_step[[#This Row],[E_DBO5]]&lt;=0,données_step[[#This Row],[E_DBO5]]=""),"",données_step[[#This Row],[D_QTRAI]]*données_step[[#This Row],[E_DBO5]]/1000)</f>
        <v/>
      </c>
      <c r="E172" s="523" t="str">
        <f>IF(OR(données_step[[#This Row],[E_DCO]]&lt;=0,données_step[[#This Row],[E_DCO]]=""),"",données_step[[#This Row],[D_QTRAI]]*données_step[[#This Row],[E_DCO]]/1000)</f>
        <v/>
      </c>
      <c r="F172" s="523" t="str">
        <f>IF(OR(données_step[[#This Row],[E_COT]]&lt;=0,données_step[[#This Row],[E_COT]]=""),"",données_step[[#This Row],[D_QTRAI]]*données_step[[#This Row],[E_COT]]/1000)</f>
        <v/>
      </c>
      <c r="G172" s="523" t="str">
        <f>IF(OR(données_step[[#This Row],[E_NH4]]&lt;=0,données_step[[#This Row],[E_NH4]]=""),"",données_step[[#This Row],[D_QTRAI]]*données_step[[#This Row],[E_NH4]]/1000)</f>
        <v/>
      </c>
      <c r="H172" s="523" t="str">
        <f>IF(OR(données_step[[#This Row],[E_NTOT]]&lt;=0,données_step[[#This Row],[E_NTOT]]=""),"",données_step[[#This Row],[D_QTRAI]]*données_step[[#This Row],[E_NTOT]]/1000)</f>
        <v/>
      </c>
      <c r="I172" s="523" t="str">
        <f>IF(OR(données_step[[#This Row],[E_NTOT]]&lt;=0,données_step[[#This Row],[E_NTOT]]=""),"",données_step[[#This Row],[D_QTRAI]]*données_step[[#This Row],[E_PTOT]]/1000)</f>
        <v/>
      </c>
      <c r="J172" s="523" t="str">
        <f>IF(OR(données_step[[#This Row],[S_DBO5]]&lt;=0,données_step[[#This Row],[S_DBO5]]=""),"",données_step[[#This Row],[D_QTRAI]]*données_step[[#This Row],[S_DBO5]]/1000)</f>
        <v/>
      </c>
      <c r="K172" s="523" t="str">
        <f>IF(OR(données_step[[#This Row],[S_DCO]]&lt;=0,données_step[[#This Row],[S_DCO]]=""),"",données_step[[#This Row],[D_QTRAI]]*données_step[[#This Row],[S_DCO]]/1000)</f>
        <v/>
      </c>
      <c r="L172" s="523" t="str">
        <f>IF(OR(données_step[[#This Row],[S_COD]]&lt;=0,données_step[[#This Row],[S_COD]]=""),"",données_step[[#This Row],[D_QTRAI]]*données_step[[#This Row],[S_COD]]/1000)</f>
        <v/>
      </c>
      <c r="M172" s="523" t="str">
        <f>IF(OR(données_step[[#This Row],[S_NH4]]&lt;=0,données_step[[#This Row],[S_NH4]]=""),"",données_step[[#This Row],[D_QTRAI]]*données_step[[#This Row],[S_NH4]]/1000)</f>
        <v/>
      </c>
      <c r="N172" s="523" t="str">
        <f>IF(OR(données_step[[#This Row],[S_NO2]]&lt;=0,données_step[[#This Row],[S_NO2]]=""),"",données_step[[#This Row],[D_QTRAI]]*données_step[[#This Row],[S_NO2]]/1000)</f>
        <v/>
      </c>
      <c r="O172" s="523" t="str">
        <f>IF(OR(données_step[[#This Row],[S_NO3]]&lt;=0,données_step[[#This Row],[S_NO3]]=""),"",données_step[[#This Row],[D_QTRAI]]*données_step[[#This Row],[S_NO3]]/1000)</f>
        <v/>
      </c>
      <c r="P172" s="523" t="str">
        <f>IF(OR(données_step[[#This Row],[S_PTOT]]&lt;=0,données_step[[#This Row],[S_PTOT]]=""),"",données_step[[#This Row],[D_QTRAI]]*données_step[[#This Row],[S_PTOT]]/1000)</f>
        <v/>
      </c>
      <c r="Q172" s="523" t="str">
        <f>IF(OR(données_step[[#This Row],[S_MES]]&lt;=0,données_step[[#This Row],[S_MES]]=""),"",données_step[[#This Row],[D_QTRAI]]*données_step[[#This Row],[S_MES]]/1000)</f>
        <v/>
      </c>
      <c r="R172" s="523">
        <f>MAX(données_step[[#This Row],[D_QTRAI]],données_step[[#This Row],[D_QTRAI2]])</f>
        <v>0</v>
      </c>
      <c r="S172" s="523" t="str">
        <f>IF(AND($R172&gt;0,données_step[[#This Row],[E_DCO]]&gt;0),données_step[[#This Row],[E_DCO]],"")</f>
        <v/>
      </c>
      <c r="T172" s="523" t="str">
        <f>IF(S172="","",(1-données_step[[#This Row],[E_DCO]]/$V$7)*100)</f>
        <v/>
      </c>
      <c r="U172" s="523" t="str">
        <f t="shared" si="35"/>
        <v/>
      </c>
      <c r="V172" s="523" t="str">
        <f t="shared" si="36"/>
        <v/>
      </c>
      <c r="W172" s="523" t="str">
        <f t="shared" si="37"/>
        <v/>
      </c>
      <c r="X172" s="523" t="e">
        <f>IF(((100-100/$V$7*données_step[[#This Row],[E_DCO]])/100*QTS)&lt;0,NA(),IF(OR(U172&lt;0,U172=""),NA(),((100-100/$V$7*données_step[[#This Row],[E_DCO]])/100*QTS)))</f>
        <v>#NUM!</v>
      </c>
      <c r="Y172" s="523" t="str">
        <f>IF(AND($R172&gt;0,données_step[[#This Row],[E_COT]]&gt;0),données_step[[#This Row],[E_COT]],"")</f>
        <v/>
      </c>
      <c r="Z172" s="523" t="str">
        <f>IF(Y172="","",(1-données_step[[#This Row],[E_COT]]/$AB$7)*100)</f>
        <v/>
      </c>
      <c r="AA172" s="523" t="str">
        <f t="shared" si="38"/>
        <v/>
      </c>
      <c r="AB172" s="523" t="str">
        <f t="shared" si="39"/>
        <v/>
      </c>
      <c r="AC172" s="523" t="str">
        <f t="shared" si="40"/>
        <v/>
      </c>
      <c r="AD172" s="523" t="e">
        <f>IF(((100-100/$AB$7*données_step[[#This Row],[E_COT]])/100*QTS)&lt;0,NA(),IF(OR(AA172&lt;0,AA172=""),NA(),((100-100/$AB$7*données_step[[#This Row],[E_COT]])/100*QTS)))</f>
        <v>#NUM!</v>
      </c>
      <c r="AE172" s="523" t="str">
        <f>IF(AND($R172&gt;0,données_step[[#This Row],[E_NH4]]&gt;0),données_step[[#This Row],[E_NH4]],"")</f>
        <v/>
      </c>
      <c r="AF172" s="523" t="str">
        <f>IF(AE172="","",(1-données_step[[#This Row],[E_NH4]]/$AH$7)*100)</f>
        <v/>
      </c>
      <c r="AG172" s="523" t="str">
        <f t="shared" si="41"/>
        <v/>
      </c>
      <c r="AH172" s="523" t="str">
        <f t="shared" si="42"/>
        <v/>
      </c>
      <c r="AI172" s="523" t="str">
        <f t="shared" si="43"/>
        <v/>
      </c>
      <c r="AJ172" s="523" t="e">
        <f>IF(((100-100/$AH$7*données_step[[#This Row],[E_NH4]])/100*QTS)&lt;0,NA(),IF(OR(AG172&lt;0,AG172=""),NA(),((100-100/$AH$7*données_step[[#This Row],[E_NH4]])/100*QTS)))</f>
        <v>#NUM!</v>
      </c>
      <c r="AK172" s="523" t="str">
        <f>IF(AND($R172&gt;0,données_step[[#This Row],[E_PTOT]]&gt;0),données_step[[#This Row],[E_PTOT]],"")</f>
        <v/>
      </c>
      <c r="AL172" s="523" t="str">
        <f>IF(AK172="","",(1-données_step[[#This Row],[E_PTOT]]/$AN$7)*100)</f>
        <v/>
      </c>
      <c r="AM172" s="523" t="str">
        <f t="shared" si="44"/>
        <v/>
      </c>
      <c r="AN172" s="523" t="str">
        <f t="shared" si="45"/>
        <v/>
      </c>
      <c r="AO172" s="523" t="str">
        <f t="shared" si="46"/>
        <v/>
      </c>
      <c r="AP172" s="523" t="e">
        <f>IF(((100-100/$AN$7*données_step[[#This Row],[E_PTOT]])/100*QTS)&lt;0,NA(),IF(OR(AM172&lt;0,AM172=""),NA(),((100-100/$AN$7*données_step[[#This Row],[E_PTOT]])/100*QTS)))</f>
        <v>#NUM!</v>
      </c>
      <c r="AQ172" s="524" t="e">
        <f t="shared" si="47"/>
        <v>#NUM!</v>
      </c>
      <c r="AR172" s="524" t="str">
        <f t="shared" si="48"/>
        <v/>
      </c>
      <c r="AY172" s="523" t="str">
        <f>_xlfn.IFNA(IF(données_step[[#This Row],[E_DCO]]&lt;=0,NA(),charge_entree[[#This Row],[ch_E_DCO]]/constanten!$B$8*1000),"")</f>
        <v/>
      </c>
      <c r="AZ172" s="523" t="str">
        <f>_xlfn.IFNA(IF(données_step[[#This Row],[E_NTOT]]&lt;=0,NA(),charge_entree[[#This Row],[ch_E_NTOT]]/constanten!$B$10*1000),"")</f>
        <v/>
      </c>
      <c r="BA172" s="523" t="str">
        <f>_xlfn.IFNA(IF(données_step[[#This Row],[E_NH4]]&lt;=0,NA(),charge_entree[[#This Row],[ch_E_NH4]]/constanten!$B$12*1000),"")</f>
        <v/>
      </c>
      <c r="BB172" s="523" t="str">
        <f>_xlfn.IFNA(IF(données_step[[#This Row],[E_COT]]&lt;=0,NA(),charge_entree[[#This Row],[ch_E_COT]]/constanten!$B$9*1000),"")</f>
        <v/>
      </c>
      <c r="BC172" s="523" t="str">
        <f>IFERROR(_xlfn.IFNA(IF(données_step[[#This Row],[E_PTOT]]&lt;=0,NA(),charge_entree[[#This Row],[ch_E_PTOT]]/constanten!$B$15*1000),""),"")</f>
        <v/>
      </c>
      <c r="BD172" s="535" t="e">
        <f>calculs!E172 * (1-0.4) / (données_step[[#This Row],[X_BA_VOL]]*données_step[[#This Row],[X_BACONC]])</f>
        <v>#VALUE!</v>
      </c>
      <c r="BE172" s="522" t="e">
        <f>(données_step[[#This Row],[X_BA_VOL]]*données_step[[#This Row],[X_BACONC]])/((données_step[[#This Row],[D_QTRAI2]]*données_step[[#This Row],[S_MES]]/1000)+(données_step[[#This Row],[X_BX_Q]]*données_step[[#This Row],[X_BXCONC]]))</f>
        <v>#VALUE!</v>
      </c>
      <c r="BF172" s="890" t="str">
        <f>IFERROR(données_step[[#This Row],[D_QTRAI]]/AY172*1000,"")</f>
        <v/>
      </c>
      <c r="BG172" s="535" t="str">
        <f>IFERROR(1-données_step[[#This Row],[S_DBO5]]/données_step[[#This Row],[E_DBO5]],"")</f>
        <v/>
      </c>
      <c r="BH172" s="536" t="str">
        <f>IFERROR(1-données_step[[#This Row],[S_DCO]]/données_step[[#This Row],[E_DCO]],"")</f>
        <v/>
      </c>
      <c r="BI172" s="535" t="str">
        <f>IFERROR(1-données_step[[#This Row],[S_COD]]/données_step[[#This Row],[E_COT]],"")</f>
        <v/>
      </c>
      <c r="BJ172" s="535" t="str">
        <f>IFERROR(1-données_step[[#This Row],[S_NH4]]/données_step[[#This Row],[E_NTOT]],"")</f>
        <v/>
      </c>
      <c r="BK172" s="535" t="str">
        <f>IFERROR(1-données_step[[#This Row],[S_PTOT]]/données_step[[#This Row],[E_PTOT]],"")</f>
        <v/>
      </c>
      <c r="BL172" s="521" t="str">
        <f>IFERROR(IF(données_step[[#This Row],[E_DCO]]/données_step[[#This Row],[E_DBO5]]=0,NA(),données_step[[#This Row],[E_DCO]]/données_step[[#This Row],[E_DBO5]]),"")</f>
        <v/>
      </c>
      <c r="BM172" s="521" t="str">
        <f>IFERROR(IF(données_step[[#This Row],[E_NH4]]/données_step[[#This Row],[E_NTOT]]=0,NA(),données_step[[#This Row],[E_NH4]]/données_step[[#This Row],[E_NTOT]]),"")</f>
        <v/>
      </c>
      <c r="BN172" s="521" t="str">
        <f>IFERROR(IF(données_step[[#This Row],[E_NTOT]]/données_step[[#This Row],[E_COT]]=0,NA(),données_step[[#This Row],[E_NTOT]]/données_step[[#This Row],[E_COT]]),"")</f>
        <v/>
      </c>
      <c r="BO172" s="521" t="str">
        <f>IFERROR(IF(données_step[[#This Row],[E_PTOT]]/données_step[[#This Row],[E_COT]]=0,NA(),données_step[[#This Row],[E_PTOT]]/données_step[[#This Row],[E_COT]]),"")</f>
        <v/>
      </c>
      <c r="BP172" s="521" t="e">
        <f>IF(données_step[[#This Row],[E_DCO]]/données_step[[#This Row],[E_COT]]=0,NA(),données_step[[#This Row],[E_DCO]]/données_step[[#This Row],[E_COT]])</f>
        <v>#DIV/0!</v>
      </c>
      <c r="BQ172" s="521" t="e">
        <f>IF(données_step[[#This Row],[E_NTOT]]/données_step[[#This Row],[E_DCO]]=0,NA(),données_step[[#This Row],[E_NTOT]]/données_step[[#This Row],[E_DCO]])</f>
        <v>#DIV/0!</v>
      </c>
      <c r="BR172" s="521" t="e">
        <f>IF(données_step[[#This Row],[E_PTOT]]/données_step[[#This Row],[E_DCO]]=0,NA(),données_step[[#This Row],[E_PTOT]]/données_step[[#This Row],[E_DCO]])</f>
        <v>#DIV/0!</v>
      </c>
      <c r="BS172" s="747" t="e">
        <f ca="1">test_NH4_temp(données_step[[#This Row],[S_NH4]],données_step[[#This Row],[Temp_eaux]])</f>
        <v>#NAME?</v>
      </c>
    </row>
    <row r="173" spans="1:71" x14ac:dyDescent="0.2">
      <c r="A173" s="222">
        <f>données_step[[#This Row],[Datum]]</f>
        <v>44724</v>
      </c>
      <c r="B173" s="223"/>
      <c r="C173" s="224">
        <f t="shared" si="49"/>
        <v>1</v>
      </c>
      <c r="D173" s="523" t="str">
        <f>IF(OR(données_step[[#This Row],[E_DBO5]]&lt;=0,données_step[[#This Row],[E_DBO5]]=""),"",données_step[[#This Row],[D_QTRAI]]*données_step[[#This Row],[E_DBO5]]/1000)</f>
        <v/>
      </c>
      <c r="E173" s="523" t="str">
        <f>IF(OR(données_step[[#This Row],[E_DCO]]&lt;=0,données_step[[#This Row],[E_DCO]]=""),"",données_step[[#This Row],[D_QTRAI]]*données_step[[#This Row],[E_DCO]]/1000)</f>
        <v/>
      </c>
      <c r="F173" s="523" t="str">
        <f>IF(OR(données_step[[#This Row],[E_COT]]&lt;=0,données_step[[#This Row],[E_COT]]=""),"",données_step[[#This Row],[D_QTRAI]]*données_step[[#This Row],[E_COT]]/1000)</f>
        <v/>
      </c>
      <c r="G173" s="523" t="str">
        <f>IF(OR(données_step[[#This Row],[E_NH4]]&lt;=0,données_step[[#This Row],[E_NH4]]=""),"",données_step[[#This Row],[D_QTRAI]]*données_step[[#This Row],[E_NH4]]/1000)</f>
        <v/>
      </c>
      <c r="H173" s="523" t="str">
        <f>IF(OR(données_step[[#This Row],[E_NTOT]]&lt;=0,données_step[[#This Row],[E_NTOT]]=""),"",données_step[[#This Row],[D_QTRAI]]*données_step[[#This Row],[E_NTOT]]/1000)</f>
        <v/>
      </c>
      <c r="I173" s="523" t="str">
        <f>IF(OR(données_step[[#This Row],[E_NTOT]]&lt;=0,données_step[[#This Row],[E_NTOT]]=""),"",données_step[[#This Row],[D_QTRAI]]*données_step[[#This Row],[E_PTOT]]/1000)</f>
        <v/>
      </c>
      <c r="J173" s="523" t="str">
        <f>IF(OR(données_step[[#This Row],[S_DBO5]]&lt;=0,données_step[[#This Row],[S_DBO5]]=""),"",données_step[[#This Row],[D_QTRAI]]*données_step[[#This Row],[S_DBO5]]/1000)</f>
        <v/>
      </c>
      <c r="K173" s="523" t="str">
        <f>IF(OR(données_step[[#This Row],[S_DCO]]&lt;=0,données_step[[#This Row],[S_DCO]]=""),"",données_step[[#This Row],[D_QTRAI]]*données_step[[#This Row],[S_DCO]]/1000)</f>
        <v/>
      </c>
      <c r="L173" s="523" t="str">
        <f>IF(OR(données_step[[#This Row],[S_COD]]&lt;=0,données_step[[#This Row],[S_COD]]=""),"",données_step[[#This Row],[D_QTRAI]]*données_step[[#This Row],[S_COD]]/1000)</f>
        <v/>
      </c>
      <c r="M173" s="523" t="str">
        <f>IF(OR(données_step[[#This Row],[S_NH4]]&lt;=0,données_step[[#This Row],[S_NH4]]=""),"",données_step[[#This Row],[D_QTRAI]]*données_step[[#This Row],[S_NH4]]/1000)</f>
        <v/>
      </c>
      <c r="N173" s="523" t="str">
        <f>IF(OR(données_step[[#This Row],[S_NO2]]&lt;=0,données_step[[#This Row],[S_NO2]]=""),"",données_step[[#This Row],[D_QTRAI]]*données_step[[#This Row],[S_NO2]]/1000)</f>
        <v/>
      </c>
      <c r="O173" s="523" t="str">
        <f>IF(OR(données_step[[#This Row],[S_NO3]]&lt;=0,données_step[[#This Row],[S_NO3]]=""),"",données_step[[#This Row],[D_QTRAI]]*données_step[[#This Row],[S_NO3]]/1000)</f>
        <v/>
      </c>
      <c r="P173" s="523" t="str">
        <f>IF(OR(données_step[[#This Row],[S_PTOT]]&lt;=0,données_step[[#This Row],[S_PTOT]]=""),"",données_step[[#This Row],[D_QTRAI]]*données_step[[#This Row],[S_PTOT]]/1000)</f>
        <v/>
      </c>
      <c r="Q173" s="523" t="str">
        <f>IF(OR(données_step[[#This Row],[S_MES]]&lt;=0,données_step[[#This Row],[S_MES]]=""),"",données_step[[#This Row],[D_QTRAI]]*données_step[[#This Row],[S_MES]]/1000)</f>
        <v/>
      </c>
      <c r="R173" s="523">
        <f>MAX(données_step[[#This Row],[D_QTRAI]],données_step[[#This Row],[D_QTRAI2]])</f>
        <v>0</v>
      </c>
      <c r="S173" s="523" t="str">
        <f>IF(AND($R173&gt;0,données_step[[#This Row],[E_DCO]]&gt;0),données_step[[#This Row],[E_DCO]],"")</f>
        <v/>
      </c>
      <c r="T173" s="523" t="str">
        <f>IF(S173="","",(1-données_step[[#This Row],[E_DCO]]/$V$7)*100)</f>
        <v/>
      </c>
      <c r="U173" s="523" t="str">
        <f t="shared" si="35"/>
        <v/>
      </c>
      <c r="V173" s="523" t="str">
        <f t="shared" si="36"/>
        <v/>
      </c>
      <c r="W173" s="523" t="str">
        <f t="shared" si="37"/>
        <v/>
      </c>
      <c r="X173" s="523" t="e">
        <f>IF(((100-100/$V$7*données_step[[#This Row],[E_DCO]])/100*QTS)&lt;0,NA(),IF(OR(U173&lt;0,U173=""),NA(),((100-100/$V$7*données_step[[#This Row],[E_DCO]])/100*QTS)))</f>
        <v>#NUM!</v>
      </c>
      <c r="Y173" s="523" t="str">
        <f>IF(AND($R173&gt;0,données_step[[#This Row],[E_COT]]&gt;0),données_step[[#This Row],[E_COT]],"")</f>
        <v/>
      </c>
      <c r="Z173" s="523" t="str">
        <f>IF(Y173="","",(1-données_step[[#This Row],[E_COT]]/$AB$7)*100)</f>
        <v/>
      </c>
      <c r="AA173" s="523" t="str">
        <f t="shared" si="38"/>
        <v/>
      </c>
      <c r="AB173" s="523" t="str">
        <f t="shared" si="39"/>
        <v/>
      </c>
      <c r="AC173" s="523" t="str">
        <f t="shared" si="40"/>
        <v/>
      </c>
      <c r="AD173" s="523" t="e">
        <f>IF(((100-100/$AB$7*données_step[[#This Row],[E_COT]])/100*QTS)&lt;0,NA(),IF(OR(AA173&lt;0,AA173=""),NA(),((100-100/$AB$7*données_step[[#This Row],[E_COT]])/100*QTS)))</f>
        <v>#NUM!</v>
      </c>
      <c r="AE173" s="523" t="str">
        <f>IF(AND($R173&gt;0,données_step[[#This Row],[E_NH4]]&gt;0),données_step[[#This Row],[E_NH4]],"")</f>
        <v/>
      </c>
      <c r="AF173" s="523" t="str">
        <f>IF(AE173="","",(1-données_step[[#This Row],[E_NH4]]/$AH$7)*100)</f>
        <v/>
      </c>
      <c r="AG173" s="523" t="str">
        <f t="shared" si="41"/>
        <v/>
      </c>
      <c r="AH173" s="523" t="str">
        <f t="shared" si="42"/>
        <v/>
      </c>
      <c r="AI173" s="523" t="str">
        <f t="shared" si="43"/>
        <v/>
      </c>
      <c r="AJ173" s="523" t="e">
        <f>IF(((100-100/$AH$7*données_step[[#This Row],[E_NH4]])/100*QTS)&lt;0,NA(),IF(OR(AG173&lt;0,AG173=""),NA(),((100-100/$AH$7*données_step[[#This Row],[E_NH4]])/100*QTS)))</f>
        <v>#NUM!</v>
      </c>
      <c r="AK173" s="523" t="str">
        <f>IF(AND($R173&gt;0,données_step[[#This Row],[E_PTOT]]&gt;0),données_step[[#This Row],[E_PTOT]],"")</f>
        <v/>
      </c>
      <c r="AL173" s="523" t="str">
        <f>IF(AK173="","",(1-données_step[[#This Row],[E_PTOT]]/$AN$7)*100)</f>
        <v/>
      </c>
      <c r="AM173" s="523" t="str">
        <f t="shared" si="44"/>
        <v/>
      </c>
      <c r="AN173" s="523" t="str">
        <f t="shared" si="45"/>
        <v/>
      </c>
      <c r="AO173" s="523" t="str">
        <f t="shared" si="46"/>
        <v/>
      </c>
      <c r="AP173" s="523" t="e">
        <f>IF(((100-100/$AN$7*données_step[[#This Row],[E_PTOT]])/100*QTS)&lt;0,NA(),IF(OR(AM173&lt;0,AM173=""),NA(),((100-100/$AN$7*données_step[[#This Row],[E_PTOT]])/100*QTS)))</f>
        <v>#NUM!</v>
      </c>
      <c r="AQ173" s="524" t="e">
        <f t="shared" si="47"/>
        <v>#NUM!</v>
      </c>
      <c r="AR173" s="524" t="str">
        <f t="shared" si="48"/>
        <v/>
      </c>
      <c r="AY173" s="523" t="str">
        <f>_xlfn.IFNA(IF(données_step[[#This Row],[E_DCO]]&lt;=0,NA(),charge_entree[[#This Row],[ch_E_DCO]]/constanten!$B$8*1000),"")</f>
        <v/>
      </c>
      <c r="AZ173" s="523" t="str">
        <f>_xlfn.IFNA(IF(données_step[[#This Row],[E_NTOT]]&lt;=0,NA(),charge_entree[[#This Row],[ch_E_NTOT]]/constanten!$B$10*1000),"")</f>
        <v/>
      </c>
      <c r="BA173" s="523" t="str">
        <f>_xlfn.IFNA(IF(données_step[[#This Row],[E_NH4]]&lt;=0,NA(),charge_entree[[#This Row],[ch_E_NH4]]/constanten!$B$12*1000),"")</f>
        <v/>
      </c>
      <c r="BB173" s="523" t="str">
        <f>_xlfn.IFNA(IF(données_step[[#This Row],[E_COT]]&lt;=0,NA(),charge_entree[[#This Row],[ch_E_COT]]/constanten!$B$9*1000),"")</f>
        <v/>
      </c>
      <c r="BC173" s="523" t="str">
        <f>IFERROR(_xlfn.IFNA(IF(données_step[[#This Row],[E_PTOT]]&lt;=0,NA(),charge_entree[[#This Row],[ch_E_PTOT]]/constanten!$B$15*1000),""),"")</f>
        <v/>
      </c>
      <c r="BD173" s="535" t="e">
        <f>calculs!E173 * (1-0.4) / (données_step[[#This Row],[X_BA_VOL]]*données_step[[#This Row],[X_BACONC]])</f>
        <v>#VALUE!</v>
      </c>
      <c r="BE173" s="522" t="e">
        <f>(données_step[[#This Row],[X_BA_VOL]]*données_step[[#This Row],[X_BACONC]])/((données_step[[#This Row],[D_QTRAI2]]*données_step[[#This Row],[S_MES]]/1000)+(données_step[[#This Row],[X_BX_Q]]*données_step[[#This Row],[X_BXCONC]]))</f>
        <v>#VALUE!</v>
      </c>
      <c r="BF173" s="890" t="str">
        <f>IFERROR(données_step[[#This Row],[D_QTRAI]]/AY173*1000,"")</f>
        <v/>
      </c>
      <c r="BG173" s="535" t="str">
        <f>IFERROR(1-données_step[[#This Row],[S_DBO5]]/données_step[[#This Row],[E_DBO5]],"")</f>
        <v/>
      </c>
      <c r="BH173" s="536" t="str">
        <f>IFERROR(1-données_step[[#This Row],[S_DCO]]/données_step[[#This Row],[E_DCO]],"")</f>
        <v/>
      </c>
      <c r="BI173" s="535" t="str">
        <f>IFERROR(1-données_step[[#This Row],[S_COD]]/données_step[[#This Row],[E_COT]],"")</f>
        <v/>
      </c>
      <c r="BJ173" s="535" t="str">
        <f>IFERROR(1-données_step[[#This Row],[S_NH4]]/données_step[[#This Row],[E_NTOT]],"")</f>
        <v/>
      </c>
      <c r="BK173" s="535" t="str">
        <f>IFERROR(1-données_step[[#This Row],[S_PTOT]]/données_step[[#This Row],[E_PTOT]],"")</f>
        <v/>
      </c>
      <c r="BL173" s="521" t="str">
        <f>IFERROR(IF(données_step[[#This Row],[E_DCO]]/données_step[[#This Row],[E_DBO5]]=0,NA(),données_step[[#This Row],[E_DCO]]/données_step[[#This Row],[E_DBO5]]),"")</f>
        <v/>
      </c>
      <c r="BM173" s="521" t="str">
        <f>IFERROR(IF(données_step[[#This Row],[E_NH4]]/données_step[[#This Row],[E_NTOT]]=0,NA(),données_step[[#This Row],[E_NH4]]/données_step[[#This Row],[E_NTOT]]),"")</f>
        <v/>
      </c>
      <c r="BN173" s="521" t="str">
        <f>IFERROR(IF(données_step[[#This Row],[E_NTOT]]/données_step[[#This Row],[E_COT]]=0,NA(),données_step[[#This Row],[E_NTOT]]/données_step[[#This Row],[E_COT]]),"")</f>
        <v/>
      </c>
      <c r="BO173" s="521" t="str">
        <f>IFERROR(IF(données_step[[#This Row],[E_PTOT]]/données_step[[#This Row],[E_COT]]=0,NA(),données_step[[#This Row],[E_PTOT]]/données_step[[#This Row],[E_COT]]),"")</f>
        <v/>
      </c>
      <c r="BP173" s="521" t="e">
        <f>IF(données_step[[#This Row],[E_DCO]]/données_step[[#This Row],[E_COT]]=0,NA(),données_step[[#This Row],[E_DCO]]/données_step[[#This Row],[E_COT]])</f>
        <v>#DIV/0!</v>
      </c>
      <c r="BQ173" s="521" t="e">
        <f>IF(données_step[[#This Row],[E_NTOT]]/données_step[[#This Row],[E_DCO]]=0,NA(),données_step[[#This Row],[E_NTOT]]/données_step[[#This Row],[E_DCO]])</f>
        <v>#DIV/0!</v>
      </c>
      <c r="BR173" s="521" t="e">
        <f>IF(données_step[[#This Row],[E_PTOT]]/données_step[[#This Row],[E_DCO]]=0,NA(),données_step[[#This Row],[E_PTOT]]/données_step[[#This Row],[E_DCO]])</f>
        <v>#DIV/0!</v>
      </c>
      <c r="BS173" s="747" t="e">
        <f ca="1">test_NH4_temp(données_step[[#This Row],[S_NH4]],données_step[[#This Row],[Temp_eaux]])</f>
        <v>#NAME?</v>
      </c>
    </row>
    <row r="174" spans="1:71" x14ac:dyDescent="0.2">
      <c r="A174" s="222">
        <f>données_step[[#This Row],[Datum]]</f>
        <v>44725</v>
      </c>
      <c r="B174" s="223"/>
      <c r="C174" s="224">
        <f t="shared" si="49"/>
        <v>2</v>
      </c>
      <c r="D174" s="523" t="str">
        <f>IF(OR(données_step[[#This Row],[E_DBO5]]&lt;=0,données_step[[#This Row],[E_DBO5]]=""),"",données_step[[#This Row],[D_QTRAI]]*données_step[[#This Row],[E_DBO5]]/1000)</f>
        <v/>
      </c>
      <c r="E174" s="523" t="str">
        <f>IF(OR(données_step[[#This Row],[E_DCO]]&lt;=0,données_step[[#This Row],[E_DCO]]=""),"",données_step[[#This Row],[D_QTRAI]]*données_step[[#This Row],[E_DCO]]/1000)</f>
        <v/>
      </c>
      <c r="F174" s="523" t="str">
        <f>IF(OR(données_step[[#This Row],[E_COT]]&lt;=0,données_step[[#This Row],[E_COT]]=""),"",données_step[[#This Row],[D_QTRAI]]*données_step[[#This Row],[E_COT]]/1000)</f>
        <v/>
      </c>
      <c r="G174" s="523" t="str">
        <f>IF(OR(données_step[[#This Row],[E_NH4]]&lt;=0,données_step[[#This Row],[E_NH4]]=""),"",données_step[[#This Row],[D_QTRAI]]*données_step[[#This Row],[E_NH4]]/1000)</f>
        <v/>
      </c>
      <c r="H174" s="523" t="str">
        <f>IF(OR(données_step[[#This Row],[E_NTOT]]&lt;=0,données_step[[#This Row],[E_NTOT]]=""),"",données_step[[#This Row],[D_QTRAI]]*données_step[[#This Row],[E_NTOT]]/1000)</f>
        <v/>
      </c>
      <c r="I174" s="523" t="str">
        <f>IF(OR(données_step[[#This Row],[E_NTOT]]&lt;=0,données_step[[#This Row],[E_NTOT]]=""),"",données_step[[#This Row],[D_QTRAI]]*données_step[[#This Row],[E_PTOT]]/1000)</f>
        <v/>
      </c>
      <c r="J174" s="523" t="str">
        <f>IF(OR(données_step[[#This Row],[S_DBO5]]&lt;=0,données_step[[#This Row],[S_DBO5]]=""),"",données_step[[#This Row],[D_QTRAI]]*données_step[[#This Row],[S_DBO5]]/1000)</f>
        <v/>
      </c>
      <c r="K174" s="523" t="str">
        <f>IF(OR(données_step[[#This Row],[S_DCO]]&lt;=0,données_step[[#This Row],[S_DCO]]=""),"",données_step[[#This Row],[D_QTRAI]]*données_step[[#This Row],[S_DCO]]/1000)</f>
        <v/>
      </c>
      <c r="L174" s="523" t="str">
        <f>IF(OR(données_step[[#This Row],[S_COD]]&lt;=0,données_step[[#This Row],[S_COD]]=""),"",données_step[[#This Row],[D_QTRAI]]*données_step[[#This Row],[S_COD]]/1000)</f>
        <v/>
      </c>
      <c r="M174" s="523" t="str">
        <f>IF(OR(données_step[[#This Row],[S_NH4]]&lt;=0,données_step[[#This Row],[S_NH4]]=""),"",données_step[[#This Row],[D_QTRAI]]*données_step[[#This Row],[S_NH4]]/1000)</f>
        <v/>
      </c>
      <c r="N174" s="523" t="str">
        <f>IF(OR(données_step[[#This Row],[S_NO2]]&lt;=0,données_step[[#This Row],[S_NO2]]=""),"",données_step[[#This Row],[D_QTRAI]]*données_step[[#This Row],[S_NO2]]/1000)</f>
        <v/>
      </c>
      <c r="O174" s="523" t="str">
        <f>IF(OR(données_step[[#This Row],[S_NO3]]&lt;=0,données_step[[#This Row],[S_NO3]]=""),"",données_step[[#This Row],[D_QTRAI]]*données_step[[#This Row],[S_NO3]]/1000)</f>
        <v/>
      </c>
      <c r="P174" s="523" t="str">
        <f>IF(OR(données_step[[#This Row],[S_PTOT]]&lt;=0,données_step[[#This Row],[S_PTOT]]=""),"",données_step[[#This Row],[D_QTRAI]]*données_step[[#This Row],[S_PTOT]]/1000)</f>
        <v/>
      </c>
      <c r="Q174" s="523" t="str">
        <f>IF(OR(données_step[[#This Row],[S_MES]]&lt;=0,données_step[[#This Row],[S_MES]]=""),"",données_step[[#This Row],[D_QTRAI]]*données_step[[#This Row],[S_MES]]/1000)</f>
        <v/>
      </c>
      <c r="R174" s="523">
        <f>MAX(données_step[[#This Row],[D_QTRAI]],données_step[[#This Row],[D_QTRAI2]])</f>
        <v>0</v>
      </c>
      <c r="S174" s="523" t="str">
        <f>IF(AND($R174&gt;0,données_step[[#This Row],[E_DCO]]&gt;0),données_step[[#This Row],[E_DCO]],"")</f>
        <v/>
      </c>
      <c r="T174" s="523" t="str">
        <f>IF(S174="","",(1-données_step[[#This Row],[E_DCO]]/$V$7)*100)</f>
        <v/>
      </c>
      <c r="U174" s="523" t="str">
        <f t="shared" si="35"/>
        <v/>
      </c>
      <c r="V174" s="523" t="str">
        <f t="shared" si="36"/>
        <v/>
      </c>
      <c r="W174" s="523" t="str">
        <f t="shared" si="37"/>
        <v/>
      </c>
      <c r="X174" s="523" t="e">
        <f>IF(((100-100/$V$7*données_step[[#This Row],[E_DCO]])/100*QTS)&lt;0,NA(),IF(OR(U174&lt;0,U174=""),NA(),((100-100/$V$7*données_step[[#This Row],[E_DCO]])/100*QTS)))</f>
        <v>#NUM!</v>
      </c>
      <c r="Y174" s="523" t="str">
        <f>IF(AND($R174&gt;0,données_step[[#This Row],[E_COT]]&gt;0),données_step[[#This Row],[E_COT]],"")</f>
        <v/>
      </c>
      <c r="Z174" s="523" t="str">
        <f>IF(Y174="","",(1-données_step[[#This Row],[E_COT]]/$AB$7)*100)</f>
        <v/>
      </c>
      <c r="AA174" s="523" t="str">
        <f t="shared" si="38"/>
        <v/>
      </c>
      <c r="AB174" s="523" t="str">
        <f t="shared" si="39"/>
        <v/>
      </c>
      <c r="AC174" s="523" t="str">
        <f t="shared" si="40"/>
        <v/>
      </c>
      <c r="AD174" s="523" t="e">
        <f>IF(((100-100/$AB$7*données_step[[#This Row],[E_COT]])/100*QTS)&lt;0,NA(),IF(OR(AA174&lt;0,AA174=""),NA(),((100-100/$AB$7*données_step[[#This Row],[E_COT]])/100*QTS)))</f>
        <v>#NUM!</v>
      </c>
      <c r="AE174" s="523" t="str">
        <f>IF(AND($R174&gt;0,données_step[[#This Row],[E_NH4]]&gt;0),données_step[[#This Row],[E_NH4]],"")</f>
        <v/>
      </c>
      <c r="AF174" s="523" t="str">
        <f>IF(AE174="","",(1-données_step[[#This Row],[E_NH4]]/$AH$7)*100)</f>
        <v/>
      </c>
      <c r="AG174" s="523" t="str">
        <f t="shared" si="41"/>
        <v/>
      </c>
      <c r="AH174" s="523" t="str">
        <f t="shared" si="42"/>
        <v/>
      </c>
      <c r="AI174" s="523" t="str">
        <f t="shared" si="43"/>
        <v/>
      </c>
      <c r="AJ174" s="523" t="e">
        <f>IF(((100-100/$AH$7*données_step[[#This Row],[E_NH4]])/100*QTS)&lt;0,NA(),IF(OR(AG174&lt;0,AG174=""),NA(),((100-100/$AH$7*données_step[[#This Row],[E_NH4]])/100*QTS)))</f>
        <v>#NUM!</v>
      </c>
      <c r="AK174" s="523" t="str">
        <f>IF(AND($R174&gt;0,données_step[[#This Row],[E_PTOT]]&gt;0),données_step[[#This Row],[E_PTOT]],"")</f>
        <v/>
      </c>
      <c r="AL174" s="523" t="str">
        <f>IF(AK174="","",(1-données_step[[#This Row],[E_PTOT]]/$AN$7)*100)</f>
        <v/>
      </c>
      <c r="AM174" s="523" t="str">
        <f t="shared" si="44"/>
        <v/>
      </c>
      <c r="AN174" s="523" t="str">
        <f t="shared" si="45"/>
        <v/>
      </c>
      <c r="AO174" s="523" t="str">
        <f t="shared" si="46"/>
        <v/>
      </c>
      <c r="AP174" s="523" t="e">
        <f>IF(((100-100/$AN$7*données_step[[#This Row],[E_PTOT]])/100*QTS)&lt;0,NA(),IF(OR(AM174&lt;0,AM174=""),NA(),((100-100/$AN$7*données_step[[#This Row],[E_PTOT]])/100*QTS)))</f>
        <v>#NUM!</v>
      </c>
      <c r="AQ174" s="524" t="e">
        <f t="shared" si="47"/>
        <v>#NUM!</v>
      </c>
      <c r="AR174" s="524" t="str">
        <f t="shared" si="48"/>
        <v/>
      </c>
      <c r="AY174" s="523" t="str">
        <f>_xlfn.IFNA(IF(données_step[[#This Row],[E_DCO]]&lt;=0,NA(),charge_entree[[#This Row],[ch_E_DCO]]/constanten!$B$8*1000),"")</f>
        <v/>
      </c>
      <c r="AZ174" s="523" t="str">
        <f>_xlfn.IFNA(IF(données_step[[#This Row],[E_NTOT]]&lt;=0,NA(),charge_entree[[#This Row],[ch_E_NTOT]]/constanten!$B$10*1000),"")</f>
        <v/>
      </c>
      <c r="BA174" s="523" t="str">
        <f>_xlfn.IFNA(IF(données_step[[#This Row],[E_NH4]]&lt;=0,NA(),charge_entree[[#This Row],[ch_E_NH4]]/constanten!$B$12*1000),"")</f>
        <v/>
      </c>
      <c r="BB174" s="523" t="str">
        <f>_xlfn.IFNA(IF(données_step[[#This Row],[E_COT]]&lt;=0,NA(),charge_entree[[#This Row],[ch_E_COT]]/constanten!$B$9*1000),"")</f>
        <v/>
      </c>
      <c r="BC174" s="523" t="str">
        <f>IFERROR(_xlfn.IFNA(IF(données_step[[#This Row],[E_PTOT]]&lt;=0,NA(),charge_entree[[#This Row],[ch_E_PTOT]]/constanten!$B$15*1000),""),"")</f>
        <v/>
      </c>
      <c r="BD174" s="535" t="e">
        <f>calculs!E174 * (1-0.4) / (données_step[[#This Row],[X_BA_VOL]]*données_step[[#This Row],[X_BACONC]])</f>
        <v>#VALUE!</v>
      </c>
      <c r="BE174" s="522" t="e">
        <f>(données_step[[#This Row],[X_BA_VOL]]*données_step[[#This Row],[X_BACONC]])/((données_step[[#This Row],[D_QTRAI2]]*données_step[[#This Row],[S_MES]]/1000)+(données_step[[#This Row],[X_BX_Q]]*données_step[[#This Row],[X_BXCONC]]))</f>
        <v>#VALUE!</v>
      </c>
      <c r="BF174" s="890" t="str">
        <f>IFERROR(données_step[[#This Row],[D_QTRAI]]/AY174*1000,"")</f>
        <v/>
      </c>
      <c r="BG174" s="535" t="str">
        <f>IFERROR(1-données_step[[#This Row],[S_DBO5]]/données_step[[#This Row],[E_DBO5]],"")</f>
        <v/>
      </c>
      <c r="BH174" s="536" t="str">
        <f>IFERROR(1-données_step[[#This Row],[S_DCO]]/données_step[[#This Row],[E_DCO]],"")</f>
        <v/>
      </c>
      <c r="BI174" s="535" t="str">
        <f>IFERROR(1-données_step[[#This Row],[S_COD]]/données_step[[#This Row],[E_COT]],"")</f>
        <v/>
      </c>
      <c r="BJ174" s="535" t="str">
        <f>IFERROR(1-données_step[[#This Row],[S_NH4]]/données_step[[#This Row],[E_NTOT]],"")</f>
        <v/>
      </c>
      <c r="BK174" s="535" t="str">
        <f>IFERROR(1-données_step[[#This Row],[S_PTOT]]/données_step[[#This Row],[E_PTOT]],"")</f>
        <v/>
      </c>
      <c r="BL174" s="521" t="str">
        <f>IFERROR(IF(données_step[[#This Row],[E_DCO]]/données_step[[#This Row],[E_DBO5]]=0,NA(),données_step[[#This Row],[E_DCO]]/données_step[[#This Row],[E_DBO5]]),"")</f>
        <v/>
      </c>
      <c r="BM174" s="521" t="str">
        <f>IFERROR(IF(données_step[[#This Row],[E_NH4]]/données_step[[#This Row],[E_NTOT]]=0,NA(),données_step[[#This Row],[E_NH4]]/données_step[[#This Row],[E_NTOT]]),"")</f>
        <v/>
      </c>
      <c r="BN174" s="521" t="str">
        <f>IFERROR(IF(données_step[[#This Row],[E_NTOT]]/données_step[[#This Row],[E_COT]]=0,NA(),données_step[[#This Row],[E_NTOT]]/données_step[[#This Row],[E_COT]]),"")</f>
        <v/>
      </c>
      <c r="BO174" s="521" t="str">
        <f>IFERROR(IF(données_step[[#This Row],[E_PTOT]]/données_step[[#This Row],[E_COT]]=0,NA(),données_step[[#This Row],[E_PTOT]]/données_step[[#This Row],[E_COT]]),"")</f>
        <v/>
      </c>
      <c r="BP174" s="521" t="e">
        <f>IF(données_step[[#This Row],[E_DCO]]/données_step[[#This Row],[E_COT]]=0,NA(),données_step[[#This Row],[E_DCO]]/données_step[[#This Row],[E_COT]])</f>
        <v>#DIV/0!</v>
      </c>
      <c r="BQ174" s="521" t="e">
        <f>IF(données_step[[#This Row],[E_NTOT]]/données_step[[#This Row],[E_DCO]]=0,NA(),données_step[[#This Row],[E_NTOT]]/données_step[[#This Row],[E_DCO]])</f>
        <v>#DIV/0!</v>
      </c>
      <c r="BR174" s="521" t="e">
        <f>IF(données_step[[#This Row],[E_PTOT]]/données_step[[#This Row],[E_DCO]]=0,NA(),données_step[[#This Row],[E_PTOT]]/données_step[[#This Row],[E_DCO]])</f>
        <v>#DIV/0!</v>
      </c>
      <c r="BS174" s="747" t="e">
        <f ca="1">test_NH4_temp(données_step[[#This Row],[S_NH4]],données_step[[#This Row],[Temp_eaux]])</f>
        <v>#NAME?</v>
      </c>
    </row>
    <row r="175" spans="1:71" x14ac:dyDescent="0.2">
      <c r="A175" s="222">
        <f>données_step[[#This Row],[Datum]]</f>
        <v>44726</v>
      </c>
      <c r="B175" s="223"/>
      <c r="C175" s="224">
        <f t="shared" si="49"/>
        <v>3</v>
      </c>
      <c r="D175" s="523" t="str">
        <f>IF(OR(données_step[[#This Row],[E_DBO5]]&lt;=0,données_step[[#This Row],[E_DBO5]]=""),"",données_step[[#This Row],[D_QTRAI]]*données_step[[#This Row],[E_DBO5]]/1000)</f>
        <v/>
      </c>
      <c r="E175" s="523" t="str">
        <f>IF(OR(données_step[[#This Row],[E_DCO]]&lt;=0,données_step[[#This Row],[E_DCO]]=""),"",données_step[[#This Row],[D_QTRAI]]*données_step[[#This Row],[E_DCO]]/1000)</f>
        <v/>
      </c>
      <c r="F175" s="523" t="str">
        <f>IF(OR(données_step[[#This Row],[E_COT]]&lt;=0,données_step[[#This Row],[E_COT]]=""),"",données_step[[#This Row],[D_QTRAI]]*données_step[[#This Row],[E_COT]]/1000)</f>
        <v/>
      </c>
      <c r="G175" s="523" t="str">
        <f>IF(OR(données_step[[#This Row],[E_NH4]]&lt;=0,données_step[[#This Row],[E_NH4]]=""),"",données_step[[#This Row],[D_QTRAI]]*données_step[[#This Row],[E_NH4]]/1000)</f>
        <v/>
      </c>
      <c r="H175" s="523" t="str">
        <f>IF(OR(données_step[[#This Row],[E_NTOT]]&lt;=0,données_step[[#This Row],[E_NTOT]]=""),"",données_step[[#This Row],[D_QTRAI]]*données_step[[#This Row],[E_NTOT]]/1000)</f>
        <v/>
      </c>
      <c r="I175" s="523" t="str">
        <f>IF(OR(données_step[[#This Row],[E_NTOT]]&lt;=0,données_step[[#This Row],[E_NTOT]]=""),"",données_step[[#This Row],[D_QTRAI]]*données_step[[#This Row],[E_PTOT]]/1000)</f>
        <v/>
      </c>
      <c r="J175" s="523" t="str">
        <f>IF(OR(données_step[[#This Row],[S_DBO5]]&lt;=0,données_step[[#This Row],[S_DBO5]]=""),"",données_step[[#This Row],[D_QTRAI]]*données_step[[#This Row],[S_DBO5]]/1000)</f>
        <v/>
      </c>
      <c r="K175" s="523" t="str">
        <f>IF(OR(données_step[[#This Row],[S_DCO]]&lt;=0,données_step[[#This Row],[S_DCO]]=""),"",données_step[[#This Row],[D_QTRAI]]*données_step[[#This Row],[S_DCO]]/1000)</f>
        <v/>
      </c>
      <c r="L175" s="523" t="str">
        <f>IF(OR(données_step[[#This Row],[S_COD]]&lt;=0,données_step[[#This Row],[S_COD]]=""),"",données_step[[#This Row],[D_QTRAI]]*données_step[[#This Row],[S_COD]]/1000)</f>
        <v/>
      </c>
      <c r="M175" s="523" t="str">
        <f>IF(OR(données_step[[#This Row],[S_NH4]]&lt;=0,données_step[[#This Row],[S_NH4]]=""),"",données_step[[#This Row],[D_QTRAI]]*données_step[[#This Row],[S_NH4]]/1000)</f>
        <v/>
      </c>
      <c r="N175" s="523" t="str">
        <f>IF(OR(données_step[[#This Row],[S_NO2]]&lt;=0,données_step[[#This Row],[S_NO2]]=""),"",données_step[[#This Row],[D_QTRAI]]*données_step[[#This Row],[S_NO2]]/1000)</f>
        <v/>
      </c>
      <c r="O175" s="523" t="str">
        <f>IF(OR(données_step[[#This Row],[S_NO3]]&lt;=0,données_step[[#This Row],[S_NO3]]=""),"",données_step[[#This Row],[D_QTRAI]]*données_step[[#This Row],[S_NO3]]/1000)</f>
        <v/>
      </c>
      <c r="P175" s="523" t="str">
        <f>IF(OR(données_step[[#This Row],[S_PTOT]]&lt;=0,données_step[[#This Row],[S_PTOT]]=""),"",données_step[[#This Row],[D_QTRAI]]*données_step[[#This Row],[S_PTOT]]/1000)</f>
        <v/>
      </c>
      <c r="Q175" s="523" t="str">
        <f>IF(OR(données_step[[#This Row],[S_MES]]&lt;=0,données_step[[#This Row],[S_MES]]=""),"",données_step[[#This Row],[D_QTRAI]]*données_step[[#This Row],[S_MES]]/1000)</f>
        <v/>
      </c>
      <c r="R175" s="523">
        <f>MAX(données_step[[#This Row],[D_QTRAI]],données_step[[#This Row],[D_QTRAI2]])</f>
        <v>0</v>
      </c>
      <c r="S175" s="523" t="str">
        <f>IF(AND($R175&gt;0,données_step[[#This Row],[E_DCO]]&gt;0),données_step[[#This Row],[E_DCO]],"")</f>
        <v/>
      </c>
      <c r="T175" s="523" t="str">
        <f>IF(S175="","",(1-données_step[[#This Row],[E_DCO]]/$V$7)*100)</f>
        <v/>
      </c>
      <c r="U175" s="523" t="str">
        <f t="shared" si="35"/>
        <v/>
      </c>
      <c r="V175" s="523" t="str">
        <f t="shared" si="36"/>
        <v/>
      </c>
      <c r="W175" s="523" t="str">
        <f t="shared" si="37"/>
        <v/>
      </c>
      <c r="X175" s="523" t="e">
        <f>IF(((100-100/$V$7*données_step[[#This Row],[E_DCO]])/100*QTS)&lt;0,NA(),IF(OR(U175&lt;0,U175=""),NA(),((100-100/$V$7*données_step[[#This Row],[E_DCO]])/100*QTS)))</f>
        <v>#NUM!</v>
      </c>
      <c r="Y175" s="523" t="str">
        <f>IF(AND($R175&gt;0,données_step[[#This Row],[E_COT]]&gt;0),données_step[[#This Row],[E_COT]],"")</f>
        <v/>
      </c>
      <c r="Z175" s="523" t="str">
        <f>IF(Y175="","",(1-données_step[[#This Row],[E_COT]]/$AB$7)*100)</f>
        <v/>
      </c>
      <c r="AA175" s="523" t="str">
        <f t="shared" si="38"/>
        <v/>
      </c>
      <c r="AB175" s="523" t="str">
        <f t="shared" si="39"/>
        <v/>
      </c>
      <c r="AC175" s="523" t="str">
        <f t="shared" si="40"/>
        <v/>
      </c>
      <c r="AD175" s="523" t="e">
        <f>IF(((100-100/$AB$7*données_step[[#This Row],[E_COT]])/100*QTS)&lt;0,NA(),IF(OR(AA175&lt;0,AA175=""),NA(),((100-100/$AB$7*données_step[[#This Row],[E_COT]])/100*QTS)))</f>
        <v>#NUM!</v>
      </c>
      <c r="AE175" s="523" t="str">
        <f>IF(AND($R175&gt;0,données_step[[#This Row],[E_NH4]]&gt;0),données_step[[#This Row],[E_NH4]],"")</f>
        <v/>
      </c>
      <c r="AF175" s="523" t="str">
        <f>IF(AE175="","",(1-données_step[[#This Row],[E_NH4]]/$AH$7)*100)</f>
        <v/>
      </c>
      <c r="AG175" s="523" t="str">
        <f t="shared" si="41"/>
        <v/>
      </c>
      <c r="AH175" s="523" t="str">
        <f t="shared" si="42"/>
        <v/>
      </c>
      <c r="AI175" s="523" t="str">
        <f t="shared" si="43"/>
        <v/>
      </c>
      <c r="AJ175" s="523" t="e">
        <f>IF(((100-100/$AH$7*données_step[[#This Row],[E_NH4]])/100*QTS)&lt;0,NA(),IF(OR(AG175&lt;0,AG175=""),NA(),((100-100/$AH$7*données_step[[#This Row],[E_NH4]])/100*QTS)))</f>
        <v>#NUM!</v>
      </c>
      <c r="AK175" s="523" t="str">
        <f>IF(AND($R175&gt;0,données_step[[#This Row],[E_PTOT]]&gt;0),données_step[[#This Row],[E_PTOT]],"")</f>
        <v/>
      </c>
      <c r="AL175" s="523" t="str">
        <f>IF(AK175="","",(1-données_step[[#This Row],[E_PTOT]]/$AN$7)*100)</f>
        <v/>
      </c>
      <c r="AM175" s="523" t="str">
        <f t="shared" si="44"/>
        <v/>
      </c>
      <c r="AN175" s="523" t="str">
        <f t="shared" si="45"/>
        <v/>
      </c>
      <c r="AO175" s="523" t="str">
        <f t="shared" si="46"/>
        <v/>
      </c>
      <c r="AP175" s="523" t="e">
        <f>IF(((100-100/$AN$7*données_step[[#This Row],[E_PTOT]])/100*QTS)&lt;0,NA(),IF(OR(AM175&lt;0,AM175=""),NA(),((100-100/$AN$7*données_step[[#This Row],[E_PTOT]])/100*QTS)))</f>
        <v>#NUM!</v>
      </c>
      <c r="AQ175" s="524" t="e">
        <f t="shared" si="47"/>
        <v>#NUM!</v>
      </c>
      <c r="AR175" s="524" t="str">
        <f t="shared" si="48"/>
        <v/>
      </c>
      <c r="AY175" s="523" t="str">
        <f>_xlfn.IFNA(IF(données_step[[#This Row],[E_DCO]]&lt;=0,NA(),charge_entree[[#This Row],[ch_E_DCO]]/constanten!$B$8*1000),"")</f>
        <v/>
      </c>
      <c r="AZ175" s="523" t="str">
        <f>_xlfn.IFNA(IF(données_step[[#This Row],[E_NTOT]]&lt;=0,NA(),charge_entree[[#This Row],[ch_E_NTOT]]/constanten!$B$10*1000),"")</f>
        <v/>
      </c>
      <c r="BA175" s="523" t="str">
        <f>_xlfn.IFNA(IF(données_step[[#This Row],[E_NH4]]&lt;=0,NA(),charge_entree[[#This Row],[ch_E_NH4]]/constanten!$B$12*1000),"")</f>
        <v/>
      </c>
      <c r="BB175" s="523" t="str">
        <f>_xlfn.IFNA(IF(données_step[[#This Row],[E_COT]]&lt;=0,NA(),charge_entree[[#This Row],[ch_E_COT]]/constanten!$B$9*1000),"")</f>
        <v/>
      </c>
      <c r="BC175" s="523" t="str">
        <f>IFERROR(_xlfn.IFNA(IF(données_step[[#This Row],[E_PTOT]]&lt;=0,NA(),charge_entree[[#This Row],[ch_E_PTOT]]/constanten!$B$15*1000),""),"")</f>
        <v/>
      </c>
      <c r="BD175" s="535" t="e">
        <f>calculs!E175 * (1-0.4) / (données_step[[#This Row],[X_BA_VOL]]*données_step[[#This Row],[X_BACONC]])</f>
        <v>#VALUE!</v>
      </c>
      <c r="BE175" s="522" t="e">
        <f>(données_step[[#This Row],[X_BA_VOL]]*données_step[[#This Row],[X_BACONC]])/((données_step[[#This Row],[D_QTRAI2]]*données_step[[#This Row],[S_MES]]/1000)+(données_step[[#This Row],[X_BX_Q]]*données_step[[#This Row],[X_BXCONC]]))</f>
        <v>#VALUE!</v>
      </c>
      <c r="BF175" s="890" t="str">
        <f>IFERROR(données_step[[#This Row],[D_QTRAI]]/AY175*1000,"")</f>
        <v/>
      </c>
      <c r="BG175" s="535" t="str">
        <f>IFERROR(1-données_step[[#This Row],[S_DBO5]]/données_step[[#This Row],[E_DBO5]],"")</f>
        <v/>
      </c>
      <c r="BH175" s="536" t="str">
        <f>IFERROR(1-données_step[[#This Row],[S_DCO]]/données_step[[#This Row],[E_DCO]],"")</f>
        <v/>
      </c>
      <c r="BI175" s="535" t="str">
        <f>IFERROR(1-données_step[[#This Row],[S_COD]]/données_step[[#This Row],[E_COT]],"")</f>
        <v/>
      </c>
      <c r="BJ175" s="535" t="str">
        <f>IFERROR(1-données_step[[#This Row],[S_NH4]]/données_step[[#This Row],[E_NTOT]],"")</f>
        <v/>
      </c>
      <c r="BK175" s="535" t="str">
        <f>IFERROR(1-données_step[[#This Row],[S_PTOT]]/données_step[[#This Row],[E_PTOT]],"")</f>
        <v/>
      </c>
      <c r="BL175" s="521" t="str">
        <f>IFERROR(IF(données_step[[#This Row],[E_DCO]]/données_step[[#This Row],[E_DBO5]]=0,NA(),données_step[[#This Row],[E_DCO]]/données_step[[#This Row],[E_DBO5]]),"")</f>
        <v/>
      </c>
      <c r="BM175" s="521" t="str">
        <f>IFERROR(IF(données_step[[#This Row],[E_NH4]]/données_step[[#This Row],[E_NTOT]]=0,NA(),données_step[[#This Row],[E_NH4]]/données_step[[#This Row],[E_NTOT]]),"")</f>
        <v/>
      </c>
      <c r="BN175" s="521" t="str">
        <f>IFERROR(IF(données_step[[#This Row],[E_NTOT]]/données_step[[#This Row],[E_COT]]=0,NA(),données_step[[#This Row],[E_NTOT]]/données_step[[#This Row],[E_COT]]),"")</f>
        <v/>
      </c>
      <c r="BO175" s="521" t="str">
        <f>IFERROR(IF(données_step[[#This Row],[E_PTOT]]/données_step[[#This Row],[E_COT]]=0,NA(),données_step[[#This Row],[E_PTOT]]/données_step[[#This Row],[E_COT]]),"")</f>
        <v/>
      </c>
      <c r="BP175" s="521" t="e">
        <f>IF(données_step[[#This Row],[E_DCO]]/données_step[[#This Row],[E_COT]]=0,NA(),données_step[[#This Row],[E_DCO]]/données_step[[#This Row],[E_COT]])</f>
        <v>#DIV/0!</v>
      </c>
      <c r="BQ175" s="521" t="e">
        <f>IF(données_step[[#This Row],[E_NTOT]]/données_step[[#This Row],[E_DCO]]=0,NA(),données_step[[#This Row],[E_NTOT]]/données_step[[#This Row],[E_DCO]])</f>
        <v>#DIV/0!</v>
      </c>
      <c r="BR175" s="521" t="e">
        <f>IF(données_step[[#This Row],[E_PTOT]]/données_step[[#This Row],[E_DCO]]=0,NA(),données_step[[#This Row],[E_PTOT]]/données_step[[#This Row],[E_DCO]])</f>
        <v>#DIV/0!</v>
      </c>
      <c r="BS175" s="747" t="e">
        <f ca="1">test_NH4_temp(données_step[[#This Row],[S_NH4]],données_step[[#This Row],[Temp_eaux]])</f>
        <v>#NAME?</v>
      </c>
    </row>
    <row r="176" spans="1:71" x14ac:dyDescent="0.2">
      <c r="A176" s="222">
        <f>données_step[[#This Row],[Datum]]</f>
        <v>44727</v>
      </c>
      <c r="B176" s="223"/>
      <c r="C176" s="224">
        <f t="shared" si="49"/>
        <v>4</v>
      </c>
      <c r="D176" s="523" t="str">
        <f>IF(OR(données_step[[#This Row],[E_DBO5]]&lt;=0,données_step[[#This Row],[E_DBO5]]=""),"",données_step[[#This Row],[D_QTRAI]]*données_step[[#This Row],[E_DBO5]]/1000)</f>
        <v/>
      </c>
      <c r="E176" s="523" t="str">
        <f>IF(OR(données_step[[#This Row],[E_DCO]]&lt;=0,données_step[[#This Row],[E_DCO]]=""),"",données_step[[#This Row],[D_QTRAI]]*données_step[[#This Row],[E_DCO]]/1000)</f>
        <v/>
      </c>
      <c r="F176" s="523" t="str">
        <f>IF(OR(données_step[[#This Row],[E_COT]]&lt;=0,données_step[[#This Row],[E_COT]]=""),"",données_step[[#This Row],[D_QTRAI]]*données_step[[#This Row],[E_COT]]/1000)</f>
        <v/>
      </c>
      <c r="G176" s="523" t="str">
        <f>IF(OR(données_step[[#This Row],[E_NH4]]&lt;=0,données_step[[#This Row],[E_NH4]]=""),"",données_step[[#This Row],[D_QTRAI]]*données_step[[#This Row],[E_NH4]]/1000)</f>
        <v/>
      </c>
      <c r="H176" s="523" t="str">
        <f>IF(OR(données_step[[#This Row],[E_NTOT]]&lt;=0,données_step[[#This Row],[E_NTOT]]=""),"",données_step[[#This Row],[D_QTRAI]]*données_step[[#This Row],[E_NTOT]]/1000)</f>
        <v/>
      </c>
      <c r="I176" s="523" t="str">
        <f>IF(OR(données_step[[#This Row],[E_NTOT]]&lt;=0,données_step[[#This Row],[E_NTOT]]=""),"",données_step[[#This Row],[D_QTRAI]]*données_step[[#This Row],[E_PTOT]]/1000)</f>
        <v/>
      </c>
      <c r="J176" s="523" t="str">
        <f>IF(OR(données_step[[#This Row],[S_DBO5]]&lt;=0,données_step[[#This Row],[S_DBO5]]=""),"",données_step[[#This Row],[D_QTRAI]]*données_step[[#This Row],[S_DBO5]]/1000)</f>
        <v/>
      </c>
      <c r="K176" s="523" t="str">
        <f>IF(OR(données_step[[#This Row],[S_DCO]]&lt;=0,données_step[[#This Row],[S_DCO]]=""),"",données_step[[#This Row],[D_QTRAI]]*données_step[[#This Row],[S_DCO]]/1000)</f>
        <v/>
      </c>
      <c r="L176" s="523" t="str">
        <f>IF(OR(données_step[[#This Row],[S_COD]]&lt;=0,données_step[[#This Row],[S_COD]]=""),"",données_step[[#This Row],[D_QTRAI]]*données_step[[#This Row],[S_COD]]/1000)</f>
        <v/>
      </c>
      <c r="M176" s="523" t="str">
        <f>IF(OR(données_step[[#This Row],[S_NH4]]&lt;=0,données_step[[#This Row],[S_NH4]]=""),"",données_step[[#This Row],[D_QTRAI]]*données_step[[#This Row],[S_NH4]]/1000)</f>
        <v/>
      </c>
      <c r="N176" s="523" t="str">
        <f>IF(OR(données_step[[#This Row],[S_NO2]]&lt;=0,données_step[[#This Row],[S_NO2]]=""),"",données_step[[#This Row],[D_QTRAI]]*données_step[[#This Row],[S_NO2]]/1000)</f>
        <v/>
      </c>
      <c r="O176" s="523" t="str">
        <f>IF(OR(données_step[[#This Row],[S_NO3]]&lt;=0,données_step[[#This Row],[S_NO3]]=""),"",données_step[[#This Row],[D_QTRAI]]*données_step[[#This Row],[S_NO3]]/1000)</f>
        <v/>
      </c>
      <c r="P176" s="523" t="str">
        <f>IF(OR(données_step[[#This Row],[S_PTOT]]&lt;=0,données_step[[#This Row],[S_PTOT]]=""),"",données_step[[#This Row],[D_QTRAI]]*données_step[[#This Row],[S_PTOT]]/1000)</f>
        <v/>
      </c>
      <c r="Q176" s="523" t="str">
        <f>IF(OR(données_step[[#This Row],[S_MES]]&lt;=0,données_step[[#This Row],[S_MES]]=""),"",données_step[[#This Row],[D_QTRAI]]*données_step[[#This Row],[S_MES]]/1000)</f>
        <v/>
      </c>
      <c r="R176" s="523">
        <f>MAX(données_step[[#This Row],[D_QTRAI]],données_step[[#This Row],[D_QTRAI2]])</f>
        <v>0</v>
      </c>
      <c r="S176" s="523" t="str">
        <f>IF(AND($R176&gt;0,données_step[[#This Row],[E_DCO]]&gt;0),données_step[[#This Row],[E_DCO]],"")</f>
        <v/>
      </c>
      <c r="T176" s="523" t="str">
        <f>IF(S176="","",(1-données_step[[#This Row],[E_DCO]]/$V$7)*100)</f>
        <v/>
      </c>
      <c r="U176" s="523" t="str">
        <f t="shared" si="35"/>
        <v/>
      </c>
      <c r="V176" s="523" t="str">
        <f t="shared" si="36"/>
        <v/>
      </c>
      <c r="W176" s="523" t="str">
        <f t="shared" si="37"/>
        <v/>
      </c>
      <c r="X176" s="523" t="e">
        <f>IF(((100-100/$V$7*données_step[[#This Row],[E_DCO]])/100*QTS)&lt;0,NA(),IF(OR(U176&lt;0,U176=""),NA(),((100-100/$V$7*données_step[[#This Row],[E_DCO]])/100*QTS)))</f>
        <v>#NUM!</v>
      </c>
      <c r="Y176" s="523" t="str">
        <f>IF(AND($R176&gt;0,données_step[[#This Row],[E_COT]]&gt;0),données_step[[#This Row],[E_COT]],"")</f>
        <v/>
      </c>
      <c r="Z176" s="523" t="str">
        <f>IF(Y176="","",(1-données_step[[#This Row],[E_COT]]/$AB$7)*100)</f>
        <v/>
      </c>
      <c r="AA176" s="523" t="str">
        <f t="shared" si="38"/>
        <v/>
      </c>
      <c r="AB176" s="523" t="str">
        <f t="shared" si="39"/>
        <v/>
      </c>
      <c r="AC176" s="523" t="str">
        <f t="shared" si="40"/>
        <v/>
      </c>
      <c r="AD176" s="523" t="e">
        <f>IF(((100-100/$AB$7*données_step[[#This Row],[E_COT]])/100*QTS)&lt;0,NA(),IF(OR(AA176&lt;0,AA176=""),NA(),((100-100/$AB$7*données_step[[#This Row],[E_COT]])/100*QTS)))</f>
        <v>#NUM!</v>
      </c>
      <c r="AE176" s="523" t="str">
        <f>IF(AND($R176&gt;0,données_step[[#This Row],[E_NH4]]&gt;0),données_step[[#This Row],[E_NH4]],"")</f>
        <v/>
      </c>
      <c r="AF176" s="523" t="str">
        <f>IF(AE176="","",(1-données_step[[#This Row],[E_NH4]]/$AH$7)*100)</f>
        <v/>
      </c>
      <c r="AG176" s="523" t="str">
        <f t="shared" si="41"/>
        <v/>
      </c>
      <c r="AH176" s="523" t="str">
        <f t="shared" si="42"/>
        <v/>
      </c>
      <c r="AI176" s="523" t="str">
        <f t="shared" si="43"/>
        <v/>
      </c>
      <c r="AJ176" s="523" t="e">
        <f>IF(((100-100/$AH$7*données_step[[#This Row],[E_NH4]])/100*QTS)&lt;0,NA(),IF(OR(AG176&lt;0,AG176=""),NA(),((100-100/$AH$7*données_step[[#This Row],[E_NH4]])/100*QTS)))</f>
        <v>#NUM!</v>
      </c>
      <c r="AK176" s="523" t="str">
        <f>IF(AND($R176&gt;0,données_step[[#This Row],[E_PTOT]]&gt;0),données_step[[#This Row],[E_PTOT]],"")</f>
        <v/>
      </c>
      <c r="AL176" s="523" t="str">
        <f>IF(AK176="","",(1-données_step[[#This Row],[E_PTOT]]/$AN$7)*100)</f>
        <v/>
      </c>
      <c r="AM176" s="523" t="str">
        <f t="shared" si="44"/>
        <v/>
      </c>
      <c r="AN176" s="523" t="str">
        <f t="shared" si="45"/>
        <v/>
      </c>
      <c r="AO176" s="523" t="str">
        <f t="shared" si="46"/>
        <v/>
      </c>
      <c r="AP176" s="523" t="e">
        <f>IF(((100-100/$AN$7*données_step[[#This Row],[E_PTOT]])/100*QTS)&lt;0,NA(),IF(OR(AM176&lt;0,AM176=""),NA(),((100-100/$AN$7*données_step[[#This Row],[E_PTOT]])/100*QTS)))</f>
        <v>#NUM!</v>
      </c>
      <c r="AQ176" s="524" t="e">
        <f t="shared" si="47"/>
        <v>#NUM!</v>
      </c>
      <c r="AR176" s="524" t="str">
        <f t="shared" si="48"/>
        <v/>
      </c>
      <c r="AY176" s="523" t="str">
        <f>_xlfn.IFNA(IF(données_step[[#This Row],[E_DCO]]&lt;=0,NA(),charge_entree[[#This Row],[ch_E_DCO]]/constanten!$B$8*1000),"")</f>
        <v/>
      </c>
      <c r="AZ176" s="523" t="str">
        <f>_xlfn.IFNA(IF(données_step[[#This Row],[E_NTOT]]&lt;=0,NA(),charge_entree[[#This Row],[ch_E_NTOT]]/constanten!$B$10*1000),"")</f>
        <v/>
      </c>
      <c r="BA176" s="523" t="str">
        <f>_xlfn.IFNA(IF(données_step[[#This Row],[E_NH4]]&lt;=0,NA(),charge_entree[[#This Row],[ch_E_NH4]]/constanten!$B$12*1000),"")</f>
        <v/>
      </c>
      <c r="BB176" s="523" t="str">
        <f>_xlfn.IFNA(IF(données_step[[#This Row],[E_COT]]&lt;=0,NA(),charge_entree[[#This Row],[ch_E_COT]]/constanten!$B$9*1000),"")</f>
        <v/>
      </c>
      <c r="BC176" s="523" t="str">
        <f>IFERROR(_xlfn.IFNA(IF(données_step[[#This Row],[E_PTOT]]&lt;=0,NA(),charge_entree[[#This Row],[ch_E_PTOT]]/constanten!$B$15*1000),""),"")</f>
        <v/>
      </c>
      <c r="BD176" s="535" t="e">
        <f>calculs!E176 * (1-0.4) / (données_step[[#This Row],[X_BA_VOL]]*données_step[[#This Row],[X_BACONC]])</f>
        <v>#VALUE!</v>
      </c>
      <c r="BE176" s="522" t="e">
        <f>(données_step[[#This Row],[X_BA_VOL]]*données_step[[#This Row],[X_BACONC]])/((données_step[[#This Row],[D_QTRAI2]]*données_step[[#This Row],[S_MES]]/1000)+(données_step[[#This Row],[X_BX_Q]]*données_step[[#This Row],[X_BXCONC]]))</f>
        <v>#VALUE!</v>
      </c>
      <c r="BF176" s="890" t="str">
        <f>IFERROR(données_step[[#This Row],[D_QTRAI]]/AY176*1000,"")</f>
        <v/>
      </c>
      <c r="BG176" s="535" t="str">
        <f>IFERROR(1-données_step[[#This Row],[S_DBO5]]/données_step[[#This Row],[E_DBO5]],"")</f>
        <v/>
      </c>
      <c r="BH176" s="536" t="str">
        <f>IFERROR(1-données_step[[#This Row],[S_DCO]]/données_step[[#This Row],[E_DCO]],"")</f>
        <v/>
      </c>
      <c r="BI176" s="535" t="str">
        <f>IFERROR(1-données_step[[#This Row],[S_COD]]/données_step[[#This Row],[E_COT]],"")</f>
        <v/>
      </c>
      <c r="BJ176" s="535" t="str">
        <f>IFERROR(1-données_step[[#This Row],[S_NH4]]/données_step[[#This Row],[E_NTOT]],"")</f>
        <v/>
      </c>
      <c r="BK176" s="535" t="str">
        <f>IFERROR(1-données_step[[#This Row],[S_PTOT]]/données_step[[#This Row],[E_PTOT]],"")</f>
        <v/>
      </c>
      <c r="BL176" s="521" t="str">
        <f>IFERROR(IF(données_step[[#This Row],[E_DCO]]/données_step[[#This Row],[E_DBO5]]=0,NA(),données_step[[#This Row],[E_DCO]]/données_step[[#This Row],[E_DBO5]]),"")</f>
        <v/>
      </c>
      <c r="BM176" s="521" t="str">
        <f>IFERROR(IF(données_step[[#This Row],[E_NH4]]/données_step[[#This Row],[E_NTOT]]=0,NA(),données_step[[#This Row],[E_NH4]]/données_step[[#This Row],[E_NTOT]]),"")</f>
        <v/>
      </c>
      <c r="BN176" s="521" t="str">
        <f>IFERROR(IF(données_step[[#This Row],[E_NTOT]]/données_step[[#This Row],[E_COT]]=0,NA(),données_step[[#This Row],[E_NTOT]]/données_step[[#This Row],[E_COT]]),"")</f>
        <v/>
      </c>
      <c r="BO176" s="521" t="str">
        <f>IFERROR(IF(données_step[[#This Row],[E_PTOT]]/données_step[[#This Row],[E_COT]]=0,NA(),données_step[[#This Row],[E_PTOT]]/données_step[[#This Row],[E_COT]]),"")</f>
        <v/>
      </c>
      <c r="BP176" s="521" t="e">
        <f>IF(données_step[[#This Row],[E_DCO]]/données_step[[#This Row],[E_COT]]=0,NA(),données_step[[#This Row],[E_DCO]]/données_step[[#This Row],[E_COT]])</f>
        <v>#DIV/0!</v>
      </c>
      <c r="BQ176" s="521" t="e">
        <f>IF(données_step[[#This Row],[E_NTOT]]/données_step[[#This Row],[E_DCO]]=0,NA(),données_step[[#This Row],[E_NTOT]]/données_step[[#This Row],[E_DCO]])</f>
        <v>#DIV/0!</v>
      </c>
      <c r="BR176" s="521" t="e">
        <f>IF(données_step[[#This Row],[E_PTOT]]/données_step[[#This Row],[E_DCO]]=0,NA(),données_step[[#This Row],[E_PTOT]]/données_step[[#This Row],[E_DCO]])</f>
        <v>#DIV/0!</v>
      </c>
      <c r="BS176" s="747" t="e">
        <f ca="1">test_NH4_temp(données_step[[#This Row],[S_NH4]],données_step[[#This Row],[Temp_eaux]])</f>
        <v>#NAME?</v>
      </c>
    </row>
    <row r="177" spans="1:71" x14ac:dyDescent="0.2">
      <c r="A177" s="222">
        <f>données_step[[#This Row],[Datum]]</f>
        <v>44728</v>
      </c>
      <c r="B177" s="223"/>
      <c r="C177" s="224">
        <f t="shared" si="49"/>
        <v>5</v>
      </c>
      <c r="D177" s="523" t="str">
        <f>IF(OR(données_step[[#This Row],[E_DBO5]]&lt;=0,données_step[[#This Row],[E_DBO5]]=""),"",données_step[[#This Row],[D_QTRAI]]*données_step[[#This Row],[E_DBO5]]/1000)</f>
        <v/>
      </c>
      <c r="E177" s="523" t="str">
        <f>IF(OR(données_step[[#This Row],[E_DCO]]&lt;=0,données_step[[#This Row],[E_DCO]]=""),"",données_step[[#This Row],[D_QTRAI]]*données_step[[#This Row],[E_DCO]]/1000)</f>
        <v/>
      </c>
      <c r="F177" s="523" t="str">
        <f>IF(OR(données_step[[#This Row],[E_COT]]&lt;=0,données_step[[#This Row],[E_COT]]=""),"",données_step[[#This Row],[D_QTRAI]]*données_step[[#This Row],[E_COT]]/1000)</f>
        <v/>
      </c>
      <c r="G177" s="523" t="str">
        <f>IF(OR(données_step[[#This Row],[E_NH4]]&lt;=0,données_step[[#This Row],[E_NH4]]=""),"",données_step[[#This Row],[D_QTRAI]]*données_step[[#This Row],[E_NH4]]/1000)</f>
        <v/>
      </c>
      <c r="H177" s="523" t="str">
        <f>IF(OR(données_step[[#This Row],[E_NTOT]]&lt;=0,données_step[[#This Row],[E_NTOT]]=""),"",données_step[[#This Row],[D_QTRAI]]*données_step[[#This Row],[E_NTOT]]/1000)</f>
        <v/>
      </c>
      <c r="I177" s="523" t="str">
        <f>IF(OR(données_step[[#This Row],[E_NTOT]]&lt;=0,données_step[[#This Row],[E_NTOT]]=""),"",données_step[[#This Row],[D_QTRAI]]*données_step[[#This Row],[E_PTOT]]/1000)</f>
        <v/>
      </c>
      <c r="J177" s="523" t="str">
        <f>IF(OR(données_step[[#This Row],[S_DBO5]]&lt;=0,données_step[[#This Row],[S_DBO5]]=""),"",données_step[[#This Row],[D_QTRAI]]*données_step[[#This Row],[S_DBO5]]/1000)</f>
        <v/>
      </c>
      <c r="K177" s="523" t="str">
        <f>IF(OR(données_step[[#This Row],[S_DCO]]&lt;=0,données_step[[#This Row],[S_DCO]]=""),"",données_step[[#This Row],[D_QTRAI]]*données_step[[#This Row],[S_DCO]]/1000)</f>
        <v/>
      </c>
      <c r="L177" s="523" t="str">
        <f>IF(OR(données_step[[#This Row],[S_COD]]&lt;=0,données_step[[#This Row],[S_COD]]=""),"",données_step[[#This Row],[D_QTRAI]]*données_step[[#This Row],[S_COD]]/1000)</f>
        <v/>
      </c>
      <c r="M177" s="523" t="str">
        <f>IF(OR(données_step[[#This Row],[S_NH4]]&lt;=0,données_step[[#This Row],[S_NH4]]=""),"",données_step[[#This Row],[D_QTRAI]]*données_step[[#This Row],[S_NH4]]/1000)</f>
        <v/>
      </c>
      <c r="N177" s="523" t="str">
        <f>IF(OR(données_step[[#This Row],[S_NO2]]&lt;=0,données_step[[#This Row],[S_NO2]]=""),"",données_step[[#This Row],[D_QTRAI]]*données_step[[#This Row],[S_NO2]]/1000)</f>
        <v/>
      </c>
      <c r="O177" s="523" t="str">
        <f>IF(OR(données_step[[#This Row],[S_NO3]]&lt;=0,données_step[[#This Row],[S_NO3]]=""),"",données_step[[#This Row],[D_QTRAI]]*données_step[[#This Row],[S_NO3]]/1000)</f>
        <v/>
      </c>
      <c r="P177" s="523" t="str">
        <f>IF(OR(données_step[[#This Row],[S_PTOT]]&lt;=0,données_step[[#This Row],[S_PTOT]]=""),"",données_step[[#This Row],[D_QTRAI]]*données_step[[#This Row],[S_PTOT]]/1000)</f>
        <v/>
      </c>
      <c r="Q177" s="523" t="str">
        <f>IF(OR(données_step[[#This Row],[S_MES]]&lt;=0,données_step[[#This Row],[S_MES]]=""),"",données_step[[#This Row],[D_QTRAI]]*données_step[[#This Row],[S_MES]]/1000)</f>
        <v/>
      </c>
      <c r="R177" s="523">
        <f>MAX(données_step[[#This Row],[D_QTRAI]],données_step[[#This Row],[D_QTRAI2]])</f>
        <v>0</v>
      </c>
      <c r="S177" s="523" t="str">
        <f>IF(AND($R177&gt;0,données_step[[#This Row],[E_DCO]]&gt;0),données_step[[#This Row],[E_DCO]],"")</f>
        <v/>
      </c>
      <c r="T177" s="523" t="str">
        <f>IF(S177="","",(1-données_step[[#This Row],[E_DCO]]/$V$7)*100)</f>
        <v/>
      </c>
      <c r="U177" s="523" t="str">
        <f t="shared" si="35"/>
        <v/>
      </c>
      <c r="V177" s="523" t="str">
        <f t="shared" si="36"/>
        <v/>
      </c>
      <c r="W177" s="523" t="str">
        <f t="shared" si="37"/>
        <v/>
      </c>
      <c r="X177" s="523" t="e">
        <f>IF(((100-100/$V$7*données_step[[#This Row],[E_DCO]])/100*QTS)&lt;0,NA(),IF(OR(U177&lt;0,U177=""),NA(),((100-100/$V$7*données_step[[#This Row],[E_DCO]])/100*QTS)))</f>
        <v>#NUM!</v>
      </c>
      <c r="Y177" s="523" t="str">
        <f>IF(AND($R177&gt;0,données_step[[#This Row],[E_COT]]&gt;0),données_step[[#This Row],[E_COT]],"")</f>
        <v/>
      </c>
      <c r="Z177" s="523" t="str">
        <f>IF(Y177="","",(1-données_step[[#This Row],[E_COT]]/$AB$7)*100)</f>
        <v/>
      </c>
      <c r="AA177" s="523" t="str">
        <f t="shared" si="38"/>
        <v/>
      </c>
      <c r="AB177" s="523" t="str">
        <f t="shared" si="39"/>
        <v/>
      </c>
      <c r="AC177" s="523" t="str">
        <f t="shared" si="40"/>
        <v/>
      </c>
      <c r="AD177" s="523" t="e">
        <f>IF(((100-100/$AB$7*données_step[[#This Row],[E_COT]])/100*QTS)&lt;0,NA(),IF(OR(AA177&lt;0,AA177=""),NA(),((100-100/$AB$7*données_step[[#This Row],[E_COT]])/100*QTS)))</f>
        <v>#NUM!</v>
      </c>
      <c r="AE177" s="523" t="str">
        <f>IF(AND($R177&gt;0,données_step[[#This Row],[E_NH4]]&gt;0),données_step[[#This Row],[E_NH4]],"")</f>
        <v/>
      </c>
      <c r="AF177" s="523" t="str">
        <f>IF(AE177="","",(1-données_step[[#This Row],[E_NH4]]/$AH$7)*100)</f>
        <v/>
      </c>
      <c r="AG177" s="523" t="str">
        <f t="shared" si="41"/>
        <v/>
      </c>
      <c r="AH177" s="523" t="str">
        <f t="shared" si="42"/>
        <v/>
      </c>
      <c r="AI177" s="523" t="str">
        <f t="shared" si="43"/>
        <v/>
      </c>
      <c r="AJ177" s="523" t="e">
        <f>IF(((100-100/$AH$7*données_step[[#This Row],[E_NH4]])/100*QTS)&lt;0,NA(),IF(OR(AG177&lt;0,AG177=""),NA(),((100-100/$AH$7*données_step[[#This Row],[E_NH4]])/100*QTS)))</f>
        <v>#NUM!</v>
      </c>
      <c r="AK177" s="523" t="str">
        <f>IF(AND($R177&gt;0,données_step[[#This Row],[E_PTOT]]&gt;0),données_step[[#This Row],[E_PTOT]],"")</f>
        <v/>
      </c>
      <c r="AL177" s="523" t="str">
        <f>IF(AK177="","",(1-données_step[[#This Row],[E_PTOT]]/$AN$7)*100)</f>
        <v/>
      </c>
      <c r="AM177" s="523" t="str">
        <f t="shared" si="44"/>
        <v/>
      </c>
      <c r="AN177" s="523" t="str">
        <f t="shared" si="45"/>
        <v/>
      </c>
      <c r="AO177" s="523" t="str">
        <f t="shared" si="46"/>
        <v/>
      </c>
      <c r="AP177" s="523" t="e">
        <f>IF(((100-100/$AN$7*données_step[[#This Row],[E_PTOT]])/100*QTS)&lt;0,NA(),IF(OR(AM177&lt;0,AM177=""),NA(),((100-100/$AN$7*données_step[[#This Row],[E_PTOT]])/100*QTS)))</f>
        <v>#NUM!</v>
      </c>
      <c r="AQ177" s="524" t="e">
        <f t="shared" si="47"/>
        <v>#NUM!</v>
      </c>
      <c r="AR177" s="524" t="str">
        <f t="shared" si="48"/>
        <v/>
      </c>
      <c r="AY177" s="523" t="str">
        <f>_xlfn.IFNA(IF(données_step[[#This Row],[E_DCO]]&lt;=0,NA(),charge_entree[[#This Row],[ch_E_DCO]]/constanten!$B$8*1000),"")</f>
        <v/>
      </c>
      <c r="AZ177" s="523" t="str">
        <f>_xlfn.IFNA(IF(données_step[[#This Row],[E_NTOT]]&lt;=0,NA(),charge_entree[[#This Row],[ch_E_NTOT]]/constanten!$B$10*1000),"")</f>
        <v/>
      </c>
      <c r="BA177" s="523" t="str">
        <f>_xlfn.IFNA(IF(données_step[[#This Row],[E_NH4]]&lt;=0,NA(),charge_entree[[#This Row],[ch_E_NH4]]/constanten!$B$12*1000),"")</f>
        <v/>
      </c>
      <c r="BB177" s="523" t="str">
        <f>_xlfn.IFNA(IF(données_step[[#This Row],[E_COT]]&lt;=0,NA(),charge_entree[[#This Row],[ch_E_COT]]/constanten!$B$9*1000),"")</f>
        <v/>
      </c>
      <c r="BC177" s="523" t="str">
        <f>IFERROR(_xlfn.IFNA(IF(données_step[[#This Row],[E_PTOT]]&lt;=0,NA(),charge_entree[[#This Row],[ch_E_PTOT]]/constanten!$B$15*1000),""),"")</f>
        <v/>
      </c>
      <c r="BD177" s="535" t="e">
        <f>calculs!E177 * (1-0.4) / (données_step[[#This Row],[X_BA_VOL]]*données_step[[#This Row],[X_BACONC]])</f>
        <v>#VALUE!</v>
      </c>
      <c r="BE177" s="522" t="e">
        <f>(données_step[[#This Row],[X_BA_VOL]]*données_step[[#This Row],[X_BACONC]])/((données_step[[#This Row],[D_QTRAI2]]*données_step[[#This Row],[S_MES]]/1000)+(données_step[[#This Row],[X_BX_Q]]*données_step[[#This Row],[X_BXCONC]]))</f>
        <v>#VALUE!</v>
      </c>
      <c r="BF177" s="890" t="str">
        <f>IFERROR(données_step[[#This Row],[D_QTRAI]]/AY177*1000,"")</f>
        <v/>
      </c>
      <c r="BG177" s="535" t="str">
        <f>IFERROR(1-données_step[[#This Row],[S_DBO5]]/données_step[[#This Row],[E_DBO5]],"")</f>
        <v/>
      </c>
      <c r="BH177" s="536" t="str">
        <f>IFERROR(1-données_step[[#This Row],[S_DCO]]/données_step[[#This Row],[E_DCO]],"")</f>
        <v/>
      </c>
      <c r="BI177" s="535" t="str">
        <f>IFERROR(1-données_step[[#This Row],[S_COD]]/données_step[[#This Row],[E_COT]],"")</f>
        <v/>
      </c>
      <c r="BJ177" s="535" t="str">
        <f>IFERROR(1-données_step[[#This Row],[S_NH4]]/données_step[[#This Row],[E_NTOT]],"")</f>
        <v/>
      </c>
      <c r="BK177" s="535" t="str">
        <f>IFERROR(1-données_step[[#This Row],[S_PTOT]]/données_step[[#This Row],[E_PTOT]],"")</f>
        <v/>
      </c>
      <c r="BL177" s="521" t="str">
        <f>IFERROR(IF(données_step[[#This Row],[E_DCO]]/données_step[[#This Row],[E_DBO5]]=0,NA(),données_step[[#This Row],[E_DCO]]/données_step[[#This Row],[E_DBO5]]),"")</f>
        <v/>
      </c>
      <c r="BM177" s="521" t="str">
        <f>IFERROR(IF(données_step[[#This Row],[E_NH4]]/données_step[[#This Row],[E_NTOT]]=0,NA(),données_step[[#This Row],[E_NH4]]/données_step[[#This Row],[E_NTOT]]),"")</f>
        <v/>
      </c>
      <c r="BN177" s="521" t="str">
        <f>IFERROR(IF(données_step[[#This Row],[E_NTOT]]/données_step[[#This Row],[E_COT]]=0,NA(),données_step[[#This Row],[E_NTOT]]/données_step[[#This Row],[E_COT]]),"")</f>
        <v/>
      </c>
      <c r="BO177" s="521" t="str">
        <f>IFERROR(IF(données_step[[#This Row],[E_PTOT]]/données_step[[#This Row],[E_COT]]=0,NA(),données_step[[#This Row],[E_PTOT]]/données_step[[#This Row],[E_COT]]),"")</f>
        <v/>
      </c>
      <c r="BP177" s="521" t="e">
        <f>IF(données_step[[#This Row],[E_DCO]]/données_step[[#This Row],[E_COT]]=0,NA(),données_step[[#This Row],[E_DCO]]/données_step[[#This Row],[E_COT]])</f>
        <v>#DIV/0!</v>
      </c>
      <c r="BQ177" s="521" t="e">
        <f>IF(données_step[[#This Row],[E_NTOT]]/données_step[[#This Row],[E_DCO]]=0,NA(),données_step[[#This Row],[E_NTOT]]/données_step[[#This Row],[E_DCO]])</f>
        <v>#DIV/0!</v>
      </c>
      <c r="BR177" s="521" t="e">
        <f>IF(données_step[[#This Row],[E_PTOT]]/données_step[[#This Row],[E_DCO]]=0,NA(),données_step[[#This Row],[E_PTOT]]/données_step[[#This Row],[E_DCO]])</f>
        <v>#DIV/0!</v>
      </c>
      <c r="BS177" s="747" t="e">
        <f ca="1">test_NH4_temp(données_step[[#This Row],[S_NH4]],données_step[[#This Row],[Temp_eaux]])</f>
        <v>#NAME?</v>
      </c>
    </row>
    <row r="178" spans="1:71" x14ac:dyDescent="0.2">
      <c r="A178" s="222">
        <f>données_step[[#This Row],[Datum]]</f>
        <v>44729</v>
      </c>
      <c r="B178" s="223"/>
      <c r="C178" s="224">
        <f t="shared" si="49"/>
        <v>6</v>
      </c>
      <c r="D178" s="523" t="str">
        <f>IF(OR(données_step[[#This Row],[E_DBO5]]&lt;=0,données_step[[#This Row],[E_DBO5]]=""),"",données_step[[#This Row],[D_QTRAI]]*données_step[[#This Row],[E_DBO5]]/1000)</f>
        <v/>
      </c>
      <c r="E178" s="523" t="str">
        <f>IF(OR(données_step[[#This Row],[E_DCO]]&lt;=0,données_step[[#This Row],[E_DCO]]=""),"",données_step[[#This Row],[D_QTRAI]]*données_step[[#This Row],[E_DCO]]/1000)</f>
        <v/>
      </c>
      <c r="F178" s="523" t="str">
        <f>IF(OR(données_step[[#This Row],[E_COT]]&lt;=0,données_step[[#This Row],[E_COT]]=""),"",données_step[[#This Row],[D_QTRAI]]*données_step[[#This Row],[E_COT]]/1000)</f>
        <v/>
      </c>
      <c r="G178" s="523" t="str">
        <f>IF(OR(données_step[[#This Row],[E_NH4]]&lt;=0,données_step[[#This Row],[E_NH4]]=""),"",données_step[[#This Row],[D_QTRAI]]*données_step[[#This Row],[E_NH4]]/1000)</f>
        <v/>
      </c>
      <c r="H178" s="523" t="str">
        <f>IF(OR(données_step[[#This Row],[E_NTOT]]&lt;=0,données_step[[#This Row],[E_NTOT]]=""),"",données_step[[#This Row],[D_QTRAI]]*données_step[[#This Row],[E_NTOT]]/1000)</f>
        <v/>
      </c>
      <c r="I178" s="523" t="str">
        <f>IF(OR(données_step[[#This Row],[E_NTOT]]&lt;=0,données_step[[#This Row],[E_NTOT]]=""),"",données_step[[#This Row],[D_QTRAI]]*données_step[[#This Row],[E_PTOT]]/1000)</f>
        <v/>
      </c>
      <c r="J178" s="523" t="str">
        <f>IF(OR(données_step[[#This Row],[S_DBO5]]&lt;=0,données_step[[#This Row],[S_DBO5]]=""),"",données_step[[#This Row],[D_QTRAI]]*données_step[[#This Row],[S_DBO5]]/1000)</f>
        <v/>
      </c>
      <c r="K178" s="523" t="str">
        <f>IF(OR(données_step[[#This Row],[S_DCO]]&lt;=0,données_step[[#This Row],[S_DCO]]=""),"",données_step[[#This Row],[D_QTRAI]]*données_step[[#This Row],[S_DCO]]/1000)</f>
        <v/>
      </c>
      <c r="L178" s="523" t="str">
        <f>IF(OR(données_step[[#This Row],[S_COD]]&lt;=0,données_step[[#This Row],[S_COD]]=""),"",données_step[[#This Row],[D_QTRAI]]*données_step[[#This Row],[S_COD]]/1000)</f>
        <v/>
      </c>
      <c r="M178" s="523" t="str">
        <f>IF(OR(données_step[[#This Row],[S_NH4]]&lt;=0,données_step[[#This Row],[S_NH4]]=""),"",données_step[[#This Row],[D_QTRAI]]*données_step[[#This Row],[S_NH4]]/1000)</f>
        <v/>
      </c>
      <c r="N178" s="523" t="str">
        <f>IF(OR(données_step[[#This Row],[S_NO2]]&lt;=0,données_step[[#This Row],[S_NO2]]=""),"",données_step[[#This Row],[D_QTRAI]]*données_step[[#This Row],[S_NO2]]/1000)</f>
        <v/>
      </c>
      <c r="O178" s="523" t="str">
        <f>IF(OR(données_step[[#This Row],[S_NO3]]&lt;=0,données_step[[#This Row],[S_NO3]]=""),"",données_step[[#This Row],[D_QTRAI]]*données_step[[#This Row],[S_NO3]]/1000)</f>
        <v/>
      </c>
      <c r="P178" s="523" t="str">
        <f>IF(OR(données_step[[#This Row],[S_PTOT]]&lt;=0,données_step[[#This Row],[S_PTOT]]=""),"",données_step[[#This Row],[D_QTRAI]]*données_step[[#This Row],[S_PTOT]]/1000)</f>
        <v/>
      </c>
      <c r="Q178" s="523" t="str">
        <f>IF(OR(données_step[[#This Row],[S_MES]]&lt;=0,données_step[[#This Row],[S_MES]]=""),"",données_step[[#This Row],[D_QTRAI]]*données_step[[#This Row],[S_MES]]/1000)</f>
        <v/>
      </c>
      <c r="R178" s="523">
        <f>MAX(données_step[[#This Row],[D_QTRAI]],données_step[[#This Row],[D_QTRAI2]])</f>
        <v>0</v>
      </c>
      <c r="S178" s="523" t="str">
        <f>IF(AND($R178&gt;0,données_step[[#This Row],[E_DCO]]&gt;0),données_step[[#This Row],[E_DCO]],"")</f>
        <v/>
      </c>
      <c r="T178" s="523" t="str">
        <f>IF(S178="","",(1-données_step[[#This Row],[E_DCO]]/$V$7)*100)</f>
        <v/>
      </c>
      <c r="U178" s="523" t="str">
        <f t="shared" si="35"/>
        <v/>
      </c>
      <c r="V178" s="523" t="str">
        <f t="shared" si="36"/>
        <v/>
      </c>
      <c r="W178" s="523" t="str">
        <f t="shared" si="37"/>
        <v/>
      </c>
      <c r="X178" s="523" t="e">
        <f>IF(((100-100/$V$7*données_step[[#This Row],[E_DCO]])/100*QTS)&lt;0,NA(),IF(OR(U178&lt;0,U178=""),NA(),((100-100/$V$7*données_step[[#This Row],[E_DCO]])/100*QTS)))</f>
        <v>#NUM!</v>
      </c>
      <c r="Y178" s="523" t="str">
        <f>IF(AND($R178&gt;0,données_step[[#This Row],[E_COT]]&gt;0),données_step[[#This Row],[E_COT]],"")</f>
        <v/>
      </c>
      <c r="Z178" s="523" t="str">
        <f>IF(Y178="","",(1-données_step[[#This Row],[E_COT]]/$AB$7)*100)</f>
        <v/>
      </c>
      <c r="AA178" s="523" t="str">
        <f t="shared" si="38"/>
        <v/>
      </c>
      <c r="AB178" s="523" t="str">
        <f t="shared" si="39"/>
        <v/>
      </c>
      <c r="AC178" s="523" t="str">
        <f t="shared" si="40"/>
        <v/>
      </c>
      <c r="AD178" s="523" t="e">
        <f>IF(((100-100/$AB$7*données_step[[#This Row],[E_COT]])/100*QTS)&lt;0,NA(),IF(OR(AA178&lt;0,AA178=""),NA(),((100-100/$AB$7*données_step[[#This Row],[E_COT]])/100*QTS)))</f>
        <v>#NUM!</v>
      </c>
      <c r="AE178" s="523" t="str">
        <f>IF(AND($R178&gt;0,données_step[[#This Row],[E_NH4]]&gt;0),données_step[[#This Row],[E_NH4]],"")</f>
        <v/>
      </c>
      <c r="AF178" s="523" t="str">
        <f>IF(AE178="","",(1-données_step[[#This Row],[E_NH4]]/$AH$7)*100)</f>
        <v/>
      </c>
      <c r="AG178" s="523" t="str">
        <f t="shared" si="41"/>
        <v/>
      </c>
      <c r="AH178" s="523" t="str">
        <f t="shared" si="42"/>
        <v/>
      </c>
      <c r="AI178" s="523" t="str">
        <f t="shared" si="43"/>
        <v/>
      </c>
      <c r="AJ178" s="523" t="e">
        <f>IF(((100-100/$AH$7*données_step[[#This Row],[E_NH4]])/100*QTS)&lt;0,NA(),IF(OR(AG178&lt;0,AG178=""),NA(),((100-100/$AH$7*données_step[[#This Row],[E_NH4]])/100*QTS)))</f>
        <v>#NUM!</v>
      </c>
      <c r="AK178" s="523" t="str">
        <f>IF(AND($R178&gt;0,données_step[[#This Row],[E_PTOT]]&gt;0),données_step[[#This Row],[E_PTOT]],"")</f>
        <v/>
      </c>
      <c r="AL178" s="523" t="str">
        <f>IF(AK178="","",(1-données_step[[#This Row],[E_PTOT]]/$AN$7)*100)</f>
        <v/>
      </c>
      <c r="AM178" s="523" t="str">
        <f t="shared" si="44"/>
        <v/>
      </c>
      <c r="AN178" s="523" t="str">
        <f t="shared" si="45"/>
        <v/>
      </c>
      <c r="AO178" s="523" t="str">
        <f t="shared" si="46"/>
        <v/>
      </c>
      <c r="AP178" s="523" t="e">
        <f>IF(((100-100/$AN$7*données_step[[#This Row],[E_PTOT]])/100*QTS)&lt;0,NA(),IF(OR(AM178&lt;0,AM178=""),NA(),((100-100/$AN$7*données_step[[#This Row],[E_PTOT]])/100*QTS)))</f>
        <v>#NUM!</v>
      </c>
      <c r="AQ178" s="524" t="e">
        <f t="shared" si="47"/>
        <v>#NUM!</v>
      </c>
      <c r="AR178" s="524" t="str">
        <f t="shared" si="48"/>
        <v/>
      </c>
      <c r="AY178" s="523" t="str">
        <f>_xlfn.IFNA(IF(données_step[[#This Row],[E_DCO]]&lt;=0,NA(),charge_entree[[#This Row],[ch_E_DCO]]/constanten!$B$8*1000),"")</f>
        <v/>
      </c>
      <c r="AZ178" s="523" t="str">
        <f>_xlfn.IFNA(IF(données_step[[#This Row],[E_NTOT]]&lt;=0,NA(),charge_entree[[#This Row],[ch_E_NTOT]]/constanten!$B$10*1000),"")</f>
        <v/>
      </c>
      <c r="BA178" s="523" t="str">
        <f>_xlfn.IFNA(IF(données_step[[#This Row],[E_NH4]]&lt;=0,NA(),charge_entree[[#This Row],[ch_E_NH4]]/constanten!$B$12*1000),"")</f>
        <v/>
      </c>
      <c r="BB178" s="523" t="str">
        <f>_xlfn.IFNA(IF(données_step[[#This Row],[E_COT]]&lt;=0,NA(),charge_entree[[#This Row],[ch_E_COT]]/constanten!$B$9*1000),"")</f>
        <v/>
      </c>
      <c r="BC178" s="523" t="str">
        <f>IFERROR(_xlfn.IFNA(IF(données_step[[#This Row],[E_PTOT]]&lt;=0,NA(),charge_entree[[#This Row],[ch_E_PTOT]]/constanten!$B$15*1000),""),"")</f>
        <v/>
      </c>
      <c r="BD178" s="535" t="e">
        <f>calculs!E178 * (1-0.4) / (données_step[[#This Row],[X_BA_VOL]]*données_step[[#This Row],[X_BACONC]])</f>
        <v>#VALUE!</v>
      </c>
      <c r="BE178" s="522" t="e">
        <f>(données_step[[#This Row],[X_BA_VOL]]*données_step[[#This Row],[X_BACONC]])/((données_step[[#This Row],[D_QTRAI2]]*données_step[[#This Row],[S_MES]]/1000)+(données_step[[#This Row],[X_BX_Q]]*données_step[[#This Row],[X_BXCONC]]))</f>
        <v>#VALUE!</v>
      </c>
      <c r="BF178" s="890" t="str">
        <f>IFERROR(données_step[[#This Row],[D_QTRAI]]/AY178*1000,"")</f>
        <v/>
      </c>
      <c r="BG178" s="535" t="str">
        <f>IFERROR(1-données_step[[#This Row],[S_DBO5]]/données_step[[#This Row],[E_DBO5]],"")</f>
        <v/>
      </c>
      <c r="BH178" s="536" t="str">
        <f>IFERROR(1-données_step[[#This Row],[S_DCO]]/données_step[[#This Row],[E_DCO]],"")</f>
        <v/>
      </c>
      <c r="BI178" s="535" t="str">
        <f>IFERROR(1-données_step[[#This Row],[S_COD]]/données_step[[#This Row],[E_COT]],"")</f>
        <v/>
      </c>
      <c r="BJ178" s="535" t="str">
        <f>IFERROR(1-données_step[[#This Row],[S_NH4]]/données_step[[#This Row],[E_NTOT]],"")</f>
        <v/>
      </c>
      <c r="BK178" s="535" t="str">
        <f>IFERROR(1-données_step[[#This Row],[S_PTOT]]/données_step[[#This Row],[E_PTOT]],"")</f>
        <v/>
      </c>
      <c r="BL178" s="521" t="str">
        <f>IFERROR(IF(données_step[[#This Row],[E_DCO]]/données_step[[#This Row],[E_DBO5]]=0,NA(),données_step[[#This Row],[E_DCO]]/données_step[[#This Row],[E_DBO5]]),"")</f>
        <v/>
      </c>
      <c r="BM178" s="521" t="str">
        <f>IFERROR(IF(données_step[[#This Row],[E_NH4]]/données_step[[#This Row],[E_NTOT]]=0,NA(),données_step[[#This Row],[E_NH4]]/données_step[[#This Row],[E_NTOT]]),"")</f>
        <v/>
      </c>
      <c r="BN178" s="521" t="str">
        <f>IFERROR(IF(données_step[[#This Row],[E_NTOT]]/données_step[[#This Row],[E_COT]]=0,NA(),données_step[[#This Row],[E_NTOT]]/données_step[[#This Row],[E_COT]]),"")</f>
        <v/>
      </c>
      <c r="BO178" s="521" t="str">
        <f>IFERROR(IF(données_step[[#This Row],[E_PTOT]]/données_step[[#This Row],[E_COT]]=0,NA(),données_step[[#This Row],[E_PTOT]]/données_step[[#This Row],[E_COT]]),"")</f>
        <v/>
      </c>
      <c r="BP178" s="521" t="e">
        <f>IF(données_step[[#This Row],[E_DCO]]/données_step[[#This Row],[E_COT]]=0,NA(),données_step[[#This Row],[E_DCO]]/données_step[[#This Row],[E_COT]])</f>
        <v>#DIV/0!</v>
      </c>
      <c r="BQ178" s="521" t="e">
        <f>IF(données_step[[#This Row],[E_NTOT]]/données_step[[#This Row],[E_DCO]]=0,NA(),données_step[[#This Row],[E_NTOT]]/données_step[[#This Row],[E_DCO]])</f>
        <v>#DIV/0!</v>
      </c>
      <c r="BR178" s="521" t="e">
        <f>IF(données_step[[#This Row],[E_PTOT]]/données_step[[#This Row],[E_DCO]]=0,NA(),données_step[[#This Row],[E_PTOT]]/données_step[[#This Row],[E_DCO]])</f>
        <v>#DIV/0!</v>
      </c>
      <c r="BS178" s="747" t="e">
        <f ca="1">test_NH4_temp(données_step[[#This Row],[S_NH4]],données_step[[#This Row],[Temp_eaux]])</f>
        <v>#NAME?</v>
      </c>
    </row>
    <row r="179" spans="1:71" x14ac:dyDescent="0.2">
      <c r="A179" s="222">
        <f>données_step[[#This Row],[Datum]]</f>
        <v>44730</v>
      </c>
      <c r="B179" s="223"/>
      <c r="C179" s="224">
        <f t="shared" si="49"/>
        <v>7</v>
      </c>
      <c r="D179" s="523" t="str">
        <f>IF(OR(données_step[[#This Row],[E_DBO5]]&lt;=0,données_step[[#This Row],[E_DBO5]]=""),"",données_step[[#This Row],[D_QTRAI]]*données_step[[#This Row],[E_DBO5]]/1000)</f>
        <v/>
      </c>
      <c r="E179" s="523" t="str">
        <f>IF(OR(données_step[[#This Row],[E_DCO]]&lt;=0,données_step[[#This Row],[E_DCO]]=""),"",données_step[[#This Row],[D_QTRAI]]*données_step[[#This Row],[E_DCO]]/1000)</f>
        <v/>
      </c>
      <c r="F179" s="523" t="str">
        <f>IF(OR(données_step[[#This Row],[E_COT]]&lt;=0,données_step[[#This Row],[E_COT]]=""),"",données_step[[#This Row],[D_QTRAI]]*données_step[[#This Row],[E_COT]]/1000)</f>
        <v/>
      </c>
      <c r="G179" s="523" t="str">
        <f>IF(OR(données_step[[#This Row],[E_NH4]]&lt;=0,données_step[[#This Row],[E_NH4]]=""),"",données_step[[#This Row],[D_QTRAI]]*données_step[[#This Row],[E_NH4]]/1000)</f>
        <v/>
      </c>
      <c r="H179" s="523" t="str">
        <f>IF(OR(données_step[[#This Row],[E_NTOT]]&lt;=0,données_step[[#This Row],[E_NTOT]]=""),"",données_step[[#This Row],[D_QTRAI]]*données_step[[#This Row],[E_NTOT]]/1000)</f>
        <v/>
      </c>
      <c r="I179" s="523" t="str">
        <f>IF(OR(données_step[[#This Row],[E_NTOT]]&lt;=0,données_step[[#This Row],[E_NTOT]]=""),"",données_step[[#This Row],[D_QTRAI]]*données_step[[#This Row],[E_PTOT]]/1000)</f>
        <v/>
      </c>
      <c r="J179" s="523" t="str">
        <f>IF(OR(données_step[[#This Row],[S_DBO5]]&lt;=0,données_step[[#This Row],[S_DBO5]]=""),"",données_step[[#This Row],[D_QTRAI]]*données_step[[#This Row],[S_DBO5]]/1000)</f>
        <v/>
      </c>
      <c r="K179" s="523" t="str">
        <f>IF(OR(données_step[[#This Row],[S_DCO]]&lt;=0,données_step[[#This Row],[S_DCO]]=""),"",données_step[[#This Row],[D_QTRAI]]*données_step[[#This Row],[S_DCO]]/1000)</f>
        <v/>
      </c>
      <c r="L179" s="523" t="str">
        <f>IF(OR(données_step[[#This Row],[S_COD]]&lt;=0,données_step[[#This Row],[S_COD]]=""),"",données_step[[#This Row],[D_QTRAI]]*données_step[[#This Row],[S_COD]]/1000)</f>
        <v/>
      </c>
      <c r="M179" s="523" t="str">
        <f>IF(OR(données_step[[#This Row],[S_NH4]]&lt;=0,données_step[[#This Row],[S_NH4]]=""),"",données_step[[#This Row],[D_QTRAI]]*données_step[[#This Row],[S_NH4]]/1000)</f>
        <v/>
      </c>
      <c r="N179" s="523" t="str">
        <f>IF(OR(données_step[[#This Row],[S_NO2]]&lt;=0,données_step[[#This Row],[S_NO2]]=""),"",données_step[[#This Row],[D_QTRAI]]*données_step[[#This Row],[S_NO2]]/1000)</f>
        <v/>
      </c>
      <c r="O179" s="523" t="str">
        <f>IF(OR(données_step[[#This Row],[S_NO3]]&lt;=0,données_step[[#This Row],[S_NO3]]=""),"",données_step[[#This Row],[D_QTRAI]]*données_step[[#This Row],[S_NO3]]/1000)</f>
        <v/>
      </c>
      <c r="P179" s="523" t="str">
        <f>IF(OR(données_step[[#This Row],[S_PTOT]]&lt;=0,données_step[[#This Row],[S_PTOT]]=""),"",données_step[[#This Row],[D_QTRAI]]*données_step[[#This Row],[S_PTOT]]/1000)</f>
        <v/>
      </c>
      <c r="Q179" s="523" t="str">
        <f>IF(OR(données_step[[#This Row],[S_MES]]&lt;=0,données_step[[#This Row],[S_MES]]=""),"",données_step[[#This Row],[D_QTRAI]]*données_step[[#This Row],[S_MES]]/1000)</f>
        <v/>
      </c>
      <c r="R179" s="523">
        <f>MAX(données_step[[#This Row],[D_QTRAI]],données_step[[#This Row],[D_QTRAI2]])</f>
        <v>0</v>
      </c>
      <c r="S179" s="523" t="str">
        <f>IF(AND($R179&gt;0,données_step[[#This Row],[E_DCO]]&gt;0),données_step[[#This Row],[E_DCO]],"")</f>
        <v/>
      </c>
      <c r="T179" s="523" t="str">
        <f>IF(S179="","",(1-données_step[[#This Row],[E_DCO]]/$V$7)*100)</f>
        <v/>
      </c>
      <c r="U179" s="523" t="str">
        <f t="shared" si="35"/>
        <v/>
      </c>
      <c r="V179" s="523" t="str">
        <f t="shared" si="36"/>
        <v/>
      </c>
      <c r="W179" s="523" t="str">
        <f t="shared" si="37"/>
        <v/>
      </c>
      <c r="X179" s="523" t="e">
        <f>IF(((100-100/$V$7*données_step[[#This Row],[E_DCO]])/100*QTS)&lt;0,NA(),IF(OR(U179&lt;0,U179=""),NA(),((100-100/$V$7*données_step[[#This Row],[E_DCO]])/100*QTS)))</f>
        <v>#NUM!</v>
      </c>
      <c r="Y179" s="523" t="str">
        <f>IF(AND($R179&gt;0,données_step[[#This Row],[E_COT]]&gt;0),données_step[[#This Row],[E_COT]],"")</f>
        <v/>
      </c>
      <c r="Z179" s="523" t="str">
        <f>IF(Y179="","",(1-données_step[[#This Row],[E_COT]]/$AB$7)*100)</f>
        <v/>
      </c>
      <c r="AA179" s="523" t="str">
        <f t="shared" si="38"/>
        <v/>
      </c>
      <c r="AB179" s="523" t="str">
        <f t="shared" si="39"/>
        <v/>
      </c>
      <c r="AC179" s="523" t="str">
        <f t="shared" si="40"/>
        <v/>
      </c>
      <c r="AD179" s="523" t="e">
        <f>IF(((100-100/$AB$7*données_step[[#This Row],[E_COT]])/100*QTS)&lt;0,NA(),IF(OR(AA179&lt;0,AA179=""),NA(),((100-100/$AB$7*données_step[[#This Row],[E_COT]])/100*QTS)))</f>
        <v>#NUM!</v>
      </c>
      <c r="AE179" s="523" t="str">
        <f>IF(AND($R179&gt;0,données_step[[#This Row],[E_NH4]]&gt;0),données_step[[#This Row],[E_NH4]],"")</f>
        <v/>
      </c>
      <c r="AF179" s="523" t="str">
        <f>IF(AE179="","",(1-données_step[[#This Row],[E_NH4]]/$AH$7)*100)</f>
        <v/>
      </c>
      <c r="AG179" s="523" t="str">
        <f t="shared" si="41"/>
        <v/>
      </c>
      <c r="AH179" s="523" t="str">
        <f t="shared" si="42"/>
        <v/>
      </c>
      <c r="AI179" s="523" t="str">
        <f t="shared" si="43"/>
        <v/>
      </c>
      <c r="AJ179" s="523" t="e">
        <f>IF(((100-100/$AH$7*données_step[[#This Row],[E_NH4]])/100*QTS)&lt;0,NA(),IF(OR(AG179&lt;0,AG179=""),NA(),((100-100/$AH$7*données_step[[#This Row],[E_NH4]])/100*QTS)))</f>
        <v>#NUM!</v>
      </c>
      <c r="AK179" s="523" t="str">
        <f>IF(AND($R179&gt;0,données_step[[#This Row],[E_PTOT]]&gt;0),données_step[[#This Row],[E_PTOT]],"")</f>
        <v/>
      </c>
      <c r="AL179" s="523" t="str">
        <f>IF(AK179="","",(1-données_step[[#This Row],[E_PTOT]]/$AN$7)*100)</f>
        <v/>
      </c>
      <c r="AM179" s="523" t="str">
        <f t="shared" si="44"/>
        <v/>
      </c>
      <c r="AN179" s="523" t="str">
        <f t="shared" si="45"/>
        <v/>
      </c>
      <c r="AO179" s="523" t="str">
        <f t="shared" si="46"/>
        <v/>
      </c>
      <c r="AP179" s="523" t="e">
        <f>IF(((100-100/$AN$7*données_step[[#This Row],[E_PTOT]])/100*QTS)&lt;0,NA(),IF(OR(AM179&lt;0,AM179=""),NA(),((100-100/$AN$7*données_step[[#This Row],[E_PTOT]])/100*QTS)))</f>
        <v>#NUM!</v>
      </c>
      <c r="AQ179" s="524" t="e">
        <f t="shared" si="47"/>
        <v>#NUM!</v>
      </c>
      <c r="AR179" s="524" t="str">
        <f t="shared" si="48"/>
        <v/>
      </c>
      <c r="AY179" s="523" t="str">
        <f>_xlfn.IFNA(IF(données_step[[#This Row],[E_DCO]]&lt;=0,NA(),charge_entree[[#This Row],[ch_E_DCO]]/constanten!$B$8*1000),"")</f>
        <v/>
      </c>
      <c r="AZ179" s="523" t="str">
        <f>_xlfn.IFNA(IF(données_step[[#This Row],[E_NTOT]]&lt;=0,NA(),charge_entree[[#This Row],[ch_E_NTOT]]/constanten!$B$10*1000),"")</f>
        <v/>
      </c>
      <c r="BA179" s="523" t="str">
        <f>_xlfn.IFNA(IF(données_step[[#This Row],[E_NH4]]&lt;=0,NA(),charge_entree[[#This Row],[ch_E_NH4]]/constanten!$B$12*1000),"")</f>
        <v/>
      </c>
      <c r="BB179" s="523" t="str">
        <f>_xlfn.IFNA(IF(données_step[[#This Row],[E_COT]]&lt;=0,NA(),charge_entree[[#This Row],[ch_E_COT]]/constanten!$B$9*1000),"")</f>
        <v/>
      </c>
      <c r="BC179" s="523" t="str">
        <f>IFERROR(_xlfn.IFNA(IF(données_step[[#This Row],[E_PTOT]]&lt;=0,NA(),charge_entree[[#This Row],[ch_E_PTOT]]/constanten!$B$15*1000),""),"")</f>
        <v/>
      </c>
      <c r="BD179" s="535" t="e">
        <f>calculs!E179 * (1-0.4) / (données_step[[#This Row],[X_BA_VOL]]*données_step[[#This Row],[X_BACONC]])</f>
        <v>#VALUE!</v>
      </c>
      <c r="BE179" s="522" t="e">
        <f>(données_step[[#This Row],[X_BA_VOL]]*données_step[[#This Row],[X_BACONC]])/((données_step[[#This Row],[D_QTRAI2]]*données_step[[#This Row],[S_MES]]/1000)+(données_step[[#This Row],[X_BX_Q]]*données_step[[#This Row],[X_BXCONC]]))</f>
        <v>#VALUE!</v>
      </c>
      <c r="BF179" s="890" t="str">
        <f>IFERROR(données_step[[#This Row],[D_QTRAI]]/AY179*1000,"")</f>
        <v/>
      </c>
      <c r="BG179" s="535" t="str">
        <f>IFERROR(1-données_step[[#This Row],[S_DBO5]]/données_step[[#This Row],[E_DBO5]],"")</f>
        <v/>
      </c>
      <c r="BH179" s="536" t="str">
        <f>IFERROR(1-données_step[[#This Row],[S_DCO]]/données_step[[#This Row],[E_DCO]],"")</f>
        <v/>
      </c>
      <c r="BI179" s="535" t="str">
        <f>IFERROR(1-données_step[[#This Row],[S_COD]]/données_step[[#This Row],[E_COT]],"")</f>
        <v/>
      </c>
      <c r="BJ179" s="535" t="str">
        <f>IFERROR(1-données_step[[#This Row],[S_NH4]]/données_step[[#This Row],[E_NTOT]],"")</f>
        <v/>
      </c>
      <c r="BK179" s="535" t="str">
        <f>IFERROR(1-données_step[[#This Row],[S_PTOT]]/données_step[[#This Row],[E_PTOT]],"")</f>
        <v/>
      </c>
      <c r="BL179" s="521" t="str">
        <f>IFERROR(IF(données_step[[#This Row],[E_DCO]]/données_step[[#This Row],[E_DBO5]]=0,NA(),données_step[[#This Row],[E_DCO]]/données_step[[#This Row],[E_DBO5]]),"")</f>
        <v/>
      </c>
      <c r="BM179" s="521" t="str">
        <f>IFERROR(IF(données_step[[#This Row],[E_NH4]]/données_step[[#This Row],[E_NTOT]]=0,NA(),données_step[[#This Row],[E_NH4]]/données_step[[#This Row],[E_NTOT]]),"")</f>
        <v/>
      </c>
      <c r="BN179" s="521" t="str">
        <f>IFERROR(IF(données_step[[#This Row],[E_NTOT]]/données_step[[#This Row],[E_COT]]=0,NA(),données_step[[#This Row],[E_NTOT]]/données_step[[#This Row],[E_COT]]),"")</f>
        <v/>
      </c>
      <c r="BO179" s="521" t="str">
        <f>IFERROR(IF(données_step[[#This Row],[E_PTOT]]/données_step[[#This Row],[E_COT]]=0,NA(),données_step[[#This Row],[E_PTOT]]/données_step[[#This Row],[E_COT]]),"")</f>
        <v/>
      </c>
      <c r="BP179" s="521" t="e">
        <f>IF(données_step[[#This Row],[E_DCO]]/données_step[[#This Row],[E_COT]]=0,NA(),données_step[[#This Row],[E_DCO]]/données_step[[#This Row],[E_COT]])</f>
        <v>#DIV/0!</v>
      </c>
      <c r="BQ179" s="521" t="e">
        <f>IF(données_step[[#This Row],[E_NTOT]]/données_step[[#This Row],[E_DCO]]=0,NA(),données_step[[#This Row],[E_NTOT]]/données_step[[#This Row],[E_DCO]])</f>
        <v>#DIV/0!</v>
      </c>
      <c r="BR179" s="521" t="e">
        <f>IF(données_step[[#This Row],[E_PTOT]]/données_step[[#This Row],[E_DCO]]=0,NA(),données_step[[#This Row],[E_PTOT]]/données_step[[#This Row],[E_DCO]])</f>
        <v>#DIV/0!</v>
      </c>
      <c r="BS179" s="747" t="e">
        <f ca="1">test_NH4_temp(données_step[[#This Row],[S_NH4]],données_step[[#This Row],[Temp_eaux]])</f>
        <v>#NAME?</v>
      </c>
    </row>
    <row r="180" spans="1:71" x14ac:dyDescent="0.2">
      <c r="A180" s="222">
        <f>données_step[[#This Row],[Datum]]</f>
        <v>44731</v>
      </c>
      <c r="B180" s="223"/>
      <c r="C180" s="224">
        <f t="shared" si="49"/>
        <v>1</v>
      </c>
      <c r="D180" s="523" t="str">
        <f>IF(OR(données_step[[#This Row],[E_DBO5]]&lt;=0,données_step[[#This Row],[E_DBO5]]=""),"",données_step[[#This Row],[D_QTRAI]]*données_step[[#This Row],[E_DBO5]]/1000)</f>
        <v/>
      </c>
      <c r="E180" s="523" t="str">
        <f>IF(OR(données_step[[#This Row],[E_DCO]]&lt;=0,données_step[[#This Row],[E_DCO]]=""),"",données_step[[#This Row],[D_QTRAI]]*données_step[[#This Row],[E_DCO]]/1000)</f>
        <v/>
      </c>
      <c r="F180" s="523" t="str">
        <f>IF(OR(données_step[[#This Row],[E_COT]]&lt;=0,données_step[[#This Row],[E_COT]]=""),"",données_step[[#This Row],[D_QTRAI]]*données_step[[#This Row],[E_COT]]/1000)</f>
        <v/>
      </c>
      <c r="G180" s="523" t="str">
        <f>IF(OR(données_step[[#This Row],[E_NH4]]&lt;=0,données_step[[#This Row],[E_NH4]]=""),"",données_step[[#This Row],[D_QTRAI]]*données_step[[#This Row],[E_NH4]]/1000)</f>
        <v/>
      </c>
      <c r="H180" s="523" t="str">
        <f>IF(OR(données_step[[#This Row],[E_NTOT]]&lt;=0,données_step[[#This Row],[E_NTOT]]=""),"",données_step[[#This Row],[D_QTRAI]]*données_step[[#This Row],[E_NTOT]]/1000)</f>
        <v/>
      </c>
      <c r="I180" s="523" t="str">
        <f>IF(OR(données_step[[#This Row],[E_NTOT]]&lt;=0,données_step[[#This Row],[E_NTOT]]=""),"",données_step[[#This Row],[D_QTRAI]]*données_step[[#This Row],[E_PTOT]]/1000)</f>
        <v/>
      </c>
      <c r="J180" s="523" t="str">
        <f>IF(OR(données_step[[#This Row],[S_DBO5]]&lt;=0,données_step[[#This Row],[S_DBO5]]=""),"",données_step[[#This Row],[D_QTRAI]]*données_step[[#This Row],[S_DBO5]]/1000)</f>
        <v/>
      </c>
      <c r="K180" s="523" t="str">
        <f>IF(OR(données_step[[#This Row],[S_DCO]]&lt;=0,données_step[[#This Row],[S_DCO]]=""),"",données_step[[#This Row],[D_QTRAI]]*données_step[[#This Row],[S_DCO]]/1000)</f>
        <v/>
      </c>
      <c r="L180" s="523" t="str">
        <f>IF(OR(données_step[[#This Row],[S_COD]]&lt;=0,données_step[[#This Row],[S_COD]]=""),"",données_step[[#This Row],[D_QTRAI]]*données_step[[#This Row],[S_COD]]/1000)</f>
        <v/>
      </c>
      <c r="M180" s="523" t="str">
        <f>IF(OR(données_step[[#This Row],[S_NH4]]&lt;=0,données_step[[#This Row],[S_NH4]]=""),"",données_step[[#This Row],[D_QTRAI]]*données_step[[#This Row],[S_NH4]]/1000)</f>
        <v/>
      </c>
      <c r="N180" s="523" t="str">
        <f>IF(OR(données_step[[#This Row],[S_NO2]]&lt;=0,données_step[[#This Row],[S_NO2]]=""),"",données_step[[#This Row],[D_QTRAI]]*données_step[[#This Row],[S_NO2]]/1000)</f>
        <v/>
      </c>
      <c r="O180" s="523" t="str">
        <f>IF(OR(données_step[[#This Row],[S_NO3]]&lt;=0,données_step[[#This Row],[S_NO3]]=""),"",données_step[[#This Row],[D_QTRAI]]*données_step[[#This Row],[S_NO3]]/1000)</f>
        <v/>
      </c>
      <c r="P180" s="523" t="str">
        <f>IF(OR(données_step[[#This Row],[S_PTOT]]&lt;=0,données_step[[#This Row],[S_PTOT]]=""),"",données_step[[#This Row],[D_QTRAI]]*données_step[[#This Row],[S_PTOT]]/1000)</f>
        <v/>
      </c>
      <c r="Q180" s="523" t="str">
        <f>IF(OR(données_step[[#This Row],[S_MES]]&lt;=0,données_step[[#This Row],[S_MES]]=""),"",données_step[[#This Row],[D_QTRAI]]*données_step[[#This Row],[S_MES]]/1000)</f>
        <v/>
      </c>
      <c r="R180" s="523">
        <f>MAX(données_step[[#This Row],[D_QTRAI]],données_step[[#This Row],[D_QTRAI2]])</f>
        <v>0</v>
      </c>
      <c r="S180" s="523" t="str">
        <f>IF(AND($R180&gt;0,données_step[[#This Row],[E_DCO]]&gt;0),données_step[[#This Row],[E_DCO]],"")</f>
        <v/>
      </c>
      <c r="T180" s="523" t="str">
        <f>IF(S180="","",(1-données_step[[#This Row],[E_DCO]]/$V$7)*100)</f>
        <v/>
      </c>
      <c r="U180" s="523" t="str">
        <f t="shared" si="35"/>
        <v/>
      </c>
      <c r="V180" s="523" t="str">
        <f t="shared" si="36"/>
        <v/>
      </c>
      <c r="W180" s="523" t="str">
        <f t="shared" si="37"/>
        <v/>
      </c>
      <c r="X180" s="523" t="e">
        <f>IF(((100-100/$V$7*données_step[[#This Row],[E_DCO]])/100*QTS)&lt;0,NA(),IF(OR(U180&lt;0,U180=""),NA(),((100-100/$V$7*données_step[[#This Row],[E_DCO]])/100*QTS)))</f>
        <v>#NUM!</v>
      </c>
      <c r="Y180" s="523" t="str">
        <f>IF(AND($R180&gt;0,données_step[[#This Row],[E_COT]]&gt;0),données_step[[#This Row],[E_COT]],"")</f>
        <v/>
      </c>
      <c r="Z180" s="523" t="str">
        <f>IF(Y180="","",(1-données_step[[#This Row],[E_COT]]/$AB$7)*100)</f>
        <v/>
      </c>
      <c r="AA180" s="523" t="str">
        <f t="shared" si="38"/>
        <v/>
      </c>
      <c r="AB180" s="523" t="str">
        <f t="shared" si="39"/>
        <v/>
      </c>
      <c r="AC180" s="523" t="str">
        <f t="shared" si="40"/>
        <v/>
      </c>
      <c r="AD180" s="523" t="e">
        <f>IF(((100-100/$AB$7*données_step[[#This Row],[E_COT]])/100*QTS)&lt;0,NA(),IF(OR(AA180&lt;0,AA180=""),NA(),((100-100/$AB$7*données_step[[#This Row],[E_COT]])/100*QTS)))</f>
        <v>#NUM!</v>
      </c>
      <c r="AE180" s="523" t="str">
        <f>IF(AND($R180&gt;0,données_step[[#This Row],[E_NH4]]&gt;0),données_step[[#This Row],[E_NH4]],"")</f>
        <v/>
      </c>
      <c r="AF180" s="523" t="str">
        <f>IF(AE180="","",(1-données_step[[#This Row],[E_NH4]]/$AH$7)*100)</f>
        <v/>
      </c>
      <c r="AG180" s="523" t="str">
        <f t="shared" si="41"/>
        <v/>
      </c>
      <c r="AH180" s="523" t="str">
        <f t="shared" si="42"/>
        <v/>
      </c>
      <c r="AI180" s="523" t="str">
        <f t="shared" si="43"/>
        <v/>
      </c>
      <c r="AJ180" s="523" t="e">
        <f>IF(((100-100/$AH$7*données_step[[#This Row],[E_NH4]])/100*QTS)&lt;0,NA(),IF(OR(AG180&lt;0,AG180=""),NA(),((100-100/$AH$7*données_step[[#This Row],[E_NH4]])/100*QTS)))</f>
        <v>#NUM!</v>
      </c>
      <c r="AK180" s="523" t="str">
        <f>IF(AND($R180&gt;0,données_step[[#This Row],[E_PTOT]]&gt;0),données_step[[#This Row],[E_PTOT]],"")</f>
        <v/>
      </c>
      <c r="AL180" s="523" t="str">
        <f>IF(AK180="","",(1-données_step[[#This Row],[E_PTOT]]/$AN$7)*100)</f>
        <v/>
      </c>
      <c r="AM180" s="523" t="str">
        <f t="shared" si="44"/>
        <v/>
      </c>
      <c r="AN180" s="523" t="str">
        <f t="shared" si="45"/>
        <v/>
      </c>
      <c r="AO180" s="523" t="str">
        <f t="shared" si="46"/>
        <v/>
      </c>
      <c r="AP180" s="523" t="e">
        <f>IF(((100-100/$AN$7*données_step[[#This Row],[E_PTOT]])/100*QTS)&lt;0,NA(),IF(OR(AM180&lt;0,AM180=""),NA(),((100-100/$AN$7*données_step[[#This Row],[E_PTOT]])/100*QTS)))</f>
        <v>#NUM!</v>
      </c>
      <c r="AQ180" s="524" t="e">
        <f t="shared" si="47"/>
        <v>#NUM!</v>
      </c>
      <c r="AR180" s="524" t="str">
        <f t="shared" si="48"/>
        <v/>
      </c>
      <c r="AY180" s="523" t="str">
        <f>_xlfn.IFNA(IF(données_step[[#This Row],[E_DCO]]&lt;=0,NA(),charge_entree[[#This Row],[ch_E_DCO]]/constanten!$B$8*1000),"")</f>
        <v/>
      </c>
      <c r="AZ180" s="523" t="str">
        <f>_xlfn.IFNA(IF(données_step[[#This Row],[E_NTOT]]&lt;=0,NA(),charge_entree[[#This Row],[ch_E_NTOT]]/constanten!$B$10*1000),"")</f>
        <v/>
      </c>
      <c r="BA180" s="523" t="str">
        <f>_xlfn.IFNA(IF(données_step[[#This Row],[E_NH4]]&lt;=0,NA(),charge_entree[[#This Row],[ch_E_NH4]]/constanten!$B$12*1000),"")</f>
        <v/>
      </c>
      <c r="BB180" s="523" t="str">
        <f>_xlfn.IFNA(IF(données_step[[#This Row],[E_COT]]&lt;=0,NA(),charge_entree[[#This Row],[ch_E_COT]]/constanten!$B$9*1000),"")</f>
        <v/>
      </c>
      <c r="BC180" s="523" t="str">
        <f>IFERROR(_xlfn.IFNA(IF(données_step[[#This Row],[E_PTOT]]&lt;=0,NA(),charge_entree[[#This Row],[ch_E_PTOT]]/constanten!$B$15*1000),""),"")</f>
        <v/>
      </c>
      <c r="BD180" s="535" t="e">
        <f>calculs!E180 * (1-0.4) / (données_step[[#This Row],[X_BA_VOL]]*données_step[[#This Row],[X_BACONC]])</f>
        <v>#VALUE!</v>
      </c>
      <c r="BE180" s="522" t="e">
        <f>(données_step[[#This Row],[X_BA_VOL]]*données_step[[#This Row],[X_BACONC]])/((données_step[[#This Row],[D_QTRAI2]]*données_step[[#This Row],[S_MES]]/1000)+(données_step[[#This Row],[X_BX_Q]]*données_step[[#This Row],[X_BXCONC]]))</f>
        <v>#VALUE!</v>
      </c>
      <c r="BF180" s="890" t="str">
        <f>IFERROR(données_step[[#This Row],[D_QTRAI]]/AY180*1000,"")</f>
        <v/>
      </c>
      <c r="BG180" s="535" t="str">
        <f>IFERROR(1-données_step[[#This Row],[S_DBO5]]/données_step[[#This Row],[E_DBO5]],"")</f>
        <v/>
      </c>
      <c r="BH180" s="536" t="str">
        <f>IFERROR(1-données_step[[#This Row],[S_DCO]]/données_step[[#This Row],[E_DCO]],"")</f>
        <v/>
      </c>
      <c r="BI180" s="535" t="str">
        <f>IFERROR(1-données_step[[#This Row],[S_COD]]/données_step[[#This Row],[E_COT]],"")</f>
        <v/>
      </c>
      <c r="BJ180" s="535" t="str">
        <f>IFERROR(1-données_step[[#This Row],[S_NH4]]/données_step[[#This Row],[E_NTOT]],"")</f>
        <v/>
      </c>
      <c r="BK180" s="535" t="str">
        <f>IFERROR(1-données_step[[#This Row],[S_PTOT]]/données_step[[#This Row],[E_PTOT]],"")</f>
        <v/>
      </c>
      <c r="BL180" s="521" t="str">
        <f>IFERROR(IF(données_step[[#This Row],[E_DCO]]/données_step[[#This Row],[E_DBO5]]=0,NA(),données_step[[#This Row],[E_DCO]]/données_step[[#This Row],[E_DBO5]]),"")</f>
        <v/>
      </c>
      <c r="BM180" s="521" t="str">
        <f>IFERROR(IF(données_step[[#This Row],[E_NH4]]/données_step[[#This Row],[E_NTOT]]=0,NA(),données_step[[#This Row],[E_NH4]]/données_step[[#This Row],[E_NTOT]]),"")</f>
        <v/>
      </c>
      <c r="BN180" s="521" t="str">
        <f>IFERROR(IF(données_step[[#This Row],[E_NTOT]]/données_step[[#This Row],[E_COT]]=0,NA(),données_step[[#This Row],[E_NTOT]]/données_step[[#This Row],[E_COT]]),"")</f>
        <v/>
      </c>
      <c r="BO180" s="521" t="str">
        <f>IFERROR(IF(données_step[[#This Row],[E_PTOT]]/données_step[[#This Row],[E_COT]]=0,NA(),données_step[[#This Row],[E_PTOT]]/données_step[[#This Row],[E_COT]]),"")</f>
        <v/>
      </c>
      <c r="BP180" s="521" t="e">
        <f>IF(données_step[[#This Row],[E_DCO]]/données_step[[#This Row],[E_COT]]=0,NA(),données_step[[#This Row],[E_DCO]]/données_step[[#This Row],[E_COT]])</f>
        <v>#DIV/0!</v>
      </c>
      <c r="BQ180" s="521" t="e">
        <f>IF(données_step[[#This Row],[E_NTOT]]/données_step[[#This Row],[E_DCO]]=0,NA(),données_step[[#This Row],[E_NTOT]]/données_step[[#This Row],[E_DCO]])</f>
        <v>#DIV/0!</v>
      </c>
      <c r="BR180" s="521" t="e">
        <f>IF(données_step[[#This Row],[E_PTOT]]/données_step[[#This Row],[E_DCO]]=0,NA(),données_step[[#This Row],[E_PTOT]]/données_step[[#This Row],[E_DCO]])</f>
        <v>#DIV/0!</v>
      </c>
      <c r="BS180" s="747" t="e">
        <f ca="1">test_NH4_temp(données_step[[#This Row],[S_NH4]],données_step[[#This Row],[Temp_eaux]])</f>
        <v>#NAME?</v>
      </c>
    </row>
    <row r="181" spans="1:71" x14ac:dyDescent="0.2">
      <c r="A181" s="222">
        <f>données_step[[#This Row],[Datum]]</f>
        <v>44732</v>
      </c>
      <c r="B181" s="223"/>
      <c r="C181" s="224">
        <f t="shared" si="49"/>
        <v>2</v>
      </c>
      <c r="D181" s="523" t="str">
        <f>IF(OR(données_step[[#This Row],[E_DBO5]]&lt;=0,données_step[[#This Row],[E_DBO5]]=""),"",données_step[[#This Row],[D_QTRAI]]*données_step[[#This Row],[E_DBO5]]/1000)</f>
        <v/>
      </c>
      <c r="E181" s="523" t="str">
        <f>IF(OR(données_step[[#This Row],[E_DCO]]&lt;=0,données_step[[#This Row],[E_DCO]]=""),"",données_step[[#This Row],[D_QTRAI]]*données_step[[#This Row],[E_DCO]]/1000)</f>
        <v/>
      </c>
      <c r="F181" s="523" t="str">
        <f>IF(OR(données_step[[#This Row],[E_COT]]&lt;=0,données_step[[#This Row],[E_COT]]=""),"",données_step[[#This Row],[D_QTRAI]]*données_step[[#This Row],[E_COT]]/1000)</f>
        <v/>
      </c>
      <c r="G181" s="523" t="str">
        <f>IF(OR(données_step[[#This Row],[E_NH4]]&lt;=0,données_step[[#This Row],[E_NH4]]=""),"",données_step[[#This Row],[D_QTRAI]]*données_step[[#This Row],[E_NH4]]/1000)</f>
        <v/>
      </c>
      <c r="H181" s="523" t="str">
        <f>IF(OR(données_step[[#This Row],[E_NTOT]]&lt;=0,données_step[[#This Row],[E_NTOT]]=""),"",données_step[[#This Row],[D_QTRAI]]*données_step[[#This Row],[E_NTOT]]/1000)</f>
        <v/>
      </c>
      <c r="I181" s="523" t="str">
        <f>IF(OR(données_step[[#This Row],[E_NTOT]]&lt;=0,données_step[[#This Row],[E_NTOT]]=""),"",données_step[[#This Row],[D_QTRAI]]*données_step[[#This Row],[E_PTOT]]/1000)</f>
        <v/>
      </c>
      <c r="J181" s="523" t="str">
        <f>IF(OR(données_step[[#This Row],[S_DBO5]]&lt;=0,données_step[[#This Row],[S_DBO5]]=""),"",données_step[[#This Row],[D_QTRAI]]*données_step[[#This Row],[S_DBO5]]/1000)</f>
        <v/>
      </c>
      <c r="K181" s="523" t="str">
        <f>IF(OR(données_step[[#This Row],[S_DCO]]&lt;=0,données_step[[#This Row],[S_DCO]]=""),"",données_step[[#This Row],[D_QTRAI]]*données_step[[#This Row],[S_DCO]]/1000)</f>
        <v/>
      </c>
      <c r="L181" s="523" t="str">
        <f>IF(OR(données_step[[#This Row],[S_COD]]&lt;=0,données_step[[#This Row],[S_COD]]=""),"",données_step[[#This Row],[D_QTRAI]]*données_step[[#This Row],[S_COD]]/1000)</f>
        <v/>
      </c>
      <c r="M181" s="523" t="str">
        <f>IF(OR(données_step[[#This Row],[S_NH4]]&lt;=0,données_step[[#This Row],[S_NH4]]=""),"",données_step[[#This Row],[D_QTRAI]]*données_step[[#This Row],[S_NH4]]/1000)</f>
        <v/>
      </c>
      <c r="N181" s="523" t="str">
        <f>IF(OR(données_step[[#This Row],[S_NO2]]&lt;=0,données_step[[#This Row],[S_NO2]]=""),"",données_step[[#This Row],[D_QTRAI]]*données_step[[#This Row],[S_NO2]]/1000)</f>
        <v/>
      </c>
      <c r="O181" s="523" t="str">
        <f>IF(OR(données_step[[#This Row],[S_NO3]]&lt;=0,données_step[[#This Row],[S_NO3]]=""),"",données_step[[#This Row],[D_QTRAI]]*données_step[[#This Row],[S_NO3]]/1000)</f>
        <v/>
      </c>
      <c r="P181" s="523" t="str">
        <f>IF(OR(données_step[[#This Row],[S_PTOT]]&lt;=0,données_step[[#This Row],[S_PTOT]]=""),"",données_step[[#This Row],[D_QTRAI]]*données_step[[#This Row],[S_PTOT]]/1000)</f>
        <v/>
      </c>
      <c r="Q181" s="523" t="str">
        <f>IF(OR(données_step[[#This Row],[S_MES]]&lt;=0,données_step[[#This Row],[S_MES]]=""),"",données_step[[#This Row],[D_QTRAI]]*données_step[[#This Row],[S_MES]]/1000)</f>
        <v/>
      </c>
      <c r="R181" s="523">
        <f>MAX(données_step[[#This Row],[D_QTRAI]],données_step[[#This Row],[D_QTRAI2]])</f>
        <v>0</v>
      </c>
      <c r="S181" s="523" t="str">
        <f>IF(AND($R181&gt;0,données_step[[#This Row],[E_DCO]]&gt;0),données_step[[#This Row],[E_DCO]],"")</f>
        <v/>
      </c>
      <c r="T181" s="523" t="str">
        <f>IF(S181="","",(1-données_step[[#This Row],[E_DCO]]/$V$7)*100)</f>
        <v/>
      </c>
      <c r="U181" s="523" t="str">
        <f t="shared" si="35"/>
        <v/>
      </c>
      <c r="V181" s="523" t="str">
        <f t="shared" si="36"/>
        <v/>
      </c>
      <c r="W181" s="523" t="str">
        <f t="shared" si="37"/>
        <v/>
      </c>
      <c r="X181" s="523" t="e">
        <f>IF(((100-100/$V$7*données_step[[#This Row],[E_DCO]])/100*QTS)&lt;0,NA(),IF(OR(U181&lt;0,U181=""),NA(),((100-100/$V$7*données_step[[#This Row],[E_DCO]])/100*QTS)))</f>
        <v>#NUM!</v>
      </c>
      <c r="Y181" s="523" t="str">
        <f>IF(AND($R181&gt;0,données_step[[#This Row],[E_COT]]&gt;0),données_step[[#This Row],[E_COT]],"")</f>
        <v/>
      </c>
      <c r="Z181" s="523" t="str">
        <f>IF(Y181="","",(1-données_step[[#This Row],[E_COT]]/$AB$7)*100)</f>
        <v/>
      </c>
      <c r="AA181" s="523" t="str">
        <f t="shared" si="38"/>
        <v/>
      </c>
      <c r="AB181" s="523" t="str">
        <f t="shared" si="39"/>
        <v/>
      </c>
      <c r="AC181" s="523" t="str">
        <f t="shared" si="40"/>
        <v/>
      </c>
      <c r="AD181" s="523" t="e">
        <f>IF(((100-100/$AB$7*données_step[[#This Row],[E_COT]])/100*QTS)&lt;0,NA(),IF(OR(AA181&lt;0,AA181=""),NA(),((100-100/$AB$7*données_step[[#This Row],[E_COT]])/100*QTS)))</f>
        <v>#NUM!</v>
      </c>
      <c r="AE181" s="523" t="str">
        <f>IF(AND($R181&gt;0,données_step[[#This Row],[E_NH4]]&gt;0),données_step[[#This Row],[E_NH4]],"")</f>
        <v/>
      </c>
      <c r="AF181" s="523" t="str">
        <f>IF(AE181="","",(1-données_step[[#This Row],[E_NH4]]/$AH$7)*100)</f>
        <v/>
      </c>
      <c r="AG181" s="523" t="str">
        <f t="shared" si="41"/>
        <v/>
      </c>
      <c r="AH181" s="523" t="str">
        <f t="shared" si="42"/>
        <v/>
      </c>
      <c r="AI181" s="523" t="str">
        <f t="shared" si="43"/>
        <v/>
      </c>
      <c r="AJ181" s="523" t="e">
        <f>IF(((100-100/$AH$7*données_step[[#This Row],[E_NH4]])/100*QTS)&lt;0,NA(),IF(OR(AG181&lt;0,AG181=""),NA(),((100-100/$AH$7*données_step[[#This Row],[E_NH4]])/100*QTS)))</f>
        <v>#NUM!</v>
      </c>
      <c r="AK181" s="523" t="str">
        <f>IF(AND($R181&gt;0,données_step[[#This Row],[E_PTOT]]&gt;0),données_step[[#This Row],[E_PTOT]],"")</f>
        <v/>
      </c>
      <c r="AL181" s="523" t="str">
        <f>IF(AK181="","",(1-données_step[[#This Row],[E_PTOT]]/$AN$7)*100)</f>
        <v/>
      </c>
      <c r="AM181" s="523" t="str">
        <f t="shared" si="44"/>
        <v/>
      </c>
      <c r="AN181" s="523" t="str">
        <f t="shared" si="45"/>
        <v/>
      </c>
      <c r="AO181" s="523" t="str">
        <f t="shared" si="46"/>
        <v/>
      </c>
      <c r="AP181" s="523" t="e">
        <f>IF(((100-100/$AN$7*données_step[[#This Row],[E_PTOT]])/100*QTS)&lt;0,NA(),IF(OR(AM181&lt;0,AM181=""),NA(),((100-100/$AN$7*données_step[[#This Row],[E_PTOT]])/100*QTS)))</f>
        <v>#NUM!</v>
      </c>
      <c r="AQ181" s="524" t="e">
        <f t="shared" si="47"/>
        <v>#NUM!</v>
      </c>
      <c r="AR181" s="524" t="str">
        <f t="shared" si="48"/>
        <v/>
      </c>
      <c r="AY181" s="523" t="str">
        <f>_xlfn.IFNA(IF(données_step[[#This Row],[E_DCO]]&lt;=0,NA(),charge_entree[[#This Row],[ch_E_DCO]]/constanten!$B$8*1000),"")</f>
        <v/>
      </c>
      <c r="AZ181" s="523" t="str">
        <f>_xlfn.IFNA(IF(données_step[[#This Row],[E_NTOT]]&lt;=0,NA(),charge_entree[[#This Row],[ch_E_NTOT]]/constanten!$B$10*1000),"")</f>
        <v/>
      </c>
      <c r="BA181" s="523" t="str">
        <f>_xlfn.IFNA(IF(données_step[[#This Row],[E_NH4]]&lt;=0,NA(),charge_entree[[#This Row],[ch_E_NH4]]/constanten!$B$12*1000),"")</f>
        <v/>
      </c>
      <c r="BB181" s="523" t="str">
        <f>_xlfn.IFNA(IF(données_step[[#This Row],[E_COT]]&lt;=0,NA(),charge_entree[[#This Row],[ch_E_COT]]/constanten!$B$9*1000),"")</f>
        <v/>
      </c>
      <c r="BC181" s="523" t="str">
        <f>IFERROR(_xlfn.IFNA(IF(données_step[[#This Row],[E_PTOT]]&lt;=0,NA(),charge_entree[[#This Row],[ch_E_PTOT]]/constanten!$B$15*1000),""),"")</f>
        <v/>
      </c>
      <c r="BD181" s="535" t="e">
        <f>calculs!E181 * (1-0.4) / (données_step[[#This Row],[X_BA_VOL]]*données_step[[#This Row],[X_BACONC]])</f>
        <v>#VALUE!</v>
      </c>
      <c r="BE181" s="522" t="e">
        <f>(données_step[[#This Row],[X_BA_VOL]]*données_step[[#This Row],[X_BACONC]])/((données_step[[#This Row],[D_QTRAI2]]*données_step[[#This Row],[S_MES]]/1000)+(données_step[[#This Row],[X_BX_Q]]*données_step[[#This Row],[X_BXCONC]]))</f>
        <v>#VALUE!</v>
      </c>
      <c r="BF181" s="890" t="str">
        <f>IFERROR(données_step[[#This Row],[D_QTRAI]]/AY181*1000,"")</f>
        <v/>
      </c>
      <c r="BG181" s="535" t="str">
        <f>IFERROR(1-données_step[[#This Row],[S_DBO5]]/données_step[[#This Row],[E_DBO5]],"")</f>
        <v/>
      </c>
      <c r="BH181" s="536" t="str">
        <f>IFERROR(1-données_step[[#This Row],[S_DCO]]/données_step[[#This Row],[E_DCO]],"")</f>
        <v/>
      </c>
      <c r="BI181" s="535" t="str">
        <f>IFERROR(1-données_step[[#This Row],[S_COD]]/données_step[[#This Row],[E_COT]],"")</f>
        <v/>
      </c>
      <c r="BJ181" s="535" t="str">
        <f>IFERROR(1-données_step[[#This Row],[S_NH4]]/données_step[[#This Row],[E_NTOT]],"")</f>
        <v/>
      </c>
      <c r="BK181" s="535" t="str">
        <f>IFERROR(1-données_step[[#This Row],[S_PTOT]]/données_step[[#This Row],[E_PTOT]],"")</f>
        <v/>
      </c>
      <c r="BL181" s="521" t="str">
        <f>IFERROR(IF(données_step[[#This Row],[E_DCO]]/données_step[[#This Row],[E_DBO5]]=0,NA(),données_step[[#This Row],[E_DCO]]/données_step[[#This Row],[E_DBO5]]),"")</f>
        <v/>
      </c>
      <c r="BM181" s="521" t="str">
        <f>IFERROR(IF(données_step[[#This Row],[E_NH4]]/données_step[[#This Row],[E_NTOT]]=0,NA(),données_step[[#This Row],[E_NH4]]/données_step[[#This Row],[E_NTOT]]),"")</f>
        <v/>
      </c>
      <c r="BN181" s="521" t="str">
        <f>IFERROR(IF(données_step[[#This Row],[E_NTOT]]/données_step[[#This Row],[E_COT]]=0,NA(),données_step[[#This Row],[E_NTOT]]/données_step[[#This Row],[E_COT]]),"")</f>
        <v/>
      </c>
      <c r="BO181" s="521" t="str">
        <f>IFERROR(IF(données_step[[#This Row],[E_PTOT]]/données_step[[#This Row],[E_COT]]=0,NA(),données_step[[#This Row],[E_PTOT]]/données_step[[#This Row],[E_COT]]),"")</f>
        <v/>
      </c>
      <c r="BP181" s="521" t="e">
        <f>IF(données_step[[#This Row],[E_DCO]]/données_step[[#This Row],[E_COT]]=0,NA(),données_step[[#This Row],[E_DCO]]/données_step[[#This Row],[E_COT]])</f>
        <v>#DIV/0!</v>
      </c>
      <c r="BQ181" s="521" t="e">
        <f>IF(données_step[[#This Row],[E_NTOT]]/données_step[[#This Row],[E_DCO]]=0,NA(),données_step[[#This Row],[E_NTOT]]/données_step[[#This Row],[E_DCO]])</f>
        <v>#DIV/0!</v>
      </c>
      <c r="BR181" s="521" t="e">
        <f>IF(données_step[[#This Row],[E_PTOT]]/données_step[[#This Row],[E_DCO]]=0,NA(),données_step[[#This Row],[E_PTOT]]/données_step[[#This Row],[E_DCO]])</f>
        <v>#DIV/0!</v>
      </c>
      <c r="BS181" s="747" t="e">
        <f ca="1">test_NH4_temp(données_step[[#This Row],[S_NH4]],données_step[[#This Row],[Temp_eaux]])</f>
        <v>#NAME?</v>
      </c>
    </row>
    <row r="182" spans="1:71" x14ac:dyDescent="0.2">
      <c r="A182" s="222">
        <f>données_step[[#This Row],[Datum]]</f>
        <v>44733</v>
      </c>
      <c r="B182" s="223"/>
      <c r="C182" s="224">
        <f t="shared" si="49"/>
        <v>3</v>
      </c>
      <c r="D182" s="523" t="str">
        <f>IF(OR(données_step[[#This Row],[E_DBO5]]&lt;=0,données_step[[#This Row],[E_DBO5]]=""),"",données_step[[#This Row],[D_QTRAI]]*données_step[[#This Row],[E_DBO5]]/1000)</f>
        <v/>
      </c>
      <c r="E182" s="523" t="str">
        <f>IF(OR(données_step[[#This Row],[E_DCO]]&lt;=0,données_step[[#This Row],[E_DCO]]=""),"",données_step[[#This Row],[D_QTRAI]]*données_step[[#This Row],[E_DCO]]/1000)</f>
        <v/>
      </c>
      <c r="F182" s="523" t="str">
        <f>IF(OR(données_step[[#This Row],[E_COT]]&lt;=0,données_step[[#This Row],[E_COT]]=""),"",données_step[[#This Row],[D_QTRAI]]*données_step[[#This Row],[E_COT]]/1000)</f>
        <v/>
      </c>
      <c r="G182" s="523" t="str">
        <f>IF(OR(données_step[[#This Row],[E_NH4]]&lt;=0,données_step[[#This Row],[E_NH4]]=""),"",données_step[[#This Row],[D_QTRAI]]*données_step[[#This Row],[E_NH4]]/1000)</f>
        <v/>
      </c>
      <c r="H182" s="523" t="str">
        <f>IF(OR(données_step[[#This Row],[E_NTOT]]&lt;=0,données_step[[#This Row],[E_NTOT]]=""),"",données_step[[#This Row],[D_QTRAI]]*données_step[[#This Row],[E_NTOT]]/1000)</f>
        <v/>
      </c>
      <c r="I182" s="523" t="str">
        <f>IF(OR(données_step[[#This Row],[E_NTOT]]&lt;=0,données_step[[#This Row],[E_NTOT]]=""),"",données_step[[#This Row],[D_QTRAI]]*données_step[[#This Row],[E_PTOT]]/1000)</f>
        <v/>
      </c>
      <c r="J182" s="523" t="str">
        <f>IF(OR(données_step[[#This Row],[S_DBO5]]&lt;=0,données_step[[#This Row],[S_DBO5]]=""),"",données_step[[#This Row],[D_QTRAI]]*données_step[[#This Row],[S_DBO5]]/1000)</f>
        <v/>
      </c>
      <c r="K182" s="523" t="str">
        <f>IF(OR(données_step[[#This Row],[S_DCO]]&lt;=0,données_step[[#This Row],[S_DCO]]=""),"",données_step[[#This Row],[D_QTRAI]]*données_step[[#This Row],[S_DCO]]/1000)</f>
        <v/>
      </c>
      <c r="L182" s="523" t="str">
        <f>IF(OR(données_step[[#This Row],[S_COD]]&lt;=0,données_step[[#This Row],[S_COD]]=""),"",données_step[[#This Row],[D_QTRAI]]*données_step[[#This Row],[S_COD]]/1000)</f>
        <v/>
      </c>
      <c r="M182" s="523" t="str">
        <f>IF(OR(données_step[[#This Row],[S_NH4]]&lt;=0,données_step[[#This Row],[S_NH4]]=""),"",données_step[[#This Row],[D_QTRAI]]*données_step[[#This Row],[S_NH4]]/1000)</f>
        <v/>
      </c>
      <c r="N182" s="523" t="str">
        <f>IF(OR(données_step[[#This Row],[S_NO2]]&lt;=0,données_step[[#This Row],[S_NO2]]=""),"",données_step[[#This Row],[D_QTRAI]]*données_step[[#This Row],[S_NO2]]/1000)</f>
        <v/>
      </c>
      <c r="O182" s="523" t="str">
        <f>IF(OR(données_step[[#This Row],[S_NO3]]&lt;=0,données_step[[#This Row],[S_NO3]]=""),"",données_step[[#This Row],[D_QTRAI]]*données_step[[#This Row],[S_NO3]]/1000)</f>
        <v/>
      </c>
      <c r="P182" s="523" t="str">
        <f>IF(OR(données_step[[#This Row],[S_PTOT]]&lt;=0,données_step[[#This Row],[S_PTOT]]=""),"",données_step[[#This Row],[D_QTRAI]]*données_step[[#This Row],[S_PTOT]]/1000)</f>
        <v/>
      </c>
      <c r="Q182" s="523" t="str">
        <f>IF(OR(données_step[[#This Row],[S_MES]]&lt;=0,données_step[[#This Row],[S_MES]]=""),"",données_step[[#This Row],[D_QTRAI]]*données_step[[#This Row],[S_MES]]/1000)</f>
        <v/>
      </c>
      <c r="R182" s="523">
        <f>MAX(données_step[[#This Row],[D_QTRAI]],données_step[[#This Row],[D_QTRAI2]])</f>
        <v>0</v>
      </c>
      <c r="S182" s="523" t="str">
        <f>IF(AND($R182&gt;0,données_step[[#This Row],[E_DCO]]&gt;0),données_step[[#This Row],[E_DCO]],"")</f>
        <v/>
      </c>
      <c r="T182" s="523" t="str">
        <f>IF(S182="","",(1-données_step[[#This Row],[E_DCO]]/$V$7)*100)</f>
        <v/>
      </c>
      <c r="U182" s="523" t="str">
        <f t="shared" si="35"/>
        <v/>
      </c>
      <c r="V182" s="523" t="str">
        <f t="shared" si="36"/>
        <v/>
      </c>
      <c r="W182" s="523" t="str">
        <f t="shared" si="37"/>
        <v/>
      </c>
      <c r="X182" s="523" t="e">
        <f>IF(((100-100/$V$7*données_step[[#This Row],[E_DCO]])/100*QTS)&lt;0,NA(),IF(OR(U182&lt;0,U182=""),NA(),((100-100/$V$7*données_step[[#This Row],[E_DCO]])/100*QTS)))</f>
        <v>#NUM!</v>
      </c>
      <c r="Y182" s="523" t="str">
        <f>IF(AND($R182&gt;0,données_step[[#This Row],[E_COT]]&gt;0),données_step[[#This Row],[E_COT]],"")</f>
        <v/>
      </c>
      <c r="Z182" s="523" t="str">
        <f>IF(Y182="","",(1-données_step[[#This Row],[E_COT]]/$AB$7)*100)</f>
        <v/>
      </c>
      <c r="AA182" s="523" t="str">
        <f t="shared" si="38"/>
        <v/>
      </c>
      <c r="AB182" s="523" t="str">
        <f t="shared" si="39"/>
        <v/>
      </c>
      <c r="AC182" s="523" t="str">
        <f t="shared" si="40"/>
        <v/>
      </c>
      <c r="AD182" s="523" t="e">
        <f>IF(((100-100/$AB$7*données_step[[#This Row],[E_COT]])/100*QTS)&lt;0,NA(),IF(OR(AA182&lt;0,AA182=""),NA(),((100-100/$AB$7*données_step[[#This Row],[E_COT]])/100*QTS)))</f>
        <v>#NUM!</v>
      </c>
      <c r="AE182" s="523" t="str">
        <f>IF(AND($R182&gt;0,données_step[[#This Row],[E_NH4]]&gt;0),données_step[[#This Row],[E_NH4]],"")</f>
        <v/>
      </c>
      <c r="AF182" s="523" t="str">
        <f>IF(AE182="","",(1-données_step[[#This Row],[E_NH4]]/$AH$7)*100)</f>
        <v/>
      </c>
      <c r="AG182" s="523" t="str">
        <f t="shared" si="41"/>
        <v/>
      </c>
      <c r="AH182" s="523" t="str">
        <f t="shared" si="42"/>
        <v/>
      </c>
      <c r="AI182" s="523" t="str">
        <f t="shared" si="43"/>
        <v/>
      </c>
      <c r="AJ182" s="523" t="e">
        <f>IF(((100-100/$AH$7*données_step[[#This Row],[E_NH4]])/100*QTS)&lt;0,NA(),IF(OR(AG182&lt;0,AG182=""),NA(),((100-100/$AH$7*données_step[[#This Row],[E_NH4]])/100*QTS)))</f>
        <v>#NUM!</v>
      </c>
      <c r="AK182" s="523" t="str">
        <f>IF(AND($R182&gt;0,données_step[[#This Row],[E_PTOT]]&gt;0),données_step[[#This Row],[E_PTOT]],"")</f>
        <v/>
      </c>
      <c r="AL182" s="523" t="str">
        <f>IF(AK182="","",(1-données_step[[#This Row],[E_PTOT]]/$AN$7)*100)</f>
        <v/>
      </c>
      <c r="AM182" s="523" t="str">
        <f t="shared" si="44"/>
        <v/>
      </c>
      <c r="AN182" s="523" t="str">
        <f t="shared" si="45"/>
        <v/>
      </c>
      <c r="AO182" s="523" t="str">
        <f t="shared" si="46"/>
        <v/>
      </c>
      <c r="AP182" s="523" t="e">
        <f>IF(((100-100/$AN$7*données_step[[#This Row],[E_PTOT]])/100*QTS)&lt;0,NA(),IF(OR(AM182&lt;0,AM182=""),NA(),((100-100/$AN$7*données_step[[#This Row],[E_PTOT]])/100*QTS)))</f>
        <v>#NUM!</v>
      </c>
      <c r="AQ182" s="524" t="e">
        <f t="shared" si="47"/>
        <v>#NUM!</v>
      </c>
      <c r="AR182" s="524" t="str">
        <f t="shared" si="48"/>
        <v/>
      </c>
      <c r="AY182" s="523" t="str">
        <f>_xlfn.IFNA(IF(données_step[[#This Row],[E_DCO]]&lt;=0,NA(),charge_entree[[#This Row],[ch_E_DCO]]/constanten!$B$8*1000),"")</f>
        <v/>
      </c>
      <c r="AZ182" s="523" t="str">
        <f>_xlfn.IFNA(IF(données_step[[#This Row],[E_NTOT]]&lt;=0,NA(),charge_entree[[#This Row],[ch_E_NTOT]]/constanten!$B$10*1000),"")</f>
        <v/>
      </c>
      <c r="BA182" s="523" t="str">
        <f>_xlfn.IFNA(IF(données_step[[#This Row],[E_NH4]]&lt;=0,NA(),charge_entree[[#This Row],[ch_E_NH4]]/constanten!$B$12*1000),"")</f>
        <v/>
      </c>
      <c r="BB182" s="523" t="str">
        <f>_xlfn.IFNA(IF(données_step[[#This Row],[E_COT]]&lt;=0,NA(),charge_entree[[#This Row],[ch_E_COT]]/constanten!$B$9*1000),"")</f>
        <v/>
      </c>
      <c r="BC182" s="523" t="str">
        <f>IFERROR(_xlfn.IFNA(IF(données_step[[#This Row],[E_PTOT]]&lt;=0,NA(),charge_entree[[#This Row],[ch_E_PTOT]]/constanten!$B$15*1000),""),"")</f>
        <v/>
      </c>
      <c r="BD182" s="535" t="e">
        <f>calculs!E182 * (1-0.4) / (données_step[[#This Row],[X_BA_VOL]]*données_step[[#This Row],[X_BACONC]])</f>
        <v>#VALUE!</v>
      </c>
      <c r="BE182" s="522" t="e">
        <f>(données_step[[#This Row],[X_BA_VOL]]*données_step[[#This Row],[X_BACONC]])/((données_step[[#This Row],[D_QTRAI2]]*données_step[[#This Row],[S_MES]]/1000)+(données_step[[#This Row],[X_BX_Q]]*données_step[[#This Row],[X_BXCONC]]))</f>
        <v>#VALUE!</v>
      </c>
      <c r="BF182" s="890" t="str">
        <f>IFERROR(données_step[[#This Row],[D_QTRAI]]/AY182*1000,"")</f>
        <v/>
      </c>
      <c r="BG182" s="535" t="str">
        <f>IFERROR(1-données_step[[#This Row],[S_DBO5]]/données_step[[#This Row],[E_DBO5]],"")</f>
        <v/>
      </c>
      <c r="BH182" s="536" t="str">
        <f>IFERROR(1-données_step[[#This Row],[S_DCO]]/données_step[[#This Row],[E_DCO]],"")</f>
        <v/>
      </c>
      <c r="BI182" s="535" t="str">
        <f>IFERROR(1-données_step[[#This Row],[S_COD]]/données_step[[#This Row],[E_COT]],"")</f>
        <v/>
      </c>
      <c r="BJ182" s="535" t="str">
        <f>IFERROR(1-données_step[[#This Row],[S_NH4]]/données_step[[#This Row],[E_NTOT]],"")</f>
        <v/>
      </c>
      <c r="BK182" s="535" t="str">
        <f>IFERROR(1-données_step[[#This Row],[S_PTOT]]/données_step[[#This Row],[E_PTOT]],"")</f>
        <v/>
      </c>
      <c r="BL182" s="521" t="str">
        <f>IFERROR(IF(données_step[[#This Row],[E_DCO]]/données_step[[#This Row],[E_DBO5]]=0,NA(),données_step[[#This Row],[E_DCO]]/données_step[[#This Row],[E_DBO5]]),"")</f>
        <v/>
      </c>
      <c r="BM182" s="521" t="str">
        <f>IFERROR(IF(données_step[[#This Row],[E_NH4]]/données_step[[#This Row],[E_NTOT]]=0,NA(),données_step[[#This Row],[E_NH4]]/données_step[[#This Row],[E_NTOT]]),"")</f>
        <v/>
      </c>
      <c r="BN182" s="521" t="str">
        <f>IFERROR(IF(données_step[[#This Row],[E_NTOT]]/données_step[[#This Row],[E_COT]]=0,NA(),données_step[[#This Row],[E_NTOT]]/données_step[[#This Row],[E_COT]]),"")</f>
        <v/>
      </c>
      <c r="BO182" s="521" t="str">
        <f>IFERROR(IF(données_step[[#This Row],[E_PTOT]]/données_step[[#This Row],[E_COT]]=0,NA(),données_step[[#This Row],[E_PTOT]]/données_step[[#This Row],[E_COT]]),"")</f>
        <v/>
      </c>
      <c r="BP182" s="521" t="e">
        <f>IF(données_step[[#This Row],[E_DCO]]/données_step[[#This Row],[E_COT]]=0,NA(),données_step[[#This Row],[E_DCO]]/données_step[[#This Row],[E_COT]])</f>
        <v>#DIV/0!</v>
      </c>
      <c r="BQ182" s="521" t="e">
        <f>IF(données_step[[#This Row],[E_NTOT]]/données_step[[#This Row],[E_DCO]]=0,NA(),données_step[[#This Row],[E_NTOT]]/données_step[[#This Row],[E_DCO]])</f>
        <v>#DIV/0!</v>
      </c>
      <c r="BR182" s="521" t="e">
        <f>IF(données_step[[#This Row],[E_PTOT]]/données_step[[#This Row],[E_DCO]]=0,NA(),données_step[[#This Row],[E_PTOT]]/données_step[[#This Row],[E_DCO]])</f>
        <v>#DIV/0!</v>
      </c>
      <c r="BS182" s="747" t="e">
        <f ca="1">test_NH4_temp(données_step[[#This Row],[S_NH4]],données_step[[#This Row],[Temp_eaux]])</f>
        <v>#NAME?</v>
      </c>
    </row>
    <row r="183" spans="1:71" x14ac:dyDescent="0.2">
      <c r="A183" s="222">
        <f>données_step[[#This Row],[Datum]]</f>
        <v>44734</v>
      </c>
      <c r="B183" s="223"/>
      <c r="C183" s="224">
        <f t="shared" si="49"/>
        <v>4</v>
      </c>
      <c r="D183" s="523" t="str">
        <f>IF(OR(données_step[[#This Row],[E_DBO5]]&lt;=0,données_step[[#This Row],[E_DBO5]]=""),"",données_step[[#This Row],[D_QTRAI]]*données_step[[#This Row],[E_DBO5]]/1000)</f>
        <v/>
      </c>
      <c r="E183" s="523" t="str">
        <f>IF(OR(données_step[[#This Row],[E_DCO]]&lt;=0,données_step[[#This Row],[E_DCO]]=""),"",données_step[[#This Row],[D_QTRAI]]*données_step[[#This Row],[E_DCO]]/1000)</f>
        <v/>
      </c>
      <c r="F183" s="523" t="str">
        <f>IF(OR(données_step[[#This Row],[E_COT]]&lt;=0,données_step[[#This Row],[E_COT]]=""),"",données_step[[#This Row],[D_QTRAI]]*données_step[[#This Row],[E_COT]]/1000)</f>
        <v/>
      </c>
      <c r="G183" s="523" t="str">
        <f>IF(OR(données_step[[#This Row],[E_NH4]]&lt;=0,données_step[[#This Row],[E_NH4]]=""),"",données_step[[#This Row],[D_QTRAI]]*données_step[[#This Row],[E_NH4]]/1000)</f>
        <v/>
      </c>
      <c r="H183" s="523" t="str">
        <f>IF(OR(données_step[[#This Row],[E_NTOT]]&lt;=0,données_step[[#This Row],[E_NTOT]]=""),"",données_step[[#This Row],[D_QTRAI]]*données_step[[#This Row],[E_NTOT]]/1000)</f>
        <v/>
      </c>
      <c r="I183" s="523" t="str">
        <f>IF(OR(données_step[[#This Row],[E_NTOT]]&lt;=0,données_step[[#This Row],[E_NTOT]]=""),"",données_step[[#This Row],[D_QTRAI]]*données_step[[#This Row],[E_PTOT]]/1000)</f>
        <v/>
      </c>
      <c r="J183" s="523" t="str">
        <f>IF(OR(données_step[[#This Row],[S_DBO5]]&lt;=0,données_step[[#This Row],[S_DBO5]]=""),"",données_step[[#This Row],[D_QTRAI]]*données_step[[#This Row],[S_DBO5]]/1000)</f>
        <v/>
      </c>
      <c r="K183" s="523" t="str">
        <f>IF(OR(données_step[[#This Row],[S_DCO]]&lt;=0,données_step[[#This Row],[S_DCO]]=""),"",données_step[[#This Row],[D_QTRAI]]*données_step[[#This Row],[S_DCO]]/1000)</f>
        <v/>
      </c>
      <c r="L183" s="523" t="str">
        <f>IF(OR(données_step[[#This Row],[S_COD]]&lt;=0,données_step[[#This Row],[S_COD]]=""),"",données_step[[#This Row],[D_QTRAI]]*données_step[[#This Row],[S_COD]]/1000)</f>
        <v/>
      </c>
      <c r="M183" s="523" t="str">
        <f>IF(OR(données_step[[#This Row],[S_NH4]]&lt;=0,données_step[[#This Row],[S_NH4]]=""),"",données_step[[#This Row],[D_QTRAI]]*données_step[[#This Row],[S_NH4]]/1000)</f>
        <v/>
      </c>
      <c r="N183" s="523" t="str">
        <f>IF(OR(données_step[[#This Row],[S_NO2]]&lt;=0,données_step[[#This Row],[S_NO2]]=""),"",données_step[[#This Row],[D_QTRAI]]*données_step[[#This Row],[S_NO2]]/1000)</f>
        <v/>
      </c>
      <c r="O183" s="523" t="str">
        <f>IF(OR(données_step[[#This Row],[S_NO3]]&lt;=0,données_step[[#This Row],[S_NO3]]=""),"",données_step[[#This Row],[D_QTRAI]]*données_step[[#This Row],[S_NO3]]/1000)</f>
        <v/>
      </c>
      <c r="P183" s="523" t="str">
        <f>IF(OR(données_step[[#This Row],[S_PTOT]]&lt;=0,données_step[[#This Row],[S_PTOT]]=""),"",données_step[[#This Row],[D_QTRAI]]*données_step[[#This Row],[S_PTOT]]/1000)</f>
        <v/>
      </c>
      <c r="Q183" s="523" t="str">
        <f>IF(OR(données_step[[#This Row],[S_MES]]&lt;=0,données_step[[#This Row],[S_MES]]=""),"",données_step[[#This Row],[D_QTRAI]]*données_step[[#This Row],[S_MES]]/1000)</f>
        <v/>
      </c>
      <c r="R183" s="523">
        <f>MAX(données_step[[#This Row],[D_QTRAI]],données_step[[#This Row],[D_QTRAI2]])</f>
        <v>0</v>
      </c>
      <c r="S183" s="523" t="str">
        <f>IF(AND($R183&gt;0,données_step[[#This Row],[E_DCO]]&gt;0),données_step[[#This Row],[E_DCO]],"")</f>
        <v/>
      </c>
      <c r="T183" s="523" t="str">
        <f>IF(S183="","",(1-données_step[[#This Row],[E_DCO]]/$V$7)*100)</f>
        <v/>
      </c>
      <c r="U183" s="523" t="str">
        <f t="shared" si="35"/>
        <v/>
      </c>
      <c r="V183" s="523" t="str">
        <f t="shared" si="36"/>
        <v/>
      </c>
      <c r="W183" s="523" t="str">
        <f t="shared" si="37"/>
        <v/>
      </c>
      <c r="X183" s="523" t="e">
        <f>IF(((100-100/$V$7*données_step[[#This Row],[E_DCO]])/100*QTS)&lt;0,NA(),IF(OR(U183&lt;0,U183=""),NA(),((100-100/$V$7*données_step[[#This Row],[E_DCO]])/100*QTS)))</f>
        <v>#NUM!</v>
      </c>
      <c r="Y183" s="523" t="str">
        <f>IF(AND($R183&gt;0,données_step[[#This Row],[E_COT]]&gt;0),données_step[[#This Row],[E_COT]],"")</f>
        <v/>
      </c>
      <c r="Z183" s="523" t="str">
        <f>IF(Y183="","",(1-données_step[[#This Row],[E_COT]]/$AB$7)*100)</f>
        <v/>
      </c>
      <c r="AA183" s="523" t="str">
        <f t="shared" si="38"/>
        <v/>
      </c>
      <c r="AB183" s="523" t="str">
        <f t="shared" si="39"/>
        <v/>
      </c>
      <c r="AC183" s="523" t="str">
        <f t="shared" si="40"/>
        <v/>
      </c>
      <c r="AD183" s="523" t="e">
        <f>IF(((100-100/$AB$7*données_step[[#This Row],[E_COT]])/100*QTS)&lt;0,NA(),IF(OR(AA183&lt;0,AA183=""),NA(),((100-100/$AB$7*données_step[[#This Row],[E_COT]])/100*QTS)))</f>
        <v>#NUM!</v>
      </c>
      <c r="AE183" s="523" t="str">
        <f>IF(AND($R183&gt;0,données_step[[#This Row],[E_NH4]]&gt;0),données_step[[#This Row],[E_NH4]],"")</f>
        <v/>
      </c>
      <c r="AF183" s="523" t="str">
        <f>IF(AE183="","",(1-données_step[[#This Row],[E_NH4]]/$AH$7)*100)</f>
        <v/>
      </c>
      <c r="AG183" s="523" t="str">
        <f t="shared" si="41"/>
        <v/>
      </c>
      <c r="AH183" s="523" t="str">
        <f t="shared" si="42"/>
        <v/>
      </c>
      <c r="AI183" s="523" t="str">
        <f t="shared" si="43"/>
        <v/>
      </c>
      <c r="AJ183" s="523" t="e">
        <f>IF(((100-100/$AH$7*données_step[[#This Row],[E_NH4]])/100*QTS)&lt;0,NA(),IF(OR(AG183&lt;0,AG183=""),NA(),((100-100/$AH$7*données_step[[#This Row],[E_NH4]])/100*QTS)))</f>
        <v>#NUM!</v>
      </c>
      <c r="AK183" s="523" t="str">
        <f>IF(AND($R183&gt;0,données_step[[#This Row],[E_PTOT]]&gt;0),données_step[[#This Row],[E_PTOT]],"")</f>
        <v/>
      </c>
      <c r="AL183" s="523" t="str">
        <f>IF(AK183="","",(1-données_step[[#This Row],[E_PTOT]]/$AN$7)*100)</f>
        <v/>
      </c>
      <c r="AM183" s="523" t="str">
        <f t="shared" si="44"/>
        <v/>
      </c>
      <c r="AN183" s="523" t="str">
        <f t="shared" si="45"/>
        <v/>
      </c>
      <c r="AO183" s="523" t="str">
        <f t="shared" si="46"/>
        <v/>
      </c>
      <c r="AP183" s="523" t="e">
        <f>IF(((100-100/$AN$7*données_step[[#This Row],[E_PTOT]])/100*QTS)&lt;0,NA(),IF(OR(AM183&lt;0,AM183=""),NA(),((100-100/$AN$7*données_step[[#This Row],[E_PTOT]])/100*QTS)))</f>
        <v>#NUM!</v>
      </c>
      <c r="AQ183" s="524" t="e">
        <f t="shared" si="47"/>
        <v>#NUM!</v>
      </c>
      <c r="AR183" s="524" t="str">
        <f t="shared" si="48"/>
        <v/>
      </c>
      <c r="AY183" s="523" t="str">
        <f>_xlfn.IFNA(IF(données_step[[#This Row],[E_DCO]]&lt;=0,NA(),charge_entree[[#This Row],[ch_E_DCO]]/constanten!$B$8*1000),"")</f>
        <v/>
      </c>
      <c r="AZ183" s="523" t="str">
        <f>_xlfn.IFNA(IF(données_step[[#This Row],[E_NTOT]]&lt;=0,NA(),charge_entree[[#This Row],[ch_E_NTOT]]/constanten!$B$10*1000),"")</f>
        <v/>
      </c>
      <c r="BA183" s="523" t="str">
        <f>_xlfn.IFNA(IF(données_step[[#This Row],[E_NH4]]&lt;=0,NA(),charge_entree[[#This Row],[ch_E_NH4]]/constanten!$B$12*1000),"")</f>
        <v/>
      </c>
      <c r="BB183" s="523" t="str">
        <f>_xlfn.IFNA(IF(données_step[[#This Row],[E_COT]]&lt;=0,NA(),charge_entree[[#This Row],[ch_E_COT]]/constanten!$B$9*1000),"")</f>
        <v/>
      </c>
      <c r="BC183" s="523" t="str">
        <f>IFERROR(_xlfn.IFNA(IF(données_step[[#This Row],[E_PTOT]]&lt;=0,NA(),charge_entree[[#This Row],[ch_E_PTOT]]/constanten!$B$15*1000),""),"")</f>
        <v/>
      </c>
      <c r="BD183" s="535" t="e">
        <f>calculs!E183 * (1-0.4) / (données_step[[#This Row],[X_BA_VOL]]*données_step[[#This Row],[X_BACONC]])</f>
        <v>#VALUE!</v>
      </c>
      <c r="BE183" s="522" t="e">
        <f>(données_step[[#This Row],[X_BA_VOL]]*données_step[[#This Row],[X_BACONC]])/((données_step[[#This Row],[D_QTRAI2]]*données_step[[#This Row],[S_MES]]/1000)+(données_step[[#This Row],[X_BX_Q]]*données_step[[#This Row],[X_BXCONC]]))</f>
        <v>#VALUE!</v>
      </c>
      <c r="BF183" s="890" t="str">
        <f>IFERROR(données_step[[#This Row],[D_QTRAI]]/AY183*1000,"")</f>
        <v/>
      </c>
      <c r="BG183" s="535" t="str">
        <f>IFERROR(1-données_step[[#This Row],[S_DBO5]]/données_step[[#This Row],[E_DBO5]],"")</f>
        <v/>
      </c>
      <c r="BH183" s="536" t="str">
        <f>IFERROR(1-données_step[[#This Row],[S_DCO]]/données_step[[#This Row],[E_DCO]],"")</f>
        <v/>
      </c>
      <c r="BI183" s="535" t="str">
        <f>IFERROR(1-données_step[[#This Row],[S_COD]]/données_step[[#This Row],[E_COT]],"")</f>
        <v/>
      </c>
      <c r="BJ183" s="535" t="str">
        <f>IFERROR(1-données_step[[#This Row],[S_NH4]]/données_step[[#This Row],[E_NTOT]],"")</f>
        <v/>
      </c>
      <c r="BK183" s="535" t="str">
        <f>IFERROR(1-données_step[[#This Row],[S_PTOT]]/données_step[[#This Row],[E_PTOT]],"")</f>
        <v/>
      </c>
      <c r="BL183" s="521" t="str">
        <f>IFERROR(IF(données_step[[#This Row],[E_DCO]]/données_step[[#This Row],[E_DBO5]]=0,NA(),données_step[[#This Row],[E_DCO]]/données_step[[#This Row],[E_DBO5]]),"")</f>
        <v/>
      </c>
      <c r="BM183" s="521" t="str">
        <f>IFERROR(IF(données_step[[#This Row],[E_NH4]]/données_step[[#This Row],[E_NTOT]]=0,NA(),données_step[[#This Row],[E_NH4]]/données_step[[#This Row],[E_NTOT]]),"")</f>
        <v/>
      </c>
      <c r="BN183" s="521" t="str">
        <f>IFERROR(IF(données_step[[#This Row],[E_NTOT]]/données_step[[#This Row],[E_COT]]=0,NA(),données_step[[#This Row],[E_NTOT]]/données_step[[#This Row],[E_COT]]),"")</f>
        <v/>
      </c>
      <c r="BO183" s="521" t="str">
        <f>IFERROR(IF(données_step[[#This Row],[E_PTOT]]/données_step[[#This Row],[E_COT]]=0,NA(),données_step[[#This Row],[E_PTOT]]/données_step[[#This Row],[E_COT]]),"")</f>
        <v/>
      </c>
      <c r="BP183" s="521" t="e">
        <f>IF(données_step[[#This Row],[E_DCO]]/données_step[[#This Row],[E_COT]]=0,NA(),données_step[[#This Row],[E_DCO]]/données_step[[#This Row],[E_COT]])</f>
        <v>#DIV/0!</v>
      </c>
      <c r="BQ183" s="521" t="e">
        <f>IF(données_step[[#This Row],[E_NTOT]]/données_step[[#This Row],[E_DCO]]=0,NA(),données_step[[#This Row],[E_NTOT]]/données_step[[#This Row],[E_DCO]])</f>
        <v>#DIV/0!</v>
      </c>
      <c r="BR183" s="521" t="e">
        <f>IF(données_step[[#This Row],[E_PTOT]]/données_step[[#This Row],[E_DCO]]=0,NA(),données_step[[#This Row],[E_PTOT]]/données_step[[#This Row],[E_DCO]])</f>
        <v>#DIV/0!</v>
      </c>
      <c r="BS183" s="747" t="e">
        <f ca="1">test_NH4_temp(données_step[[#This Row],[S_NH4]],données_step[[#This Row],[Temp_eaux]])</f>
        <v>#NAME?</v>
      </c>
    </row>
    <row r="184" spans="1:71" x14ac:dyDescent="0.2">
      <c r="A184" s="222">
        <f>données_step[[#This Row],[Datum]]</f>
        <v>44735</v>
      </c>
      <c r="B184" s="223"/>
      <c r="C184" s="224">
        <f t="shared" si="49"/>
        <v>5</v>
      </c>
      <c r="D184" s="523" t="str">
        <f>IF(OR(données_step[[#This Row],[E_DBO5]]&lt;=0,données_step[[#This Row],[E_DBO5]]=""),"",données_step[[#This Row],[D_QTRAI]]*données_step[[#This Row],[E_DBO5]]/1000)</f>
        <v/>
      </c>
      <c r="E184" s="523" t="str">
        <f>IF(OR(données_step[[#This Row],[E_DCO]]&lt;=0,données_step[[#This Row],[E_DCO]]=""),"",données_step[[#This Row],[D_QTRAI]]*données_step[[#This Row],[E_DCO]]/1000)</f>
        <v/>
      </c>
      <c r="F184" s="523" t="str">
        <f>IF(OR(données_step[[#This Row],[E_COT]]&lt;=0,données_step[[#This Row],[E_COT]]=""),"",données_step[[#This Row],[D_QTRAI]]*données_step[[#This Row],[E_COT]]/1000)</f>
        <v/>
      </c>
      <c r="G184" s="523" t="str">
        <f>IF(OR(données_step[[#This Row],[E_NH4]]&lt;=0,données_step[[#This Row],[E_NH4]]=""),"",données_step[[#This Row],[D_QTRAI]]*données_step[[#This Row],[E_NH4]]/1000)</f>
        <v/>
      </c>
      <c r="H184" s="523" t="str">
        <f>IF(OR(données_step[[#This Row],[E_NTOT]]&lt;=0,données_step[[#This Row],[E_NTOT]]=""),"",données_step[[#This Row],[D_QTRAI]]*données_step[[#This Row],[E_NTOT]]/1000)</f>
        <v/>
      </c>
      <c r="I184" s="523" t="str">
        <f>IF(OR(données_step[[#This Row],[E_NTOT]]&lt;=0,données_step[[#This Row],[E_NTOT]]=""),"",données_step[[#This Row],[D_QTRAI]]*données_step[[#This Row],[E_PTOT]]/1000)</f>
        <v/>
      </c>
      <c r="J184" s="523" t="str">
        <f>IF(OR(données_step[[#This Row],[S_DBO5]]&lt;=0,données_step[[#This Row],[S_DBO5]]=""),"",données_step[[#This Row],[D_QTRAI]]*données_step[[#This Row],[S_DBO5]]/1000)</f>
        <v/>
      </c>
      <c r="K184" s="523" t="str">
        <f>IF(OR(données_step[[#This Row],[S_DCO]]&lt;=0,données_step[[#This Row],[S_DCO]]=""),"",données_step[[#This Row],[D_QTRAI]]*données_step[[#This Row],[S_DCO]]/1000)</f>
        <v/>
      </c>
      <c r="L184" s="523" t="str">
        <f>IF(OR(données_step[[#This Row],[S_COD]]&lt;=0,données_step[[#This Row],[S_COD]]=""),"",données_step[[#This Row],[D_QTRAI]]*données_step[[#This Row],[S_COD]]/1000)</f>
        <v/>
      </c>
      <c r="M184" s="523" t="str">
        <f>IF(OR(données_step[[#This Row],[S_NH4]]&lt;=0,données_step[[#This Row],[S_NH4]]=""),"",données_step[[#This Row],[D_QTRAI]]*données_step[[#This Row],[S_NH4]]/1000)</f>
        <v/>
      </c>
      <c r="N184" s="523" t="str">
        <f>IF(OR(données_step[[#This Row],[S_NO2]]&lt;=0,données_step[[#This Row],[S_NO2]]=""),"",données_step[[#This Row],[D_QTRAI]]*données_step[[#This Row],[S_NO2]]/1000)</f>
        <v/>
      </c>
      <c r="O184" s="523" t="str">
        <f>IF(OR(données_step[[#This Row],[S_NO3]]&lt;=0,données_step[[#This Row],[S_NO3]]=""),"",données_step[[#This Row],[D_QTRAI]]*données_step[[#This Row],[S_NO3]]/1000)</f>
        <v/>
      </c>
      <c r="P184" s="523" t="str">
        <f>IF(OR(données_step[[#This Row],[S_PTOT]]&lt;=0,données_step[[#This Row],[S_PTOT]]=""),"",données_step[[#This Row],[D_QTRAI]]*données_step[[#This Row],[S_PTOT]]/1000)</f>
        <v/>
      </c>
      <c r="Q184" s="523" t="str">
        <f>IF(OR(données_step[[#This Row],[S_MES]]&lt;=0,données_step[[#This Row],[S_MES]]=""),"",données_step[[#This Row],[D_QTRAI]]*données_step[[#This Row],[S_MES]]/1000)</f>
        <v/>
      </c>
      <c r="R184" s="523">
        <f>MAX(données_step[[#This Row],[D_QTRAI]],données_step[[#This Row],[D_QTRAI2]])</f>
        <v>0</v>
      </c>
      <c r="S184" s="523" t="str">
        <f>IF(AND($R184&gt;0,données_step[[#This Row],[E_DCO]]&gt;0),données_step[[#This Row],[E_DCO]],"")</f>
        <v/>
      </c>
      <c r="T184" s="523" t="str">
        <f>IF(S184="","",(1-données_step[[#This Row],[E_DCO]]/$V$7)*100)</f>
        <v/>
      </c>
      <c r="U184" s="523" t="str">
        <f t="shared" si="35"/>
        <v/>
      </c>
      <c r="V184" s="523" t="str">
        <f t="shared" si="36"/>
        <v/>
      </c>
      <c r="W184" s="523" t="str">
        <f t="shared" si="37"/>
        <v/>
      </c>
      <c r="X184" s="523" t="e">
        <f>IF(((100-100/$V$7*données_step[[#This Row],[E_DCO]])/100*QTS)&lt;0,NA(),IF(OR(U184&lt;0,U184=""),NA(),((100-100/$V$7*données_step[[#This Row],[E_DCO]])/100*QTS)))</f>
        <v>#NUM!</v>
      </c>
      <c r="Y184" s="523" t="str">
        <f>IF(AND($R184&gt;0,données_step[[#This Row],[E_COT]]&gt;0),données_step[[#This Row],[E_COT]],"")</f>
        <v/>
      </c>
      <c r="Z184" s="523" t="str">
        <f>IF(Y184="","",(1-données_step[[#This Row],[E_COT]]/$AB$7)*100)</f>
        <v/>
      </c>
      <c r="AA184" s="523" t="str">
        <f t="shared" si="38"/>
        <v/>
      </c>
      <c r="AB184" s="523" t="str">
        <f t="shared" si="39"/>
        <v/>
      </c>
      <c r="AC184" s="523" t="str">
        <f t="shared" si="40"/>
        <v/>
      </c>
      <c r="AD184" s="523" t="e">
        <f>IF(((100-100/$AB$7*données_step[[#This Row],[E_COT]])/100*QTS)&lt;0,NA(),IF(OR(AA184&lt;0,AA184=""),NA(),((100-100/$AB$7*données_step[[#This Row],[E_COT]])/100*QTS)))</f>
        <v>#NUM!</v>
      </c>
      <c r="AE184" s="523" t="str">
        <f>IF(AND($R184&gt;0,données_step[[#This Row],[E_NH4]]&gt;0),données_step[[#This Row],[E_NH4]],"")</f>
        <v/>
      </c>
      <c r="AF184" s="523" t="str">
        <f>IF(AE184="","",(1-données_step[[#This Row],[E_NH4]]/$AH$7)*100)</f>
        <v/>
      </c>
      <c r="AG184" s="523" t="str">
        <f t="shared" si="41"/>
        <v/>
      </c>
      <c r="AH184" s="523" t="str">
        <f t="shared" si="42"/>
        <v/>
      </c>
      <c r="AI184" s="523" t="str">
        <f t="shared" si="43"/>
        <v/>
      </c>
      <c r="AJ184" s="523" t="e">
        <f>IF(((100-100/$AH$7*données_step[[#This Row],[E_NH4]])/100*QTS)&lt;0,NA(),IF(OR(AG184&lt;0,AG184=""),NA(),((100-100/$AH$7*données_step[[#This Row],[E_NH4]])/100*QTS)))</f>
        <v>#NUM!</v>
      </c>
      <c r="AK184" s="523" t="str">
        <f>IF(AND($R184&gt;0,données_step[[#This Row],[E_PTOT]]&gt;0),données_step[[#This Row],[E_PTOT]],"")</f>
        <v/>
      </c>
      <c r="AL184" s="523" t="str">
        <f>IF(AK184="","",(1-données_step[[#This Row],[E_PTOT]]/$AN$7)*100)</f>
        <v/>
      </c>
      <c r="AM184" s="523" t="str">
        <f t="shared" si="44"/>
        <v/>
      </c>
      <c r="AN184" s="523" t="str">
        <f t="shared" si="45"/>
        <v/>
      </c>
      <c r="AO184" s="523" t="str">
        <f t="shared" si="46"/>
        <v/>
      </c>
      <c r="AP184" s="523" t="e">
        <f>IF(((100-100/$AN$7*données_step[[#This Row],[E_PTOT]])/100*QTS)&lt;0,NA(),IF(OR(AM184&lt;0,AM184=""),NA(),((100-100/$AN$7*données_step[[#This Row],[E_PTOT]])/100*QTS)))</f>
        <v>#NUM!</v>
      </c>
      <c r="AQ184" s="524" t="e">
        <f t="shared" si="47"/>
        <v>#NUM!</v>
      </c>
      <c r="AR184" s="524" t="str">
        <f t="shared" si="48"/>
        <v/>
      </c>
      <c r="AY184" s="523" t="str">
        <f>_xlfn.IFNA(IF(données_step[[#This Row],[E_DCO]]&lt;=0,NA(),charge_entree[[#This Row],[ch_E_DCO]]/constanten!$B$8*1000),"")</f>
        <v/>
      </c>
      <c r="AZ184" s="523" t="str">
        <f>_xlfn.IFNA(IF(données_step[[#This Row],[E_NTOT]]&lt;=0,NA(),charge_entree[[#This Row],[ch_E_NTOT]]/constanten!$B$10*1000),"")</f>
        <v/>
      </c>
      <c r="BA184" s="523" t="str">
        <f>_xlfn.IFNA(IF(données_step[[#This Row],[E_NH4]]&lt;=0,NA(),charge_entree[[#This Row],[ch_E_NH4]]/constanten!$B$12*1000),"")</f>
        <v/>
      </c>
      <c r="BB184" s="523" t="str">
        <f>_xlfn.IFNA(IF(données_step[[#This Row],[E_COT]]&lt;=0,NA(),charge_entree[[#This Row],[ch_E_COT]]/constanten!$B$9*1000),"")</f>
        <v/>
      </c>
      <c r="BC184" s="523" t="str">
        <f>IFERROR(_xlfn.IFNA(IF(données_step[[#This Row],[E_PTOT]]&lt;=0,NA(),charge_entree[[#This Row],[ch_E_PTOT]]/constanten!$B$15*1000),""),"")</f>
        <v/>
      </c>
      <c r="BD184" s="535" t="e">
        <f>calculs!E184 * (1-0.4) / (données_step[[#This Row],[X_BA_VOL]]*données_step[[#This Row],[X_BACONC]])</f>
        <v>#VALUE!</v>
      </c>
      <c r="BE184" s="522" t="e">
        <f>(données_step[[#This Row],[X_BA_VOL]]*données_step[[#This Row],[X_BACONC]])/((données_step[[#This Row],[D_QTRAI2]]*données_step[[#This Row],[S_MES]]/1000)+(données_step[[#This Row],[X_BX_Q]]*données_step[[#This Row],[X_BXCONC]]))</f>
        <v>#VALUE!</v>
      </c>
      <c r="BF184" s="890" t="str">
        <f>IFERROR(données_step[[#This Row],[D_QTRAI]]/AY184*1000,"")</f>
        <v/>
      </c>
      <c r="BG184" s="535" t="str">
        <f>IFERROR(1-données_step[[#This Row],[S_DBO5]]/données_step[[#This Row],[E_DBO5]],"")</f>
        <v/>
      </c>
      <c r="BH184" s="536" t="str">
        <f>IFERROR(1-données_step[[#This Row],[S_DCO]]/données_step[[#This Row],[E_DCO]],"")</f>
        <v/>
      </c>
      <c r="BI184" s="535" t="str">
        <f>IFERROR(1-données_step[[#This Row],[S_COD]]/données_step[[#This Row],[E_COT]],"")</f>
        <v/>
      </c>
      <c r="BJ184" s="535" t="str">
        <f>IFERROR(1-données_step[[#This Row],[S_NH4]]/données_step[[#This Row],[E_NTOT]],"")</f>
        <v/>
      </c>
      <c r="BK184" s="535" t="str">
        <f>IFERROR(1-données_step[[#This Row],[S_PTOT]]/données_step[[#This Row],[E_PTOT]],"")</f>
        <v/>
      </c>
      <c r="BL184" s="521" t="str">
        <f>IFERROR(IF(données_step[[#This Row],[E_DCO]]/données_step[[#This Row],[E_DBO5]]=0,NA(),données_step[[#This Row],[E_DCO]]/données_step[[#This Row],[E_DBO5]]),"")</f>
        <v/>
      </c>
      <c r="BM184" s="521" t="str">
        <f>IFERROR(IF(données_step[[#This Row],[E_NH4]]/données_step[[#This Row],[E_NTOT]]=0,NA(),données_step[[#This Row],[E_NH4]]/données_step[[#This Row],[E_NTOT]]),"")</f>
        <v/>
      </c>
      <c r="BN184" s="521" t="str">
        <f>IFERROR(IF(données_step[[#This Row],[E_NTOT]]/données_step[[#This Row],[E_COT]]=0,NA(),données_step[[#This Row],[E_NTOT]]/données_step[[#This Row],[E_COT]]),"")</f>
        <v/>
      </c>
      <c r="BO184" s="521" t="str">
        <f>IFERROR(IF(données_step[[#This Row],[E_PTOT]]/données_step[[#This Row],[E_COT]]=0,NA(),données_step[[#This Row],[E_PTOT]]/données_step[[#This Row],[E_COT]]),"")</f>
        <v/>
      </c>
      <c r="BP184" s="521" t="e">
        <f>IF(données_step[[#This Row],[E_DCO]]/données_step[[#This Row],[E_COT]]=0,NA(),données_step[[#This Row],[E_DCO]]/données_step[[#This Row],[E_COT]])</f>
        <v>#DIV/0!</v>
      </c>
      <c r="BQ184" s="521" t="e">
        <f>IF(données_step[[#This Row],[E_NTOT]]/données_step[[#This Row],[E_DCO]]=0,NA(),données_step[[#This Row],[E_NTOT]]/données_step[[#This Row],[E_DCO]])</f>
        <v>#DIV/0!</v>
      </c>
      <c r="BR184" s="521" t="e">
        <f>IF(données_step[[#This Row],[E_PTOT]]/données_step[[#This Row],[E_DCO]]=0,NA(),données_step[[#This Row],[E_PTOT]]/données_step[[#This Row],[E_DCO]])</f>
        <v>#DIV/0!</v>
      </c>
      <c r="BS184" s="747" t="e">
        <f ca="1">test_NH4_temp(données_step[[#This Row],[S_NH4]],données_step[[#This Row],[Temp_eaux]])</f>
        <v>#NAME?</v>
      </c>
    </row>
    <row r="185" spans="1:71" x14ac:dyDescent="0.2">
      <c r="A185" s="222">
        <f>données_step[[#This Row],[Datum]]</f>
        <v>44736</v>
      </c>
      <c r="B185" s="223"/>
      <c r="C185" s="224">
        <f t="shared" si="49"/>
        <v>6</v>
      </c>
      <c r="D185" s="523" t="str">
        <f>IF(OR(données_step[[#This Row],[E_DBO5]]&lt;=0,données_step[[#This Row],[E_DBO5]]=""),"",données_step[[#This Row],[D_QTRAI]]*données_step[[#This Row],[E_DBO5]]/1000)</f>
        <v/>
      </c>
      <c r="E185" s="523" t="str">
        <f>IF(OR(données_step[[#This Row],[E_DCO]]&lt;=0,données_step[[#This Row],[E_DCO]]=""),"",données_step[[#This Row],[D_QTRAI]]*données_step[[#This Row],[E_DCO]]/1000)</f>
        <v/>
      </c>
      <c r="F185" s="523" t="str">
        <f>IF(OR(données_step[[#This Row],[E_COT]]&lt;=0,données_step[[#This Row],[E_COT]]=""),"",données_step[[#This Row],[D_QTRAI]]*données_step[[#This Row],[E_COT]]/1000)</f>
        <v/>
      </c>
      <c r="G185" s="523" t="str">
        <f>IF(OR(données_step[[#This Row],[E_NH4]]&lt;=0,données_step[[#This Row],[E_NH4]]=""),"",données_step[[#This Row],[D_QTRAI]]*données_step[[#This Row],[E_NH4]]/1000)</f>
        <v/>
      </c>
      <c r="H185" s="523" t="str">
        <f>IF(OR(données_step[[#This Row],[E_NTOT]]&lt;=0,données_step[[#This Row],[E_NTOT]]=""),"",données_step[[#This Row],[D_QTRAI]]*données_step[[#This Row],[E_NTOT]]/1000)</f>
        <v/>
      </c>
      <c r="I185" s="523" t="str">
        <f>IF(OR(données_step[[#This Row],[E_NTOT]]&lt;=0,données_step[[#This Row],[E_NTOT]]=""),"",données_step[[#This Row],[D_QTRAI]]*données_step[[#This Row],[E_PTOT]]/1000)</f>
        <v/>
      </c>
      <c r="J185" s="523" t="str">
        <f>IF(OR(données_step[[#This Row],[S_DBO5]]&lt;=0,données_step[[#This Row],[S_DBO5]]=""),"",données_step[[#This Row],[D_QTRAI]]*données_step[[#This Row],[S_DBO5]]/1000)</f>
        <v/>
      </c>
      <c r="K185" s="523" t="str">
        <f>IF(OR(données_step[[#This Row],[S_DCO]]&lt;=0,données_step[[#This Row],[S_DCO]]=""),"",données_step[[#This Row],[D_QTRAI]]*données_step[[#This Row],[S_DCO]]/1000)</f>
        <v/>
      </c>
      <c r="L185" s="523" t="str">
        <f>IF(OR(données_step[[#This Row],[S_COD]]&lt;=0,données_step[[#This Row],[S_COD]]=""),"",données_step[[#This Row],[D_QTRAI]]*données_step[[#This Row],[S_COD]]/1000)</f>
        <v/>
      </c>
      <c r="M185" s="523" t="str">
        <f>IF(OR(données_step[[#This Row],[S_NH4]]&lt;=0,données_step[[#This Row],[S_NH4]]=""),"",données_step[[#This Row],[D_QTRAI]]*données_step[[#This Row],[S_NH4]]/1000)</f>
        <v/>
      </c>
      <c r="N185" s="523" t="str">
        <f>IF(OR(données_step[[#This Row],[S_NO2]]&lt;=0,données_step[[#This Row],[S_NO2]]=""),"",données_step[[#This Row],[D_QTRAI]]*données_step[[#This Row],[S_NO2]]/1000)</f>
        <v/>
      </c>
      <c r="O185" s="523" t="str">
        <f>IF(OR(données_step[[#This Row],[S_NO3]]&lt;=0,données_step[[#This Row],[S_NO3]]=""),"",données_step[[#This Row],[D_QTRAI]]*données_step[[#This Row],[S_NO3]]/1000)</f>
        <v/>
      </c>
      <c r="P185" s="523" t="str">
        <f>IF(OR(données_step[[#This Row],[S_PTOT]]&lt;=0,données_step[[#This Row],[S_PTOT]]=""),"",données_step[[#This Row],[D_QTRAI]]*données_step[[#This Row],[S_PTOT]]/1000)</f>
        <v/>
      </c>
      <c r="Q185" s="523" t="str">
        <f>IF(OR(données_step[[#This Row],[S_MES]]&lt;=0,données_step[[#This Row],[S_MES]]=""),"",données_step[[#This Row],[D_QTRAI]]*données_step[[#This Row],[S_MES]]/1000)</f>
        <v/>
      </c>
      <c r="R185" s="523">
        <f>MAX(données_step[[#This Row],[D_QTRAI]],données_step[[#This Row],[D_QTRAI2]])</f>
        <v>0</v>
      </c>
      <c r="S185" s="523" t="str">
        <f>IF(AND($R185&gt;0,données_step[[#This Row],[E_DCO]]&gt;0),données_step[[#This Row],[E_DCO]],"")</f>
        <v/>
      </c>
      <c r="T185" s="523" t="str">
        <f>IF(S185="","",(1-données_step[[#This Row],[E_DCO]]/$V$7)*100)</f>
        <v/>
      </c>
      <c r="U185" s="523" t="str">
        <f t="shared" si="35"/>
        <v/>
      </c>
      <c r="V185" s="523" t="str">
        <f t="shared" si="36"/>
        <v/>
      </c>
      <c r="W185" s="523" t="str">
        <f t="shared" si="37"/>
        <v/>
      </c>
      <c r="X185" s="523" t="e">
        <f>IF(((100-100/$V$7*données_step[[#This Row],[E_DCO]])/100*QTS)&lt;0,NA(),IF(OR(U185&lt;0,U185=""),NA(),((100-100/$V$7*données_step[[#This Row],[E_DCO]])/100*QTS)))</f>
        <v>#NUM!</v>
      </c>
      <c r="Y185" s="523" t="str">
        <f>IF(AND($R185&gt;0,données_step[[#This Row],[E_COT]]&gt;0),données_step[[#This Row],[E_COT]],"")</f>
        <v/>
      </c>
      <c r="Z185" s="523" t="str">
        <f>IF(Y185="","",(1-données_step[[#This Row],[E_COT]]/$AB$7)*100)</f>
        <v/>
      </c>
      <c r="AA185" s="523" t="str">
        <f t="shared" si="38"/>
        <v/>
      </c>
      <c r="AB185" s="523" t="str">
        <f t="shared" si="39"/>
        <v/>
      </c>
      <c r="AC185" s="523" t="str">
        <f t="shared" si="40"/>
        <v/>
      </c>
      <c r="AD185" s="523" t="e">
        <f>IF(((100-100/$AB$7*données_step[[#This Row],[E_COT]])/100*QTS)&lt;0,NA(),IF(OR(AA185&lt;0,AA185=""),NA(),((100-100/$AB$7*données_step[[#This Row],[E_COT]])/100*QTS)))</f>
        <v>#NUM!</v>
      </c>
      <c r="AE185" s="523" t="str">
        <f>IF(AND($R185&gt;0,données_step[[#This Row],[E_NH4]]&gt;0),données_step[[#This Row],[E_NH4]],"")</f>
        <v/>
      </c>
      <c r="AF185" s="523" t="str">
        <f>IF(AE185="","",(1-données_step[[#This Row],[E_NH4]]/$AH$7)*100)</f>
        <v/>
      </c>
      <c r="AG185" s="523" t="str">
        <f t="shared" si="41"/>
        <v/>
      </c>
      <c r="AH185" s="523" t="str">
        <f t="shared" si="42"/>
        <v/>
      </c>
      <c r="AI185" s="523" t="str">
        <f t="shared" si="43"/>
        <v/>
      </c>
      <c r="AJ185" s="523" t="e">
        <f>IF(((100-100/$AH$7*données_step[[#This Row],[E_NH4]])/100*QTS)&lt;0,NA(),IF(OR(AG185&lt;0,AG185=""),NA(),((100-100/$AH$7*données_step[[#This Row],[E_NH4]])/100*QTS)))</f>
        <v>#NUM!</v>
      </c>
      <c r="AK185" s="523" t="str">
        <f>IF(AND($R185&gt;0,données_step[[#This Row],[E_PTOT]]&gt;0),données_step[[#This Row],[E_PTOT]],"")</f>
        <v/>
      </c>
      <c r="AL185" s="523" t="str">
        <f>IF(AK185="","",(1-données_step[[#This Row],[E_PTOT]]/$AN$7)*100)</f>
        <v/>
      </c>
      <c r="AM185" s="523" t="str">
        <f t="shared" si="44"/>
        <v/>
      </c>
      <c r="AN185" s="523" t="str">
        <f t="shared" si="45"/>
        <v/>
      </c>
      <c r="AO185" s="523" t="str">
        <f t="shared" si="46"/>
        <v/>
      </c>
      <c r="AP185" s="523" t="e">
        <f>IF(((100-100/$AN$7*données_step[[#This Row],[E_PTOT]])/100*QTS)&lt;0,NA(),IF(OR(AM185&lt;0,AM185=""),NA(),((100-100/$AN$7*données_step[[#This Row],[E_PTOT]])/100*QTS)))</f>
        <v>#NUM!</v>
      </c>
      <c r="AQ185" s="524" t="e">
        <f t="shared" si="47"/>
        <v>#NUM!</v>
      </c>
      <c r="AR185" s="524" t="str">
        <f t="shared" si="48"/>
        <v/>
      </c>
      <c r="AY185" s="523" t="str">
        <f>_xlfn.IFNA(IF(données_step[[#This Row],[E_DCO]]&lt;=0,NA(),charge_entree[[#This Row],[ch_E_DCO]]/constanten!$B$8*1000),"")</f>
        <v/>
      </c>
      <c r="AZ185" s="523" t="str">
        <f>_xlfn.IFNA(IF(données_step[[#This Row],[E_NTOT]]&lt;=0,NA(),charge_entree[[#This Row],[ch_E_NTOT]]/constanten!$B$10*1000),"")</f>
        <v/>
      </c>
      <c r="BA185" s="523" t="str">
        <f>_xlfn.IFNA(IF(données_step[[#This Row],[E_NH4]]&lt;=0,NA(),charge_entree[[#This Row],[ch_E_NH4]]/constanten!$B$12*1000),"")</f>
        <v/>
      </c>
      <c r="BB185" s="523" t="str">
        <f>_xlfn.IFNA(IF(données_step[[#This Row],[E_COT]]&lt;=0,NA(),charge_entree[[#This Row],[ch_E_COT]]/constanten!$B$9*1000),"")</f>
        <v/>
      </c>
      <c r="BC185" s="523" t="str">
        <f>IFERROR(_xlfn.IFNA(IF(données_step[[#This Row],[E_PTOT]]&lt;=0,NA(),charge_entree[[#This Row],[ch_E_PTOT]]/constanten!$B$15*1000),""),"")</f>
        <v/>
      </c>
      <c r="BD185" s="535" t="e">
        <f>calculs!E185 * (1-0.4) / (données_step[[#This Row],[X_BA_VOL]]*données_step[[#This Row],[X_BACONC]])</f>
        <v>#VALUE!</v>
      </c>
      <c r="BE185" s="522" t="e">
        <f>(données_step[[#This Row],[X_BA_VOL]]*données_step[[#This Row],[X_BACONC]])/((données_step[[#This Row],[D_QTRAI2]]*données_step[[#This Row],[S_MES]]/1000)+(données_step[[#This Row],[X_BX_Q]]*données_step[[#This Row],[X_BXCONC]]))</f>
        <v>#VALUE!</v>
      </c>
      <c r="BF185" s="890" t="str">
        <f>IFERROR(données_step[[#This Row],[D_QTRAI]]/AY185*1000,"")</f>
        <v/>
      </c>
      <c r="BG185" s="535" t="str">
        <f>IFERROR(1-données_step[[#This Row],[S_DBO5]]/données_step[[#This Row],[E_DBO5]],"")</f>
        <v/>
      </c>
      <c r="BH185" s="536" t="str">
        <f>IFERROR(1-données_step[[#This Row],[S_DCO]]/données_step[[#This Row],[E_DCO]],"")</f>
        <v/>
      </c>
      <c r="BI185" s="535" t="str">
        <f>IFERROR(1-données_step[[#This Row],[S_COD]]/données_step[[#This Row],[E_COT]],"")</f>
        <v/>
      </c>
      <c r="BJ185" s="535" t="str">
        <f>IFERROR(1-données_step[[#This Row],[S_NH4]]/données_step[[#This Row],[E_NTOT]],"")</f>
        <v/>
      </c>
      <c r="BK185" s="535" t="str">
        <f>IFERROR(1-données_step[[#This Row],[S_PTOT]]/données_step[[#This Row],[E_PTOT]],"")</f>
        <v/>
      </c>
      <c r="BL185" s="521" t="str">
        <f>IFERROR(IF(données_step[[#This Row],[E_DCO]]/données_step[[#This Row],[E_DBO5]]=0,NA(),données_step[[#This Row],[E_DCO]]/données_step[[#This Row],[E_DBO5]]),"")</f>
        <v/>
      </c>
      <c r="BM185" s="521" t="str">
        <f>IFERROR(IF(données_step[[#This Row],[E_NH4]]/données_step[[#This Row],[E_NTOT]]=0,NA(),données_step[[#This Row],[E_NH4]]/données_step[[#This Row],[E_NTOT]]),"")</f>
        <v/>
      </c>
      <c r="BN185" s="521" t="str">
        <f>IFERROR(IF(données_step[[#This Row],[E_NTOT]]/données_step[[#This Row],[E_COT]]=0,NA(),données_step[[#This Row],[E_NTOT]]/données_step[[#This Row],[E_COT]]),"")</f>
        <v/>
      </c>
      <c r="BO185" s="521" t="str">
        <f>IFERROR(IF(données_step[[#This Row],[E_PTOT]]/données_step[[#This Row],[E_COT]]=0,NA(),données_step[[#This Row],[E_PTOT]]/données_step[[#This Row],[E_COT]]),"")</f>
        <v/>
      </c>
      <c r="BP185" s="521" t="e">
        <f>IF(données_step[[#This Row],[E_DCO]]/données_step[[#This Row],[E_COT]]=0,NA(),données_step[[#This Row],[E_DCO]]/données_step[[#This Row],[E_COT]])</f>
        <v>#DIV/0!</v>
      </c>
      <c r="BQ185" s="521" t="e">
        <f>IF(données_step[[#This Row],[E_NTOT]]/données_step[[#This Row],[E_DCO]]=0,NA(),données_step[[#This Row],[E_NTOT]]/données_step[[#This Row],[E_DCO]])</f>
        <v>#DIV/0!</v>
      </c>
      <c r="BR185" s="521" t="e">
        <f>IF(données_step[[#This Row],[E_PTOT]]/données_step[[#This Row],[E_DCO]]=0,NA(),données_step[[#This Row],[E_PTOT]]/données_step[[#This Row],[E_DCO]])</f>
        <v>#DIV/0!</v>
      </c>
      <c r="BS185" s="747" t="e">
        <f ca="1">test_NH4_temp(données_step[[#This Row],[S_NH4]],données_step[[#This Row],[Temp_eaux]])</f>
        <v>#NAME?</v>
      </c>
    </row>
    <row r="186" spans="1:71" x14ac:dyDescent="0.2">
      <c r="A186" s="222">
        <f>données_step[[#This Row],[Datum]]</f>
        <v>44737</v>
      </c>
      <c r="B186" s="223"/>
      <c r="C186" s="224">
        <f t="shared" si="49"/>
        <v>7</v>
      </c>
      <c r="D186" s="523" t="str">
        <f>IF(OR(données_step[[#This Row],[E_DBO5]]&lt;=0,données_step[[#This Row],[E_DBO5]]=""),"",données_step[[#This Row],[D_QTRAI]]*données_step[[#This Row],[E_DBO5]]/1000)</f>
        <v/>
      </c>
      <c r="E186" s="523" t="str">
        <f>IF(OR(données_step[[#This Row],[E_DCO]]&lt;=0,données_step[[#This Row],[E_DCO]]=""),"",données_step[[#This Row],[D_QTRAI]]*données_step[[#This Row],[E_DCO]]/1000)</f>
        <v/>
      </c>
      <c r="F186" s="523" t="str">
        <f>IF(OR(données_step[[#This Row],[E_COT]]&lt;=0,données_step[[#This Row],[E_COT]]=""),"",données_step[[#This Row],[D_QTRAI]]*données_step[[#This Row],[E_COT]]/1000)</f>
        <v/>
      </c>
      <c r="G186" s="523" t="str">
        <f>IF(OR(données_step[[#This Row],[E_NH4]]&lt;=0,données_step[[#This Row],[E_NH4]]=""),"",données_step[[#This Row],[D_QTRAI]]*données_step[[#This Row],[E_NH4]]/1000)</f>
        <v/>
      </c>
      <c r="H186" s="523" t="str">
        <f>IF(OR(données_step[[#This Row],[E_NTOT]]&lt;=0,données_step[[#This Row],[E_NTOT]]=""),"",données_step[[#This Row],[D_QTRAI]]*données_step[[#This Row],[E_NTOT]]/1000)</f>
        <v/>
      </c>
      <c r="I186" s="523" t="str">
        <f>IF(OR(données_step[[#This Row],[E_NTOT]]&lt;=0,données_step[[#This Row],[E_NTOT]]=""),"",données_step[[#This Row],[D_QTRAI]]*données_step[[#This Row],[E_PTOT]]/1000)</f>
        <v/>
      </c>
      <c r="J186" s="523" t="str">
        <f>IF(OR(données_step[[#This Row],[S_DBO5]]&lt;=0,données_step[[#This Row],[S_DBO5]]=""),"",données_step[[#This Row],[D_QTRAI]]*données_step[[#This Row],[S_DBO5]]/1000)</f>
        <v/>
      </c>
      <c r="K186" s="523" t="str">
        <f>IF(OR(données_step[[#This Row],[S_DCO]]&lt;=0,données_step[[#This Row],[S_DCO]]=""),"",données_step[[#This Row],[D_QTRAI]]*données_step[[#This Row],[S_DCO]]/1000)</f>
        <v/>
      </c>
      <c r="L186" s="523" t="str">
        <f>IF(OR(données_step[[#This Row],[S_COD]]&lt;=0,données_step[[#This Row],[S_COD]]=""),"",données_step[[#This Row],[D_QTRAI]]*données_step[[#This Row],[S_COD]]/1000)</f>
        <v/>
      </c>
      <c r="M186" s="523" t="str">
        <f>IF(OR(données_step[[#This Row],[S_NH4]]&lt;=0,données_step[[#This Row],[S_NH4]]=""),"",données_step[[#This Row],[D_QTRAI]]*données_step[[#This Row],[S_NH4]]/1000)</f>
        <v/>
      </c>
      <c r="N186" s="523" t="str">
        <f>IF(OR(données_step[[#This Row],[S_NO2]]&lt;=0,données_step[[#This Row],[S_NO2]]=""),"",données_step[[#This Row],[D_QTRAI]]*données_step[[#This Row],[S_NO2]]/1000)</f>
        <v/>
      </c>
      <c r="O186" s="523" t="str">
        <f>IF(OR(données_step[[#This Row],[S_NO3]]&lt;=0,données_step[[#This Row],[S_NO3]]=""),"",données_step[[#This Row],[D_QTRAI]]*données_step[[#This Row],[S_NO3]]/1000)</f>
        <v/>
      </c>
      <c r="P186" s="523" t="str">
        <f>IF(OR(données_step[[#This Row],[S_PTOT]]&lt;=0,données_step[[#This Row],[S_PTOT]]=""),"",données_step[[#This Row],[D_QTRAI]]*données_step[[#This Row],[S_PTOT]]/1000)</f>
        <v/>
      </c>
      <c r="Q186" s="523" t="str">
        <f>IF(OR(données_step[[#This Row],[S_MES]]&lt;=0,données_step[[#This Row],[S_MES]]=""),"",données_step[[#This Row],[D_QTRAI]]*données_step[[#This Row],[S_MES]]/1000)</f>
        <v/>
      </c>
      <c r="R186" s="523">
        <f>MAX(données_step[[#This Row],[D_QTRAI]],données_step[[#This Row],[D_QTRAI2]])</f>
        <v>0</v>
      </c>
      <c r="S186" s="523" t="str">
        <f>IF(AND($R186&gt;0,données_step[[#This Row],[E_DCO]]&gt;0),données_step[[#This Row],[E_DCO]],"")</f>
        <v/>
      </c>
      <c r="T186" s="523" t="str">
        <f>IF(S186="","",(1-données_step[[#This Row],[E_DCO]]/$V$7)*100)</f>
        <v/>
      </c>
      <c r="U186" s="523" t="str">
        <f t="shared" si="35"/>
        <v/>
      </c>
      <c r="V186" s="523" t="str">
        <f t="shared" si="36"/>
        <v/>
      </c>
      <c r="W186" s="523" t="str">
        <f t="shared" si="37"/>
        <v/>
      </c>
      <c r="X186" s="523" t="e">
        <f>IF(((100-100/$V$7*données_step[[#This Row],[E_DCO]])/100*QTS)&lt;0,NA(),IF(OR(U186&lt;0,U186=""),NA(),((100-100/$V$7*données_step[[#This Row],[E_DCO]])/100*QTS)))</f>
        <v>#NUM!</v>
      </c>
      <c r="Y186" s="523" t="str">
        <f>IF(AND($R186&gt;0,données_step[[#This Row],[E_COT]]&gt;0),données_step[[#This Row],[E_COT]],"")</f>
        <v/>
      </c>
      <c r="Z186" s="523" t="str">
        <f>IF(Y186="","",(1-données_step[[#This Row],[E_COT]]/$AB$7)*100)</f>
        <v/>
      </c>
      <c r="AA186" s="523" t="str">
        <f t="shared" si="38"/>
        <v/>
      </c>
      <c r="AB186" s="523" t="str">
        <f t="shared" si="39"/>
        <v/>
      </c>
      <c r="AC186" s="523" t="str">
        <f t="shared" si="40"/>
        <v/>
      </c>
      <c r="AD186" s="523" t="e">
        <f>IF(((100-100/$AB$7*données_step[[#This Row],[E_COT]])/100*QTS)&lt;0,NA(),IF(OR(AA186&lt;0,AA186=""),NA(),((100-100/$AB$7*données_step[[#This Row],[E_COT]])/100*QTS)))</f>
        <v>#NUM!</v>
      </c>
      <c r="AE186" s="523" t="str">
        <f>IF(AND($R186&gt;0,données_step[[#This Row],[E_NH4]]&gt;0),données_step[[#This Row],[E_NH4]],"")</f>
        <v/>
      </c>
      <c r="AF186" s="523" t="str">
        <f>IF(AE186="","",(1-données_step[[#This Row],[E_NH4]]/$AH$7)*100)</f>
        <v/>
      </c>
      <c r="AG186" s="523" t="str">
        <f t="shared" si="41"/>
        <v/>
      </c>
      <c r="AH186" s="523" t="str">
        <f t="shared" si="42"/>
        <v/>
      </c>
      <c r="AI186" s="523" t="str">
        <f t="shared" si="43"/>
        <v/>
      </c>
      <c r="AJ186" s="523" t="e">
        <f>IF(((100-100/$AH$7*données_step[[#This Row],[E_NH4]])/100*QTS)&lt;0,NA(),IF(OR(AG186&lt;0,AG186=""),NA(),((100-100/$AH$7*données_step[[#This Row],[E_NH4]])/100*QTS)))</f>
        <v>#NUM!</v>
      </c>
      <c r="AK186" s="523" t="str">
        <f>IF(AND($R186&gt;0,données_step[[#This Row],[E_PTOT]]&gt;0),données_step[[#This Row],[E_PTOT]],"")</f>
        <v/>
      </c>
      <c r="AL186" s="523" t="str">
        <f>IF(AK186="","",(1-données_step[[#This Row],[E_PTOT]]/$AN$7)*100)</f>
        <v/>
      </c>
      <c r="AM186" s="523" t="str">
        <f t="shared" si="44"/>
        <v/>
      </c>
      <c r="AN186" s="523" t="str">
        <f t="shared" si="45"/>
        <v/>
      </c>
      <c r="AO186" s="523" t="str">
        <f t="shared" si="46"/>
        <v/>
      </c>
      <c r="AP186" s="523" t="e">
        <f>IF(((100-100/$AN$7*données_step[[#This Row],[E_PTOT]])/100*QTS)&lt;0,NA(),IF(OR(AM186&lt;0,AM186=""),NA(),((100-100/$AN$7*données_step[[#This Row],[E_PTOT]])/100*QTS)))</f>
        <v>#NUM!</v>
      </c>
      <c r="AQ186" s="524" t="e">
        <f t="shared" si="47"/>
        <v>#NUM!</v>
      </c>
      <c r="AR186" s="524" t="str">
        <f t="shared" si="48"/>
        <v/>
      </c>
      <c r="AY186" s="523" t="str">
        <f>_xlfn.IFNA(IF(données_step[[#This Row],[E_DCO]]&lt;=0,NA(),charge_entree[[#This Row],[ch_E_DCO]]/constanten!$B$8*1000),"")</f>
        <v/>
      </c>
      <c r="AZ186" s="523" t="str">
        <f>_xlfn.IFNA(IF(données_step[[#This Row],[E_NTOT]]&lt;=0,NA(),charge_entree[[#This Row],[ch_E_NTOT]]/constanten!$B$10*1000),"")</f>
        <v/>
      </c>
      <c r="BA186" s="523" t="str">
        <f>_xlfn.IFNA(IF(données_step[[#This Row],[E_NH4]]&lt;=0,NA(),charge_entree[[#This Row],[ch_E_NH4]]/constanten!$B$12*1000),"")</f>
        <v/>
      </c>
      <c r="BB186" s="523" t="str">
        <f>_xlfn.IFNA(IF(données_step[[#This Row],[E_COT]]&lt;=0,NA(),charge_entree[[#This Row],[ch_E_COT]]/constanten!$B$9*1000),"")</f>
        <v/>
      </c>
      <c r="BC186" s="523" t="str">
        <f>IFERROR(_xlfn.IFNA(IF(données_step[[#This Row],[E_PTOT]]&lt;=0,NA(),charge_entree[[#This Row],[ch_E_PTOT]]/constanten!$B$15*1000),""),"")</f>
        <v/>
      </c>
      <c r="BD186" s="535" t="e">
        <f>calculs!E186 * (1-0.4) / (données_step[[#This Row],[X_BA_VOL]]*données_step[[#This Row],[X_BACONC]])</f>
        <v>#VALUE!</v>
      </c>
      <c r="BE186" s="522" t="e">
        <f>(données_step[[#This Row],[X_BA_VOL]]*données_step[[#This Row],[X_BACONC]])/((données_step[[#This Row],[D_QTRAI2]]*données_step[[#This Row],[S_MES]]/1000)+(données_step[[#This Row],[X_BX_Q]]*données_step[[#This Row],[X_BXCONC]]))</f>
        <v>#VALUE!</v>
      </c>
      <c r="BF186" s="890" t="str">
        <f>IFERROR(données_step[[#This Row],[D_QTRAI]]/AY186*1000,"")</f>
        <v/>
      </c>
      <c r="BG186" s="535" t="str">
        <f>IFERROR(1-données_step[[#This Row],[S_DBO5]]/données_step[[#This Row],[E_DBO5]],"")</f>
        <v/>
      </c>
      <c r="BH186" s="536" t="str">
        <f>IFERROR(1-données_step[[#This Row],[S_DCO]]/données_step[[#This Row],[E_DCO]],"")</f>
        <v/>
      </c>
      <c r="BI186" s="535" t="str">
        <f>IFERROR(1-données_step[[#This Row],[S_COD]]/données_step[[#This Row],[E_COT]],"")</f>
        <v/>
      </c>
      <c r="BJ186" s="535" t="str">
        <f>IFERROR(1-données_step[[#This Row],[S_NH4]]/données_step[[#This Row],[E_NTOT]],"")</f>
        <v/>
      </c>
      <c r="BK186" s="535" t="str">
        <f>IFERROR(1-données_step[[#This Row],[S_PTOT]]/données_step[[#This Row],[E_PTOT]],"")</f>
        <v/>
      </c>
      <c r="BL186" s="521" t="str">
        <f>IFERROR(IF(données_step[[#This Row],[E_DCO]]/données_step[[#This Row],[E_DBO5]]=0,NA(),données_step[[#This Row],[E_DCO]]/données_step[[#This Row],[E_DBO5]]),"")</f>
        <v/>
      </c>
      <c r="BM186" s="521" t="str">
        <f>IFERROR(IF(données_step[[#This Row],[E_NH4]]/données_step[[#This Row],[E_NTOT]]=0,NA(),données_step[[#This Row],[E_NH4]]/données_step[[#This Row],[E_NTOT]]),"")</f>
        <v/>
      </c>
      <c r="BN186" s="521" t="str">
        <f>IFERROR(IF(données_step[[#This Row],[E_NTOT]]/données_step[[#This Row],[E_COT]]=0,NA(),données_step[[#This Row],[E_NTOT]]/données_step[[#This Row],[E_COT]]),"")</f>
        <v/>
      </c>
      <c r="BO186" s="521" t="str">
        <f>IFERROR(IF(données_step[[#This Row],[E_PTOT]]/données_step[[#This Row],[E_COT]]=0,NA(),données_step[[#This Row],[E_PTOT]]/données_step[[#This Row],[E_COT]]),"")</f>
        <v/>
      </c>
      <c r="BP186" s="521" t="e">
        <f>IF(données_step[[#This Row],[E_DCO]]/données_step[[#This Row],[E_COT]]=0,NA(),données_step[[#This Row],[E_DCO]]/données_step[[#This Row],[E_COT]])</f>
        <v>#DIV/0!</v>
      </c>
      <c r="BQ186" s="521" t="e">
        <f>IF(données_step[[#This Row],[E_NTOT]]/données_step[[#This Row],[E_DCO]]=0,NA(),données_step[[#This Row],[E_NTOT]]/données_step[[#This Row],[E_DCO]])</f>
        <v>#DIV/0!</v>
      </c>
      <c r="BR186" s="521" t="e">
        <f>IF(données_step[[#This Row],[E_PTOT]]/données_step[[#This Row],[E_DCO]]=0,NA(),données_step[[#This Row],[E_PTOT]]/données_step[[#This Row],[E_DCO]])</f>
        <v>#DIV/0!</v>
      </c>
      <c r="BS186" s="747" t="e">
        <f ca="1">test_NH4_temp(données_step[[#This Row],[S_NH4]],données_step[[#This Row],[Temp_eaux]])</f>
        <v>#NAME?</v>
      </c>
    </row>
    <row r="187" spans="1:71" x14ac:dyDescent="0.2">
      <c r="A187" s="222">
        <f>données_step[[#This Row],[Datum]]</f>
        <v>44738</v>
      </c>
      <c r="B187" s="223"/>
      <c r="C187" s="224">
        <f t="shared" si="49"/>
        <v>1</v>
      </c>
      <c r="D187" s="523" t="str">
        <f>IF(OR(données_step[[#This Row],[E_DBO5]]&lt;=0,données_step[[#This Row],[E_DBO5]]=""),"",données_step[[#This Row],[D_QTRAI]]*données_step[[#This Row],[E_DBO5]]/1000)</f>
        <v/>
      </c>
      <c r="E187" s="523" t="str">
        <f>IF(OR(données_step[[#This Row],[E_DCO]]&lt;=0,données_step[[#This Row],[E_DCO]]=""),"",données_step[[#This Row],[D_QTRAI]]*données_step[[#This Row],[E_DCO]]/1000)</f>
        <v/>
      </c>
      <c r="F187" s="523" t="str">
        <f>IF(OR(données_step[[#This Row],[E_COT]]&lt;=0,données_step[[#This Row],[E_COT]]=""),"",données_step[[#This Row],[D_QTRAI]]*données_step[[#This Row],[E_COT]]/1000)</f>
        <v/>
      </c>
      <c r="G187" s="523" t="str">
        <f>IF(OR(données_step[[#This Row],[E_NH4]]&lt;=0,données_step[[#This Row],[E_NH4]]=""),"",données_step[[#This Row],[D_QTRAI]]*données_step[[#This Row],[E_NH4]]/1000)</f>
        <v/>
      </c>
      <c r="H187" s="523" t="str">
        <f>IF(OR(données_step[[#This Row],[E_NTOT]]&lt;=0,données_step[[#This Row],[E_NTOT]]=""),"",données_step[[#This Row],[D_QTRAI]]*données_step[[#This Row],[E_NTOT]]/1000)</f>
        <v/>
      </c>
      <c r="I187" s="523" t="str">
        <f>IF(OR(données_step[[#This Row],[E_NTOT]]&lt;=0,données_step[[#This Row],[E_NTOT]]=""),"",données_step[[#This Row],[D_QTRAI]]*données_step[[#This Row],[E_PTOT]]/1000)</f>
        <v/>
      </c>
      <c r="J187" s="523" t="str">
        <f>IF(OR(données_step[[#This Row],[S_DBO5]]&lt;=0,données_step[[#This Row],[S_DBO5]]=""),"",données_step[[#This Row],[D_QTRAI]]*données_step[[#This Row],[S_DBO5]]/1000)</f>
        <v/>
      </c>
      <c r="K187" s="523" t="str">
        <f>IF(OR(données_step[[#This Row],[S_DCO]]&lt;=0,données_step[[#This Row],[S_DCO]]=""),"",données_step[[#This Row],[D_QTRAI]]*données_step[[#This Row],[S_DCO]]/1000)</f>
        <v/>
      </c>
      <c r="L187" s="523" t="str">
        <f>IF(OR(données_step[[#This Row],[S_COD]]&lt;=0,données_step[[#This Row],[S_COD]]=""),"",données_step[[#This Row],[D_QTRAI]]*données_step[[#This Row],[S_COD]]/1000)</f>
        <v/>
      </c>
      <c r="M187" s="523" t="str">
        <f>IF(OR(données_step[[#This Row],[S_NH4]]&lt;=0,données_step[[#This Row],[S_NH4]]=""),"",données_step[[#This Row],[D_QTRAI]]*données_step[[#This Row],[S_NH4]]/1000)</f>
        <v/>
      </c>
      <c r="N187" s="523" t="str">
        <f>IF(OR(données_step[[#This Row],[S_NO2]]&lt;=0,données_step[[#This Row],[S_NO2]]=""),"",données_step[[#This Row],[D_QTRAI]]*données_step[[#This Row],[S_NO2]]/1000)</f>
        <v/>
      </c>
      <c r="O187" s="523" t="str">
        <f>IF(OR(données_step[[#This Row],[S_NO3]]&lt;=0,données_step[[#This Row],[S_NO3]]=""),"",données_step[[#This Row],[D_QTRAI]]*données_step[[#This Row],[S_NO3]]/1000)</f>
        <v/>
      </c>
      <c r="P187" s="523" t="str">
        <f>IF(OR(données_step[[#This Row],[S_PTOT]]&lt;=0,données_step[[#This Row],[S_PTOT]]=""),"",données_step[[#This Row],[D_QTRAI]]*données_step[[#This Row],[S_PTOT]]/1000)</f>
        <v/>
      </c>
      <c r="Q187" s="523" t="str">
        <f>IF(OR(données_step[[#This Row],[S_MES]]&lt;=0,données_step[[#This Row],[S_MES]]=""),"",données_step[[#This Row],[D_QTRAI]]*données_step[[#This Row],[S_MES]]/1000)</f>
        <v/>
      </c>
      <c r="R187" s="523">
        <f>MAX(données_step[[#This Row],[D_QTRAI]],données_step[[#This Row],[D_QTRAI2]])</f>
        <v>0</v>
      </c>
      <c r="S187" s="523" t="str">
        <f>IF(AND($R187&gt;0,données_step[[#This Row],[E_DCO]]&gt;0),données_step[[#This Row],[E_DCO]],"")</f>
        <v/>
      </c>
      <c r="T187" s="523" t="str">
        <f>IF(S187="","",(1-données_step[[#This Row],[E_DCO]]/$V$7)*100)</f>
        <v/>
      </c>
      <c r="U187" s="523" t="str">
        <f t="shared" si="35"/>
        <v/>
      </c>
      <c r="V187" s="523" t="str">
        <f t="shared" si="36"/>
        <v/>
      </c>
      <c r="W187" s="523" t="str">
        <f t="shared" si="37"/>
        <v/>
      </c>
      <c r="X187" s="523" t="e">
        <f>IF(((100-100/$V$7*données_step[[#This Row],[E_DCO]])/100*QTS)&lt;0,NA(),IF(OR(U187&lt;0,U187=""),NA(),((100-100/$V$7*données_step[[#This Row],[E_DCO]])/100*QTS)))</f>
        <v>#NUM!</v>
      </c>
      <c r="Y187" s="523" t="str">
        <f>IF(AND($R187&gt;0,données_step[[#This Row],[E_COT]]&gt;0),données_step[[#This Row],[E_COT]],"")</f>
        <v/>
      </c>
      <c r="Z187" s="523" t="str">
        <f>IF(Y187="","",(1-données_step[[#This Row],[E_COT]]/$AB$7)*100)</f>
        <v/>
      </c>
      <c r="AA187" s="523" t="str">
        <f t="shared" si="38"/>
        <v/>
      </c>
      <c r="AB187" s="523" t="str">
        <f t="shared" si="39"/>
        <v/>
      </c>
      <c r="AC187" s="523" t="str">
        <f t="shared" si="40"/>
        <v/>
      </c>
      <c r="AD187" s="523" t="e">
        <f>IF(((100-100/$AB$7*données_step[[#This Row],[E_COT]])/100*QTS)&lt;0,NA(),IF(OR(AA187&lt;0,AA187=""),NA(),((100-100/$AB$7*données_step[[#This Row],[E_COT]])/100*QTS)))</f>
        <v>#NUM!</v>
      </c>
      <c r="AE187" s="523" t="str">
        <f>IF(AND($R187&gt;0,données_step[[#This Row],[E_NH4]]&gt;0),données_step[[#This Row],[E_NH4]],"")</f>
        <v/>
      </c>
      <c r="AF187" s="523" t="str">
        <f>IF(AE187="","",(1-données_step[[#This Row],[E_NH4]]/$AH$7)*100)</f>
        <v/>
      </c>
      <c r="AG187" s="523" t="str">
        <f t="shared" si="41"/>
        <v/>
      </c>
      <c r="AH187" s="523" t="str">
        <f t="shared" si="42"/>
        <v/>
      </c>
      <c r="AI187" s="523" t="str">
        <f t="shared" si="43"/>
        <v/>
      </c>
      <c r="AJ187" s="523" t="e">
        <f>IF(((100-100/$AH$7*données_step[[#This Row],[E_NH4]])/100*QTS)&lt;0,NA(),IF(OR(AG187&lt;0,AG187=""),NA(),((100-100/$AH$7*données_step[[#This Row],[E_NH4]])/100*QTS)))</f>
        <v>#NUM!</v>
      </c>
      <c r="AK187" s="523" t="str">
        <f>IF(AND($R187&gt;0,données_step[[#This Row],[E_PTOT]]&gt;0),données_step[[#This Row],[E_PTOT]],"")</f>
        <v/>
      </c>
      <c r="AL187" s="523" t="str">
        <f>IF(AK187="","",(1-données_step[[#This Row],[E_PTOT]]/$AN$7)*100)</f>
        <v/>
      </c>
      <c r="AM187" s="523" t="str">
        <f t="shared" si="44"/>
        <v/>
      </c>
      <c r="AN187" s="523" t="str">
        <f t="shared" si="45"/>
        <v/>
      </c>
      <c r="AO187" s="523" t="str">
        <f t="shared" si="46"/>
        <v/>
      </c>
      <c r="AP187" s="523" t="e">
        <f>IF(((100-100/$AN$7*données_step[[#This Row],[E_PTOT]])/100*QTS)&lt;0,NA(),IF(OR(AM187&lt;0,AM187=""),NA(),((100-100/$AN$7*données_step[[#This Row],[E_PTOT]])/100*QTS)))</f>
        <v>#NUM!</v>
      </c>
      <c r="AQ187" s="524" t="e">
        <f t="shared" si="47"/>
        <v>#NUM!</v>
      </c>
      <c r="AR187" s="524" t="str">
        <f t="shared" si="48"/>
        <v/>
      </c>
      <c r="AY187" s="523" t="str">
        <f>_xlfn.IFNA(IF(données_step[[#This Row],[E_DCO]]&lt;=0,NA(),charge_entree[[#This Row],[ch_E_DCO]]/constanten!$B$8*1000),"")</f>
        <v/>
      </c>
      <c r="AZ187" s="523" t="str">
        <f>_xlfn.IFNA(IF(données_step[[#This Row],[E_NTOT]]&lt;=0,NA(),charge_entree[[#This Row],[ch_E_NTOT]]/constanten!$B$10*1000),"")</f>
        <v/>
      </c>
      <c r="BA187" s="523" t="str">
        <f>_xlfn.IFNA(IF(données_step[[#This Row],[E_NH4]]&lt;=0,NA(),charge_entree[[#This Row],[ch_E_NH4]]/constanten!$B$12*1000),"")</f>
        <v/>
      </c>
      <c r="BB187" s="523" t="str">
        <f>_xlfn.IFNA(IF(données_step[[#This Row],[E_COT]]&lt;=0,NA(),charge_entree[[#This Row],[ch_E_COT]]/constanten!$B$9*1000),"")</f>
        <v/>
      </c>
      <c r="BC187" s="523" t="str">
        <f>IFERROR(_xlfn.IFNA(IF(données_step[[#This Row],[E_PTOT]]&lt;=0,NA(),charge_entree[[#This Row],[ch_E_PTOT]]/constanten!$B$15*1000),""),"")</f>
        <v/>
      </c>
      <c r="BD187" s="535" t="e">
        <f>calculs!E187 * (1-0.4) / (données_step[[#This Row],[X_BA_VOL]]*données_step[[#This Row],[X_BACONC]])</f>
        <v>#VALUE!</v>
      </c>
      <c r="BE187" s="522" t="e">
        <f>(données_step[[#This Row],[X_BA_VOL]]*données_step[[#This Row],[X_BACONC]])/((données_step[[#This Row],[D_QTRAI2]]*données_step[[#This Row],[S_MES]]/1000)+(données_step[[#This Row],[X_BX_Q]]*données_step[[#This Row],[X_BXCONC]]))</f>
        <v>#VALUE!</v>
      </c>
      <c r="BF187" s="890" t="str">
        <f>IFERROR(données_step[[#This Row],[D_QTRAI]]/AY187*1000,"")</f>
        <v/>
      </c>
      <c r="BG187" s="535" t="str">
        <f>IFERROR(1-données_step[[#This Row],[S_DBO5]]/données_step[[#This Row],[E_DBO5]],"")</f>
        <v/>
      </c>
      <c r="BH187" s="536" t="str">
        <f>IFERROR(1-données_step[[#This Row],[S_DCO]]/données_step[[#This Row],[E_DCO]],"")</f>
        <v/>
      </c>
      <c r="BI187" s="535" t="str">
        <f>IFERROR(1-données_step[[#This Row],[S_COD]]/données_step[[#This Row],[E_COT]],"")</f>
        <v/>
      </c>
      <c r="BJ187" s="535" t="str">
        <f>IFERROR(1-données_step[[#This Row],[S_NH4]]/données_step[[#This Row],[E_NTOT]],"")</f>
        <v/>
      </c>
      <c r="BK187" s="535" t="str">
        <f>IFERROR(1-données_step[[#This Row],[S_PTOT]]/données_step[[#This Row],[E_PTOT]],"")</f>
        <v/>
      </c>
      <c r="BL187" s="521" t="str">
        <f>IFERROR(IF(données_step[[#This Row],[E_DCO]]/données_step[[#This Row],[E_DBO5]]=0,NA(),données_step[[#This Row],[E_DCO]]/données_step[[#This Row],[E_DBO5]]),"")</f>
        <v/>
      </c>
      <c r="BM187" s="521" t="str">
        <f>IFERROR(IF(données_step[[#This Row],[E_NH4]]/données_step[[#This Row],[E_NTOT]]=0,NA(),données_step[[#This Row],[E_NH4]]/données_step[[#This Row],[E_NTOT]]),"")</f>
        <v/>
      </c>
      <c r="BN187" s="521" t="str">
        <f>IFERROR(IF(données_step[[#This Row],[E_NTOT]]/données_step[[#This Row],[E_COT]]=0,NA(),données_step[[#This Row],[E_NTOT]]/données_step[[#This Row],[E_COT]]),"")</f>
        <v/>
      </c>
      <c r="BO187" s="521" t="str">
        <f>IFERROR(IF(données_step[[#This Row],[E_PTOT]]/données_step[[#This Row],[E_COT]]=0,NA(),données_step[[#This Row],[E_PTOT]]/données_step[[#This Row],[E_COT]]),"")</f>
        <v/>
      </c>
      <c r="BP187" s="521" t="e">
        <f>IF(données_step[[#This Row],[E_DCO]]/données_step[[#This Row],[E_COT]]=0,NA(),données_step[[#This Row],[E_DCO]]/données_step[[#This Row],[E_COT]])</f>
        <v>#DIV/0!</v>
      </c>
      <c r="BQ187" s="521" t="e">
        <f>IF(données_step[[#This Row],[E_NTOT]]/données_step[[#This Row],[E_DCO]]=0,NA(),données_step[[#This Row],[E_NTOT]]/données_step[[#This Row],[E_DCO]])</f>
        <v>#DIV/0!</v>
      </c>
      <c r="BR187" s="521" t="e">
        <f>IF(données_step[[#This Row],[E_PTOT]]/données_step[[#This Row],[E_DCO]]=0,NA(),données_step[[#This Row],[E_PTOT]]/données_step[[#This Row],[E_DCO]])</f>
        <v>#DIV/0!</v>
      </c>
      <c r="BS187" s="747" t="e">
        <f ca="1">test_NH4_temp(données_step[[#This Row],[S_NH4]],données_step[[#This Row],[Temp_eaux]])</f>
        <v>#NAME?</v>
      </c>
    </row>
    <row r="188" spans="1:71" x14ac:dyDescent="0.2">
      <c r="A188" s="222">
        <f>données_step[[#This Row],[Datum]]</f>
        <v>44739</v>
      </c>
      <c r="B188" s="223"/>
      <c r="C188" s="224">
        <f t="shared" si="49"/>
        <v>2</v>
      </c>
      <c r="D188" s="523" t="str">
        <f>IF(OR(données_step[[#This Row],[E_DBO5]]&lt;=0,données_step[[#This Row],[E_DBO5]]=""),"",données_step[[#This Row],[D_QTRAI]]*données_step[[#This Row],[E_DBO5]]/1000)</f>
        <v/>
      </c>
      <c r="E188" s="523" t="str">
        <f>IF(OR(données_step[[#This Row],[E_DCO]]&lt;=0,données_step[[#This Row],[E_DCO]]=""),"",données_step[[#This Row],[D_QTRAI]]*données_step[[#This Row],[E_DCO]]/1000)</f>
        <v/>
      </c>
      <c r="F188" s="523" t="str">
        <f>IF(OR(données_step[[#This Row],[E_COT]]&lt;=0,données_step[[#This Row],[E_COT]]=""),"",données_step[[#This Row],[D_QTRAI]]*données_step[[#This Row],[E_COT]]/1000)</f>
        <v/>
      </c>
      <c r="G188" s="523" t="str">
        <f>IF(OR(données_step[[#This Row],[E_NH4]]&lt;=0,données_step[[#This Row],[E_NH4]]=""),"",données_step[[#This Row],[D_QTRAI]]*données_step[[#This Row],[E_NH4]]/1000)</f>
        <v/>
      </c>
      <c r="H188" s="523" t="str">
        <f>IF(OR(données_step[[#This Row],[E_NTOT]]&lt;=0,données_step[[#This Row],[E_NTOT]]=""),"",données_step[[#This Row],[D_QTRAI]]*données_step[[#This Row],[E_NTOT]]/1000)</f>
        <v/>
      </c>
      <c r="I188" s="523" t="str">
        <f>IF(OR(données_step[[#This Row],[E_NTOT]]&lt;=0,données_step[[#This Row],[E_NTOT]]=""),"",données_step[[#This Row],[D_QTRAI]]*données_step[[#This Row],[E_PTOT]]/1000)</f>
        <v/>
      </c>
      <c r="J188" s="523" t="str">
        <f>IF(OR(données_step[[#This Row],[S_DBO5]]&lt;=0,données_step[[#This Row],[S_DBO5]]=""),"",données_step[[#This Row],[D_QTRAI]]*données_step[[#This Row],[S_DBO5]]/1000)</f>
        <v/>
      </c>
      <c r="K188" s="523" t="str">
        <f>IF(OR(données_step[[#This Row],[S_DCO]]&lt;=0,données_step[[#This Row],[S_DCO]]=""),"",données_step[[#This Row],[D_QTRAI]]*données_step[[#This Row],[S_DCO]]/1000)</f>
        <v/>
      </c>
      <c r="L188" s="523" t="str">
        <f>IF(OR(données_step[[#This Row],[S_COD]]&lt;=0,données_step[[#This Row],[S_COD]]=""),"",données_step[[#This Row],[D_QTRAI]]*données_step[[#This Row],[S_COD]]/1000)</f>
        <v/>
      </c>
      <c r="M188" s="523" t="str">
        <f>IF(OR(données_step[[#This Row],[S_NH4]]&lt;=0,données_step[[#This Row],[S_NH4]]=""),"",données_step[[#This Row],[D_QTRAI]]*données_step[[#This Row],[S_NH4]]/1000)</f>
        <v/>
      </c>
      <c r="N188" s="523" t="str">
        <f>IF(OR(données_step[[#This Row],[S_NO2]]&lt;=0,données_step[[#This Row],[S_NO2]]=""),"",données_step[[#This Row],[D_QTRAI]]*données_step[[#This Row],[S_NO2]]/1000)</f>
        <v/>
      </c>
      <c r="O188" s="523" t="str">
        <f>IF(OR(données_step[[#This Row],[S_NO3]]&lt;=0,données_step[[#This Row],[S_NO3]]=""),"",données_step[[#This Row],[D_QTRAI]]*données_step[[#This Row],[S_NO3]]/1000)</f>
        <v/>
      </c>
      <c r="P188" s="523" t="str">
        <f>IF(OR(données_step[[#This Row],[S_PTOT]]&lt;=0,données_step[[#This Row],[S_PTOT]]=""),"",données_step[[#This Row],[D_QTRAI]]*données_step[[#This Row],[S_PTOT]]/1000)</f>
        <v/>
      </c>
      <c r="Q188" s="523" t="str">
        <f>IF(OR(données_step[[#This Row],[S_MES]]&lt;=0,données_step[[#This Row],[S_MES]]=""),"",données_step[[#This Row],[D_QTRAI]]*données_step[[#This Row],[S_MES]]/1000)</f>
        <v/>
      </c>
      <c r="R188" s="523">
        <f>MAX(données_step[[#This Row],[D_QTRAI]],données_step[[#This Row],[D_QTRAI2]])</f>
        <v>0</v>
      </c>
      <c r="S188" s="523" t="str">
        <f>IF(AND($R188&gt;0,données_step[[#This Row],[E_DCO]]&gt;0),données_step[[#This Row],[E_DCO]],"")</f>
        <v/>
      </c>
      <c r="T188" s="523" t="str">
        <f>IF(S188="","",(1-données_step[[#This Row],[E_DCO]]/$V$7)*100)</f>
        <v/>
      </c>
      <c r="U188" s="523" t="str">
        <f t="shared" si="35"/>
        <v/>
      </c>
      <c r="V188" s="523" t="str">
        <f t="shared" si="36"/>
        <v/>
      </c>
      <c r="W188" s="523" t="str">
        <f t="shared" si="37"/>
        <v/>
      </c>
      <c r="X188" s="523" t="e">
        <f>IF(((100-100/$V$7*données_step[[#This Row],[E_DCO]])/100*QTS)&lt;0,NA(),IF(OR(U188&lt;0,U188=""),NA(),((100-100/$V$7*données_step[[#This Row],[E_DCO]])/100*QTS)))</f>
        <v>#NUM!</v>
      </c>
      <c r="Y188" s="523" t="str">
        <f>IF(AND($R188&gt;0,données_step[[#This Row],[E_COT]]&gt;0),données_step[[#This Row],[E_COT]],"")</f>
        <v/>
      </c>
      <c r="Z188" s="523" t="str">
        <f>IF(Y188="","",(1-données_step[[#This Row],[E_COT]]/$AB$7)*100)</f>
        <v/>
      </c>
      <c r="AA188" s="523" t="str">
        <f t="shared" si="38"/>
        <v/>
      </c>
      <c r="AB188" s="523" t="str">
        <f t="shared" si="39"/>
        <v/>
      </c>
      <c r="AC188" s="523" t="str">
        <f t="shared" si="40"/>
        <v/>
      </c>
      <c r="AD188" s="523" t="e">
        <f>IF(((100-100/$AB$7*données_step[[#This Row],[E_COT]])/100*QTS)&lt;0,NA(),IF(OR(AA188&lt;0,AA188=""),NA(),((100-100/$AB$7*données_step[[#This Row],[E_COT]])/100*QTS)))</f>
        <v>#NUM!</v>
      </c>
      <c r="AE188" s="523" t="str">
        <f>IF(AND($R188&gt;0,données_step[[#This Row],[E_NH4]]&gt;0),données_step[[#This Row],[E_NH4]],"")</f>
        <v/>
      </c>
      <c r="AF188" s="523" t="str">
        <f>IF(AE188="","",(1-données_step[[#This Row],[E_NH4]]/$AH$7)*100)</f>
        <v/>
      </c>
      <c r="AG188" s="523" t="str">
        <f t="shared" si="41"/>
        <v/>
      </c>
      <c r="AH188" s="523" t="str">
        <f t="shared" si="42"/>
        <v/>
      </c>
      <c r="AI188" s="523" t="str">
        <f t="shared" si="43"/>
        <v/>
      </c>
      <c r="AJ188" s="523" t="e">
        <f>IF(((100-100/$AH$7*données_step[[#This Row],[E_NH4]])/100*QTS)&lt;0,NA(),IF(OR(AG188&lt;0,AG188=""),NA(),((100-100/$AH$7*données_step[[#This Row],[E_NH4]])/100*QTS)))</f>
        <v>#NUM!</v>
      </c>
      <c r="AK188" s="523" t="str">
        <f>IF(AND($R188&gt;0,données_step[[#This Row],[E_PTOT]]&gt;0),données_step[[#This Row],[E_PTOT]],"")</f>
        <v/>
      </c>
      <c r="AL188" s="523" t="str">
        <f>IF(AK188="","",(1-données_step[[#This Row],[E_PTOT]]/$AN$7)*100)</f>
        <v/>
      </c>
      <c r="AM188" s="523" t="str">
        <f t="shared" si="44"/>
        <v/>
      </c>
      <c r="AN188" s="523" t="str">
        <f t="shared" si="45"/>
        <v/>
      </c>
      <c r="AO188" s="523" t="str">
        <f t="shared" si="46"/>
        <v/>
      </c>
      <c r="AP188" s="523" t="e">
        <f>IF(((100-100/$AN$7*données_step[[#This Row],[E_PTOT]])/100*QTS)&lt;0,NA(),IF(OR(AM188&lt;0,AM188=""),NA(),((100-100/$AN$7*données_step[[#This Row],[E_PTOT]])/100*QTS)))</f>
        <v>#NUM!</v>
      </c>
      <c r="AQ188" s="524" t="e">
        <f t="shared" si="47"/>
        <v>#NUM!</v>
      </c>
      <c r="AR188" s="524" t="str">
        <f t="shared" si="48"/>
        <v/>
      </c>
      <c r="AY188" s="523" t="str">
        <f>_xlfn.IFNA(IF(données_step[[#This Row],[E_DCO]]&lt;=0,NA(),charge_entree[[#This Row],[ch_E_DCO]]/constanten!$B$8*1000),"")</f>
        <v/>
      </c>
      <c r="AZ188" s="523" t="str">
        <f>_xlfn.IFNA(IF(données_step[[#This Row],[E_NTOT]]&lt;=0,NA(),charge_entree[[#This Row],[ch_E_NTOT]]/constanten!$B$10*1000),"")</f>
        <v/>
      </c>
      <c r="BA188" s="523" t="str">
        <f>_xlfn.IFNA(IF(données_step[[#This Row],[E_NH4]]&lt;=0,NA(),charge_entree[[#This Row],[ch_E_NH4]]/constanten!$B$12*1000),"")</f>
        <v/>
      </c>
      <c r="BB188" s="523" t="str">
        <f>_xlfn.IFNA(IF(données_step[[#This Row],[E_COT]]&lt;=0,NA(),charge_entree[[#This Row],[ch_E_COT]]/constanten!$B$9*1000),"")</f>
        <v/>
      </c>
      <c r="BC188" s="523" t="str">
        <f>IFERROR(_xlfn.IFNA(IF(données_step[[#This Row],[E_PTOT]]&lt;=0,NA(),charge_entree[[#This Row],[ch_E_PTOT]]/constanten!$B$15*1000),""),"")</f>
        <v/>
      </c>
      <c r="BD188" s="535" t="e">
        <f>calculs!E188 * (1-0.4) / (données_step[[#This Row],[X_BA_VOL]]*données_step[[#This Row],[X_BACONC]])</f>
        <v>#VALUE!</v>
      </c>
      <c r="BE188" s="522" t="e">
        <f>(données_step[[#This Row],[X_BA_VOL]]*données_step[[#This Row],[X_BACONC]])/((données_step[[#This Row],[D_QTRAI2]]*données_step[[#This Row],[S_MES]]/1000)+(données_step[[#This Row],[X_BX_Q]]*données_step[[#This Row],[X_BXCONC]]))</f>
        <v>#VALUE!</v>
      </c>
      <c r="BF188" s="890" t="str">
        <f>IFERROR(données_step[[#This Row],[D_QTRAI]]/AY188*1000,"")</f>
        <v/>
      </c>
      <c r="BG188" s="535" t="str">
        <f>IFERROR(1-données_step[[#This Row],[S_DBO5]]/données_step[[#This Row],[E_DBO5]],"")</f>
        <v/>
      </c>
      <c r="BH188" s="536" t="str">
        <f>IFERROR(1-données_step[[#This Row],[S_DCO]]/données_step[[#This Row],[E_DCO]],"")</f>
        <v/>
      </c>
      <c r="BI188" s="535" t="str">
        <f>IFERROR(1-données_step[[#This Row],[S_COD]]/données_step[[#This Row],[E_COT]],"")</f>
        <v/>
      </c>
      <c r="BJ188" s="535" t="str">
        <f>IFERROR(1-données_step[[#This Row],[S_NH4]]/données_step[[#This Row],[E_NTOT]],"")</f>
        <v/>
      </c>
      <c r="BK188" s="535" t="str">
        <f>IFERROR(1-données_step[[#This Row],[S_PTOT]]/données_step[[#This Row],[E_PTOT]],"")</f>
        <v/>
      </c>
      <c r="BL188" s="521" t="str">
        <f>IFERROR(IF(données_step[[#This Row],[E_DCO]]/données_step[[#This Row],[E_DBO5]]=0,NA(),données_step[[#This Row],[E_DCO]]/données_step[[#This Row],[E_DBO5]]),"")</f>
        <v/>
      </c>
      <c r="BM188" s="521" t="str">
        <f>IFERROR(IF(données_step[[#This Row],[E_NH4]]/données_step[[#This Row],[E_NTOT]]=0,NA(),données_step[[#This Row],[E_NH4]]/données_step[[#This Row],[E_NTOT]]),"")</f>
        <v/>
      </c>
      <c r="BN188" s="521" t="str">
        <f>IFERROR(IF(données_step[[#This Row],[E_NTOT]]/données_step[[#This Row],[E_COT]]=0,NA(),données_step[[#This Row],[E_NTOT]]/données_step[[#This Row],[E_COT]]),"")</f>
        <v/>
      </c>
      <c r="BO188" s="521" t="str">
        <f>IFERROR(IF(données_step[[#This Row],[E_PTOT]]/données_step[[#This Row],[E_COT]]=0,NA(),données_step[[#This Row],[E_PTOT]]/données_step[[#This Row],[E_COT]]),"")</f>
        <v/>
      </c>
      <c r="BP188" s="521" t="e">
        <f>IF(données_step[[#This Row],[E_DCO]]/données_step[[#This Row],[E_COT]]=0,NA(),données_step[[#This Row],[E_DCO]]/données_step[[#This Row],[E_COT]])</f>
        <v>#DIV/0!</v>
      </c>
      <c r="BQ188" s="521" t="e">
        <f>IF(données_step[[#This Row],[E_NTOT]]/données_step[[#This Row],[E_DCO]]=0,NA(),données_step[[#This Row],[E_NTOT]]/données_step[[#This Row],[E_DCO]])</f>
        <v>#DIV/0!</v>
      </c>
      <c r="BR188" s="521" t="e">
        <f>IF(données_step[[#This Row],[E_PTOT]]/données_step[[#This Row],[E_DCO]]=0,NA(),données_step[[#This Row],[E_PTOT]]/données_step[[#This Row],[E_DCO]])</f>
        <v>#DIV/0!</v>
      </c>
      <c r="BS188" s="747" t="e">
        <f ca="1">test_NH4_temp(données_step[[#This Row],[S_NH4]],données_step[[#This Row],[Temp_eaux]])</f>
        <v>#NAME?</v>
      </c>
    </row>
    <row r="189" spans="1:71" x14ac:dyDescent="0.2">
      <c r="A189" s="222">
        <f>données_step[[#This Row],[Datum]]</f>
        <v>44740</v>
      </c>
      <c r="B189" s="223"/>
      <c r="C189" s="224">
        <f t="shared" si="49"/>
        <v>3</v>
      </c>
      <c r="D189" s="523" t="str">
        <f>IF(OR(données_step[[#This Row],[E_DBO5]]&lt;=0,données_step[[#This Row],[E_DBO5]]=""),"",données_step[[#This Row],[D_QTRAI]]*données_step[[#This Row],[E_DBO5]]/1000)</f>
        <v/>
      </c>
      <c r="E189" s="523" t="str">
        <f>IF(OR(données_step[[#This Row],[E_DCO]]&lt;=0,données_step[[#This Row],[E_DCO]]=""),"",données_step[[#This Row],[D_QTRAI]]*données_step[[#This Row],[E_DCO]]/1000)</f>
        <v/>
      </c>
      <c r="F189" s="523" t="str">
        <f>IF(OR(données_step[[#This Row],[E_COT]]&lt;=0,données_step[[#This Row],[E_COT]]=""),"",données_step[[#This Row],[D_QTRAI]]*données_step[[#This Row],[E_COT]]/1000)</f>
        <v/>
      </c>
      <c r="G189" s="523" t="str">
        <f>IF(OR(données_step[[#This Row],[E_NH4]]&lt;=0,données_step[[#This Row],[E_NH4]]=""),"",données_step[[#This Row],[D_QTRAI]]*données_step[[#This Row],[E_NH4]]/1000)</f>
        <v/>
      </c>
      <c r="H189" s="523" t="str">
        <f>IF(OR(données_step[[#This Row],[E_NTOT]]&lt;=0,données_step[[#This Row],[E_NTOT]]=""),"",données_step[[#This Row],[D_QTRAI]]*données_step[[#This Row],[E_NTOT]]/1000)</f>
        <v/>
      </c>
      <c r="I189" s="523" t="str">
        <f>IF(OR(données_step[[#This Row],[E_NTOT]]&lt;=0,données_step[[#This Row],[E_NTOT]]=""),"",données_step[[#This Row],[D_QTRAI]]*données_step[[#This Row],[E_PTOT]]/1000)</f>
        <v/>
      </c>
      <c r="J189" s="523" t="str">
        <f>IF(OR(données_step[[#This Row],[S_DBO5]]&lt;=0,données_step[[#This Row],[S_DBO5]]=""),"",données_step[[#This Row],[D_QTRAI]]*données_step[[#This Row],[S_DBO5]]/1000)</f>
        <v/>
      </c>
      <c r="K189" s="523" t="str">
        <f>IF(OR(données_step[[#This Row],[S_DCO]]&lt;=0,données_step[[#This Row],[S_DCO]]=""),"",données_step[[#This Row],[D_QTRAI]]*données_step[[#This Row],[S_DCO]]/1000)</f>
        <v/>
      </c>
      <c r="L189" s="523" t="str">
        <f>IF(OR(données_step[[#This Row],[S_COD]]&lt;=0,données_step[[#This Row],[S_COD]]=""),"",données_step[[#This Row],[D_QTRAI]]*données_step[[#This Row],[S_COD]]/1000)</f>
        <v/>
      </c>
      <c r="M189" s="523" t="str">
        <f>IF(OR(données_step[[#This Row],[S_NH4]]&lt;=0,données_step[[#This Row],[S_NH4]]=""),"",données_step[[#This Row],[D_QTRAI]]*données_step[[#This Row],[S_NH4]]/1000)</f>
        <v/>
      </c>
      <c r="N189" s="523" t="str">
        <f>IF(OR(données_step[[#This Row],[S_NO2]]&lt;=0,données_step[[#This Row],[S_NO2]]=""),"",données_step[[#This Row],[D_QTRAI]]*données_step[[#This Row],[S_NO2]]/1000)</f>
        <v/>
      </c>
      <c r="O189" s="523" t="str">
        <f>IF(OR(données_step[[#This Row],[S_NO3]]&lt;=0,données_step[[#This Row],[S_NO3]]=""),"",données_step[[#This Row],[D_QTRAI]]*données_step[[#This Row],[S_NO3]]/1000)</f>
        <v/>
      </c>
      <c r="P189" s="523" t="str">
        <f>IF(OR(données_step[[#This Row],[S_PTOT]]&lt;=0,données_step[[#This Row],[S_PTOT]]=""),"",données_step[[#This Row],[D_QTRAI]]*données_step[[#This Row],[S_PTOT]]/1000)</f>
        <v/>
      </c>
      <c r="Q189" s="523" t="str">
        <f>IF(OR(données_step[[#This Row],[S_MES]]&lt;=0,données_step[[#This Row],[S_MES]]=""),"",données_step[[#This Row],[D_QTRAI]]*données_step[[#This Row],[S_MES]]/1000)</f>
        <v/>
      </c>
      <c r="R189" s="523">
        <f>MAX(données_step[[#This Row],[D_QTRAI]],données_step[[#This Row],[D_QTRAI2]])</f>
        <v>0</v>
      </c>
      <c r="S189" s="523" t="str">
        <f>IF(AND($R189&gt;0,données_step[[#This Row],[E_DCO]]&gt;0),données_step[[#This Row],[E_DCO]],"")</f>
        <v/>
      </c>
      <c r="T189" s="523" t="str">
        <f>IF(S189="","",(1-données_step[[#This Row],[E_DCO]]/$V$7)*100)</f>
        <v/>
      </c>
      <c r="U189" s="523" t="str">
        <f t="shared" si="35"/>
        <v/>
      </c>
      <c r="V189" s="523" t="str">
        <f t="shared" si="36"/>
        <v/>
      </c>
      <c r="W189" s="523" t="str">
        <f t="shared" si="37"/>
        <v/>
      </c>
      <c r="X189" s="523" t="e">
        <f>IF(((100-100/$V$7*données_step[[#This Row],[E_DCO]])/100*QTS)&lt;0,NA(),IF(OR(U189&lt;0,U189=""),NA(),((100-100/$V$7*données_step[[#This Row],[E_DCO]])/100*QTS)))</f>
        <v>#NUM!</v>
      </c>
      <c r="Y189" s="523" t="str">
        <f>IF(AND($R189&gt;0,données_step[[#This Row],[E_COT]]&gt;0),données_step[[#This Row],[E_COT]],"")</f>
        <v/>
      </c>
      <c r="Z189" s="523" t="str">
        <f>IF(Y189="","",(1-données_step[[#This Row],[E_COT]]/$AB$7)*100)</f>
        <v/>
      </c>
      <c r="AA189" s="523" t="str">
        <f t="shared" si="38"/>
        <v/>
      </c>
      <c r="AB189" s="523" t="str">
        <f t="shared" si="39"/>
        <v/>
      </c>
      <c r="AC189" s="523" t="str">
        <f t="shared" si="40"/>
        <v/>
      </c>
      <c r="AD189" s="523" t="e">
        <f>IF(((100-100/$AB$7*données_step[[#This Row],[E_COT]])/100*QTS)&lt;0,NA(),IF(OR(AA189&lt;0,AA189=""),NA(),((100-100/$AB$7*données_step[[#This Row],[E_COT]])/100*QTS)))</f>
        <v>#NUM!</v>
      </c>
      <c r="AE189" s="523" t="str">
        <f>IF(AND($R189&gt;0,données_step[[#This Row],[E_NH4]]&gt;0),données_step[[#This Row],[E_NH4]],"")</f>
        <v/>
      </c>
      <c r="AF189" s="523" t="str">
        <f>IF(AE189="","",(1-données_step[[#This Row],[E_NH4]]/$AH$7)*100)</f>
        <v/>
      </c>
      <c r="AG189" s="523" t="str">
        <f t="shared" si="41"/>
        <v/>
      </c>
      <c r="AH189" s="523" t="str">
        <f t="shared" si="42"/>
        <v/>
      </c>
      <c r="AI189" s="523" t="str">
        <f t="shared" si="43"/>
        <v/>
      </c>
      <c r="AJ189" s="523" t="e">
        <f>IF(((100-100/$AH$7*données_step[[#This Row],[E_NH4]])/100*QTS)&lt;0,NA(),IF(OR(AG189&lt;0,AG189=""),NA(),((100-100/$AH$7*données_step[[#This Row],[E_NH4]])/100*QTS)))</f>
        <v>#NUM!</v>
      </c>
      <c r="AK189" s="523" t="str">
        <f>IF(AND($R189&gt;0,données_step[[#This Row],[E_PTOT]]&gt;0),données_step[[#This Row],[E_PTOT]],"")</f>
        <v/>
      </c>
      <c r="AL189" s="523" t="str">
        <f>IF(AK189="","",(1-données_step[[#This Row],[E_PTOT]]/$AN$7)*100)</f>
        <v/>
      </c>
      <c r="AM189" s="523" t="str">
        <f t="shared" si="44"/>
        <v/>
      </c>
      <c r="AN189" s="523" t="str">
        <f t="shared" si="45"/>
        <v/>
      </c>
      <c r="AO189" s="523" t="str">
        <f t="shared" si="46"/>
        <v/>
      </c>
      <c r="AP189" s="523" t="e">
        <f>IF(((100-100/$AN$7*données_step[[#This Row],[E_PTOT]])/100*QTS)&lt;0,NA(),IF(OR(AM189&lt;0,AM189=""),NA(),((100-100/$AN$7*données_step[[#This Row],[E_PTOT]])/100*QTS)))</f>
        <v>#NUM!</v>
      </c>
      <c r="AQ189" s="524" t="e">
        <f t="shared" si="47"/>
        <v>#NUM!</v>
      </c>
      <c r="AR189" s="524" t="str">
        <f t="shared" si="48"/>
        <v/>
      </c>
      <c r="AY189" s="523" t="str">
        <f>_xlfn.IFNA(IF(données_step[[#This Row],[E_DCO]]&lt;=0,NA(),charge_entree[[#This Row],[ch_E_DCO]]/constanten!$B$8*1000),"")</f>
        <v/>
      </c>
      <c r="AZ189" s="523" t="str">
        <f>_xlfn.IFNA(IF(données_step[[#This Row],[E_NTOT]]&lt;=0,NA(),charge_entree[[#This Row],[ch_E_NTOT]]/constanten!$B$10*1000),"")</f>
        <v/>
      </c>
      <c r="BA189" s="523" t="str">
        <f>_xlfn.IFNA(IF(données_step[[#This Row],[E_NH4]]&lt;=0,NA(),charge_entree[[#This Row],[ch_E_NH4]]/constanten!$B$12*1000),"")</f>
        <v/>
      </c>
      <c r="BB189" s="523" t="str">
        <f>_xlfn.IFNA(IF(données_step[[#This Row],[E_COT]]&lt;=0,NA(),charge_entree[[#This Row],[ch_E_COT]]/constanten!$B$9*1000),"")</f>
        <v/>
      </c>
      <c r="BC189" s="523" t="str">
        <f>IFERROR(_xlfn.IFNA(IF(données_step[[#This Row],[E_PTOT]]&lt;=0,NA(),charge_entree[[#This Row],[ch_E_PTOT]]/constanten!$B$15*1000),""),"")</f>
        <v/>
      </c>
      <c r="BD189" s="535" t="e">
        <f>calculs!E189 * (1-0.4) / (données_step[[#This Row],[X_BA_VOL]]*données_step[[#This Row],[X_BACONC]])</f>
        <v>#VALUE!</v>
      </c>
      <c r="BE189" s="522" t="e">
        <f>(données_step[[#This Row],[X_BA_VOL]]*données_step[[#This Row],[X_BACONC]])/((données_step[[#This Row],[D_QTRAI2]]*données_step[[#This Row],[S_MES]]/1000)+(données_step[[#This Row],[X_BX_Q]]*données_step[[#This Row],[X_BXCONC]]))</f>
        <v>#VALUE!</v>
      </c>
      <c r="BF189" s="890" t="str">
        <f>IFERROR(données_step[[#This Row],[D_QTRAI]]/AY189*1000,"")</f>
        <v/>
      </c>
      <c r="BG189" s="535" t="str">
        <f>IFERROR(1-données_step[[#This Row],[S_DBO5]]/données_step[[#This Row],[E_DBO5]],"")</f>
        <v/>
      </c>
      <c r="BH189" s="536" t="str">
        <f>IFERROR(1-données_step[[#This Row],[S_DCO]]/données_step[[#This Row],[E_DCO]],"")</f>
        <v/>
      </c>
      <c r="BI189" s="535" t="str">
        <f>IFERROR(1-données_step[[#This Row],[S_COD]]/données_step[[#This Row],[E_COT]],"")</f>
        <v/>
      </c>
      <c r="BJ189" s="535" t="str">
        <f>IFERROR(1-données_step[[#This Row],[S_NH4]]/données_step[[#This Row],[E_NTOT]],"")</f>
        <v/>
      </c>
      <c r="BK189" s="535" t="str">
        <f>IFERROR(1-données_step[[#This Row],[S_PTOT]]/données_step[[#This Row],[E_PTOT]],"")</f>
        <v/>
      </c>
      <c r="BL189" s="521" t="str">
        <f>IFERROR(IF(données_step[[#This Row],[E_DCO]]/données_step[[#This Row],[E_DBO5]]=0,NA(),données_step[[#This Row],[E_DCO]]/données_step[[#This Row],[E_DBO5]]),"")</f>
        <v/>
      </c>
      <c r="BM189" s="521" t="str">
        <f>IFERROR(IF(données_step[[#This Row],[E_NH4]]/données_step[[#This Row],[E_NTOT]]=0,NA(),données_step[[#This Row],[E_NH4]]/données_step[[#This Row],[E_NTOT]]),"")</f>
        <v/>
      </c>
      <c r="BN189" s="521" t="str">
        <f>IFERROR(IF(données_step[[#This Row],[E_NTOT]]/données_step[[#This Row],[E_COT]]=0,NA(),données_step[[#This Row],[E_NTOT]]/données_step[[#This Row],[E_COT]]),"")</f>
        <v/>
      </c>
      <c r="BO189" s="521" t="str">
        <f>IFERROR(IF(données_step[[#This Row],[E_PTOT]]/données_step[[#This Row],[E_COT]]=0,NA(),données_step[[#This Row],[E_PTOT]]/données_step[[#This Row],[E_COT]]),"")</f>
        <v/>
      </c>
      <c r="BP189" s="521" t="e">
        <f>IF(données_step[[#This Row],[E_DCO]]/données_step[[#This Row],[E_COT]]=0,NA(),données_step[[#This Row],[E_DCO]]/données_step[[#This Row],[E_COT]])</f>
        <v>#DIV/0!</v>
      </c>
      <c r="BQ189" s="521" t="e">
        <f>IF(données_step[[#This Row],[E_NTOT]]/données_step[[#This Row],[E_DCO]]=0,NA(),données_step[[#This Row],[E_NTOT]]/données_step[[#This Row],[E_DCO]])</f>
        <v>#DIV/0!</v>
      </c>
      <c r="BR189" s="521" t="e">
        <f>IF(données_step[[#This Row],[E_PTOT]]/données_step[[#This Row],[E_DCO]]=0,NA(),données_step[[#This Row],[E_PTOT]]/données_step[[#This Row],[E_DCO]])</f>
        <v>#DIV/0!</v>
      </c>
      <c r="BS189" s="747" t="e">
        <f ca="1">test_NH4_temp(données_step[[#This Row],[S_NH4]],données_step[[#This Row],[Temp_eaux]])</f>
        <v>#NAME?</v>
      </c>
    </row>
    <row r="190" spans="1:71" x14ac:dyDescent="0.2">
      <c r="A190" s="222">
        <f>données_step[[#This Row],[Datum]]</f>
        <v>44741</v>
      </c>
      <c r="B190" s="223"/>
      <c r="C190" s="224">
        <f t="shared" si="49"/>
        <v>4</v>
      </c>
      <c r="D190" s="523" t="str">
        <f>IF(OR(données_step[[#This Row],[E_DBO5]]&lt;=0,données_step[[#This Row],[E_DBO5]]=""),"",données_step[[#This Row],[D_QTRAI]]*données_step[[#This Row],[E_DBO5]]/1000)</f>
        <v/>
      </c>
      <c r="E190" s="523" t="str">
        <f>IF(OR(données_step[[#This Row],[E_DCO]]&lt;=0,données_step[[#This Row],[E_DCO]]=""),"",données_step[[#This Row],[D_QTRAI]]*données_step[[#This Row],[E_DCO]]/1000)</f>
        <v/>
      </c>
      <c r="F190" s="523" t="str">
        <f>IF(OR(données_step[[#This Row],[E_COT]]&lt;=0,données_step[[#This Row],[E_COT]]=""),"",données_step[[#This Row],[D_QTRAI]]*données_step[[#This Row],[E_COT]]/1000)</f>
        <v/>
      </c>
      <c r="G190" s="523" t="str">
        <f>IF(OR(données_step[[#This Row],[E_NH4]]&lt;=0,données_step[[#This Row],[E_NH4]]=""),"",données_step[[#This Row],[D_QTRAI]]*données_step[[#This Row],[E_NH4]]/1000)</f>
        <v/>
      </c>
      <c r="H190" s="523" t="str">
        <f>IF(OR(données_step[[#This Row],[E_NTOT]]&lt;=0,données_step[[#This Row],[E_NTOT]]=""),"",données_step[[#This Row],[D_QTRAI]]*données_step[[#This Row],[E_NTOT]]/1000)</f>
        <v/>
      </c>
      <c r="I190" s="523" t="str">
        <f>IF(OR(données_step[[#This Row],[E_NTOT]]&lt;=0,données_step[[#This Row],[E_NTOT]]=""),"",données_step[[#This Row],[D_QTRAI]]*données_step[[#This Row],[E_PTOT]]/1000)</f>
        <v/>
      </c>
      <c r="J190" s="523" t="str">
        <f>IF(OR(données_step[[#This Row],[S_DBO5]]&lt;=0,données_step[[#This Row],[S_DBO5]]=""),"",données_step[[#This Row],[D_QTRAI]]*données_step[[#This Row],[S_DBO5]]/1000)</f>
        <v/>
      </c>
      <c r="K190" s="523" t="str">
        <f>IF(OR(données_step[[#This Row],[S_DCO]]&lt;=0,données_step[[#This Row],[S_DCO]]=""),"",données_step[[#This Row],[D_QTRAI]]*données_step[[#This Row],[S_DCO]]/1000)</f>
        <v/>
      </c>
      <c r="L190" s="523" t="str">
        <f>IF(OR(données_step[[#This Row],[S_COD]]&lt;=0,données_step[[#This Row],[S_COD]]=""),"",données_step[[#This Row],[D_QTRAI]]*données_step[[#This Row],[S_COD]]/1000)</f>
        <v/>
      </c>
      <c r="M190" s="523" t="str">
        <f>IF(OR(données_step[[#This Row],[S_NH4]]&lt;=0,données_step[[#This Row],[S_NH4]]=""),"",données_step[[#This Row],[D_QTRAI]]*données_step[[#This Row],[S_NH4]]/1000)</f>
        <v/>
      </c>
      <c r="N190" s="523" t="str">
        <f>IF(OR(données_step[[#This Row],[S_NO2]]&lt;=0,données_step[[#This Row],[S_NO2]]=""),"",données_step[[#This Row],[D_QTRAI]]*données_step[[#This Row],[S_NO2]]/1000)</f>
        <v/>
      </c>
      <c r="O190" s="523" t="str">
        <f>IF(OR(données_step[[#This Row],[S_NO3]]&lt;=0,données_step[[#This Row],[S_NO3]]=""),"",données_step[[#This Row],[D_QTRAI]]*données_step[[#This Row],[S_NO3]]/1000)</f>
        <v/>
      </c>
      <c r="P190" s="523" t="str">
        <f>IF(OR(données_step[[#This Row],[S_PTOT]]&lt;=0,données_step[[#This Row],[S_PTOT]]=""),"",données_step[[#This Row],[D_QTRAI]]*données_step[[#This Row],[S_PTOT]]/1000)</f>
        <v/>
      </c>
      <c r="Q190" s="523" t="str">
        <f>IF(OR(données_step[[#This Row],[S_MES]]&lt;=0,données_step[[#This Row],[S_MES]]=""),"",données_step[[#This Row],[D_QTRAI]]*données_step[[#This Row],[S_MES]]/1000)</f>
        <v/>
      </c>
      <c r="R190" s="523">
        <f>MAX(données_step[[#This Row],[D_QTRAI]],données_step[[#This Row],[D_QTRAI2]])</f>
        <v>0</v>
      </c>
      <c r="S190" s="523" t="str">
        <f>IF(AND($R190&gt;0,données_step[[#This Row],[E_DCO]]&gt;0),données_step[[#This Row],[E_DCO]],"")</f>
        <v/>
      </c>
      <c r="T190" s="523" t="str">
        <f>IF(S190="","",(1-données_step[[#This Row],[E_DCO]]/$V$7)*100)</f>
        <v/>
      </c>
      <c r="U190" s="523" t="str">
        <f t="shared" si="35"/>
        <v/>
      </c>
      <c r="V190" s="523" t="str">
        <f t="shared" si="36"/>
        <v/>
      </c>
      <c r="W190" s="523" t="str">
        <f t="shared" si="37"/>
        <v/>
      </c>
      <c r="X190" s="523" t="e">
        <f>IF(((100-100/$V$7*données_step[[#This Row],[E_DCO]])/100*QTS)&lt;0,NA(),IF(OR(U190&lt;0,U190=""),NA(),((100-100/$V$7*données_step[[#This Row],[E_DCO]])/100*QTS)))</f>
        <v>#NUM!</v>
      </c>
      <c r="Y190" s="523" t="str">
        <f>IF(AND($R190&gt;0,données_step[[#This Row],[E_COT]]&gt;0),données_step[[#This Row],[E_COT]],"")</f>
        <v/>
      </c>
      <c r="Z190" s="523" t="str">
        <f>IF(Y190="","",(1-données_step[[#This Row],[E_COT]]/$AB$7)*100)</f>
        <v/>
      </c>
      <c r="AA190" s="523" t="str">
        <f t="shared" si="38"/>
        <v/>
      </c>
      <c r="AB190" s="523" t="str">
        <f t="shared" si="39"/>
        <v/>
      </c>
      <c r="AC190" s="523" t="str">
        <f t="shared" si="40"/>
        <v/>
      </c>
      <c r="AD190" s="523" t="e">
        <f>IF(((100-100/$AB$7*données_step[[#This Row],[E_COT]])/100*QTS)&lt;0,NA(),IF(OR(AA190&lt;0,AA190=""),NA(),((100-100/$AB$7*données_step[[#This Row],[E_COT]])/100*QTS)))</f>
        <v>#NUM!</v>
      </c>
      <c r="AE190" s="523" t="str">
        <f>IF(AND($R190&gt;0,données_step[[#This Row],[E_NH4]]&gt;0),données_step[[#This Row],[E_NH4]],"")</f>
        <v/>
      </c>
      <c r="AF190" s="523" t="str">
        <f>IF(AE190="","",(1-données_step[[#This Row],[E_NH4]]/$AH$7)*100)</f>
        <v/>
      </c>
      <c r="AG190" s="523" t="str">
        <f t="shared" si="41"/>
        <v/>
      </c>
      <c r="AH190" s="523" t="str">
        <f t="shared" si="42"/>
        <v/>
      </c>
      <c r="AI190" s="523" t="str">
        <f t="shared" si="43"/>
        <v/>
      </c>
      <c r="AJ190" s="523" t="e">
        <f>IF(((100-100/$AH$7*données_step[[#This Row],[E_NH4]])/100*QTS)&lt;0,NA(),IF(OR(AG190&lt;0,AG190=""),NA(),((100-100/$AH$7*données_step[[#This Row],[E_NH4]])/100*QTS)))</f>
        <v>#NUM!</v>
      </c>
      <c r="AK190" s="523" t="str">
        <f>IF(AND($R190&gt;0,données_step[[#This Row],[E_PTOT]]&gt;0),données_step[[#This Row],[E_PTOT]],"")</f>
        <v/>
      </c>
      <c r="AL190" s="523" t="str">
        <f>IF(AK190="","",(1-données_step[[#This Row],[E_PTOT]]/$AN$7)*100)</f>
        <v/>
      </c>
      <c r="AM190" s="523" t="str">
        <f t="shared" si="44"/>
        <v/>
      </c>
      <c r="AN190" s="523" t="str">
        <f t="shared" si="45"/>
        <v/>
      </c>
      <c r="AO190" s="523" t="str">
        <f t="shared" si="46"/>
        <v/>
      </c>
      <c r="AP190" s="523" t="e">
        <f>IF(((100-100/$AN$7*données_step[[#This Row],[E_PTOT]])/100*QTS)&lt;0,NA(),IF(OR(AM190&lt;0,AM190=""),NA(),((100-100/$AN$7*données_step[[#This Row],[E_PTOT]])/100*QTS)))</f>
        <v>#NUM!</v>
      </c>
      <c r="AQ190" s="524" t="e">
        <f t="shared" si="47"/>
        <v>#NUM!</v>
      </c>
      <c r="AR190" s="524" t="str">
        <f t="shared" si="48"/>
        <v/>
      </c>
      <c r="AY190" s="523" t="str">
        <f>_xlfn.IFNA(IF(données_step[[#This Row],[E_DCO]]&lt;=0,NA(),charge_entree[[#This Row],[ch_E_DCO]]/constanten!$B$8*1000),"")</f>
        <v/>
      </c>
      <c r="AZ190" s="523" t="str">
        <f>_xlfn.IFNA(IF(données_step[[#This Row],[E_NTOT]]&lt;=0,NA(),charge_entree[[#This Row],[ch_E_NTOT]]/constanten!$B$10*1000),"")</f>
        <v/>
      </c>
      <c r="BA190" s="523" t="str">
        <f>_xlfn.IFNA(IF(données_step[[#This Row],[E_NH4]]&lt;=0,NA(),charge_entree[[#This Row],[ch_E_NH4]]/constanten!$B$12*1000),"")</f>
        <v/>
      </c>
      <c r="BB190" s="523" t="str">
        <f>_xlfn.IFNA(IF(données_step[[#This Row],[E_COT]]&lt;=0,NA(),charge_entree[[#This Row],[ch_E_COT]]/constanten!$B$9*1000),"")</f>
        <v/>
      </c>
      <c r="BC190" s="523" t="str">
        <f>IFERROR(_xlfn.IFNA(IF(données_step[[#This Row],[E_PTOT]]&lt;=0,NA(),charge_entree[[#This Row],[ch_E_PTOT]]/constanten!$B$15*1000),""),"")</f>
        <v/>
      </c>
      <c r="BD190" s="535" t="e">
        <f>calculs!E190 * (1-0.4) / (données_step[[#This Row],[X_BA_VOL]]*données_step[[#This Row],[X_BACONC]])</f>
        <v>#VALUE!</v>
      </c>
      <c r="BE190" s="522" t="e">
        <f>(données_step[[#This Row],[X_BA_VOL]]*données_step[[#This Row],[X_BACONC]])/((données_step[[#This Row],[D_QTRAI2]]*données_step[[#This Row],[S_MES]]/1000)+(données_step[[#This Row],[X_BX_Q]]*données_step[[#This Row],[X_BXCONC]]))</f>
        <v>#VALUE!</v>
      </c>
      <c r="BF190" s="890" t="str">
        <f>IFERROR(données_step[[#This Row],[D_QTRAI]]/AY190*1000,"")</f>
        <v/>
      </c>
      <c r="BG190" s="535" t="str">
        <f>IFERROR(1-données_step[[#This Row],[S_DBO5]]/données_step[[#This Row],[E_DBO5]],"")</f>
        <v/>
      </c>
      <c r="BH190" s="536" t="str">
        <f>IFERROR(1-données_step[[#This Row],[S_DCO]]/données_step[[#This Row],[E_DCO]],"")</f>
        <v/>
      </c>
      <c r="BI190" s="535" t="str">
        <f>IFERROR(1-données_step[[#This Row],[S_COD]]/données_step[[#This Row],[E_COT]],"")</f>
        <v/>
      </c>
      <c r="BJ190" s="535" t="str">
        <f>IFERROR(1-données_step[[#This Row],[S_NH4]]/données_step[[#This Row],[E_NTOT]],"")</f>
        <v/>
      </c>
      <c r="BK190" s="535" t="str">
        <f>IFERROR(1-données_step[[#This Row],[S_PTOT]]/données_step[[#This Row],[E_PTOT]],"")</f>
        <v/>
      </c>
      <c r="BL190" s="521" t="str">
        <f>IFERROR(IF(données_step[[#This Row],[E_DCO]]/données_step[[#This Row],[E_DBO5]]=0,NA(),données_step[[#This Row],[E_DCO]]/données_step[[#This Row],[E_DBO5]]),"")</f>
        <v/>
      </c>
      <c r="BM190" s="521" t="str">
        <f>IFERROR(IF(données_step[[#This Row],[E_NH4]]/données_step[[#This Row],[E_NTOT]]=0,NA(),données_step[[#This Row],[E_NH4]]/données_step[[#This Row],[E_NTOT]]),"")</f>
        <v/>
      </c>
      <c r="BN190" s="521" t="str">
        <f>IFERROR(IF(données_step[[#This Row],[E_NTOT]]/données_step[[#This Row],[E_COT]]=0,NA(),données_step[[#This Row],[E_NTOT]]/données_step[[#This Row],[E_COT]]),"")</f>
        <v/>
      </c>
      <c r="BO190" s="521" t="str">
        <f>IFERROR(IF(données_step[[#This Row],[E_PTOT]]/données_step[[#This Row],[E_COT]]=0,NA(),données_step[[#This Row],[E_PTOT]]/données_step[[#This Row],[E_COT]]),"")</f>
        <v/>
      </c>
      <c r="BP190" s="521" t="e">
        <f>IF(données_step[[#This Row],[E_DCO]]/données_step[[#This Row],[E_COT]]=0,NA(),données_step[[#This Row],[E_DCO]]/données_step[[#This Row],[E_COT]])</f>
        <v>#DIV/0!</v>
      </c>
      <c r="BQ190" s="521" t="e">
        <f>IF(données_step[[#This Row],[E_NTOT]]/données_step[[#This Row],[E_DCO]]=0,NA(),données_step[[#This Row],[E_NTOT]]/données_step[[#This Row],[E_DCO]])</f>
        <v>#DIV/0!</v>
      </c>
      <c r="BR190" s="521" t="e">
        <f>IF(données_step[[#This Row],[E_PTOT]]/données_step[[#This Row],[E_DCO]]=0,NA(),données_step[[#This Row],[E_PTOT]]/données_step[[#This Row],[E_DCO]])</f>
        <v>#DIV/0!</v>
      </c>
      <c r="BS190" s="747" t="e">
        <f ca="1">test_NH4_temp(données_step[[#This Row],[S_NH4]],données_step[[#This Row],[Temp_eaux]])</f>
        <v>#NAME?</v>
      </c>
    </row>
    <row r="191" spans="1:71" x14ac:dyDescent="0.2">
      <c r="A191" s="222">
        <f>données_step[[#This Row],[Datum]]</f>
        <v>44742</v>
      </c>
      <c r="B191" s="223"/>
      <c r="C191" s="224">
        <f t="shared" si="49"/>
        <v>5</v>
      </c>
      <c r="D191" s="523" t="str">
        <f>IF(OR(données_step[[#This Row],[E_DBO5]]&lt;=0,données_step[[#This Row],[E_DBO5]]=""),"",données_step[[#This Row],[D_QTRAI]]*données_step[[#This Row],[E_DBO5]]/1000)</f>
        <v/>
      </c>
      <c r="E191" s="523" t="str">
        <f>IF(OR(données_step[[#This Row],[E_DCO]]&lt;=0,données_step[[#This Row],[E_DCO]]=""),"",données_step[[#This Row],[D_QTRAI]]*données_step[[#This Row],[E_DCO]]/1000)</f>
        <v/>
      </c>
      <c r="F191" s="523" t="str">
        <f>IF(OR(données_step[[#This Row],[E_COT]]&lt;=0,données_step[[#This Row],[E_COT]]=""),"",données_step[[#This Row],[D_QTRAI]]*données_step[[#This Row],[E_COT]]/1000)</f>
        <v/>
      </c>
      <c r="G191" s="523" t="str">
        <f>IF(OR(données_step[[#This Row],[E_NH4]]&lt;=0,données_step[[#This Row],[E_NH4]]=""),"",données_step[[#This Row],[D_QTRAI]]*données_step[[#This Row],[E_NH4]]/1000)</f>
        <v/>
      </c>
      <c r="H191" s="523" t="str">
        <f>IF(OR(données_step[[#This Row],[E_NTOT]]&lt;=0,données_step[[#This Row],[E_NTOT]]=""),"",données_step[[#This Row],[D_QTRAI]]*données_step[[#This Row],[E_NTOT]]/1000)</f>
        <v/>
      </c>
      <c r="I191" s="523" t="str">
        <f>IF(OR(données_step[[#This Row],[E_NTOT]]&lt;=0,données_step[[#This Row],[E_NTOT]]=""),"",données_step[[#This Row],[D_QTRAI]]*données_step[[#This Row],[E_PTOT]]/1000)</f>
        <v/>
      </c>
      <c r="J191" s="523" t="str">
        <f>IF(OR(données_step[[#This Row],[S_DBO5]]&lt;=0,données_step[[#This Row],[S_DBO5]]=""),"",données_step[[#This Row],[D_QTRAI]]*données_step[[#This Row],[S_DBO5]]/1000)</f>
        <v/>
      </c>
      <c r="K191" s="523" t="str">
        <f>IF(OR(données_step[[#This Row],[S_DCO]]&lt;=0,données_step[[#This Row],[S_DCO]]=""),"",données_step[[#This Row],[D_QTRAI]]*données_step[[#This Row],[S_DCO]]/1000)</f>
        <v/>
      </c>
      <c r="L191" s="523" t="str">
        <f>IF(OR(données_step[[#This Row],[S_COD]]&lt;=0,données_step[[#This Row],[S_COD]]=""),"",données_step[[#This Row],[D_QTRAI]]*données_step[[#This Row],[S_COD]]/1000)</f>
        <v/>
      </c>
      <c r="M191" s="523" t="str">
        <f>IF(OR(données_step[[#This Row],[S_NH4]]&lt;=0,données_step[[#This Row],[S_NH4]]=""),"",données_step[[#This Row],[D_QTRAI]]*données_step[[#This Row],[S_NH4]]/1000)</f>
        <v/>
      </c>
      <c r="N191" s="523" t="str">
        <f>IF(OR(données_step[[#This Row],[S_NO2]]&lt;=0,données_step[[#This Row],[S_NO2]]=""),"",données_step[[#This Row],[D_QTRAI]]*données_step[[#This Row],[S_NO2]]/1000)</f>
        <v/>
      </c>
      <c r="O191" s="523" t="str">
        <f>IF(OR(données_step[[#This Row],[S_NO3]]&lt;=0,données_step[[#This Row],[S_NO3]]=""),"",données_step[[#This Row],[D_QTRAI]]*données_step[[#This Row],[S_NO3]]/1000)</f>
        <v/>
      </c>
      <c r="P191" s="523" t="str">
        <f>IF(OR(données_step[[#This Row],[S_PTOT]]&lt;=0,données_step[[#This Row],[S_PTOT]]=""),"",données_step[[#This Row],[D_QTRAI]]*données_step[[#This Row],[S_PTOT]]/1000)</f>
        <v/>
      </c>
      <c r="Q191" s="523" t="str">
        <f>IF(OR(données_step[[#This Row],[S_MES]]&lt;=0,données_step[[#This Row],[S_MES]]=""),"",données_step[[#This Row],[D_QTRAI]]*données_step[[#This Row],[S_MES]]/1000)</f>
        <v/>
      </c>
      <c r="R191" s="523">
        <f>MAX(données_step[[#This Row],[D_QTRAI]],données_step[[#This Row],[D_QTRAI2]])</f>
        <v>0</v>
      </c>
      <c r="S191" s="523" t="str">
        <f>IF(AND($R191&gt;0,données_step[[#This Row],[E_DCO]]&gt;0),données_step[[#This Row],[E_DCO]],"")</f>
        <v/>
      </c>
      <c r="T191" s="523" t="str">
        <f>IF(S191="","",(1-données_step[[#This Row],[E_DCO]]/$V$7)*100)</f>
        <v/>
      </c>
      <c r="U191" s="523" t="str">
        <f t="shared" si="35"/>
        <v/>
      </c>
      <c r="V191" s="523" t="str">
        <f t="shared" si="36"/>
        <v/>
      </c>
      <c r="W191" s="523" t="str">
        <f t="shared" si="37"/>
        <v/>
      </c>
      <c r="X191" s="523" t="e">
        <f>IF(((100-100/$V$7*données_step[[#This Row],[E_DCO]])/100*QTS)&lt;0,NA(),IF(OR(U191&lt;0,U191=""),NA(),((100-100/$V$7*données_step[[#This Row],[E_DCO]])/100*QTS)))</f>
        <v>#NUM!</v>
      </c>
      <c r="Y191" s="523" t="str">
        <f>IF(AND($R191&gt;0,données_step[[#This Row],[E_COT]]&gt;0),données_step[[#This Row],[E_COT]],"")</f>
        <v/>
      </c>
      <c r="Z191" s="523" t="str">
        <f>IF(Y191="","",(1-données_step[[#This Row],[E_COT]]/$AB$7)*100)</f>
        <v/>
      </c>
      <c r="AA191" s="523" t="str">
        <f t="shared" si="38"/>
        <v/>
      </c>
      <c r="AB191" s="523" t="str">
        <f t="shared" si="39"/>
        <v/>
      </c>
      <c r="AC191" s="523" t="str">
        <f t="shared" si="40"/>
        <v/>
      </c>
      <c r="AD191" s="523" t="e">
        <f>IF(((100-100/$AB$7*données_step[[#This Row],[E_COT]])/100*QTS)&lt;0,NA(),IF(OR(AA191&lt;0,AA191=""),NA(),((100-100/$AB$7*données_step[[#This Row],[E_COT]])/100*QTS)))</f>
        <v>#NUM!</v>
      </c>
      <c r="AE191" s="523" t="str">
        <f>IF(AND($R191&gt;0,données_step[[#This Row],[E_NH4]]&gt;0),données_step[[#This Row],[E_NH4]],"")</f>
        <v/>
      </c>
      <c r="AF191" s="523" t="str">
        <f>IF(AE191="","",(1-données_step[[#This Row],[E_NH4]]/$AH$7)*100)</f>
        <v/>
      </c>
      <c r="AG191" s="523" t="str">
        <f t="shared" si="41"/>
        <v/>
      </c>
      <c r="AH191" s="523" t="str">
        <f t="shared" si="42"/>
        <v/>
      </c>
      <c r="AI191" s="523" t="str">
        <f t="shared" si="43"/>
        <v/>
      </c>
      <c r="AJ191" s="523" t="e">
        <f>IF(((100-100/$AH$7*données_step[[#This Row],[E_NH4]])/100*QTS)&lt;0,NA(),IF(OR(AG191&lt;0,AG191=""),NA(),((100-100/$AH$7*données_step[[#This Row],[E_NH4]])/100*QTS)))</f>
        <v>#NUM!</v>
      </c>
      <c r="AK191" s="523" t="str">
        <f>IF(AND($R191&gt;0,données_step[[#This Row],[E_PTOT]]&gt;0),données_step[[#This Row],[E_PTOT]],"")</f>
        <v/>
      </c>
      <c r="AL191" s="523" t="str">
        <f>IF(AK191="","",(1-données_step[[#This Row],[E_PTOT]]/$AN$7)*100)</f>
        <v/>
      </c>
      <c r="AM191" s="523" t="str">
        <f t="shared" si="44"/>
        <v/>
      </c>
      <c r="AN191" s="523" t="str">
        <f t="shared" si="45"/>
        <v/>
      </c>
      <c r="AO191" s="523" t="str">
        <f t="shared" si="46"/>
        <v/>
      </c>
      <c r="AP191" s="523" t="e">
        <f>IF(((100-100/$AN$7*données_step[[#This Row],[E_PTOT]])/100*QTS)&lt;0,NA(),IF(OR(AM191&lt;0,AM191=""),NA(),((100-100/$AN$7*données_step[[#This Row],[E_PTOT]])/100*QTS)))</f>
        <v>#NUM!</v>
      </c>
      <c r="AQ191" s="524" t="e">
        <f t="shared" si="47"/>
        <v>#NUM!</v>
      </c>
      <c r="AR191" s="524" t="str">
        <f t="shared" si="48"/>
        <v/>
      </c>
      <c r="AY191" s="523" t="str">
        <f>_xlfn.IFNA(IF(données_step[[#This Row],[E_DCO]]&lt;=0,NA(),charge_entree[[#This Row],[ch_E_DCO]]/constanten!$B$8*1000),"")</f>
        <v/>
      </c>
      <c r="AZ191" s="523" t="str">
        <f>_xlfn.IFNA(IF(données_step[[#This Row],[E_NTOT]]&lt;=0,NA(),charge_entree[[#This Row],[ch_E_NTOT]]/constanten!$B$10*1000),"")</f>
        <v/>
      </c>
      <c r="BA191" s="523" t="str">
        <f>_xlfn.IFNA(IF(données_step[[#This Row],[E_NH4]]&lt;=0,NA(),charge_entree[[#This Row],[ch_E_NH4]]/constanten!$B$12*1000),"")</f>
        <v/>
      </c>
      <c r="BB191" s="523" t="str">
        <f>_xlfn.IFNA(IF(données_step[[#This Row],[E_COT]]&lt;=0,NA(),charge_entree[[#This Row],[ch_E_COT]]/constanten!$B$9*1000),"")</f>
        <v/>
      </c>
      <c r="BC191" s="523" t="str">
        <f>IFERROR(_xlfn.IFNA(IF(données_step[[#This Row],[E_PTOT]]&lt;=0,NA(),charge_entree[[#This Row],[ch_E_PTOT]]/constanten!$B$15*1000),""),"")</f>
        <v/>
      </c>
      <c r="BD191" s="535" t="e">
        <f>calculs!E191 * (1-0.4) / (données_step[[#This Row],[X_BA_VOL]]*données_step[[#This Row],[X_BACONC]])</f>
        <v>#VALUE!</v>
      </c>
      <c r="BE191" s="522" t="e">
        <f>(données_step[[#This Row],[X_BA_VOL]]*données_step[[#This Row],[X_BACONC]])/((données_step[[#This Row],[D_QTRAI2]]*données_step[[#This Row],[S_MES]]/1000)+(données_step[[#This Row],[X_BX_Q]]*données_step[[#This Row],[X_BXCONC]]))</f>
        <v>#VALUE!</v>
      </c>
      <c r="BF191" s="890" t="str">
        <f>IFERROR(données_step[[#This Row],[D_QTRAI]]/AY191*1000,"")</f>
        <v/>
      </c>
      <c r="BG191" s="535" t="str">
        <f>IFERROR(1-données_step[[#This Row],[S_DBO5]]/données_step[[#This Row],[E_DBO5]],"")</f>
        <v/>
      </c>
      <c r="BH191" s="536" t="str">
        <f>IFERROR(1-données_step[[#This Row],[S_DCO]]/données_step[[#This Row],[E_DCO]],"")</f>
        <v/>
      </c>
      <c r="BI191" s="535" t="str">
        <f>IFERROR(1-données_step[[#This Row],[S_COD]]/données_step[[#This Row],[E_COT]],"")</f>
        <v/>
      </c>
      <c r="BJ191" s="535" t="str">
        <f>IFERROR(1-données_step[[#This Row],[S_NH4]]/données_step[[#This Row],[E_NTOT]],"")</f>
        <v/>
      </c>
      <c r="BK191" s="535" t="str">
        <f>IFERROR(1-données_step[[#This Row],[S_PTOT]]/données_step[[#This Row],[E_PTOT]],"")</f>
        <v/>
      </c>
      <c r="BL191" s="521" t="str">
        <f>IFERROR(IF(données_step[[#This Row],[E_DCO]]/données_step[[#This Row],[E_DBO5]]=0,NA(),données_step[[#This Row],[E_DCO]]/données_step[[#This Row],[E_DBO5]]),"")</f>
        <v/>
      </c>
      <c r="BM191" s="521" t="str">
        <f>IFERROR(IF(données_step[[#This Row],[E_NH4]]/données_step[[#This Row],[E_NTOT]]=0,NA(),données_step[[#This Row],[E_NH4]]/données_step[[#This Row],[E_NTOT]]),"")</f>
        <v/>
      </c>
      <c r="BN191" s="521" t="str">
        <f>IFERROR(IF(données_step[[#This Row],[E_NTOT]]/données_step[[#This Row],[E_COT]]=0,NA(),données_step[[#This Row],[E_NTOT]]/données_step[[#This Row],[E_COT]]),"")</f>
        <v/>
      </c>
      <c r="BO191" s="521" t="str">
        <f>IFERROR(IF(données_step[[#This Row],[E_PTOT]]/données_step[[#This Row],[E_COT]]=0,NA(),données_step[[#This Row],[E_PTOT]]/données_step[[#This Row],[E_COT]]),"")</f>
        <v/>
      </c>
      <c r="BP191" s="521" t="e">
        <f>IF(données_step[[#This Row],[E_DCO]]/données_step[[#This Row],[E_COT]]=0,NA(),données_step[[#This Row],[E_DCO]]/données_step[[#This Row],[E_COT]])</f>
        <v>#DIV/0!</v>
      </c>
      <c r="BQ191" s="521" t="e">
        <f>IF(données_step[[#This Row],[E_NTOT]]/données_step[[#This Row],[E_DCO]]=0,NA(),données_step[[#This Row],[E_NTOT]]/données_step[[#This Row],[E_DCO]])</f>
        <v>#DIV/0!</v>
      </c>
      <c r="BR191" s="521" t="e">
        <f>IF(données_step[[#This Row],[E_PTOT]]/données_step[[#This Row],[E_DCO]]=0,NA(),données_step[[#This Row],[E_PTOT]]/données_step[[#This Row],[E_DCO]])</f>
        <v>#DIV/0!</v>
      </c>
      <c r="BS191" s="747" t="e">
        <f ca="1">test_NH4_temp(données_step[[#This Row],[S_NH4]],données_step[[#This Row],[Temp_eaux]])</f>
        <v>#NAME?</v>
      </c>
    </row>
    <row r="192" spans="1:71" x14ac:dyDescent="0.2">
      <c r="A192" s="222">
        <f>données_step[[#This Row],[Datum]]</f>
        <v>44743</v>
      </c>
      <c r="B192" s="223"/>
      <c r="C192" s="224">
        <f t="shared" si="49"/>
        <v>6</v>
      </c>
      <c r="D192" s="523" t="str">
        <f>IF(OR(données_step[[#This Row],[E_DBO5]]&lt;=0,données_step[[#This Row],[E_DBO5]]=""),"",données_step[[#This Row],[D_QTRAI]]*données_step[[#This Row],[E_DBO5]]/1000)</f>
        <v/>
      </c>
      <c r="E192" s="523" t="str">
        <f>IF(OR(données_step[[#This Row],[E_DCO]]&lt;=0,données_step[[#This Row],[E_DCO]]=""),"",données_step[[#This Row],[D_QTRAI]]*données_step[[#This Row],[E_DCO]]/1000)</f>
        <v/>
      </c>
      <c r="F192" s="523" t="str">
        <f>IF(OR(données_step[[#This Row],[E_COT]]&lt;=0,données_step[[#This Row],[E_COT]]=""),"",données_step[[#This Row],[D_QTRAI]]*données_step[[#This Row],[E_COT]]/1000)</f>
        <v/>
      </c>
      <c r="G192" s="523" t="str">
        <f>IF(OR(données_step[[#This Row],[E_NH4]]&lt;=0,données_step[[#This Row],[E_NH4]]=""),"",données_step[[#This Row],[D_QTRAI]]*données_step[[#This Row],[E_NH4]]/1000)</f>
        <v/>
      </c>
      <c r="H192" s="523" t="str">
        <f>IF(OR(données_step[[#This Row],[E_NTOT]]&lt;=0,données_step[[#This Row],[E_NTOT]]=""),"",données_step[[#This Row],[D_QTRAI]]*données_step[[#This Row],[E_NTOT]]/1000)</f>
        <v/>
      </c>
      <c r="I192" s="523" t="str">
        <f>IF(OR(données_step[[#This Row],[E_NTOT]]&lt;=0,données_step[[#This Row],[E_NTOT]]=""),"",données_step[[#This Row],[D_QTRAI]]*données_step[[#This Row],[E_PTOT]]/1000)</f>
        <v/>
      </c>
      <c r="J192" s="523" t="str">
        <f>IF(OR(données_step[[#This Row],[S_DBO5]]&lt;=0,données_step[[#This Row],[S_DBO5]]=""),"",données_step[[#This Row],[D_QTRAI]]*données_step[[#This Row],[S_DBO5]]/1000)</f>
        <v/>
      </c>
      <c r="K192" s="523" t="str">
        <f>IF(OR(données_step[[#This Row],[S_DCO]]&lt;=0,données_step[[#This Row],[S_DCO]]=""),"",données_step[[#This Row],[D_QTRAI]]*données_step[[#This Row],[S_DCO]]/1000)</f>
        <v/>
      </c>
      <c r="L192" s="523" t="str">
        <f>IF(OR(données_step[[#This Row],[S_COD]]&lt;=0,données_step[[#This Row],[S_COD]]=""),"",données_step[[#This Row],[D_QTRAI]]*données_step[[#This Row],[S_COD]]/1000)</f>
        <v/>
      </c>
      <c r="M192" s="523" t="str">
        <f>IF(OR(données_step[[#This Row],[S_NH4]]&lt;=0,données_step[[#This Row],[S_NH4]]=""),"",données_step[[#This Row],[D_QTRAI]]*données_step[[#This Row],[S_NH4]]/1000)</f>
        <v/>
      </c>
      <c r="N192" s="523" t="str">
        <f>IF(OR(données_step[[#This Row],[S_NO2]]&lt;=0,données_step[[#This Row],[S_NO2]]=""),"",données_step[[#This Row],[D_QTRAI]]*données_step[[#This Row],[S_NO2]]/1000)</f>
        <v/>
      </c>
      <c r="O192" s="523" t="str">
        <f>IF(OR(données_step[[#This Row],[S_NO3]]&lt;=0,données_step[[#This Row],[S_NO3]]=""),"",données_step[[#This Row],[D_QTRAI]]*données_step[[#This Row],[S_NO3]]/1000)</f>
        <v/>
      </c>
      <c r="P192" s="523" t="str">
        <f>IF(OR(données_step[[#This Row],[S_PTOT]]&lt;=0,données_step[[#This Row],[S_PTOT]]=""),"",données_step[[#This Row],[D_QTRAI]]*données_step[[#This Row],[S_PTOT]]/1000)</f>
        <v/>
      </c>
      <c r="Q192" s="523" t="str">
        <f>IF(OR(données_step[[#This Row],[S_MES]]&lt;=0,données_step[[#This Row],[S_MES]]=""),"",données_step[[#This Row],[D_QTRAI]]*données_step[[#This Row],[S_MES]]/1000)</f>
        <v/>
      </c>
      <c r="R192" s="523">
        <f>MAX(données_step[[#This Row],[D_QTRAI]],données_step[[#This Row],[D_QTRAI2]])</f>
        <v>0</v>
      </c>
      <c r="S192" s="523" t="str">
        <f>IF(AND($R192&gt;0,données_step[[#This Row],[E_DCO]]&gt;0),données_step[[#This Row],[E_DCO]],"")</f>
        <v/>
      </c>
      <c r="T192" s="523" t="str">
        <f>IF(S192="","",(1-données_step[[#This Row],[E_DCO]]/$V$7)*100)</f>
        <v/>
      </c>
      <c r="U192" s="523" t="str">
        <f t="shared" si="35"/>
        <v/>
      </c>
      <c r="V192" s="523" t="str">
        <f t="shared" si="36"/>
        <v/>
      </c>
      <c r="W192" s="523" t="str">
        <f t="shared" si="37"/>
        <v/>
      </c>
      <c r="X192" s="523" t="e">
        <f>IF(((100-100/$V$7*données_step[[#This Row],[E_DCO]])/100*QTS)&lt;0,NA(),IF(OR(U192&lt;0,U192=""),NA(),((100-100/$V$7*données_step[[#This Row],[E_DCO]])/100*QTS)))</f>
        <v>#NUM!</v>
      </c>
      <c r="Y192" s="523" t="str">
        <f>IF(AND($R192&gt;0,données_step[[#This Row],[E_COT]]&gt;0),données_step[[#This Row],[E_COT]],"")</f>
        <v/>
      </c>
      <c r="Z192" s="523" t="str">
        <f>IF(Y192="","",(1-données_step[[#This Row],[E_COT]]/$AB$7)*100)</f>
        <v/>
      </c>
      <c r="AA192" s="523" t="str">
        <f t="shared" si="38"/>
        <v/>
      </c>
      <c r="AB192" s="523" t="str">
        <f t="shared" si="39"/>
        <v/>
      </c>
      <c r="AC192" s="523" t="str">
        <f t="shared" si="40"/>
        <v/>
      </c>
      <c r="AD192" s="523" t="e">
        <f>IF(((100-100/$AB$7*données_step[[#This Row],[E_COT]])/100*QTS)&lt;0,NA(),IF(OR(AA192&lt;0,AA192=""),NA(),((100-100/$AB$7*données_step[[#This Row],[E_COT]])/100*QTS)))</f>
        <v>#NUM!</v>
      </c>
      <c r="AE192" s="523" t="str">
        <f>IF(AND($R192&gt;0,données_step[[#This Row],[E_NH4]]&gt;0),données_step[[#This Row],[E_NH4]],"")</f>
        <v/>
      </c>
      <c r="AF192" s="523" t="str">
        <f>IF(AE192="","",(1-données_step[[#This Row],[E_NH4]]/$AH$7)*100)</f>
        <v/>
      </c>
      <c r="AG192" s="523" t="str">
        <f t="shared" si="41"/>
        <v/>
      </c>
      <c r="AH192" s="523" t="str">
        <f t="shared" si="42"/>
        <v/>
      </c>
      <c r="AI192" s="523" t="str">
        <f t="shared" si="43"/>
        <v/>
      </c>
      <c r="AJ192" s="523" t="e">
        <f>IF(((100-100/$AH$7*données_step[[#This Row],[E_NH4]])/100*QTS)&lt;0,NA(),IF(OR(AG192&lt;0,AG192=""),NA(),((100-100/$AH$7*données_step[[#This Row],[E_NH4]])/100*QTS)))</f>
        <v>#NUM!</v>
      </c>
      <c r="AK192" s="523" t="str">
        <f>IF(AND($R192&gt;0,données_step[[#This Row],[E_PTOT]]&gt;0),données_step[[#This Row],[E_PTOT]],"")</f>
        <v/>
      </c>
      <c r="AL192" s="523" t="str">
        <f>IF(AK192="","",(1-données_step[[#This Row],[E_PTOT]]/$AN$7)*100)</f>
        <v/>
      </c>
      <c r="AM192" s="523" t="str">
        <f t="shared" si="44"/>
        <v/>
      </c>
      <c r="AN192" s="523" t="str">
        <f t="shared" si="45"/>
        <v/>
      </c>
      <c r="AO192" s="523" t="str">
        <f t="shared" si="46"/>
        <v/>
      </c>
      <c r="AP192" s="523" t="e">
        <f>IF(((100-100/$AN$7*données_step[[#This Row],[E_PTOT]])/100*QTS)&lt;0,NA(),IF(OR(AM192&lt;0,AM192=""),NA(),((100-100/$AN$7*données_step[[#This Row],[E_PTOT]])/100*QTS)))</f>
        <v>#NUM!</v>
      </c>
      <c r="AQ192" s="524" t="e">
        <f t="shared" si="47"/>
        <v>#NUM!</v>
      </c>
      <c r="AR192" s="524" t="str">
        <f t="shared" si="48"/>
        <v/>
      </c>
      <c r="AY192" s="523" t="str">
        <f>_xlfn.IFNA(IF(données_step[[#This Row],[E_DCO]]&lt;=0,NA(),charge_entree[[#This Row],[ch_E_DCO]]/constanten!$B$8*1000),"")</f>
        <v/>
      </c>
      <c r="AZ192" s="523" t="str">
        <f>_xlfn.IFNA(IF(données_step[[#This Row],[E_NTOT]]&lt;=0,NA(),charge_entree[[#This Row],[ch_E_NTOT]]/constanten!$B$10*1000),"")</f>
        <v/>
      </c>
      <c r="BA192" s="523" t="str">
        <f>_xlfn.IFNA(IF(données_step[[#This Row],[E_NH4]]&lt;=0,NA(),charge_entree[[#This Row],[ch_E_NH4]]/constanten!$B$12*1000),"")</f>
        <v/>
      </c>
      <c r="BB192" s="523" t="str">
        <f>_xlfn.IFNA(IF(données_step[[#This Row],[E_COT]]&lt;=0,NA(),charge_entree[[#This Row],[ch_E_COT]]/constanten!$B$9*1000),"")</f>
        <v/>
      </c>
      <c r="BC192" s="523" t="str">
        <f>IFERROR(_xlfn.IFNA(IF(données_step[[#This Row],[E_PTOT]]&lt;=0,NA(),charge_entree[[#This Row],[ch_E_PTOT]]/constanten!$B$15*1000),""),"")</f>
        <v/>
      </c>
      <c r="BD192" s="535" t="e">
        <f>calculs!E192 * (1-0.4) / (données_step[[#This Row],[X_BA_VOL]]*données_step[[#This Row],[X_BACONC]])</f>
        <v>#VALUE!</v>
      </c>
      <c r="BE192" s="522" t="e">
        <f>(données_step[[#This Row],[X_BA_VOL]]*données_step[[#This Row],[X_BACONC]])/((données_step[[#This Row],[D_QTRAI2]]*données_step[[#This Row],[S_MES]]/1000)+(données_step[[#This Row],[X_BX_Q]]*données_step[[#This Row],[X_BXCONC]]))</f>
        <v>#VALUE!</v>
      </c>
      <c r="BF192" s="890" t="str">
        <f>IFERROR(données_step[[#This Row],[D_QTRAI]]/AY192*1000,"")</f>
        <v/>
      </c>
      <c r="BG192" s="535" t="str">
        <f>IFERROR(1-données_step[[#This Row],[S_DBO5]]/données_step[[#This Row],[E_DBO5]],"")</f>
        <v/>
      </c>
      <c r="BH192" s="536" t="str">
        <f>IFERROR(1-données_step[[#This Row],[S_DCO]]/données_step[[#This Row],[E_DCO]],"")</f>
        <v/>
      </c>
      <c r="BI192" s="535" t="str">
        <f>IFERROR(1-données_step[[#This Row],[S_COD]]/données_step[[#This Row],[E_COT]],"")</f>
        <v/>
      </c>
      <c r="BJ192" s="535" t="str">
        <f>IFERROR(1-données_step[[#This Row],[S_NH4]]/données_step[[#This Row],[E_NTOT]],"")</f>
        <v/>
      </c>
      <c r="BK192" s="535" t="str">
        <f>IFERROR(1-données_step[[#This Row],[S_PTOT]]/données_step[[#This Row],[E_PTOT]],"")</f>
        <v/>
      </c>
      <c r="BL192" s="521" t="str">
        <f>IFERROR(IF(données_step[[#This Row],[E_DCO]]/données_step[[#This Row],[E_DBO5]]=0,NA(),données_step[[#This Row],[E_DCO]]/données_step[[#This Row],[E_DBO5]]),"")</f>
        <v/>
      </c>
      <c r="BM192" s="521" t="str">
        <f>IFERROR(IF(données_step[[#This Row],[E_NH4]]/données_step[[#This Row],[E_NTOT]]=0,NA(),données_step[[#This Row],[E_NH4]]/données_step[[#This Row],[E_NTOT]]),"")</f>
        <v/>
      </c>
      <c r="BN192" s="521" t="str">
        <f>IFERROR(IF(données_step[[#This Row],[E_NTOT]]/données_step[[#This Row],[E_COT]]=0,NA(),données_step[[#This Row],[E_NTOT]]/données_step[[#This Row],[E_COT]]),"")</f>
        <v/>
      </c>
      <c r="BO192" s="521" t="str">
        <f>IFERROR(IF(données_step[[#This Row],[E_PTOT]]/données_step[[#This Row],[E_COT]]=0,NA(),données_step[[#This Row],[E_PTOT]]/données_step[[#This Row],[E_COT]]),"")</f>
        <v/>
      </c>
      <c r="BP192" s="521" t="e">
        <f>IF(données_step[[#This Row],[E_DCO]]/données_step[[#This Row],[E_COT]]=0,NA(),données_step[[#This Row],[E_DCO]]/données_step[[#This Row],[E_COT]])</f>
        <v>#DIV/0!</v>
      </c>
      <c r="BQ192" s="521" t="e">
        <f>IF(données_step[[#This Row],[E_NTOT]]/données_step[[#This Row],[E_DCO]]=0,NA(),données_step[[#This Row],[E_NTOT]]/données_step[[#This Row],[E_DCO]])</f>
        <v>#DIV/0!</v>
      </c>
      <c r="BR192" s="521" t="e">
        <f>IF(données_step[[#This Row],[E_PTOT]]/données_step[[#This Row],[E_DCO]]=0,NA(),données_step[[#This Row],[E_PTOT]]/données_step[[#This Row],[E_DCO]])</f>
        <v>#DIV/0!</v>
      </c>
      <c r="BS192" s="747" t="e">
        <f ca="1">test_NH4_temp(données_step[[#This Row],[S_NH4]],données_step[[#This Row],[Temp_eaux]])</f>
        <v>#NAME?</v>
      </c>
    </row>
    <row r="193" spans="1:71" x14ac:dyDescent="0.2">
      <c r="A193" s="222">
        <f>données_step[[#This Row],[Datum]]</f>
        <v>44744</v>
      </c>
      <c r="B193" s="223"/>
      <c r="C193" s="224">
        <f t="shared" si="49"/>
        <v>7</v>
      </c>
      <c r="D193" s="523" t="str">
        <f>IF(OR(données_step[[#This Row],[E_DBO5]]&lt;=0,données_step[[#This Row],[E_DBO5]]=""),"",données_step[[#This Row],[D_QTRAI]]*données_step[[#This Row],[E_DBO5]]/1000)</f>
        <v/>
      </c>
      <c r="E193" s="523" t="str">
        <f>IF(OR(données_step[[#This Row],[E_DCO]]&lt;=0,données_step[[#This Row],[E_DCO]]=""),"",données_step[[#This Row],[D_QTRAI]]*données_step[[#This Row],[E_DCO]]/1000)</f>
        <v/>
      </c>
      <c r="F193" s="523" t="str">
        <f>IF(OR(données_step[[#This Row],[E_COT]]&lt;=0,données_step[[#This Row],[E_COT]]=""),"",données_step[[#This Row],[D_QTRAI]]*données_step[[#This Row],[E_COT]]/1000)</f>
        <v/>
      </c>
      <c r="G193" s="523" t="str">
        <f>IF(OR(données_step[[#This Row],[E_NH4]]&lt;=0,données_step[[#This Row],[E_NH4]]=""),"",données_step[[#This Row],[D_QTRAI]]*données_step[[#This Row],[E_NH4]]/1000)</f>
        <v/>
      </c>
      <c r="H193" s="523" t="str">
        <f>IF(OR(données_step[[#This Row],[E_NTOT]]&lt;=0,données_step[[#This Row],[E_NTOT]]=""),"",données_step[[#This Row],[D_QTRAI]]*données_step[[#This Row],[E_NTOT]]/1000)</f>
        <v/>
      </c>
      <c r="I193" s="523" t="str">
        <f>IF(OR(données_step[[#This Row],[E_NTOT]]&lt;=0,données_step[[#This Row],[E_NTOT]]=""),"",données_step[[#This Row],[D_QTRAI]]*données_step[[#This Row],[E_PTOT]]/1000)</f>
        <v/>
      </c>
      <c r="J193" s="523" t="str">
        <f>IF(OR(données_step[[#This Row],[S_DBO5]]&lt;=0,données_step[[#This Row],[S_DBO5]]=""),"",données_step[[#This Row],[D_QTRAI]]*données_step[[#This Row],[S_DBO5]]/1000)</f>
        <v/>
      </c>
      <c r="K193" s="523" t="str">
        <f>IF(OR(données_step[[#This Row],[S_DCO]]&lt;=0,données_step[[#This Row],[S_DCO]]=""),"",données_step[[#This Row],[D_QTRAI]]*données_step[[#This Row],[S_DCO]]/1000)</f>
        <v/>
      </c>
      <c r="L193" s="523" t="str">
        <f>IF(OR(données_step[[#This Row],[S_COD]]&lt;=0,données_step[[#This Row],[S_COD]]=""),"",données_step[[#This Row],[D_QTRAI]]*données_step[[#This Row],[S_COD]]/1000)</f>
        <v/>
      </c>
      <c r="M193" s="523" t="str">
        <f>IF(OR(données_step[[#This Row],[S_NH4]]&lt;=0,données_step[[#This Row],[S_NH4]]=""),"",données_step[[#This Row],[D_QTRAI]]*données_step[[#This Row],[S_NH4]]/1000)</f>
        <v/>
      </c>
      <c r="N193" s="523" t="str">
        <f>IF(OR(données_step[[#This Row],[S_NO2]]&lt;=0,données_step[[#This Row],[S_NO2]]=""),"",données_step[[#This Row],[D_QTRAI]]*données_step[[#This Row],[S_NO2]]/1000)</f>
        <v/>
      </c>
      <c r="O193" s="523" t="str">
        <f>IF(OR(données_step[[#This Row],[S_NO3]]&lt;=0,données_step[[#This Row],[S_NO3]]=""),"",données_step[[#This Row],[D_QTRAI]]*données_step[[#This Row],[S_NO3]]/1000)</f>
        <v/>
      </c>
      <c r="P193" s="523" t="str">
        <f>IF(OR(données_step[[#This Row],[S_PTOT]]&lt;=0,données_step[[#This Row],[S_PTOT]]=""),"",données_step[[#This Row],[D_QTRAI]]*données_step[[#This Row],[S_PTOT]]/1000)</f>
        <v/>
      </c>
      <c r="Q193" s="523" t="str">
        <f>IF(OR(données_step[[#This Row],[S_MES]]&lt;=0,données_step[[#This Row],[S_MES]]=""),"",données_step[[#This Row],[D_QTRAI]]*données_step[[#This Row],[S_MES]]/1000)</f>
        <v/>
      </c>
      <c r="R193" s="523">
        <f>MAX(données_step[[#This Row],[D_QTRAI]],données_step[[#This Row],[D_QTRAI2]])</f>
        <v>0</v>
      </c>
      <c r="S193" s="523" t="str">
        <f>IF(AND($R193&gt;0,données_step[[#This Row],[E_DCO]]&gt;0),données_step[[#This Row],[E_DCO]],"")</f>
        <v/>
      </c>
      <c r="T193" s="523" t="str">
        <f>IF(S193="","",(1-données_step[[#This Row],[E_DCO]]/$V$7)*100)</f>
        <v/>
      </c>
      <c r="U193" s="523" t="str">
        <f t="shared" si="35"/>
        <v/>
      </c>
      <c r="V193" s="523" t="str">
        <f t="shared" si="36"/>
        <v/>
      </c>
      <c r="W193" s="523" t="str">
        <f t="shared" si="37"/>
        <v/>
      </c>
      <c r="X193" s="523" t="e">
        <f>IF(((100-100/$V$7*données_step[[#This Row],[E_DCO]])/100*QTS)&lt;0,NA(),IF(OR(U193&lt;0,U193=""),NA(),((100-100/$V$7*données_step[[#This Row],[E_DCO]])/100*QTS)))</f>
        <v>#NUM!</v>
      </c>
      <c r="Y193" s="523" t="str">
        <f>IF(AND($R193&gt;0,données_step[[#This Row],[E_COT]]&gt;0),données_step[[#This Row],[E_COT]],"")</f>
        <v/>
      </c>
      <c r="Z193" s="523" t="str">
        <f>IF(Y193="","",(1-données_step[[#This Row],[E_COT]]/$AB$7)*100)</f>
        <v/>
      </c>
      <c r="AA193" s="523" t="str">
        <f t="shared" si="38"/>
        <v/>
      </c>
      <c r="AB193" s="523" t="str">
        <f t="shared" si="39"/>
        <v/>
      </c>
      <c r="AC193" s="523" t="str">
        <f t="shared" si="40"/>
        <v/>
      </c>
      <c r="AD193" s="523" t="e">
        <f>IF(((100-100/$AB$7*données_step[[#This Row],[E_COT]])/100*QTS)&lt;0,NA(),IF(OR(AA193&lt;0,AA193=""),NA(),((100-100/$AB$7*données_step[[#This Row],[E_COT]])/100*QTS)))</f>
        <v>#NUM!</v>
      </c>
      <c r="AE193" s="523" t="str">
        <f>IF(AND($R193&gt;0,données_step[[#This Row],[E_NH4]]&gt;0),données_step[[#This Row],[E_NH4]],"")</f>
        <v/>
      </c>
      <c r="AF193" s="523" t="str">
        <f>IF(AE193="","",(1-données_step[[#This Row],[E_NH4]]/$AH$7)*100)</f>
        <v/>
      </c>
      <c r="AG193" s="523" t="str">
        <f t="shared" si="41"/>
        <v/>
      </c>
      <c r="AH193" s="523" t="str">
        <f t="shared" si="42"/>
        <v/>
      </c>
      <c r="AI193" s="523" t="str">
        <f t="shared" si="43"/>
        <v/>
      </c>
      <c r="AJ193" s="523" t="e">
        <f>IF(((100-100/$AH$7*données_step[[#This Row],[E_NH4]])/100*QTS)&lt;0,NA(),IF(OR(AG193&lt;0,AG193=""),NA(),((100-100/$AH$7*données_step[[#This Row],[E_NH4]])/100*QTS)))</f>
        <v>#NUM!</v>
      </c>
      <c r="AK193" s="523" t="str">
        <f>IF(AND($R193&gt;0,données_step[[#This Row],[E_PTOT]]&gt;0),données_step[[#This Row],[E_PTOT]],"")</f>
        <v/>
      </c>
      <c r="AL193" s="523" t="str">
        <f>IF(AK193="","",(1-données_step[[#This Row],[E_PTOT]]/$AN$7)*100)</f>
        <v/>
      </c>
      <c r="AM193" s="523" t="str">
        <f t="shared" si="44"/>
        <v/>
      </c>
      <c r="AN193" s="523" t="str">
        <f t="shared" si="45"/>
        <v/>
      </c>
      <c r="AO193" s="523" t="str">
        <f t="shared" si="46"/>
        <v/>
      </c>
      <c r="AP193" s="523" t="e">
        <f>IF(((100-100/$AN$7*données_step[[#This Row],[E_PTOT]])/100*QTS)&lt;0,NA(),IF(OR(AM193&lt;0,AM193=""),NA(),((100-100/$AN$7*données_step[[#This Row],[E_PTOT]])/100*QTS)))</f>
        <v>#NUM!</v>
      </c>
      <c r="AQ193" s="524" t="e">
        <f t="shared" si="47"/>
        <v>#NUM!</v>
      </c>
      <c r="AR193" s="524" t="str">
        <f t="shared" si="48"/>
        <v/>
      </c>
      <c r="AY193" s="523" t="str">
        <f>_xlfn.IFNA(IF(données_step[[#This Row],[E_DCO]]&lt;=0,NA(),charge_entree[[#This Row],[ch_E_DCO]]/constanten!$B$8*1000),"")</f>
        <v/>
      </c>
      <c r="AZ193" s="523" t="str">
        <f>_xlfn.IFNA(IF(données_step[[#This Row],[E_NTOT]]&lt;=0,NA(),charge_entree[[#This Row],[ch_E_NTOT]]/constanten!$B$10*1000),"")</f>
        <v/>
      </c>
      <c r="BA193" s="523" t="str">
        <f>_xlfn.IFNA(IF(données_step[[#This Row],[E_NH4]]&lt;=0,NA(),charge_entree[[#This Row],[ch_E_NH4]]/constanten!$B$12*1000),"")</f>
        <v/>
      </c>
      <c r="BB193" s="523" t="str">
        <f>_xlfn.IFNA(IF(données_step[[#This Row],[E_COT]]&lt;=0,NA(),charge_entree[[#This Row],[ch_E_COT]]/constanten!$B$9*1000),"")</f>
        <v/>
      </c>
      <c r="BC193" s="523" t="str">
        <f>IFERROR(_xlfn.IFNA(IF(données_step[[#This Row],[E_PTOT]]&lt;=0,NA(),charge_entree[[#This Row],[ch_E_PTOT]]/constanten!$B$15*1000),""),"")</f>
        <v/>
      </c>
      <c r="BD193" s="535" t="e">
        <f>calculs!E193 * (1-0.4) / (données_step[[#This Row],[X_BA_VOL]]*données_step[[#This Row],[X_BACONC]])</f>
        <v>#VALUE!</v>
      </c>
      <c r="BE193" s="522" t="e">
        <f>(données_step[[#This Row],[X_BA_VOL]]*données_step[[#This Row],[X_BACONC]])/((données_step[[#This Row],[D_QTRAI2]]*données_step[[#This Row],[S_MES]]/1000)+(données_step[[#This Row],[X_BX_Q]]*données_step[[#This Row],[X_BXCONC]]))</f>
        <v>#VALUE!</v>
      </c>
      <c r="BF193" s="890" t="str">
        <f>IFERROR(données_step[[#This Row],[D_QTRAI]]/AY193*1000,"")</f>
        <v/>
      </c>
      <c r="BG193" s="535" t="str">
        <f>IFERROR(1-données_step[[#This Row],[S_DBO5]]/données_step[[#This Row],[E_DBO5]],"")</f>
        <v/>
      </c>
      <c r="BH193" s="536" t="str">
        <f>IFERROR(1-données_step[[#This Row],[S_DCO]]/données_step[[#This Row],[E_DCO]],"")</f>
        <v/>
      </c>
      <c r="BI193" s="535" t="str">
        <f>IFERROR(1-données_step[[#This Row],[S_COD]]/données_step[[#This Row],[E_COT]],"")</f>
        <v/>
      </c>
      <c r="BJ193" s="535" t="str">
        <f>IFERROR(1-données_step[[#This Row],[S_NH4]]/données_step[[#This Row],[E_NTOT]],"")</f>
        <v/>
      </c>
      <c r="BK193" s="535" t="str">
        <f>IFERROR(1-données_step[[#This Row],[S_PTOT]]/données_step[[#This Row],[E_PTOT]],"")</f>
        <v/>
      </c>
      <c r="BL193" s="521" t="str">
        <f>IFERROR(IF(données_step[[#This Row],[E_DCO]]/données_step[[#This Row],[E_DBO5]]=0,NA(),données_step[[#This Row],[E_DCO]]/données_step[[#This Row],[E_DBO5]]),"")</f>
        <v/>
      </c>
      <c r="BM193" s="521" t="str">
        <f>IFERROR(IF(données_step[[#This Row],[E_NH4]]/données_step[[#This Row],[E_NTOT]]=0,NA(),données_step[[#This Row],[E_NH4]]/données_step[[#This Row],[E_NTOT]]),"")</f>
        <v/>
      </c>
      <c r="BN193" s="521" t="str">
        <f>IFERROR(IF(données_step[[#This Row],[E_NTOT]]/données_step[[#This Row],[E_COT]]=0,NA(),données_step[[#This Row],[E_NTOT]]/données_step[[#This Row],[E_COT]]),"")</f>
        <v/>
      </c>
      <c r="BO193" s="521" t="str">
        <f>IFERROR(IF(données_step[[#This Row],[E_PTOT]]/données_step[[#This Row],[E_COT]]=0,NA(),données_step[[#This Row],[E_PTOT]]/données_step[[#This Row],[E_COT]]),"")</f>
        <v/>
      </c>
      <c r="BP193" s="521" t="e">
        <f>IF(données_step[[#This Row],[E_DCO]]/données_step[[#This Row],[E_COT]]=0,NA(),données_step[[#This Row],[E_DCO]]/données_step[[#This Row],[E_COT]])</f>
        <v>#DIV/0!</v>
      </c>
      <c r="BQ193" s="521" t="e">
        <f>IF(données_step[[#This Row],[E_NTOT]]/données_step[[#This Row],[E_DCO]]=0,NA(),données_step[[#This Row],[E_NTOT]]/données_step[[#This Row],[E_DCO]])</f>
        <v>#DIV/0!</v>
      </c>
      <c r="BR193" s="521" t="e">
        <f>IF(données_step[[#This Row],[E_PTOT]]/données_step[[#This Row],[E_DCO]]=0,NA(),données_step[[#This Row],[E_PTOT]]/données_step[[#This Row],[E_DCO]])</f>
        <v>#DIV/0!</v>
      </c>
      <c r="BS193" s="747" t="e">
        <f ca="1">test_NH4_temp(données_step[[#This Row],[S_NH4]],données_step[[#This Row],[Temp_eaux]])</f>
        <v>#NAME?</v>
      </c>
    </row>
    <row r="194" spans="1:71" x14ac:dyDescent="0.2">
      <c r="A194" s="222">
        <f>données_step[[#This Row],[Datum]]</f>
        <v>44745</v>
      </c>
      <c r="B194" s="223"/>
      <c r="C194" s="224">
        <f t="shared" si="49"/>
        <v>1</v>
      </c>
      <c r="D194" s="523" t="str">
        <f>IF(OR(données_step[[#This Row],[E_DBO5]]&lt;=0,données_step[[#This Row],[E_DBO5]]=""),"",données_step[[#This Row],[D_QTRAI]]*données_step[[#This Row],[E_DBO5]]/1000)</f>
        <v/>
      </c>
      <c r="E194" s="523" t="str">
        <f>IF(OR(données_step[[#This Row],[E_DCO]]&lt;=0,données_step[[#This Row],[E_DCO]]=""),"",données_step[[#This Row],[D_QTRAI]]*données_step[[#This Row],[E_DCO]]/1000)</f>
        <v/>
      </c>
      <c r="F194" s="523" t="str">
        <f>IF(OR(données_step[[#This Row],[E_COT]]&lt;=0,données_step[[#This Row],[E_COT]]=""),"",données_step[[#This Row],[D_QTRAI]]*données_step[[#This Row],[E_COT]]/1000)</f>
        <v/>
      </c>
      <c r="G194" s="523" t="str">
        <f>IF(OR(données_step[[#This Row],[E_NH4]]&lt;=0,données_step[[#This Row],[E_NH4]]=""),"",données_step[[#This Row],[D_QTRAI]]*données_step[[#This Row],[E_NH4]]/1000)</f>
        <v/>
      </c>
      <c r="H194" s="523" t="str">
        <f>IF(OR(données_step[[#This Row],[E_NTOT]]&lt;=0,données_step[[#This Row],[E_NTOT]]=""),"",données_step[[#This Row],[D_QTRAI]]*données_step[[#This Row],[E_NTOT]]/1000)</f>
        <v/>
      </c>
      <c r="I194" s="523" t="str">
        <f>IF(OR(données_step[[#This Row],[E_NTOT]]&lt;=0,données_step[[#This Row],[E_NTOT]]=""),"",données_step[[#This Row],[D_QTRAI]]*données_step[[#This Row],[E_PTOT]]/1000)</f>
        <v/>
      </c>
      <c r="J194" s="523" t="str">
        <f>IF(OR(données_step[[#This Row],[S_DBO5]]&lt;=0,données_step[[#This Row],[S_DBO5]]=""),"",données_step[[#This Row],[D_QTRAI]]*données_step[[#This Row],[S_DBO5]]/1000)</f>
        <v/>
      </c>
      <c r="K194" s="523" t="str">
        <f>IF(OR(données_step[[#This Row],[S_DCO]]&lt;=0,données_step[[#This Row],[S_DCO]]=""),"",données_step[[#This Row],[D_QTRAI]]*données_step[[#This Row],[S_DCO]]/1000)</f>
        <v/>
      </c>
      <c r="L194" s="523" t="str">
        <f>IF(OR(données_step[[#This Row],[S_COD]]&lt;=0,données_step[[#This Row],[S_COD]]=""),"",données_step[[#This Row],[D_QTRAI]]*données_step[[#This Row],[S_COD]]/1000)</f>
        <v/>
      </c>
      <c r="M194" s="523" t="str">
        <f>IF(OR(données_step[[#This Row],[S_NH4]]&lt;=0,données_step[[#This Row],[S_NH4]]=""),"",données_step[[#This Row],[D_QTRAI]]*données_step[[#This Row],[S_NH4]]/1000)</f>
        <v/>
      </c>
      <c r="N194" s="523" t="str">
        <f>IF(OR(données_step[[#This Row],[S_NO2]]&lt;=0,données_step[[#This Row],[S_NO2]]=""),"",données_step[[#This Row],[D_QTRAI]]*données_step[[#This Row],[S_NO2]]/1000)</f>
        <v/>
      </c>
      <c r="O194" s="523" t="str">
        <f>IF(OR(données_step[[#This Row],[S_NO3]]&lt;=0,données_step[[#This Row],[S_NO3]]=""),"",données_step[[#This Row],[D_QTRAI]]*données_step[[#This Row],[S_NO3]]/1000)</f>
        <v/>
      </c>
      <c r="P194" s="523" t="str">
        <f>IF(OR(données_step[[#This Row],[S_PTOT]]&lt;=0,données_step[[#This Row],[S_PTOT]]=""),"",données_step[[#This Row],[D_QTRAI]]*données_step[[#This Row],[S_PTOT]]/1000)</f>
        <v/>
      </c>
      <c r="Q194" s="523" t="str">
        <f>IF(OR(données_step[[#This Row],[S_MES]]&lt;=0,données_step[[#This Row],[S_MES]]=""),"",données_step[[#This Row],[D_QTRAI]]*données_step[[#This Row],[S_MES]]/1000)</f>
        <v/>
      </c>
      <c r="R194" s="523">
        <f>MAX(données_step[[#This Row],[D_QTRAI]],données_step[[#This Row],[D_QTRAI2]])</f>
        <v>0</v>
      </c>
      <c r="S194" s="523" t="str">
        <f>IF(AND($R194&gt;0,données_step[[#This Row],[E_DCO]]&gt;0),données_step[[#This Row],[E_DCO]],"")</f>
        <v/>
      </c>
      <c r="T194" s="523" t="str">
        <f>IF(S194="","",(1-données_step[[#This Row],[E_DCO]]/$V$7)*100)</f>
        <v/>
      </c>
      <c r="U194" s="523" t="str">
        <f t="shared" si="35"/>
        <v/>
      </c>
      <c r="V194" s="523" t="str">
        <f t="shared" si="36"/>
        <v/>
      </c>
      <c r="W194" s="523" t="str">
        <f t="shared" si="37"/>
        <v/>
      </c>
      <c r="X194" s="523" t="e">
        <f>IF(((100-100/$V$7*données_step[[#This Row],[E_DCO]])/100*QTS)&lt;0,NA(),IF(OR(U194&lt;0,U194=""),NA(),((100-100/$V$7*données_step[[#This Row],[E_DCO]])/100*QTS)))</f>
        <v>#NUM!</v>
      </c>
      <c r="Y194" s="523" t="str">
        <f>IF(AND($R194&gt;0,données_step[[#This Row],[E_COT]]&gt;0),données_step[[#This Row],[E_COT]],"")</f>
        <v/>
      </c>
      <c r="Z194" s="523" t="str">
        <f>IF(Y194="","",(1-données_step[[#This Row],[E_COT]]/$AB$7)*100)</f>
        <v/>
      </c>
      <c r="AA194" s="523" t="str">
        <f t="shared" si="38"/>
        <v/>
      </c>
      <c r="AB194" s="523" t="str">
        <f t="shared" si="39"/>
        <v/>
      </c>
      <c r="AC194" s="523" t="str">
        <f t="shared" si="40"/>
        <v/>
      </c>
      <c r="AD194" s="523" t="e">
        <f>IF(((100-100/$AB$7*données_step[[#This Row],[E_COT]])/100*QTS)&lt;0,NA(),IF(OR(AA194&lt;0,AA194=""),NA(),((100-100/$AB$7*données_step[[#This Row],[E_COT]])/100*QTS)))</f>
        <v>#NUM!</v>
      </c>
      <c r="AE194" s="523" t="str">
        <f>IF(AND($R194&gt;0,données_step[[#This Row],[E_NH4]]&gt;0),données_step[[#This Row],[E_NH4]],"")</f>
        <v/>
      </c>
      <c r="AF194" s="523" t="str">
        <f>IF(AE194="","",(1-données_step[[#This Row],[E_NH4]]/$AH$7)*100)</f>
        <v/>
      </c>
      <c r="AG194" s="523" t="str">
        <f t="shared" si="41"/>
        <v/>
      </c>
      <c r="AH194" s="523" t="str">
        <f t="shared" si="42"/>
        <v/>
      </c>
      <c r="AI194" s="523" t="str">
        <f t="shared" si="43"/>
        <v/>
      </c>
      <c r="AJ194" s="523" t="e">
        <f>IF(((100-100/$AH$7*données_step[[#This Row],[E_NH4]])/100*QTS)&lt;0,NA(),IF(OR(AG194&lt;0,AG194=""),NA(),((100-100/$AH$7*données_step[[#This Row],[E_NH4]])/100*QTS)))</f>
        <v>#NUM!</v>
      </c>
      <c r="AK194" s="523" t="str">
        <f>IF(AND($R194&gt;0,données_step[[#This Row],[E_PTOT]]&gt;0),données_step[[#This Row],[E_PTOT]],"")</f>
        <v/>
      </c>
      <c r="AL194" s="523" t="str">
        <f>IF(AK194="","",(1-données_step[[#This Row],[E_PTOT]]/$AN$7)*100)</f>
        <v/>
      </c>
      <c r="AM194" s="523" t="str">
        <f t="shared" si="44"/>
        <v/>
      </c>
      <c r="AN194" s="523" t="str">
        <f t="shared" si="45"/>
        <v/>
      </c>
      <c r="AO194" s="523" t="str">
        <f t="shared" si="46"/>
        <v/>
      </c>
      <c r="AP194" s="523" t="e">
        <f>IF(((100-100/$AN$7*données_step[[#This Row],[E_PTOT]])/100*QTS)&lt;0,NA(),IF(OR(AM194&lt;0,AM194=""),NA(),((100-100/$AN$7*données_step[[#This Row],[E_PTOT]])/100*QTS)))</f>
        <v>#NUM!</v>
      </c>
      <c r="AQ194" s="524" t="e">
        <f t="shared" si="47"/>
        <v>#NUM!</v>
      </c>
      <c r="AR194" s="524" t="str">
        <f t="shared" si="48"/>
        <v/>
      </c>
      <c r="AY194" s="523" t="str">
        <f>_xlfn.IFNA(IF(données_step[[#This Row],[E_DCO]]&lt;=0,NA(),charge_entree[[#This Row],[ch_E_DCO]]/constanten!$B$8*1000),"")</f>
        <v/>
      </c>
      <c r="AZ194" s="523" t="str">
        <f>_xlfn.IFNA(IF(données_step[[#This Row],[E_NTOT]]&lt;=0,NA(),charge_entree[[#This Row],[ch_E_NTOT]]/constanten!$B$10*1000),"")</f>
        <v/>
      </c>
      <c r="BA194" s="523" t="str">
        <f>_xlfn.IFNA(IF(données_step[[#This Row],[E_NH4]]&lt;=0,NA(),charge_entree[[#This Row],[ch_E_NH4]]/constanten!$B$12*1000),"")</f>
        <v/>
      </c>
      <c r="BB194" s="523" t="str">
        <f>_xlfn.IFNA(IF(données_step[[#This Row],[E_COT]]&lt;=0,NA(),charge_entree[[#This Row],[ch_E_COT]]/constanten!$B$9*1000),"")</f>
        <v/>
      </c>
      <c r="BC194" s="523" t="str">
        <f>IFERROR(_xlfn.IFNA(IF(données_step[[#This Row],[E_PTOT]]&lt;=0,NA(),charge_entree[[#This Row],[ch_E_PTOT]]/constanten!$B$15*1000),""),"")</f>
        <v/>
      </c>
      <c r="BD194" s="535" t="e">
        <f>calculs!E194 * (1-0.4) / (données_step[[#This Row],[X_BA_VOL]]*données_step[[#This Row],[X_BACONC]])</f>
        <v>#VALUE!</v>
      </c>
      <c r="BE194" s="522" t="e">
        <f>(données_step[[#This Row],[X_BA_VOL]]*données_step[[#This Row],[X_BACONC]])/((données_step[[#This Row],[D_QTRAI2]]*données_step[[#This Row],[S_MES]]/1000)+(données_step[[#This Row],[X_BX_Q]]*données_step[[#This Row],[X_BXCONC]]))</f>
        <v>#VALUE!</v>
      </c>
      <c r="BF194" s="890" t="str">
        <f>IFERROR(données_step[[#This Row],[D_QTRAI]]/AY194*1000,"")</f>
        <v/>
      </c>
      <c r="BG194" s="535" t="str">
        <f>IFERROR(1-données_step[[#This Row],[S_DBO5]]/données_step[[#This Row],[E_DBO5]],"")</f>
        <v/>
      </c>
      <c r="BH194" s="536" t="str">
        <f>IFERROR(1-données_step[[#This Row],[S_DCO]]/données_step[[#This Row],[E_DCO]],"")</f>
        <v/>
      </c>
      <c r="BI194" s="535" t="str">
        <f>IFERROR(1-données_step[[#This Row],[S_COD]]/données_step[[#This Row],[E_COT]],"")</f>
        <v/>
      </c>
      <c r="BJ194" s="535" t="str">
        <f>IFERROR(1-données_step[[#This Row],[S_NH4]]/données_step[[#This Row],[E_NTOT]],"")</f>
        <v/>
      </c>
      <c r="BK194" s="535" t="str">
        <f>IFERROR(1-données_step[[#This Row],[S_PTOT]]/données_step[[#This Row],[E_PTOT]],"")</f>
        <v/>
      </c>
      <c r="BL194" s="521" t="str">
        <f>IFERROR(IF(données_step[[#This Row],[E_DCO]]/données_step[[#This Row],[E_DBO5]]=0,NA(),données_step[[#This Row],[E_DCO]]/données_step[[#This Row],[E_DBO5]]),"")</f>
        <v/>
      </c>
      <c r="BM194" s="521" t="str">
        <f>IFERROR(IF(données_step[[#This Row],[E_NH4]]/données_step[[#This Row],[E_NTOT]]=0,NA(),données_step[[#This Row],[E_NH4]]/données_step[[#This Row],[E_NTOT]]),"")</f>
        <v/>
      </c>
      <c r="BN194" s="521" t="str">
        <f>IFERROR(IF(données_step[[#This Row],[E_NTOT]]/données_step[[#This Row],[E_COT]]=0,NA(),données_step[[#This Row],[E_NTOT]]/données_step[[#This Row],[E_COT]]),"")</f>
        <v/>
      </c>
      <c r="BO194" s="521" t="str">
        <f>IFERROR(IF(données_step[[#This Row],[E_PTOT]]/données_step[[#This Row],[E_COT]]=0,NA(),données_step[[#This Row],[E_PTOT]]/données_step[[#This Row],[E_COT]]),"")</f>
        <v/>
      </c>
      <c r="BP194" s="521" t="e">
        <f>IF(données_step[[#This Row],[E_DCO]]/données_step[[#This Row],[E_COT]]=0,NA(),données_step[[#This Row],[E_DCO]]/données_step[[#This Row],[E_COT]])</f>
        <v>#DIV/0!</v>
      </c>
      <c r="BQ194" s="521" t="e">
        <f>IF(données_step[[#This Row],[E_NTOT]]/données_step[[#This Row],[E_DCO]]=0,NA(),données_step[[#This Row],[E_NTOT]]/données_step[[#This Row],[E_DCO]])</f>
        <v>#DIV/0!</v>
      </c>
      <c r="BR194" s="521" t="e">
        <f>IF(données_step[[#This Row],[E_PTOT]]/données_step[[#This Row],[E_DCO]]=0,NA(),données_step[[#This Row],[E_PTOT]]/données_step[[#This Row],[E_DCO]])</f>
        <v>#DIV/0!</v>
      </c>
      <c r="BS194" s="747" t="e">
        <f ca="1">test_NH4_temp(données_step[[#This Row],[S_NH4]],données_step[[#This Row],[Temp_eaux]])</f>
        <v>#NAME?</v>
      </c>
    </row>
    <row r="195" spans="1:71" x14ac:dyDescent="0.2">
      <c r="A195" s="222">
        <f>données_step[[#This Row],[Datum]]</f>
        <v>44746</v>
      </c>
      <c r="B195" s="223"/>
      <c r="C195" s="224">
        <f t="shared" si="49"/>
        <v>2</v>
      </c>
      <c r="D195" s="523" t="str">
        <f>IF(OR(données_step[[#This Row],[E_DBO5]]&lt;=0,données_step[[#This Row],[E_DBO5]]=""),"",données_step[[#This Row],[D_QTRAI]]*données_step[[#This Row],[E_DBO5]]/1000)</f>
        <v/>
      </c>
      <c r="E195" s="523" t="str">
        <f>IF(OR(données_step[[#This Row],[E_DCO]]&lt;=0,données_step[[#This Row],[E_DCO]]=""),"",données_step[[#This Row],[D_QTRAI]]*données_step[[#This Row],[E_DCO]]/1000)</f>
        <v/>
      </c>
      <c r="F195" s="523" t="str">
        <f>IF(OR(données_step[[#This Row],[E_COT]]&lt;=0,données_step[[#This Row],[E_COT]]=""),"",données_step[[#This Row],[D_QTRAI]]*données_step[[#This Row],[E_COT]]/1000)</f>
        <v/>
      </c>
      <c r="G195" s="523" t="str">
        <f>IF(OR(données_step[[#This Row],[E_NH4]]&lt;=0,données_step[[#This Row],[E_NH4]]=""),"",données_step[[#This Row],[D_QTRAI]]*données_step[[#This Row],[E_NH4]]/1000)</f>
        <v/>
      </c>
      <c r="H195" s="523" t="str">
        <f>IF(OR(données_step[[#This Row],[E_NTOT]]&lt;=0,données_step[[#This Row],[E_NTOT]]=""),"",données_step[[#This Row],[D_QTRAI]]*données_step[[#This Row],[E_NTOT]]/1000)</f>
        <v/>
      </c>
      <c r="I195" s="523" t="str">
        <f>IF(OR(données_step[[#This Row],[E_NTOT]]&lt;=0,données_step[[#This Row],[E_NTOT]]=""),"",données_step[[#This Row],[D_QTRAI]]*données_step[[#This Row],[E_PTOT]]/1000)</f>
        <v/>
      </c>
      <c r="J195" s="523" t="str">
        <f>IF(OR(données_step[[#This Row],[S_DBO5]]&lt;=0,données_step[[#This Row],[S_DBO5]]=""),"",données_step[[#This Row],[D_QTRAI]]*données_step[[#This Row],[S_DBO5]]/1000)</f>
        <v/>
      </c>
      <c r="K195" s="523" t="str">
        <f>IF(OR(données_step[[#This Row],[S_DCO]]&lt;=0,données_step[[#This Row],[S_DCO]]=""),"",données_step[[#This Row],[D_QTRAI]]*données_step[[#This Row],[S_DCO]]/1000)</f>
        <v/>
      </c>
      <c r="L195" s="523" t="str">
        <f>IF(OR(données_step[[#This Row],[S_COD]]&lt;=0,données_step[[#This Row],[S_COD]]=""),"",données_step[[#This Row],[D_QTRAI]]*données_step[[#This Row],[S_COD]]/1000)</f>
        <v/>
      </c>
      <c r="M195" s="523" t="str">
        <f>IF(OR(données_step[[#This Row],[S_NH4]]&lt;=0,données_step[[#This Row],[S_NH4]]=""),"",données_step[[#This Row],[D_QTRAI]]*données_step[[#This Row],[S_NH4]]/1000)</f>
        <v/>
      </c>
      <c r="N195" s="523" t="str">
        <f>IF(OR(données_step[[#This Row],[S_NO2]]&lt;=0,données_step[[#This Row],[S_NO2]]=""),"",données_step[[#This Row],[D_QTRAI]]*données_step[[#This Row],[S_NO2]]/1000)</f>
        <v/>
      </c>
      <c r="O195" s="523" t="str">
        <f>IF(OR(données_step[[#This Row],[S_NO3]]&lt;=0,données_step[[#This Row],[S_NO3]]=""),"",données_step[[#This Row],[D_QTRAI]]*données_step[[#This Row],[S_NO3]]/1000)</f>
        <v/>
      </c>
      <c r="P195" s="523" t="str">
        <f>IF(OR(données_step[[#This Row],[S_PTOT]]&lt;=0,données_step[[#This Row],[S_PTOT]]=""),"",données_step[[#This Row],[D_QTRAI]]*données_step[[#This Row],[S_PTOT]]/1000)</f>
        <v/>
      </c>
      <c r="Q195" s="523" t="str">
        <f>IF(OR(données_step[[#This Row],[S_MES]]&lt;=0,données_step[[#This Row],[S_MES]]=""),"",données_step[[#This Row],[D_QTRAI]]*données_step[[#This Row],[S_MES]]/1000)</f>
        <v/>
      </c>
      <c r="R195" s="523">
        <f>MAX(données_step[[#This Row],[D_QTRAI]],données_step[[#This Row],[D_QTRAI2]])</f>
        <v>0</v>
      </c>
      <c r="S195" s="523" t="str">
        <f>IF(AND($R195&gt;0,données_step[[#This Row],[E_DCO]]&gt;0),données_step[[#This Row],[E_DCO]],"")</f>
        <v/>
      </c>
      <c r="T195" s="523" t="str">
        <f>IF(S195="","",(1-données_step[[#This Row],[E_DCO]]/$V$7)*100)</f>
        <v/>
      </c>
      <c r="U195" s="523" t="str">
        <f t="shared" si="35"/>
        <v/>
      </c>
      <c r="V195" s="523" t="str">
        <f t="shared" si="36"/>
        <v/>
      </c>
      <c r="W195" s="523" t="str">
        <f t="shared" si="37"/>
        <v/>
      </c>
      <c r="X195" s="523" t="e">
        <f>IF(((100-100/$V$7*données_step[[#This Row],[E_DCO]])/100*QTS)&lt;0,NA(),IF(OR(U195&lt;0,U195=""),NA(),((100-100/$V$7*données_step[[#This Row],[E_DCO]])/100*QTS)))</f>
        <v>#NUM!</v>
      </c>
      <c r="Y195" s="523" t="str">
        <f>IF(AND($R195&gt;0,données_step[[#This Row],[E_COT]]&gt;0),données_step[[#This Row],[E_COT]],"")</f>
        <v/>
      </c>
      <c r="Z195" s="523" t="str">
        <f>IF(Y195="","",(1-données_step[[#This Row],[E_COT]]/$AB$7)*100)</f>
        <v/>
      </c>
      <c r="AA195" s="523" t="str">
        <f t="shared" si="38"/>
        <v/>
      </c>
      <c r="AB195" s="523" t="str">
        <f t="shared" si="39"/>
        <v/>
      </c>
      <c r="AC195" s="523" t="str">
        <f t="shared" si="40"/>
        <v/>
      </c>
      <c r="AD195" s="523" t="e">
        <f>IF(((100-100/$AB$7*données_step[[#This Row],[E_COT]])/100*QTS)&lt;0,NA(),IF(OR(AA195&lt;0,AA195=""),NA(),((100-100/$AB$7*données_step[[#This Row],[E_COT]])/100*QTS)))</f>
        <v>#NUM!</v>
      </c>
      <c r="AE195" s="523" t="str">
        <f>IF(AND($R195&gt;0,données_step[[#This Row],[E_NH4]]&gt;0),données_step[[#This Row],[E_NH4]],"")</f>
        <v/>
      </c>
      <c r="AF195" s="523" t="str">
        <f>IF(AE195="","",(1-données_step[[#This Row],[E_NH4]]/$AH$7)*100)</f>
        <v/>
      </c>
      <c r="AG195" s="523" t="str">
        <f t="shared" si="41"/>
        <v/>
      </c>
      <c r="AH195" s="523" t="str">
        <f t="shared" si="42"/>
        <v/>
      </c>
      <c r="AI195" s="523" t="str">
        <f t="shared" si="43"/>
        <v/>
      </c>
      <c r="AJ195" s="523" t="e">
        <f>IF(((100-100/$AH$7*données_step[[#This Row],[E_NH4]])/100*QTS)&lt;0,NA(),IF(OR(AG195&lt;0,AG195=""),NA(),((100-100/$AH$7*données_step[[#This Row],[E_NH4]])/100*QTS)))</f>
        <v>#NUM!</v>
      </c>
      <c r="AK195" s="523" t="str">
        <f>IF(AND($R195&gt;0,données_step[[#This Row],[E_PTOT]]&gt;0),données_step[[#This Row],[E_PTOT]],"")</f>
        <v/>
      </c>
      <c r="AL195" s="523" t="str">
        <f>IF(AK195="","",(1-données_step[[#This Row],[E_PTOT]]/$AN$7)*100)</f>
        <v/>
      </c>
      <c r="AM195" s="523" t="str">
        <f t="shared" si="44"/>
        <v/>
      </c>
      <c r="AN195" s="523" t="str">
        <f t="shared" si="45"/>
        <v/>
      </c>
      <c r="AO195" s="523" t="str">
        <f t="shared" si="46"/>
        <v/>
      </c>
      <c r="AP195" s="523" t="e">
        <f>IF(((100-100/$AN$7*données_step[[#This Row],[E_PTOT]])/100*QTS)&lt;0,NA(),IF(OR(AM195&lt;0,AM195=""),NA(),((100-100/$AN$7*données_step[[#This Row],[E_PTOT]])/100*QTS)))</f>
        <v>#NUM!</v>
      </c>
      <c r="AQ195" s="524" t="e">
        <f t="shared" si="47"/>
        <v>#NUM!</v>
      </c>
      <c r="AR195" s="524" t="str">
        <f t="shared" si="48"/>
        <v/>
      </c>
      <c r="AY195" s="523" t="str">
        <f>_xlfn.IFNA(IF(données_step[[#This Row],[E_DCO]]&lt;=0,NA(),charge_entree[[#This Row],[ch_E_DCO]]/constanten!$B$8*1000),"")</f>
        <v/>
      </c>
      <c r="AZ195" s="523" t="str">
        <f>_xlfn.IFNA(IF(données_step[[#This Row],[E_NTOT]]&lt;=0,NA(),charge_entree[[#This Row],[ch_E_NTOT]]/constanten!$B$10*1000),"")</f>
        <v/>
      </c>
      <c r="BA195" s="523" t="str">
        <f>_xlfn.IFNA(IF(données_step[[#This Row],[E_NH4]]&lt;=0,NA(),charge_entree[[#This Row],[ch_E_NH4]]/constanten!$B$12*1000),"")</f>
        <v/>
      </c>
      <c r="BB195" s="523" t="str">
        <f>_xlfn.IFNA(IF(données_step[[#This Row],[E_COT]]&lt;=0,NA(),charge_entree[[#This Row],[ch_E_COT]]/constanten!$B$9*1000),"")</f>
        <v/>
      </c>
      <c r="BC195" s="523" t="str">
        <f>IFERROR(_xlfn.IFNA(IF(données_step[[#This Row],[E_PTOT]]&lt;=0,NA(),charge_entree[[#This Row],[ch_E_PTOT]]/constanten!$B$15*1000),""),"")</f>
        <v/>
      </c>
      <c r="BD195" s="535" t="e">
        <f>calculs!E195 * (1-0.4) / (données_step[[#This Row],[X_BA_VOL]]*données_step[[#This Row],[X_BACONC]])</f>
        <v>#VALUE!</v>
      </c>
      <c r="BE195" s="522" t="e">
        <f>(données_step[[#This Row],[X_BA_VOL]]*données_step[[#This Row],[X_BACONC]])/((données_step[[#This Row],[D_QTRAI2]]*données_step[[#This Row],[S_MES]]/1000)+(données_step[[#This Row],[X_BX_Q]]*données_step[[#This Row],[X_BXCONC]]))</f>
        <v>#VALUE!</v>
      </c>
      <c r="BF195" s="890" t="str">
        <f>IFERROR(données_step[[#This Row],[D_QTRAI]]/AY195*1000,"")</f>
        <v/>
      </c>
      <c r="BG195" s="535" t="str">
        <f>IFERROR(1-données_step[[#This Row],[S_DBO5]]/données_step[[#This Row],[E_DBO5]],"")</f>
        <v/>
      </c>
      <c r="BH195" s="536" t="str">
        <f>IFERROR(1-données_step[[#This Row],[S_DCO]]/données_step[[#This Row],[E_DCO]],"")</f>
        <v/>
      </c>
      <c r="BI195" s="535" t="str">
        <f>IFERROR(1-données_step[[#This Row],[S_COD]]/données_step[[#This Row],[E_COT]],"")</f>
        <v/>
      </c>
      <c r="BJ195" s="535" t="str">
        <f>IFERROR(1-données_step[[#This Row],[S_NH4]]/données_step[[#This Row],[E_NTOT]],"")</f>
        <v/>
      </c>
      <c r="BK195" s="535" t="str">
        <f>IFERROR(1-données_step[[#This Row],[S_PTOT]]/données_step[[#This Row],[E_PTOT]],"")</f>
        <v/>
      </c>
      <c r="BL195" s="521" t="str">
        <f>IFERROR(IF(données_step[[#This Row],[E_DCO]]/données_step[[#This Row],[E_DBO5]]=0,NA(),données_step[[#This Row],[E_DCO]]/données_step[[#This Row],[E_DBO5]]),"")</f>
        <v/>
      </c>
      <c r="BM195" s="521" t="str">
        <f>IFERROR(IF(données_step[[#This Row],[E_NH4]]/données_step[[#This Row],[E_NTOT]]=0,NA(),données_step[[#This Row],[E_NH4]]/données_step[[#This Row],[E_NTOT]]),"")</f>
        <v/>
      </c>
      <c r="BN195" s="521" t="str">
        <f>IFERROR(IF(données_step[[#This Row],[E_NTOT]]/données_step[[#This Row],[E_COT]]=0,NA(),données_step[[#This Row],[E_NTOT]]/données_step[[#This Row],[E_COT]]),"")</f>
        <v/>
      </c>
      <c r="BO195" s="521" t="str">
        <f>IFERROR(IF(données_step[[#This Row],[E_PTOT]]/données_step[[#This Row],[E_COT]]=0,NA(),données_step[[#This Row],[E_PTOT]]/données_step[[#This Row],[E_COT]]),"")</f>
        <v/>
      </c>
      <c r="BP195" s="521" t="e">
        <f>IF(données_step[[#This Row],[E_DCO]]/données_step[[#This Row],[E_COT]]=0,NA(),données_step[[#This Row],[E_DCO]]/données_step[[#This Row],[E_COT]])</f>
        <v>#DIV/0!</v>
      </c>
      <c r="BQ195" s="521" t="e">
        <f>IF(données_step[[#This Row],[E_NTOT]]/données_step[[#This Row],[E_DCO]]=0,NA(),données_step[[#This Row],[E_NTOT]]/données_step[[#This Row],[E_DCO]])</f>
        <v>#DIV/0!</v>
      </c>
      <c r="BR195" s="521" t="e">
        <f>IF(données_step[[#This Row],[E_PTOT]]/données_step[[#This Row],[E_DCO]]=0,NA(),données_step[[#This Row],[E_PTOT]]/données_step[[#This Row],[E_DCO]])</f>
        <v>#DIV/0!</v>
      </c>
      <c r="BS195" s="747" t="e">
        <f ca="1">test_NH4_temp(données_step[[#This Row],[S_NH4]],données_step[[#This Row],[Temp_eaux]])</f>
        <v>#NAME?</v>
      </c>
    </row>
    <row r="196" spans="1:71" x14ac:dyDescent="0.2">
      <c r="A196" s="222">
        <f>données_step[[#This Row],[Datum]]</f>
        <v>44747</v>
      </c>
      <c r="B196" s="223"/>
      <c r="C196" s="224">
        <f t="shared" si="49"/>
        <v>3</v>
      </c>
      <c r="D196" s="523" t="str">
        <f>IF(OR(données_step[[#This Row],[E_DBO5]]&lt;=0,données_step[[#This Row],[E_DBO5]]=""),"",données_step[[#This Row],[D_QTRAI]]*données_step[[#This Row],[E_DBO5]]/1000)</f>
        <v/>
      </c>
      <c r="E196" s="523" t="str">
        <f>IF(OR(données_step[[#This Row],[E_DCO]]&lt;=0,données_step[[#This Row],[E_DCO]]=""),"",données_step[[#This Row],[D_QTRAI]]*données_step[[#This Row],[E_DCO]]/1000)</f>
        <v/>
      </c>
      <c r="F196" s="523" t="str">
        <f>IF(OR(données_step[[#This Row],[E_COT]]&lt;=0,données_step[[#This Row],[E_COT]]=""),"",données_step[[#This Row],[D_QTRAI]]*données_step[[#This Row],[E_COT]]/1000)</f>
        <v/>
      </c>
      <c r="G196" s="523" t="str">
        <f>IF(OR(données_step[[#This Row],[E_NH4]]&lt;=0,données_step[[#This Row],[E_NH4]]=""),"",données_step[[#This Row],[D_QTRAI]]*données_step[[#This Row],[E_NH4]]/1000)</f>
        <v/>
      </c>
      <c r="H196" s="523" t="str">
        <f>IF(OR(données_step[[#This Row],[E_NTOT]]&lt;=0,données_step[[#This Row],[E_NTOT]]=""),"",données_step[[#This Row],[D_QTRAI]]*données_step[[#This Row],[E_NTOT]]/1000)</f>
        <v/>
      </c>
      <c r="I196" s="523" t="str">
        <f>IF(OR(données_step[[#This Row],[E_NTOT]]&lt;=0,données_step[[#This Row],[E_NTOT]]=""),"",données_step[[#This Row],[D_QTRAI]]*données_step[[#This Row],[E_PTOT]]/1000)</f>
        <v/>
      </c>
      <c r="J196" s="523" t="str">
        <f>IF(OR(données_step[[#This Row],[S_DBO5]]&lt;=0,données_step[[#This Row],[S_DBO5]]=""),"",données_step[[#This Row],[D_QTRAI]]*données_step[[#This Row],[S_DBO5]]/1000)</f>
        <v/>
      </c>
      <c r="K196" s="523" t="str">
        <f>IF(OR(données_step[[#This Row],[S_DCO]]&lt;=0,données_step[[#This Row],[S_DCO]]=""),"",données_step[[#This Row],[D_QTRAI]]*données_step[[#This Row],[S_DCO]]/1000)</f>
        <v/>
      </c>
      <c r="L196" s="523" t="str">
        <f>IF(OR(données_step[[#This Row],[S_COD]]&lt;=0,données_step[[#This Row],[S_COD]]=""),"",données_step[[#This Row],[D_QTRAI]]*données_step[[#This Row],[S_COD]]/1000)</f>
        <v/>
      </c>
      <c r="M196" s="523" t="str">
        <f>IF(OR(données_step[[#This Row],[S_NH4]]&lt;=0,données_step[[#This Row],[S_NH4]]=""),"",données_step[[#This Row],[D_QTRAI]]*données_step[[#This Row],[S_NH4]]/1000)</f>
        <v/>
      </c>
      <c r="N196" s="523" t="str">
        <f>IF(OR(données_step[[#This Row],[S_NO2]]&lt;=0,données_step[[#This Row],[S_NO2]]=""),"",données_step[[#This Row],[D_QTRAI]]*données_step[[#This Row],[S_NO2]]/1000)</f>
        <v/>
      </c>
      <c r="O196" s="523" t="str">
        <f>IF(OR(données_step[[#This Row],[S_NO3]]&lt;=0,données_step[[#This Row],[S_NO3]]=""),"",données_step[[#This Row],[D_QTRAI]]*données_step[[#This Row],[S_NO3]]/1000)</f>
        <v/>
      </c>
      <c r="P196" s="523" t="str">
        <f>IF(OR(données_step[[#This Row],[S_PTOT]]&lt;=0,données_step[[#This Row],[S_PTOT]]=""),"",données_step[[#This Row],[D_QTRAI]]*données_step[[#This Row],[S_PTOT]]/1000)</f>
        <v/>
      </c>
      <c r="Q196" s="523" t="str">
        <f>IF(OR(données_step[[#This Row],[S_MES]]&lt;=0,données_step[[#This Row],[S_MES]]=""),"",données_step[[#This Row],[D_QTRAI]]*données_step[[#This Row],[S_MES]]/1000)</f>
        <v/>
      </c>
      <c r="R196" s="523">
        <f>MAX(données_step[[#This Row],[D_QTRAI]],données_step[[#This Row],[D_QTRAI2]])</f>
        <v>0</v>
      </c>
      <c r="S196" s="523" t="str">
        <f>IF(AND($R196&gt;0,données_step[[#This Row],[E_DCO]]&gt;0),données_step[[#This Row],[E_DCO]],"")</f>
        <v/>
      </c>
      <c r="T196" s="523" t="str">
        <f>IF(S196="","",(1-données_step[[#This Row],[E_DCO]]/$V$7)*100)</f>
        <v/>
      </c>
      <c r="U196" s="523" t="str">
        <f t="shared" si="35"/>
        <v/>
      </c>
      <c r="V196" s="523" t="str">
        <f t="shared" si="36"/>
        <v/>
      </c>
      <c r="W196" s="523" t="str">
        <f t="shared" si="37"/>
        <v/>
      </c>
      <c r="X196" s="523" t="e">
        <f>IF(((100-100/$V$7*données_step[[#This Row],[E_DCO]])/100*QTS)&lt;0,NA(),IF(OR(U196&lt;0,U196=""),NA(),((100-100/$V$7*données_step[[#This Row],[E_DCO]])/100*QTS)))</f>
        <v>#NUM!</v>
      </c>
      <c r="Y196" s="523" t="str">
        <f>IF(AND($R196&gt;0,données_step[[#This Row],[E_COT]]&gt;0),données_step[[#This Row],[E_COT]],"")</f>
        <v/>
      </c>
      <c r="Z196" s="523" t="str">
        <f>IF(Y196="","",(1-données_step[[#This Row],[E_COT]]/$AB$7)*100)</f>
        <v/>
      </c>
      <c r="AA196" s="523" t="str">
        <f t="shared" si="38"/>
        <v/>
      </c>
      <c r="AB196" s="523" t="str">
        <f t="shared" si="39"/>
        <v/>
      </c>
      <c r="AC196" s="523" t="str">
        <f t="shared" si="40"/>
        <v/>
      </c>
      <c r="AD196" s="523" t="e">
        <f>IF(((100-100/$AB$7*données_step[[#This Row],[E_COT]])/100*QTS)&lt;0,NA(),IF(OR(AA196&lt;0,AA196=""),NA(),((100-100/$AB$7*données_step[[#This Row],[E_COT]])/100*QTS)))</f>
        <v>#NUM!</v>
      </c>
      <c r="AE196" s="523" t="str">
        <f>IF(AND($R196&gt;0,données_step[[#This Row],[E_NH4]]&gt;0),données_step[[#This Row],[E_NH4]],"")</f>
        <v/>
      </c>
      <c r="AF196" s="523" t="str">
        <f>IF(AE196="","",(1-données_step[[#This Row],[E_NH4]]/$AH$7)*100)</f>
        <v/>
      </c>
      <c r="AG196" s="523" t="str">
        <f t="shared" si="41"/>
        <v/>
      </c>
      <c r="AH196" s="523" t="str">
        <f t="shared" si="42"/>
        <v/>
      </c>
      <c r="AI196" s="523" t="str">
        <f t="shared" si="43"/>
        <v/>
      </c>
      <c r="AJ196" s="523" t="e">
        <f>IF(((100-100/$AH$7*données_step[[#This Row],[E_NH4]])/100*QTS)&lt;0,NA(),IF(OR(AG196&lt;0,AG196=""),NA(),((100-100/$AH$7*données_step[[#This Row],[E_NH4]])/100*QTS)))</f>
        <v>#NUM!</v>
      </c>
      <c r="AK196" s="523" t="str">
        <f>IF(AND($R196&gt;0,données_step[[#This Row],[E_PTOT]]&gt;0),données_step[[#This Row],[E_PTOT]],"")</f>
        <v/>
      </c>
      <c r="AL196" s="523" t="str">
        <f>IF(AK196="","",(1-données_step[[#This Row],[E_PTOT]]/$AN$7)*100)</f>
        <v/>
      </c>
      <c r="AM196" s="523" t="str">
        <f t="shared" si="44"/>
        <v/>
      </c>
      <c r="AN196" s="523" t="str">
        <f t="shared" si="45"/>
        <v/>
      </c>
      <c r="AO196" s="523" t="str">
        <f t="shared" si="46"/>
        <v/>
      </c>
      <c r="AP196" s="523" t="e">
        <f>IF(((100-100/$AN$7*données_step[[#This Row],[E_PTOT]])/100*QTS)&lt;0,NA(),IF(OR(AM196&lt;0,AM196=""),NA(),((100-100/$AN$7*données_step[[#This Row],[E_PTOT]])/100*QTS)))</f>
        <v>#NUM!</v>
      </c>
      <c r="AQ196" s="524" t="e">
        <f t="shared" si="47"/>
        <v>#NUM!</v>
      </c>
      <c r="AR196" s="524" t="str">
        <f t="shared" si="48"/>
        <v/>
      </c>
      <c r="AY196" s="523" t="str">
        <f>_xlfn.IFNA(IF(données_step[[#This Row],[E_DCO]]&lt;=0,NA(),charge_entree[[#This Row],[ch_E_DCO]]/constanten!$B$8*1000),"")</f>
        <v/>
      </c>
      <c r="AZ196" s="523" t="str">
        <f>_xlfn.IFNA(IF(données_step[[#This Row],[E_NTOT]]&lt;=0,NA(),charge_entree[[#This Row],[ch_E_NTOT]]/constanten!$B$10*1000),"")</f>
        <v/>
      </c>
      <c r="BA196" s="523" t="str">
        <f>_xlfn.IFNA(IF(données_step[[#This Row],[E_NH4]]&lt;=0,NA(),charge_entree[[#This Row],[ch_E_NH4]]/constanten!$B$12*1000),"")</f>
        <v/>
      </c>
      <c r="BB196" s="523" t="str">
        <f>_xlfn.IFNA(IF(données_step[[#This Row],[E_COT]]&lt;=0,NA(),charge_entree[[#This Row],[ch_E_COT]]/constanten!$B$9*1000),"")</f>
        <v/>
      </c>
      <c r="BC196" s="523" t="str">
        <f>IFERROR(_xlfn.IFNA(IF(données_step[[#This Row],[E_PTOT]]&lt;=0,NA(),charge_entree[[#This Row],[ch_E_PTOT]]/constanten!$B$15*1000),""),"")</f>
        <v/>
      </c>
      <c r="BD196" s="535" t="e">
        <f>calculs!E196 * (1-0.4) / (données_step[[#This Row],[X_BA_VOL]]*données_step[[#This Row],[X_BACONC]])</f>
        <v>#VALUE!</v>
      </c>
      <c r="BE196" s="522" t="e">
        <f>(données_step[[#This Row],[X_BA_VOL]]*données_step[[#This Row],[X_BACONC]])/((données_step[[#This Row],[D_QTRAI2]]*données_step[[#This Row],[S_MES]]/1000)+(données_step[[#This Row],[X_BX_Q]]*données_step[[#This Row],[X_BXCONC]]))</f>
        <v>#VALUE!</v>
      </c>
      <c r="BF196" s="890" t="str">
        <f>IFERROR(données_step[[#This Row],[D_QTRAI]]/AY196*1000,"")</f>
        <v/>
      </c>
      <c r="BG196" s="535" t="str">
        <f>IFERROR(1-données_step[[#This Row],[S_DBO5]]/données_step[[#This Row],[E_DBO5]],"")</f>
        <v/>
      </c>
      <c r="BH196" s="536" t="str">
        <f>IFERROR(1-données_step[[#This Row],[S_DCO]]/données_step[[#This Row],[E_DCO]],"")</f>
        <v/>
      </c>
      <c r="BI196" s="535" t="str">
        <f>IFERROR(1-données_step[[#This Row],[S_COD]]/données_step[[#This Row],[E_COT]],"")</f>
        <v/>
      </c>
      <c r="BJ196" s="535" t="str">
        <f>IFERROR(1-données_step[[#This Row],[S_NH4]]/données_step[[#This Row],[E_NTOT]],"")</f>
        <v/>
      </c>
      <c r="BK196" s="535" t="str">
        <f>IFERROR(1-données_step[[#This Row],[S_PTOT]]/données_step[[#This Row],[E_PTOT]],"")</f>
        <v/>
      </c>
      <c r="BL196" s="521" t="str">
        <f>IFERROR(IF(données_step[[#This Row],[E_DCO]]/données_step[[#This Row],[E_DBO5]]=0,NA(),données_step[[#This Row],[E_DCO]]/données_step[[#This Row],[E_DBO5]]),"")</f>
        <v/>
      </c>
      <c r="BM196" s="521" t="str">
        <f>IFERROR(IF(données_step[[#This Row],[E_NH4]]/données_step[[#This Row],[E_NTOT]]=0,NA(),données_step[[#This Row],[E_NH4]]/données_step[[#This Row],[E_NTOT]]),"")</f>
        <v/>
      </c>
      <c r="BN196" s="521" t="str">
        <f>IFERROR(IF(données_step[[#This Row],[E_NTOT]]/données_step[[#This Row],[E_COT]]=0,NA(),données_step[[#This Row],[E_NTOT]]/données_step[[#This Row],[E_COT]]),"")</f>
        <v/>
      </c>
      <c r="BO196" s="521" t="str">
        <f>IFERROR(IF(données_step[[#This Row],[E_PTOT]]/données_step[[#This Row],[E_COT]]=0,NA(),données_step[[#This Row],[E_PTOT]]/données_step[[#This Row],[E_COT]]),"")</f>
        <v/>
      </c>
      <c r="BP196" s="521" t="e">
        <f>IF(données_step[[#This Row],[E_DCO]]/données_step[[#This Row],[E_COT]]=0,NA(),données_step[[#This Row],[E_DCO]]/données_step[[#This Row],[E_COT]])</f>
        <v>#DIV/0!</v>
      </c>
      <c r="BQ196" s="521" t="e">
        <f>IF(données_step[[#This Row],[E_NTOT]]/données_step[[#This Row],[E_DCO]]=0,NA(),données_step[[#This Row],[E_NTOT]]/données_step[[#This Row],[E_DCO]])</f>
        <v>#DIV/0!</v>
      </c>
      <c r="BR196" s="521" t="e">
        <f>IF(données_step[[#This Row],[E_PTOT]]/données_step[[#This Row],[E_DCO]]=0,NA(),données_step[[#This Row],[E_PTOT]]/données_step[[#This Row],[E_DCO]])</f>
        <v>#DIV/0!</v>
      </c>
      <c r="BS196" s="747" t="e">
        <f ca="1">test_NH4_temp(données_step[[#This Row],[S_NH4]],données_step[[#This Row],[Temp_eaux]])</f>
        <v>#NAME?</v>
      </c>
    </row>
    <row r="197" spans="1:71" x14ac:dyDescent="0.2">
      <c r="A197" s="222">
        <f>données_step[[#This Row],[Datum]]</f>
        <v>44748</v>
      </c>
      <c r="B197" s="223"/>
      <c r="C197" s="224">
        <f t="shared" si="49"/>
        <v>4</v>
      </c>
      <c r="D197" s="523" t="str">
        <f>IF(OR(données_step[[#This Row],[E_DBO5]]&lt;=0,données_step[[#This Row],[E_DBO5]]=""),"",données_step[[#This Row],[D_QTRAI]]*données_step[[#This Row],[E_DBO5]]/1000)</f>
        <v/>
      </c>
      <c r="E197" s="523" t="str">
        <f>IF(OR(données_step[[#This Row],[E_DCO]]&lt;=0,données_step[[#This Row],[E_DCO]]=""),"",données_step[[#This Row],[D_QTRAI]]*données_step[[#This Row],[E_DCO]]/1000)</f>
        <v/>
      </c>
      <c r="F197" s="523" t="str">
        <f>IF(OR(données_step[[#This Row],[E_COT]]&lt;=0,données_step[[#This Row],[E_COT]]=""),"",données_step[[#This Row],[D_QTRAI]]*données_step[[#This Row],[E_COT]]/1000)</f>
        <v/>
      </c>
      <c r="G197" s="523" t="str">
        <f>IF(OR(données_step[[#This Row],[E_NH4]]&lt;=0,données_step[[#This Row],[E_NH4]]=""),"",données_step[[#This Row],[D_QTRAI]]*données_step[[#This Row],[E_NH4]]/1000)</f>
        <v/>
      </c>
      <c r="H197" s="523" t="str">
        <f>IF(OR(données_step[[#This Row],[E_NTOT]]&lt;=0,données_step[[#This Row],[E_NTOT]]=""),"",données_step[[#This Row],[D_QTRAI]]*données_step[[#This Row],[E_NTOT]]/1000)</f>
        <v/>
      </c>
      <c r="I197" s="523" t="str">
        <f>IF(OR(données_step[[#This Row],[E_NTOT]]&lt;=0,données_step[[#This Row],[E_NTOT]]=""),"",données_step[[#This Row],[D_QTRAI]]*données_step[[#This Row],[E_PTOT]]/1000)</f>
        <v/>
      </c>
      <c r="J197" s="523" t="str">
        <f>IF(OR(données_step[[#This Row],[S_DBO5]]&lt;=0,données_step[[#This Row],[S_DBO5]]=""),"",données_step[[#This Row],[D_QTRAI]]*données_step[[#This Row],[S_DBO5]]/1000)</f>
        <v/>
      </c>
      <c r="K197" s="523" t="str">
        <f>IF(OR(données_step[[#This Row],[S_DCO]]&lt;=0,données_step[[#This Row],[S_DCO]]=""),"",données_step[[#This Row],[D_QTRAI]]*données_step[[#This Row],[S_DCO]]/1000)</f>
        <v/>
      </c>
      <c r="L197" s="523" t="str">
        <f>IF(OR(données_step[[#This Row],[S_COD]]&lt;=0,données_step[[#This Row],[S_COD]]=""),"",données_step[[#This Row],[D_QTRAI]]*données_step[[#This Row],[S_COD]]/1000)</f>
        <v/>
      </c>
      <c r="M197" s="523" t="str">
        <f>IF(OR(données_step[[#This Row],[S_NH4]]&lt;=0,données_step[[#This Row],[S_NH4]]=""),"",données_step[[#This Row],[D_QTRAI]]*données_step[[#This Row],[S_NH4]]/1000)</f>
        <v/>
      </c>
      <c r="N197" s="523" t="str">
        <f>IF(OR(données_step[[#This Row],[S_NO2]]&lt;=0,données_step[[#This Row],[S_NO2]]=""),"",données_step[[#This Row],[D_QTRAI]]*données_step[[#This Row],[S_NO2]]/1000)</f>
        <v/>
      </c>
      <c r="O197" s="523" t="str">
        <f>IF(OR(données_step[[#This Row],[S_NO3]]&lt;=0,données_step[[#This Row],[S_NO3]]=""),"",données_step[[#This Row],[D_QTRAI]]*données_step[[#This Row],[S_NO3]]/1000)</f>
        <v/>
      </c>
      <c r="P197" s="523" t="str">
        <f>IF(OR(données_step[[#This Row],[S_PTOT]]&lt;=0,données_step[[#This Row],[S_PTOT]]=""),"",données_step[[#This Row],[D_QTRAI]]*données_step[[#This Row],[S_PTOT]]/1000)</f>
        <v/>
      </c>
      <c r="Q197" s="523" t="str">
        <f>IF(OR(données_step[[#This Row],[S_MES]]&lt;=0,données_step[[#This Row],[S_MES]]=""),"",données_step[[#This Row],[D_QTRAI]]*données_step[[#This Row],[S_MES]]/1000)</f>
        <v/>
      </c>
      <c r="R197" s="523">
        <f>MAX(données_step[[#This Row],[D_QTRAI]],données_step[[#This Row],[D_QTRAI2]])</f>
        <v>0</v>
      </c>
      <c r="S197" s="523" t="str">
        <f>IF(AND($R197&gt;0,données_step[[#This Row],[E_DCO]]&gt;0),données_step[[#This Row],[E_DCO]],"")</f>
        <v/>
      </c>
      <c r="T197" s="523" t="str">
        <f>IF(S197="","",(1-données_step[[#This Row],[E_DCO]]/$V$7)*100)</f>
        <v/>
      </c>
      <c r="U197" s="523" t="str">
        <f t="shared" si="35"/>
        <v/>
      </c>
      <c r="V197" s="523" t="str">
        <f t="shared" si="36"/>
        <v/>
      </c>
      <c r="W197" s="523" t="str">
        <f t="shared" si="37"/>
        <v/>
      </c>
      <c r="X197" s="523" t="e">
        <f>IF(((100-100/$V$7*données_step[[#This Row],[E_DCO]])/100*QTS)&lt;0,NA(),IF(OR(U197&lt;0,U197=""),NA(),((100-100/$V$7*données_step[[#This Row],[E_DCO]])/100*QTS)))</f>
        <v>#NUM!</v>
      </c>
      <c r="Y197" s="523" t="str">
        <f>IF(AND($R197&gt;0,données_step[[#This Row],[E_COT]]&gt;0),données_step[[#This Row],[E_COT]],"")</f>
        <v/>
      </c>
      <c r="Z197" s="523" t="str">
        <f>IF(Y197="","",(1-données_step[[#This Row],[E_COT]]/$AB$7)*100)</f>
        <v/>
      </c>
      <c r="AA197" s="523" t="str">
        <f t="shared" si="38"/>
        <v/>
      </c>
      <c r="AB197" s="523" t="str">
        <f t="shared" si="39"/>
        <v/>
      </c>
      <c r="AC197" s="523" t="str">
        <f t="shared" si="40"/>
        <v/>
      </c>
      <c r="AD197" s="523" t="e">
        <f>IF(((100-100/$AB$7*données_step[[#This Row],[E_COT]])/100*QTS)&lt;0,NA(),IF(OR(AA197&lt;0,AA197=""),NA(),((100-100/$AB$7*données_step[[#This Row],[E_COT]])/100*QTS)))</f>
        <v>#NUM!</v>
      </c>
      <c r="AE197" s="523" t="str">
        <f>IF(AND($R197&gt;0,données_step[[#This Row],[E_NH4]]&gt;0),données_step[[#This Row],[E_NH4]],"")</f>
        <v/>
      </c>
      <c r="AF197" s="523" t="str">
        <f>IF(AE197="","",(1-données_step[[#This Row],[E_NH4]]/$AH$7)*100)</f>
        <v/>
      </c>
      <c r="AG197" s="523" t="str">
        <f t="shared" si="41"/>
        <v/>
      </c>
      <c r="AH197" s="523" t="str">
        <f t="shared" si="42"/>
        <v/>
      </c>
      <c r="AI197" s="523" t="str">
        <f t="shared" si="43"/>
        <v/>
      </c>
      <c r="AJ197" s="523" t="e">
        <f>IF(((100-100/$AH$7*données_step[[#This Row],[E_NH4]])/100*QTS)&lt;0,NA(),IF(OR(AG197&lt;0,AG197=""),NA(),((100-100/$AH$7*données_step[[#This Row],[E_NH4]])/100*QTS)))</f>
        <v>#NUM!</v>
      </c>
      <c r="AK197" s="523" t="str">
        <f>IF(AND($R197&gt;0,données_step[[#This Row],[E_PTOT]]&gt;0),données_step[[#This Row],[E_PTOT]],"")</f>
        <v/>
      </c>
      <c r="AL197" s="523" t="str">
        <f>IF(AK197="","",(1-données_step[[#This Row],[E_PTOT]]/$AN$7)*100)</f>
        <v/>
      </c>
      <c r="AM197" s="523" t="str">
        <f t="shared" si="44"/>
        <v/>
      </c>
      <c r="AN197" s="523" t="str">
        <f t="shared" si="45"/>
        <v/>
      </c>
      <c r="AO197" s="523" t="str">
        <f t="shared" si="46"/>
        <v/>
      </c>
      <c r="AP197" s="523" t="e">
        <f>IF(((100-100/$AN$7*données_step[[#This Row],[E_PTOT]])/100*QTS)&lt;0,NA(),IF(OR(AM197&lt;0,AM197=""),NA(),((100-100/$AN$7*données_step[[#This Row],[E_PTOT]])/100*QTS)))</f>
        <v>#NUM!</v>
      </c>
      <c r="AQ197" s="524" t="e">
        <f t="shared" si="47"/>
        <v>#NUM!</v>
      </c>
      <c r="AR197" s="524" t="str">
        <f t="shared" si="48"/>
        <v/>
      </c>
      <c r="AY197" s="523" t="str">
        <f>_xlfn.IFNA(IF(données_step[[#This Row],[E_DCO]]&lt;=0,NA(),charge_entree[[#This Row],[ch_E_DCO]]/constanten!$B$8*1000),"")</f>
        <v/>
      </c>
      <c r="AZ197" s="523" t="str">
        <f>_xlfn.IFNA(IF(données_step[[#This Row],[E_NTOT]]&lt;=0,NA(),charge_entree[[#This Row],[ch_E_NTOT]]/constanten!$B$10*1000),"")</f>
        <v/>
      </c>
      <c r="BA197" s="523" t="str">
        <f>_xlfn.IFNA(IF(données_step[[#This Row],[E_NH4]]&lt;=0,NA(),charge_entree[[#This Row],[ch_E_NH4]]/constanten!$B$12*1000),"")</f>
        <v/>
      </c>
      <c r="BB197" s="523" t="str">
        <f>_xlfn.IFNA(IF(données_step[[#This Row],[E_COT]]&lt;=0,NA(),charge_entree[[#This Row],[ch_E_COT]]/constanten!$B$9*1000),"")</f>
        <v/>
      </c>
      <c r="BC197" s="523" t="str">
        <f>IFERROR(_xlfn.IFNA(IF(données_step[[#This Row],[E_PTOT]]&lt;=0,NA(),charge_entree[[#This Row],[ch_E_PTOT]]/constanten!$B$15*1000),""),"")</f>
        <v/>
      </c>
      <c r="BD197" s="535" t="e">
        <f>calculs!E197 * (1-0.4) / (données_step[[#This Row],[X_BA_VOL]]*données_step[[#This Row],[X_BACONC]])</f>
        <v>#VALUE!</v>
      </c>
      <c r="BE197" s="522" t="e">
        <f>(données_step[[#This Row],[X_BA_VOL]]*données_step[[#This Row],[X_BACONC]])/((données_step[[#This Row],[D_QTRAI2]]*données_step[[#This Row],[S_MES]]/1000)+(données_step[[#This Row],[X_BX_Q]]*données_step[[#This Row],[X_BXCONC]]))</f>
        <v>#VALUE!</v>
      </c>
      <c r="BF197" s="890" t="str">
        <f>IFERROR(données_step[[#This Row],[D_QTRAI]]/AY197*1000,"")</f>
        <v/>
      </c>
      <c r="BG197" s="535" t="str">
        <f>IFERROR(1-données_step[[#This Row],[S_DBO5]]/données_step[[#This Row],[E_DBO5]],"")</f>
        <v/>
      </c>
      <c r="BH197" s="536" t="str">
        <f>IFERROR(1-données_step[[#This Row],[S_DCO]]/données_step[[#This Row],[E_DCO]],"")</f>
        <v/>
      </c>
      <c r="BI197" s="535" t="str">
        <f>IFERROR(1-données_step[[#This Row],[S_COD]]/données_step[[#This Row],[E_COT]],"")</f>
        <v/>
      </c>
      <c r="BJ197" s="535" t="str">
        <f>IFERROR(1-données_step[[#This Row],[S_NH4]]/données_step[[#This Row],[E_NTOT]],"")</f>
        <v/>
      </c>
      <c r="BK197" s="535" t="str">
        <f>IFERROR(1-données_step[[#This Row],[S_PTOT]]/données_step[[#This Row],[E_PTOT]],"")</f>
        <v/>
      </c>
      <c r="BL197" s="521" t="str">
        <f>IFERROR(IF(données_step[[#This Row],[E_DCO]]/données_step[[#This Row],[E_DBO5]]=0,NA(),données_step[[#This Row],[E_DCO]]/données_step[[#This Row],[E_DBO5]]),"")</f>
        <v/>
      </c>
      <c r="BM197" s="521" t="str">
        <f>IFERROR(IF(données_step[[#This Row],[E_NH4]]/données_step[[#This Row],[E_NTOT]]=0,NA(),données_step[[#This Row],[E_NH4]]/données_step[[#This Row],[E_NTOT]]),"")</f>
        <v/>
      </c>
      <c r="BN197" s="521" t="str">
        <f>IFERROR(IF(données_step[[#This Row],[E_NTOT]]/données_step[[#This Row],[E_COT]]=0,NA(),données_step[[#This Row],[E_NTOT]]/données_step[[#This Row],[E_COT]]),"")</f>
        <v/>
      </c>
      <c r="BO197" s="521" t="str">
        <f>IFERROR(IF(données_step[[#This Row],[E_PTOT]]/données_step[[#This Row],[E_COT]]=0,NA(),données_step[[#This Row],[E_PTOT]]/données_step[[#This Row],[E_COT]]),"")</f>
        <v/>
      </c>
      <c r="BP197" s="521" t="e">
        <f>IF(données_step[[#This Row],[E_DCO]]/données_step[[#This Row],[E_COT]]=0,NA(),données_step[[#This Row],[E_DCO]]/données_step[[#This Row],[E_COT]])</f>
        <v>#DIV/0!</v>
      </c>
      <c r="BQ197" s="521" t="e">
        <f>IF(données_step[[#This Row],[E_NTOT]]/données_step[[#This Row],[E_DCO]]=0,NA(),données_step[[#This Row],[E_NTOT]]/données_step[[#This Row],[E_DCO]])</f>
        <v>#DIV/0!</v>
      </c>
      <c r="BR197" s="521" t="e">
        <f>IF(données_step[[#This Row],[E_PTOT]]/données_step[[#This Row],[E_DCO]]=0,NA(),données_step[[#This Row],[E_PTOT]]/données_step[[#This Row],[E_DCO]])</f>
        <v>#DIV/0!</v>
      </c>
      <c r="BS197" s="747" t="e">
        <f ca="1">test_NH4_temp(données_step[[#This Row],[S_NH4]],données_step[[#This Row],[Temp_eaux]])</f>
        <v>#NAME?</v>
      </c>
    </row>
    <row r="198" spans="1:71" x14ac:dyDescent="0.2">
      <c r="A198" s="222">
        <f>données_step[[#This Row],[Datum]]</f>
        <v>44749</v>
      </c>
      <c r="B198" s="223"/>
      <c r="C198" s="224">
        <f t="shared" si="49"/>
        <v>5</v>
      </c>
      <c r="D198" s="523" t="str">
        <f>IF(OR(données_step[[#This Row],[E_DBO5]]&lt;=0,données_step[[#This Row],[E_DBO5]]=""),"",données_step[[#This Row],[D_QTRAI]]*données_step[[#This Row],[E_DBO5]]/1000)</f>
        <v/>
      </c>
      <c r="E198" s="523" t="str">
        <f>IF(OR(données_step[[#This Row],[E_DCO]]&lt;=0,données_step[[#This Row],[E_DCO]]=""),"",données_step[[#This Row],[D_QTRAI]]*données_step[[#This Row],[E_DCO]]/1000)</f>
        <v/>
      </c>
      <c r="F198" s="523" t="str">
        <f>IF(OR(données_step[[#This Row],[E_COT]]&lt;=0,données_step[[#This Row],[E_COT]]=""),"",données_step[[#This Row],[D_QTRAI]]*données_step[[#This Row],[E_COT]]/1000)</f>
        <v/>
      </c>
      <c r="G198" s="523" t="str">
        <f>IF(OR(données_step[[#This Row],[E_NH4]]&lt;=0,données_step[[#This Row],[E_NH4]]=""),"",données_step[[#This Row],[D_QTRAI]]*données_step[[#This Row],[E_NH4]]/1000)</f>
        <v/>
      </c>
      <c r="H198" s="523" t="str">
        <f>IF(OR(données_step[[#This Row],[E_NTOT]]&lt;=0,données_step[[#This Row],[E_NTOT]]=""),"",données_step[[#This Row],[D_QTRAI]]*données_step[[#This Row],[E_NTOT]]/1000)</f>
        <v/>
      </c>
      <c r="I198" s="523" t="str">
        <f>IF(OR(données_step[[#This Row],[E_NTOT]]&lt;=0,données_step[[#This Row],[E_NTOT]]=""),"",données_step[[#This Row],[D_QTRAI]]*données_step[[#This Row],[E_PTOT]]/1000)</f>
        <v/>
      </c>
      <c r="J198" s="523" t="str">
        <f>IF(OR(données_step[[#This Row],[S_DBO5]]&lt;=0,données_step[[#This Row],[S_DBO5]]=""),"",données_step[[#This Row],[D_QTRAI]]*données_step[[#This Row],[S_DBO5]]/1000)</f>
        <v/>
      </c>
      <c r="K198" s="523" t="str">
        <f>IF(OR(données_step[[#This Row],[S_DCO]]&lt;=0,données_step[[#This Row],[S_DCO]]=""),"",données_step[[#This Row],[D_QTRAI]]*données_step[[#This Row],[S_DCO]]/1000)</f>
        <v/>
      </c>
      <c r="L198" s="523" t="str">
        <f>IF(OR(données_step[[#This Row],[S_COD]]&lt;=0,données_step[[#This Row],[S_COD]]=""),"",données_step[[#This Row],[D_QTRAI]]*données_step[[#This Row],[S_COD]]/1000)</f>
        <v/>
      </c>
      <c r="M198" s="523" t="str">
        <f>IF(OR(données_step[[#This Row],[S_NH4]]&lt;=0,données_step[[#This Row],[S_NH4]]=""),"",données_step[[#This Row],[D_QTRAI]]*données_step[[#This Row],[S_NH4]]/1000)</f>
        <v/>
      </c>
      <c r="N198" s="523" t="str">
        <f>IF(OR(données_step[[#This Row],[S_NO2]]&lt;=0,données_step[[#This Row],[S_NO2]]=""),"",données_step[[#This Row],[D_QTRAI]]*données_step[[#This Row],[S_NO2]]/1000)</f>
        <v/>
      </c>
      <c r="O198" s="523" t="str">
        <f>IF(OR(données_step[[#This Row],[S_NO3]]&lt;=0,données_step[[#This Row],[S_NO3]]=""),"",données_step[[#This Row],[D_QTRAI]]*données_step[[#This Row],[S_NO3]]/1000)</f>
        <v/>
      </c>
      <c r="P198" s="523" t="str">
        <f>IF(OR(données_step[[#This Row],[S_PTOT]]&lt;=0,données_step[[#This Row],[S_PTOT]]=""),"",données_step[[#This Row],[D_QTRAI]]*données_step[[#This Row],[S_PTOT]]/1000)</f>
        <v/>
      </c>
      <c r="Q198" s="523" t="str">
        <f>IF(OR(données_step[[#This Row],[S_MES]]&lt;=0,données_step[[#This Row],[S_MES]]=""),"",données_step[[#This Row],[D_QTRAI]]*données_step[[#This Row],[S_MES]]/1000)</f>
        <v/>
      </c>
      <c r="R198" s="523">
        <f>MAX(données_step[[#This Row],[D_QTRAI]],données_step[[#This Row],[D_QTRAI2]])</f>
        <v>0</v>
      </c>
      <c r="S198" s="523" t="str">
        <f>IF(AND($R198&gt;0,données_step[[#This Row],[E_DCO]]&gt;0),données_step[[#This Row],[E_DCO]],"")</f>
        <v/>
      </c>
      <c r="T198" s="523" t="str">
        <f>IF(S198="","",(1-données_step[[#This Row],[E_DCO]]/$V$7)*100)</f>
        <v/>
      </c>
      <c r="U198" s="523" t="str">
        <f t="shared" si="35"/>
        <v/>
      </c>
      <c r="V198" s="523" t="str">
        <f t="shared" si="36"/>
        <v/>
      </c>
      <c r="W198" s="523" t="str">
        <f t="shared" si="37"/>
        <v/>
      </c>
      <c r="X198" s="523" t="e">
        <f>IF(((100-100/$V$7*données_step[[#This Row],[E_DCO]])/100*QTS)&lt;0,NA(),IF(OR(U198&lt;0,U198=""),NA(),((100-100/$V$7*données_step[[#This Row],[E_DCO]])/100*QTS)))</f>
        <v>#NUM!</v>
      </c>
      <c r="Y198" s="523" t="str">
        <f>IF(AND($R198&gt;0,données_step[[#This Row],[E_COT]]&gt;0),données_step[[#This Row],[E_COT]],"")</f>
        <v/>
      </c>
      <c r="Z198" s="523" t="str">
        <f>IF(Y198="","",(1-données_step[[#This Row],[E_COT]]/$AB$7)*100)</f>
        <v/>
      </c>
      <c r="AA198" s="523" t="str">
        <f t="shared" si="38"/>
        <v/>
      </c>
      <c r="AB198" s="523" t="str">
        <f t="shared" si="39"/>
        <v/>
      </c>
      <c r="AC198" s="523" t="str">
        <f t="shared" si="40"/>
        <v/>
      </c>
      <c r="AD198" s="523" t="e">
        <f>IF(((100-100/$AB$7*données_step[[#This Row],[E_COT]])/100*QTS)&lt;0,NA(),IF(OR(AA198&lt;0,AA198=""),NA(),((100-100/$AB$7*données_step[[#This Row],[E_COT]])/100*QTS)))</f>
        <v>#NUM!</v>
      </c>
      <c r="AE198" s="523" t="str">
        <f>IF(AND($R198&gt;0,données_step[[#This Row],[E_NH4]]&gt;0),données_step[[#This Row],[E_NH4]],"")</f>
        <v/>
      </c>
      <c r="AF198" s="523" t="str">
        <f>IF(AE198="","",(1-données_step[[#This Row],[E_NH4]]/$AH$7)*100)</f>
        <v/>
      </c>
      <c r="AG198" s="523" t="str">
        <f t="shared" si="41"/>
        <v/>
      </c>
      <c r="AH198" s="523" t="str">
        <f t="shared" si="42"/>
        <v/>
      </c>
      <c r="AI198" s="523" t="str">
        <f t="shared" si="43"/>
        <v/>
      </c>
      <c r="AJ198" s="523" t="e">
        <f>IF(((100-100/$AH$7*données_step[[#This Row],[E_NH4]])/100*QTS)&lt;0,NA(),IF(OR(AG198&lt;0,AG198=""),NA(),((100-100/$AH$7*données_step[[#This Row],[E_NH4]])/100*QTS)))</f>
        <v>#NUM!</v>
      </c>
      <c r="AK198" s="523" t="str">
        <f>IF(AND($R198&gt;0,données_step[[#This Row],[E_PTOT]]&gt;0),données_step[[#This Row],[E_PTOT]],"")</f>
        <v/>
      </c>
      <c r="AL198" s="523" t="str">
        <f>IF(AK198="","",(1-données_step[[#This Row],[E_PTOT]]/$AN$7)*100)</f>
        <v/>
      </c>
      <c r="AM198" s="523" t="str">
        <f t="shared" si="44"/>
        <v/>
      </c>
      <c r="AN198" s="523" t="str">
        <f t="shared" si="45"/>
        <v/>
      </c>
      <c r="AO198" s="523" t="str">
        <f t="shared" si="46"/>
        <v/>
      </c>
      <c r="AP198" s="523" t="e">
        <f>IF(((100-100/$AN$7*données_step[[#This Row],[E_PTOT]])/100*QTS)&lt;0,NA(),IF(OR(AM198&lt;0,AM198=""),NA(),((100-100/$AN$7*données_step[[#This Row],[E_PTOT]])/100*QTS)))</f>
        <v>#NUM!</v>
      </c>
      <c r="AQ198" s="524" t="e">
        <f t="shared" si="47"/>
        <v>#NUM!</v>
      </c>
      <c r="AR198" s="524" t="str">
        <f t="shared" si="48"/>
        <v/>
      </c>
      <c r="AY198" s="523" t="str">
        <f>_xlfn.IFNA(IF(données_step[[#This Row],[E_DCO]]&lt;=0,NA(),charge_entree[[#This Row],[ch_E_DCO]]/constanten!$B$8*1000),"")</f>
        <v/>
      </c>
      <c r="AZ198" s="523" t="str">
        <f>_xlfn.IFNA(IF(données_step[[#This Row],[E_NTOT]]&lt;=0,NA(),charge_entree[[#This Row],[ch_E_NTOT]]/constanten!$B$10*1000),"")</f>
        <v/>
      </c>
      <c r="BA198" s="523" t="str">
        <f>_xlfn.IFNA(IF(données_step[[#This Row],[E_NH4]]&lt;=0,NA(),charge_entree[[#This Row],[ch_E_NH4]]/constanten!$B$12*1000),"")</f>
        <v/>
      </c>
      <c r="BB198" s="523" t="str">
        <f>_xlfn.IFNA(IF(données_step[[#This Row],[E_COT]]&lt;=0,NA(),charge_entree[[#This Row],[ch_E_COT]]/constanten!$B$9*1000),"")</f>
        <v/>
      </c>
      <c r="BC198" s="523" t="str">
        <f>IFERROR(_xlfn.IFNA(IF(données_step[[#This Row],[E_PTOT]]&lt;=0,NA(),charge_entree[[#This Row],[ch_E_PTOT]]/constanten!$B$15*1000),""),"")</f>
        <v/>
      </c>
      <c r="BD198" s="535" t="e">
        <f>calculs!E198 * (1-0.4) / (données_step[[#This Row],[X_BA_VOL]]*données_step[[#This Row],[X_BACONC]])</f>
        <v>#VALUE!</v>
      </c>
      <c r="BE198" s="522" t="e">
        <f>(données_step[[#This Row],[X_BA_VOL]]*données_step[[#This Row],[X_BACONC]])/((données_step[[#This Row],[D_QTRAI2]]*données_step[[#This Row],[S_MES]]/1000)+(données_step[[#This Row],[X_BX_Q]]*données_step[[#This Row],[X_BXCONC]]))</f>
        <v>#VALUE!</v>
      </c>
      <c r="BF198" s="890" t="str">
        <f>IFERROR(données_step[[#This Row],[D_QTRAI]]/AY198*1000,"")</f>
        <v/>
      </c>
      <c r="BG198" s="535" t="str">
        <f>IFERROR(1-données_step[[#This Row],[S_DBO5]]/données_step[[#This Row],[E_DBO5]],"")</f>
        <v/>
      </c>
      <c r="BH198" s="536" t="str">
        <f>IFERROR(1-données_step[[#This Row],[S_DCO]]/données_step[[#This Row],[E_DCO]],"")</f>
        <v/>
      </c>
      <c r="BI198" s="535" t="str">
        <f>IFERROR(1-données_step[[#This Row],[S_COD]]/données_step[[#This Row],[E_COT]],"")</f>
        <v/>
      </c>
      <c r="BJ198" s="535" t="str">
        <f>IFERROR(1-données_step[[#This Row],[S_NH4]]/données_step[[#This Row],[E_NTOT]],"")</f>
        <v/>
      </c>
      <c r="BK198" s="535" t="str">
        <f>IFERROR(1-données_step[[#This Row],[S_PTOT]]/données_step[[#This Row],[E_PTOT]],"")</f>
        <v/>
      </c>
      <c r="BL198" s="521" t="str">
        <f>IFERROR(IF(données_step[[#This Row],[E_DCO]]/données_step[[#This Row],[E_DBO5]]=0,NA(),données_step[[#This Row],[E_DCO]]/données_step[[#This Row],[E_DBO5]]),"")</f>
        <v/>
      </c>
      <c r="BM198" s="521" t="str">
        <f>IFERROR(IF(données_step[[#This Row],[E_NH4]]/données_step[[#This Row],[E_NTOT]]=0,NA(),données_step[[#This Row],[E_NH4]]/données_step[[#This Row],[E_NTOT]]),"")</f>
        <v/>
      </c>
      <c r="BN198" s="521" t="str">
        <f>IFERROR(IF(données_step[[#This Row],[E_NTOT]]/données_step[[#This Row],[E_COT]]=0,NA(),données_step[[#This Row],[E_NTOT]]/données_step[[#This Row],[E_COT]]),"")</f>
        <v/>
      </c>
      <c r="BO198" s="521" t="str">
        <f>IFERROR(IF(données_step[[#This Row],[E_PTOT]]/données_step[[#This Row],[E_COT]]=0,NA(),données_step[[#This Row],[E_PTOT]]/données_step[[#This Row],[E_COT]]),"")</f>
        <v/>
      </c>
      <c r="BP198" s="521" t="e">
        <f>IF(données_step[[#This Row],[E_DCO]]/données_step[[#This Row],[E_COT]]=0,NA(),données_step[[#This Row],[E_DCO]]/données_step[[#This Row],[E_COT]])</f>
        <v>#DIV/0!</v>
      </c>
      <c r="BQ198" s="521" t="e">
        <f>IF(données_step[[#This Row],[E_NTOT]]/données_step[[#This Row],[E_DCO]]=0,NA(),données_step[[#This Row],[E_NTOT]]/données_step[[#This Row],[E_DCO]])</f>
        <v>#DIV/0!</v>
      </c>
      <c r="BR198" s="521" t="e">
        <f>IF(données_step[[#This Row],[E_PTOT]]/données_step[[#This Row],[E_DCO]]=0,NA(),données_step[[#This Row],[E_PTOT]]/données_step[[#This Row],[E_DCO]])</f>
        <v>#DIV/0!</v>
      </c>
      <c r="BS198" s="747" t="e">
        <f ca="1">test_NH4_temp(données_step[[#This Row],[S_NH4]],données_step[[#This Row],[Temp_eaux]])</f>
        <v>#NAME?</v>
      </c>
    </row>
    <row r="199" spans="1:71" x14ac:dyDescent="0.2">
      <c r="A199" s="222">
        <f>données_step[[#This Row],[Datum]]</f>
        <v>44750</v>
      </c>
      <c r="B199" s="223"/>
      <c r="C199" s="224">
        <f t="shared" si="49"/>
        <v>6</v>
      </c>
      <c r="D199" s="523" t="str">
        <f>IF(OR(données_step[[#This Row],[E_DBO5]]&lt;=0,données_step[[#This Row],[E_DBO5]]=""),"",données_step[[#This Row],[D_QTRAI]]*données_step[[#This Row],[E_DBO5]]/1000)</f>
        <v/>
      </c>
      <c r="E199" s="523" t="str">
        <f>IF(OR(données_step[[#This Row],[E_DCO]]&lt;=0,données_step[[#This Row],[E_DCO]]=""),"",données_step[[#This Row],[D_QTRAI]]*données_step[[#This Row],[E_DCO]]/1000)</f>
        <v/>
      </c>
      <c r="F199" s="523" t="str">
        <f>IF(OR(données_step[[#This Row],[E_COT]]&lt;=0,données_step[[#This Row],[E_COT]]=""),"",données_step[[#This Row],[D_QTRAI]]*données_step[[#This Row],[E_COT]]/1000)</f>
        <v/>
      </c>
      <c r="G199" s="523" t="str">
        <f>IF(OR(données_step[[#This Row],[E_NH4]]&lt;=0,données_step[[#This Row],[E_NH4]]=""),"",données_step[[#This Row],[D_QTRAI]]*données_step[[#This Row],[E_NH4]]/1000)</f>
        <v/>
      </c>
      <c r="H199" s="523" t="str">
        <f>IF(OR(données_step[[#This Row],[E_NTOT]]&lt;=0,données_step[[#This Row],[E_NTOT]]=""),"",données_step[[#This Row],[D_QTRAI]]*données_step[[#This Row],[E_NTOT]]/1000)</f>
        <v/>
      </c>
      <c r="I199" s="523" t="str">
        <f>IF(OR(données_step[[#This Row],[E_NTOT]]&lt;=0,données_step[[#This Row],[E_NTOT]]=""),"",données_step[[#This Row],[D_QTRAI]]*données_step[[#This Row],[E_PTOT]]/1000)</f>
        <v/>
      </c>
      <c r="J199" s="523" t="str">
        <f>IF(OR(données_step[[#This Row],[S_DBO5]]&lt;=0,données_step[[#This Row],[S_DBO5]]=""),"",données_step[[#This Row],[D_QTRAI]]*données_step[[#This Row],[S_DBO5]]/1000)</f>
        <v/>
      </c>
      <c r="K199" s="523" t="str">
        <f>IF(OR(données_step[[#This Row],[S_DCO]]&lt;=0,données_step[[#This Row],[S_DCO]]=""),"",données_step[[#This Row],[D_QTRAI]]*données_step[[#This Row],[S_DCO]]/1000)</f>
        <v/>
      </c>
      <c r="L199" s="523" t="str">
        <f>IF(OR(données_step[[#This Row],[S_COD]]&lt;=0,données_step[[#This Row],[S_COD]]=""),"",données_step[[#This Row],[D_QTRAI]]*données_step[[#This Row],[S_COD]]/1000)</f>
        <v/>
      </c>
      <c r="M199" s="523" t="str">
        <f>IF(OR(données_step[[#This Row],[S_NH4]]&lt;=0,données_step[[#This Row],[S_NH4]]=""),"",données_step[[#This Row],[D_QTRAI]]*données_step[[#This Row],[S_NH4]]/1000)</f>
        <v/>
      </c>
      <c r="N199" s="523" t="str">
        <f>IF(OR(données_step[[#This Row],[S_NO2]]&lt;=0,données_step[[#This Row],[S_NO2]]=""),"",données_step[[#This Row],[D_QTRAI]]*données_step[[#This Row],[S_NO2]]/1000)</f>
        <v/>
      </c>
      <c r="O199" s="523" t="str">
        <f>IF(OR(données_step[[#This Row],[S_NO3]]&lt;=0,données_step[[#This Row],[S_NO3]]=""),"",données_step[[#This Row],[D_QTRAI]]*données_step[[#This Row],[S_NO3]]/1000)</f>
        <v/>
      </c>
      <c r="P199" s="523" t="str">
        <f>IF(OR(données_step[[#This Row],[S_PTOT]]&lt;=0,données_step[[#This Row],[S_PTOT]]=""),"",données_step[[#This Row],[D_QTRAI]]*données_step[[#This Row],[S_PTOT]]/1000)</f>
        <v/>
      </c>
      <c r="Q199" s="523" t="str">
        <f>IF(OR(données_step[[#This Row],[S_MES]]&lt;=0,données_step[[#This Row],[S_MES]]=""),"",données_step[[#This Row],[D_QTRAI]]*données_step[[#This Row],[S_MES]]/1000)</f>
        <v/>
      </c>
      <c r="R199" s="523">
        <f>MAX(données_step[[#This Row],[D_QTRAI]],données_step[[#This Row],[D_QTRAI2]])</f>
        <v>0</v>
      </c>
      <c r="S199" s="523" t="str">
        <f>IF(AND($R199&gt;0,données_step[[#This Row],[E_DCO]]&gt;0),données_step[[#This Row],[E_DCO]],"")</f>
        <v/>
      </c>
      <c r="T199" s="523" t="str">
        <f>IF(S199="","",(1-données_step[[#This Row],[E_DCO]]/$V$7)*100)</f>
        <v/>
      </c>
      <c r="U199" s="523" t="str">
        <f t="shared" si="35"/>
        <v/>
      </c>
      <c r="V199" s="523" t="str">
        <f t="shared" si="36"/>
        <v/>
      </c>
      <c r="W199" s="523" t="str">
        <f t="shared" si="37"/>
        <v/>
      </c>
      <c r="X199" s="523" t="e">
        <f>IF(((100-100/$V$7*données_step[[#This Row],[E_DCO]])/100*QTS)&lt;0,NA(),IF(OR(U199&lt;0,U199=""),NA(),((100-100/$V$7*données_step[[#This Row],[E_DCO]])/100*QTS)))</f>
        <v>#NUM!</v>
      </c>
      <c r="Y199" s="523" t="str">
        <f>IF(AND($R199&gt;0,données_step[[#This Row],[E_COT]]&gt;0),données_step[[#This Row],[E_COT]],"")</f>
        <v/>
      </c>
      <c r="Z199" s="523" t="str">
        <f>IF(Y199="","",(1-données_step[[#This Row],[E_COT]]/$AB$7)*100)</f>
        <v/>
      </c>
      <c r="AA199" s="523" t="str">
        <f t="shared" si="38"/>
        <v/>
      </c>
      <c r="AB199" s="523" t="str">
        <f t="shared" si="39"/>
        <v/>
      </c>
      <c r="AC199" s="523" t="str">
        <f t="shared" si="40"/>
        <v/>
      </c>
      <c r="AD199" s="523" t="e">
        <f>IF(((100-100/$AB$7*données_step[[#This Row],[E_COT]])/100*QTS)&lt;0,NA(),IF(OR(AA199&lt;0,AA199=""),NA(),((100-100/$AB$7*données_step[[#This Row],[E_COT]])/100*QTS)))</f>
        <v>#NUM!</v>
      </c>
      <c r="AE199" s="523" t="str">
        <f>IF(AND($R199&gt;0,données_step[[#This Row],[E_NH4]]&gt;0),données_step[[#This Row],[E_NH4]],"")</f>
        <v/>
      </c>
      <c r="AF199" s="523" t="str">
        <f>IF(AE199="","",(1-données_step[[#This Row],[E_NH4]]/$AH$7)*100)</f>
        <v/>
      </c>
      <c r="AG199" s="523" t="str">
        <f t="shared" si="41"/>
        <v/>
      </c>
      <c r="AH199" s="523" t="str">
        <f t="shared" si="42"/>
        <v/>
      </c>
      <c r="AI199" s="523" t="str">
        <f t="shared" si="43"/>
        <v/>
      </c>
      <c r="AJ199" s="523" t="e">
        <f>IF(((100-100/$AH$7*données_step[[#This Row],[E_NH4]])/100*QTS)&lt;0,NA(),IF(OR(AG199&lt;0,AG199=""),NA(),((100-100/$AH$7*données_step[[#This Row],[E_NH4]])/100*QTS)))</f>
        <v>#NUM!</v>
      </c>
      <c r="AK199" s="523" t="str">
        <f>IF(AND($R199&gt;0,données_step[[#This Row],[E_PTOT]]&gt;0),données_step[[#This Row],[E_PTOT]],"")</f>
        <v/>
      </c>
      <c r="AL199" s="523" t="str">
        <f>IF(AK199="","",(1-données_step[[#This Row],[E_PTOT]]/$AN$7)*100)</f>
        <v/>
      </c>
      <c r="AM199" s="523" t="str">
        <f t="shared" si="44"/>
        <v/>
      </c>
      <c r="AN199" s="523" t="str">
        <f t="shared" si="45"/>
        <v/>
      </c>
      <c r="AO199" s="523" t="str">
        <f t="shared" si="46"/>
        <v/>
      </c>
      <c r="AP199" s="523" t="e">
        <f>IF(((100-100/$AN$7*données_step[[#This Row],[E_PTOT]])/100*QTS)&lt;0,NA(),IF(OR(AM199&lt;0,AM199=""),NA(),((100-100/$AN$7*données_step[[#This Row],[E_PTOT]])/100*QTS)))</f>
        <v>#NUM!</v>
      </c>
      <c r="AQ199" s="524" t="e">
        <f t="shared" si="47"/>
        <v>#NUM!</v>
      </c>
      <c r="AR199" s="524" t="str">
        <f t="shared" si="48"/>
        <v/>
      </c>
      <c r="AY199" s="523" t="str">
        <f>_xlfn.IFNA(IF(données_step[[#This Row],[E_DCO]]&lt;=0,NA(),charge_entree[[#This Row],[ch_E_DCO]]/constanten!$B$8*1000),"")</f>
        <v/>
      </c>
      <c r="AZ199" s="523" t="str">
        <f>_xlfn.IFNA(IF(données_step[[#This Row],[E_NTOT]]&lt;=0,NA(),charge_entree[[#This Row],[ch_E_NTOT]]/constanten!$B$10*1000),"")</f>
        <v/>
      </c>
      <c r="BA199" s="523" t="str">
        <f>_xlfn.IFNA(IF(données_step[[#This Row],[E_NH4]]&lt;=0,NA(),charge_entree[[#This Row],[ch_E_NH4]]/constanten!$B$12*1000),"")</f>
        <v/>
      </c>
      <c r="BB199" s="523" t="str">
        <f>_xlfn.IFNA(IF(données_step[[#This Row],[E_COT]]&lt;=0,NA(),charge_entree[[#This Row],[ch_E_COT]]/constanten!$B$9*1000),"")</f>
        <v/>
      </c>
      <c r="BC199" s="523" t="str">
        <f>IFERROR(_xlfn.IFNA(IF(données_step[[#This Row],[E_PTOT]]&lt;=0,NA(),charge_entree[[#This Row],[ch_E_PTOT]]/constanten!$B$15*1000),""),"")</f>
        <v/>
      </c>
      <c r="BD199" s="535" t="e">
        <f>calculs!E199 * (1-0.4) / (données_step[[#This Row],[X_BA_VOL]]*données_step[[#This Row],[X_BACONC]])</f>
        <v>#VALUE!</v>
      </c>
      <c r="BE199" s="522" t="e">
        <f>(données_step[[#This Row],[X_BA_VOL]]*données_step[[#This Row],[X_BACONC]])/((données_step[[#This Row],[D_QTRAI2]]*données_step[[#This Row],[S_MES]]/1000)+(données_step[[#This Row],[X_BX_Q]]*données_step[[#This Row],[X_BXCONC]]))</f>
        <v>#VALUE!</v>
      </c>
      <c r="BF199" s="890" t="str">
        <f>IFERROR(données_step[[#This Row],[D_QTRAI]]/AY199*1000,"")</f>
        <v/>
      </c>
      <c r="BG199" s="535" t="str">
        <f>IFERROR(1-données_step[[#This Row],[S_DBO5]]/données_step[[#This Row],[E_DBO5]],"")</f>
        <v/>
      </c>
      <c r="BH199" s="536" t="str">
        <f>IFERROR(1-données_step[[#This Row],[S_DCO]]/données_step[[#This Row],[E_DCO]],"")</f>
        <v/>
      </c>
      <c r="BI199" s="535" t="str">
        <f>IFERROR(1-données_step[[#This Row],[S_COD]]/données_step[[#This Row],[E_COT]],"")</f>
        <v/>
      </c>
      <c r="BJ199" s="535" t="str">
        <f>IFERROR(1-données_step[[#This Row],[S_NH4]]/données_step[[#This Row],[E_NTOT]],"")</f>
        <v/>
      </c>
      <c r="BK199" s="535" t="str">
        <f>IFERROR(1-données_step[[#This Row],[S_PTOT]]/données_step[[#This Row],[E_PTOT]],"")</f>
        <v/>
      </c>
      <c r="BL199" s="521" t="str">
        <f>IFERROR(IF(données_step[[#This Row],[E_DCO]]/données_step[[#This Row],[E_DBO5]]=0,NA(),données_step[[#This Row],[E_DCO]]/données_step[[#This Row],[E_DBO5]]),"")</f>
        <v/>
      </c>
      <c r="BM199" s="521" t="str">
        <f>IFERROR(IF(données_step[[#This Row],[E_NH4]]/données_step[[#This Row],[E_NTOT]]=0,NA(),données_step[[#This Row],[E_NH4]]/données_step[[#This Row],[E_NTOT]]),"")</f>
        <v/>
      </c>
      <c r="BN199" s="521" t="str">
        <f>IFERROR(IF(données_step[[#This Row],[E_NTOT]]/données_step[[#This Row],[E_COT]]=0,NA(),données_step[[#This Row],[E_NTOT]]/données_step[[#This Row],[E_COT]]),"")</f>
        <v/>
      </c>
      <c r="BO199" s="521" t="str">
        <f>IFERROR(IF(données_step[[#This Row],[E_PTOT]]/données_step[[#This Row],[E_COT]]=0,NA(),données_step[[#This Row],[E_PTOT]]/données_step[[#This Row],[E_COT]]),"")</f>
        <v/>
      </c>
      <c r="BP199" s="521" t="e">
        <f>IF(données_step[[#This Row],[E_DCO]]/données_step[[#This Row],[E_COT]]=0,NA(),données_step[[#This Row],[E_DCO]]/données_step[[#This Row],[E_COT]])</f>
        <v>#DIV/0!</v>
      </c>
      <c r="BQ199" s="521" t="e">
        <f>IF(données_step[[#This Row],[E_NTOT]]/données_step[[#This Row],[E_DCO]]=0,NA(),données_step[[#This Row],[E_NTOT]]/données_step[[#This Row],[E_DCO]])</f>
        <v>#DIV/0!</v>
      </c>
      <c r="BR199" s="521" t="e">
        <f>IF(données_step[[#This Row],[E_PTOT]]/données_step[[#This Row],[E_DCO]]=0,NA(),données_step[[#This Row],[E_PTOT]]/données_step[[#This Row],[E_DCO]])</f>
        <v>#DIV/0!</v>
      </c>
      <c r="BS199" s="747" t="e">
        <f ca="1">test_NH4_temp(données_step[[#This Row],[S_NH4]],données_step[[#This Row],[Temp_eaux]])</f>
        <v>#NAME?</v>
      </c>
    </row>
    <row r="200" spans="1:71" x14ac:dyDescent="0.2">
      <c r="A200" s="222">
        <f>données_step[[#This Row],[Datum]]</f>
        <v>44751</v>
      </c>
      <c r="B200" s="223"/>
      <c r="C200" s="224">
        <f t="shared" si="49"/>
        <v>7</v>
      </c>
      <c r="D200" s="523" t="str">
        <f>IF(OR(données_step[[#This Row],[E_DBO5]]&lt;=0,données_step[[#This Row],[E_DBO5]]=""),"",données_step[[#This Row],[D_QTRAI]]*données_step[[#This Row],[E_DBO5]]/1000)</f>
        <v/>
      </c>
      <c r="E200" s="523" t="str">
        <f>IF(OR(données_step[[#This Row],[E_DCO]]&lt;=0,données_step[[#This Row],[E_DCO]]=""),"",données_step[[#This Row],[D_QTRAI]]*données_step[[#This Row],[E_DCO]]/1000)</f>
        <v/>
      </c>
      <c r="F200" s="523" t="str">
        <f>IF(OR(données_step[[#This Row],[E_COT]]&lt;=0,données_step[[#This Row],[E_COT]]=""),"",données_step[[#This Row],[D_QTRAI]]*données_step[[#This Row],[E_COT]]/1000)</f>
        <v/>
      </c>
      <c r="G200" s="523" t="str">
        <f>IF(OR(données_step[[#This Row],[E_NH4]]&lt;=0,données_step[[#This Row],[E_NH4]]=""),"",données_step[[#This Row],[D_QTRAI]]*données_step[[#This Row],[E_NH4]]/1000)</f>
        <v/>
      </c>
      <c r="H200" s="523" t="str">
        <f>IF(OR(données_step[[#This Row],[E_NTOT]]&lt;=0,données_step[[#This Row],[E_NTOT]]=""),"",données_step[[#This Row],[D_QTRAI]]*données_step[[#This Row],[E_NTOT]]/1000)</f>
        <v/>
      </c>
      <c r="I200" s="523" t="str">
        <f>IF(OR(données_step[[#This Row],[E_NTOT]]&lt;=0,données_step[[#This Row],[E_NTOT]]=""),"",données_step[[#This Row],[D_QTRAI]]*données_step[[#This Row],[E_PTOT]]/1000)</f>
        <v/>
      </c>
      <c r="J200" s="523" t="str">
        <f>IF(OR(données_step[[#This Row],[S_DBO5]]&lt;=0,données_step[[#This Row],[S_DBO5]]=""),"",données_step[[#This Row],[D_QTRAI]]*données_step[[#This Row],[S_DBO5]]/1000)</f>
        <v/>
      </c>
      <c r="K200" s="523" t="str">
        <f>IF(OR(données_step[[#This Row],[S_DCO]]&lt;=0,données_step[[#This Row],[S_DCO]]=""),"",données_step[[#This Row],[D_QTRAI]]*données_step[[#This Row],[S_DCO]]/1000)</f>
        <v/>
      </c>
      <c r="L200" s="523" t="str">
        <f>IF(OR(données_step[[#This Row],[S_COD]]&lt;=0,données_step[[#This Row],[S_COD]]=""),"",données_step[[#This Row],[D_QTRAI]]*données_step[[#This Row],[S_COD]]/1000)</f>
        <v/>
      </c>
      <c r="M200" s="523" t="str">
        <f>IF(OR(données_step[[#This Row],[S_NH4]]&lt;=0,données_step[[#This Row],[S_NH4]]=""),"",données_step[[#This Row],[D_QTRAI]]*données_step[[#This Row],[S_NH4]]/1000)</f>
        <v/>
      </c>
      <c r="N200" s="523" t="str">
        <f>IF(OR(données_step[[#This Row],[S_NO2]]&lt;=0,données_step[[#This Row],[S_NO2]]=""),"",données_step[[#This Row],[D_QTRAI]]*données_step[[#This Row],[S_NO2]]/1000)</f>
        <v/>
      </c>
      <c r="O200" s="523" t="str">
        <f>IF(OR(données_step[[#This Row],[S_NO3]]&lt;=0,données_step[[#This Row],[S_NO3]]=""),"",données_step[[#This Row],[D_QTRAI]]*données_step[[#This Row],[S_NO3]]/1000)</f>
        <v/>
      </c>
      <c r="P200" s="523" t="str">
        <f>IF(OR(données_step[[#This Row],[S_PTOT]]&lt;=0,données_step[[#This Row],[S_PTOT]]=""),"",données_step[[#This Row],[D_QTRAI]]*données_step[[#This Row],[S_PTOT]]/1000)</f>
        <v/>
      </c>
      <c r="Q200" s="523" t="str">
        <f>IF(OR(données_step[[#This Row],[S_MES]]&lt;=0,données_step[[#This Row],[S_MES]]=""),"",données_step[[#This Row],[D_QTRAI]]*données_step[[#This Row],[S_MES]]/1000)</f>
        <v/>
      </c>
      <c r="R200" s="523">
        <f>MAX(données_step[[#This Row],[D_QTRAI]],données_step[[#This Row],[D_QTRAI2]])</f>
        <v>0</v>
      </c>
      <c r="S200" s="523" t="str">
        <f>IF(AND($R200&gt;0,données_step[[#This Row],[E_DCO]]&gt;0),données_step[[#This Row],[E_DCO]],"")</f>
        <v/>
      </c>
      <c r="T200" s="523" t="str">
        <f>IF(S200="","",(1-données_step[[#This Row],[E_DCO]]/$V$7)*100)</f>
        <v/>
      </c>
      <c r="U200" s="523" t="str">
        <f t="shared" si="35"/>
        <v/>
      </c>
      <c r="V200" s="523" t="str">
        <f t="shared" si="36"/>
        <v/>
      </c>
      <c r="W200" s="523" t="str">
        <f t="shared" si="37"/>
        <v/>
      </c>
      <c r="X200" s="523" t="e">
        <f>IF(((100-100/$V$7*données_step[[#This Row],[E_DCO]])/100*QTS)&lt;0,NA(),IF(OR(U200&lt;0,U200=""),NA(),((100-100/$V$7*données_step[[#This Row],[E_DCO]])/100*QTS)))</f>
        <v>#NUM!</v>
      </c>
      <c r="Y200" s="523" t="str">
        <f>IF(AND($R200&gt;0,données_step[[#This Row],[E_COT]]&gt;0),données_step[[#This Row],[E_COT]],"")</f>
        <v/>
      </c>
      <c r="Z200" s="523" t="str">
        <f>IF(Y200="","",(1-données_step[[#This Row],[E_COT]]/$AB$7)*100)</f>
        <v/>
      </c>
      <c r="AA200" s="523" t="str">
        <f t="shared" si="38"/>
        <v/>
      </c>
      <c r="AB200" s="523" t="str">
        <f t="shared" si="39"/>
        <v/>
      </c>
      <c r="AC200" s="523" t="str">
        <f t="shared" si="40"/>
        <v/>
      </c>
      <c r="AD200" s="523" t="e">
        <f>IF(((100-100/$AB$7*données_step[[#This Row],[E_COT]])/100*QTS)&lt;0,NA(),IF(OR(AA200&lt;0,AA200=""),NA(),((100-100/$AB$7*données_step[[#This Row],[E_COT]])/100*QTS)))</f>
        <v>#NUM!</v>
      </c>
      <c r="AE200" s="523" t="str">
        <f>IF(AND($R200&gt;0,données_step[[#This Row],[E_NH4]]&gt;0),données_step[[#This Row],[E_NH4]],"")</f>
        <v/>
      </c>
      <c r="AF200" s="523" t="str">
        <f>IF(AE200="","",(1-données_step[[#This Row],[E_NH4]]/$AH$7)*100)</f>
        <v/>
      </c>
      <c r="AG200" s="523" t="str">
        <f t="shared" si="41"/>
        <v/>
      </c>
      <c r="AH200" s="523" t="str">
        <f t="shared" si="42"/>
        <v/>
      </c>
      <c r="AI200" s="523" t="str">
        <f t="shared" si="43"/>
        <v/>
      </c>
      <c r="AJ200" s="523" t="e">
        <f>IF(((100-100/$AH$7*données_step[[#This Row],[E_NH4]])/100*QTS)&lt;0,NA(),IF(OR(AG200&lt;0,AG200=""),NA(),((100-100/$AH$7*données_step[[#This Row],[E_NH4]])/100*QTS)))</f>
        <v>#NUM!</v>
      </c>
      <c r="AK200" s="523" t="str">
        <f>IF(AND($R200&gt;0,données_step[[#This Row],[E_PTOT]]&gt;0),données_step[[#This Row],[E_PTOT]],"")</f>
        <v/>
      </c>
      <c r="AL200" s="523" t="str">
        <f>IF(AK200="","",(1-données_step[[#This Row],[E_PTOT]]/$AN$7)*100)</f>
        <v/>
      </c>
      <c r="AM200" s="523" t="str">
        <f t="shared" si="44"/>
        <v/>
      </c>
      <c r="AN200" s="523" t="str">
        <f t="shared" si="45"/>
        <v/>
      </c>
      <c r="AO200" s="523" t="str">
        <f t="shared" si="46"/>
        <v/>
      </c>
      <c r="AP200" s="523" t="e">
        <f>IF(((100-100/$AN$7*données_step[[#This Row],[E_PTOT]])/100*QTS)&lt;0,NA(),IF(OR(AM200&lt;0,AM200=""),NA(),((100-100/$AN$7*données_step[[#This Row],[E_PTOT]])/100*QTS)))</f>
        <v>#NUM!</v>
      </c>
      <c r="AQ200" s="524" t="e">
        <f t="shared" si="47"/>
        <v>#NUM!</v>
      </c>
      <c r="AR200" s="524" t="str">
        <f t="shared" si="48"/>
        <v/>
      </c>
      <c r="AY200" s="523" t="str">
        <f>_xlfn.IFNA(IF(données_step[[#This Row],[E_DCO]]&lt;=0,NA(),charge_entree[[#This Row],[ch_E_DCO]]/constanten!$B$8*1000),"")</f>
        <v/>
      </c>
      <c r="AZ200" s="523" t="str">
        <f>_xlfn.IFNA(IF(données_step[[#This Row],[E_NTOT]]&lt;=0,NA(),charge_entree[[#This Row],[ch_E_NTOT]]/constanten!$B$10*1000),"")</f>
        <v/>
      </c>
      <c r="BA200" s="523" t="str">
        <f>_xlfn.IFNA(IF(données_step[[#This Row],[E_NH4]]&lt;=0,NA(),charge_entree[[#This Row],[ch_E_NH4]]/constanten!$B$12*1000),"")</f>
        <v/>
      </c>
      <c r="BB200" s="523" t="str">
        <f>_xlfn.IFNA(IF(données_step[[#This Row],[E_COT]]&lt;=0,NA(),charge_entree[[#This Row],[ch_E_COT]]/constanten!$B$9*1000),"")</f>
        <v/>
      </c>
      <c r="BC200" s="523" t="str">
        <f>IFERROR(_xlfn.IFNA(IF(données_step[[#This Row],[E_PTOT]]&lt;=0,NA(),charge_entree[[#This Row],[ch_E_PTOT]]/constanten!$B$15*1000),""),"")</f>
        <v/>
      </c>
      <c r="BD200" s="535" t="e">
        <f>calculs!E200 * (1-0.4) / (données_step[[#This Row],[X_BA_VOL]]*données_step[[#This Row],[X_BACONC]])</f>
        <v>#VALUE!</v>
      </c>
      <c r="BE200" s="522" t="e">
        <f>(données_step[[#This Row],[X_BA_VOL]]*données_step[[#This Row],[X_BACONC]])/((données_step[[#This Row],[D_QTRAI2]]*données_step[[#This Row],[S_MES]]/1000)+(données_step[[#This Row],[X_BX_Q]]*données_step[[#This Row],[X_BXCONC]]))</f>
        <v>#VALUE!</v>
      </c>
      <c r="BF200" s="890" t="str">
        <f>IFERROR(données_step[[#This Row],[D_QTRAI]]/AY200*1000,"")</f>
        <v/>
      </c>
      <c r="BG200" s="535" t="str">
        <f>IFERROR(1-données_step[[#This Row],[S_DBO5]]/données_step[[#This Row],[E_DBO5]],"")</f>
        <v/>
      </c>
      <c r="BH200" s="536" t="str">
        <f>IFERROR(1-données_step[[#This Row],[S_DCO]]/données_step[[#This Row],[E_DCO]],"")</f>
        <v/>
      </c>
      <c r="BI200" s="535" t="str">
        <f>IFERROR(1-données_step[[#This Row],[S_COD]]/données_step[[#This Row],[E_COT]],"")</f>
        <v/>
      </c>
      <c r="BJ200" s="535" t="str">
        <f>IFERROR(1-données_step[[#This Row],[S_NH4]]/données_step[[#This Row],[E_NTOT]],"")</f>
        <v/>
      </c>
      <c r="BK200" s="535" t="str">
        <f>IFERROR(1-données_step[[#This Row],[S_PTOT]]/données_step[[#This Row],[E_PTOT]],"")</f>
        <v/>
      </c>
      <c r="BL200" s="521" t="str">
        <f>IFERROR(IF(données_step[[#This Row],[E_DCO]]/données_step[[#This Row],[E_DBO5]]=0,NA(),données_step[[#This Row],[E_DCO]]/données_step[[#This Row],[E_DBO5]]),"")</f>
        <v/>
      </c>
      <c r="BM200" s="521" t="str">
        <f>IFERROR(IF(données_step[[#This Row],[E_NH4]]/données_step[[#This Row],[E_NTOT]]=0,NA(),données_step[[#This Row],[E_NH4]]/données_step[[#This Row],[E_NTOT]]),"")</f>
        <v/>
      </c>
      <c r="BN200" s="521" t="str">
        <f>IFERROR(IF(données_step[[#This Row],[E_NTOT]]/données_step[[#This Row],[E_COT]]=0,NA(),données_step[[#This Row],[E_NTOT]]/données_step[[#This Row],[E_COT]]),"")</f>
        <v/>
      </c>
      <c r="BO200" s="521" t="str">
        <f>IFERROR(IF(données_step[[#This Row],[E_PTOT]]/données_step[[#This Row],[E_COT]]=0,NA(),données_step[[#This Row],[E_PTOT]]/données_step[[#This Row],[E_COT]]),"")</f>
        <v/>
      </c>
      <c r="BP200" s="521" t="e">
        <f>IF(données_step[[#This Row],[E_DCO]]/données_step[[#This Row],[E_COT]]=0,NA(),données_step[[#This Row],[E_DCO]]/données_step[[#This Row],[E_COT]])</f>
        <v>#DIV/0!</v>
      </c>
      <c r="BQ200" s="521" t="e">
        <f>IF(données_step[[#This Row],[E_NTOT]]/données_step[[#This Row],[E_DCO]]=0,NA(),données_step[[#This Row],[E_NTOT]]/données_step[[#This Row],[E_DCO]])</f>
        <v>#DIV/0!</v>
      </c>
      <c r="BR200" s="521" t="e">
        <f>IF(données_step[[#This Row],[E_PTOT]]/données_step[[#This Row],[E_DCO]]=0,NA(),données_step[[#This Row],[E_PTOT]]/données_step[[#This Row],[E_DCO]])</f>
        <v>#DIV/0!</v>
      </c>
      <c r="BS200" s="747" t="e">
        <f ca="1">test_NH4_temp(données_step[[#This Row],[S_NH4]],données_step[[#This Row],[Temp_eaux]])</f>
        <v>#NAME?</v>
      </c>
    </row>
    <row r="201" spans="1:71" x14ac:dyDescent="0.2">
      <c r="A201" s="222">
        <f>données_step[[#This Row],[Datum]]</f>
        <v>44752</v>
      </c>
      <c r="B201" s="223"/>
      <c r="C201" s="224">
        <f t="shared" si="49"/>
        <v>1</v>
      </c>
      <c r="D201" s="523" t="str">
        <f>IF(OR(données_step[[#This Row],[E_DBO5]]&lt;=0,données_step[[#This Row],[E_DBO5]]=""),"",données_step[[#This Row],[D_QTRAI]]*données_step[[#This Row],[E_DBO5]]/1000)</f>
        <v/>
      </c>
      <c r="E201" s="523" t="str">
        <f>IF(OR(données_step[[#This Row],[E_DCO]]&lt;=0,données_step[[#This Row],[E_DCO]]=""),"",données_step[[#This Row],[D_QTRAI]]*données_step[[#This Row],[E_DCO]]/1000)</f>
        <v/>
      </c>
      <c r="F201" s="523" t="str">
        <f>IF(OR(données_step[[#This Row],[E_COT]]&lt;=0,données_step[[#This Row],[E_COT]]=""),"",données_step[[#This Row],[D_QTRAI]]*données_step[[#This Row],[E_COT]]/1000)</f>
        <v/>
      </c>
      <c r="G201" s="523" t="str">
        <f>IF(OR(données_step[[#This Row],[E_NH4]]&lt;=0,données_step[[#This Row],[E_NH4]]=""),"",données_step[[#This Row],[D_QTRAI]]*données_step[[#This Row],[E_NH4]]/1000)</f>
        <v/>
      </c>
      <c r="H201" s="523" t="str">
        <f>IF(OR(données_step[[#This Row],[E_NTOT]]&lt;=0,données_step[[#This Row],[E_NTOT]]=""),"",données_step[[#This Row],[D_QTRAI]]*données_step[[#This Row],[E_NTOT]]/1000)</f>
        <v/>
      </c>
      <c r="I201" s="523" t="str">
        <f>IF(OR(données_step[[#This Row],[E_NTOT]]&lt;=0,données_step[[#This Row],[E_NTOT]]=""),"",données_step[[#This Row],[D_QTRAI]]*données_step[[#This Row],[E_PTOT]]/1000)</f>
        <v/>
      </c>
      <c r="J201" s="523" t="str">
        <f>IF(OR(données_step[[#This Row],[S_DBO5]]&lt;=0,données_step[[#This Row],[S_DBO5]]=""),"",données_step[[#This Row],[D_QTRAI]]*données_step[[#This Row],[S_DBO5]]/1000)</f>
        <v/>
      </c>
      <c r="K201" s="523" t="str">
        <f>IF(OR(données_step[[#This Row],[S_DCO]]&lt;=0,données_step[[#This Row],[S_DCO]]=""),"",données_step[[#This Row],[D_QTRAI]]*données_step[[#This Row],[S_DCO]]/1000)</f>
        <v/>
      </c>
      <c r="L201" s="523" t="str">
        <f>IF(OR(données_step[[#This Row],[S_COD]]&lt;=0,données_step[[#This Row],[S_COD]]=""),"",données_step[[#This Row],[D_QTRAI]]*données_step[[#This Row],[S_COD]]/1000)</f>
        <v/>
      </c>
      <c r="M201" s="523" t="str">
        <f>IF(OR(données_step[[#This Row],[S_NH4]]&lt;=0,données_step[[#This Row],[S_NH4]]=""),"",données_step[[#This Row],[D_QTRAI]]*données_step[[#This Row],[S_NH4]]/1000)</f>
        <v/>
      </c>
      <c r="N201" s="523" t="str">
        <f>IF(OR(données_step[[#This Row],[S_NO2]]&lt;=0,données_step[[#This Row],[S_NO2]]=""),"",données_step[[#This Row],[D_QTRAI]]*données_step[[#This Row],[S_NO2]]/1000)</f>
        <v/>
      </c>
      <c r="O201" s="523" t="str">
        <f>IF(OR(données_step[[#This Row],[S_NO3]]&lt;=0,données_step[[#This Row],[S_NO3]]=""),"",données_step[[#This Row],[D_QTRAI]]*données_step[[#This Row],[S_NO3]]/1000)</f>
        <v/>
      </c>
      <c r="P201" s="523" t="str">
        <f>IF(OR(données_step[[#This Row],[S_PTOT]]&lt;=0,données_step[[#This Row],[S_PTOT]]=""),"",données_step[[#This Row],[D_QTRAI]]*données_step[[#This Row],[S_PTOT]]/1000)</f>
        <v/>
      </c>
      <c r="Q201" s="523" t="str">
        <f>IF(OR(données_step[[#This Row],[S_MES]]&lt;=0,données_step[[#This Row],[S_MES]]=""),"",données_step[[#This Row],[D_QTRAI]]*données_step[[#This Row],[S_MES]]/1000)</f>
        <v/>
      </c>
      <c r="R201" s="523">
        <f>MAX(données_step[[#This Row],[D_QTRAI]],données_step[[#This Row],[D_QTRAI2]])</f>
        <v>0</v>
      </c>
      <c r="S201" s="523" t="str">
        <f>IF(AND($R201&gt;0,données_step[[#This Row],[E_DCO]]&gt;0),données_step[[#This Row],[E_DCO]],"")</f>
        <v/>
      </c>
      <c r="T201" s="523" t="str">
        <f>IF(S201="","",(1-données_step[[#This Row],[E_DCO]]/$V$7)*100)</f>
        <v/>
      </c>
      <c r="U201" s="523" t="str">
        <f t="shared" si="35"/>
        <v/>
      </c>
      <c r="V201" s="523" t="str">
        <f t="shared" si="36"/>
        <v/>
      </c>
      <c r="W201" s="523" t="str">
        <f t="shared" si="37"/>
        <v/>
      </c>
      <c r="X201" s="523" t="e">
        <f>IF(((100-100/$V$7*données_step[[#This Row],[E_DCO]])/100*QTS)&lt;0,NA(),IF(OR(U201&lt;0,U201=""),NA(),((100-100/$V$7*données_step[[#This Row],[E_DCO]])/100*QTS)))</f>
        <v>#NUM!</v>
      </c>
      <c r="Y201" s="523" t="str">
        <f>IF(AND($R201&gt;0,données_step[[#This Row],[E_COT]]&gt;0),données_step[[#This Row],[E_COT]],"")</f>
        <v/>
      </c>
      <c r="Z201" s="523" t="str">
        <f>IF(Y201="","",(1-données_step[[#This Row],[E_COT]]/$AB$7)*100)</f>
        <v/>
      </c>
      <c r="AA201" s="523" t="str">
        <f t="shared" si="38"/>
        <v/>
      </c>
      <c r="AB201" s="523" t="str">
        <f t="shared" si="39"/>
        <v/>
      </c>
      <c r="AC201" s="523" t="str">
        <f t="shared" si="40"/>
        <v/>
      </c>
      <c r="AD201" s="523" t="e">
        <f>IF(((100-100/$AB$7*données_step[[#This Row],[E_COT]])/100*QTS)&lt;0,NA(),IF(OR(AA201&lt;0,AA201=""),NA(),((100-100/$AB$7*données_step[[#This Row],[E_COT]])/100*QTS)))</f>
        <v>#NUM!</v>
      </c>
      <c r="AE201" s="523" t="str">
        <f>IF(AND($R201&gt;0,données_step[[#This Row],[E_NH4]]&gt;0),données_step[[#This Row],[E_NH4]],"")</f>
        <v/>
      </c>
      <c r="AF201" s="523" t="str">
        <f>IF(AE201="","",(1-données_step[[#This Row],[E_NH4]]/$AH$7)*100)</f>
        <v/>
      </c>
      <c r="AG201" s="523" t="str">
        <f t="shared" si="41"/>
        <v/>
      </c>
      <c r="AH201" s="523" t="str">
        <f t="shared" si="42"/>
        <v/>
      </c>
      <c r="AI201" s="523" t="str">
        <f t="shared" si="43"/>
        <v/>
      </c>
      <c r="AJ201" s="523" t="e">
        <f>IF(((100-100/$AH$7*données_step[[#This Row],[E_NH4]])/100*QTS)&lt;0,NA(),IF(OR(AG201&lt;0,AG201=""),NA(),((100-100/$AH$7*données_step[[#This Row],[E_NH4]])/100*QTS)))</f>
        <v>#NUM!</v>
      </c>
      <c r="AK201" s="523" t="str">
        <f>IF(AND($R201&gt;0,données_step[[#This Row],[E_PTOT]]&gt;0),données_step[[#This Row],[E_PTOT]],"")</f>
        <v/>
      </c>
      <c r="AL201" s="523" t="str">
        <f>IF(AK201="","",(1-données_step[[#This Row],[E_PTOT]]/$AN$7)*100)</f>
        <v/>
      </c>
      <c r="AM201" s="523" t="str">
        <f t="shared" si="44"/>
        <v/>
      </c>
      <c r="AN201" s="523" t="str">
        <f t="shared" si="45"/>
        <v/>
      </c>
      <c r="AO201" s="523" t="str">
        <f t="shared" si="46"/>
        <v/>
      </c>
      <c r="AP201" s="523" t="e">
        <f>IF(((100-100/$AN$7*données_step[[#This Row],[E_PTOT]])/100*QTS)&lt;0,NA(),IF(OR(AM201&lt;0,AM201=""),NA(),((100-100/$AN$7*données_step[[#This Row],[E_PTOT]])/100*QTS)))</f>
        <v>#NUM!</v>
      </c>
      <c r="AQ201" s="524" t="e">
        <f t="shared" si="47"/>
        <v>#NUM!</v>
      </c>
      <c r="AR201" s="524" t="str">
        <f t="shared" si="48"/>
        <v/>
      </c>
      <c r="AY201" s="523" t="str">
        <f>_xlfn.IFNA(IF(données_step[[#This Row],[E_DCO]]&lt;=0,NA(),charge_entree[[#This Row],[ch_E_DCO]]/constanten!$B$8*1000),"")</f>
        <v/>
      </c>
      <c r="AZ201" s="523" t="str">
        <f>_xlfn.IFNA(IF(données_step[[#This Row],[E_NTOT]]&lt;=0,NA(),charge_entree[[#This Row],[ch_E_NTOT]]/constanten!$B$10*1000),"")</f>
        <v/>
      </c>
      <c r="BA201" s="523" t="str">
        <f>_xlfn.IFNA(IF(données_step[[#This Row],[E_NH4]]&lt;=0,NA(),charge_entree[[#This Row],[ch_E_NH4]]/constanten!$B$12*1000),"")</f>
        <v/>
      </c>
      <c r="BB201" s="523" t="str">
        <f>_xlfn.IFNA(IF(données_step[[#This Row],[E_COT]]&lt;=0,NA(),charge_entree[[#This Row],[ch_E_COT]]/constanten!$B$9*1000),"")</f>
        <v/>
      </c>
      <c r="BC201" s="523" t="str">
        <f>IFERROR(_xlfn.IFNA(IF(données_step[[#This Row],[E_PTOT]]&lt;=0,NA(),charge_entree[[#This Row],[ch_E_PTOT]]/constanten!$B$15*1000),""),"")</f>
        <v/>
      </c>
      <c r="BD201" s="535" t="e">
        <f>calculs!E201 * (1-0.4) / (données_step[[#This Row],[X_BA_VOL]]*données_step[[#This Row],[X_BACONC]])</f>
        <v>#VALUE!</v>
      </c>
      <c r="BE201" s="522" t="e">
        <f>(données_step[[#This Row],[X_BA_VOL]]*données_step[[#This Row],[X_BACONC]])/((données_step[[#This Row],[D_QTRAI2]]*données_step[[#This Row],[S_MES]]/1000)+(données_step[[#This Row],[X_BX_Q]]*données_step[[#This Row],[X_BXCONC]]))</f>
        <v>#VALUE!</v>
      </c>
      <c r="BF201" s="890" t="str">
        <f>IFERROR(données_step[[#This Row],[D_QTRAI]]/AY201*1000,"")</f>
        <v/>
      </c>
      <c r="BG201" s="535" t="str">
        <f>IFERROR(1-données_step[[#This Row],[S_DBO5]]/données_step[[#This Row],[E_DBO5]],"")</f>
        <v/>
      </c>
      <c r="BH201" s="536" t="str">
        <f>IFERROR(1-données_step[[#This Row],[S_DCO]]/données_step[[#This Row],[E_DCO]],"")</f>
        <v/>
      </c>
      <c r="BI201" s="535" t="str">
        <f>IFERROR(1-données_step[[#This Row],[S_COD]]/données_step[[#This Row],[E_COT]],"")</f>
        <v/>
      </c>
      <c r="BJ201" s="535" t="str">
        <f>IFERROR(1-données_step[[#This Row],[S_NH4]]/données_step[[#This Row],[E_NTOT]],"")</f>
        <v/>
      </c>
      <c r="BK201" s="535" t="str">
        <f>IFERROR(1-données_step[[#This Row],[S_PTOT]]/données_step[[#This Row],[E_PTOT]],"")</f>
        <v/>
      </c>
      <c r="BL201" s="521" t="str">
        <f>IFERROR(IF(données_step[[#This Row],[E_DCO]]/données_step[[#This Row],[E_DBO5]]=0,NA(),données_step[[#This Row],[E_DCO]]/données_step[[#This Row],[E_DBO5]]),"")</f>
        <v/>
      </c>
      <c r="BM201" s="521" t="str">
        <f>IFERROR(IF(données_step[[#This Row],[E_NH4]]/données_step[[#This Row],[E_NTOT]]=0,NA(),données_step[[#This Row],[E_NH4]]/données_step[[#This Row],[E_NTOT]]),"")</f>
        <v/>
      </c>
      <c r="BN201" s="521" t="str">
        <f>IFERROR(IF(données_step[[#This Row],[E_NTOT]]/données_step[[#This Row],[E_COT]]=0,NA(),données_step[[#This Row],[E_NTOT]]/données_step[[#This Row],[E_COT]]),"")</f>
        <v/>
      </c>
      <c r="BO201" s="521" t="str">
        <f>IFERROR(IF(données_step[[#This Row],[E_PTOT]]/données_step[[#This Row],[E_COT]]=0,NA(),données_step[[#This Row],[E_PTOT]]/données_step[[#This Row],[E_COT]]),"")</f>
        <v/>
      </c>
      <c r="BP201" s="521" t="e">
        <f>IF(données_step[[#This Row],[E_DCO]]/données_step[[#This Row],[E_COT]]=0,NA(),données_step[[#This Row],[E_DCO]]/données_step[[#This Row],[E_COT]])</f>
        <v>#DIV/0!</v>
      </c>
      <c r="BQ201" s="521" t="e">
        <f>IF(données_step[[#This Row],[E_NTOT]]/données_step[[#This Row],[E_DCO]]=0,NA(),données_step[[#This Row],[E_NTOT]]/données_step[[#This Row],[E_DCO]])</f>
        <v>#DIV/0!</v>
      </c>
      <c r="BR201" s="521" t="e">
        <f>IF(données_step[[#This Row],[E_PTOT]]/données_step[[#This Row],[E_DCO]]=0,NA(),données_step[[#This Row],[E_PTOT]]/données_step[[#This Row],[E_DCO]])</f>
        <v>#DIV/0!</v>
      </c>
      <c r="BS201" s="747" t="e">
        <f ca="1">test_NH4_temp(données_step[[#This Row],[S_NH4]],données_step[[#This Row],[Temp_eaux]])</f>
        <v>#NAME?</v>
      </c>
    </row>
    <row r="202" spans="1:71" x14ac:dyDescent="0.2">
      <c r="A202" s="222">
        <f>données_step[[#This Row],[Datum]]</f>
        <v>44753</v>
      </c>
      <c r="B202" s="223"/>
      <c r="C202" s="224">
        <f t="shared" si="49"/>
        <v>2</v>
      </c>
      <c r="D202" s="523" t="str">
        <f>IF(OR(données_step[[#This Row],[E_DBO5]]&lt;=0,données_step[[#This Row],[E_DBO5]]=""),"",données_step[[#This Row],[D_QTRAI]]*données_step[[#This Row],[E_DBO5]]/1000)</f>
        <v/>
      </c>
      <c r="E202" s="523" t="str">
        <f>IF(OR(données_step[[#This Row],[E_DCO]]&lt;=0,données_step[[#This Row],[E_DCO]]=""),"",données_step[[#This Row],[D_QTRAI]]*données_step[[#This Row],[E_DCO]]/1000)</f>
        <v/>
      </c>
      <c r="F202" s="523" t="str">
        <f>IF(OR(données_step[[#This Row],[E_COT]]&lt;=0,données_step[[#This Row],[E_COT]]=""),"",données_step[[#This Row],[D_QTRAI]]*données_step[[#This Row],[E_COT]]/1000)</f>
        <v/>
      </c>
      <c r="G202" s="523" t="str">
        <f>IF(OR(données_step[[#This Row],[E_NH4]]&lt;=0,données_step[[#This Row],[E_NH4]]=""),"",données_step[[#This Row],[D_QTRAI]]*données_step[[#This Row],[E_NH4]]/1000)</f>
        <v/>
      </c>
      <c r="H202" s="523" t="str">
        <f>IF(OR(données_step[[#This Row],[E_NTOT]]&lt;=0,données_step[[#This Row],[E_NTOT]]=""),"",données_step[[#This Row],[D_QTRAI]]*données_step[[#This Row],[E_NTOT]]/1000)</f>
        <v/>
      </c>
      <c r="I202" s="523" t="str">
        <f>IF(OR(données_step[[#This Row],[E_NTOT]]&lt;=0,données_step[[#This Row],[E_NTOT]]=""),"",données_step[[#This Row],[D_QTRAI]]*données_step[[#This Row],[E_PTOT]]/1000)</f>
        <v/>
      </c>
      <c r="J202" s="523" t="str">
        <f>IF(OR(données_step[[#This Row],[S_DBO5]]&lt;=0,données_step[[#This Row],[S_DBO5]]=""),"",données_step[[#This Row],[D_QTRAI]]*données_step[[#This Row],[S_DBO5]]/1000)</f>
        <v/>
      </c>
      <c r="K202" s="523" t="str">
        <f>IF(OR(données_step[[#This Row],[S_DCO]]&lt;=0,données_step[[#This Row],[S_DCO]]=""),"",données_step[[#This Row],[D_QTRAI]]*données_step[[#This Row],[S_DCO]]/1000)</f>
        <v/>
      </c>
      <c r="L202" s="523" t="str">
        <f>IF(OR(données_step[[#This Row],[S_COD]]&lt;=0,données_step[[#This Row],[S_COD]]=""),"",données_step[[#This Row],[D_QTRAI]]*données_step[[#This Row],[S_COD]]/1000)</f>
        <v/>
      </c>
      <c r="M202" s="523" t="str">
        <f>IF(OR(données_step[[#This Row],[S_NH4]]&lt;=0,données_step[[#This Row],[S_NH4]]=""),"",données_step[[#This Row],[D_QTRAI]]*données_step[[#This Row],[S_NH4]]/1000)</f>
        <v/>
      </c>
      <c r="N202" s="523" t="str">
        <f>IF(OR(données_step[[#This Row],[S_NO2]]&lt;=0,données_step[[#This Row],[S_NO2]]=""),"",données_step[[#This Row],[D_QTRAI]]*données_step[[#This Row],[S_NO2]]/1000)</f>
        <v/>
      </c>
      <c r="O202" s="523" t="str">
        <f>IF(OR(données_step[[#This Row],[S_NO3]]&lt;=0,données_step[[#This Row],[S_NO3]]=""),"",données_step[[#This Row],[D_QTRAI]]*données_step[[#This Row],[S_NO3]]/1000)</f>
        <v/>
      </c>
      <c r="P202" s="523" t="str">
        <f>IF(OR(données_step[[#This Row],[S_PTOT]]&lt;=0,données_step[[#This Row],[S_PTOT]]=""),"",données_step[[#This Row],[D_QTRAI]]*données_step[[#This Row],[S_PTOT]]/1000)</f>
        <v/>
      </c>
      <c r="Q202" s="523" t="str">
        <f>IF(OR(données_step[[#This Row],[S_MES]]&lt;=0,données_step[[#This Row],[S_MES]]=""),"",données_step[[#This Row],[D_QTRAI]]*données_step[[#This Row],[S_MES]]/1000)</f>
        <v/>
      </c>
      <c r="R202" s="523">
        <f>MAX(données_step[[#This Row],[D_QTRAI]],données_step[[#This Row],[D_QTRAI2]])</f>
        <v>0</v>
      </c>
      <c r="S202" s="523" t="str">
        <f>IF(AND($R202&gt;0,données_step[[#This Row],[E_DCO]]&gt;0),données_step[[#This Row],[E_DCO]],"")</f>
        <v/>
      </c>
      <c r="T202" s="523" t="str">
        <f>IF(S202="","",(1-données_step[[#This Row],[E_DCO]]/$V$7)*100)</f>
        <v/>
      </c>
      <c r="U202" s="523" t="str">
        <f t="shared" si="35"/>
        <v/>
      </c>
      <c r="V202" s="523" t="str">
        <f t="shared" si="36"/>
        <v/>
      </c>
      <c r="W202" s="523" t="str">
        <f t="shared" si="37"/>
        <v/>
      </c>
      <c r="X202" s="523" t="e">
        <f>IF(((100-100/$V$7*données_step[[#This Row],[E_DCO]])/100*QTS)&lt;0,NA(),IF(OR(U202&lt;0,U202=""),NA(),((100-100/$V$7*données_step[[#This Row],[E_DCO]])/100*QTS)))</f>
        <v>#NUM!</v>
      </c>
      <c r="Y202" s="523" t="str">
        <f>IF(AND($R202&gt;0,données_step[[#This Row],[E_COT]]&gt;0),données_step[[#This Row],[E_COT]],"")</f>
        <v/>
      </c>
      <c r="Z202" s="523" t="str">
        <f>IF(Y202="","",(1-données_step[[#This Row],[E_COT]]/$AB$7)*100)</f>
        <v/>
      </c>
      <c r="AA202" s="523" t="str">
        <f t="shared" si="38"/>
        <v/>
      </c>
      <c r="AB202" s="523" t="str">
        <f t="shared" si="39"/>
        <v/>
      </c>
      <c r="AC202" s="523" t="str">
        <f t="shared" si="40"/>
        <v/>
      </c>
      <c r="AD202" s="523" t="e">
        <f>IF(((100-100/$AB$7*données_step[[#This Row],[E_COT]])/100*QTS)&lt;0,NA(),IF(OR(AA202&lt;0,AA202=""),NA(),((100-100/$AB$7*données_step[[#This Row],[E_COT]])/100*QTS)))</f>
        <v>#NUM!</v>
      </c>
      <c r="AE202" s="523" t="str">
        <f>IF(AND($R202&gt;0,données_step[[#This Row],[E_NH4]]&gt;0),données_step[[#This Row],[E_NH4]],"")</f>
        <v/>
      </c>
      <c r="AF202" s="523" t="str">
        <f>IF(AE202="","",(1-données_step[[#This Row],[E_NH4]]/$AH$7)*100)</f>
        <v/>
      </c>
      <c r="AG202" s="523" t="str">
        <f t="shared" si="41"/>
        <v/>
      </c>
      <c r="AH202" s="523" t="str">
        <f t="shared" si="42"/>
        <v/>
      </c>
      <c r="AI202" s="523" t="str">
        <f t="shared" si="43"/>
        <v/>
      </c>
      <c r="AJ202" s="523" t="e">
        <f>IF(((100-100/$AH$7*données_step[[#This Row],[E_NH4]])/100*QTS)&lt;0,NA(),IF(OR(AG202&lt;0,AG202=""),NA(),((100-100/$AH$7*données_step[[#This Row],[E_NH4]])/100*QTS)))</f>
        <v>#NUM!</v>
      </c>
      <c r="AK202" s="523" t="str">
        <f>IF(AND($R202&gt;0,données_step[[#This Row],[E_PTOT]]&gt;0),données_step[[#This Row],[E_PTOT]],"")</f>
        <v/>
      </c>
      <c r="AL202" s="523" t="str">
        <f>IF(AK202="","",(1-données_step[[#This Row],[E_PTOT]]/$AN$7)*100)</f>
        <v/>
      </c>
      <c r="AM202" s="523" t="str">
        <f t="shared" si="44"/>
        <v/>
      </c>
      <c r="AN202" s="523" t="str">
        <f t="shared" si="45"/>
        <v/>
      </c>
      <c r="AO202" s="523" t="str">
        <f t="shared" si="46"/>
        <v/>
      </c>
      <c r="AP202" s="523" t="e">
        <f>IF(((100-100/$AN$7*données_step[[#This Row],[E_PTOT]])/100*QTS)&lt;0,NA(),IF(OR(AM202&lt;0,AM202=""),NA(),((100-100/$AN$7*données_step[[#This Row],[E_PTOT]])/100*QTS)))</f>
        <v>#NUM!</v>
      </c>
      <c r="AQ202" s="524" t="e">
        <f t="shared" si="47"/>
        <v>#NUM!</v>
      </c>
      <c r="AR202" s="524" t="str">
        <f t="shared" si="48"/>
        <v/>
      </c>
      <c r="AY202" s="523" t="str">
        <f>_xlfn.IFNA(IF(données_step[[#This Row],[E_DCO]]&lt;=0,NA(),charge_entree[[#This Row],[ch_E_DCO]]/constanten!$B$8*1000),"")</f>
        <v/>
      </c>
      <c r="AZ202" s="523" t="str">
        <f>_xlfn.IFNA(IF(données_step[[#This Row],[E_NTOT]]&lt;=0,NA(),charge_entree[[#This Row],[ch_E_NTOT]]/constanten!$B$10*1000),"")</f>
        <v/>
      </c>
      <c r="BA202" s="523" t="str">
        <f>_xlfn.IFNA(IF(données_step[[#This Row],[E_NH4]]&lt;=0,NA(),charge_entree[[#This Row],[ch_E_NH4]]/constanten!$B$12*1000),"")</f>
        <v/>
      </c>
      <c r="BB202" s="523" t="str">
        <f>_xlfn.IFNA(IF(données_step[[#This Row],[E_COT]]&lt;=0,NA(),charge_entree[[#This Row],[ch_E_COT]]/constanten!$B$9*1000),"")</f>
        <v/>
      </c>
      <c r="BC202" s="523" t="str">
        <f>IFERROR(_xlfn.IFNA(IF(données_step[[#This Row],[E_PTOT]]&lt;=0,NA(),charge_entree[[#This Row],[ch_E_PTOT]]/constanten!$B$15*1000),""),"")</f>
        <v/>
      </c>
      <c r="BD202" s="535" t="e">
        <f>calculs!E202 * (1-0.4) / (données_step[[#This Row],[X_BA_VOL]]*données_step[[#This Row],[X_BACONC]])</f>
        <v>#VALUE!</v>
      </c>
      <c r="BE202" s="522" t="e">
        <f>(données_step[[#This Row],[X_BA_VOL]]*données_step[[#This Row],[X_BACONC]])/((données_step[[#This Row],[D_QTRAI2]]*données_step[[#This Row],[S_MES]]/1000)+(données_step[[#This Row],[X_BX_Q]]*données_step[[#This Row],[X_BXCONC]]))</f>
        <v>#VALUE!</v>
      </c>
      <c r="BF202" s="890" t="str">
        <f>IFERROR(données_step[[#This Row],[D_QTRAI]]/AY202*1000,"")</f>
        <v/>
      </c>
      <c r="BG202" s="535" t="str">
        <f>IFERROR(1-données_step[[#This Row],[S_DBO5]]/données_step[[#This Row],[E_DBO5]],"")</f>
        <v/>
      </c>
      <c r="BH202" s="536" t="str">
        <f>IFERROR(1-données_step[[#This Row],[S_DCO]]/données_step[[#This Row],[E_DCO]],"")</f>
        <v/>
      </c>
      <c r="BI202" s="535" t="str">
        <f>IFERROR(1-données_step[[#This Row],[S_COD]]/données_step[[#This Row],[E_COT]],"")</f>
        <v/>
      </c>
      <c r="BJ202" s="535" t="str">
        <f>IFERROR(1-données_step[[#This Row],[S_NH4]]/données_step[[#This Row],[E_NTOT]],"")</f>
        <v/>
      </c>
      <c r="BK202" s="535" t="str">
        <f>IFERROR(1-données_step[[#This Row],[S_PTOT]]/données_step[[#This Row],[E_PTOT]],"")</f>
        <v/>
      </c>
      <c r="BL202" s="521" t="str">
        <f>IFERROR(IF(données_step[[#This Row],[E_DCO]]/données_step[[#This Row],[E_DBO5]]=0,NA(),données_step[[#This Row],[E_DCO]]/données_step[[#This Row],[E_DBO5]]),"")</f>
        <v/>
      </c>
      <c r="BM202" s="521" t="str">
        <f>IFERROR(IF(données_step[[#This Row],[E_NH4]]/données_step[[#This Row],[E_NTOT]]=0,NA(),données_step[[#This Row],[E_NH4]]/données_step[[#This Row],[E_NTOT]]),"")</f>
        <v/>
      </c>
      <c r="BN202" s="521" t="str">
        <f>IFERROR(IF(données_step[[#This Row],[E_NTOT]]/données_step[[#This Row],[E_COT]]=0,NA(),données_step[[#This Row],[E_NTOT]]/données_step[[#This Row],[E_COT]]),"")</f>
        <v/>
      </c>
      <c r="BO202" s="521" t="str">
        <f>IFERROR(IF(données_step[[#This Row],[E_PTOT]]/données_step[[#This Row],[E_COT]]=0,NA(),données_step[[#This Row],[E_PTOT]]/données_step[[#This Row],[E_COT]]),"")</f>
        <v/>
      </c>
      <c r="BP202" s="521" t="e">
        <f>IF(données_step[[#This Row],[E_DCO]]/données_step[[#This Row],[E_COT]]=0,NA(),données_step[[#This Row],[E_DCO]]/données_step[[#This Row],[E_COT]])</f>
        <v>#DIV/0!</v>
      </c>
      <c r="BQ202" s="521" t="e">
        <f>IF(données_step[[#This Row],[E_NTOT]]/données_step[[#This Row],[E_DCO]]=0,NA(),données_step[[#This Row],[E_NTOT]]/données_step[[#This Row],[E_DCO]])</f>
        <v>#DIV/0!</v>
      </c>
      <c r="BR202" s="521" t="e">
        <f>IF(données_step[[#This Row],[E_PTOT]]/données_step[[#This Row],[E_DCO]]=0,NA(),données_step[[#This Row],[E_PTOT]]/données_step[[#This Row],[E_DCO]])</f>
        <v>#DIV/0!</v>
      </c>
      <c r="BS202" s="747" t="e">
        <f ca="1">test_NH4_temp(données_step[[#This Row],[S_NH4]],données_step[[#This Row],[Temp_eaux]])</f>
        <v>#NAME?</v>
      </c>
    </row>
    <row r="203" spans="1:71" x14ac:dyDescent="0.2">
      <c r="A203" s="222">
        <f>données_step[[#This Row],[Datum]]</f>
        <v>44754</v>
      </c>
      <c r="B203" s="223"/>
      <c r="C203" s="224">
        <f t="shared" si="49"/>
        <v>3</v>
      </c>
      <c r="D203" s="523" t="str">
        <f>IF(OR(données_step[[#This Row],[E_DBO5]]&lt;=0,données_step[[#This Row],[E_DBO5]]=""),"",données_step[[#This Row],[D_QTRAI]]*données_step[[#This Row],[E_DBO5]]/1000)</f>
        <v/>
      </c>
      <c r="E203" s="523" t="str">
        <f>IF(OR(données_step[[#This Row],[E_DCO]]&lt;=0,données_step[[#This Row],[E_DCO]]=""),"",données_step[[#This Row],[D_QTRAI]]*données_step[[#This Row],[E_DCO]]/1000)</f>
        <v/>
      </c>
      <c r="F203" s="523" t="str">
        <f>IF(OR(données_step[[#This Row],[E_COT]]&lt;=0,données_step[[#This Row],[E_COT]]=""),"",données_step[[#This Row],[D_QTRAI]]*données_step[[#This Row],[E_COT]]/1000)</f>
        <v/>
      </c>
      <c r="G203" s="523" t="str">
        <f>IF(OR(données_step[[#This Row],[E_NH4]]&lt;=0,données_step[[#This Row],[E_NH4]]=""),"",données_step[[#This Row],[D_QTRAI]]*données_step[[#This Row],[E_NH4]]/1000)</f>
        <v/>
      </c>
      <c r="H203" s="523" t="str">
        <f>IF(OR(données_step[[#This Row],[E_NTOT]]&lt;=0,données_step[[#This Row],[E_NTOT]]=""),"",données_step[[#This Row],[D_QTRAI]]*données_step[[#This Row],[E_NTOT]]/1000)</f>
        <v/>
      </c>
      <c r="I203" s="523" t="str">
        <f>IF(OR(données_step[[#This Row],[E_NTOT]]&lt;=0,données_step[[#This Row],[E_NTOT]]=""),"",données_step[[#This Row],[D_QTRAI]]*données_step[[#This Row],[E_PTOT]]/1000)</f>
        <v/>
      </c>
      <c r="J203" s="523" t="str">
        <f>IF(OR(données_step[[#This Row],[S_DBO5]]&lt;=0,données_step[[#This Row],[S_DBO5]]=""),"",données_step[[#This Row],[D_QTRAI]]*données_step[[#This Row],[S_DBO5]]/1000)</f>
        <v/>
      </c>
      <c r="K203" s="523" t="str">
        <f>IF(OR(données_step[[#This Row],[S_DCO]]&lt;=0,données_step[[#This Row],[S_DCO]]=""),"",données_step[[#This Row],[D_QTRAI]]*données_step[[#This Row],[S_DCO]]/1000)</f>
        <v/>
      </c>
      <c r="L203" s="523" t="str">
        <f>IF(OR(données_step[[#This Row],[S_COD]]&lt;=0,données_step[[#This Row],[S_COD]]=""),"",données_step[[#This Row],[D_QTRAI]]*données_step[[#This Row],[S_COD]]/1000)</f>
        <v/>
      </c>
      <c r="M203" s="523" t="str">
        <f>IF(OR(données_step[[#This Row],[S_NH4]]&lt;=0,données_step[[#This Row],[S_NH4]]=""),"",données_step[[#This Row],[D_QTRAI]]*données_step[[#This Row],[S_NH4]]/1000)</f>
        <v/>
      </c>
      <c r="N203" s="523" t="str">
        <f>IF(OR(données_step[[#This Row],[S_NO2]]&lt;=0,données_step[[#This Row],[S_NO2]]=""),"",données_step[[#This Row],[D_QTRAI]]*données_step[[#This Row],[S_NO2]]/1000)</f>
        <v/>
      </c>
      <c r="O203" s="523" t="str">
        <f>IF(OR(données_step[[#This Row],[S_NO3]]&lt;=0,données_step[[#This Row],[S_NO3]]=""),"",données_step[[#This Row],[D_QTRAI]]*données_step[[#This Row],[S_NO3]]/1000)</f>
        <v/>
      </c>
      <c r="P203" s="523" t="str">
        <f>IF(OR(données_step[[#This Row],[S_PTOT]]&lt;=0,données_step[[#This Row],[S_PTOT]]=""),"",données_step[[#This Row],[D_QTRAI]]*données_step[[#This Row],[S_PTOT]]/1000)</f>
        <v/>
      </c>
      <c r="Q203" s="523" t="str">
        <f>IF(OR(données_step[[#This Row],[S_MES]]&lt;=0,données_step[[#This Row],[S_MES]]=""),"",données_step[[#This Row],[D_QTRAI]]*données_step[[#This Row],[S_MES]]/1000)</f>
        <v/>
      </c>
      <c r="R203" s="523">
        <f>MAX(données_step[[#This Row],[D_QTRAI]],données_step[[#This Row],[D_QTRAI2]])</f>
        <v>0</v>
      </c>
      <c r="S203" s="523" t="str">
        <f>IF(AND($R203&gt;0,données_step[[#This Row],[E_DCO]]&gt;0),données_step[[#This Row],[E_DCO]],"")</f>
        <v/>
      </c>
      <c r="T203" s="523" t="str">
        <f>IF(S203="","",(1-données_step[[#This Row],[E_DCO]]/$V$7)*100)</f>
        <v/>
      </c>
      <c r="U203" s="523" t="str">
        <f t="shared" si="35"/>
        <v/>
      </c>
      <c r="V203" s="523" t="str">
        <f t="shared" si="36"/>
        <v/>
      </c>
      <c r="W203" s="523" t="str">
        <f t="shared" si="37"/>
        <v/>
      </c>
      <c r="X203" s="523" t="e">
        <f>IF(((100-100/$V$7*données_step[[#This Row],[E_DCO]])/100*QTS)&lt;0,NA(),IF(OR(U203&lt;0,U203=""),NA(),((100-100/$V$7*données_step[[#This Row],[E_DCO]])/100*QTS)))</f>
        <v>#NUM!</v>
      </c>
      <c r="Y203" s="523" t="str">
        <f>IF(AND($R203&gt;0,données_step[[#This Row],[E_COT]]&gt;0),données_step[[#This Row],[E_COT]],"")</f>
        <v/>
      </c>
      <c r="Z203" s="523" t="str">
        <f>IF(Y203="","",(1-données_step[[#This Row],[E_COT]]/$AB$7)*100)</f>
        <v/>
      </c>
      <c r="AA203" s="523" t="str">
        <f t="shared" si="38"/>
        <v/>
      </c>
      <c r="AB203" s="523" t="str">
        <f t="shared" si="39"/>
        <v/>
      </c>
      <c r="AC203" s="523" t="str">
        <f t="shared" si="40"/>
        <v/>
      </c>
      <c r="AD203" s="523" t="e">
        <f>IF(((100-100/$AB$7*données_step[[#This Row],[E_COT]])/100*QTS)&lt;0,NA(),IF(OR(AA203&lt;0,AA203=""),NA(),((100-100/$AB$7*données_step[[#This Row],[E_COT]])/100*QTS)))</f>
        <v>#NUM!</v>
      </c>
      <c r="AE203" s="523" t="str">
        <f>IF(AND($R203&gt;0,données_step[[#This Row],[E_NH4]]&gt;0),données_step[[#This Row],[E_NH4]],"")</f>
        <v/>
      </c>
      <c r="AF203" s="523" t="str">
        <f>IF(AE203="","",(1-données_step[[#This Row],[E_NH4]]/$AH$7)*100)</f>
        <v/>
      </c>
      <c r="AG203" s="523" t="str">
        <f t="shared" si="41"/>
        <v/>
      </c>
      <c r="AH203" s="523" t="str">
        <f t="shared" si="42"/>
        <v/>
      </c>
      <c r="AI203" s="523" t="str">
        <f t="shared" si="43"/>
        <v/>
      </c>
      <c r="AJ203" s="523" t="e">
        <f>IF(((100-100/$AH$7*données_step[[#This Row],[E_NH4]])/100*QTS)&lt;0,NA(),IF(OR(AG203&lt;0,AG203=""),NA(),((100-100/$AH$7*données_step[[#This Row],[E_NH4]])/100*QTS)))</f>
        <v>#NUM!</v>
      </c>
      <c r="AK203" s="523" t="str">
        <f>IF(AND($R203&gt;0,données_step[[#This Row],[E_PTOT]]&gt;0),données_step[[#This Row],[E_PTOT]],"")</f>
        <v/>
      </c>
      <c r="AL203" s="523" t="str">
        <f>IF(AK203="","",(1-données_step[[#This Row],[E_PTOT]]/$AN$7)*100)</f>
        <v/>
      </c>
      <c r="AM203" s="523" t="str">
        <f t="shared" si="44"/>
        <v/>
      </c>
      <c r="AN203" s="523" t="str">
        <f t="shared" si="45"/>
        <v/>
      </c>
      <c r="AO203" s="523" t="str">
        <f t="shared" si="46"/>
        <v/>
      </c>
      <c r="AP203" s="523" t="e">
        <f>IF(((100-100/$AN$7*données_step[[#This Row],[E_PTOT]])/100*QTS)&lt;0,NA(),IF(OR(AM203&lt;0,AM203=""),NA(),((100-100/$AN$7*données_step[[#This Row],[E_PTOT]])/100*QTS)))</f>
        <v>#NUM!</v>
      </c>
      <c r="AQ203" s="524" t="e">
        <f t="shared" si="47"/>
        <v>#NUM!</v>
      </c>
      <c r="AR203" s="524" t="str">
        <f t="shared" si="48"/>
        <v/>
      </c>
      <c r="AY203" s="523" t="str">
        <f>_xlfn.IFNA(IF(données_step[[#This Row],[E_DCO]]&lt;=0,NA(),charge_entree[[#This Row],[ch_E_DCO]]/constanten!$B$8*1000),"")</f>
        <v/>
      </c>
      <c r="AZ203" s="523" t="str">
        <f>_xlfn.IFNA(IF(données_step[[#This Row],[E_NTOT]]&lt;=0,NA(),charge_entree[[#This Row],[ch_E_NTOT]]/constanten!$B$10*1000),"")</f>
        <v/>
      </c>
      <c r="BA203" s="523" t="str">
        <f>_xlfn.IFNA(IF(données_step[[#This Row],[E_NH4]]&lt;=0,NA(),charge_entree[[#This Row],[ch_E_NH4]]/constanten!$B$12*1000),"")</f>
        <v/>
      </c>
      <c r="BB203" s="523" t="str">
        <f>_xlfn.IFNA(IF(données_step[[#This Row],[E_COT]]&lt;=0,NA(),charge_entree[[#This Row],[ch_E_COT]]/constanten!$B$9*1000),"")</f>
        <v/>
      </c>
      <c r="BC203" s="523" t="str">
        <f>IFERROR(_xlfn.IFNA(IF(données_step[[#This Row],[E_PTOT]]&lt;=0,NA(),charge_entree[[#This Row],[ch_E_PTOT]]/constanten!$B$15*1000),""),"")</f>
        <v/>
      </c>
      <c r="BD203" s="535" t="e">
        <f>calculs!E203 * (1-0.4) / (données_step[[#This Row],[X_BA_VOL]]*données_step[[#This Row],[X_BACONC]])</f>
        <v>#VALUE!</v>
      </c>
      <c r="BE203" s="522" t="e">
        <f>(données_step[[#This Row],[X_BA_VOL]]*données_step[[#This Row],[X_BACONC]])/((données_step[[#This Row],[D_QTRAI2]]*données_step[[#This Row],[S_MES]]/1000)+(données_step[[#This Row],[X_BX_Q]]*données_step[[#This Row],[X_BXCONC]]))</f>
        <v>#VALUE!</v>
      </c>
      <c r="BF203" s="890" t="str">
        <f>IFERROR(données_step[[#This Row],[D_QTRAI]]/AY203*1000,"")</f>
        <v/>
      </c>
      <c r="BG203" s="535" t="str">
        <f>IFERROR(1-données_step[[#This Row],[S_DBO5]]/données_step[[#This Row],[E_DBO5]],"")</f>
        <v/>
      </c>
      <c r="BH203" s="536" t="str">
        <f>IFERROR(1-données_step[[#This Row],[S_DCO]]/données_step[[#This Row],[E_DCO]],"")</f>
        <v/>
      </c>
      <c r="BI203" s="535" t="str">
        <f>IFERROR(1-données_step[[#This Row],[S_COD]]/données_step[[#This Row],[E_COT]],"")</f>
        <v/>
      </c>
      <c r="BJ203" s="535" t="str">
        <f>IFERROR(1-données_step[[#This Row],[S_NH4]]/données_step[[#This Row],[E_NTOT]],"")</f>
        <v/>
      </c>
      <c r="BK203" s="535" t="str">
        <f>IFERROR(1-données_step[[#This Row],[S_PTOT]]/données_step[[#This Row],[E_PTOT]],"")</f>
        <v/>
      </c>
      <c r="BL203" s="521" t="str">
        <f>IFERROR(IF(données_step[[#This Row],[E_DCO]]/données_step[[#This Row],[E_DBO5]]=0,NA(),données_step[[#This Row],[E_DCO]]/données_step[[#This Row],[E_DBO5]]),"")</f>
        <v/>
      </c>
      <c r="BM203" s="521" t="str">
        <f>IFERROR(IF(données_step[[#This Row],[E_NH4]]/données_step[[#This Row],[E_NTOT]]=0,NA(),données_step[[#This Row],[E_NH4]]/données_step[[#This Row],[E_NTOT]]),"")</f>
        <v/>
      </c>
      <c r="BN203" s="521" t="str">
        <f>IFERROR(IF(données_step[[#This Row],[E_NTOT]]/données_step[[#This Row],[E_COT]]=0,NA(),données_step[[#This Row],[E_NTOT]]/données_step[[#This Row],[E_COT]]),"")</f>
        <v/>
      </c>
      <c r="BO203" s="521" t="str">
        <f>IFERROR(IF(données_step[[#This Row],[E_PTOT]]/données_step[[#This Row],[E_COT]]=0,NA(),données_step[[#This Row],[E_PTOT]]/données_step[[#This Row],[E_COT]]),"")</f>
        <v/>
      </c>
      <c r="BP203" s="521" t="e">
        <f>IF(données_step[[#This Row],[E_DCO]]/données_step[[#This Row],[E_COT]]=0,NA(),données_step[[#This Row],[E_DCO]]/données_step[[#This Row],[E_COT]])</f>
        <v>#DIV/0!</v>
      </c>
      <c r="BQ203" s="521" t="e">
        <f>IF(données_step[[#This Row],[E_NTOT]]/données_step[[#This Row],[E_DCO]]=0,NA(),données_step[[#This Row],[E_NTOT]]/données_step[[#This Row],[E_DCO]])</f>
        <v>#DIV/0!</v>
      </c>
      <c r="BR203" s="521" t="e">
        <f>IF(données_step[[#This Row],[E_PTOT]]/données_step[[#This Row],[E_DCO]]=0,NA(),données_step[[#This Row],[E_PTOT]]/données_step[[#This Row],[E_DCO]])</f>
        <v>#DIV/0!</v>
      </c>
      <c r="BS203" s="747" t="e">
        <f ca="1">test_NH4_temp(données_step[[#This Row],[S_NH4]],données_step[[#This Row],[Temp_eaux]])</f>
        <v>#NAME?</v>
      </c>
    </row>
    <row r="204" spans="1:71" x14ac:dyDescent="0.2">
      <c r="A204" s="222">
        <f>données_step[[#This Row],[Datum]]</f>
        <v>44755</v>
      </c>
      <c r="B204" s="223"/>
      <c r="C204" s="224">
        <f t="shared" si="49"/>
        <v>4</v>
      </c>
      <c r="D204" s="523" t="str">
        <f>IF(OR(données_step[[#This Row],[E_DBO5]]&lt;=0,données_step[[#This Row],[E_DBO5]]=""),"",données_step[[#This Row],[D_QTRAI]]*données_step[[#This Row],[E_DBO5]]/1000)</f>
        <v/>
      </c>
      <c r="E204" s="523" t="str">
        <f>IF(OR(données_step[[#This Row],[E_DCO]]&lt;=0,données_step[[#This Row],[E_DCO]]=""),"",données_step[[#This Row],[D_QTRAI]]*données_step[[#This Row],[E_DCO]]/1000)</f>
        <v/>
      </c>
      <c r="F204" s="523" t="str">
        <f>IF(OR(données_step[[#This Row],[E_COT]]&lt;=0,données_step[[#This Row],[E_COT]]=""),"",données_step[[#This Row],[D_QTRAI]]*données_step[[#This Row],[E_COT]]/1000)</f>
        <v/>
      </c>
      <c r="G204" s="523" t="str">
        <f>IF(OR(données_step[[#This Row],[E_NH4]]&lt;=0,données_step[[#This Row],[E_NH4]]=""),"",données_step[[#This Row],[D_QTRAI]]*données_step[[#This Row],[E_NH4]]/1000)</f>
        <v/>
      </c>
      <c r="H204" s="523" t="str">
        <f>IF(OR(données_step[[#This Row],[E_NTOT]]&lt;=0,données_step[[#This Row],[E_NTOT]]=""),"",données_step[[#This Row],[D_QTRAI]]*données_step[[#This Row],[E_NTOT]]/1000)</f>
        <v/>
      </c>
      <c r="I204" s="523" t="str">
        <f>IF(OR(données_step[[#This Row],[E_NTOT]]&lt;=0,données_step[[#This Row],[E_NTOT]]=""),"",données_step[[#This Row],[D_QTRAI]]*données_step[[#This Row],[E_PTOT]]/1000)</f>
        <v/>
      </c>
      <c r="J204" s="523" t="str">
        <f>IF(OR(données_step[[#This Row],[S_DBO5]]&lt;=0,données_step[[#This Row],[S_DBO5]]=""),"",données_step[[#This Row],[D_QTRAI]]*données_step[[#This Row],[S_DBO5]]/1000)</f>
        <v/>
      </c>
      <c r="K204" s="523" t="str">
        <f>IF(OR(données_step[[#This Row],[S_DCO]]&lt;=0,données_step[[#This Row],[S_DCO]]=""),"",données_step[[#This Row],[D_QTRAI]]*données_step[[#This Row],[S_DCO]]/1000)</f>
        <v/>
      </c>
      <c r="L204" s="523" t="str">
        <f>IF(OR(données_step[[#This Row],[S_COD]]&lt;=0,données_step[[#This Row],[S_COD]]=""),"",données_step[[#This Row],[D_QTRAI]]*données_step[[#This Row],[S_COD]]/1000)</f>
        <v/>
      </c>
      <c r="M204" s="523" t="str">
        <f>IF(OR(données_step[[#This Row],[S_NH4]]&lt;=0,données_step[[#This Row],[S_NH4]]=""),"",données_step[[#This Row],[D_QTRAI]]*données_step[[#This Row],[S_NH4]]/1000)</f>
        <v/>
      </c>
      <c r="N204" s="523" t="str">
        <f>IF(OR(données_step[[#This Row],[S_NO2]]&lt;=0,données_step[[#This Row],[S_NO2]]=""),"",données_step[[#This Row],[D_QTRAI]]*données_step[[#This Row],[S_NO2]]/1000)</f>
        <v/>
      </c>
      <c r="O204" s="523" t="str">
        <f>IF(OR(données_step[[#This Row],[S_NO3]]&lt;=0,données_step[[#This Row],[S_NO3]]=""),"",données_step[[#This Row],[D_QTRAI]]*données_step[[#This Row],[S_NO3]]/1000)</f>
        <v/>
      </c>
      <c r="P204" s="523" t="str">
        <f>IF(OR(données_step[[#This Row],[S_PTOT]]&lt;=0,données_step[[#This Row],[S_PTOT]]=""),"",données_step[[#This Row],[D_QTRAI]]*données_step[[#This Row],[S_PTOT]]/1000)</f>
        <v/>
      </c>
      <c r="Q204" s="523" t="str">
        <f>IF(OR(données_step[[#This Row],[S_MES]]&lt;=0,données_step[[#This Row],[S_MES]]=""),"",données_step[[#This Row],[D_QTRAI]]*données_step[[#This Row],[S_MES]]/1000)</f>
        <v/>
      </c>
      <c r="R204" s="523">
        <f>MAX(données_step[[#This Row],[D_QTRAI]],données_step[[#This Row],[D_QTRAI2]])</f>
        <v>0</v>
      </c>
      <c r="S204" s="523" t="str">
        <f>IF(AND($R204&gt;0,données_step[[#This Row],[E_DCO]]&gt;0),données_step[[#This Row],[E_DCO]],"")</f>
        <v/>
      </c>
      <c r="T204" s="523" t="str">
        <f>IF(S204="","",(1-données_step[[#This Row],[E_DCO]]/$V$7)*100)</f>
        <v/>
      </c>
      <c r="U204" s="523" t="str">
        <f t="shared" ref="U204:U267" si="50">IF(OR(T204="",T204&lt;0),"",T204)</f>
        <v/>
      </c>
      <c r="V204" s="523" t="str">
        <f t="shared" ref="V204:V267" si="51">IF(T204="","",T204*$R204/8640)</f>
        <v/>
      </c>
      <c r="W204" s="523" t="str">
        <f t="shared" ref="W204:W267" si="52">V204</f>
        <v/>
      </c>
      <c r="X204" s="523" t="e">
        <f>IF(((100-100/$V$7*données_step[[#This Row],[E_DCO]])/100*QTS)&lt;0,NA(),IF(OR(U204&lt;0,U204=""),NA(),((100-100/$V$7*données_step[[#This Row],[E_DCO]])/100*QTS)))</f>
        <v>#NUM!</v>
      </c>
      <c r="Y204" s="523" t="str">
        <f>IF(AND($R204&gt;0,données_step[[#This Row],[E_COT]]&gt;0),données_step[[#This Row],[E_COT]],"")</f>
        <v/>
      </c>
      <c r="Z204" s="523" t="str">
        <f>IF(Y204="","",(1-données_step[[#This Row],[E_COT]]/$AB$7)*100)</f>
        <v/>
      </c>
      <c r="AA204" s="523" t="str">
        <f t="shared" ref="AA204:AA267" si="53">IF(OR(Z204="",Z204&lt;0),"",Z204)</f>
        <v/>
      </c>
      <c r="AB204" s="523" t="str">
        <f t="shared" ref="AB204:AB267" si="54">IF(Z204="","",Z204*$R204/8640)</f>
        <v/>
      </c>
      <c r="AC204" s="523" t="str">
        <f t="shared" ref="AC204:AC267" si="55">AB204</f>
        <v/>
      </c>
      <c r="AD204" s="523" t="e">
        <f>IF(((100-100/$AB$7*données_step[[#This Row],[E_COT]])/100*QTS)&lt;0,NA(),IF(OR(AA204&lt;0,AA204=""),NA(),((100-100/$AB$7*données_step[[#This Row],[E_COT]])/100*QTS)))</f>
        <v>#NUM!</v>
      </c>
      <c r="AE204" s="523" t="str">
        <f>IF(AND($R204&gt;0,données_step[[#This Row],[E_NH4]]&gt;0),données_step[[#This Row],[E_NH4]],"")</f>
        <v/>
      </c>
      <c r="AF204" s="523" t="str">
        <f>IF(AE204="","",(1-données_step[[#This Row],[E_NH4]]/$AH$7)*100)</f>
        <v/>
      </c>
      <c r="AG204" s="523" t="str">
        <f t="shared" ref="AG204:AG267" si="56">IF(OR(AF204="",AF204&lt;0),"",AF204)</f>
        <v/>
      </c>
      <c r="AH204" s="523" t="str">
        <f t="shared" ref="AH204:AH267" si="57">IF(AF204="","",AF204*$R204/8640)</f>
        <v/>
      </c>
      <c r="AI204" s="523" t="str">
        <f t="shared" ref="AI204:AI267" si="58">AH204</f>
        <v/>
      </c>
      <c r="AJ204" s="523" t="e">
        <f>IF(((100-100/$AH$7*données_step[[#This Row],[E_NH4]])/100*QTS)&lt;0,NA(),IF(OR(AG204&lt;0,AG204=""),NA(),((100-100/$AH$7*données_step[[#This Row],[E_NH4]])/100*QTS)))</f>
        <v>#NUM!</v>
      </c>
      <c r="AK204" s="523" t="str">
        <f>IF(AND($R204&gt;0,données_step[[#This Row],[E_PTOT]]&gt;0),données_step[[#This Row],[E_PTOT]],"")</f>
        <v/>
      </c>
      <c r="AL204" s="523" t="str">
        <f>IF(AK204="","",(1-données_step[[#This Row],[E_PTOT]]/$AN$7)*100)</f>
        <v/>
      </c>
      <c r="AM204" s="523" t="str">
        <f t="shared" ref="AM204:AM267" si="59">IF(OR(AL204="",AL204&lt;0),"",AL204)</f>
        <v/>
      </c>
      <c r="AN204" s="523" t="str">
        <f t="shared" ref="AN204:AN267" si="60">IF(AL204="","",AL204*$R204/8640)</f>
        <v/>
      </c>
      <c r="AO204" s="523" t="str">
        <f t="shared" ref="AO204:AO267" si="61">AN204</f>
        <v/>
      </c>
      <c r="AP204" s="523" t="e">
        <f>IF(((100-100/$AN$7*données_step[[#This Row],[E_PTOT]])/100*QTS)&lt;0,NA(),IF(OR(AM204&lt;0,AM204=""),NA(),((100-100/$AN$7*données_step[[#This Row],[E_PTOT]])/100*QTS)))</f>
        <v>#NUM!</v>
      </c>
      <c r="AQ204" s="524" t="e">
        <f t="shared" ref="AQ204:AQ267" si="62">_xlfn.IFNA(AVERAGE(X204,AD204,AJ204,AP204),"")</f>
        <v>#NUM!</v>
      </c>
      <c r="AR204" s="524" t="str">
        <f t="shared" ref="AR204:AR267" si="63">IFERROR(AVERAGE(U204,AA204,AG204,AM204),"")</f>
        <v/>
      </c>
      <c r="AY204" s="523" t="str">
        <f>_xlfn.IFNA(IF(données_step[[#This Row],[E_DCO]]&lt;=0,NA(),charge_entree[[#This Row],[ch_E_DCO]]/constanten!$B$8*1000),"")</f>
        <v/>
      </c>
      <c r="AZ204" s="523" t="str">
        <f>_xlfn.IFNA(IF(données_step[[#This Row],[E_NTOT]]&lt;=0,NA(),charge_entree[[#This Row],[ch_E_NTOT]]/constanten!$B$10*1000),"")</f>
        <v/>
      </c>
      <c r="BA204" s="523" t="str">
        <f>_xlfn.IFNA(IF(données_step[[#This Row],[E_NH4]]&lt;=0,NA(),charge_entree[[#This Row],[ch_E_NH4]]/constanten!$B$12*1000),"")</f>
        <v/>
      </c>
      <c r="BB204" s="523" t="str">
        <f>_xlfn.IFNA(IF(données_step[[#This Row],[E_COT]]&lt;=0,NA(),charge_entree[[#This Row],[ch_E_COT]]/constanten!$B$9*1000),"")</f>
        <v/>
      </c>
      <c r="BC204" s="523" t="str">
        <f>IFERROR(_xlfn.IFNA(IF(données_step[[#This Row],[E_PTOT]]&lt;=0,NA(),charge_entree[[#This Row],[ch_E_PTOT]]/constanten!$B$15*1000),""),"")</f>
        <v/>
      </c>
      <c r="BD204" s="535" t="e">
        <f>calculs!E204 * (1-0.4) / (données_step[[#This Row],[X_BA_VOL]]*données_step[[#This Row],[X_BACONC]])</f>
        <v>#VALUE!</v>
      </c>
      <c r="BE204" s="522" t="e">
        <f>(données_step[[#This Row],[X_BA_VOL]]*données_step[[#This Row],[X_BACONC]])/((données_step[[#This Row],[D_QTRAI2]]*données_step[[#This Row],[S_MES]]/1000)+(données_step[[#This Row],[X_BX_Q]]*données_step[[#This Row],[X_BXCONC]]))</f>
        <v>#VALUE!</v>
      </c>
      <c r="BF204" s="890" t="str">
        <f>IFERROR(données_step[[#This Row],[D_QTRAI]]/AY204*1000,"")</f>
        <v/>
      </c>
      <c r="BG204" s="535" t="str">
        <f>IFERROR(1-données_step[[#This Row],[S_DBO5]]/données_step[[#This Row],[E_DBO5]],"")</f>
        <v/>
      </c>
      <c r="BH204" s="536" t="str">
        <f>IFERROR(1-données_step[[#This Row],[S_DCO]]/données_step[[#This Row],[E_DCO]],"")</f>
        <v/>
      </c>
      <c r="BI204" s="535" t="str">
        <f>IFERROR(1-données_step[[#This Row],[S_COD]]/données_step[[#This Row],[E_COT]],"")</f>
        <v/>
      </c>
      <c r="BJ204" s="535" t="str">
        <f>IFERROR(1-données_step[[#This Row],[S_NH4]]/données_step[[#This Row],[E_NTOT]],"")</f>
        <v/>
      </c>
      <c r="BK204" s="535" t="str">
        <f>IFERROR(1-données_step[[#This Row],[S_PTOT]]/données_step[[#This Row],[E_PTOT]],"")</f>
        <v/>
      </c>
      <c r="BL204" s="521" t="str">
        <f>IFERROR(IF(données_step[[#This Row],[E_DCO]]/données_step[[#This Row],[E_DBO5]]=0,NA(),données_step[[#This Row],[E_DCO]]/données_step[[#This Row],[E_DBO5]]),"")</f>
        <v/>
      </c>
      <c r="BM204" s="521" t="str">
        <f>IFERROR(IF(données_step[[#This Row],[E_NH4]]/données_step[[#This Row],[E_NTOT]]=0,NA(),données_step[[#This Row],[E_NH4]]/données_step[[#This Row],[E_NTOT]]),"")</f>
        <v/>
      </c>
      <c r="BN204" s="521" t="str">
        <f>IFERROR(IF(données_step[[#This Row],[E_NTOT]]/données_step[[#This Row],[E_COT]]=0,NA(),données_step[[#This Row],[E_NTOT]]/données_step[[#This Row],[E_COT]]),"")</f>
        <v/>
      </c>
      <c r="BO204" s="521" t="str">
        <f>IFERROR(IF(données_step[[#This Row],[E_PTOT]]/données_step[[#This Row],[E_COT]]=0,NA(),données_step[[#This Row],[E_PTOT]]/données_step[[#This Row],[E_COT]]),"")</f>
        <v/>
      </c>
      <c r="BP204" s="521" t="e">
        <f>IF(données_step[[#This Row],[E_DCO]]/données_step[[#This Row],[E_COT]]=0,NA(),données_step[[#This Row],[E_DCO]]/données_step[[#This Row],[E_COT]])</f>
        <v>#DIV/0!</v>
      </c>
      <c r="BQ204" s="521" t="e">
        <f>IF(données_step[[#This Row],[E_NTOT]]/données_step[[#This Row],[E_DCO]]=0,NA(),données_step[[#This Row],[E_NTOT]]/données_step[[#This Row],[E_DCO]])</f>
        <v>#DIV/0!</v>
      </c>
      <c r="BR204" s="521" t="e">
        <f>IF(données_step[[#This Row],[E_PTOT]]/données_step[[#This Row],[E_DCO]]=0,NA(),données_step[[#This Row],[E_PTOT]]/données_step[[#This Row],[E_DCO]])</f>
        <v>#DIV/0!</v>
      </c>
      <c r="BS204" s="747" t="e">
        <f ca="1">test_NH4_temp(données_step[[#This Row],[S_NH4]],données_step[[#This Row],[Temp_eaux]])</f>
        <v>#NAME?</v>
      </c>
    </row>
    <row r="205" spans="1:71" x14ac:dyDescent="0.2">
      <c r="A205" s="222">
        <f>données_step[[#This Row],[Datum]]</f>
        <v>44756</v>
      </c>
      <c r="B205" s="223"/>
      <c r="C205" s="224">
        <f t="shared" si="49"/>
        <v>5</v>
      </c>
      <c r="D205" s="523" t="str">
        <f>IF(OR(données_step[[#This Row],[E_DBO5]]&lt;=0,données_step[[#This Row],[E_DBO5]]=""),"",données_step[[#This Row],[D_QTRAI]]*données_step[[#This Row],[E_DBO5]]/1000)</f>
        <v/>
      </c>
      <c r="E205" s="523" t="str">
        <f>IF(OR(données_step[[#This Row],[E_DCO]]&lt;=0,données_step[[#This Row],[E_DCO]]=""),"",données_step[[#This Row],[D_QTRAI]]*données_step[[#This Row],[E_DCO]]/1000)</f>
        <v/>
      </c>
      <c r="F205" s="523" t="str">
        <f>IF(OR(données_step[[#This Row],[E_COT]]&lt;=0,données_step[[#This Row],[E_COT]]=""),"",données_step[[#This Row],[D_QTRAI]]*données_step[[#This Row],[E_COT]]/1000)</f>
        <v/>
      </c>
      <c r="G205" s="523" t="str">
        <f>IF(OR(données_step[[#This Row],[E_NH4]]&lt;=0,données_step[[#This Row],[E_NH4]]=""),"",données_step[[#This Row],[D_QTRAI]]*données_step[[#This Row],[E_NH4]]/1000)</f>
        <v/>
      </c>
      <c r="H205" s="523" t="str">
        <f>IF(OR(données_step[[#This Row],[E_NTOT]]&lt;=0,données_step[[#This Row],[E_NTOT]]=""),"",données_step[[#This Row],[D_QTRAI]]*données_step[[#This Row],[E_NTOT]]/1000)</f>
        <v/>
      </c>
      <c r="I205" s="523" t="str">
        <f>IF(OR(données_step[[#This Row],[E_NTOT]]&lt;=0,données_step[[#This Row],[E_NTOT]]=""),"",données_step[[#This Row],[D_QTRAI]]*données_step[[#This Row],[E_PTOT]]/1000)</f>
        <v/>
      </c>
      <c r="J205" s="523" t="str">
        <f>IF(OR(données_step[[#This Row],[S_DBO5]]&lt;=0,données_step[[#This Row],[S_DBO5]]=""),"",données_step[[#This Row],[D_QTRAI]]*données_step[[#This Row],[S_DBO5]]/1000)</f>
        <v/>
      </c>
      <c r="K205" s="523" t="str">
        <f>IF(OR(données_step[[#This Row],[S_DCO]]&lt;=0,données_step[[#This Row],[S_DCO]]=""),"",données_step[[#This Row],[D_QTRAI]]*données_step[[#This Row],[S_DCO]]/1000)</f>
        <v/>
      </c>
      <c r="L205" s="523" t="str">
        <f>IF(OR(données_step[[#This Row],[S_COD]]&lt;=0,données_step[[#This Row],[S_COD]]=""),"",données_step[[#This Row],[D_QTRAI]]*données_step[[#This Row],[S_COD]]/1000)</f>
        <v/>
      </c>
      <c r="M205" s="523" t="str">
        <f>IF(OR(données_step[[#This Row],[S_NH4]]&lt;=0,données_step[[#This Row],[S_NH4]]=""),"",données_step[[#This Row],[D_QTRAI]]*données_step[[#This Row],[S_NH4]]/1000)</f>
        <v/>
      </c>
      <c r="N205" s="523" t="str">
        <f>IF(OR(données_step[[#This Row],[S_NO2]]&lt;=0,données_step[[#This Row],[S_NO2]]=""),"",données_step[[#This Row],[D_QTRAI]]*données_step[[#This Row],[S_NO2]]/1000)</f>
        <v/>
      </c>
      <c r="O205" s="523" t="str">
        <f>IF(OR(données_step[[#This Row],[S_NO3]]&lt;=0,données_step[[#This Row],[S_NO3]]=""),"",données_step[[#This Row],[D_QTRAI]]*données_step[[#This Row],[S_NO3]]/1000)</f>
        <v/>
      </c>
      <c r="P205" s="523" t="str">
        <f>IF(OR(données_step[[#This Row],[S_PTOT]]&lt;=0,données_step[[#This Row],[S_PTOT]]=""),"",données_step[[#This Row],[D_QTRAI]]*données_step[[#This Row],[S_PTOT]]/1000)</f>
        <v/>
      </c>
      <c r="Q205" s="523" t="str">
        <f>IF(OR(données_step[[#This Row],[S_MES]]&lt;=0,données_step[[#This Row],[S_MES]]=""),"",données_step[[#This Row],[D_QTRAI]]*données_step[[#This Row],[S_MES]]/1000)</f>
        <v/>
      </c>
      <c r="R205" s="523">
        <f>MAX(données_step[[#This Row],[D_QTRAI]],données_step[[#This Row],[D_QTRAI2]])</f>
        <v>0</v>
      </c>
      <c r="S205" s="523" t="str">
        <f>IF(AND($R205&gt;0,données_step[[#This Row],[E_DCO]]&gt;0),données_step[[#This Row],[E_DCO]],"")</f>
        <v/>
      </c>
      <c r="T205" s="523" t="str">
        <f>IF(S205="","",(1-données_step[[#This Row],[E_DCO]]/$V$7)*100)</f>
        <v/>
      </c>
      <c r="U205" s="523" t="str">
        <f t="shared" si="50"/>
        <v/>
      </c>
      <c r="V205" s="523" t="str">
        <f t="shared" si="51"/>
        <v/>
      </c>
      <c r="W205" s="523" t="str">
        <f t="shared" si="52"/>
        <v/>
      </c>
      <c r="X205" s="523" t="e">
        <f>IF(((100-100/$V$7*données_step[[#This Row],[E_DCO]])/100*QTS)&lt;0,NA(),IF(OR(U205&lt;0,U205=""),NA(),((100-100/$V$7*données_step[[#This Row],[E_DCO]])/100*QTS)))</f>
        <v>#NUM!</v>
      </c>
      <c r="Y205" s="523" t="str">
        <f>IF(AND($R205&gt;0,données_step[[#This Row],[E_COT]]&gt;0),données_step[[#This Row],[E_COT]],"")</f>
        <v/>
      </c>
      <c r="Z205" s="523" t="str">
        <f>IF(Y205="","",(1-données_step[[#This Row],[E_COT]]/$AB$7)*100)</f>
        <v/>
      </c>
      <c r="AA205" s="523" t="str">
        <f t="shared" si="53"/>
        <v/>
      </c>
      <c r="AB205" s="523" t="str">
        <f t="shared" si="54"/>
        <v/>
      </c>
      <c r="AC205" s="523" t="str">
        <f t="shared" si="55"/>
        <v/>
      </c>
      <c r="AD205" s="523" t="e">
        <f>IF(((100-100/$AB$7*données_step[[#This Row],[E_COT]])/100*QTS)&lt;0,NA(),IF(OR(AA205&lt;0,AA205=""),NA(),((100-100/$AB$7*données_step[[#This Row],[E_COT]])/100*QTS)))</f>
        <v>#NUM!</v>
      </c>
      <c r="AE205" s="523" t="str">
        <f>IF(AND($R205&gt;0,données_step[[#This Row],[E_NH4]]&gt;0),données_step[[#This Row],[E_NH4]],"")</f>
        <v/>
      </c>
      <c r="AF205" s="523" t="str">
        <f>IF(AE205="","",(1-données_step[[#This Row],[E_NH4]]/$AH$7)*100)</f>
        <v/>
      </c>
      <c r="AG205" s="523" t="str">
        <f t="shared" si="56"/>
        <v/>
      </c>
      <c r="AH205" s="523" t="str">
        <f t="shared" si="57"/>
        <v/>
      </c>
      <c r="AI205" s="523" t="str">
        <f t="shared" si="58"/>
        <v/>
      </c>
      <c r="AJ205" s="523" t="e">
        <f>IF(((100-100/$AH$7*données_step[[#This Row],[E_NH4]])/100*QTS)&lt;0,NA(),IF(OR(AG205&lt;0,AG205=""),NA(),((100-100/$AH$7*données_step[[#This Row],[E_NH4]])/100*QTS)))</f>
        <v>#NUM!</v>
      </c>
      <c r="AK205" s="523" t="str">
        <f>IF(AND($R205&gt;0,données_step[[#This Row],[E_PTOT]]&gt;0),données_step[[#This Row],[E_PTOT]],"")</f>
        <v/>
      </c>
      <c r="AL205" s="523" t="str">
        <f>IF(AK205="","",(1-données_step[[#This Row],[E_PTOT]]/$AN$7)*100)</f>
        <v/>
      </c>
      <c r="AM205" s="523" t="str">
        <f t="shared" si="59"/>
        <v/>
      </c>
      <c r="AN205" s="523" t="str">
        <f t="shared" si="60"/>
        <v/>
      </c>
      <c r="AO205" s="523" t="str">
        <f t="shared" si="61"/>
        <v/>
      </c>
      <c r="AP205" s="523" t="e">
        <f>IF(((100-100/$AN$7*données_step[[#This Row],[E_PTOT]])/100*QTS)&lt;0,NA(),IF(OR(AM205&lt;0,AM205=""),NA(),((100-100/$AN$7*données_step[[#This Row],[E_PTOT]])/100*QTS)))</f>
        <v>#NUM!</v>
      </c>
      <c r="AQ205" s="524" t="e">
        <f t="shared" si="62"/>
        <v>#NUM!</v>
      </c>
      <c r="AR205" s="524" t="str">
        <f t="shared" si="63"/>
        <v/>
      </c>
      <c r="AY205" s="523" t="str">
        <f>_xlfn.IFNA(IF(données_step[[#This Row],[E_DCO]]&lt;=0,NA(),charge_entree[[#This Row],[ch_E_DCO]]/constanten!$B$8*1000),"")</f>
        <v/>
      </c>
      <c r="AZ205" s="523" t="str">
        <f>_xlfn.IFNA(IF(données_step[[#This Row],[E_NTOT]]&lt;=0,NA(),charge_entree[[#This Row],[ch_E_NTOT]]/constanten!$B$10*1000),"")</f>
        <v/>
      </c>
      <c r="BA205" s="523" t="str">
        <f>_xlfn.IFNA(IF(données_step[[#This Row],[E_NH4]]&lt;=0,NA(),charge_entree[[#This Row],[ch_E_NH4]]/constanten!$B$12*1000),"")</f>
        <v/>
      </c>
      <c r="BB205" s="523" t="str">
        <f>_xlfn.IFNA(IF(données_step[[#This Row],[E_COT]]&lt;=0,NA(),charge_entree[[#This Row],[ch_E_COT]]/constanten!$B$9*1000),"")</f>
        <v/>
      </c>
      <c r="BC205" s="523" t="str">
        <f>IFERROR(_xlfn.IFNA(IF(données_step[[#This Row],[E_PTOT]]&lt;=0,NA(),charge_entree[[#This Row],[ch_E_PTOT]]/constanten!$B$15*1000),""),"")</f>
        <v/>
      </c>
      <c r="BD205" s="535" t="e">
        <f>calculs!E205 * (1-0.4) / (données_step[[#This Row],[X_BA_VOL]]*données_step[[#This Row],[X_BACONC]])</f>
        <v>#VALUE!</v>
      </c>
      <c r="BE205" s="522" t="e">
        <f>(données_step[[#This Row],[X_BA_VOL]]*données_step[[#This Row],[X_BACONC]])/((données_step[[#This Row],[D_QTRAI2]]*données_step[[#This Row],[S_MES]]/1000)+(données_step[[#This Row],[X_BX_Q]]*données_step[[#This Row],[X_BXCONC]]))</f>
        <v>#VALUE!</v>
      </c>
      <c r="BF205" s="890" t="str">
        <f>IFERROR(données_step[[#This Row],[D_QTRAI]]/AY205*1000,"")</f>
        <v/>
      </c>
      <c r="BG205" s="535" t="str">
        <f>IFERROR(1-données_step[[#This Row],[S_DBO5]]/données_step[[#This Row],[E_DBO5]],"")</f>
        <v/>
      </c>
      <c r="BH205" s="536" t="str">
        <f>IFERROR(1-données_step[[#This Row],[S_DCO]]/données_step[[#This Row],[E_DCO]],"")</f>
        <v/>
      </c>
      <c r="BI205" s="535" t="str">
        <f>IFERROR(1-données_step[[#This Row],[S_COD]]/données_step[[#This Row],[E_COT]],"")</f>
        <v/>
      </c>
      <c r="BJ205" s="535" t="str">
        <f>IFERROR(1-données_step[[#This Row],[S_NH4]]/données_step[[#This Row],[E_NTOT]],"")</f>
        <v/>
      </c>
      <c r="BK205" s="535" t="str">
        <f>IFERROR(1-données_step[[#This Row],[S_PTOT]]/données_step[[#This Row],[E_PTOT]],"")</f>
        <v/>
      </c>
      <c r="BL205" s="521" t="str">
        <f>IFERROR(IF(données_step[[#This Row],[E_DCO]]/données_step[[#This Row],[E_DBO5]]=0,NA(),données_step[[#This Row],[E_DCO]]/données_step[[#This Row],[E_DBO5]]),"")</f>
        <v/>
      </c>
      <c r="BM205" s="521" t="str">
        <f>IFERROR(IF(données_step[[#This Row],[E_NH4]]/données_step[[#This Row],[E_NTOT]]=0,NA(),données_step[[#This Row],[E_NH4]]/données_step[[#This Row],[E_NTOT]]),"")</f>
        <v/>
      </c>
      <c r="BN205" s="521" t="str">
        <f>IFERROR(IF(données_step[[#This Row],[E_NTOT]]/données_step[[#This Row],[E_COT]]=0,NA(),données_step[[#This Row],[E_NTOT]]/données_step[[#This Row],[E_COT]]),"")</f>
        <v/>
      </c>
      <c r="BO205" s="521" t="str">
        <f>IFERROR(IF(données_step[[#This Row],[E_PTOT]]/données_step[[#This Row],[E_COT]]=0,NA(),données_step[[#This Row],[E_PTOT]]/données_step[[#This Row],[E_COT]]),"")</f>
        <v/>
      </c>
      <c r="BP205" s="521" t="e">
        <f>IF(données_step[[#This Row],[E_DCO]]/données_step[[#This Row],[E_COT]]=0,NA(),données_step[[#This Row],[E_DCO]]/données_step[[#This Row],[E_COT]])</f>
        <v>#DIV/0!</v>
      </c>
      <c r="BQ205" s="521" t="e">
        <f>IF(données_step[[#This Row],[E_NTOT]]/données_step[[#This Row],[E_DCO]]=0,NA(),données_step[[#This Row],[E_NTOT]]/données_step[[#This Row],[E_DCO]])</f>
        <v>#DIV/0!</v>
      </c>
      <c r="BR205" s="521" t="e">
        <f>IF(données_step[[#This Row],[E_PTOT]]/données_step[[#This Row],[E_DCO]]=0,NA(),données_step[[#This Row],[E_PTOT]]/données_step[[#This Row],[E_DCO]])</f>
        <v>#DIV/0!</v>
      </c>
      <c r="BS205" s="747" t="e">
        <f ca="1">test_NH4_temp(données_step[[#This Row],[S_NH4]],données_step[[#This Row],[Temp_eaux]])</f>
        <v>#NAME?</v>
      </c>
    </row>
    <row r="206" spans="1:71" x14ac:dyDescent="0.2">
      <c r="A206" s="222">
        <f>données_step[[#This Row],[Datum]]</f>
        <v>44757</v>
      </c>
      <c r="B206" s="223"/>
      <c r="C206" s="224">
        <f t="shared" si="49"/>
        <v>6</v>
      </c>
      <c r="D206" s="523" t="str">
        <f>IF(OR(données_step[[#This Row],[E_DBO5]]&lt;=0,données_step[[#This Row],[E_DBO5]]=""),"",données_step[[#This Row],[D_QTRAI]]*données_step[[#This Row],[E_DBO5]]/1000)</f>
        <v/>
      </c>
      <c r="E206" s="523" t="str">
        <f>IF(OR(données_step[[#This Row],[E_DCO]]&lt;=0,données_step[[#This Row],[E_DCO]]=""),"",données_step[[#This Row],[D_QTRAI]]*données_step[[#This Row],[E_DCO]]/1000)</f>
        <v/>
      </c>
      <c r="F206" s="523" t="str">
        <f>IF(OR(données_step[[#This Row],[E_COT]]&lt;=0,données_step[[#This Row],[E_COT]]=""),"",données_step[[#This Row],[D_QTRAI]]*données_step[[#This Row],[E_COT]]/1000)</f>
        <v/>
      </c>
      <c r="G206" s="523" t="str">
        <f>IF(OR(données_step[[#This Row],[E_NH4]]&lt;=0,données_step[[#This Row],[E_NH4]]=""),"",données_step[[#This Row],[D_QTRAI]]*données_step[[#This Row],[E_NH4]]/1000)</f>
        <v/>
      </c>
      <c r="H206" s="523" t="str">
        <f>IF(OR(données_step[[#This Row],[E_NTOT]]&lt;=0,données_step[[#This Row],[E_NTOT]]=""),"",données_step[[#This Row],[D_QTRAI]]*données_step[[#This Row],[E_NTOT]]/1000)</f>
        <v/>
      </c>
      <c r="I206" s="523" t="str">
        <f>IF(OR(données_step[[#This Row],[E_NTOT]]&lt;=0,données_step[[#This Row],[E_NTOT]]=""),"",données_step[[#This Row],[D_QTRAI]]*données_step[[#This Row],[E_PTOT]]/1000)</f>
        <v/>
      </c>
      <c r="J206" s="523" t="str">
        <f>IF(OR(données_step[[#This Row],[S_DBO5]]&lt;=0,données_step[[#This Row],[S_DBO5]]=""),"",données_step[[#This Row],[D_QTRAI]]*données_step[[#This Row],[S_DBO5]]/1000)</f>
        <v/>
      </c>
      <c r="K206" s="523" t="str">
        <f>IF(OR(données_step[[#This Row],[S_DCO]]&lt;=0,données_step[[#This Row],[S_DCO]]=""),"",données_step[[#This Row],[D_QTRAI]]*données_step[[#This Row],[S_DCO]]/1000)</f>
        <v/>
      </c>
      <c r="L206" s="523" t="str">
        <f>IF(OR(données_step[[#This Row],[S_COD]]&lt;=0,données_step[[#This Row],[S_COD]]=""),"",données_step[[#This Row],[D_QTRAI]]*données_step[[#This Row],[S_COD]]/1000)</f>
        <v/>
      </c>
      <c r="M206" s="523" t="str">
        <f>IF(OR(données_step[[#This Row],[S_NH4]]&lt;=0,données_step[[#This Row],[S_NH4]]=""),"",données_step[[#This Row],[D_QTRAI]]*données_step[[#This Row],[S_NH4]]/1000)</f>
        <v/>
      </c>
      <c r="N206" s="523" t="str">
        <f>IF(OR(données_step[[#This Row],[S_NO2]]&lt;=0,données_step[[#This Row],[S_NO2]]=""),"",données_step[[#This Row],[D_QTRAI]]*données_step[[#This Row],[S_NO2]]/1000)</f>
        <v/>
      </c>
      <c r="O206" s="523" t="str">
        <f>IF(OR(données_step[[#This Row],[S_NO3]]&lt;=0,données_step[[#This Row],[S_NO3]]=""),"",données_step[[#This Row],[D_QTRAI]]*données_step[[#This Row],[S_NO3]]/1000)</f>
        <v/>
      </c>
      <c r="P206" s="523" t="str">
        <f>IF(OR(données_step[[#This Row],[S_PTOT]]&lt;=0,données_step[[#This Row],[S_PTOT]]=""),"",données_step[[#This Row],[D_QTRAI]]*données_step[[#This Row],[S_PTOT]]/1000)</f>
        <v/>
      </c>
      <c r="Q206" s="523" t="str">
        <f>IF(OR(données_step[[#This Row],[S_MES]]&lt;=0,données_step[[#This Row],[S_MES]]=""),"",données_step[[#This Row],[D_QTRAI]]*données_step[[#This Row],[S_MES]]/1000)</f>
        <v/>
      </c>
      <c r="R206" s="523">
        <f>MAX(données_step[[#This Row],[D_QTRAI]],données_step[[#This Row],[D_QTRAI2]])</f>
        <v>0</v>
      </c>
      <c r="S206" s="523" t="str">
        <f>IF(AND($R206&gt;0,données_step[[#This Row],[E_DCO]]&gt;0),données_step[[#This Row],[E_DCO]],"")</f>
        <v/>
      </c>
      <c r="T206" s="523" t="str">
        <f>IF(S206="","",(1-données_step[[#This Row],[E_DCO]]/$V$7)*100)</f>
        <v/>
      </c>
      <c r="U206" s="523" t="str">
        <f t="shared" si="50"/>
        <v/>
      </c>
      <c r="V206" s="523" t="str">
        <f t="shared" si="51"/>
        <v/>
      </c>
      <c r="W206" s="523" t="str">
        <f t="shared" si="52"/>
        <v/>
      </c>
      <c r="X206" s="523" t="e">
        <f>IF(((100-100/$V$7*données_step[[#This Row],[E_DCO]])/100*QTS)&lt;0,NA(),IF(OR(U206&lt;0,U206=""),NA(),((100-100/$V$7*données_step[[#This Row],[E_DCO]])/100*QTS)))</f>
        <v>#NUM!</v>
      </c>
      <c r="Y206" s="523" t="str">
        <f>IF(AND($R206&gt;0,données_step[[#This Row],[E_COT]]&gt;0),données_step[[#This Row],[E_COT]],"")</f>
        <v/>
      </c>
      <c r="Z206" s="523" t="str">
        <f>IF(Y206="","",(1-données_step[[#This Row],[E_COT]]/$AB$7)*100)</f>
        <v/>
      </c>
      <c r="AA206" s="523" t="str">
        <f t="shared" si="53"/>
        <v/>
      </c>
      <c r="AB206" s="523" t="str">
        <f t="shared" si="54"/>
        <v/>
      </c>
      <c r="AC206" s="523" t="str">
        <f t="shared" si="55"/>
        <v/>
      </c>
      <c r="AD206" s="523" t="e">
        <f>IF(((100-100/$AB$7*données_step[[#This Row],[E_COT]])/100*QTS)&lt;0,NA(),IF(OR(AA206&lt;0,AA206=""),NA(),((100-100/$AB$7*données_step[[#This Row],[E_COT]])/100*QTS)))</f>
        <v>#NUM!</v>
      </c>
      <c r="AE206" s="523" t="str">
        <f>IF(AND($R206&gt;0,données_step[[#This Row],[E_NH4]]&gt;0),données_step[[#This Row],[E_NH4]],"")</f>
        <v/>
      </c>
      <c r="AF206" s="523" t="str">
        <f>IF(AE206="","",(1-données_step[[#This Row],[E_NH4]]/$AH$7)*100)</f>
        <v/>
      </c>
      <c r="AG206" s="523" t="str">
        <f t="shared" si="56"/>
        <v/>
      </c>
      <c r="AH206" s="523" t="str">
        <f t="shared" si="57"/>
        <v/>
      </c>
      <c r="AI206" s="523" t="str">
        <f t="shared" si="58"/>
        <v/>
      </c>
      <c r="AJ206" s="523" t="e">
        <f>IF(((100-100/$AH$7*données_step[[#This Row],[E_NH4]])/100*QTS)&lt;0,NA(),IF(OR(AG206&lt;0,AG206=""),NA(),((100-100/$AH$7*données_step[[#This Row],[E_NH4]])/100*QTS)))</f>
        <v>#NUM!</v>
      </c>
      <c r="AK206" s="523" t="str">
        <f>IF(AND($R206&gt;0,données_step[[#This Row],[E_PTOT]]&gt;0),données_step[[#This Row],[E_PTOT]],"")</f>
        <v/>
      </c>
      <c r="AL206" s="523" t="str">
        <f>IF(AK206="","",(1-données_step[[#This Row],[E_PTOT]]/$AN$7)*100)</f>
        <v/>
      </c>
      <c r="AM206" s="523" t="str">
        <f t="shared" si="59"/>
        <v/>
      </c>
      <c r="AN206" s="523" t="str">
        <f t="shared" si="60"/>
        <v/>
      </c>
      <c r="AO206" s="523" t="str">
        <f t="shared" si="61"/>
        <v/>
      </c>
      <c r="AP206" s="523" t="e">
        <f>IF(((100-100/$AN$7*données_step[[#This Row],[E_PTOT]])/100*QTS)&lt;0,NA(),IF(OR(AM206&lt;0,AM206=""),NA(),((100-100/$AN$7*données_step[[#This Row],[E_PTOT]])/100*QTS)))</f>
        <v>#NUM!</v>
      </c>
      <c r="AQ206" s="524" t="e">
        <f t="shared" si="62"/>
        <v>#NUM!</v>
      </c>
      <c r="AR206" s="524" t="str">
        <f t="shared" si="63"/>
        <v/>
      </c>
      <c r="AY206" s="523" t="str">
        <f>_xlfn.IFNA(IF(données_step[[#This Row],[E_DCO]]&lt;=0,NA(),charge_entree[[#This Row],[ch_E_DCO]]/constanten!$B$8*1000),"")</f>
        <v/>
      </c>
      <c r="AZ206" s="523" t="str">
        <f>_xlfn.IFNA(IF(données_step[[#This Row],[E_NTOT]]&lt;=0,NA(),charge_entree[[#This Row],[ch_E_NTOT]]/constanten!$B$10*1000),"")</f>
        <v/>
      </c>
      <c r="BA206" s="523" t="str">
        <f>_xlfn.IFNA(IF(données_step[[#This Row],[E_NH4]]&lt;=0,NA(),charge_entree[[#This Row],[ch_E_NH4]]/constanten!$B$12*1000),"")</f>
        <v/>
      </c>
      <c r="BB206" s="523" t="str">
        <f>_xlfn.IFNA(IF(données_step[[#This Row],[E_COT]]&lt;=0,NA(),charge_entree[[#This Row],[ch_E_COT]]/constanten!$B$9*1000),"")</f>
        <v/>
      </c>
      <c r="BC206" s="523" t="str">
        <f>IFERROR(_xlfn.IFNA(IF(données_step[[#This Row],[E_PTOT]]&lt;=0,NA(),charge_entree[[#This Row],[ch_E_PTOT]]/constanten!$B$15*1000),""),"")</f>
        <v/>
      </c>
      <c r="BD206" s="535" t="e">
        <f>calculs!E206 * (1-0.4) / (données_step[[#This Row],[X_BA_VOL]]*données_step[[#This Row],[X_BACONC]])</f>
        <v>#VALUE!</v>
      </c>
      <c r="BE206" s="522" t="e">
        <f>(données_step[[#This Row],[X_BA_VOL]]*données_step[[#This Row],[X_BACONC]])/((données_step[[#This Row],[D_QTRAI2]]*données_step[[#This Row],[S_MES]]/1000)+(données_step[[#This Row],[X_BX_Q]]*données_step[[#This Row],[X_BXCONC]]))</f>
        <v>#VALUE!</v>
      </c>
      <c r="BF206" s="890" t="str">
        <f>IFERROR(données_step[[#This Row],[D_QTRAI]]/AY206*1000,"")</f>
        <v/>
      </c>
      <c r="BG206" s="535" t="str">
        <f>IFERROR(1-données_step[[#This Row],[S_DBO5]]/données_step[[#This Row],[E_DBO5]],"")</f>
        <v/>
      </c>
      <c r="BH206" s="536" t="str">
        <f>IFERROR(1-données_step[[#This Row],[S_DCO]]/données_step[[#This Row],[E_DCO]],"")</f>
        <v/>
      </c>
      <c r="BI206" s="535" t="str">
        <f>IFERROR(1-données_step[[#This Row],[S_COD]]/données_step[[#This Row],[E_COT]],"")</f>
        <v/>
      </c>
      <c r="BJ206" s="535" t="str">
        <f>IFERROR(1-données_step[[#This Row],[S_NH4]]/données_step[[#This Row],[E_NTOT]],"")</f>
        <v/>
      </c>
      <c r="BK206" s="535" t="str">
        <f>IFERROR(1-données_step[[#This Row],[S_PTOT]]/données_step[[#This Row],[E_PTOT]],"")</f>
        <v/>
      </c>
      <c r="BL206" s="521" t="str">
        <f>IFERROR(IF(données_step[[#This Row],[E_DCO]]/données_step[[#This Row],[E_DBO5]]=0,NA(),données_step[[#This Row],[E_DCO]]/données_step[[#This Row],[E_DBO5]]),"")</f>
        <v/>
      </c>
      <c r="BM206" s="521" t="str">
        <f>IFERROR(IF(données_step[[#This Row],[E_NH4]]/données_step[[#This Row],[E_NTOT]]=0,NA(),données_step[[#This Row],[E_NH4]]/données_step[[#This Row],[E_NTOT]]),"")</f>
        <v/>
      </c>
      <c r="BN206" s="521" t="str">
        <f>IFERROR(IF(données_step[[#This Row],[E_NTOT]]/données_step[[#This Row],[E_COT]]=0,NA(),données_step[[#This Row],[E_NTOT]]/données_step[[#This Row],[E_COT]]),"")</f>
        <v/>
      </c>
      <c r="BO206" s="521" t="str">
        <f>IFERROR(IF(données_step[[#This Row],[E_PTOT]]/données_step[[#This Row],[E_COT]]=0,NA(),données_step[[#This Row],[E_PTOT]]/données_step[[#This Row],[E_COT]]),"")</f>
        <v/>
      </c>
      <c r="BP206" s="521" t="e">
        <f>IF(données_step[[#This Row],[E_DCO]]/données_step[[#This Row],[E_COT]]=0,NA(),données_step[[#This Row],[E_DCO]]/données_step[[#This Row],[E_COT]])</f>
        <v>#DIV/0!</v>
      </c>
      <c r="BQ206" s="521" t="e">
        <f>IF(données_step[[#This Row],[E_NTOT]]/données_step[[#This Row],[E_DCO]]=0,NA(),données_step[[#This Row],[E_NTOT]]/données_step[[#This Row],[E_DCO]])</f>
        <v>#DIV/0!</v>
      </c>
      <c r="BR206" s="521" t="e">
        <f>IF(données_step[[#This Row],[E_PTOT]]/données_step[[#This Row],[E_DCO]]=0,NA(),données_step[[#This Row],[E_PTOT]]/données_step[[#This Row],[E_DCO]])</f>
        <v>#DIV/0!</v>
      </c>
      <c r="BS206" s="747" t="e">
        <f ca="1">test_NH4_temp(données_step[[#This Row],[S_NH4]],données_step[[#This Row],[Temp_eaux]])</f>
        <v>#NAME?</v>
      </c>
    </row>
    <row r="207" spans="1:71" x14ac:dyDescent="0.2">
      <c r="A207" s="222">
        <f>données_step[[#This Row],[Datum]]</f>
        <v>44758</v>
      </c>
      <c r="B207" s="223"/>
      <c r="C207" s="224">
        <f t="shared" si="49"/>
        <v>7</v>
      </c>
      <c r="D207" s="523" t="str">
        <f>IF(OR(données_step[[#This Row],[E_DBO5]]&lt;=0,données_step[[#This Row],[E_DBO5]]=""),"",données_step[[#This Row],[D_QTRAI]]*données_step[[#This Row],[E_DBO5]]/1000)</f>
        <v/>
      </c>
      <c r="E207" s="523" t="str">
        <f>IF(OR(données_step[[#This Row],[E_DCO]]&lt;=0,données_step[[#This Row],[E_DCO]]=""),"",données_step[[#This Row],[D_QTRAI]]*données_step[[#This Row],[E_DCO]]/1000)</f>
        <v/>
      </c>
      <c r="F207" s="523" t="str">
        <f>IF(OR(données_step[[#This Row],[E_COT]]&lt;=0,données_step[[#This Row],[E_COT]]=""),"",données_step[[#This Row],[D_QTRAI]]*données_step[[#This Row],[E_COT]]/1000)</f>
        <v/>
      </c>
      <c r="G207" s="523" t="str">
        <f>IF(OR(données_step[[#This Row],[E_NH4]]&lt;=0,données_step[[#This Row],[E_NH4]]=""),"",données_step[[#This Row],[D_QTRAI]]*données_step[[#This Row],[E_NH4]]/1000)</f>
        <v/>
      </c>
      <c r="H207" s="523" t="str">
        <f>IF(OR(données_step[[#This Row],[E_NTOT]]&lt;=0,données_step[[#This Row],[E_NTOT]]=""),"",données_step[[#This Row],[D_QTRAI]]*données_step[[#This Row],[E_NTOT]]/1000)</f>
        <v/>
      </c>
      <c r="I207" s="523" t="str">
        <f>IF(OR(données_step[[#This Row],[E_NTOT]]&lt;=0,données_step[[#This Row],[E_NTOT]]=""),"",données_step[[#This Row],[D_QTRAI]]*données_step[[#This Row],[E_PTOT]]/1000)</f>
        <v/>
      </c>
      <c r="J207" s="523" t="str">
        <f>IF(OR(données_step[[#This Row],[S_DBO5]]&lt;=0,données_step[[#This Row],[S_DBO5]]=""),"",données_step[[#This Row],[D_QTRAI]]*données_step[[#This Row],[S_DBO5]]/1000)</f>
        <v/>
      </c>
      <c r="K207" s="523" t="str">
        <f>IF(OR(données_step[[#This Row],[S_DCO]]&lt;=0,données_step[[#This Row],[S_DCO]]=""),"",données_step[[#This Row],[D_QTRAI]]*données_step[[#This Row],[S_DCO]]/1000)</f>
        <v/>
      </c>
      <c r="L207" s="523" t="str">
        <f>IF(OR(données_step[[#This Row],[S_COD]]&lt;=0,données_step[[#This Row],[S_COD]]=""),"",données_step[[#This Row],[D_QTRAI]]*données_step[[#This Row],[S_COD]]/1000)</f>
        <v/>
      </c>
      <c r="M207" s="523" t="str">
        <f>IF(OR(données_step[[#This Row],[S_NH4]]&lt;=0,données_step[[#This Row],[S_NH4]]=""),"",données_step[[#This Row],[D_QTRAI]]*données_step[[#This Row],[S_NH4]]/1000)</f>
        <v/>
      </c>
      <c r="N207" s="523" t="str">
        <f>IF(OR(données_step[[#This Row],[S_NO2]]&lt;=0,données_step[[#This Row],[S_NO2]]=""),"",données_step[[#This Row],[D_QTRAI]]*données_step[[#This Row],[S_NO2]]/1000)</f>
        <v/>
      </c>
      <c r="O207" s="523" t="str">
        <f>IF(OR(données_step[[#This Row],[S_NO3]]&lt;=0,données_step[[#This Row],[S_NO3]]=""),"",données_step[[#This Row],[D_QTRAI]]*données_step[[#This Row],[S_NO3]]/1000)</f>
        <v/>
      </c>
      <c r="P207" s="523" t="str">
        <f>IF(OR(données_step[[#This Row],[S_PTOT]]&lt;=0,données_step[[#This Row],[S_PTOT]]=""),"",données_step[[#This Row],[D_QTRAI]]*données_step[[#This Row],[S_PTOT]]/1000)</f>
        <v/>
      </c>
      <c r="Q207" s="523" t="str">
        <f>IF(OR(données_step[[#This Row],[S_MES]]&lt;=0,données_step[[#This Row],[S_MES]]=""),"",données_step[[#This Row],[D_QTRAI]]*données_step[[#This Row],[S_MES]]/1000)</f>
        <v/>
      </c>
      <c r="R207" s="523">
        <f>MAX(données_step[[#This Row],[D_QTRAI]],données_step[[#This Row],[D_QTRAI2]])</f>
        <v>0</v>
      </c>
      <c r="S207" s="523" t="str">
        <f>IF(AND($R207&gt;0,données_step[[#This Row],[E_DCO]]&gt;0),données_step[[#This Row],[E_DCO]],"")</f>
        <v/>
      </c>
      <c r="T207" s="523" t="str">
        <f>IF(S207="","",(1-données_step[[#This Row],[E_DCO]]/$V$7)*100)</f>
        <v/>
      </c>
      <c r="U207" s="523" t="str">
        <f t="shared" si="50"/>
        <v/>
      </c>
      <c r="V207" s="523" t="str">
        <f t="shared" si="51"/>
        <v/>
      </c>
      <c r="W207" s="523" t="str">
        <f t="shared" si="52"/>
        <v/>
      </c>
      <c r="X207" s="523" t="e">
        <f>IF(((100-100/$V$7*données_step[[#This Row],[E_DCO]])/100*QTS)&lt;0,NA(),IF(OR(U207&lt;0,U207=""),NA(),((100-100/$V$7*données_step[[#This Row],[E_DCO]])/100*QTS)))</f>
        <v>#NUM!</v>
      </c>
      <c r="Y207" s="523" t="str">
        <f>IF(AND($R207&gt;0,données_step[[#This Row],[E_COT]]&gt;0),données_step[[#This Row],[E_COT]],"")</f>
        <v/>
      </c>
      <c r="Z207" s="523" t="str">
        <f>IF(Y207="","",(1-données_step[[#This Row],[E_COT]]/$AB$7)*100)</f>
        <v/>
      </c>
      <c r="AA207" s="523" t="str">
        <f t="shared" si="53"/>
        <v/>
      </c>
      <c r="AB207" s="523" t="str">
        <f t="shared" si="54"/>
        <v/>
      </c>
      <c r="AC207" s="523" t="str">
        <f t="shared" si="55"/>
        <v/>
      </c>
      <c r="AD207" s="523" t="e">
        <f>IF(((100-100/$AB$7*données_step[[#This Row],[E_COT]])/100*QTS)&lt;0,NA(),IF(OR(AA207&lt;0,AA207=""),NA(),((100-100/$AB$7*données_step[[#This Row],[E_COT]])/100*QTS)))</f>
        <v>#NUM!</v>
      </c>
      <c r="AE207" s="523" t="str">
        <f>IF(AND($R207&gt;0,données_step[[#This Row],[E_NH4]]&gt;0),données_step[[#This Row],[E_NH4]],"")</f>
        <v/>
      </c>
      <c r="AF207" s="523" t="str">
        <f>IF(AE207="","",(1-données_step[[#This Row],[E_NH4]]/$AH$7)*100)</f>
        <v/>
      </c>
      <c r="AG207" s="523" t="str">
        <f t="shared" si="56"/>
        <v/>
      </c>
      <c r="AH207" s="523" t="str">
        <f t="shared" si="57"/>
        <v/>
      </c>
      <c r="AI207" s="523" t="str">
        <f t="shared" si="58"/>
        <v/>
      </c>
      <c r="AJ207" s="523" t="e">
        <f>IF(((100-100/$AH$7*données_step[[#This Row],[E_NH4]])/100*QTS)&lt;0,NA(),IF(OR(AG207&lt;0,AG207=""),NA(),((100-100/$AH$7*données_step[[#This Row],[E_NH4]])/100*QTS)))</f>
        <v>#NUM!</v>
      </c>
      <c r="AK207" s="523" t="str">
        <f>IF(AND($R207&gt;0,données_step[[#This Row],[E_PTOT]]&gt;0),données_step[[#This Row],[E_PTOT]],"")</f>
        <v/>
      </c>
      <c r="AL207" s="523" t="str">
        <f>IF(AK207="","",(1-données_step[[#This Row],[E_PTOT]]/$AN$7)*100)</f>
        <v/>
      </c>
      <c r="AM207" s="523" t="str">
        <f t="shared" si="59"/>
        <v/>
      </c>
      <c r="AN207" s="523" t="str">
        <f t="shared" si="60"/>
        <v/>
      </c>
      <c r="AO207" s="523" t="str">
        <f t="shared" si="61"/>
        <v/>
      </c>
      <c r="AP207" s="523" t="e">
        <f>IF(((100-100/$AN$7*données_step[[#This Row],[E_PTOT]])/100*QTS)&lt;0,NA(),IF(OR(AM207&lt;0,AM207=""),NA(),((100-100/$AN$7*données_step[[#This Row],[E_PTOT]])/100*QTS)))</f>
        <v>#NUM!</v>
      </c>
      <c r="AQ207" s="524" t="e">
        <f t="shared" si="62"/>
        <v>#NUM!</v>
      </c>
      <c r="AR207" s="524" t="str">
        <f t="shared" si="63"/>
        <v/>
      </c>
      <c r="AY207" s="523" t="str">
        <f>_xlfn.IFNA(IF(données_step[[#This Row],[E_DCO]]&lt;=0,NA(),charge_entree[[#This Row],[ch_E_DCO]]/constanten!$B$8*1000),"")</f>
        <v/>
      </c>
      <c r="AZ207" s="523" t="str">
        <f>_xlfn.IFNA(IF(données_step[[#This Row],[E_NTOT]]&lt;=0,NA(),charge_entree[[#This Row],[ch_E_NTOT]]/constanten!$B$10*1000),"")</f>
        <v/>
      </c>
      <c r="BA207" s="523" t="str">
        <f>_xlfn.IFNA(IF(données_step[[#This Row],[E_NH4]]&lt;=0,NA(),charge_entree[[#This Row],[ch_E_NH4]]/constanten!$B$12*1000),"")</f>
        <v/>
      </c>
      <c r="BB207" s="523" t="str">
        <f>_xlfn.IFNA(IF(données_step[[#This Row],[E_COT]]&lt;=0,NA(),charge_entree[[#This Row],[ch_E_COT]]/constanten!$B$9*1000),"")</f>
        <v/>
      </c>
      <c r="BC207" s="523" t="str">
        <f>IFERROR(_xlfn.IFNA(IF(données_step[[#This Row],[E_PTOT]]&lt;=0,NA(),charge_entree[[#This Row],[ch_E_PTOT]]/constanten!$B$15*1000),""),"")</f>
        <v/>
      </c>
      <c r="BD207" s="535" t="e">
        <f>calculs!E207 * (1-0.4) / (données_step[[#This Row],[X_BA_VOL]]*données_step[[#This Row],[X_BACONC]])</f>
        <v>#VALUE!</v>
      </c>
      <c r="BE207" s="522" t="e">
        <f>(données_step[[#This Row],[X_BA_VOL]]*données_step[[#This Row],[X_BACONC]])/((données_step[[#This Row],[D_QTRAI2]]*données_step[[#This Row],[S_MES]]/1000)+(données_step[[#This Row],[X_BX_Q]]*données_step[[#This Row],[X_BXCONC]]))</f>
        <v>#VALUE!</v>
      </c>
      <c r="BF207" s="890" t="str">
        <f>IFERROR(données_step[[#This Row],[D_QTRAI]]/AY207*1000,"")</f>
        <v/>
      </c>
      <c r="BG207" s="535" t="str">
        <f>IFERROR(1-données_step[[#This Row],[S_DBO5]]/données_step[[#This Row],[E_DBO5]],"")</f>
        <v/>
      </c>
      <c r="BH207" s="536" t="str">
        <f>IFERROR(1-données_step[[#This Row],[S_DCO]]/données_step[[#This Row],[E_DCO]],"")</f>
        <v/>
      </c>
      <c r="BI207" s="535" t="str">
        <f>IFERROR(1-données_step[[#This Row],[S_COD]]/données_step[[#This Row],[E_COT]],"")</f>
        <v/>
      </c>
      <c r="BJ207" s="535" t="str">
        <f>IFERROR(1-données_step[[#This Row],[S_NH4]]/données_step[[#This Row],[E_NTOT]],"")</f>
        <v/>
      </c>
      <c r="BK207" s="535" t="str">
        <f>IFERROR(1-données_step[[#This Row],[S_PTOT]]/données_step[[#This Row],[E_PTOT]],"")</f>
        <v/>
      </c>
      <c r="BL207" s="521" t="str">
        <f>IFERROR(IF(données_step[[#This Row],[E_DCO]]/données_step[[#This Row],[E_DBO5]]=0,NA(),données_step[[#This Row],[E_DCO]]/données_step[[#This Row],[E_DBO5]]),"")</f>
        <v/>
      </c>
      <c r="BM207" s="521" t="str">
        <f>IFERROR(IF(données_step[[#This Row],[E_NH4]]/données_step[[#This Row],[E_NTOT]]=0,NA(),données_step[[#This Row],[E_NH4]]/données_step[[#This Row],[E_NTOT]]),"")</f>
        <v/>
      </c>
      <c r="BN207" s="521" t="str">
        <f>IFERROR(IF(données_step[[#This Row],[E_NTOT]]/données_step[[#This Row],[E_COT]]=0,NA(),données_step[[#This Row],[E_NTOT]]/données_step[[#This Row],[E_COT]]),"")</f>
        <v/>
      </c>
      <c r="BO207" s="521" t="str">
        <f>IFERROR(IF(données_step[[#This Row],[E_PTOT]]/données_step[[#This Row],[E_COT]]=0,NA(),données_step[[#This Row],[E_PTOT]]/données_step[[#This Row],[E_COT]]),"")</f>
        <v/>
      </c>
      <c r="BP207" s="521" t="e">
        <f>IF(données_step[[#This Row],[E_DCO]]/données_step[[#This Row],[E_COT]]=0,NA(),données_step[[#This Row],[E_DCO]]/données_step[[#This Row],[E_COT]])</f>
        <v>#DIV/0!</v>
      </c>
      <c r="BQ207" s="521" t="e">
        <f>IF(données_step[[#This Row],[E_NTOT]]/données_step[[#This Row],[E_DCO]]=0,NA(),données_step[[#This Row],[E_NTOT]]/données_step[[#This Row],[E_DCO]])</f>
        <v>#DIV/0!</v>
      </c>
      <c r="BR207" s="521" t="e">
        <f>IF(données_step[[#This Row],[E_PTOT]]/données_step[[#This Row],[E_DCO]]=0,NA(),données_step[[#This Row],[E_PTOT]]/données_step[[#This Row],[E_DCO]])</f>
        <v>#DIV/0!</v>
      </c>
      <c r="BS207" s="747" t="e">
        <f ca="1">test_NH4_temp(données_step[[#This Row],[S_NH4]],données_step[[#This Row],[Temp_eaux]])</f>
        <v>#NAME?</v>
      </c>
    </row>
    <row r="208" spans="1:71" x14ac:dyDescent="0.2">
      <c r="A208" s="222">
        <f>données_step[[#This Row],[Datum]]</f>
        <v>44759</v>
      </c>
      <c r="B208" s="223"/>
      <c r="C208" s="224">
        <f t="shared" si="49"/>
        <v>1</v>
      </c>
      <c r="D208" s="523" t="str">
        <f>IF(OR(données_step[[#This Row],[E_DBO5]]&lt;=0,données_step[[#This Row],[E_DBO5]]=""),"",données_step[[#This Row],[D_QTRAI]]*données_step[[#This Row],[E_DBO5]]/1000)</f>
        <v/>
      </c>
      <c r="E208" s="523" t="str">
        <f>IF(OR(données_step[[#This Row],[E_DCO]]&lt;=0,données_step[[#This Row],[E_DCO]]=""),"",données_step[[#This Row],[D_QTRAI]]*données_step[[#This Row],[E_DCO]]/1000)</f>
        <v/>
      </c>
      <c r="F208" s="523" t="str">
        <f>IF(OR(données_step[[#This Row],[E_COT]]&lt;=0,données_step[[#This Row],[E_COT]]=""),"",données_step[[#This Row],[D_QTRAI]]*données_step[[#This Row],[E_COT]]/1000)</f>
        <v/>
      </c>
      <c r="G208" s="523" t="str">
        <f>IF(OR(données_step[[#This Row],[E_NH4]]&lt;=0,données_step[[#This Row],[E_NH4]]=""),"",données_step[[#This Row],[D_QTRAI]]*données_step[[#This Row],[E_NH4]]/1000)</f>
        <v/>
      </c>
      <c r="H208" s="523" t="str">
        <f>IF(OR(données_step[[#This Row],[E_NTOT]]&lt;=0,données_step[[#This Row],[E_NTOT]]=""),"",données_step[[#This Row],[D_QTRAI]]*données_step[[#This Row],[E_NTOT]]/1000)</f>
        <v/>
      </c>
      <c r="I208" s="523" t="str">
        <f>IF(OR(données_step[[#This Row],[E_NTOT]]&lt;=0,données_step[[#This Row],[E_NTOT]]=""),"",données_step[[#This Row],[D_QTRAI]]*données_step[[#This Row],[E_PTOT]]/1000)</f>
        <v/>
      </c>
      <c r="J208" s="523" t="str">
        <f>IF(OR(données_step[[#This Row],[S_DBO5]]&lt;=0,données_step[[#This Row],[S_DBO5]]=""),"",données_step[[#This Row],[D_QTRAI]]*données_step[[#This Row],[S_DBO5]]/1000)</f>
        <v/>
      </c>
      <c r="K208" s="523" t="str">
        <f>IF(OR(données_step[[#This Row],[S_DCO]]&lt;=0,données_step[[#This Row],[S_DCO]]=""),"",données_step[[#This Row],[D_QTRAI]]*données_step[[#This Row],[S_DCO]]/1000)</f>
        <v/>
      </c>
      <c r="L208" s="523" t="str">
        <f>IF(OR(données_step[[#This Row],[S_COD]]&lt;=0,données_step[[#This Row],[S_COD]]=""),"",données_step[[#This Row],[D_QTRAI]]*données_step[[#This Row],[S_COD]]/1000)</f>
        <v/>
      </c>
      <c r="M208" s="523" t="str">
        <f>IF(OR(données_step[[#This Row],[S_NH4]]&lt;=0,données_step[[#This Row],[S_NH4]]=""),"",données_step[[#This Row],[D_QTRAI]]*données_step[[#This Row],[S_NH4]]/1000)</f>
        <v/>
      </c>
      <c r="N208" s="523" t="str">
        <f>IF(OR(données_step[[#This Row],[S_NO2]]&lt;=0,données_step[[#This Row],[S_NO2]]=""),"",données_step[[#This Row],[D_QTRAI]]*données_step[[#This Row],[S_NO2]]/1000)</f>
        <v/>
      </c>
      <c r="O208" s="523" t="str">
        <f>IF(OR(données_step[[#This Row],[S_NO3]]&lt;=0,données_step[[#This Row],[S_NO3]]=""),"",données_step[[#This Row],[D_QTRAI]]*données_step[[#This Row],[S_NO3]]/1000)</f>
        <v/>
      </c>
      <c r="P208" s="523" t="str">
        <f>IF(OR(données_step[[#This Row],[S_PTOT]]&lt;=0,données_step[[#This Row],[S_PTOT]]=""),"",données_step[[#This Row],[D_QTRAI]]*données_step[[#This Row],[S_PTOT]]/1000)</f>
        <v/>
      </c>
      <c r="Q208" s="523" t="str">
        <f>IF(OR(données_step[[#This Row],[S_MES]]&lt;=0,données_step[[#This Row],[S_MES]]=""),"",données_step[[#This Row],[D_QTRAI]]*données_step[[#This Row],[S_MES]]/1000)</f>
        <v/>
      </c>
      <c r="R208" s="523">
        <f>MAX(données_step[[#This Row],[D_QTRAI]],données_step[[#This Row],[D_QTRAI2]])</f>
        <v>0</v>
      </c>
      <c r="S208" s="523" t="str">
        <f>IF(AND($R208&gt;0,données_step[[#This Row],[E_DCO]]&gt;0),données_step[[#This Row],[E_DCO]],"")</f>
        <v/>
      </c>
      <c r="T208" s="523" t="str">
        <f>IF(S208="","",(1-données_step[[#This Row],[E_DCO]]/$V$7)*100)</f>
        <v/>
      </c>
      <c r="U208" s="523" t="str">
        <f t="shared" si="50"/>
        <v/>
      </c>
      <c r="V208" s="523" t="str">
        <f t="shared" si="51"/>
        <v/>
      </c>
      <c r="W208" s="523" t="str">
        <f t="shared" si="52"/>
        <v/>
      </c>
      <c r="X208" s="523" t="e">
        <f>IF(((100-100/$V$7*données_step[[#This Row],[E_DCO]])/100*QTS)&lt;0,NA(),IF(OR(U208&lt;0,U208=""),NA(),((100-100/$V$7*données_step[[#This Row],[E_DCO]])/100*QTS)))</f>
        <v>#NUM!</v>
      </c>
      <c r="Y208" s="523" t="str">
        <f>IF(AND($R208&gt;0,données_step[[#This Row],[E_COT]]&gt;0),données_step[[#This Row],[E_COT]],"")</f>
        <v/>
      </c>
      <c r="Z208" s="523" t="str">
        <f>IF(Y208="","",(1-données_step[[#This Row],[E_COT]]/$AB$7)*100)</f>
        <v/>
      </c>
      <c r="AA208" s="523" t="str">
        <f t="shared" si="53"/>
        <v/>
      </c>
      <c r="AB208" s="523" t="str">
        <f t="shared" si="54"/>
        <v/>
      </c>
      <c r="AC208" s="523" t="str">
        <f t="shared" si="55"/>
        <v/>
      </c>
      <c r="AD208" s="523" t="e">
        <f>IF(((100-100/$AB$7*données_step[[#This Row],[E_COT]])/100*QTS)&lt;0,NA(),IF(OR(AA208&lt;0,AA208=""),NA(),((100-100/$AB$7*données_step[[#This Row],[E_COT]])/100*QTS)))</f>
        <v>#NUM!</v>
      </c>
      <c r="AE208" s="523" t="str">
        <f>IF(AND($R208&gt;0,données_step[[#This Row],[E_NH4]]&gt;0),données_step[[#This Row],[E_NH4]],"")</f>
        <v/>
      </c>
      <c r="AF208" s="523" t="str">
        <f>IF(AE208="","",(1-données_step[[#This Row],[E_NH4]]/$AH$7)*100)</f>
        <v/>
      </c>
      <c r="AG208" s="523" t="str">
        <f t="shared" si="56"/>
        <v/>
      </c>
      <c r="AH208" s="523" t="str">
        <f t="shared" si="57"/>
        <v/>
      </c>
      <c r="AI208" s="523" t="str">
        <f t="shared" si="58"/>
        <v/>
      </c>
      <c r="AJ208" s="523" t="e">
        <f>IF(((100-100/$AH$7*données_step[[#This Row],[E_NH4]])/100*QTS)&lt;0,NA(),IF(OR(AG208&lt;0,AG208=""),NA(),((100-100/$AH$7*données_step[[#This Row],[E_NH4]])/100*QTS)))</f>
        <v>#NUM!</v>
      </c>
      <c r="AK208" s="523" t="str">
        <f>IF(AND($R208&gt;0,données_step[[#This Row],[E_PTOT]]&gt;0),données_step[[#This Row],[E_PTOT]],"")</f>
        <v/>
      </c>
      <c r="AL208" s="523" t="str">
        <f>IF(AK208="","",(1-données_step[[#This Row],[E_PTOT]]/$AN$7)*100)</f>
        <v/>
      </c>
      <c r="AM208" s="523" t="str">
        <f t="shared" si="59"/>
        <v/>
      </c>
      <c r="AN208" s="523" t="str">
        <f t="shared" si="60"/>
        <v/>
      </c>
      <c r="AO208" s="523" t="str">
        <f t="shared" si="61"/>
        <v/>
      </c>
      <c r="AP208" s="523" t="e">
        <f>IF(((100-100/$AN$7*données_step[[#This Row],[E_PTOT]])/100*QTS)&lt;0,NA(),IF(OR(AM208&lt;0,AM208=""),NA(),((100-100/$AN$7*données_step[[#This Row],[E_PTOT]])/100*QTS)))</f>
        <v>#NUM!</v>
      </c>
      <c r="AQ208" s="524" t="e">
        <f t="shared" si="62"/>
        <v>#NUM!</v>
      </c>
      <c r="AR208" s="524" t="str">
        <f t="shared" si="63"/>
        <v/>
      </c>
      <c r="AY208" s="523" t="str">
        <f>_xlfn.IFNA(IF(données_step[[#This Row],[E_DCO]]&lt;=0,NA(),charge_entree[[#This Row],[ch_E_DCO]]/constanten!$B$8*1000),"")</f>
        <v/>
      </c>
      <c r="AZ208" s="523" t="str">
        <f>_xlfn.IFNA(IF(données_step[[#This Row],[E_NTOT]]&lt;=0,NA(),charge_entree[[#This Row],[ch_E_NTOT]]/constanten!$B$10*1000),"")</f>
        <v/>
      </c>
      <c r="BA208" s="523" t="str">
        <f>_xlfn.IFNA(IF(données_step[[#This Row],[E_NH4]]&lt;=0,NA(),charge_entree[[#This Row],[ch_E_NH4]]/constanten!$B$12*1000),"")</f>
        <v/>
      </c>
      <c r="BB208" s="523" t="str">
        <f>_xlfn.IFNA(IF(données_step[[#This Row],[E_COT]]&lt;=0,NA(),charge_entree[[#This Row],[ch_E_COT]]/constanten!$B$9*1000),"")</f>
        <v/>
      </c>
      <c r="BC208" s="523" t="str">
        <f>IFERROR(_xlfn.IFNA(IF(données_step[[#This Row],[E_PTOT]]&lt;=0,NA(),charge_entree[[#This Row],[ch_E_PTOT]]/constanten!$B$15*1000),""),"")</f>
        <v/>
      </c>
      <c r="BD208" s="535" t="e">
        <f>calculs!E208 * (1-0.4) / (données_step[[#This Row],[X_BA_VOL]]*données_step[[#This Row],[X_BACONC]])</f>
        <v>#VALUE!</v>
      </c>
      <c r="BE208" s="522" t="e">
        <f>(données_step[[#This Row],[X_BA_VOL]]*données_step[[#This Row],[X_BACONC]])/((données_step[[#This Row],[D_QTRAI2]]*données_step[[#This Row],[S_MES]]/1000)+(données_step[[#This Row],[X_BX_Q]]*données_step[[#This Row],[X_BXCONC]]))</f>
        <v>#VALUE!</v>
      </c>
      <c r="BF208" s="890" t="str">
        <f>IFERROR(données_step[[#This Row],[D_QTRAI]]/AY208*1000,"")</f>
        <v/>
      </c>
      <c r="BG208" s="535" t="str">
        <f>IFERROR(1-données_step[[#This Row],[S_DBO5]]/données_step[[#This Row],[E_DBO5]],"")</f>
        <v/>
      </c>
      <c r="BH208" s="536" t="str">
        <f>IFERROR(1-données_step[[#This Row],[S_DCO]]/données_step[[#This Row],[E_DCO]],"")</f>
        <v/>
      </c>
      <c r="BI208" s="535" t="str">
        <f>IFERROR(1-données_step[[#This Row],[S_COD]]/données_step[[#This Row],[E_COT]],"")</f>
        <v/>
      </c>
      <c r="BJ208" s="535" t="str">
        <f>IFERROR(1-données_step[[#This Row],[S_NH4]]/données_step[[#This Row],[E_NTOT]],"")</f>
        <v/>
      </c>
      <c r="BK208" s="535" t="str">
        <f>IFERROR(1-données_step[[#This Row],[S_PTOT]]/données_step[[#This Row],[E_PTOT]],"")</f>
        <v/>
      </c>
      <c r="BL208" s="521" t="str">
        <f>IFERROR(IF(données_step[[#This Row],[E_DCO]]/données_step[[#This Row],[E_DBO5]]=0,NA(),données_step[[#This Row],[E_DCO]]/données_step[[#This Row],[E_DBO5]]),"")</f>
        <v/>
      </c>
      <c r="BM208" s="521" t="str">
        <f>IFERROR(IF(données_step[[#This Row],[E_NH4]]/données_step[[#This Row],[E_NTOT]]=0,NA(),données_step[[#This Row],[E_NH4]]/données_step[[#This Row],[E_NTOT]]),"")</f>
        <v/>
      </c>
      <c r="BN208" s="521" t="str">
        <f>IFERROR(IF(données_step[[#This Row],[E_NTOT]]/données_step[[#This Row],[E_COT]]=0,NA(),données_step[[#This Row],[E_NTOT]]/données_step[[#This Row],[E_COT]]),"")</f>
        <v/>
      </c>
      <c r="BO208" s="521" t="str">
        <f>IFERROR(IF(données_step[[#This Row],[E_PTOT]]/données_step[[#This Row],[E_COT]]=0,NA(),données_step[[#This Row],[E_PTOT]]/données_step[[#This Row],[E_COT]]),"")</f>
        <v/>
      </c>
      <c r="BP208" s="521" t="e">
        <f>IF(données_step[[#This Row],[E_DCO]]/données_step[[#This Row],[E_COT]]=0,NA(),données_step[[#This Row],[E_DCO]]/données_step[[#This Row],[E_COT]])</f>
        <v>#DIV/0!</v>
      </c>
      <c r="BQ208" s="521" t="e">
        <f>IF(données_step[[#This Row],[E_NTOT]]/données_step[[#This Row],[E_DCO]]=0,NA(),données_step[[#This Row],[E_NTOT]]/données_step[[#This Row],[E_DCO]])</f>
        <v>#DIV/0!</v>
      </c>
      <c r="BR208" s="521" t="e">
        <f>IF(données_step[[#This Row],[E_PTOT]]/données_step[[#This Row],[E_DCO]]=0,NA(),données_step[[#This Row],[E_PTOT]]/données_step[[#This Row],[E_DCO]])</f>
        <v>#DIV/0!</v>
      </c>
      <c r="BS208" s="747" t="e">
        <f ca="1">test_NH4_temp(données_step[[#This Row],[S_NH4]],données_step[[#This Row],[Temp_eaux]])</f>
        <v>#NAME?</v>
      </c>
    </row>
    <row r="209" spans="1:71" x14ac:dyDescent="0.2">
      <c r="A209" s="222">
        <f>données_step[[#This Row],[Datum]]</f>
        <v>44760</v>
      </c>
      <c r="B209" s="223"/>
      <c r="C209" s="224">
        <f t="shared" si="49"/>
        <v>2</v>
      </c>
      <c r="D209" s="523" t="str">
        <f>IF(OR(données_step[[#This Row],[E_DBO5]]&lt;=0,données_step[[#This Row],[E_DBO5]]=""),"",données_step[[#This Row],[D_QTRAI]]*données_step[[#This Row],[E_DBO5]]/1000)</f>
        <v/>
      </c>
      <c r="E209" s="523" t="str">
        <f>IF(OR(données_step[[#This Row],[E_DCO]]&lt;=0,données_step[[#This Row],[E_DCO]]=""),"",données_step[[#This Row],[D_QTRAI]]*données_step[[#This Row],[E_DCO]]/1000)</f>
        <v/>
      </c>
      <c r="F209" s="523" t="str">
        <f>IF(OR(données_step[[#This Row],[E_COT]]&lt;=0,données_step[[#This Row],[E_COT]]=""),"",données_step[[#This Row],[D_QTRAI]]*données_step[[#This Row],[E_COT]]/1000)</f>
        <v/>
      </c>
      <c r="G209" s="523" t="str">
        <f>IF(OR(données_step[[#This Row],[E_NH4]]&lt;=0,données_step[[#This Row],[E_NH4]]=""),"",données_step[[#This Row],[D_QTRAI]]*données_step[[#This Row],[E_NH4]]/1000)</f>
        <v/>
      </c>
      <c r="H209" s="523" t="str">
        <f>IF(OR(données_step[[#This Row],[E_NTOT]]&lt;=0,données_step[[#This Row],[E_NTOT]]=""),"",données_step[[#This Row],[D_QTRAI]]*données_step[[#This Row],[E_NTOT]]/1000)</f>
        <v/>
      </c>
      <c r="I209" s="523" t="str">
        <f>IF(OR(données_step[[#This Row],[E_NTOT]]&lt;=0,données_step[[#This Row],[E_NTOT]]=""),"",données_step[[#This Row],[D_QTRAI]]*données_step[[#This Row],[E_PTOT]]/1000)</f>
        <v/>
      </c>
      <c r="J209" s="523" t="str">
        <f>IF(OR(données_step[[#This Row],[S_DBO5]]&lt;=0,données_step[[#This Row],[S_DBO5]]=""),"",données_step[[#This Row],[D_QTRAI]]*données_step[[#This Row],[S_DBO5]]/1000)</f>
        <v/>
      </c>
      <c r="K209" s="523" t="str">
        <f>IF(OR(données_step[[#This Row],[S_DCO]]&lt;=0,données_step[[#This Row],[S_DCO]]=""),"",données_step[[#This Row],[D_QTRAI]]*données_step[[#This Row],[S_DCO]]/1000)</f>
        <v/>
      </c>
      <c r="L209" s="523" t="str">
        <f>IF(OR(données_step[[#This Row],[S_COD]]&lt;=0,données_step[[#This Row],[S_COD]]=""),"",données_step[[#This Row],[D_QTRAI]]*données_step[[#This Row],[S_COD]]/1000)</f>
        <v/>
      </c>
      <c r="M209" s="523" t="str">
        <f>IF(OR(données_step[[#This Row],[S_NH4]]&lt;=0,données_step[[#This Row],[S_NH4]]=""),"",données_step[[#This Row],[D_QTRAI]]*données_step[[#This Row],[S_NH4]]/1000)</f>
        <v/>
      </c>
      <c r="N209" s="523" t="str">
        <f>IF(OR(données_step[[#This Row],[S_NO2]]&lt;=0,données_step[[#This Row],[S_NO2]]=""),"",données_step[[#This Row],[D_QTRAI]]*données_step[[#This Row],[S_NO2]]/1000)</f>
        <v/>
      </c>
      <c r="O209" s="523" t="str">
        <f>IF(OR(données_step[[#This Row],[S_NO3]]&lt;=0,données_step[[#This Row],[S_NO3]]=""),"",données_step[[#This Row],[D_QTRAI]]*données_step[[#This Row],[S_NO3]]/1000)</f>
        <v/>
      </c>
      <c r="P209" s="523" t="str">
        <f>IF(OR(données_step[[#This Row],[S_PTOT]]&lt;=0,données_step[[#This Row],[S_PTOT]]=""),"",données_step[[#This Row],[D_QTRAI]]*données_step[[#This Row],[S_PTOT]]/1000)</f>
        <v/>
      </c>
      <c r="Q209" s="523" t="str">
        <f>IF(OR(données_step[[#This Row],[S_MES]]&lt;=0,données_step[[#This Row],[S_MES]]=""),"",données_step[[#This Row],[D_QTRAI]]*données_step[[#This Row],[S_MES]]/1000)</f>
        <v/>
      </c>
      <c r="R209" s="523">
        <f>MAX(données_step[[#This Row],[D_QTRAI]],données_step[[#This Row],[D_QTRAI2]])</f>
        <v>0</v>
      </c>
      <c r="S209" s="523" t="str">
        <f>IF(AND($R209&gt;0,données_step[[#This Row],[E_DCO]]&gt;0),données_step[[#This Row],[E_DCO]],"")</f>
        <v/>
      </c>
      <c r="T209" s="523" t="str">
        <f>IF(S209="","",(1-données_step[[#This Row],[E_DCO]]/$V$7)*100)</f>
        <v/>
      </c>
      <c r="U209" s="523" t="str">
        <f t="shared" si="50"/>
        <v/>
      </c>
      <c r="V209" s="523" t="str">
        <f t="shared" si="51"/>
        <v/>
      </c>
      <c r="W209" s="523" t="str">
        <f t="shared" si="52"/>
        <v/>
      </c>
      <c r="X209" s="523" t="e">
        <f>IF(((100-100/$V$7*données_step[[#This Row],[E_DCO]])/100*QTS)&lt;0,NA(),IF(OR(U209&lt;0,U209=""),NA(),((100-100/$V$7*données_step[[#This Row],[E_DCO]])/100*QTS)))</f>
        <v>#NUM!</v>
      </c>
      <c r="Y209" s="523" t="str">
        <f>IF(AND($R209&gt;0,données_step[[#This Row],[E_COT]]&gt;0),données_step[[#This Row],[E_COT]],"")</f>
        <v/>
      </c>
      <c r="Z209" s="523" t="str">
        <f>IF(Y209="","",(1-données_step[[#This Row],[E_COT]]/$AB$7)*100)</f>
        <v/>
      </c>
      <c r="AA209" s="523" t="str">
        <f t="shared" si="53"/>
        <v/>
      </c>
      <c r="AB209" s="523" t="str">
        <f t="shared" si="54"/>
        <v/>
      </c>
      <c r="AC209" s="523" t="str">
        <f t="shared" si="55"/>
        <v/>
      </c>
      <c r="AD209" s="523" t="e">
        <f>IF(((100-100/$AB$7*données_step[[#This Row],[E_COT]])/100*QTS)&lt;0,NA(),IF(OR(AA209&lt;0,AA209=""),NA(),((100-100/$AB$7*données_step[[#This Row],[E_COT]])/100*QTS)))</f>
        <v>#NUM!</v>
      </c>
      <c r="AE209" s="523" t="str">
        <f>IF(AND($R209&gt;0,données_step[[#This Row],[E_NH4]]&gt;0),données_step[[#This Row],[E_NH4]],"")</f>
        <v/>
      </c>
      <c r="AF209" s="523" t="str">
        <f>IF(AE209="","",(1-données_step[[#This Row],[E_NH4]]/$AH$7)*100)</f>
        <v/>
      </c>
      <c r="AG209" s="523" t="str">
        <f t="shared" si="56"/>
        <v/>
      </c>
      <c r="AH209" s="523" t="str">
        <f t="shared" si="57"/>
        <v/>
      </c>
      <c r="AI209" s="523" t="str">
        <f t="shared" si="58"/>
        <v/>
      </c>
      <c r="AJ209" s="523" t="e">
        <f>IF(((100-100/$AH$7*données_step[[#This Row],[E_NH4]])/100*QTS)&lt;0,NA(),IF(OR(AG209&lt;0,AG209=""),NA(),((100-100/$AH$7*données_step[[#This Row],[E_NH4]])/100*QTS)))</f>
        <v>#NUM!</v>
      </c>
      <c r="AK209" s="523" t="str">
        <f>IF(AND($R209&gt;0,données_step[[#This Row],[E_PTOT]]&gt;0),données_step[[#This Row],[E_PTOT]],"")</f>
        <v/>
      </c>
      <c r="AL209" s="523" t="str">
        <f>IF(AK209="","",(1-données_step[[#This Row],[E_PTOT]]/$AN$7)*100)</f>
        <v/>
      </c>
      <c r="AM209" s="523" t="str">
        <f t="shared" si="59"/>
        <v/>
      </c>
      <c r="AN209" s="523" t="str">
        <f t="shared" si="60"/>
        <v/>
      </c>
      <c r="AO209" s="523" t="str">
        <f t="shared" si="61"/>
        <v/>
      </c>
      <c r="AP209" s="523" t="e">
        <f>IF(((100-100/$AN$7*données_step[[#This Row],[E_PTOT]])/100*QTS)&lt;0,NA(),IF(OR(AM209&lt;0,AM209=""),NA(),((100-100/$AN$7*données_step[[#This Row],[E_PTOT]])/100*QTS)))</f>
        <v>#NUM!</v>
      </c>
      <c r="AQ209" s="524" t="e">
        <f t="shared" si="62"/>
        <v>#NUM!</v>
      </c>
      <c r="AR209" s="524" t="str">
        <f t="shared" si="63"/>
        <v/>
      </c>
      <c r="AY209" s="523" t="str">
        <f>_xlfn.IFNA(IF(données_step[[#This Row],[E_DCO]]&lt;=0,NA(),charge_entree[[#This Row],[ch_E_DCO]]/constanten!$B$8*1000),"")</f>
        <v/>
      </c>
      <c r="AZ209" s="523" t="str">
        <f>_xlfn.IFNA(IF(données_step[[#This Row],[E_NTOT]]&lt;=0,NA(),charge_entree[[#This Row],[ch_E_NTOT]]/constanten!$B$10*1000),"")</f>
        <v/>
      </c>
      <c r="BA209" s="523" t="str">
        <f>_xlfn.IFNA(IF(données_step[[#This Row],[E_NH4]]&lt;=0,NA(),charge_entree[[#This Row],[ch_E_NH4]]/constanten!$B$12*1000),"")</f>
        <v/>
      </c>
      <c r="BB209" s="523" t="str">
        <f>_xlfn.IFNA(IF(données_step[[#This Row],[E_COT]]&lt;=0,NA(),charge_entree[[#This Row],[ch_E_COT]]/constanten!$B$9*1000),"")</f>
        <v/>
      </c>
      <c r="BC209" s="523" t="str">
        <f>IFERROR(_xlfn.IFNA(IF(données_step[[#This Row],[E_PTOT]]&lt;=0,NA(),charge_entree[[#This Row],[ch_E_PTOT]]/constanten!$B$15*1000),""),"")</f>
        <v/>
      </c>
      <c r="BD209" s="535" t="e">
        <f>calculs!E209 * (1-0.4) / (données_step[[#This Row],[X_BA_VOL]]*données_step[[#This Row],[X_BACONC]])</f>
        <v>#VALUE!</v>
      </c>
      <c r="BE209" s="522" t="e">
        <f>(données_step[[#This Row],[X_BA_VOL]]*données_step[[#This Row],[X_BACONC]])/((données_step[[#This Row],[D_QTRAI2]]*données_step[[#This Row],[S_MES]]/1000)+(données_step[[#This Row],[X_BX_Q]]*données_step[[#This Row],[X_BXCONC]]))</f>
        <v>#VALUE!</v>
      </c>
      <c r="BF209" s="890" t="str">
        <f>IFERROR(données_step[[#This Row],[D_QTRAI]]/AY209*1000,"")</f>
        <v/>
      </c>
      <c r="BG209" s="535" t="str">
        <f>IFERROR(1-données_step[[#This Row],[S_DBO5]]/données_step[[#This Row],[E_DBO5]],"")</f>
        <v/>
      </c>
      <c r="BH209" s="536" t="str">
        <f>IFERROR(1-données_step[[#This Row],[S_DCO]]/données_step[[#This Row],[E_DCO]],"")</f>
        <v/>
      </c>
      <c r="BI209" s="535" t="str">
        <f>IFERROR(1-données_step[[#This Row],[S_COD]]/données_step[[#This Row],[E_COT]],"")</f>
        <v/>
      </c>
      <c r="BJ209" s="535" t="str">
        <f>IFERROR(1-données_step[[#This Row],[S_NH4]]/données_step[[#This Row],[E_NTOT]],"")</f>
        <v/>
      </c>
      <c r="BK209" s="535" t="str">
        <f>IFERROR(1-données_step[[#This Row],[S_PTOT]]/données_step[[#This Row],[E_PTOT]],"")</f>
        <v/>
      </c>
      <c r="BL209" s="521" t="str">
        <f>IFERROR(IF(données_step[[#This Row],[E_DCO]]/données_step[[#This Row],[E_DBO5]]=0,NA(),données_step[[#This Row],[E_DCO]]/données_step[[#This Row],[E_DBO5]]),"")</f>
        <v/>
      </c>
      <c r="BM209" s="521" t="str">
        <f>IFERROR(IF(données_step[[#This Row],[E_NH4]]/données_step[[#This Row],[E_NTOT]]=0,NA(),données_step[[#This Row],[E_NH4]]/données_step[[#This Row],[E_NTOT]]),"")</f>
        <v/>
      </c>
      <c r="BN209" s="521" t="str">
        <f>IFERROR(IF(données_step[[#This Row],[E_NTOT]]/données_step[[#This Row],[E_COT]]=0,NA(),données_step[[#This Row],[E_NTOT]]/données_step[[#This Row],[E_COT]]),"")</f>
        <v/>
      </c>
      <c r="BO209" s="521" t="str">
        <f>IFERROR(IF(données_step[[#This Row],[E_PTOT]]/données_step[[#This Row],[E_COT]]=0,NA(),données_step[[#This Row],[E_PTOT]]/données_step[[#This Row],[E_COT]]),"")</f>
        <v/>
      </c>
      <c r="BP209" s="521" t="e">
        <f>IF(données_step[[#This Row],[E_DCO]]/données_step[[#This Row],[E_COT]]=0,NA(),données_step[[#This Row],[E_DCO]]/données_step[[#This Row],[E_COT]])</f>
        <v>#DIV/0!</v>
      </c>
      <c r="BQ209" s="521" t="e">
        <f>IF(données_step[[#This Row],[E_NTOT]]/données_step[[#This Row],[E_DCO]]=0,NA(),données_step[[#This Row],[E_NTOT]]/données_step[[#This Row],[E_DCO]])</f>
        <v>#DIV/0!</v>
      </c>
      <c r="BR209" s="521" t="e">
        <f>IF(données_step[[#This Row],[E_PTOT]]/données_step[[#This Row],[E_DCO]]=0,NA(),données_step[[#This Row],[E_PTOT]]/données_step[[#This Row],[E_DCO]])</f>
        <v>#DIV/0!</v>
      </c>
      <c r="BS209" s="747" t="e">
        <f ca="1">test_NH4_temp(données_step[[#This Row],[S_NH4]],données_step[[#This Row],[Temp_eaux]])</f>
        <v>#NAME?</v>
      </c>
    </row>
    <row r="210" spans="1:71" x14ac:dyDescent="0.2">
      <c r="A210" s="222">
        <f>données_step[[#This Row],[Datum]]</f>
        <v>44761</v>
      </c>
      <c r="B210" s="223"/>
      <c r="C210" s="224">
        <f t="shared" si="49"/>
        <v>3</v>
      </c>
      <c r="D210" s="523" t="str">
        <f>IF(OR(données_step[[#This Row],[E_DBO5]]&lt;=0,données_step[[#This Row],[E_DBO5]]=""),"",données_step[[#This Row],[D_QTRAI]]*données_step[[#This Row],[E_DBO5]]/1000)</f>
        <v/>
      </c>
      <c r="E210" s="523" t="str">
        <f>IF(OR(données_step[[#This Row],[E_DCO]]&lt;=0,données_step[[#This Row],[E_DCO]]=""),"",données_step[[#This Row],[D_QTRAI]]*données_step[[#This Row],[E_DCO]]/1000)</f>
        <v/>
      </c>
      <c r="F210" s="523" t="str">
        <f>IF(OR(données_step[[#This Row],[E_COT]]&lt;=0,données_step[[#This Row],[E_COT]]=""),"",données_step[[#This Row],[D_QTRAI]]*données_step[[#This Row],[E_COT]]/1000)</f>
        <v/>
      </c>
      <c r="G210" s="523" t="str">
        <f>IF(OR(données_step[[#This Row],[E_NH4]]&lt;=0,données_step[[#This Row],[E_NH4]]=""),"",données_step[[#This Row],[D_QTRAI]]*données_step[[#This Row],[E_NH4]]/1000)</f>
        <v/>
      </c>
      <c r="H210" s="523" t="str">
        <f>IF(OR(données_step[[#This Row],[E_NTOT]]&lt;=0,données_step[[#This Row],[E_NTOT]]=""),"",données_step[[#This Row],[D_QTRAI]]*données_step[[#This Row],[E_NTOT]]/1000)</f>
        <v/>
      </c>
      <c r="I210" s="523" t="str">
        <f>IF(OR(données_step[[#This Row],[E_NTOT]]&lt;=0,données_step[[#This Row],[E_NTOT]]=""),"",données_step[[#This Row],[D_QTRAI]]*données_step[[#This Row],[E_PTOT]]/1000)</f>
        <v/>
      </c>
      <c r="J210" s="523" t="str">
        <f>IF(OR(données_step[[#This Row],[S_DBO5]]&lt;=0,données_step[[#This Row],[S_DBO5]]=""),"",données_step[[#This Row],[D_QTRAI]]*données_step[[#This Row],[S_DBO5]]/1000)</f>
        <v/>
      </c>
      <c r="K210" s="523" t="str">
        <f>IF(OR(données_step[[#This Row],[S_DCO]]&lt;=0,données_step[[#This Row],[S_DCO]]=""),"",données_step[[#This Row],[D_QTRAI]]*données_step[[#This Row],[S_DCO]]/1000)</f>
        <v/>
      </c>
      <c r="L210" s="523" t="str">
        <f>IF(OR(données_step[[#This Row],[S_COD]]&lt;=0,données_step[[#This Row],[S_COD]]=""),"",données_step[[#This Row],[D_QTRAI]]*données_step[[#This Row],[S_COD]]/1000)</f>
        <v/>
      </c>
      <c r="M210" s="523" t="str">
        <f>IF(OR(données_step[[#This Row],[S_NH4]]&lt;=0,données_step[[#This Row],[S_NH4]]=""),"",données_step[[#This Row],[D_QTRAI]]*données_step[[#This Row],[S_NH4]]/1000)</f>
        <v/>
      </c>
      <c r="N210" s="523" t="str">
        <f>IF(OR(données_step[[#This Row],[S_NO2]]&lt;=0,données_step[[#This Row],[S_NO2]]=""),"",données_step[[#This Row],[D_QTRAI]]*données_step[[#This Row],[S_NO2]]/1000)</f>
        <v/>
      </c>
      <c r="O210" s="523" t="str">
        <f>IF(OR(données_step[[#This Row],[S_NO3]]&lt;=0,données_step[[#This Row],[S_NO3]]=""),"",données_step[[#This Row],[D_QTRAI]]*données_step[[#This Row],[S_NO3]]/1000)</f>
        <v/>
      </c>
      <c r="P210" s="523" t="str">
        <f>IF(OR(données_step[[#This Row],[S_PTOT]]&lt;=0,données_step[[#This Row],[S_PTOT]]=""),"",données_step[[#This Row],[D_QTRAI]]*données_step[[#This Row],[S_PTOT]]/1000)</f>
        <v/>
      </c>
      <c r="Q210" s="523" t="str">
        <f>IF(OR(données_step[[#This Row],[S_MES]]&lt;=0,données_step[[#This Row],[S_MES]]=""),"",données_step[[#This Row],[D_QTRAI]]*données_step[[#This Row],[S_MES]]/1000)</f>
        <v/>
      </c>
      <c r="R210" s="523">
        <f>MAX(données_step[[#This Row],[D_QTRAI]],données_step[[#This Row],[D_QTRAI2]])</f>
        <v>0</v>
      </c>
      <c r="S210" s="523" t="str">
        <f>IF(AND($R210&gt;0,données_step[[#This Row],[E_DCO]]&gt;0),données_step[[#This Row],[E_DCO]],"")</f>
        <v/>
      </c>
      <c r="T210" s="523" t="str">
        <f>IF(S210="","",(1-données_step[[#This Row],[E_DCO]]/$V$7)*100)</f>
        <v/>
      </c>
      <c r="U210" s="523" t="str">
        <f t="shared" si="50"/>
        <v/>
      </c>
      <c r="V210" s="523" t="str">
        <f t="shared" si="51"/>
        <v/>
      </c>
      <c r="W210" s="523" t="str">
        <f t="shared" si="52"/>
        <v/>
      </c>
      <c r="X210" s="523" t="e">
        <f>IF(((100-100/$V$7*données_step[[#This Row],[E_DCO]])/100*QTS)&lt;0,NA(),IF(OR(U210&lt;0,U210=""),NA(),((100-100/$V$7*données_step[[#This Row],[E_DCO]])/100*QTS)))</f>
        <v>#NUM!</v>
      </c>
      <c r="Y210" s="523" t="str">
        <f>IF(AND($R210&gt;0,données_step[[#This Row],[E_COT]]&gt;0),données_step[[#This Row],[E_COT]],"")</f>
        <v/>
      </c>
      <c r="Z210" s="523" t="str">
        <f>IF(Y210="","",(1-données_step[[#This Row],[E_COT]]/$AB$7)*100)</f>
        <v/>
      </c>
      <c r="AA210" s="523" t="str">
        <f t="shared" si="53"/>
        <v/>
      </c>
      <c r="AB210" s="523" t="str">
        <f t="shared" si="54"/>
        <v/>
      </c>
      <c r="AC210" s="523" t="str">
        <f t="shared" si="55"/>
        <v/>
      </c>
      <c r="AD210" s="523" t="e">
        <f>IF(((100-100/$AB$7*données_step[[#This Row],[E_COT]])/100*QTS)&lt;0,NA(),IF(OR(AA210&lt;0,AA210=""),NA(),((100-100/$AB$7*données_step[[#This Row],[E_COT]])/100*QTS)))</f>
        <v>#NUM!</v>
      </c>
      <c r="AE210" s="523" t="str">
        <f>IF(AND($R210&gt;0,données_step[[#This Row],[E_NH4]]&gt;0),données_step[[#This Row],[E_NH4]],"")</f>
        <v/>
      </c>
      <c r="AF210" s="523" t="str">
        <f>IF(AE210="","",(1-données_step[[#This Row],[E_NH4]]/$AH$7)*100)</f>
        <v/>
      </c>
      <c r="AG210" s="523" t="str">
        <f t="shared" si="56"/>
        <v/>
      </c>
      <c r="AH210" s="523" t="str">
        <f t="shared" si="57"/>
        <v/>
      </c>
      <c r="AI210" s="523" t="str">
        <f t="shared" si="58"/>
        <v/>
      </c>
      <c r="AJ210" s="523" t="e">
        <f>IF(((100-100/$AH$7*données_step[[#This Row],[E_NH4]])/100*QTS)&lt;0,NA(),IF(OR(AG210&lt;0,AG210=""),NA(),((100-100/$AH$7*données_step[[#This Row],[E_NH4]])/100*QTS)))</f>
        <v>#NUM!</v>
      </c>
      <c r="AK210" s="523" t="str">
        <f>IF(AND($R210&gt;0,données_step[[#This Row],[E_PTOT]]&gt;0),données_step[[#This Row],[E_PTOT]],"")</f>
        <v/>
      </c>
      <c r="AL210" s="523" t="str">
        <f>IF(AK210="","",(1-données_step[[#This Row],[E_PTOT]]/$AN$7)*100)</f>
        <v/>
      </c>
      <c r="AM210" s="523" t="str">
        <f t="shared" si="59"/>
        <v/>
      </c>
      <c r="AN210" s="523" t="str">
        <f t="shared" si="60"/>
        <v/>
      </c>
      <c r="AO210" s="523" t="str">
        <f t="shared" si="61"/>
        <v/>
      </c>
      <c r="AP210" s="523" t="e">
        <f>IF(((100-100/$AN$7*données_step[[#This Row],[E_PTOT]])/100*QTS)&lt;0,NA(),IF(OR(AM210&lt;0,AM210=""),NA(),((100-100/$AN$7*données_step[[#This Row],[E_PTOT]])/100*QTS)))</f>
        <v>#NUM!</v>
      </c>
      <c r="AQ210" s="524" t="e">
        <f t="shared" si="62"/>
        <v>#NUM!</v>
      </c>
      <c r="AR210" s="524" t="str">
        <f t="shared" si="63"/>
        <v/>
      </c>
      <c r="AY210" s="523" t="str">
        <f>_xlfn.IFNA(IF(données_step[[#This Row],[E_DCO]]&lt;=0,NA(),charge_entree[[#This Row],[ch_E_DCO]]/constanten!$B$8*1000),"")</f>
        <v/>
      </c>
      <c r="AZ210" s="523" t="str">
        <f>_xlfn.IFNA(IF(données_step[[#This Row],[E_NTOT]]&lt;=0,NA(),charge_entree[[#This Row],[ch_E_NTOT]]/constanten!$B$10*1000),"")</f>
        <v/>
      </c>
      <c r="BA210" s="523" t="str">
        <f>_xlfn.IFNA(IF(données_step[[#This Row],[E_NH4]]&lt;=0,NA(),charge_entree[[#This Row],[ch_E_NH4]]/constanten!$B$12*1000),"")</f>
        <v/>
      </c>
      <c r="BB210" s="523" t="str">
        <f>_xlfn.IFNA(IF(données_step[[#This Row],[E_COT]]&lt;=0,NA(),charge_entree[[#This Row],[ch_E_COT]]/constanten!$B$9*1000),"")</f>
        <v/>
      </c>
      <c r="BC210" s="523" t="str">
        <f>IFERROR(_xlfn.IFNA(IF(données_step[[#This Row],[E_PTOT]]&lt;=0,NA(),charge_entree[[#This Row],[ch_E_PTOT]]/constanten!$B$15*1000),""),"")</f>
        <v/>
      </c>
      <c r="BD210" s="535" t="e">
        <f>calculs!E210 * (1-0.4) / (données_step[[#This Row],[X_BA_VOL]]*données_step[[#This Row],[X_BACONC]])</f>
        <v>#VALUE!</v>
      </c>
      <c r="BE210" s="522" t="e">
        <f>(données_step[[#This Row],[X_BA_VOL]]*données_step[[#This Row],[X_BACONC]])/((données_step[[#This Row],[D_QTRAI2]]*données_step[[#This Row],[S_MES]]/1000)+(données_step[[#This Row],[X_BX_Q]]*données_step[[#This Row],[X_BXCONC]]))</f>
        <v>#VALUE!</v>
      </c>
      <c r="BF210" s="890" t="str">
        <f>IFERROR(données_step[[#This Row],[D_QTRAI]]/AY210*1000,"")</f>
        <v/>
      </c>
      <c r="BG210" s="535" t="str">
        <f>IFERROR(1-données_step[[#This Row],[S_DBO5]]/données_step[[#This Row],[E_DBO5]],"")</f>
        <v/>
      </c>
      <c r="BH210" s="536" t="str">
        <f>IFERROR(1-données_step[[#This Row],[S_DCO]]/données_step[[#This Row],[E_DCO]],"")</f>
        <v/>
      </c>
      <c r="BI210" s="535" t="str">
        <f>IFERROR(1-données_step[[#This Row],[S_COD]]/données_step[[#This Row],[E_COT]],"")</f>
        <v/>
      </c>
      <c r="BJ210" s="535" t="str">
        <f>IFERROR(1-données_step[[#This Row],[S_NH4]]/données_step[[#This Row],[E_NTOT]],"")</f>
        <v/>
      </c>
      <c r="BK210" s="535" t="str">
        <f>IFERROR(1-données_step[[#This Row],[S_PTOT]]/données_step[[#This Row],[E_PTOT]],"")</f>
        <v/>
      </c>
      <c r="BL210" s="521" t="str">
        <f>IFERROR(IF(données_step[[#This Row],[E_DCO]]/données_step[[#This Row],[E_DBO5]]=0,NA(),données_step[[#This Row],[E_DCO]]/données_step[[#This Row],[E_DBO5]]),"")</f>
        <v/>
      </c>
      <c r="BM210" s="521" t="str">
        <f>IFERROR(IF(données_step[[#This Row],[E_NH4]]/données_step[[#This Row],[E_NTOT]]=0,NA(),données_step[[#This Row],[E_NH4]]/données_step[[#This Row],[E_NTOT]]),"")</f>
        <v/>
      </c>
      <c r="BN210" s="521" t="str">
        <f>IFERROR(IF(données_step[[#This Row],[E_NTOT]]/données_step[[#This Row],[E_COT]]=0,NA(),données_step[[#This Row],[E_NTOT]]/données_step[[#This Row],[E_COT]]),"")</f>
        <v/>
      </c>
      <c r="BO210" s="521" t="str">
        <f>IFERROR(IF(données_step[[#This Row],[E_PTOT]]/données_step[[#This Row],[E_COT]]=0,NA(),données_step[[#This Row],[E_PTOT]]/données_step[[#This Row],[E_COT]]),"")</f>
        <v/>
      </c>
      <c r="BP210" s="521" t="e">
        <f>IF(données_step[[#This Row],[E_DCO]]/données_step[[#This Row],[E_COT]]=0,NA(),données_step[[#This Row],[E_DCO]]/données_step[[#This Row],[E_COT]])</f>
        <v>#DIV/0!</v>
      </c>
      <c r="BQ210" s="521" t="e">
        <f>IF(données_step[[#This Row],[E_NTOT]]/données_step[[#This Row],[E_DCO]]=0,NA(),données_step[[#This Row],[E_NTOT]]/données_step[[#This Row],[E_DCO]])</f>
        <v>#DIV/0!</v>
      </c>
      <c r="BR210" s="521" t="e">
        <f>IF(données_step[[#This Row],[E_PTOT]]/données_step[[#This Row],[E_DCO]]=0,NA(),données_step[[#This Row],[E_PTOT]]/données_step[[#This Row],[E_DCO]])</f>
        <v>#DIV/0!</v>
      </c>
      <c r="BS210" s="747" t="e">
        <f ca="1">test_NH4_temp(données_step[[#This Row],[S_NH4]],données_step[[#This Row],[Temp_eaux]])</f>
        <v>#NAME?</v>
      </c>
    </row>
    <row r="211" spans="1:71" x14ac:dyDescent="0.2">
      <c r="A211" s="222">
        <f>données_step[[#This Row],[Datum]]</f>
        <v>44762</v>
      </c>
      <c r="B211" s="223"/>
      <c r="C211" s="224">
        <f t="shared" si="49"/>
        <v>4</v>
      </c>
      <c r="D211" s="523" t="str">
        <f>IF(OR(données_step[[#This Row],[E_DBO5]]&lt;=0,données_step[[#This Row],[E_DBO5]]=""),"",données_step[[#This Row],[D_QTRAI]]*données_step[[#This Row],[E_DBO5]]/1000)</f>
        <v/>
      </c>
      <c r="E211" s="523" t="str">
        <f>IF(OR(données_step[[#This Row],[E_DCO]]&lt;=0,données_step[[#This Row],[E_DCO]]=""),"",données_step[[#This Row],[D_QTRAI]]*données_step[[#This Row],[E_DCO]]/1000)</f>
        <v/>
      </c>
      <c r="F211" s="523" t="str">
        <f>IF(OR(données_step[[#This Row],[E_COT]]&lt;=0,données_step[[#This Row],[E_COT]]=""),"",données_step[[#This Row],[D_QTRAI]]*données_step[[#This Row],[E_COT]]/1000)</f>
        <v/>
      </c>
      <c r="G211" s="523" t="str">
        <f>IF(OR(données_step[[#This Row],[E_NH4]]&lt;=0,données_step[[#This Row],[E_NH4]]=""),"",données_step[[#This Row],[D_QTRAI]]*données_step[[#This Row],[E_NH4]]/1000)</f>
        <v/>
      </c>
      <c r="H211" s="523" t="str">
        <f>IF(OR(données_step[[#This Row],[E_NTOT]]&lt;=0,données_step[[#This Row],[E_NTOT]]=""),"",données_step[[#This Row],[D_QTRAI]]*données_step[[#This Row],[E_NTOT]]/1000)</f>
        <v/>
      </c>
      <c r="I211" s="523" t="str">
        <f>IF(OR(données_step[[#This Row],[E_NTOT]]&lt;=0,données_step[[#This Row],[E_NTOT]]=""),"",données_step[[#This Row],[D_QTRAI]]*données_step[[#This Row],[E_PTOT]]/1000)</f>
        <v/>
      </c>
      <c r="J211" s="523" t="str">
        <f>IF(OR(données_step[[#This Row],[S_DBO5]]&lt;=0,données_step[[#This Row],[S_DBO5]]=""),"",données_step[[#This Row],[D_QTRAI]]*données_step[[#This Row],[S_DBO5]]/1000)</f>
        <v/>
      </c>
      <c r="K211" s="523" t="str">
        <f>IF(OR(données_step[[#This Row],[S_DCO]]&lt;=0,données_step[[#This Row],[S_DCO]]=""),"",données_step[[#This Row],[D_QTRAI]]*données_step[[#This Row],[S_DCO]]/1000)</f>
        <v/>
      </c>
      <c r="L211" s="523" t="str">
        <f>IF(OR(données_step[[#This Row],[S_COD]]&lt;=0,données_step[[#This Row],[S_COD]]=""),"",données_step[[#This Row],[D_QTRAI]]*données_step[[#This Row],[S_COD]]/1000)</f>
        <v/>
      </c>
      <c r="M211" s="523" t="str">
        <f>IF(OR(données_step[[#This Row],[S_NH4]]&lt;=0,données_step[[#This Row],[S_NH4]]=""),"",données_step[[#This Row],[D_QTRAI]]*données_step[[#This Row],[S_NH4]]/1000)</f>
        <v/>
      </c>
      <c r="N211" s="523" t="str">
        <f>IF(OR(données_step[[#This Row],[S_NO2]]&lt;=0,données_step[[#This Row],[S_NO2]]=""),"",données_step[[#This Row],[D_QTRAI]]*données_step[[#This Row],[S_NO2]]/1000)</f>
        <v/>
      </c>
      <c r="O211" s="523" t="str">
        <f>IF(OR(données_step[[#This Row],[S_NO3]]&lt;=0,données_step[[#This Row],[S_NO3]]=""),"",données_step[[#This Row],[D_QTRAI]]*données_step[[#This Row],[S_NO3]]/1000)</f>
        <v/>
      </c>
      <c r="P211" s="523" t="str">
        <f>IF(OR(données_step[[#This Row],[S_PTOT]]&lt;=0,données_step[[#This Row],[S_PTOT]]=""),"",données_step[[#This Row],[D_QTRAI]]*données_step[[#This Row],[S_PTOT]]/1000)</f>
        <v/>
      </c>
      <c r="Q211" s="523" t="str">
        <f>IF(OR(données_step[[#This Row],[S_MES]]&lt;=0,données_step[[#This Row],[S_MES]]=""),"",données_step[[#This Row],[D_QTRAI]]*données_step[[#This Row],[S_MES]]/1000)</f>
        <v/>
      </c>
      <c r="R211" s="523">
        <f>MAX(données_step[[#This Row],[D_QTRAI]],données_step[[#This Row],[D_QTRAI2]])</f>
        <v>0</v>
      </c>
      <c r="S211" s="523" t="str">
        <f>IF(AND($R211&gt;0,données_step[[#This Row],[E_DCO]]&gt;0),données_step[[#This Row],[E_DCO]],"")</f>
        <v/>
      </c>
      <c r="T211" s="523" t="str">
        <f>IF(S211="","",(1-données_step[[#This Row],[E_DCO]]/$V$7)*100)</f>
        <v/>
      </c>
      <c r="U211" s="523" t="str">
        <f t="shared" si="50"/>
        <v/>
      </c>
      <c r="V211" s="523" t="str">
        <f t="shared" si="51"/>
        <v/>
      </c>
      <c r="W211" s="523" t="str">
        <f t="shared" si="52"/>
        <v/>
      </c>
      <c r="X211" s="523" t="e">
        <f>IF(((100-100/$V$7*données_step[[#This Row],[E_DCO]])/100*QTS)&lt;0,NA(),IF(OR(U211&lt;0,U211=""),NA(),((100-100/$V$7*données_step[[#This Row],[E_DCO]])/100*QTS)))</f>
        <v>#NUM!</v>
      </c>
      <c r="Y211" s="523" t="str">
        <f>IF(AND($R211&gt;0,données_step[[#This Row],[E_COT]]&gt;0),données_step[[#This Row],[E_COT]],"")</f>
        <v/>
      </c>
      <c r="Z211" s="523" t="str">
        <f>IF(Y211="","",(1-données_step[[#This Row],[E_COT]]/$AB$7)*100)</f>
        <v/>
      </c>
      <c r="AA211" s="523" t="str">
        <f t="shared" si="53"/>
        <v/>
      </c>
      <c r="AB211" s="523" t="str">
        <f t="shared" si="54"/>
        <v/>
      </c>
      <c r="AC211" s="523" t="str">
        <f t="shared" si="55"/>
        <v/>
      </c>
      <c r="AD211" s="523" t="e">
        <f>IF(((100-100/$AB$7*données_step[[#This Row],[E_COT]])/100*QTS)&lt;0,NA(),IF(OR(AA211&lt;0,AA211=""),NA(),((100-100/$AB$7*données_step[[#This Row],[E_COT]])/100*QTS)))</f>
        <v>#NUM!</v>
      </c>
      <c r="AE211" s="523" t="str">
        <f>IF(AND($R211&gt;0,données_step[[#This Row],[E_NH4]]&gt;0),données_step[[#This Row],[E_NH4]],"")</f>
        <v/>
      </c>
      <c r="AF211" s="523" t="str">
        <f>IF(AE211="","",(1-données_step[[#This Row],[E_NH4]]/$AH$7)*100)</f>
        <v/>
      </c>
      <c r="AG211" s="523" t="str">
        <f t="shared" si="56"/>
        <v/>
      </c>
      <c r="AH211" s="523" t="str">
        <f t="shared" si="57"/>
        <v/>
      </c>
      <c r="AI211" s="523" t="str">
        <f t="shared" si="58"/>
        <v/>
      </c>
      <c r="AJ211" s="523" t="e">
        <f>IF(((100-100/$AH$7*données_step[[#This Row],[E_NH4]])/100*QTS)&lt;0,NA(),IF(OR(AG211&lt;0,AG211=""),NA(),((100-100/$AH$7*données_step[[#This Row],[E_NH4]])/100*QTS)))</f>
        <v>#NUM!</v>
      </c>
      <c r="AK211" s="523" t="str">
        <f>IF(AND($R211&gt;0,données_step[[#This Row],[E_PTOT]]&gt;0),données_step[[#This Row],[E_PTOT]],"")</f>
        <v/>
      </c>
      <c r="AL211" s="523" t="str">
        <f>IF(AK211="","",(1-données_step[[#This Row],[E_PTOT]]/$AN$7)*100)</f>
        <v/>
      </c>
      <c r="AM211" s="523" t="str">
        <f t="shared" si="59"/>
        <v/>
      </c>
      <c r="AN211" s="523" t="str">
        <f t="shared" si="60"/>
        <v/>
      </c>
      <c r="AO211" s="523" t="str">
        <f t="shared" si="61"/>
        <v/>
      </c>
      <c r="AP211" s="523" t="e">
        <f>IF(((100-100/$AN$7*données_step[[#This Row],[E_PTOT]])/100*QTS)&lt;0,NA(),IF(OR(AM211&lt;0,AM211=""),NA(),((100-100/$AN$7*données_step[[#This Row],[E_PTOT]])/100*QTS)))</f>
        <v>#NUM!</v>
      </c>
      <c r="AQ211" s="524" t="e">
        <f t="shared" si="62"/>
        <v>#NUM!</v>
      </c>
      <c r="AR211" s="524" t="str">
        <f t="shared" si="63"/>
        <v/>
      </c>
      <c r="AY211" s="523" t="str">
        <f>_xlfn.IFNA(IF(données_step[[#This Row],[E_DCO]]&lt;=0,NA(),charge_entree[[#This Row],[ch_E_DCO]]/constanten!$B$8*1000),"")</f>
        <v/>
      </c>
      <c r="AZ211" s="523" t="str">
        <f>_xlfn.IFNA(IF(données_step[[#This Row],[E_NTOT]]&lt;=0,NA(),charge_entree[[#This Row],[ch_E_NTOT]]/constanten!$B$10*1000),"")</f>
        <v/>
      </c>
      <c r="BA211" s="523" t="str">
        <f>_xlfn.IFNA(IF(données_step[[#This Row],[E_NH4]]&lt;=0,NA(),charge_entree[[#This Row],[ch_E_NH4]]/constanten!$B$12*1000),"")</f>
        <v/>
      </c>
      <c r="BB211" s="523" t="str">
        <f>_xlfn.IFNA(IF(données_step[[#This Row],[E_COT]]&lt;=0,NA(),charge_entree[[#This Row],[ch_E_COT]]/constanten!$B$9*1000),"")</f>
        <v/>
      </c>
      <c r="BC211" s="523" t="str">
        <f>IFERROR(_xlfn.IFNA(IF(données_step[[#This Row],[E_PTOT]]&lt;=0,NA(),charge_entree[[#This Row],[ch_E_PTOT]]/constanten!$B$15*1000),""),"")</f>
        <v/>
      </c>
      <c r="BD211" s="535" t="e">
        <f>calculs!E211 * (1-0.4) / (données_step[[#This Row],[X_BA_VOL]]*données_step[[#This Row],[X_BACONC]])</f>
        <v>#VALUE!</v>
      </c>
      <c r="BE211" s="522" t="e">
        <f>(données_step[[#This Row],[X_BA_VOL]]*données_step[[#This Row],[X_BACONC]])/((données_step[[#This Row],[D_QTRAI2]]*données_step[[#This Row],[S_MES]]/1000)+(données_step[[#This Row],[X_BX_Q]]*données_step[[#This Row],[X_BXCONC]]))</f>
        <v>#VALUE!</v>
      </c>
      <c r="BF211" s="890" t="str">
        <f>IFERROR(données_step[[#This Row],[D_QTRAI]]/AY211*1000,"")</f>
        <v/>
      </c>
      <c r="BG211" s="535" t="str">
        <f>IFERROR(1-données_step[[#This Row],[S_DBO5]]/données_step[[#This Row],[E_DBO5]],"")</f>
        <v/>
      </c>
      <c r="BH211" s="536" t="str">
        <f>IFERROR(1-données_step[[#This Row],[S_DCO]]/données_step[[#This Row],[E_DCO]],"")</f>
        <v/>
      </c>
      <c r="BI211" s="535" t="str">
        <f>IFERROR(1-données_step[[#This Row],[S_COD]]/données_step[[#This Row],[E_COT]],"")</f>
        <v/>
      </c>
      <c r="BJ211" s="535" t="str">
        <f>IFERROR(1-données_step[[#This Row],[S_NH4]]/données_step[[#This Row],[E_NTOT]],"")</f>
        <v/>
      </c>
      <c r="BK211" s="535" t="str">
        <f>IFERROR(1-données_step[[#This Row],[S_PTOT]]/données_step[[#This Row],[E_PTOT]],"")</f>
        <v/>
      </c>
      <c r="BL211" s="521" t="str">
        <f>IFERROR(IF(données_step[[#This Row],[E_DCO]]/données_step[[#This Row],[E_DBO5]]=0,NA(),données_step[[#This Row],[E_DCO]]/données_step[[#This Row],[E_DBO5]]),"")</f>
        <v/>
      </c>
      <c r="BM211" s="521" t="str">
        <f>IFERROR(IF(données_step[[#This Row],[E_NH4]]/données_step[[#This Row],[E_NTOT]]=0,NA(),données_step[[#This Row],[E_NH4]]/données_step[[#This Row],[E_NTOT]]),"")</f>
        <v/>
      </c>
      <c r="BN211" s="521" t="str">
        <f>IFERROR(IF(données_step[[#This Row],[E_NTOT]]/données_step[[#This Row],[E_COT]]=0,NA(),données_step[[#This Row],[E_NTOT]]/données_step[[#This Row],[E_COT]]),"")</f>
        <v/>
      </c>
      <c r="BO211" s="521" t="str">
        <f>IFERROR(IF(données_step[[#This Row],[E_PTOT]]/données_step[[#This Row],[E_COT]]=0,NA(),données_step[[#This Row],[E_PTOT]]/données_step[[#This Row],[E_COT]]),"")</f>
        <v/>
      </c>
      <c r="BP211" s="521" t="e">
        <f>IF(données_step[[#This Row],[E_DCO]]/données_step[[#This Row],[E_COT]]=0,NA(),données_step[[#This Row],[E_DCO]]/données_step[[#This Row],[E_COT]])</f>
        <v>#DIV/0!</v>
      </c>
      <c r="BQ211" s="521" t="e">
        <f>IF(données_step[[#This Row],[E_NTOT]]/données_step[[#This Row],[E_DCO]]=0,NA(),données_step[[#This Row],[E_NTOT]]/données_step[[#This Row],[E_DCO]])</f>
        <v>#DIV/0!</v>
      </c>
      <c r="BR211" s="521" t="e">
        <f>IF(données_step[[#This Row],[E_PTOT]]/données_step[[#This Row],[E_DCO]]=0,NA(),données_step[[#This Row],[E_PTOT]]/données_step[[#This Row],[E_DCO]])</f>
        <v>#DIV/0!</v>
      </c>
      <c r="BS211" s="747" t="e">
        <f ca="1">test_NH4_temp(données_step[[#This Row],[S_NH4]],données_step[[#This Row],[Temp_eaux]])</f>
        <v>#NAME?</v>
      </c>
    </row>
    <row r="212" spans="1:71" x14ac:dyDescent="0.2">
      <c r="A212" s="222">
        <f>données_step[[#This Row],[Datum]]</f>
        <v>44763</v>
      </c>
      <c r="B212" s="223"/>
      <c r="C212" s="224">
        <f t="shared" si="49"/>
        <v>5</v>
      </c>
      <c r="D212" s="523" t="str">
        <f>IF(OR(données_step[[#This Row],[E_DBO5]]&lt;=0,données_step[[#This Row],[E_DBO5]]=""),"",données_step[[#This Row],[D_QTRAI]]*données_step[[#This Row],[E_DBO5]]/1000)</f>
        <v/>
      </c>
      <c r="E212" s="523" t="str">
        <f>IF(OR(données_step[[#This Row],[E_DCO]]&lt;=0,données_step[[#This Row],[E_DCO]]=""),"",données_step[[#This Row],[D_QTRAI]]*données_step[[#This Row],[E_DCO]]/1000)</f>
        <v/>
      </c>
      <c r="F212" s="523" t="str">
        <f>IF(OR(données_step[[#This Row],[E_COT]]&lt;=0,données_step[[#This Row],[E_COT]]=""),"",données_step[[#This Row],[D_QTRAI]]*données_step[[#This Row],[E_COT]]/1000)</f>
        <v/>
      </c>
      <c r="G212" s="523" t="str">
        <f>IF(OR(données_step[[#This Row],[E_NH4]]&lt;=0,données_step[[#This Row],[E_NH4]]=""),"",données_step[[#This Row],[D_QTRAI]]*données_step[[#This Row],[E_NH4]]/1000)</f>
        <v/>
      </c>
      <c r="H212" s="523" t="str">
        <f>IF(OR(données_step[[#This Row],[E_NTOT]]&lt;=0,données_step[[#This Row],[E_NTOT]]=""),"",données_step[[#This Row],[D_QTRAI]]*données_step[[#This Row],[E_NTOT]]/1000)</f>
        <v/>
      </c>
      <c r="I212" s="523" t="str">
        <f>IF(OR(données_step[[#This Row],[E_NTOT]]&lt;=0,données_step[[#This Row],[E_NTOT]]=""),"",données_step[[#This Row],[D_QTRAI]]*données_step[[#This Row],[E_PTOT]]/1000)</f>
        <v/>
      </c>
      <c r="J212" s="523" t="str">
        <f>IF(OR(données_step[[#This Row],[S_DBO5]]&lt;=0,données_step[[#This Row],[S_DBO5]]=""),"",données_step[[#This Row],[D_QTRAI]]*données_step[[#This Row],[S_DBO5]]/1000)</f>
        <v/>
      </c>
      <c r="K212" s="523" t="str">
        <f>IF(OR(données_step[[#This Row],[S_DCO]]&lt;=0,données_step[[#This Row],[S_DCO]]=""),"",données_step[[#This Row],[D_QTRAI]]*données_step[[#This Row],[S_DCO]]/1000)</f>
        <v/>
      </c>
      <c r="L212" s="523" t="str">
        <f>IF(OR(données_step[[#This Row],[S_COD]]&lt;=0,données_step[[#This Row],[S_COD]]=""),"",données_step[[#This Row],[D_QTRAI]]*données_step[[#This Row],[S_COD]]/1000)</f>
        <v/>
      </c>
      <c r="M212" s="523" t="str">
        <f>IF(OR(données_step[[#This Row],[S_NH4]]&lt;=0,données_step[[#This Row],[S_NH4]]=""),"",données_step[[#This Row],[D_QTRAI]]*données_step[[#This Row],[S_NH4]]/1000)</f>
        <v/>
      </c>
      <c r="N212" s="523" t="str">
        <f>IF(OR(données_step[[#This Row],[S_NO2]]&lt;=0,données_step[[#This Row],[S_NO2]]=""),"",données_step[[#This Row],[D_QTRAI]]*données_step[[#This Row],[S_NO2]]/1000)</f>
        <v/>
      </c>
      <c r="O212" s="523" t="str">
        <f>IF(OR(données_step[[#This Row],[S_NO3]]&lt;=0,données_step[[#This Row],[S_NO3]]=""),"",données_step[[#This Row],[D_QTRAI]]*données_step[[#This Row],[S_NO3]]/1000)</f>
        <v/>
      </c>
      <c r="P212" s="523" t="str">
        <f>IF(OR(données_step[[#This Row],[S_PTOT]]&lt;=0,données_step[[#This Row],[S_PTOT]]=""),"",données_step[[#This Row],[D_QTRAI]]*données_step[[#This Row],[S_PTOT]]/1000)</f>
        <v/>
      </c>
      <c r="Q212" s="523" t="str">
        <f>IF(OR(données_step[[#This Row],[S_MES]]&lt;=0,données_step[[#This Row],[S_MES]]=""),"",données_step[[#This Row],[D_QTRAI]]*données_step[[#This Row],[S_MES]]/1000)</f>
        <v/>
      </c>
      <c r="R212" s="523">
        <f>MAX(données_step[[#This Row],[D_QTRAI]],données_step[[#This Row],[D_QTRAI2]])</f>
        <v>0</v>
      </c>
      <c r="S212" s="523" t="str">
        <f>IF(AND($R212&gt;0,données_step[[#This Row],[E_DCO]]&gt;0),données_step[[#This Row],[E_DCO]],"")</f>
        <v/>
      </c>
      <c r="T212" s="523" t="str">
        <f>IF(S212="","",(1-données_step[[#This Row],[E_DCO]]/$V$7)*100)</f>
        <v/>
      </c>
      <c r="U212" s="523" t="str">
        <f t="shared" si="50"/>
        <v/>
      </c>
      <c r="V212" s="523" t="str">
        <f t="shared" si="51"/>
        <v/>
      </c>
      <c r="W212" s="523" t="str">
        <f t="shared" si="52"/>
        <v/>
      </c>
      <c r="X212" s="523" t="e">
        <f>IF(((100-100/$V$7*données_step[[#This Row],[E_DCO]])/100*QTS)&lt;0,NA(),IF(OR(U212&lt;0,U212=""),NA(),((100-100/$V$7*données_step[[#This Row],[E_DCO]])/100*QTS)))</f>
        <v>#NUM!</v>
      </c>
      <c r="Y212" s="523" t="str">
        <f>IF(AND($R212&gt;0,données_step[[#This Row],[E_COT]]&gt;0),données_step[[#This Row],[E_COT]],"")</f>
        <v/>
      </c>
      <c r="Z212" s="523" t="str">
        <f>IF(Y212="","",(1-données_step[[#This Row],[E_COT]]/$AB$7)*100)</f>
        <v/>
      </c>
      <c r="AA212" s="523" t="str">
        <f t="shared" si="53"/>
        <v/>
      </c>
      <c r="AB212" s="523" t="str">
        <f t="shared" si="54"/>
        <v/>
      </c>
      <c r="AC212" s="523" t="str">
        <f t="shared" si="55"/>
        <v/>
      </c>
      <c r="AD212" s="523" t="e">
        <f>IF(((100-100/$AB$7*données_step[[#This Row],[E_COT]])/100*QTS)&lt;0,NA(),IF(OR(AA212&lt;0,AA212=""),NA(),((100-100/$AB$7*données_step[[#This Row],[E_COT]])/100*QTS)))</f>
        <v>#NUM!</v>
      </c>
      <c r="AE212" s="523" t="str">
        <f>IF(AND($R212&gt;0,données_step[[#This Row],[E_NH4]]&gt;0),données_step[[#This Row],[E_NH4]],"")</f>
        <v/>
      </c>
      <c r="AF212" s="523" t="str">
        <f>IF(AE212="","",(1-données_step[[#This Row],[E_NH4]]/$AH$7)*100)</f>
        <v/>
      </c>
      <c r="AG212" s="523" t="str">
        <f t="shared" si="56"/>
        <v/>
      </c>
      <c r="AH212" s="523" t="str">
        <f t="shared" si="57"/>
        <v/>
      </c>
      <c r="AI212" s="523" t="str">
        <f t="shared" si="58"/>
        <v/>
      </c>
      <c r="AJ212" s="523" t="e">
        <f>IF(((100-100/$AH$7*données_step[[#This Row],[E_NH4]])/100*QTS)&lt;0,NA(),IF(OR(AG212&lt;0,AG212=""),NA(),((100-100/$AH$7*données_step[[#This Row],[E_NH4]])/100*QTS)))</f>
        <v>#NUM!</v>
      </c>
      <c r="AK212" s="523" t="str">
        <f>IF(AND($R212&gt;0,données_step[[#This Row],[E_PTOT]]&gt;0),données_step[[#This Row],[E_PTOT]],"")</f>
        <v/>
      </c>
      <c r="AL212" s="523" t="str">
        <f>IF(AK212="","",(1-données_step[[#This Row],[E_PTOT]]/$AN$7)*100)</f>
        <v/>
      </c>
      <c r="AM212" s="523" t="str">
        <f t="shared" si="59"/>
        <v/>
      </c>
      <c r="AN212" s="523" t="str">
        <f t="shared" si="60"/>
        <v/>
      </c>
      <c r="AO212" s="523" t="str">
        <f t="shared" si="61"/>
        <v/>
      </c>
      <c r="AP212" s="523" t="e">
        <f>IF(((100-100/$AN$7*données_step[[#This Row],[E_PTOT]])/100*QTS)&lt;0,NA(),IF(OR(AM212&lt;0,AM212=""),NA(),((100-100/$AN$7*données_step[[#This Row],[E_PTOT]])/100*QTS)))</f>
        <v>#NUM!</v>
      </c>
      <c r="AQ212" s="524" t="e">
        <f t="shared" si="62"/>
        <v>#NUM!</v>
      </c>
      <c r="AR212" s="524" t="str">
        <f t="shared" si="63"/>
        <v/>
      </c>
      <c r="AY212" s="523" t="str">
        <f>_xlfn.IFNA(IF(données_step[[#This Row],[E_DCO]]&lt;=0,NA(),charge_entree[[#This Row],[ch_E_DCO]]/constanten!$B$8*1000),"")</f>
        <v/>
      </c>
      <c r="AZ212" s="523" t="str">
        <f>_xlfn.IFNA(IF(données_step[[#This Row],[E_NTOT]]&lt;=0,NA(),charge_entree[[#This Row],[ch_E_NTOT]]/constanten!$B$10*1000),"")</f>
        <v/>
      </c>
      <c r="BA212" s="523" t="str">
        <f>_xlfn.IFNA(IF(données_step[[#This Row],[E_NH4]]&lt;=0,NA(),charge_entree[[#This Row],[ch_E_NH4]]/constanten!$B$12*1000),"")</f>
        <v/>
      </c>
      <c r="BB212" s="523" t="str">
        <f>_xlfn.IFNA(IF(données_step[[#This Row],[E_COT]]&lt;=0,NA(),charge_entree[[#This Row],[ch_E_COT]]/constanten!$B$9*1000),"")</f>
        <v/>
      </c>
      <c r="BC212" s="523" t="str">
        <f>IFERROR(_xlfn.IFNA(IF(données_step[[#This Row],[E_PTOT]]&lt;=0,NA(),charge_entree[[#This Row],[ch_E_PTOT]]/constanten!$B$15*1000),""),"")</f>
        <v/>
      </c>
      <c r="BD212" s="535" t="e">
        <f>calculs!E212 * (1-0.4) / (données_step[[#This Row],[X_BA_VOL]]*données_step[[#This Row],[X_BACONC]])</f>
        <v>#VALUE!</v>
      </c>
      <c r="BE212" s="522" t="e">
        <f>(données_step[[#This Row],[X_BA_VOL]]*données_step[[#This Row],[X_BACONC]])/((données_step[[#This Row],[D_QTRAI2]]*données_step[[#This Row],[S_MES]]/1000)+(données_step[[#This Row],[X_BX_Q]]*données_step[[#This Row],[X_BXCONC]]))</f>
        <v>#VALUE!</v>
      </c>
      <c r="BF212" s="890" t="str">
        <f>IFERROR(données_step[[#This Row],[D_QTRAI]]/AY212*1000,"")</f>
        <v/>
      </c>
      <c r="BG212" s="535" t="str">
        <f>IFERROR(1-données_step[[#This Row],[S_DBO5]]/données_step[[#This Row],[E_DBO5]],"")</f>
        <v/>
      </c>
      <c r="BH212" s="536" t="str">
        <f>IFERROR(1-données_step[[#This Row],[S_DCO]]/données_step[[#This Row],[E_DCO]],"")</f>
        <v/>
      </c>
      <c r="BI212" s="535" t="str">
        <f>IFERROR(1-données_step[[#This Row],[S_COD]]/données_step[[#This Row],[E_COT]],"")</f>
        <v/>
      </c>
      <c r="BJ212" s="535" t="str">
        <f>IFERROR(1-données_step[[#This Row],[S_NH4]]/données_step[[#This Row],[E_NTOT]],"")</f>
        <v/>
      </c>
      <c r="BK212" s="535" t="str">
        <f>IFERROR(1-données_step[[#This Row],[S_PTOT]]/données_step[[#This Row],[E_PTOT]],"")</f>
        <v/>
      </c>
      <c r="BL212" s="521" t="str">
        <f>IFERROR(IF(données_step[[#This Row],[E_DCO]]/données_step[[#This Row],[E_DBO5]]=0,NA(),données_step[[#This Row],[E_DCO]]/données_step[[#This Row],[E_DBO5]]),"")</f>
        <v/>
      </c>
      <c r="BM212" s="521" t="str">
        <f>IFERROR(IF(données_step[[#This Row],[E_NH4]]/données_step[[#This Row],[E_NTOT]]=0,NA(),données_step[[#This Row],[E_NH4]]/données_step[[#This Row],[E_NTOT]]),"")</f>
        <v/>
      </c>
      <c r="BN212" s="521" t="str">
        <f>IFERROR(IF(données_step[[#This Row],[E_NTOT]]/données_step[[#This Row],[E_COT]]=0,NA(),données_step[[#This Row],[E_NTOT]]/données_step[[#This Row],[E_COT]]),"")</f>
        <v/>
      </c>
      <c r="BO212" s="521" t="str">
        <f>IFERROR(IF(données_step[[#This Row],[E_PTOT]]/données_step[[#This Row],[E_COT]]=0,NA(),données_step[[#This Row],[E_PTOT]]/données_step[[#This Row],[E_COT]]),"")</f>
        <v/>
      </c>
      <c r="BP212" s="521" t="e">
        <f>IF(données_step[[#This Row],[E_DCO]]/données_step[[#This Row],[E_COT]]=0,NA(),données_step[[#This Row],[E_DCO]]/données_step[[#This Row],[E_COT]])</f>
        <v>#DIV/0!</v>
      </c>
      <c r="BQ212" s="521" t="e">
        <f>IF(données_step[[#This Row],[E_NTOT]]/données_step[[#This Row],[E_DCO]]=0,NA(),données_step[[#This Row],[E_NTOT]]/données_step[[#This Row],[E_DCO]])</f>
        <v>#DIV/0!</v>
      </c>
      <c r="BR212" s="521" t="e">
        <f>IF(données_step[[#This Row],[E_PTOT]]/données_step[[#This Row],[E_DCO]]=0,NA(),données_step[[#This Row],[E_PTOT]]/données_step[[#This Row],[E_DCO]])</f>
        <v>#DIV/0!</v>
      </c>
      <c r="BS212" s="747" t="e">
        <f ca="1">test_NH4_temp(données_step[[#This Row],[S_NH4]],données_step[[#This Row],[Temp_eaux]])</f>
        <v>#NAME?</v>
      </c>
    </row>
    <row r="213" spans="1:71" x14ac:dyDescent="0.2">
      <c r="A213" s="222">
        <f>données_step[[#This Row],[Datum]]</f>
        <v>44764</v>
      </c>
      <c r="B213" s="223"/>
      <c r="C213" s="224">
        <f t="shared" si="49"/>
        <v>6</v>
      </c>
      <c r="D213" s="523" t="str">
        <f>IF(OR(données_step[[#This Row],[E_DBO5]]&lt;=0,données_step[[#This Row],[E_DBO5]]=""),"",données_step[[#This Row],[D_QTRAI]]*données_step[[#This Row],[E_DBO5]]/1000)</f>
        <v/>
      </c>
      <c r="E213" s="523" t="str">
        <f>IF(OR(données_step[[#This Row],[E_DCO]]&lt;=0,données_step[[#This Row],[E_DCO]]=""),"",données_step[[#This Row],[D_QTRAI]]*données_step[[#This Row],[E_DCO]]/1000)</f>
        <v/>
      </c>
      <c r="F213" s="523" t="str">
        <f>IF(OR(données_step[[#This Row],[E_COT]]&lt;=0,données_step[[#This Row],[E_COT]]=""),"",données_step[[#This Row],[D_QTRAI]]*données_step[[#This Row],[E_COT]]/1000)</f>
        <v/>
      </c>
      <c r="G213" s="523" t="str">
        <f>IF(OR(données_step[[#This Row],[E_NH4]]&lt;=0,données_step[[#This Row],[E_NH4]]=""),"",données_step[[#This Row],[D_QTRAI]]*données_step[[#This Row],[E_NH4]]/1000)</f>
        <v/>
      </c>
      <c r="H213" s="523" t="str">
        <f>IF(OR(données_step[[#This Row],[E_NTOT]]&lt;=0,données_step[[#This Row],[E_NTOT]]=""),"",données_step[[#This Row],[D_QTRAI]]*données_step[[#This Row],[E_NTOT]]/1000)</f>
        <v/>
      </c>
      <c r="I213" s="523" t="str">
        <f>IF(OR(données_step[[#This Row],[E_NTOT]]&lt;=0,données_step[[#This Row],[E_NTOT]]=""),"",données_step[[#This Row],[D_QTRAI]]*données_step[[#This Row],[E_PTOT]]/1000)</f>
        <v/>
      </c>
      <c r="J213" s="523" t="str">
        <f>IF(OR(données_step[[#This Row],[S_DBO5]]&lt;=0,données_step[[#This Row],[S_DBO5]]=""),"",données_step[[#This Row],[D_QTRAI]]*données_step[[#This Row],[S_DBO5]]/1000)</f>
        <v/>
      </c>
      <c r="K213" s="523" t="str">
        <f>IF(OR(données_step[[#This Row],[S_DCO]]&lt;=0,données_step[[#This Row],[S_DCO]]=""),"",données_step[[#This Row],[D_QTRAI]]*données_step[[#This Row],[S_DCO]]/1000)</f>
        <v/>
      </c>
      <c r="L213" s="523" t="str">
        <f>IF(OR(données_step[[#This Row],[S_COD]]&lt;=0,données_step[[#This Row],[S_COD]]=""),"",données_step[[#This Row],[D_QTRAI]]*données_step[[#This Row],[S_COD]]/1000)</f>
        <v/>
      </c>
      <c r="M213" s="523" t="str">
        <f>IF(OR(données_step[[#This Row],[S_NH4]]&lt;=0,données_step[[#This Row],[S_NH4]]=""),"",données_step[[#This Row],[D_QTRAI]]*données_step[[#This Row],[S_NH4]]/1000)</f>
        <v/>
      </c>
      <c r="N213" s="523" t="str">
        <f>IF(OR(données_step[[#This Row],[S_NO2]]&lt;=0,données_step[[#This Row],[S_NO2]]=""),"",données_step[[#This Row],[D_QTRAI]]*données_step[[#This Row],[S_NO2]]/1000)</f>
        <v/>
      </c>
      <c r="O213" s="523" t="str">
        <f>IF(OR(données_step[[#This Row],[S_NO3]]&lt;=0,données_step[[#This Row],[S_NO3]]=""),"",données_step[[#This Row],[D_QTRAI]]*données_step[[#This Row],[S_NO3]]/1000)</f>
        <v/>
      </c>
      <c r="P213" s="523" t="str">
        <f>IF(OR(données_step[[#This Row],[S_PTOT]]&lt;=0,données_step[[#This Row],[S_PTOT]]=""),"",données_step[[#This Row],[D_QTRAI]]*données_step[[#This Row],[S_PTOT]]/1000)</f>
        <v/>
      </c>
      <c r="Q213" s="523" t="str">
        <f>IF(OR(données_step[[#This Row],[S_MES]]&lt;=0,données_step[[#This Row],[S_MES]]=""),"",données_step[[#This Row],[D_QTRAI]]*données_step[[#This Row],[S_MES]]/1000)</f>
        <v/>
      </c>
      <c r="R213" s="523">
        <f>MAX(données_step[[#This Row],[D_QTRAI]],données_step[[#This Row],[D_QTRAI2]])</f>
        <v>0</v>
      </c>
      <c r="S213" s="523" t="str">
        <f>IF(AND($R213&gt;0,données_step[[#This Row],[E_DCO]]&gt;0),données_step[[#This Row],[E_DCO]],"")</f>
        <v/>
      </c>
      <c r="T213" s="523" t="str">
        <f>IF(S213="","",(1-données_step[[#This Row],[E_DCO]]/$V$7)*100)</f>
        <v/>
      </c>
      <c r="U213" s="523" t="str">
        <f t="shared" si="50"/>
        <v/>
      </c>
      <c r="V213" s="523" t="str">
        <f t="shared" si="51"/>
        <v/>
      </c>
      <c r="W213" s="523" t="str">
        <f t="shared" si="52"/>
        <v/>
      </c>
      <c r="X213" s="523" t="e">
        <f>IF(((100-100/$V$7*données_step[[#This Row],[E_DCO]])/100*QTS)&lt;0,NA(),IF(OR(U213&lt;0,U213=""),NA(),((100-100/$V$7*données_step[[#This Row],[E_DCO]])/100*QTS)))</f>
        <v>#NUM!</v>
      </c>
      <c r="Y213" s="523" t="str">
        <f>IF(AND($R213&gt;0,données_step[[#This Row],[E_COT]]&gt;0),données_step[[#This Row],[E_COT]],"")</f>
        <v/>
      </c>
      <c r="Z213" s="523" t="str">
        <f>IF(Y213="","",(1-données_step[[#This Row],[E_COT]]/$AB$7)*100)</f>
        <v/>
      </c>
      <c r="AA213" s="523" t="str">
        <f t="shared" si="53"/>
        <v/>
      </c>
      <c r="AB213" s="523" t="str">
        <f t="shared" si="54"/>
        <v/>
      </c>
      <c r="AC213" s="523" t="str">
        <f t="shared" si="55"/>
        <v/>
      </c>
      <c r="AD213" s="523" t="e">
        <f>IF(((100-100/$AB$7*données_step[[#This Row],[E_COT]])/100*QTS)&lt;0,NA(),IF(OR(AA213&lt;0,AA213=""),NA(),((100-100/$AB$7*données_step[[#This Row],[E_COT]])/100*QTS)))</f>
        <v>#NUM!</v>
      </c>
      <c r="AE213" s="523" t="str">
        <f>IF(AND($R213&gt;0,données_step[[#This Row],[E_NH4]]&gt;0),données_step[[#This Row],[E_NH4]],"")</f>
        <v/>
      </c>
      <c r="AF213" s="523" t="str">
        <f>IF(AE213="","",(1-données_step[[#This Row],[E_NH4]]/$AH$7)*100)</f>
        <v/>
      </c>
      <c r="AG213" s="523" t="str">
        <f t="shared" si="56"/>
        <v/>
      </c>
      <c r="AH213" s="523" t="str">
        <f t="shared" si="57"/>
        <v/>
      </c>
      <c r="AI213" s="523" t="str">
        <f t="shared" si="58"/>
        <v/>
      </c>
      <c r="AJ213" s="523" t="e">
        <f>IF(((100-100/$AH$7*données_step[[#This Row],[E_NH4]])/100*QTS)&lt;0,NA(),IF(OR(AG213&lt;0,AG213=""),NA(),((100-100/$AH$7*données_step[[#This Row],[E_NH4]])/100*QTS)))</f>
        <v>#NUM!</v>
      </c>
      <c r="AK213" s="523" t="str">
        <f>IF(AND($R213&gt;0,données_step[[#This Row],[E_PTOT]]&gt;0),données_step[[#This Row],[E_PTOT]],"")</f>
        <v/>
      </c>
      <c r="AL213" s="523" t="str">
        <f>IF(AK213="","",(1-données_step[[#This Row],[E_PTOT]]/$AN$7)*100)</f>
        <v/>
      </c>
      <c r="AM213" s="523" t="str">
        <f t="shared" si="59"/>
        <v/>
      </c>
      <c r="AN213" s="523" t="str">
        <f t="shared" si="60"/>
        <v/>
      </c>
      <c r="AO213" s="523" t="str">
        <f t="shared" si="61"/>
        <v/>
      </c>
      <c r="AP213" s="523" t="e">
        <f>IF(((100-100/$AN$7*données_step[[#This Row],[E_PTOT]])/100*QTS)&lt;0,NA(),IF(OR(AM213&lt;0,AM213=""),NA(),((100-100/$AN$7*données_step[[#This Row],[E_PTOT]])/100*QTS)))</f>
        <v>#NUM!</v>
      </c>
      <c r="AQ213" s="524" t="e">
        <f t="shared" si="62"/>
        <v>#NUM!</v>
      </c>
      <c r="AR213" s="524" t="str">
        <f t="shared" si="63"/>
        <v/>
      </c>
      <c r="AY213" s="523" t="str">
        <f>_xlfn.IFNA(IF(données_step[[#This Row],[E_DCO]]&lt;=0,NA(),charge_entree[[#This Row],[ch_E_DCO]]/constanten!$B$8*1000),"")</f>
        <v/>
      </c>
      <c r="AZ213" s="523" t="str">
        <f>_xlfn.IFNA(IF(données_step[[#This Row],[E_NTOT]]&lt;=0,NA(),charge_entree[[#This Row],[ch_E_NTOT]]/constanten!$B$10*1000),"")</f>
        <v/>
      </c>
      <c r="BA213" s="523" t="str">
        <f>_xlfn.IFNA(IF(données_step[[#This Row],[E_NH4]]&lt;=0,NA(),charge_entree[[#This Row],[ch_E_NH4]]/constanten!$B$12*1000),"")</f>
        <v/>
      </c>
      <c r="BB213" s="523" t="str">
        <f>_xlfn.IFNA(IF(données_step[[#This Row],[E_COT]]&lt;=0,NA(),charge_entree[[#This Row],[ch_E_COT]]/constanten!$B$9*1000),"")</f>
        <v/>
      </c>
      <c r="BC213" s="523" t="str">
        <f>IFERROR(_xlfn.IFNA(IF(données_step[[#This Row],[E_PTOT]]&lt;=0,NA(),charge_entree[[#This Row],[ch_E_PTOT]]/constanten!$B$15*1000),""),"")</f>
        <v/>
      </c>
      <c r="BD213" s="535" t="e">
        <f>calculs!E213 * (1-0.4) / (données_step[[#This Row],[X_BA_VOL]]*données_step[[#This Row],[X_BACONC]])</f>
        <v>#VALUE!</v>
      </c>
      <c r="BE213" s="522" t="e">
        <f>(données_step[[#This Row],[X_BA_VOL]]*données_step[[#This Row],[X_BACONC]])/((données_step[[#This Row],[D_QTRAI2]]*données_step[[#This Row],[S_MES]]/1000)+(données_step[[#This Row],[X_BX_Q]]*données_step[[#This Row],[X_BXCONC]]))</f>
        <v>#VALUE!</v>
      </c>
      <c r="BF213" s="890" t="str">
        <f>IFERROR(données_step[[#This Row],[D_QTRAI]]/AY213*1000,"")</f>
        <v/>
      </c>
      <c r="BG213" s="535" t="str">
        <f>IFERROR(1-données_step[[#This Row],[S_DBO5]]/données_step[[#This Row],[E_DBO5]],"")</f>
        <v/>
      </c>
      <c r="BH213" s="536" t="str">
        <f>IFERROR(1-données_step[[#This Row],[S_DCO]]/données_step[[#This Row],[E_DCO]],"")</f>
        <v/>
      </c>
      <c r="BI213" s="535" t="str">
        <f>IFERROR(1-données_step[[#This Row],[S_COD]]/données_step[[#This Row],[E_COT]],"")</f>
        <v/>
      </c>
      <c r="BJ213" s="535" t="str">
        <f>IFERROR(1-données_step[[#This Row],[S_NH4]]/données_step[[#This Row],[E_NTOT]],"")</f>
        <v/>
      </c>
      <c r="BK213" s="535" t="str">
        <f>IFERROR(1-données_step[[#This Row],[S_PTOT]]/données_step[[#This Row],[E_PTOT]],"")</f>
        <v/>
      </c>
      <c r="BL213" s="521" t="str">
        <f>IFERROR(IF(données_step[[#This Row],[E_DCO]]/données_step[[#This Row],[E_DBO5]]=0,NA(),données_step[[#This Row],[E_DCO]]/données_step[[#This Row],[E_DBO5]]),"")</f>
        <v/>
      </c>
      <c r="BM213" s="521" t="str">
        <f>IFERROR(IF(données_step[[#This Row],[E_NH4]]/données_step[[#This Row],[E_NTOT]]=0,NA(),données_step[[#This Row],[E_NH4]]/données_step[[#This Row],[E_NTOT]]),"")</f>
        <v/>
      </c>
      <c r="BN213" s="521" t="str">
        <f>IFERROR(IF(données_step[[#This Row],[E_NTOT]]/données_step[[#This Row],[E_COT]]=0,NA(),données_step[[#This Row],[E_NTOT]]/données_step[[#This Row],[E_COT]]),"")</f>
        <v/>
      </c>
      <c r="BO213" s="521" t="str">
        <f>IFERROR(IF(données_step[[#This Row],[E_PTOT]]/données_step[[#This Row],[E_COT]]=0,NA(),données_step[[#This Row],[E_PTOT]]/données_step[[#This Row],[E_COT]]),"")</f>
        <v/>
      </c>
      <c r="BP213" s="521" t="e">
        <f>IF(données_step[[#This Row],[E_DCO]]/données_step[[#This Row],[E_COT]]=0,NA(),données_step[[#This Row],[E_DCO]]/données_step[[#This Row],[E_COT]])</f>
        <v>#DIV/0!</v>
      </c>
      <c r="BQ213" s="521" t="e">
        <f>IF(données_step[[#This Row],[E_NTOT]]/données_step[[#This Row],[E_DCO]]=0,NA(),données_step[[#This Row],[E_NTOT]]/données_step[[#This Row],[E_DCO]])</f>
        <v>#DIV/0!</v>
      </c>
      <c r="BR213" s="521" t="e">
        <f>IF(données_step[[#This Row],[E_PTOT]]/données_step[[#This Row],[E_DCO]]=0,NA(),données_step[[#This Row],[E_PTOT]]/données_step[[#This Row],[E_DCO]])</f>
        <v>#DIV/0!</v>
      </c>
      <c r="BS213" s="747" t="e">
        <f ca="1">test_NH4_temp(données_step[[#This Row],[S_NH4]],données_step[[#This Row],[Temp_eaux]])</f>
        <v>#NAME?</v>
      </c>
    </row>
    <row r="214" spans="1:71" x14ac:dyDescent="0.2">
      <c r="A214" s="222">
        <f>données_step[[#This Row],[Datum]]</f>
        <v>44765</v>
      </c>
      <c r="B214" s="223"/>
      <c r="C214" s="224">
        <f t="shared" si="49"/>
        <v>7</v>
      </c>
      <c r="D214" s="523" t="str">
        <f>IF(OR(données_step[[#This Row],[E_DBO5]]&lt;=0,données_step[[#This Row],[E_DBO5]]=""),"",données_step[[#This Row],[D_QTRAI]]*données_step[[#This Row],[E_DBO5]]/1000)</f>
        <v/>
      </c>
      <c r="E214" s="523" t="str">
        <f>IF(OR(données_step[[#This Row],[E_DCO]]&lt;=0,données_step[[#This Row],[E_DCO]]=""),"",données_step[[#This Row],[D_QTRAI]]*données_step[[#This Row],[E_DCO]]/1000)</f>
        <v/>
      </c>
      <c r="F214" s="523" t="str">
        <f>IF(OR(données_step[[#This Row],[E_COT]]&lt;=0,données_step[[#This Row],[E_COT]]=""),"",données_step[[#This Row],[D_QTRAI]]*données_step[[#This Row],[E_COT]]/1000)</f>
        <v/>
      </c>
      <c r="G214" s="523" t="str">
        <f>IF(OR(données_step[[#This Row],[E_NH4]]&lt;=0,données_step[[#This Row],[E_NH4]]=""),"",données_step[[#This Row],[D_QTRAI]]*données_step[[#This Row],[E_NH4]]/1000)</f>
        <v/>
      </c>
      <c r="H214" s="523" t="str">
        <f>IF(OR(données_step[[#This Row],[E_NTOT]]&lt;=0,données_step[[#This Row],[E_NTOT]]=""),"",données_step[[#This Row],[D_QTRAI]]*données_step[[#This Row],[E_NTOT]]/1000)</f>
        <v/>
      </c>
      <c r="I214" s="523" t="str">
        <f>IF(OR(données_step[[#This Row],[E_NTOT]]&lt;=0,données_step[[#This Row],[E_NTOT]]=""),"",données_step[[#This Row],[D_QTRAI]]*données_step[[#This Row],[E_PTOT]]/1000)</f>
        <v/>
      </c>
      <c r="J214" s="523" t="str">
        <f>IF(OR(données_step[[#This Row],[S_DBO5]]&lt;=0,données_step[[#This Row],[S_DBO5]]=""),"",données_step[[#This Row],[D_QTRAI]]*données_step[[#This Row],[S_DBO5]]/1000)</f>
        <v/>
      </c>
      <c r="K214" s="523" t="str">
        <f>IF(OR(données_step[[#This Row],[S_DCO]]&lt;=0,données_step[[#This Row],[S_DCO]]=""),"",données_step[[#This Row],[D_QTRAI]]*données_step[[#This Row],[S_DCO]]/1000)</f>
        <v/>
      </c>
      <c r="L214" s="523" t="str">
        <f>IF(OR(données_step[[#This Row],[S_COD]]&lt;=0,données_step[[#This Row],[S_COD]]=""),"",données_step[[#This Row],[D_QTRAI]]*données_step[[#This Row],[S_COD]]/1000)</f>
        <v/>
      </c>
      <c r="M214" s="523" t="str">
        <f>IF(OR(données_step[[#This Row],[S_NH4]]&lt;=0,données_step[[#This Row],[S_NH4]]=""),"",données_step[[#This Row],[D_QTRAI]]*données_step[[#This Row],[S_NH4]]/1000)</f>
        <v/>
      </c>
      <c r="N214" s="523" t="str">
        <f>IF(OR(données_step[[#This Row],[S_NO2]]&lt;=0,données_step[[#This Row],[S_NO2]]=""),"",données_step[[#This Row],[D_QTRAI]]*données_step[[#This Row],[S_NO2]]/1000)</f>
        <v/>
      </c>
      <c r="O214" s="523" t="str">
        <f>IF(OR(données_step[[#This Row],[S_NO3]]&lt;=0,données_step[[#This Row],[S_NO3]]=""),"",données_step[[#This Row],[D_QTRAI]]*données_step[[#This Row],[S_NO3]]/1000)</f>
        <v/>
      </c>
      <c r="P214" s="523" t="str">
        <f>IF(OR(données_step[[#This Row],[S_PTOT]]&lt;=0,données_step[[#This Row],[S_PTOT]]=""),"",données_step[[#This Row],[D_QTRAI]]*données_step[[#This Row],[S_PTOT]]/1000)</f>
        <v/>
      </c>
      <c r="Q214" s="523" t="str">
        <f>IF(OR(données_step[[#This Row],[S_MES]]&lt;=0,données_step[[#This Row],[S_MES]]=""),"",données_step[[#This Row],[D_QTRAI]]*données_step[[#This Row],[S_MES]]/1000)</f>
        <v/>
      </c>
      <c r="R214" s="523">
        <f>MAX(données_step[[#This Row],[D_QTRAI]],données_step[[#This Row],[D_QTRAI2]])</f>
        <v>0</v>
      </c>
      <c r="S214" s="523" t="str">
        <f>IF(AND($R214&gt;0,données_step[[#This Row],[E_DCO]]&gt;0),données_step[[#This Row],[E_DCO]],"")</f>
        <v/>
      </c>
      <c r="T214" s="523" t="str">
        <f>IF(S214="","",(1-données_step[[#This Row],[E_DCO]]/$V$7)*100)</f>
        <v/>
      </c>
      <c r="U214" s="523" t="str">
        <f t="shared" si="50"/>
        <v/>
      </c>
      <c r="V214" s="523" t="str">
        <f t="shared" si="51"/>
        <v/>
      </c>
      <c r="W214" s="523" t="str">
        <f t="shared" si="52"/>
        <v/>
      </c>
      <c r="X214" s="523" t="e">
        <f>IF(((100-100/$V$7*données_step[[#This Row],[E_DCO]])/100*QTS)&lt;0,NA(),IF(OR(U214&lt;0,U214=""),NA(),((100-100/$V$7*données_step[[#This Row],[E_DCO]])/100*QTS)))</f>
        <v>#NUM!</v>
      </c>
      <c r="Y214" s="523" t="str">
        <f>IF(AND($R214&gt;0,données_step[[#This Row],[E_COT]]&gt;0),données_step[[#This Row],[E_COT]],"")</f>
        <v/>
      </c>
      <c r="Z214" s="523" t="str">
        <f>IF(Y214="","",(1-données_step[[#This Row],[E_COT]]/$AB$7)*100)</f>
        <v/>
      </c>
      <c r="AA214" s="523" t="str">
        <f t="shared" si="53"/>
        <v/>
      </c>
      <c r="AB214" s="523" t="str">
        <f t="shared" si="54"/>
        <v/>
      </c>
      <c r="AC214" s="523" t="str">
        <f t="shared" si="55"/>
        <v/>
      </c>
      <c r="AD214" s="523" t="e">
        <f>IF(((100-100/$AB$7*données_step[[#This Row],[E_COT]])/100*QTS)&lt;0,NA(),IF(OR(AA214&lt;0,AA214=""),NA(),((100-100/$AB$7*données_step[[#This Row],[E_COT]])/100*QTS)))</f>
        <v>#NUM!</v>
      </c>
      <c r="AE214" s="523" t="str">
        <f>IF(AND($R214&gt;0,données_step[[#This Row],[E_NH4]]&gt;0),données_step[[#This Row],[E_NH4]],"")</f>
        <v/>
      </c>
      <c r="AF214" s="523" t="str">
        <f>IF(AE214="","",(1-données_step[[#This Row],[E_NH4]]/$AH$7)*100)</f>
        <v/>
      </c>
      <c r="AG214" s="523" t="str">
        <f t="shared" si="56"/>
        <v/>
      </c>
      <c r="AH214" s="523" t="str">
        <f t="shared" si="57"/>
        <v/>
      </c>
      <c r="AI214" s="523" t="str">
        <f t="shared" si="58"/>
        <v/>
      </c>
      <c r="AJ214" s="523" t="e">
        <f>IF(((100-100/$AH$7*données_step[[#This Row],[E_NH4]])/100*QTS)&lt;0,NA(),IF(OR(AG214&lt;0,AG214=""),NA(),((100-100/$AH$7*données_step[[#This Row],[E_NH4]])/100*QTS)))</f>
        <v>#NUM!</v>
      </c>
      <c r="AK214" s="523" t="str">
        <f>IF(AND($R214&gt;0,données_step[[#This Row],[E_PTOT]]&gt;0),données_step[[#This Row],[E_PTOT]],"")</f>
        <v/>
      </c>
      <c r="AL214" s="523" t="str">
        <f>IF(AK214="","",(1-données_step[[#This Row],[E_PTOT]]/$AN$7)*100)</f>
        <v/>
      </c>
      <c r="AM214" s="523" t="str">
        <f t="shared" si="59"/>
        <v/>
      </c>
      <c r="AN214" s="523" t="str">
        <f t="shared" si="60"/>
        <v/>
      </c>
      <c r="AO214" s="523" t="str">
        <f t="shared" si="61"/>
        <v/>
      </c>
      <c r="AP214" s="523" t="e">
        <f>IF(((100-100/$AN$7*données_step[[#This Row],[E_PTOT]])/100*QTS)&lt;0,NA(),IF(OR(AM214&lt;0,AM214=""),NA(),((100-100/$AN$7*données_step[[#This Row],[E_PTOT]])/100*QTS)))</f>
        <v>#NUM!</v>
      </c>
      <c r="AQ214" s="524" t="e">
        <f t="shared" si="62"/>
        <v>#NUM!</v>
      </c>
      <c r="AR214" s="524" t="str">
        <f t="shared" si="63"/>
        <v/>
      </c>
      <c r="AY214" s="523" t="str">
        <f>_xlfn.IFNA(IF(données_step[[#This Row],[E_DCO]]&lt;=0,NA(),charge_entree[[#This Row],[ch_E_DCO]]/constanten!$B$8*1000),"")</f>
        <v/>
      </c>
      <c r="AZ214" s="523" t="str">
        <f>_xlfn.IFNA(IF(données_step[[#This Row],[E_NTOT]]&lt;=0,NA(),charge_entree[[#This Row],[ch_E_NTOT]]/constanten!$B$10*1000),"")</f>
        <v/>
      </c>
      <c r="BA214" s="523" t="str">
        <f>_xlfn.IFNA(IF(données_step[[#This Row],[E_NH4]]&lt;=0,NA(),charge_entree[[#This Row],[ch_E_NH4]]/constanten!$B$12*1000),"")</f>
        <v/>
      </c>
      <c r="BB214" s="523" t="str">
        <f>_xlfn.IFNA(IF(données_step[[#This Row],[E_COT]]&lt;=0,NA(),charge_entree[[#This Row],[ch_E_COT]]/constanten!$B$9*1000),"")</f>
        <v/>
      </c>
      <c r="BC214" s="523" t="str">
        <f>IFERROR(_xlfn.IFNA(IF(données_step[[#This Row],[E_PTOT]]&lt;=0,NA(),charge_entree[[#This Row],[ch_E_PTOT]]/constanten!$B$15*1000),""),"")</f>
        <v/>
      </c>
      <c r="BD214" s="535" t="e">
        <f>calculs!E214 * (1-0.4) / (données_step[[#This Row],[X_BA_VOL]]*données_step[[#This Row],[X_BACONC]])</f>
        <v>#VALUE!</v>
      </c>
      <c r="BE214" s="522" t="e">
        <f>(données_step[[#This Row],[X_BA_VOL]]*données_step[[#This Row],[X_BACONC]])/((données_step[[#This Row],[D_QTRAI2]]*données_step[[#This Row],[S_MES]]/1000)+(données_step[[#This Row],[X_BX_Q]]*données_step[[#This Row],[X_BXCONC]]))</f>
        <v>#VALUE!</v>
      </c>
      <c r="BF214" s="890" t="str">
        <f>IFERROR(données_step[[#This Row],[D_QTRAI]]/AY214*1000,"")</f>
        <v/>
      </c>
      <c r="BG214" s="535" t="str">
        <f>IFERROR(1-données_step[[#This Row],[S_DBO5]]/données_step[[#This Row],[E_DBO5]],"")</f>
        <v/>
      </c>
      <c r="BH214" s="536" t="str">
        <f>IFERROR(1-données_step[[#This Row],[S_DCO]]/données_step[[#This Row],[E_DCO]],"")</f>
        <v/>
      </c>
      <c r="BI214" s="535" t="str">
        <f>IFERROR(1-données_step[[#This Row],[S_COD]]/données_step[[#This Row],[E_COT]],"")</f>
        <v/>
      </c>
      <c r="BJ214" s="535" t="str">
        <f>IFERROR(1-données_step[[#This Row],[S_NH4]]/données_step[[#This Row],[E_NTOT]],"")</f>
        <v/>
      </c>
      <c r="BK214" s="535" t="str">
        <f>IFERROR(1-données_step[[#This Row],[S_PTOT]]/données_step[[#This Row],[E_PTOT]],"")</f>
        <v/>
      </c>
      <c r="BL214" s="521" t="str">
        <f>IFERROR(IF(données_step[[#This Row],[E_DCO]]/données_step[[#This Row],[E_DBO5]]=0,NA(),données_step[[#This Row],[E_DCO]]/données_step[[#This Row],[E_DBO5]]),"")</f>
        <v/>
      </c>
      <c r="BM214" s="521" t="str">
        <f>IFERROR(IF(données_step[[#This Row],[E_NH4]]/données_step[[#This Row],[E_NTOT]]=0,NA(),données_step[[#This Row],[E_NH4]]/données_step[[#This Row],[E_NTOT]]),"")</f>
        <v/>
      </c>
      <c r="BN214" s="521" t="str">
        <f>IFERROR(IF(données_step[[#This Row],[E_NTOT]]/données_step[[#This Row],[E_COT]]=0,NA(),données_step[[#This Row],[E_NTOT]]/données_step[[#This Row],[E_COT]]),"")</f>
        <v/>
      </c>
      <c r="BO214" s="521" t="str">
        <f>IFERROR(IF(données_step[[#This Row],[E_PTOT]]/données_step[[#This Row],[E_COT]]=0,NA(),données_step[[#This Row],[E_PTOT]]/données_step[[#This Row],[E_COT]]),"")</f>
        <v/>
      </c>
      <c r="BP214" s="521" t="e">
        <f>IF(données_step[[#This Row],[E_DCO]]/données_step[[#This Row],[E_COT]]=0,NA(),données_step[[#This Row],[E_DCO]]/données_step[[#This Row],[E_COT]])</f>
        <v>#DIV/0!</v>
      </c>
      <c r="BQ214" s="521" t="e">
        <f>IF(données_step[[#This Row],[E_NTOT]]/données_step[[#This Row],[E_DCO]]=0,NA(),données_step[[#This Row],[E_NTOT]]/données_step[[#This Row],[E_DCO]])</f>
        <v>#DIV/0!</v>
      </c>
      <c r="BR214" s="521" t="e">
        <f>IF(données_step[[#This Row],[E_PTOT]]/données_step[[#This Row],[E_DCO]]=0,NA(),données_step[[#This Row],[E_PTOT]]/données_step[[#This Row],[E_DCO]])</f>
        <v>#DIV/0!</v>
      </c>
      <c r="BS214" s="747" t="e">
        <f ca="1">test_NH4_temp(données_step[[#This Row],[S_NH4]],données_step[[#This Row],[Temp_eaux]])</f>
        <v>#NAME?</v>
      </c>
    </row>
    <row r="215" spans="1:71" x14ac:dyDescent="0.2">
      <c r="A215" s="222">
        <f>données_step[[#This Row],[Datum]]</f>
        <v>44766</v>
      </c>
      <c r="B215" s="223"/>
      <c r="C215" s="224">
        <f t="shared" si="49"/>
        <v>1</v>
      </c>
      <c r="D215" s="523" t="str">
        <f>IF(OR(données_step[[#This Row],[E_DBO5]]&lt;=0,données_step[[#This Row],[E_DBO5]]=""),"",données_step[[#This Row],[D_QTRAI]]*données_step[[#This Row],[E_DBO5]]/1000)</f>
        <v/>
      </c>
      <c r="E215" s="523" t="str">
        <f>IF(OR(données_step[[#This Row],[E_DCO]]&lt;=0,données_step[[#This Row],[E_DCO]]=""),"",données_step[[#This Row],[D_QTRAI]]*données_step[[#This Row],[E_DCO]]/1000)</f>
        <v/>
      </c>
      <c r="F215" s="523" t="str">
        <f>IF(OR(données_step[[#This Row],[E_COT]]&lt;=0,données_step[[#This Row],[E_COT]]=""),"",données_step[[#This Row],[D_QTRAI]]*données_step[[#This Row],[E_COT]]/1000)</f>
        <v/>
      </c>
      <c r="G215" s="523" t="str">
        <f>IF(OR(données_step[[#This Row],[E_NH4]]&lt;=0,données_step[[#This Row],[E_NH4]]=""),"",données_step[[#This Row],[D_QTRAI]]*données_step[[#This Row],[E_NH4]]/1000)</f>
        <v/>
      </c>
      <c r="H215" s="523" t="str">
        <f>IF(OR(données_step[[#This Row],[E_NTOT]]&lt;=0,données_step[[#This Row],[E_NTOT]]=""),"",données_step[[#This Row],[D_QTRAI]]*données_step[[#This Row],[E_NTOT]]/1000)</f>
        <v/>
      </c>
      <c r="I215" s="523" t="str">
        <f>IF(OR(données_step[[#This Row],[E_NTOT]]&lt;=0,données_step[[#This Row],[E_NTOT]]=""),"",données_step[[#This Row],[D_QTRAI]]*données_step[[#This Row],[E_PTOT]]/1000)</f>
        <v/>
      </c>
      <c r="J215" s="523" t="str">
        <f>IF(OR(données_step[[#This Row],[S_DBO5]]&lt;=0,données_step[[#This Row],[S_DBO5]]=""),"",données_step[[#This Row],[D_QTRAI]]*données_step[[#This Row],[S_DBO5]]/1000)</f>
        <v/>
      </c>
      <c r="K215" s="523" t="str">
        <f>IF(OR(données_step[[#This Row],[S_DCO]]&lt;=0,données_step[[#This Row],[S_DCO]]=""),"",données_step[[#This Row],[D_QTRAI]]*données_step[[#This Row],[S_DCO]]/1000)</f>
        <v/>
      </c>
      <c r="L215" s="523" t="str">
        <f>IF(OR(données_step[[#This Row],[S_COD]]&lt;=0,données_step[[#This Row],[S_COD]]=""),"",données_step[[#This Row],[D_QTRAI]]*données_step[[#This Row],[S_COD]]/1000)</f>
        <v/>
      </c>
      <c r="M215" s="523" t="str">
        <f>IF(OR(données_step[[#This Row],[S_NH4]]&lt;=0,données_step[[#This Row],[S_NH4]]=""),"",données_step[[#This Row],[D_QTRAI]]*données_step[[#This Row],[S_NH4]]/1000)</f>
        <v/>
      </c>
      <c r="N215" s="523" t="str">
        <f>IF(OR(données_step[[#This Row],[S_NO2]]&lt;=0,données_step[[#This Row],[S_NO2]]=""),"",données_step[[#This Row],[D_QTRAI]]*données_step[[#This Row],[S_NO2]]/1000)</f>
        <v/>
      </c>
      <c r="O215" s="523" t="str">
        <f>IF(OR(données_step[[#This Row],[S_NO3]]&lt;=0,données_step[[#This Row],[S_NO3]]=""),"",données_step[[#This Row],[D_QTRAI]]*données_step[[#This Row],[S_NO3]]/1000)</f>
        <v/>
      </c>
      <c r="P215" s="523" t="str">
        <f>IF(OR(données_step[[#This Row],[S_PTOT]]&lt;=0,données_step[[#This Row],[S_PTOT]]=""),"",données_step[[#This Row],[D_QTRAI]]*données_step[[#This Row],[S_PTOT]]/1000)</f>
        <v/>
      </c>
      <c r="Q215" s="523" t="str">
        <f>IF(OR(données_step[[#This Row],[S_MES]]&lt;=0,données_step[[#This Row],[S_MES]]=""),"",données_step[[#This Row],[D_QTRAI]]*données_step[[#This Row],[S_MES]]/1000)</f>
        <v/>
      </c>
      <c r="R215" s="523">
        <f>MAX(données_step[[#This Row],[D_QTRAI]],données_step[[#This Row],[D_QTRAI2]])</f>
        <v>0</v>
      </c>
      <c r="S215" s="523" t="str">
        <f>IF(AND($R215&gt;0,données_step[[#This Row],[E_DCO]]&gt;0),données_step[[#This Row],[E_DCO]],"")</f>
        <v/>
      </c>
      <c r="T215" s="523" t="str">
        <f>IF(S215="","",(1-données_step[[#This Row],[E_DCO]]/$V$7)*100)</f>
        <v/>
      </c>
      <c r="U215" s="523" t="str">
        <f t="shared" si="50"/>
        <v/>
      </c>
      <c r="V215" s="523" t="str">
        <f t="shared" si="51"/>
        <v/>
      </c>
      <c r="W215" s="523" t="str">
        <f t="shared" si="52"/>
        <v/>
      </c>
      <c r="X215" s="523" t="e">
        <f>IF(((100-100/$V$7*données_step[[#This Row],[E_DCO]])/100*QTS)&lt;0,NA(),IF(OR(U215&lt;0,U215=""),NA(),((100-100/$V$7*données_step[[#This Row],[E_DCO]])/100*QTS)))</f>
        <v>#NUM!</v>
      </c>
      <c r="Y215" s="523" t="str">
        <f>IF(AND($R215&gt;0,données_step[[#This Row],[E_COT]]&gt;0),données_step[[#This Row],[E_COT]],"")</f>
        <v/>
      </c>
      <c r="Z215" s="523" t="str">
        <f>IF(Y215="","",(1-données_step[[#This Row],[E_COT]]/$AB$7)*100)</f>
        <v/>
      </c>
      <c r="AA215" s="523" t="str">
        <f t="shared" si="53"/>
        <v/>
      </c>
      <c r="AB215" s="523" t="str">
        <f t="shared" si="54"/>
        <v/>
      </c>
      <c r="AC215" s="523" t="str">
        <f t="shared" si="55"/>
        <v/>
      </c>
      <c r="AD215" s="523" t="e">
        <f>IF(((100-100/$AB$7*données_step[[#This Row],[E_COT]])/100*QTS)&lt;0,NA(),IF(OR(AA215&lt;0,AA215=""),NA(),((100-100/$AB$7*données_step[[#This Row],[E_COT]])/100*QTS)))</f>
        <v>#NUM!</v>
      </c>
      <c r="AE215" s="523" t="str">
        <f>IF(AND($R215&gt;0,données_step[[#This Row],[E_NH4]]&gt;0),données_step[[#This Row],[E_NH4]],"")</f>
        <v/>
      </c>
      <c r="AF215" s="523" t="str">
        <f>IF(AE215="","",(1-données_step[[#This Row],[E_NH4]]/$AH$7)*100)</f>
        <v/>
      </c>
      <c r="AG215" s="523" t="str">
        <f t="shared" si="56"/>
        <v/>
      </c>
      <c r="AH215" s="523" t="str">
        <f t="shared" si="57"/>
        <v/>
      </c>
      <c r="AI215" s="523" t="str">
        <f t="shared" si="58"/>
        <v/>
      </c>
      <c r="AJ215" s="523" t="e">
        <f>IF(((100-100/$AH$7*données_step[[#This Row],[E_NH4]])/100*QTS)&lt;0,NA(),IF(OR(AG215&lt;0,AG215=""),NA(),((100-100/$AH$7*données_step[[#This Row],[E_NH4]])/100*QTS)))</f>
        <v>#NUM!</v>
      </c>
      <c r="AK215" s="523" t="str">
        <f>IF(AND($R215&gt;0,données_step[[#This Row],[E_PTOT]]&gt;0),données_step[[#This Row],[E_PTOT]],"")</f>
        <v/>
      </c>
      <c r="AL215" s="523" t="str">
        <f>IF(AK215="","",(1-données_step[[#This Row],[E_PTOT]]/$AN$7)*100)</f>
        <v/>
      </c>
      <c r="AM215" s="523" t="str">
        <f t="shared" si="59"/>
        <v/>
      </c>
      <c r="AN215" s="523" t="str">
        <f t="shared" si="60"/>
        <v/>
      </c>
      <c r="AO215" s="523" t="str">
        <f t="shared" si="61"/>
        <v/>
      </c>
      <c r="AP215" s="523" t="e">
        <f>IF(((100-100/$AN$7*données_step[[#This Row],[E_PTOT]])/100*QTS)&lt;0,NA(),IF(OR(AM215&lt;0,AM215=""),NA(),((100-100/$AN$7*données_step[[#This Row],[E_PTOT]])/100*QTS)))</f>
        <v>#NUM!</v>
      </c>
      <c r="AQ215" s="524" t="e">
        <f t="shared" si="62"/>
        <v>#NUM!</v>
      </c>
      <c r="AR215" s="524" t="str">
        <f t="shared" si="63"/>
        <v/>
      </c>
      <c r="AY215" s="523" t="str">
        <f>_xlfn.IFNA(IF(données_step[[#This Row],[E_DCO]]&lt;=0,NA(),charge_entree[[#This Row],[ch_E_DCO]]/constanten!$B$8*1000),"")</f>
        <v/>
      </c>
      <c r="AZ215" s="523" t="str">
        <f>_xlfn.IFNA(IF(données_step[[#This Row],[E_NTOT]]&lt;=0,NA(),charge_entree[[#This Row],[ch_E_NTOT]]/constanten!$B$10*1000),"")</f>
        <v/>
      </c>
      <c r="BA215" s="523" t="str">
        <f>_xlfn.IFNA(IF(données_step[[#This Row],[E_NH4]]&lt;=0,NA(),charge_entree[[#This Row],[ch_E_NH4]]/constanten!$B$12*1000),"")</f>
        <v/>
      </c>
      <c r="BB215" s="523" t="str">
        <f>_xlfn.IFNA(IF(données_step[[#This Row],[E_COT]]&lt;=0,NA(),charge_entree[[#This Row],[ch_E_COT]]/constanten!$B$9*1000),"")</f>
        <v/>
      </c>
      <c r="BC215" s="523" t="str">
        <f>IFERROR(_xlfn.IFNA(IF(données_step[[#This Row],[E_PTOT]]&lt;=0,NA(),charge_entree[[#This Row],[ch_E_PTOT]]/constanten!$B$15*1000),""),"")</f>
        <v/>
      </c>
      <c r="BD215" s="535" t="e">
        <f>calculs!E215 * (1-0.4) / (données_step[[#This Row],[X_BA_VOL]]*données_step[[#This Row],[X_BACONC]])</f>
        <v>#VALUE!</v>
      </c>
      <c r="BE215" s="522" t="e">
        <f>(données_step[[#This Row],[X_BA_VOL]]*données_step[[#This Row],[X_BACONC]])/((données_step[[#This Row],[D_QTRAI2]]*données_step[[#This Row],[S_MES]]/1000)+(données_step[[#This Row],[X_BX_Q]]*données_step[[#This Row],[X_BXCONC]]))</f>
        <v>#VALUE!</v>
      </c>
      <c r="BF215" s="890" t="str">
        <f>IFERROR(données_step[[#This Row],[D_QTRAI]]/AY215*1000,"")</f>
        <v/>
      </c>
      <c r="BG215" s="535" t="str">
        <f>IFERROR(1-données_step[[#This Row],[S_DBO5]]/données_step[[#This Row],[E_DBO5]],"")</f>
        <v/>
      </c>
      <c r="BH215" s="536" t="str">
        <f>IFERROR(1-données_step[[#This Row],[S_DCO]]/données_step[[#This Row],[E_DCO]],"")</f>
        <v/>
      </c>
      <c r="BI215" s="535" t="str">
        <f>IFERROR(1-données_step[[#This Row],[S_COD]]/données_step[[#This Row],[E_COT]],"")</f>
        <v/>
      </c>
      <c r="BJ215" s="535" t="str">
        <f>IFERROR(1-données_step[[#This Row],[S_NH4]]/données_step[[#This Row],[E_NTOT]],"")</f>
        <v/>
      </c>
      <c r="BK215" s="535" t="str">
        <f>IFERROR(1-données_step[[#This Row],[S_PTOT]]/données_step[[#This Row],[E_PTOT]],"")</f>
        <v/>
      </c>
      <c r="BL215" s="521" t="str">
        <f>IFERROR(IF(données_step[[#This Row],[E_DCO]]/données_step[[#This Row],[E_DBO5]]=0,NA(),données_step[[#This Row],[E_DCO]]/données_step[[#This Row],[E_DBO5]]),"")</f>
        <v/>
      </c>
      <c r="BM215" s="521" t="str">
        <f>IFERROR(IF(données_step[[#This Row],[E_NH4]]/données_step[[#This Row],[E_NTOT]]=0,NA(),données_step[[#This Row],[E_NH4]]/données_step[[#This Row],[E_NTOT]]),"")</f>
        <v/>
      </c>
      <c r="BN215" s="521" t="str">
        <f>IFERROR(IF(données_step[[#This Row],[E_NTOT]]/données_step[[#This Row],[E_COT]]=0,NA(),données_step[[#This Row],[E_NTOT]]/données_step[[#This Row],[E_COT]]),"")</f>
        <v/>
      </c>
      <c r="BO215" s="521" t="str">
        <f>IFERROR(IF(données_step[[#This Row],[E_PTOT]]/données_step[[#This Row],[E_COT]]=0,NA(),données_step[[#This Row],[E_PTOT]]/données_step[[#This Row],[E_COT]]),"")</f>
        <v/>
      </c>
      <c r="BP215" s="521" t="e">
        <f>IF(données_step[[#This Row],[E_DCO]]/données_step[[#This Row],[E_COT]]=0,NA(),données_step[[#This Row],[E_DCO]]/données_step[[#This Row],[E_COT]])</f>
        <v>#DIV/0!</v>
      </c>
      <c r="BQ215" s="521" t="e">
        <f>IF(données_step[[#This Row],[E_NTOT]]/données_step[[#This Row],[E_DCO]]=0,NA(),données_step[[#This Row],[E_NTOT]]/données_step[[#This Row],[E_DCO]])</f>
        <v>#DIV/0!</v>
      </c>
      <c r="BR215" s="521" t="e">
        <f>IF(données_step[[#This Row],[E_PTOT]]/données_step[[#This Row],[E_DCO]]=0,NA(),données_step[[#This Row],[E_PTOT]]/données_step[[#This Row],[E_DCO]])</f>
        <v>#DIV/0!</v>
      </c>
      <c r="BS215" s="747" t="e">
        <f ca="1">test_NH4_temp(données_step[[#This Row],[S_NH4]],données_step[[#This Row],[Temp_eaux]])</f>
        <v>#NAME?</v>
      </c>
    </row>
    <row r="216" spans="1:71" x14ac:dyDescent="0.2">
      <c r="A216" s="222">
        <f>données_step[[#This Row],[Datum]]</f>
        <v>44767</v>
      </c>
      <c r="B216" s="223"/>
      <c r="C216" s="224">
        <f t="shared" si="49"/>
        <v>2</v>
      </c>
      <c r="D216" s="523" t="str">
        <f>IF(OR(données_step[[#This Row],[E_DBO5]]&lt;=0,données_step[[#This Row],[E_DBO5]]=""),"",données_step[[#This Row],[D_QTRAI]]*données_step[[#This Row],[E_DBO5]]/1000)</f>
        <v/>
      </c>
      <c r="E216" s="523" t="str">
        <f>IF(OR(données_step[[#This Row],[E_DCO]]&lt;=0,données_step[[#This Row],[E_DCO]]=""),"",données_step[[#This Row],[D_QTRAI]]*données_step[[#This Row],[E_DCO]]/1000)</f>
        <v/>
      </c>
      <c r="F216" s="523" t="str">
        <f>IF(OR(données_step[[#This Row],[E_COT]]&lt;=0,données_step[[#This Row],[E_COT]]=""),"",données_step[[#This Row],[D_QTRAI]]*données_step[[#This Row],[E_COT]]/1000)</f>
        <v/>
      </c>
      <c r="G216" s="523" t="str">
        <f>IF(OR(données_step[[#This Row],[E_NH4]]&lt;=0,données_step[[#This Row],[E_NH4]]=""),"",données_step[[#This Row],[D_QTRAI]]*données_step[[#This Row],[E_NH4]]/1000)</f>
        <v/>
      </c>
      <c r="H216" s="523" t="str">
        <f>IF(OR(données_step[[#This Row],[E_NTOT]]&lt;=0,données_step[[#This Row],[E_NTOT]]=""),"",données_step[[#This Row],[D_QTRAI]]*données_step[[#This Row],[E_NTOT]]/1000)</f>
        <v/>
      </c>
      <c r="I216" s="523" t="str">
        <f>IF(OR(données_step[[#This Row],[E_NTOT]]&lt;=0,données_step[[#This Row],[E_NTOT]]=""),"",données_step[[#This Row],[D_QTRAI]]*données_step[[#This Row],[E_PTOT]]/1000)</f>
        <v/>
      </c>
      <c r="J216" s="523" t="str">
        <f>IF(OR(données_step[[#This Row],[S_DBO5]]&lt;=0,données_step[[#This Row],[S_DBO5]]=""),"",données_step[[#This Row],[D_QTRAI]]*données_step[[#This Row],[S_DBO5]]/1000)</f>
        <v/>
      </c>
      <c r="K216" s="523" t="str">
        <f>IF(OR(données_step[[#This Row],[S_DCO]]&lt;=0,données_step[[#This Row],[S_DCO]]=""),"",données_step[[#This Row],[D_QTRAI]]*données_step[[#This Row],[S_DCO]]/1000)</f>
        <v/>
      </c>
      <c r="L216" s="523" t="str">
        <f>IF(OR(données_step[[#This Row],[S_COD]]&lt;=0,données_step[[#This Row],[S_COD]]=""),"",données_step[[#This Row],[D_QTRAI]]*données_step[[#This Row],[S_COD]]/1000)</f>
        <v/>
      </c>
      <c r="M216" s="523" t="str">
        <f>IF(OR(données_step[[#This Row],[S_NH4]]&lt;=0,données_step[[#This Row],[S_NH4]]=""),"",données_step[[#This Row],[D_QTRAI]]*données_step[[#This Row],[S_NH4]]/1000)</f>
        <v/>
      </c>
      <c r="N216" s="523" t="str">
        <f>IF(OR(données_step[[#This Row],[S_NO2]]&lt;=0,données_step[[#This Row],[S_NO2]]=""),"",données_step[[#This Row],[D_QTRAI]]*données_step[[#This Row],[S_NO2]]/1000)</f>
        <v/>
      </c>
      <c r="O216" s="523" t="str">
        <f>IF(OR(données_step[[#This Row],[S_NO3]]&lt;=0,données_step[[#This Row],[S_NO3]]=""),"",données_step[[#This Row],[D_QTRAI]]*données_step[[#This Row],[S_NO3]]/1000)</f>
        <v/>
      </c>
      <c r="P216" s="523" t="str">
        <f>IF(OR(données_step[[#This Row],[S_PTOT]]&lt;=0,données_step[[#This Row],[S_PTOT]]=""),"",données_step[[#This Row],[D_QTRAI]]*données_step[[#This Row],[S_PTOT]]/1000)</f>
        <v/>
      </c>
      <c r="Q216" s="523" t="str">
        <f>IF(OR(données_step[[#This Row],[S_MES]]&lt;=0,données_step[[#This Row],[S_MES]]=""),"",données_step[[#This Row],[D_QTRAI]]*données_step[[#This Row],[S_MES]]/1000)</f>
        <v/>
      </c>
      <c r="R216" s="523">
        <f>MAX(données_step[[#This Row],[D_QTRAI]],données_step[[#This Row],[D_QTRAI2]])</f>
        <v>0</v>
      </c>
      <c r="S216" s="523" t="str">
        <f>IF(AND($R216&gt;0,données_step[[#This Row],[E_DCO]]&gt;0),données_step[[#This Row],[E_DCO]],"")</f>
        <v/>
      </c>
      <c r="T216" s="523" t="str">
        <f>IF(S216="","",(1-données_step[[#This Row],[E_DCO]]/$V$7)*100)</f>
        <v/>
      </c>
      <c r="U216" s="523" t="str">
        <f t="shared" si="50"/>
        <v/>
      </c>
      <c r="V216" s="523" t="str">
        <f t="shared" si="51"/>
        <v/>
      </c>
      <c r="W216" s="523" t="str">
        <f t="shared" si="52"/>
        <v/>
      </c>
      <c r="X216" s="523" t="e">
        <f>IF(((100-100/$V$7*données_step[[#This Row],[E_DCO]])/100*QTS)&lt;0,NA(),IF(OR(U216&lt;0,U216=""),NA(),((100-100/$V$7*données_step[[#This Row],[E_DCO]])/100*QTS)))</f>
        <v>#NUM!</v>
      </c>
      <c r="Y216" s="523" t="str">
        <f>IF(AND($R216&gt;0,données_step[[#This Row],[E_COT]]&gt;0),données_step[[#This Row],[E_COT]],"")</f>
        <v/>
      </c>
      <c r="Z216" s="523" t="str">
        <f>IF(Y216="","",(1-données_step[[#This Row],[E_COT]]/$AB$7)*100)</f>
        <v/>
      </c>
      <c r="AA216" s="523" t="str">
        <f t="shared" si="53"/>
        <v/>
      </c>
      <c r="AB216" s="523" t="str">
        <f t="shared" si="54"/>
        <v/>
      </c>
      <c r="AC216" s="523" t="str">
        <f t="shared" si="55"/>
        <v/>
      </c>
      <c r="AD216" s="523" t="e">
        <f>IF(((100-100/$AB$7*données_step[[#This Row],[E_COT]])/100*QTS)&lt;0,NA(),IF(OR(AA216&lt;0,AA216=""),NA(),((100-100/$AB$7*données_step[[#This Row],[E_COT]])/100*QTS)))</f>
        <v>#NUM!</v>
      </c>
      <c r="AE216" s="523" t="str">
        <f>IF(AND($R216&gt;0,données_step[[#This Row],[E_NH4]]&gt;0),données_step[[#This Row],[E_NH4]],"")</f>
        <v/>
      </c>
      <c r="AF216" s="523" t="str">
        <f>IF(AE216="","",(1-données_step[[#This Row],[E_NH4]]/$AH$7)*100)</f>
        <v/>
      </c>
      <c r="AG216" s="523" t="str">
        <f t="shared" si="56"/>
        <v/>
      </c>
      <c r="AH216" s="523" t="str">
        <f t="shared" si="57"/>
        <v/>
      </c>
      <c r="AI216" s="523" t="str">
        <f t="shared" si="58"/>
        <v/>
      </c>
      <c r="AJ216" s="523" t="e">
        <f>IF(((100-100/$AH$7*données_step[[#This Row],[E_NH4]])/100*QTS)&lt;0,NA(),IF(OR(AG216&lt;0,AG216=""),NA(),((100-100/$AH$7*données_step[[#This Row],[E_NH4]])/100*QTS)))</f>
        <v>#NUM!</v>
      </c>
      <c r="AK216" s="523" t="str">
        <f>IF(AND($R216&gt;0,données_step[[#This Row],[E_PTOT]]&gt;0),données_step[[#This Row],[E_PTOT]],"")</f>
        <v/>
      </c>
      <c r="AL216" s="523" t="str">
        <f>IF(AK216="","",(1-données_step[[#This Row],[E_PTOT]]/$AN$7)*100)</f>
        <v/>
      </c>
      <c r="AM216" s="523" t="str">
        <f t="shared" si="59"/>
        <v/>
      </c>
      <c r="AN216" s="523" t="str">
        <f t="shared" si="60"/>
        <v/>
      </c>
      <c r="AO216" s="523" t="str">
        <f t="shared" si="61"/>
        <v/>
      </c>
      <c r="AP216" s="523" t="e">
        <f>IF(((100-100/$AN$7*données_step[[#This Row],[E_PTOT]])/100*QTS)&lt;0,NA(),IF(OR(AM216&lt;0,AM216=""),NA(),((100-100/$AN$7*données_step[[#This Row],[E_PTOT]])/100*QTS)))</f>
        <v>#NUM!</v>
      </c>
      <c r="AQ216" s="524" t="e">
        <f t="shared" si="62"/>
        <v>#NUM!</v>
      </c>
      <c r="AR216" s="524" t="str">
        <f t="shared" si="63"/>
        <v/>
      </c>
      <c r="AY216" s="523" t="str">
        <f>_xlfn.IFNA(IF(données_step[[#This Row],[E_DCO]]&lt;=0,NA(),charge_entree[[#This Row],[ch_E_DCO]]/constanten!$B$8*1000),"")</f>
        <v/>
      </c>
      <c r="AZ216" s="523" t="str">
        <f>_xlfn.IFNA(IF(données_step[[#This Row],[E_NTOT]]&lt;=0,NA(),charge_entree[[#This Row],[ch_E_NTOT]]/constanten!$B$10*1000),"")</f>
        <v/>
      </c>
      <c r="BA216" s="523" t="str">
        <f>_xlfn.IFNA(IF(données_step[[#This Row],[E_NH4]]&lt;=0,NA(),charge_entree[[#This Row],[ch_E_NH4]]/constanten!$B$12*1000),"")</f>
        <v/>
      </c>
      <c r="BB216" s="523" t="str">
        <f>_xlfn.IFNA(IF(données_step[[#This Row],[E_COT]]&lt;=0,NA(),charge_entree[[#This Row],[ch_E_COT]]/constanten!$B$9*1000),"")</f>
        <v/>
      </c>
      <c r="BC216" s="523" t="str">
        <f>IFERROR(_xlfn.IFNA(IF(données_step[[#This Row],[E_PTOT]]&lt;=0,NA(),charge_entree[[#This Row],[ch_E_PTOT]]/constanten!$B$15*1000),""),"")</f>
        <v/>
      </c>
      <c r="BD216" s="535" t="e">
        <f>calculs!E216 * (1-0.4) / (données_step[[#This Row],[X_BA_VOL]]*données_step[[#This Row],[X_BACONC]])</f>
        <v>#VALUE!</v>
      </c>
      <c r="BE216" s="522" t="e">
        <f>(données_step[[#This Row],[X_BA_VOL]]*données_step[[#This Row],[X_BACONC]])/((données_step[[#This Row],[D_QTRAI2]]*données_step[[#This Row],[S_MES]]/1000)+(données_step[[#This Row],[X_BX_Q]]*données_step[[#This Row],[X_BXCONC]]))</f>
        <v>#VALUE!</v>
      </c>
      <c r="BF216" s="890" t="str">
        <f>IFERROR(données_step[[#This Row],[D_QTRAI]]/AY216*1000,"")</f>
        <v/>
      </c>
      <c r="BG216" s="535" t="str">
        <f>IFERROR(1-données_step[[#This Row],[S_DBO5]]/données_step[[#This Row],[E_DBO5]],"")</f>
        <v/>
      </c>
      <c r="BH216" s="536" t="str">
        <f>IFERROR(1-données_step[[#This Row],[S_DCO]]/données_step[[#This Row],[E_DCO]],"")</f>
        <v/>
      </c>
      <c r="BI216" s="535" t="str">
        <f>IFERROR(1-données_step[[#This Row],[S_COD]]/données_step[[#This Row],[E_COT]],"")</f>
        <v/>
      </c>
      <c r="BJ216" s="535" t="str">
        <f>IFERROR(1-données_step[[#This Row],[S_NH4]]/données_step[[#This Row],[E_NTOT]],"")</f>
        <v/>
      </c>
      <c r="BK216" s="535" t="str">
        <f>IFERROR(1-données_step[[#This Row],[S_PTOT]]/données_step[[#This Row],[E_PTOT]],"")</f>
        <v/>
      </c>
      <c r="BL216" s="521" t="str">
        <f>IFERROR(IF(données_step[[#This Row],[E_DCO]]/données_step[[#This Row],[E_DBO5]]=0,NA(),données_step[[#This Row],[E_DCO]]/données_step[[#This Row],[E_DBO5]]),"")</f>
        <v/>
      </c>
      <c r="BM216" s="521" t="str">
        <f>IFERROR(IF(données_step[[#This Row],[E_NH4]]/données_step[[#This Row],[E_NTOT]]=0,NA(),données_step[[#This Row],[E_NH4]]/données_step[[#This Row],[E_NTOT]]),"")</f>
        <v/>
      </c>
      <c r="BN216" s="521" t="str">
        <f>IFERROR(IF(données_step[[#This Row],[E_NTOT]]/données_step[[#This Row],[E_COT]]=0,NA(),données_step[[#This Row],[E_NTOT]]/données_step[[#This Row],[E_COT]]),"")</f>
        <v/>
      </c>
      <c r="BO216" s="521" t="str">
        <f>IFERROR(IF(données_step[[#This Row],[E_PTOT]]/données_step[[#This Row],[E_COT]]=0,NA(),données_step[[#This Row],[E_PTOT]]/données_step[[#This Row],[E_COT]]),"")</f>
        <v/>
      </c>
      <c r="BP216" s="521" t="e">
        <f>IF(données_step[[#This Row],[E_DCO]]/données_step[[#This Row],[E_COT]]=0,NA(),données_step[[#This Row],[E_DCO]]/données_step[[#This Row],[E_COT]])</f>
        <v>#DIV/0!</v>
      </c>
      <c r="BQ216" s="521" t="e">
        <f>IF(données_step[[#This Row],[E_NTOT]]/données_step[[#This Row],[E_DCO]]=0,NA(),données_step[[#This Row],[E_NTOT]]/données_step[[#This Row],[E_DCO]])</f>
        <v>#DIV/0!</v>
      </c>
      <c r="BR216" s="521" t="e">
        <f>IF(données_step[[#This Row],[E_PTOT]]/données_step[[#This Row],[E_DCO]]=0,NA(),données_step[[#This Row],[E_PTOT]]/données_step[[#This Row],[E_DCO]])</f>
        <v>#DIV/0!</v>
      </c>
      <c r="BS216" s="747" t="e">
        <f ca="1">test_NH4_temp(données_step[[#This Row],[S_NH4]],données_step[[#This Row],[Temp_eaux]])</f>
        <v>#NAME?</v>
      </c>
    </row>
    <row r="217" spans="1:71" x14ac:dyDescent="0.2">
      <c r="A217" s="222">
        <f>données_step[[#This Row],[Datum]]</f>
        <v>44768</v>
      </c>
      <c r="B217" s="223"/>
      <c r="C217" s="224">
        <f t="shared" si="49"/>
        <v>3</v>
      </c>
      <c r="D217" s="523" t="str">
        <f>IF(OR(données_step[[#This Row],[E_DBO5]]&lt;=0,données_step[[#This Row],[E_DBO5]]=""),"",données_step[[#This Row],[D_QTRAI]]*données_step[[#This Row],[E_DBO5]]/1000)</f>
        <v/>
      </c>
      <c r="E217" s="523" t="str">
        <f>IF(OR(données_step[[#This Row],[E_DCO]]&lt;=0,données_step[[#This Row],[E_DCO]]=""),"",données_step[[#This Row],[D_QTRAI]]*données_step[[#This Row],[E_DCO]]/1000)</f>
        <v/>
      </c>
      <c r="F217" s="523" t="str">
        <f>IF(OR(données_step[[#This Row],[E_COT]]&lt;=0,données_step[[#This Row],[E_COT]]=""),"",données_step[[#This Row],[D_QTRAI]]*données_step[[#This Row],[E_COT]]/1000)</f>
        <v/>
      </c>
      <c r="G217" s="523" t="str">
        <f>IF(OR(données_step[[#This Row],[E_NH4]]&lt;=0,données_step[[#This Row],[E_NH4]]=""),"",données_step[[#This Row],[D_QTRAI]]*données_step[[#This Row],[E_NH4]]/1000)</f>
        <v/>
      </c>
      <c r="H217" s="523" t="str">
        <f>IF(OR(données_step[[#This Row],[E_NTOT]]&lt;=0,données_step[[#This Row],[E_NTOT]]=""),"",données_step[[#This Row],[D_QTRAI]]*données_step[[#This Row],[E_NTOT]]/1000)</f>
        <v/>
      </c>
      <c r="I217" s="523" t="str">
        <f>IF(OR(données_step[[#This Row],[E_NTOT]]&lt;=0,données_step[[#This Row],[E_NTOT]]=""),"",données_step[[#This Row],[D_QTRAI]]*données_step[[#This Row],[E_PTOT]]/1000)</f>
        <v/>
      </c>
      <c r="J217" s="523" t="str">
        <f>IF(OR(données_step[[#This Row],[S_DBO5]]&lt;=0,données_step[[#This Row],[S_DBO5]]=""),"",données_step[[#This Row],[D_QTRAI]]*données_step[[#This Row],[S_DBO5]]/1000)</f>
        <v/>
      </c>
      <c r="K217" s="523" t="str">
        <f>IF(OR(données_step[[#This Row],[S_DCO]]&lt;=0,données_step[[#This Row],[S_DCO]]=""),"",données_step[[#This Row],[D_QTRAI]]*données_step[[#This Row],[S_DCO]]/1000)</f>
        <v/>
      </c>
      <c r="L217" s="523" t="str">
        <f>IF(OR(données_step[[#This Row],[S_COD]]&lt;=0,données_step[[#This Row],[S_COD]]=""),"",données_step[[#This Row],[D_QTRAI]]*données_step[[#This Row],[S_COD]]/1000)</f>
        <v/>
      </c>
      <c r="M217" s="523" t="str">
        <f>IF(OR(données_step[[#This Row],[S_NH4]]&lt;=0,données_step[[#This Row],[S_NH4]]=""),"",données_step[[#This Row],[D_QTRAI]]*données_step[[#This Row],[S_NH4]]/1000)</f>
        <v/>
      </c>
      <c r="N217" s="523" t="str">
        <f>IF(OR(données_step[[#This Row],[S_NO2]]&lt;=0,données_step[[#This Row],[S_NO2]]=""),"",données_step[[#This Row],[D_QTRAI]]*données_step[[#This Row],[S_NO2]]/1000)</f>
        <v/>
      </c>
      <c r="O217" s="523" t="str">
        <f>IF(OR(données_step[[#This Row],[S_NO3]]&lt;=0,données_step[[#This Row],[S_NO3]]=""),"",données_step[[#This Row],[D_QTRAI]]*données_step[[#This Row],[S_NO3]]/1000)</f>
        <v/>
      </c>
      <c r="P217" s="523" t="str">
        <f>IF(OR(données_step[[#This Row],[S_PTOT]]&lt;=0,données_step[[#This Row],[S_PTOT]]=""),"",données_step[[#This Row],[D_QTRAI]]*données_step[[#This Row],[S_PTOT]]/1000)</f>
        <v/>
      </c>
      <c r="Q217" s="523" t="str">
        <f>IF(OR(données_step[[#This Row],[S_MES]]&lt;=0,données_step[[#This Row],[S_MES]]=""),"",données_step[[#This Row],[D_QTRAI]]*données_step[[#This Row],[S_MES]]/1000)</f>
        <v/>
      </c>
      <c r="R217" s="523">
        <f>MAX(données_step[[#This Row],[D_QTRAI]],données_step[[#This Row],[D_QTRAI2]])</f>
        <v>0</v>
      </c>
      <c r="S217" s="523" t="str">
        <f>IF(AND($R217&gt;0,données_step[[#This Row],[E_DCO]]&gt;0),données_step[[#This Row],[E_DCO]],"")</f>
        <v/>
      </c>
      <c r="T217" s="523" t="str">
        <f>IF(S217="","",(1-données_step[[#This Row],[E_DCO]]/$V$7)*100)</f>
        <v/>
      </c>
      <c r="U217" s="523" t="str">
        <f t="shared" si="50"/>
        <v/>
      </c>
      <c r="V217" s="523" t="str">
        <f t="shared" si="51"/>
        <v/>
      </c>
      <c r="W217" s="523" t="str">
        <f t="shared" si="52"/>
        <v/>
      </c>
      <c r="X217" s="523" t="e">
        <f>IF(((100-100/$V$7*données_step[[#This Row],[E_DCO]])/100*QTS)&lt;0,NA(),IF(OR(U217&lt;0,U217=""),NA(),((100-100/$V$7*données_step[[#This Row],[E_DCO]])/100*QTS)))</f>
        <v>#NUM!</v>
      </c>
      <c r="Y217" s="523" t="str">
        <f>IF(AND($R217&gt;0,données_step[[#This Row],[E_COT]]&gt;0),données_step[[#This Row],[E_COT]],"")</f>
        <v/>
      </c>
      <c r="Z217" s="523" t="str">
        <f>IF(Y217="","",(1-données_step[[#This Row],[E_COT]]/$AB$7)*100)</f>
        <v/>
      </c>
      <c r="AA217" s="523" t="str">
        <f t="shared" si="53"/>
        <v/>
      </c>
      <c r="AB217" s="523" t="str">
        <f t="shared" si="54"/>
        <v/>
      </c>
      <c r="AC217" s="523" t="str">
        <f t="shared" si="55"/>
        <v/>
      </c>
      <c r="AD217" s="523" t="e">
        <f>IF(((100-100/$AB$7*données_step[[#This Row],[E_COT]])/100*QTS)&lt;0,NA(),IF(OR(AA217&lt;0,AA217=""),NA(),((100-100/$AB$7*données_step[[#This Row],[E_COT]])/100*QTS)))</f>
        <v>#NUM!</v>
      </c>
      <c r="AE217" s="523" t="str">
        <f>IF(AND($R217&gt;0,données_step[[#This Row],[E_NH4]]&gt;0),données_step[[#This Row],[E_NH4]],"")</f>
        <v/>
      </c>
      <c r="AF217" s="523" t="str">
        <f>IF(AE217="","",(1-données_step[[#This Row],[E_NH4]]/$AH$7)*100)</f>
        <v/>
      </c>
      <c r="AG217" s="523" t="str">
        <f t="shared" si="56"/>
        <v/>
      </c>
      <c r="AH217" s="523" t="str">
        <f t="shared" si="57"/>
        <v/>
      </c>
      <c r="AI217" s="523" t="str">
        <f t="shared" si="58"/>
        <v/>
      </c>
      <c r="AJ217" s="523" t="e">
        <f>IF(((100-100/$AH$7*données_step[[#This Row],[E_NH4]])/100*QTS)&lt;0,NA(),IF(OR(AG217&lt;0,AG217=""),NA(),((100-100/$AH$7*données_step[[#This Row],[E_NH4]])/100*QTS)))</f>
        <v>#NUM!</v>
      </c>
      <c r="AK217" s="523" t="str">
        <f>IF(AND($R217&gt;0,données_step[[#This Row],[E_PTOT]]&gt;0),données_step[[#This Row],[E_PTOT]],"")</f>
        <v/>
      </c>
      <c r="AL217" s="523" t="str">
        <f>IF(AK217="","",(1-données_step[[#This Row],[E_PTOT]]/$AN$7)*100)</f>
        <v/>
      </c>
      <c r="AM217" s="523" t="str">
        <f t="shared" si="59"/>
        <v/>
      </c>
      <c r="AN217" s="523" t="str">
        <f t="shared" si="60"/>
        <v/>
      </c>
      <c r="AO217" s="523" t="str">
        <f t="shared" si="61"/>
        <v/>
      </c>
      <c r="AP217" s="523" t="e">
        <f>IF(((100-100/$AN$7*données_step[[#This Row],[E_PTOT]])/100*QTS)&lt;0,NA(),IF(OR(AM217&lt;0,AM217=""),NA(),((100-100/$AN$7*données_step[[#This Row],[E_PTOT]])/100*QTS)))</f>
        <v>#NUM!</v>
      </c>
      <c r="AQ217" s="524" t="e">
        <f t="shared" si="62"/>
        <v>#NUM!</v>
      </c>
      <c r="AR217" s="524" t="str">
        <f t="shared" si="63"/>
        <v/>
      </c>
      <c r="AY217" s="523" t="str">
        <f>_xlfn.IFNA(IF(données_step[[#This Row],[E_DCO]]&lt;=0,NA(),charge_entree[[#This Row],[ch_E_DCO]]/constanten!$B$8*1000),"")</f>
        <v/>
      </c>
      <c r="AZ217" s="523" t="str">
        <f>_xlfn.IFNA(IF(données_step[[#This Row],[E_NTOT]]&lt;=0,NA(),charge_entree[[#This Row],[ch_E_NTOT]]/constanten!$B$10*1000),"")</f>
        <v/>
      </c>
      <c r="BA217" s="523" t="str">
        <f>_xlfn.IFNA(IF(données_step[[#This Row],[E_NH4]]&lt;=0,NA(),charge_entree[[#This Row],[ch_E_NH4]]/constanten!$B$12*1000),"")</f>
        <v/>
      </c>
      <c r="BB217" s="523" t="str">
        <f>_xlfn.IFNA(IF(données_step[[#This Row],[E_COT]]&lt;=0,NA(),charge_entree[[#This Row],[ch_E_COT]]/constanten!$B$9*1000),"")</f>
        <v/>
      </c>
      <c r="BC217" s="523" t="str">
        <f>IFERROR(_xlfn.IFNA(IF(données_step[[#This Row],[E_PTOT]]&lt;=0,NA(),charge_entree[[#This Row],[ch_E_PTOT]]/constanten!$B$15*1000),""),"")</f>
        <v/>
      </c>
      <c r="BD217" s="535" t="e">
        <f>calculs!E217 * (1-0.4) / (données_step[[#This Row],[X_BA_VOL]]*données_step[[#This Row],[X_BACONC]])</f>
        <v>#VALUE!</v>
      </c>
      <c r="BE217" s="522" t="e">
        <f>(données_step[[#This Row],[X_BA_VOL]]*données_step[[#This Row],[X_BACONC]])/((données_step[[#This Row],[D_QTRAI2]]*données_step[[#This Row],[S_MES]]/1000)+(données_step[[#This Row],[X_BX_Q]]*données_step[[#This Row],[X_BXCONC]]))</f>
        <v>#VALUE!</v>
      </c>
      <c r="BF217" s="890" t="str">
        <f>IFERROR(données_step[[#This Row],[D_QTRAI]]/AY217*1000,"")</f>
        <v/>
      </c>
      <c r="BG217" s="535" t="str">
        <f>IFERROR(1-données_step[[#This Row],[S_DBO5]]/données_step[[#This Row],[E_DBO5]],"")</f>
        <v/>
      </c>
      <c r="BH217" s="536" t="str">
        <f>IFERROR(1-données_step[[#This Row],[S_DCO]]/données_step[[#This Row],[E_DCO]],"")</f>
        <v/>
      </c>
      <c r="BI217" s="535" t="str">
        <f>IFERROR(1-données_step[[#This Row],[S_COD]]/données_step[[#This Row],[E_COT]],"")</f>
        <v/>
      </c>
      <c r="BJ217" s="535" t="str">
        <f>IFERROR(1-données_step[[#This Row],[S_NH4]]/données_step[[#This Row],[E_NTOT]],"")</f>
        <v/>
      </c>
      <c r="BK217" s="535" t="str">
        <f>IFERROR(1-données_step[[#This Row],[S_PTOT]]/données_step[[#This Row],[E_PTOT]],"")</f>
        <v/>
      </c>
      <c r="BL217" s="521" t="str">
        <f>IFERROR(IF(données_step[[#This Row],[E_DCO]]/données_step[[#This Row],[E_DBO5]]=0,NA(),données_step[[#This Row],[E_DCO]]/données_step[[#This Row],[E_DBO5]]),"")</f>
        <v/>
      </c>
      <c r="BM217" s="521" t="str">
        <f>IFERROR(IF(données_step[[#This Row],[E_NH4]]/données_step[[#This Row],[E_NTOT]]=0,NA(),données_step[[#This Row],[E_NH4]]/données_step[[#This Row],[E_NTOT]]),"")</f>
        <v/>
      </c>
      <c r="BN217" s="521" t="str">
        <f>IFERROR(IF(données_step[[#This Row],[E_NTOT]]/données_step[[#This Row],[E_COT]]=0,NA(),données_step[[#This Row],[E_NTOT]]/données_step[[#This Row],[E_COT]]),"")</f>
        <v/>
      </c>
      <c r="BO217" s="521" t="str">
        <f>IFERROR(IF(données_step[[#This Row],[E_PTOT]]/données_step[[#This Row],[E_COT]]=0,NA(),données_step[[#This Row],[E_PTOT]]/données_step[[#This Row],[E_COT]]),"")</f>
        <v/>
      </c>
      <c r="BP217" s="521" t="e">
        <f>IF(données_step[[#This Row],[E_DCO]]/données_step[[#This Row],[E_COT]]=0,NA(),données_step[[#This Row],[E_DCO]]/données_step[[#This Row],[E_COT]])</f>
        <v>#DIV/0!</v>
      </c>
      <c r="BQ217" s="521" t="e">
        <f>IF(données_step[[#This Row],[E_NTOT]]/données_step[[#This Row],[E_DCO]]=0,NA(),données_step[[#This Row],[E_NTOT]]/données_step[[#This Row],[E_DCO]])</f>
        <v>#DIV/0!</v>
      </c>
      <c r="BR217" s="521" t="e">
        <f>IF(données_step[[#This Row],[E_PTOT]]/données_step[[#This Row],[E_DCO]]=0,NA(),données_step[[#This Row],[E_PTOT]]/données_step[[#This Row],[E_DCO]])</f>
        <v>#DIV/0!</v>
      </c>
      <c r="BS217" s="747" t="e">
        <f ca="1">test_NH4_temp(données_step[[#This Row],[S_NH4]],données_step[[#This Row],[Temp_eaux]])</f>
        <v>#NAME?</v>
      </c>
    </row>
    <row r="218" spans="1:71" x14ac:dyDescent="0.2">
      <c r="A218" s="222">
        <f>données_step[[#This Row],[Datum]]</f>
        <v>44769</v>
      </c>
      <c r="B218" s="223"/>
      <c r="C218" s="224">
        <f t="shared" si="49"/>
        <v>4</v>
      </c>
      <c r="D218" s="523" t="str">
        <f>IF(OR(données_step[[#This Row],[E_DBO5]]&lt;=0,données_step[[#This Row],[E_DBO5]]=""),"",données_step[[#This Row],[D_QTRAI]]*données_step[[#This Row],[E_DBO5]]/1000)</f>
        <v/>
      </c>
      <c r="E218" s="523" t="str">
        <f>IF(OR(données_step[[#This Row],[E_DCO]]&lt;=0,données_step[[#This Row],[E_DCO]]=""),"",données_step[[#This Row],[D_QTRAI]]*données_step[[#This Row],[E_DCO]]/1000)</f>
        <v/>
      </c>
      <c r="F218" s="523" t="str">
        <f>IF(OR(données_step[[#This Row],[E_COT]]&lt;=0,données_step[[#This Row],[E_COT]]=""),"",données_step[[#This Row],[D_QTRAI]]*données_step[[#This Row],[E_COT]]/1000)</f>
        <v/>
      </c>
      <c r="G218" s="523" t="str">
        <f>IF(OR(données_step[[#This Row],[E_NH4]]&lt;=0,données_step[[#This Row],[E_NH4]]=""),"",données_step[[#This Row],[D_QTRAI]]*données_step[[#This Row],[E_NH4]]/1000)</f>
        <v/>
      </c>
      <c r="H218" s="523" t="str">
        <f>IF(OR(données_step[[#This Row],[E_NTOT]]&lt;=0,données_step[[#This Row],[E_NTOT]]=""),"",données_step[[#This Row],[D_QTRAI]]*données_step[[#This Row],[E_NTOT]]/1000)</f>
        <v/>
      </c>
      <c r="I218" s="523" t="str">
        <f>IF(OR(données_step[[#This Row],[E_NTOT]]&lt;=0,données_step[[#This Row],[E_NTOT]]=""),"",données_step[[#This Row],[D_QTRAI]]*données_step[[#This Row],[E_PTOT]]/1000)</f>
        <v/>
      </c>
      <c r="J218" s="523" t="str">
        <f>IF(OR(données_step[[#This Row],[S_DBO5]]&lt;=0,données_step[[#This Row],[S_DBO5]]=""),"",données_step[[#This Row],[D_QTRAI]]*données_step[[#This Row],[S_DBO5]]/1000)</f>
        <v/>
      </c>
      <c r="K218" s="523" t="str">
        <f>IF(OR(données_step[[#This Row],[S_DCO]]&lt;=0,données_step[[#This Row],[S_DCO]]=""),"",données_step[[#This Row],[D_QTRAI]]*données_step[[#This Row],[S_DCO]]/1000)</f>
        <v/>
      </c>
      <c r="L218" s="523" t="str">
        <f>IF(OR(données_step[[#This Row],[S_COD]]&lt;=0,données_step[[#This Row],[S_COD]]=""),"",données_step[[#This Row],[D_QTRAI]]*données_step[[#This Row],[S_COD]]/1000)</f>
        <v/>
      </c>
      <c r="M218" s="523" t="str">
        <f>IF(OR(données_step[[#This Row],[S_NH4]]&lt;=0,données_step[[#This Row],[S_NH4]]=""),"",données_step[[#This Row],[D_QTRAI]]*données_step[[#This Row],[S_NH4]]/1000)</f>
        <v/>
      </c>
      <c r="N218" s="523" t="str">
        <f>IF(OR(données_step[[#This Row],[S_NO2]]&lt;=0,données_step[[#This Row],[S_NO2]]=""),"",données_step[[#This Row],[D_QTRAI]]*données_step[[#This Row],[S_NO2]]/1000)</f>
        <v/>
      </c>
      <c r="O218" s="523" t="str">
        <f>IF(OR(données_step[[#This Row],[S_NO3]]&lt;=0,données_step[[#This Row],[S_NO3]]=""),"",données_step[[#This Row],[D_QTRAI]]*données_step[[#This Row],[S_NO3]]/1000)</f>
        <v/>
      </c>
      <c r="P218" s="523" t="str">
        <f>IF(OR(données_step[[#This Row],[S_PTOT]]&lt;=0,données_step[[#This Row],[S_PTOT]]=""),"",données_step[[#This Row],[D_QTRAI]]*données_step[[#This Row],[S_PTOT]]/1000)</f>
        <v/>
      </c>
      <c r="Q218" s="523" t="str">
        <f>IF(OR(données_step[[#This Row],[S_MES]]&lt;=0,données_step[[#This Row],[S_MES]]=""),"",données_step[[#This Row],[D_QTRAI]]*données_step[[#This Row],[S_MES]]/1000)</f>
        <v/>
      </c>
      <c r="R218" s="523">
        <f>MAX(données_step[[#This Row],[D_QTRAI]],données_step[[#This Row],[D_QTRAI2]])</f>
        <v>0</v>
      </c>
      <c r="S218" s="523" t="str">
        <f>IF(AND($R218&gt;0,données_step[[#This Row],[E_DCO]]&gt;0),données_step[[#This Row],[E_DCO]],"")</f>
        <v/>
      </c>
      <c r="T218" s="523" t="str">
        <f>IF(S218="","",(1-données_step[[#This Row],[E_DCO]]/$V$7)*100)</f>
        <v/>
      </c>
      <c r="U218" s="523" t="str">
        <f t="shared" si="50"/>
        <v/>
      </c>
      <c r="V218" s="523" t="str">
        <f t="shared" si="51"/>
        <v/>
      </c>
      <c r="W218" s="523" t="str">
        <f t="shared" si="52"/>
        <v/>
      </c>
      <c r="X218" s="523" t="e">
        <f>IF(((100-100/$V$7*données_step[[#This Row],[E_DCO]])/100*QTS)&lt;0,NA(),IF(OR(U218&lt;0,U218=""),NA(),((100-100/$V$7*données_step[[#This Row],[E_DCO]])/100*QTS)))</f>
        <v>#NUM!</v>
      </c>
      <c r="Y218" s="523" t="str">
        <f>IF(AND($R218&gt;0,données_step[[#This Row],[E_COT]]&gt;0),données_step[[#This Row],[E_COT]],"")</f>
        <v/>
      </c>
      <c r="Z218" s="523" t="str">
        <f>IF(Y218="","",(1-données_step[[#This Row],[E_COT]]/$AB$7)*100)</f>
        <v/>
      </c>
      <c r="AA218" s="523" t="str">
        <f t="shared" si="53"/>
        <v/>
      </c>
      <c r="AB218" s="523" t="str">
        <f t="shared" si="54"/>
        <v/>
      </c>
      <c r="AC218" s="523" t="str">
        <f t="shared" si="55"/>
        <v/>
      </c>
      <c r="AD218" s="523" t="e">
        <f>IF(((100-100/$AB$7*données_step[[#This Row],[E_COT]])/100*QTS)&lt;0,NA(),IF(OR(AA218&lt;0,AA218=""),NA(),((100-100/$AB$7*données_step[[#This Row],[E_COT]])/100*QTS)))</f>
        <v>#NUM!</v>
      </c>
      <c r="AE218" s="523" t="str">
        <f>IF(AND($R218&gt;0,données_step[[#This Row],[E_NH4]]&gt;0),données_step[[#This Row],[E_NH4]],"")</f>
        <v/>
      </c>
      <c r="AF218" s="523" t="str">
        <f>IF(AE218="","",(1-données_step[[#This Row],[E_NH4]]/$AH$7)*100)</f>
        <v/>
      </c>
      <c r="AG218" s="523" t="str">
        <f t="shared" si="56"/>
        <v/>
      </c>
      <c r="AH218" s="523" t="str">
        <f t="shared" si="57"/>
        <v/>
      </c>
      <c r="AI218" s="523" t="str">
        <f t="shared" si="58"/>
        <v/>
      </c>
      <c r="AJ218" s="523" t="e">
        <f>IF(((100-100/$AH$7*données_step[[#This Row],[E_NH4]])/100*QTS)&lt;0,NA(),IF(OR(AG218&lt;0,AG218=""),NA(),((100-100/$AH$7*données_step[[#This Row],[E_NH4]])/100*QTS)))</f>
        <v>#NUM!</v>
      </c>
      <c r="AK218" s="523" t="str">
        <f>IF(AND($R218&gt;0,données_step[[#This Row],[E_PTOT]]&gt;0),données_step[[#This Row],[E_PTOT]],"")</f>
        <v/>
      </c>
      <c r="AL218" s="523" t="str">
        <f>IF(AK218="","",(1-données_step[[#This Row],[E_PTOT]]/$AN$7)*100)</f>
        <v/>
      </c>
      <c r="AM218" s="523" t="str">
        <f t="shared" si="59"/>
        <v/>
      </c>
      <c r="AN218" s="523" t="str">
        <f t="shared" si="60"/>
        <v/>
      </c>
      <c r="AO218" s="523" t="str">
        <f t="shared" si="61"/>
        <v/>
      </c>
      <c r="AP218" s="523" t="e">
        <f>IF(((100-100/$AN$7*données_step[[#This Row],[E_PTOT]])/100*QTS)&lt;0,NA(),IF(OR(AM218&lt;0,AM218=""),NA(),((100-100/$AN$7*données_step[[#This Row],[E_PTOT]])/100*QTS)))</f>
        <v>#NUM!</v>
      </c>
      <c r="AQ218" s="524" t="e">
        <f t="shared" si="62"/>
        <v>#NUM!</v>
      </c>
      <c r="AR218" s="524" t="str">
        <f t="shared" si="63"/>
        <v/>
      </c>
      <c r="AY218" s="523" t="str">
        <f>_xlfn.IFNA(IF(données_step[[#This Row],[E_DCO]]&lt;=0,NA(),charge_entree[[#This Row],[ch_E_DCO]]/constanten!$B$8*1000),"")</f>
        <v/>
      </c>
      <c r="AZ218" s="523" t="str">
        <f>_xlfn.IFNA(IF(données_step[[#This Row],[E_NTOT]]&lt;=0,NA(),charge_entree[[#This Row],[ch_E_NTOT]]/constanten!$B$10*1000),"")</f>
        <v/>
      </c>
      <c r="BA218" s="523" t="str">
        <f>_xlfn.IFNA(IF(données_step[[#This Row],[E_NH4]]&lt;=0,NA(),charge_entree[[#This Row],[ch_E_NH4]]/constanten!$B$12*1000),"")</f>
        <v/>
      </c>
      <c r="BB218" s="523" t="str">
        <f>_xlfn.IFNA(IF(données_step[[#This Row],[E_COT]]&lt;=0,NA(),charge_entree[[#This Row],[ch_E_COT]]/constanten!$B$9*1000),"")</f>
        <v/>
      </c>
      <c r="BC218" s="523" t="str">
        <f>IFERROR(_xlfn.IFNA(IF(données_step[[#This Row],[E_PTOT]]&lt;=0,NA(),charge_entree[[#This Row],[ch_E_PTOT]]/constanten!$B$15*1000),""),"")</f>
        <v/>
      </c>
      <c r="BD218" s="535" t="e">
        <f>calculs!E218 * (1-0.4) / (données_step[[#This Row],[X_BA_VOL]]*données_step[[#This Row],[X_BACONC]])</f>
        <v>#VALUE!</v>
      </c>
      <c r="BE218" s="522" t="e">
        <f>(données_step[[#This Row],[X_BA_VOL]]*données_step[[#This Row],[X_BACONC]])/((données_step[[#This Row],[D_QTRAI2]]*données_step[[#This Row],[S_MES]]/1000)+(données_step[[#This Row],[X_BX_Q]]*données_step[[#This Row],[X_BXCONC]]))</f>
        <v>#VALUE!</v>
      </c>
      <c r="BF218" s="890" t="str">
        <f>IFERROR(données_step[[#This Row],[D_QTRAI]]/AY218*1000,"")</f>
        <v/>
      </c>
      <c r="BG218" s="535" t="str">
        <f>IFERROR(1-données_step[[#This Row],[S_DBO5]]/données_step[[#This Row],[E_DBO5]],"")</f>
        <v/>
      </c>
      <c r="BH218" s="536" t="str">
        <f>IFERROR(1-données_step[[#This Row],[S_DCO]]/données_step[[#This Row],[E_DCO]],"")</f>
        <v/>
      </c>
      <c r="BI218" s="535" t="str">
        <f>IFERROR(1-données_step[[#This Row],[S_COD]]/données_step[[#This Row],[E_COT]],"")</f>
        <v/>
      </c>
      <c r="BJ218" s="535" t="str">
        <f>IFERROR(1-données_step[[#This Row],[S_NH4]]/données_step[[#This Row],[E_NTOT]],"")</f>
        <v/>
      </c>
      <c r="BK218" s="535" t="str">
        <f>IFERROR(1-données_step[[#This Row],[S_PTOT]]/données_step[[#This Row],[E_PTOT]],"")</f>
        <v/>
      </c>
      <c r="BL218" s="521" t="str">
        <f>IFERROR(IF(données_step[[#This Row],[E_DCO]]/données_step[[#This Row],[E_DBO5]]=0,NA(),données_step[[#This Row],[E_DCO]]/données_step[[#This Row],[E_DBO5]]),"")</f>
        <v/>
      </c>
      <c r="BM218" s="521" t="str">
        <f>IFERROR(IF(données_step[[#This Row],[E_NH4]]/données_step[[#This Row],[E_NTOT]]=0,NA(),données_step[[#This Row],[E_NH4]]/données_step[[#This Row],[E_NTOT]]),"")</f>
        <v/>
      </c>
      <c r="BN218" s="521" t="str">
        <f>IFERROR(IF(données_step[[#This Row],[E_NTOT]]/données_step[[#This Row],[E_COT]]=0,NA(),données_step[[#This Row],[E_NTOT]]/données_step[[#This Row],[E_COT]]),"")</f>
        <v/>
      </c>
      <c r="BO218" s="521" t="str">
        <f>IFERROR(IF(données_step[[#This Row],[E_PTOT]]/données_step[[#This Row],[E_COT]]=0,NA(),données_step[[#This Row],[E_PTOT]]/données_step[[#This Row],[E_COT]]),"")</f>
        <v/>
      </c>
      <c r="BP218" s="521" t="e">
        <f>IF(données_step[[#This Row],[E_DCO]]/données_step[[#This Row],[E_COT]]=0,NA(),données_step[[#This Row],[E_DCO]]/données_step[[#This Row],[E_COT]])</f>
        <v>#DIV/0!</v>
      </c>
      <c r="BQ218" s="521" t="e">
        <f>IF(données_step[[#This Row],[E_NTOT]]/données_step[[#This Row],[E_DCO]]=0,NA(),données_step[[#This Row],[E_NTOT]]/données_step[[#This Row],[E_DCO]])</f>
        <v>#DIV/0!</v>
      </c>
      <c r="BR218" s="521" t="e">
        <f>IF(données_step[[#This Row],[E_PTOT]]/données_step[[#This Row],[E_DCO]]=0,NA(),données_step[[#This Row],[E_PTOT]]/données_step[[#This Row],[E_DCO]])</f>
        <v>#DIV/0!</v>
      </c>
      <c r="BS218" s="747" t="e">
        <f ca="1">test_NH4_temp(données_step[[#This Row],[S_NH4]],données_step[[#This Row],[Temp_eaux]])</f>
        <v>#NAME?</v>
      </c>
    </row>
    <row r="219" spans="1:71" x14ac:dyDescent="0.2">
      <c r="A219" s="222">
        <f>données_step[[#This Row],[Datum]]</f>
        <v>44770</v>
      </c>
      <c r="B219" s="223"/>
      <c r="C219" s="224">
        <f t="shared" si="49"/>
        <v>5</v>
      </c>
      <c r="D219" s="523" t="str">
        <f>IF(OR(données_step[[#This Row],[E_DBO5]]&lt;=0,données_step[[#This Row],[E_DBO5]]=""),"",données_step[[#This Row],[D_QTRAI]]*données_step[[#This Row],[E_DBO5]]/1000)</f>
        <v/>
      </c>
      <c r="E219" s="523" t="str">
        <f>IF(OR(données_step[[#This Row],[E_DCO]]&lt;=0,données_step[[#This Row],[E_DCO]]=""),"",données_step[[#This Row],[D_QTRAI]]*données_step[[#This Row],[E_DCO]]/1000)</f>
        <v/>
      </c>
      <c r="F219" s="523" t="str">
        <f>IF(OR(données_step[[#This Row],[E_COT]]&lt;=0,données_step[[#This Row],[E_COT]]=""),"",données_step[[#This Row],[D_QTRAI]]*données_step[[#This Row],[E_COT]]/1000)</f>
        <v/>
      </c>
      <c r="G219" s="523" t="str">
        <f>IF(OR(données_step[[#This Row],[E_NH4]]&lt;=0,données_step[[#This Row],[E_NH4]]=""),"",données_step[[#This Row],[D_QTRAI]]*données_step[[#This Row],[E_NH4]]/1000)</f>
        <v/>
      </c>
      <c r="H219" s="523" t="str">
        <f>IF(OR(données_step[[#This Row],[E_NTOT]]&lt;=0,données_step[[#This Row],[E_NTOT]]=""),"",données_step[[#This Row],[D_QTRAI]]*données_step[[#This Row],[E_NTOT]]/1000)</f>
        <v/>
      </c>
      <c r="I219" s="523" t="str">
        <f>IF(OR(données_step[[#This Row],[E_NTOT]]&lt;=0,données_step[[#This Row],[E_NTOT]]=""),"",données_step[[#This Row],[D_QTRAI]]*données_step[[#This Row],[E_PTOT]]/1000)</f>
        <v/>
      </c>
      <c r="J219" s="523" t="str">
        <f>IF(OR(données_step[[#This Row],[S_DBO5]]&lt;=0,données_step[[#This Row],[S_DBO5]]=""),"",données_step[[#This Row],[D_QTRAI]]*données_step[[#This Row],[S_DBO5]]/1000)</f>
        <v/>
      </c>
      <c r="K219" s="523" t="str">
        <f>IF(OR(données_step[[#This Row],[S_DCO]]&lt;=0,données_step[[#This Row],[S_DCO]]=""),"",données_step[[#This Row],[D_QTRAI]]*données_step[[#This Row],[S_DCO]]/1000)</f>
        <v/>
      </c>
      <c r="L219" s="523" t="str">
        <f>IF(OR(données_step[[#This Row],[S_COD]]&lt;=0,données_step[[#This Row],[S_COD]]=""),"",données_step[[#This Row],[D_QTRAI]]*données_step[[#This Row],[S_COD]]/1000)</f>
        <v/>
      </c>
      <c r="M219" s="523" t="str">
        <f>IF(OR(données_step[[#This Row],[S_NH4]]&lt;=0,données_step[[#This Row],[S_NH4]]=""),"",données_step[[#This Row],[D_QTRAI]]*données_step[[#This Row],[S_NH4]]/1000)</f>
        <v/>
      </c>
      <c r="N219" s="523" t="str">
        <f>IF(OR(données_step[[#This Row],[S_NO2]]&lt;=0,données_step[[#This Row],[S_NO2]]=""),"",données_step[[#This Row],[D_QTRAI]]*données_step[[#This Row],[S_NO2]]/1000)</f>
        <v/>
      </c>
      <c r="O219" s="523" t="str">
        <f>IF(OR(données_step[[#This Row],[S_NO3]]&lt;=0,données_step[[#This Row],[S_NO3]]=""),"",données_step[[#This Row],[D_QTRAI]]*données_step[[#This Row],[S_NO3]]/1000)</f>
        <v/>
      </c>
      <c r="P219" s="523" t="str">
        <f>IF(OR(données_step[[#This Row],[S_PTOT]]&lt;=0,données_step[[#This Row],[S_PTOT]]=""),"",données_step[[#This Row],[D_QTRAI]]*données_step[[#This Row],[S_PTOT]]/1000)</f>
        <v/>
      </c>
      <c r="Q219" s="523" t="str">
        <f>IF(OR(données_step[[#This Row],[S_MES]]&lt;=0,données_step[[#This Row],[S_MES]]=""),"",données_step[[#This Row],[D_QTRAI]]*données_step[[#This Row],[S_MES]]/1000)</f>
        <v/>
      </c>
      <c r="R219" s="523">
        <f>MAX(données_step[[#This Row],[D_QTRAI]],données_step[[#This Row],[D_QTRAI2]])</f>
        <v>0</v>
      </c>
      <c r="S219" s="523" t="str">
        <f>IF(AND($R219&gt;0,données_step[[#This Row],[E_DCO]]&gt;0),données_step[[#This Row],[E_DCO]],"")</f>
        <v/>
      </c>
      <c r="T219" s="523" t="str">
        <f>IF(S219="","",(1-données_step[[#This Row],[E_DCO]]/$V$7)*100)</f>
        <v/>
      </c>
      <c r="U219" s="523" t="str">
        <f t="shared" si="50"/>
        <v/>
      </c>
      <c r="V219" s="523" t="str">
        <f t="shared" si="51"/>
        <v/>
      </c>
      <c r="W219" s="523" t="str">
        <f t="shared" si="52"/>
        <v/>
      </c>
      <c r="X219" s="523" t="e">
        <f>IF(((100-100/$V$7*données_step[[#This Row],[E_DCO]])/100*QTS)&lt;0,NA(),IF(OR(U219&lt;0,U219=""),NA(),((100-100/$V$7*données_step[[#This Row],[E_DCO]])/100*QTS)))</f>
        <v>#NUM!</v>
      </c>
      <c r="Y219" s="523" t="str">
        <f>IF(AND($R219&gt;0,données_step[[#This Row],[E_COT]]&gt;0),données_step[[#This Row],[E_COT]],"")</f>
        <v/>
      </c>
      <c r="Z219" s="523" t="str">
        <f>IF(Y219="","",(1-données_step[[#This Row],[E_COT]]/$AB$7)*100)</f>
        <v/>
      </c>
      <c r="AA219" s="523" t="str">
        <f t="shared" si="53"/>
        <v/>
      </c>
      <c r="AB219" s="523" t="str">
        <f t="shared" si="54"/>
        <v/>
      </c>
      <c r="AC219" s="523" t="str">
        <f t="shared" si="55"/>
        <v/>
      </c>
      <c r="AD219" s="523" t="e">
        <f>IF(((100-100/$AB$7*données_step[[#This Row],[E_COT]])/100*QTS)&lt;0,NA(),IF(OR(AA219&lt;0,AA219=""),NA(),((100-100/$AB$7*données_step[[#This Row],[E_COT]])/100*QTS)))</f>
        <v>#NUM!</v>
      </c>
      <c r="AE219" s="523" t="str">
        <f>IF(AND($R219&gt;0,données_step[[#This Row],[E_NH4]]&gt;0),données_step[[#This Row],[E_NH4]],"")</f>
        <v/>
      </c>
      <c r="AF219" s="523" t="str">
        <f>IF(AE219="","",(1-données_step[[#This Row],[E_NH4]]/$AH$7)*100)</f>
        <v/>
      </c>
      <c r="AG219" s="523" t="str">
        <f t="shared" si="56"/>
        <v/>
      </c>
      <c r="AH219" s="523" t="str">
        <f t="shared" si="57"/>
        <v/>
      </c>
      <c r="AI219" s="523" t="str">
        <f t="shared" si="58"/>
        <v/>
      </c>
      <c r="AJ219" s="523" t="e">
        <f>IF(((100-100/$AH$7*données_step[[#This Row],[E_NH4]])/100*QTS)&lt;0,NA(),IF(OR(AG219&lt;0,AG219=""),NA(),((100-100/$AH$7*données_step[[#This Row],[E_NH4]])/100*QTS)))</f>
        <v>#NUM!</v>
      </c>
      <c r="AK219" s="523" t="str">
        <f>IF(AND($R219&gt;0,données_step[[#This Row],[E_PTOT]]&gt;0),données_step[[#This Row],[E_PTOT]],"")</f>
        <v/>
      </c>
      <c r="AL219" s="523" t="str">
        <f>IF(AK219="","",(1-données_step[[#This Row],[E_PTOT]]/$AN$7)*100)</f>
        <v/>
      </c>
      <c r="AM219" s="523" t="str">
        <f t="shared" si="59"/>
        <v/>
      </c>
      <c r="AN219" s="523" t="str">
        <f t="shared" si="60"/>
        <v/>
      </c>
      <c r="AO219" s="523" t="str">
        <f t="shared" si="61"/>
        <v/>
      </c>
      <c r="AP219" s="523" t="e">
        <f>IF(((100-100/$AN$7*données_step[[#This Row],[E_PTOT]])/100*QTS)&lt;0,NA(),IF(OR(AM219&lt;0,AM219=""),NA(),((100-100/$AN$7*données_step[[#This Row],[E_PTOT]])/100*QTS)))</f>
        <v>#NUM!</v>
      </c>
      <c r="AQ219" s="524" t="e">
        <f t="shared" si="62"/>
        <v>#NUM!</v>
      </c>
      <c r="AR219" s="524" t="str">
        <f t="shared" si="63"/>
        <v/>
      </c>
      <c r="AY219" s="523" t="str">
        <f>_xlfn.IFNA(IF(données_step[[#This Row],[E_DCO]]&lt;=0,NA(),charge_entree[[#This Row],[ch_E_DCO]]/constanten!$B$8*1000),"")</f>
        <v/>
      </c>
      <c r="AZ219" s="523" t="str">
        <f>_xlfn.IFNA(IF(données_step[[#This Row],[E_NTOT]]&lt;=0,NA(),charge_entree[[#This Row],[ch_E_NTOT]]/constanten!$B$10*1000),"")</f>
        <v/>
      </c>
      <c r="BA219" s="523" t="str">
        <f>_xlfn.IFNA(IF(données_step[[#This Row],[E_NH4]]&lt;=0,NA(),charge_entree[[#This Row],[ch_E_NH4]]/constanten!$B$12*1000),"")</f>
        <v/>
      </c>
      <c r="BB219" s="523" t="str">
        <f>_xlfn.IFNA(IF(données_step[[#This Row],[E_COT]]&lt;=0,NA(),charge_entree[[#This Row],[ch_E_COT]]/constanten!$B$9*1000),"")</f>
        <v/>
      </c>
      <c r="BC219" s="523" t="str">
        <f>IFERROR(_xlfn.IFNA(IF(données_step[[#This Row],[E_PTOT]]&lt;=0,NA(),charge_entree[[#This Row],[ch_E_PTOT]]/constanten!$B$15*1000),""),"")</f>
        <v/>
      </c>
      <c r="BD219" s="535" t="e">
        <f>calculs!E219 * (1-0.4) / (données_step[[#This Row],[X_BA_VOL]]*données_step[[#This Row],[X_BACONC]])</f>
        <v>#VALUE!</v>
      </c>
      <c r="BE219" s="522" t="e">
        <f>(données_step[[#This Row],[X_BA_VOL]]*données_step[[#This Row],[X_BACONC]])/((données_step[[#This Row],[D_QTRAI2]]*données_step[[#This Row],[S_MES]]/1000)+(données_step[[#This Row],[X_BX_Q]]*données_step[[#This Row],[X_BXCONC]]))</f>
        <v>#VALUE!</v>
      </c>
      <c r="BF219" s="890" t="str">
        <f>IFERROR(données_step[[#This Row],[D_QTRAI]]/AY219*1000,"")</f>
        <v/>
      </c>
      <c r="BG219" s="535" t="str">
        <f>IFERROR(1-données_step[[#This Row],[S_DBO5]]/données_step[[#This Row],[E_DBO5]],"")</f>
        <v/>
      </c>
      <c r="BH219" s="536" t="str">
        <f>IFERROR(1-données_step[[#This Row],[S_DCO]]/données_step[[#This Row],[E_DCO]],"")</f>
        <v/>
      </c>
      <c r="BI219" s="535" t="str">
        <f>IFERROR(1-données_step[[#This Row],[S_COD]]/données_step[[#This Row],[E_COT]],"")</f>
        <v/>
      </c>
      <c r="BJ219" s="535" t="str">
        <f>IFERROR(1-données_step[[#This Row],[S_NH4]]/données_step[[#This Row],[E_NTOT]],"")</f>
        <v/>
      </c>
      <c r="BK219" s="535" t="str">
        <f>IFERROR(1-données_step[[#This Row],[S_PTOT]]/données_step[[#This Row],[E_PTOT]],"")</f>
        <v/>
      </c>
      <c r="BL219" s="521" t="str">
        <f>IFERROR(IF(données_step[[#This Row],[E_DCO]]/données_step[[#This Row],[E_DBO5]]=0,NA(),données_step[[#This Row],[E_DCO]]/données_step[[#This Row],[E_DBO5]]),"")</f>
        <v/>
      </c>
      <c r="BM219" s="521" t="str">
        <f>IFERROR(IF(données_step[[#This Row],[E_NH4]]/données_step[[#This Row],[E_NTOT]]=0,NA(),données_step[[#This Row],[E_NH4]]/données_step[[#This Row],[E_NTOT]]),"")</f>
        <v/>
      </c>
      <c r="BN219" s="521" t="str">
        <f>IFERROR(IF(données_step[[#This Row],[E_NTOT]]/données_step[[#This Row],[E_COT]]=0,NA(),données_step[[#This Row],[E_NTOT]]/données_step[[#This Row],[E_COT]]),"")</f>
        <v/>
      </c>
      <c r="BO219" s="521" t="str">
        <f>IFERROR(IF(données_step[[#This Row],[E_PTOT]]/données_step[[#This Row],[E_COT]]=0,NA(),données_step[[#This Row],[E_PTOT]]/données_step[[#This Row],[E_COT]]),"")</f>
        <v/>
      </c>
      <c r="BP219" s="521" t="e">
        <f>IF(données_step[[#This Row],[E_DCO]]/données_step[[#This Row],[E_COT]]=0,NA(),données_step[[#This Row],[E_DCO]]/données_step[[#This Row],[E_COT]])</f>
        <v>#DIV/0!</v>
      </c>
      <c r="BQ219" s="521" t="e">
        <f>IF(données_step[[#This Row],[E_NTOT]]/données_step[[#This Row],[E_DCO]]=0,NA(),données_step[[#This Row],[E_NTOT]]/données_step[[#This Row],[E_DCO]])</f>
        <v>#DIV/0!</v>
      </c>
      <c r="BR219" s="521" t="e">
        <f>IF(données_step[[#This Row],[E_PTOT]]/données_step[[#This Row],[E_DCO]]=0,NA(),données_step[[#This Row],[E_PTOT]]/données_step[[#This Row],[E_DCO]])</f>
        <v>#DIV/0!</v>
      </c>
      <c r="BS219" s="747" t="e">
        <f ca="1">test_NH4_temp(données_step[[#This Row],[S_NH4]],données_step[[#This Row],[Temp_eaux]])</f>
        <v>#NAME?</v>
      </c>
    </row>
    <row r="220" spans="1:71" x14ac:dyDescent="0.2">
      <c r="A220" s="222">
        <f>données_step[[#This Row],[Datum]]</f>
        <v>44771</v>
      </c>
      <c r="B220" s="223"/>
      <c r="C220" s="224">
        <f t="shared" si="49"/>
        <v>6</v>
      </c>
      <c r="D220" s="523" t="str">
        <f>IF(OR(données_step[[#This Row],[E_DBO5]]&lt;=0,données_step[[#This Row],[E_DBO5]]=""),"",données_step[[#This Row],[D_QTRAI]]*données_step[[#This Row],[E_DBO5]]/1000)</f>
        <v/>
      </c>
      <c r="E220" s="523" t="str">
        <f>IF(OR(données_step[[#This Row],[E_DCO]]&lt;=0,données_step[[#This Row],[E_DCO]]=""),"",données_step[[#This Row],[D_QTRAI]]*données_step[[#This Row],[E_DCO]]/1000)</f>
        <v/>
      </c>
      <c r="F220" s="523" t="str">
        <f>IF(OR(données_step[[#This Row],[E_COT]]&lt;=0,données_step[[#This Row],[E_COT]]=""),"",données_step[[#This Row],[D_QTRAI]]*données_step[[#This Row],[E_COT]]/1000)</f>
        <v/>
      </c>
      <c r="G220" s="523" t="str">
        <f>IF(OR(données_step[[#This Row],[E_NH4]]&lt;=0,données_step[[#This Row],[E_NH4]]=""),"",données_step[[#This Row],[D_QTRAI]]*données_step[[#This Row],[E_NH4]]/1000)</f>
        <v/>
      </c>
      <c r="H220" s="523" t="str">
        <f>IF(OR(données_step[[#This Row],[E_NTOT]]&lt;=0,données_step[[#This Row],[E_NTOT]]=""),"",données_step[[#This Row],[D_QTRAI]]*données_step[[#This Row],[E_NTOT]]/1000)</f>
        <v/>
      </c>
      <c r="I220" s="523" t="str">
        <f>IF(OR(données_step[[#This Row],[E_NTOT]]&lt;=0,données_step[[#This Row],[E_NTOT]]=""),"",données_step[[#This Row],[D_QTRAI]]*données_step[[#This Row],[E_PTOT]]/1000)</f>
        <v/>
      </c>
      <c r="J220" s="523" t="str">
        <f>IF(OR(données_step[[#This Row],[S_DBO5]]&lt;=0,données_step[[#This Row],[S_DBO5]]=""),"",données_step[[#This Row],[D_QTRAI]]*données_step[[#This Row],[S_DBO5]]/1000)</f>
        <v/>
      </c>
      <c r="K220" s="523" t="str">
        <f>IF(OR(données_step[[#This Row],[S_DCO]]&lt;=0,données_step[[#This Row],[S_DCO]]=""),"",données_step[[#This Row],[D_QTRAI]]*données_step[[#This Row],[S_DCO]]/1000)</f>
        <v/>
      </c>
      <c r="L220" s="523" t="str">
        <f>IF(OR(données_step[[#This Row],[S_COD]]&lt;=0,données_step[[#This Row],[S_COD]]=""),"",données_step[[#This Row],[D_QTRAI]]*données_step[[#This Row],[S_COD]]/1000)</f>
        <v/>
      </c>
      <c r="M220" s="523" t="str">
        <f>IF(OR(données_step[[#This Row],[S_NH4]]&lt;=0,données_step[[#This Row],[S_NH4]]=""),"",données_step[[#This Row],[D_QTRAI]]*données_step[[#This Row],[S_NH4]]/1000)</f>
        <v/>
      </c>
      <c r="N220" s="523" t="str">
        <f>IF(OR(données_step[[#This Row],[S_NO2]]&lt;=0,données_step[[#This Row],[S_NO2]]=""),"",données_step[[#This Row],[D_QTRAI]]*données_step[[#This Row],[S_NO2]]/1000)</f>
        <v/>
      </c>
      <c r="O220" s="523" t="str">
        <f>IF(OR(données_step[[#This Row],[S_NO3]]&lt;=0,données_step[[#This Row],[S_NO3]]=""),"",données_step[[#This Row],[D_QTRAI]]*données_step[[#This Row],[S_NO3]]/1000)</f>
        <v/>
      </c>
      <c r="P220" s="523" t="str">
        <f>IF(OR(données_step[[#This Row],[S_PTOT]]&lt;=0,données_step[[#This Row],[S_PTOT]]=""),"",données_step[[#This Row],[D_QTRAI]]*données_step[[#This Row],[S_PTOT]]/1000)</f>
        <v/>
      </c>
      <c r="Q220" s="523" t="str">
        <f>IF(OR(données_step[[#This Row],[S_MES]]&lt;=0,données_step[[#This Row],[S_MES]]=""),"",données_step[[#This Row],[D_QTRAI]]*données_step[[#This Row],[S_MES]]/1000)</f>
        <v/>
      </c>
      <c r="R220" s="523">
        <f>MAX(données_step[[#This Row],[D_QTRAI]],données_step[[#This Row],[D_QTRAI2]])</f>
        <v>0</v>
      </c>
      <c r="S220" s="523" t="str">
        <f>IF(AND($R220&gt;0,données_step[[#This Row],[E_DCO]]&gt;0),données_step[[#This Row],[E_DCO]],"")</f>
        <v/>
      </c>
      <c r="T220" s="523" t="str">
        <f>IF(S220="","",(1-données_step[[#This Row],[E_DCO]]/$V$7)*100)</f>
        <v/>
      </c>
      <c r="U220" s="523" t="str">
        <f t="shared" si="50"/>
        <v/>
      </c>
      <c r="V220" s="523" t="str">
        <f t="shared" si="51"/>
        <v/>
      </c>
      <c r="W220" s="523" t="str">
        <f t="shared" si="52"/>
        <v/>
      </c>
      <c r="X220" s="523" t="e">
        <f>IF(((100-100/$V$7*données_step[[#This Row],[E_DCO]])/100*QTS)&lt;0,NA(),IF(OR(U220&lt;0,U220=""),NA(),((100-100/$V$7*données_step[[#This Row],[E_DCO]])/100*QTS)))</f>
        <v>#NUM!</v>
      </c>
      <c r="Y220" s="523" t="str">
        <f>IF(AND($R220&gt;0,données_step[[#This Row],[E_COT]]&gt;0),données_step[[#This Row],[E_COT]],"")</f>
        <v/>
      </c>
      <c r="Z220" s="523" t="str">
        <f>IF(Y220="","",(1-données_step[[#This Row],[E_COT]]/$AB$7)*100)</f>
        <v/>
      </c>
      <c r="AA220" s="523" t="str">
        <f t="shared" si="53"/>
        <v/>
      </c>
      <c r="AB220" s="523" t="str">
        <f t="shared" si="54"/>
        <v/>
      </c>
      <c r="AC220" s="523" t="str">
        <f t="shared" si="55"/>
        <v/>
      </c>
      <c r="AD220" s="523" t="e">
        <f>IF(((100-100/$AB$7*données_step[[#This Row],[E_COT]])/100*QTS)&lt;0,NA(),IF(OR(AA220&lt;0,AA220=""),NA(),((100-100/$AB$7*données_step[[#This Row],[E_COT]])/100*QTS)))</f>
        <v>#NUM!</v>
      </c>
      <c r="AE220" s="523" t="str">
        <f>IF(AND($R220&gt;0,données_step[[#This Row],[E_NH4]]&gt;0),données_step[[#This Row],[E_NH4]],"")</f>
        <v/>
      </c>
      <c r="AF220" s="523" t="str">
        <f>IF(AE220="","",(1-données_step[[#This Row],[E_NH4]]/$AH$7)*100)</f>
        <v/>
      </c>
      <c r="AG220" s="523" t="str">
        <f t="shared" si="56"/>
        <v/>
      </c>
      <c r="AH220" s="523" t="str">
        <f t="shared" si="57"/>
        <v/>
      </c>
      <c r="AI220" s="523" t="str">
        <f t="shared" si="58"/>
        <v/>
      </c>
      <c r="AJ220" s="523" t="e">
        <f>IF(((100-100/$AH$7*données_step[[#This Row],[E_NH4]])/100*QTS)&lt;0,NA(),IF(OR(AG220&lt;0,AG220=""),NA(),((100-100/$AH$7*données_step[[#This Row],[E_NH4]])/100*QTS)))</f>
        <v>#NUM!</v>
      </c>
      <c r="AK220" s="523" t="str">
        <f>IF(AND($R220&gt;0,données_step[[#This Row],[E_PTOT]]&gt;0),données_step[[#This Row],[E_PTOT]],"")</f>
        <v/>
      </c>
      <c r="AL220" s="523" t="str">
        <f>IF(AK220="","",(1-données_step[[#This Row],[E_PTOT]]/$AN$7)*100)</f>
        <v/>
      </c>
      <c r="AM220" s="523" t="str">
        <f t="shared" si="59"/>
        <v/>
      </c>
      <c r="AN220" s="523" t="str">
        <f t="shared" si="60"/>
        <v/>
      </c>
      <c r="AO220" s="523" t="str">
        <f t="shared" si="61"/>
        <v/>
      </c>
      <c r="AP220" s="523" t="e">
        <f>IF(((100-100/$AN$7*données_step[[#This Row],[E_PTOT]])/100*QTS)&lt;0,NA(),IF(OR(AM220&lt;0,AM220=""),NA(),((100-100/$AN$7*données_step[[#This Row],[E_PTOT]])/100*QTS)))</f>
        <v>#NUM!</v>
      </c>
      <c r="AQ220" s="524" t="e">
        <f t="shared" si="62"/>
        <v>#NUM!</v>
      </c>
      <c r="AR220" s="524" t="str">
        <f t="shared" si="63"/>
        <v/>
      </c>
      <c r="AY220" s="523" t="str">
        <f>_xlfn.IFNA(IF(données_step[[#This Row],[E_DCO]]&lt;=0,NA(),charge_entree[[#This Row],[ch_E_DCO]]/constanten!$B$8*1000),"")</f>
        <v/>
      </c>
      <c r="AZ220" s="523" t="str">
        <f>_xlfn.IFNA(IF(données_step[[#This Row],[E_NTOT]]&lt;=0,NA(),charge_entree[[#This Row],[ch_E_NTOT]]/constanten!$B$10*1000),"")</f>
        <v/>
      </c>
      <c r="BA220" s="523" t="str">
        <f>_xlfn.IFNA(IF(données_step[[#This Row],[E_NH4]]&lt;=0,NA(),charge_entree[[#This Row],[ch_E_NH4]]/constanten!$B$12*1000),"")</f>
        <v/>
      </c>
      <c r="BB220" s="523" t="str">
        <f>_xlfn.IFNA(IF(données_step[[#This Row],[E_COT]]&lt;=0,NA(),charge_entree[[#This Row],[ch_E_COT]]/constanten!$B$9*1000),"")</f>
        <v/>
      </c>
      <c r="BC220" s="523" t="str">
        <f>IFERROR(_xlfn.IFNA(IF(données_step[[#This Row],[E_PTOT]]&lt;=0,NA(),charge_entree[[#This Row],[ch_E_PTOT]]/constanten!$B$15*1000),""),"")</f>
        <v/>
      </c>
      <c r="BD220" s="535" t="e">
        <f>calculs!E220 * (1-0.4) / (données_step[[#This Row],[X_BA_VOL]]*données_step[[#This Row],[X_BACONC]])</f>
        <v>#VALUE!</v>
      </c>
      <c r="BE220" s="522" t="e">
        <f>(données_step[[#This Row],[X_BA_VOL]]*données_step[[#This Row],[X_BACONC]])/((données_step[[#This Row],[D_QTRAI2]]*données_step[[#This Row],[S_MES]]/1000)+(données_step[[#This Row],[X_BX_Q]]*données_step[[#This Row],[X_BXCONC]]))</f>
        <v>#VALUE!</v>
      </c>
      <c r="BF220" s="890" t="str">
        <f>IFERROR(données_step[[#This Row],[D_QTRAI]]/AY220*1000,"")</f>
        <v/>
      </c>
      <c r="BG220" s="535" t="str">
        <f>IFERROR(1-données_step[[#This Row],[S_DBO5]]/données_step[[#This Row],[E_DBO5]],"")</f>
        <v/>
      </c>
      <c r="BH220" s="536" t="str">
        <f>IFERROR(1-données_step[[#This Row],[S_DCO]]/données_step[[#This Row],[E_DCO]],"")</f>
        <v/>
      </c>
      <c r="BI220" s="535" t="str">
        <f>IFERROR(1-données_step[[#This Row],[S_COD]]/données_step[[#This Row],[E_COT]],"")</f>
        <v/>
      </c>
      <c r="BJ220" s="535" t="str">
        <f>IFERROR(1-données_step[[#This Row],[S_NH4]]/données_step[[#This Row],[E_NTOT]],"")</f>
        <v/>
      </c>
      <c r="BK220" s="535" t="str">
        <f>IFERROR(1-données_step[[#This Row],[S_PTOT]]/données_step[[#This Row],[E_PTOT]],"")</f>
        <v/>
      </c>
      <c r="BL220" s="521" t="str">
        <f>IFERROR(IF(données_step[[#This Row],[E_DCO]]/données_step[[#This Row],[E_DBO5]]=0,NA(),données_step[[#This Row],[E_DCO]]/données_step[[#This Row],[E_DBO5]]),"")</f>
        <v/>
      </c>
      <c r="BM220" s="521" t="str">
        <f>IFERROR(IF(données_step[[#This Row],[E_NH4]]/données_step[[#This Row],[E_NTOT]]=0,NA(),données_step[[#This Row],[E_NH4]]/données_step[[#This Row],[E_NTOT]]),"")</f>
        <v/>
      </c>
      <c r="BN220" s="521" t="str">
        <f>IFERROR(IF(données_step[[#This Row],[E_NTOT]]/données_step[[#This Row],[E_COT]]=0,NA(),données_step[[#This Row],[E_NTOT]]/données_step[[#This Row],[E_COT]]),"")</f>
        <v/>
      </c>
      <c r="BO220" s="521" t="str">
        <f>IFERROR(IF(données_step[[#This Row],[E_PTOT]]/données_step[[#This Row],[E_COT]]=0,NA(),données_step[[#This Row],[E_PTOT]]/données_step[[#This Row],[E_COT]]),"")</f>
        <v/>
      </c>
      <c r="BP220" s="521" t="e">
        <f>IF(données_step[[#This Row],[E_DCO]]/données_step[[#This Row],[E_COT]]=0,NA(),données_step[[#This Row],[E_DCO]]/données_step[[#This Row],[E_COT]])</f>
        <v>#DIV/0!</v>
      </c>
      <c r="BQ220" s="521" t="e">
        <f>IF(données_step[[#This Row],[E_NTOT]]/données_step[[#This Row],[E_DCO]]=0,NA(),données_step[[#This Row],[E_NTOT]]/données_step[[#This Row],[E_DCO]])</f>
        <v>#DIV/0!</v>
      </c>
      <c r="BR220" s="521" t="e">
        <f>IF(données_step[[#This Row],[E_PTOT]]/données_step[[#This Row],[E_DCO]]=0,NA(),données_step[[#This Row],[E_PTOT]]/données_step[[#This Row],[E_DCO]])</f>
        <v>#DIV/0!</v>
      </c>
      <c r="BS220" s="747" t="e">
        <f ca="1">test_NH4_temp(données_step[[#This Row],[S_NH4]],données_step[[#This Row],[Temp_eaux]])</f>
        <v>#NAME?</v>
      </c>
    </row>
    <row r="221" spans="1:71" x14ac:dyDescent="0.2">
      <c r="A221" s="222">
        <f>données_step[[#This Row],[Datum]]</f>
        <v>44772</v>
      </c>
      <c r="B221" s="223"/>
      <c r="C221" s="224">
        <f t="shared" si="49"/>
        <v>7</v>
      </c>
      <c r="D221" s="523" t="str">
        <f>IF(OR(données_step[[#This Row],[E_DBO5]]&lt;=0,données_step[[#This Row],[E_DBO5]]=""),"",données_step[[#This Row],[D_QTRAI]]*données_step[[#This Row],[E_DBO5]]/1000)</f>
        <v/>
      </c>
      <c r="E221" s="523" t="str">
        <f>IF(OR(données_step[[#This Row],[E_DCO]]&lt;=0,données_step[[#This Row],[E_DCO]]=""),"",données_step[[#This Row],[D_QTRAI]]*données_step[[#This Row],[E_DCO]]/1000)</f>
        <v/>
      </c>
      <c r="F221" s="523" t="str">
        <f>IF(OR(données_step[[#This Row],[E_COT]]&lt;=0,données_step[[#This Row],[E_COT]]=""),"",données_step[[#This Row],[D_QTRAI]]*données_step[[#This Row],[E_COT]]/1000)</f>
        <v/>
      </c>
      <c r="G221" s="523" t="str">
        <f>IF(OR(données_step[[#This Row],[E_NH4]]&lt;=0,données_step[[#This Row],[E_NH4]]=""),"",données_step[[#This Row],[D_QTRAI]]*données_step[[#This Row],[E_NH4]]/1000)</f>
        <v/>
      </c>
      <c r="H221" s="523" t="str">
        <f>IF(OR(données_step[[#This Row],[E_NTOT]]&lt;=0,données_step[[#This Row],[E_NTOT]]=""),"",données_step[[#This Row],[D_QTRAI]]*données_step[[#This Row],[E_NTOT]]/1000)</f>
        <v/>
      </c>
      <c r="I221" s="523" t="str">
        <f>IF(OR(données_step[[#This Row],[E_NTOT]]&lt;=0,données_step[[#This Row],[E_NTOT]]=""),"",données_step[[#This Row],[D_QTRAI]]*données_step[[#This Row],[E_PTOT]]/1000)</f>
        <v/>
      </c>
      <c r="J221" s="523" t="str">
        <f>IF(OR(données_step[[#This Row],[S_DBO5]]&lt;=0,données_step[[#This Row],[S_DBO5]]=""),"",données_step[[#This Row],[D_QTRAI]]*données_step[[#This Row],[S_DBO5]]/1000)</f>
        <v/>
      </c>
      <c r="K221" s="523" t="str">
        <f>IF(OR(données_step[[#This Row],[S_DCO]]&lt;=0,données_step[[#This Row],[S_DCO]]=""),"",données_step[[#This Row],[D_QTRAI]]*données_step[[#This Row],[S_DCO]]/1000)</f>
        <v/>
      </c>
      <c r="L221" s="523" t="str">
        <f>IF(OR(données_step[[#This Row],[S_COD]]&lt;=0,données_step[[#This Row],[S_COD]]=""),"",données_step[[#This Row],[D_QTRAI]]*données_step[[#This Row],[S_COD]]/1000)</f>
        <v/>
      </c>
      <c r="M221" s="523" t="str">
        <f>IF(OR(données_step[[#This Row],[S_NH4]]&lt;=0,données_step[[#This Row],[S_NH4]]=""),"",données_step[[#This Row],[D_QTRAI]]*données_step[[#This Row],[S_NH4]]/1000)</f>
        <v/>
      </c>
      <c r="N221" s="523" t="str">
        <f>IF(OR(données_step[[#This Row],[S_NO2]]&lt;=0,données_step[[#This Row],[S_NO2]]=""),"",données_step[[#This Row],[D_QTRAI]]*données_step[[#This Row],[S_NO2]]/1000)</f>
        <v/>
      </c>
      <c r="O221" s="523" t="str">
        <f>IF(OR(données_step[[#This Row],[S_NO3]]&lt;=0,données_step[[#This Row],[S_NO3]]=""),"",données_step[[#This Row],[D_QTRAI]]*données_step[[#This Row],[S_NO3]]/1000)</f>
        <v/>
      </c>
      <c r="P221" s="523" t="str">
        <f>IF(OR(données_step[[#This Row],[S_PTOT]]&lt;=0,données_step[[#This Row],[S_PTOT]]=""),"",données_step[[#This Row],[D_QTRAI]]*données_step[[#This Row],[S_PTOT]]/1000)</f>
        <v/>
      </c>
      <c r="Q221" s="523" t="str">
        <f>IF(OR(données_step[[#This Row],[S_MES]]&lt;=0,données_step[[#This Row],[S_MES]]=""),"",données_step[[#This Row],[D_QTRAI]]*données_step[[#This Row],[S_MES]]/1000)</f>
        <v/>
      </c>
      <c r="R221" s="523">
        <f>MAX(données_step[[#This Row],[D_QTRAI]],données_step[[#This Row],[D_QTRAI2]])</f>
        <v>0</v>
      </c>
      <c r="S221" s="523" t="str">
        <f>IF(AND($R221&gt;0,données_step[[#This Row],[E_DCO]]&gt;0),données_step[[#This Row],[E_DCO]],"")</f>
        <v/>
      </c>
      <c r="T221" s="523" t="str">
        <f>IF(S221="","",(1-données_step[[#This Row],[E_DCO]]/$V$7)*100)</f>
        <v/>
      </c>
      <c r="U221" s="523" t="str">
        <f t="shared" si="50"/>
        <v/>
      </c>
      <c r="V221" s="523" t="str">
        <f t="shared" si="51"/>
        <v/>
      </c>
      <c r="W221" s="523" t="str">
        <f t="shared" si="52"/>
        <v/>
      </c>
      <c r="X221" s="523" t="e">
        <f>IF(((100-100/$V$7*données_step[[#This Row],[E_DCO]])/100*QTS)&lt;0,NA(),IF(OR(U221&lt;0,U221=""),NA(),((100-100/$V$7*données_step[[#This Row],[E_DCO]])/100*QTS)))</f>
        <v>#NUM!</v>
      </c>
      <c r="Y221" s="523" t="str">
        <f>IF(AND($R221&gt;0,données_step[[#This Row],[E_COT]]&gt;0),données_step[[#This Row],[E_COT]],"")</f>
        <v/>
      </c>
      <c r="Z221" s="523" t="str">
        <f>IF(Y221="","",(1-données_step[[#This Row],[E_COT]]/$AB$7)*100)</f>
        <v/>
      </c>
      <c r="AA221" s="523" t="str">
        <f t="shared" si="53"/>
        <v/>
      </c>
      <c r="AB221" s="523" t="str">
        <f t="shared" si="54"/>
        <v/>
      </c>
      <c r="AC221" s="523" t="str">
        <f t="shared" si="55"/>
        <v/>
      </c>
      <c r="AD221" s="523" t="e">
        <f>IF(((100-100/$AB$7*données_step[[#This Row],[E_COT]])/100*QTS)&lt;0,NA(),IF(OR(AA221&lt;0,AA221=""),NA(),((100-100/$AB$7*données_step[[#This Row],[E_COT]])/100*QTS)))</f>
        <v>#NUM!</v>
      </c>
      <c r="AE221" s="523" t="str">
        <f>IF(AND($R221&gt;0,données_step[[#This Row],[E_NH4]]&gt;0),données_step[[#This Row],[E_NH4]],"")</f>
        <v/>
      </c>
      <c r="AF221" s="523" t="str">
        <f>IF(AE221="","",(1-données_step[[#This Row],[E_NH4]]/$AH$7)*100)</f>
        <v/>
      </c>
      <c r="AG221" s="523" t="str">
        <f t="shared" si="56"/>
        <v/>
      </c>
      <c r="AH221" s="523" t="str">
        <f t="shared" si="57"/>
        <v/>
      </c>
      <c r="AI221" s="523" t="str">
        <f t="shared" si="58"/>
        <v/>
      </c>
      <c r="AJ221" s="523" t="e">
        <f>IF(((100-100/$AH$7*données_step[[#This Row],[E_NH4]])/100*QTS)&lt;0,NA(),IF(OR(AG221&lt;0,AG221=""),NA(),((100-100/$AH$7*données_step[[#This Row],[E_NH4]])/100*QTS)))</f>
        <v>#NUM!</v>
      </c>
      <c r="AK221" s="523" t="str">
        <f>IF(AND($R221&gt;0,données_step[[#This Row],[E_PTOT]]&gt;0),données_step[[#This Row],[E_PTOT]],"")</f>
        <v/>
      </c>
      <c r="AL221" s="523" t="str">
        <f>IF(AK221="","",(1-données_step[[#This Row],[E_PTOT]]/$AN$7)*100)</f>
        <v/>
      </c>
      <c r="AM221" s="523" t="str">
        <f t="shared" si="59"/>
        <v/>
      </c>
      <c r="AN221" s="523" t="str">
        <f t="shared" si="60"/>
        <v/>
      </c>
      <c r="AO221" s="523" t="str">
        <f t="shared" si="61"/>
        <v/>
      </c>
      <c r="AP221" s="523" t="e">
        <f>IF(((100-100/$AN$7*données_step[[#This Row],[E_PTOT]])/100*QTS)&lt;0,NA(),IF(OR(AM221&lt;0,AM221=""),NA(),((100-100/$AN$7*données_step[[#This Row],[E_PTOT]])/100*QTS)))</f>
        <v>#NUM!</v>
      </c>
      <c r="AQ221" s="524" t="e">
        <f t="shared" si="62"/>
        <v>#NUM!</v>
      </c>
      <c r="AR221" s="524" t="str">
        <f t="shared" si="63"/>
        <v/>
      </c>
      <c r="AY221" s="523" t="str">
        <f>_xlfn.IFNA(IF(données_step[[#This Row],[E_DCO]]&lt;=0,NA(),charge_entree[[#This Row],[ch_E_DCO]]/constanten!$B$8*1000),"")</f>
        <v/>
      </c>
      <c r="AZ221" s="523" t="str">
        <f>_xlfn.IFNA(IF(données_step[[#This Row],[E_NTOT]]&lt;=0,NA(),charge_entree[[#This Row],[ch_E_NTOT]]/constanten!$B$10*1000),"")</f>
        <v/>
      </c>
      <c r="BA221" s="523" t="str">
        <f>_xlfn.IFNA(IF(données_step[[#This Row],[E_NH4]]&lt;=0,NA(),charge_entree[[#This Row],[ch_E_NH4]]/constanten!$B$12*1000),"")</f>
        <v/>
      </c>
      <c r="BB221" s="523" t="str">
        <f>_xlfn.IFNA(IF(données_step[[#This Row],[E_COT]]&lt;=0,NA(),charge_entree[[#This Row],[ch_E_COT]]/constanten!$B$9*1000),"")</f>
        <v/>
      </c>
      <c r="BC221" s="523" t="str">
        <f>IFERROR(_xlfn.IFNA(IF(données_step[[#This Row],[E_PTOT]]&lt;=0,NA(),charge_entree[[#This Row],[ch_E_PTOT]]/constanten!$B$15*1000),""),"")</f>
        <v/>
      </c>
      <c r="BD221" s="535" t="e">
        <f>calculs!E221 * (1-0.4) / (données_step[[#This Row],[X_BA_VOL]]*données_step[[#This Row],[X_BACONC]])</f>
        <v>#VALUE!</v>
      </c>
      <c r="BE221" s="522" t="e">
        <f>(données_step[[#This Row],[X_BA_VOL]]*données_step[[#This Row],[X_BACONC]])/((données_step[[#This Row],[D_QTRAI2]]*données_step[[#This Row],[S_MES]]/1000)+(données_step[[#This Row],[X_BX_Q]]*données_step[[#This Row],[X_BXCONC]]))</f>
        <v>#VALUE!</v>
      </c>
      <c r="BF221" s="890" t="str">
        <f>IFERROR(données_step[[#This Row],[D_QTRAI]]/AY221*1000,"")</f>
        <v/>
      </c>
      <c r="BG221" s="535" t="str">
        <f>IFERROR(1-données_step[[#This Row],[S_DBO5]]/données_step[[#This Row],[E_DBO5]],"")</f>
        <v/>
      </c>
      <c r="BH221" s="536" t="str">
        <f>IFERROR(1-données_step[[#This Row],[S_DCO]]/données_step[[#This Row],[E_DCO]],"")</f>
        <v/>
      </c>
      <c r="BI221" s="535" t="str">
        <f>IFERROR(1-données_step[[#This Row],[S_COD]]/données_step[[#This Row],[E_COT]],"")</f>
        <v/>
      </c>
      <c r="BJ221" s="535" t="str">
        <f>IFERROR(1-données_step[[#This Row],[S_NH4]]/données_step[[#This Row],[E_NTOT]],"")</f>
        <v/>
      </c>
      <c r="BK221" s="535" t="str">
        <f>IFERROR(1-données_step[[#This Row],[S_PTOT]]/données_step[[#This Row],[E_PTOT]],"")</f>
        <v/>
      </c>
      <c r="BL221" s="521" t="str">
        <f>IFERROR(IF(données_step[[#This Row],[E_DCO]]/données_step[[#This Row],[E_DBO5]]=0,NA(),données_step[[#This Row],[E_DCO]]/données_step[[#This Row],[E_DBO5]]),"")</f>
        <v/>
      </c>
      <c r="BM221" s="521" t="str">
        <f>IFERROR(IF(données_step[[#This Row],[E_NH4]]/données_step[[#This Row],[E_NTOT]]=0,NA(),données_step[[#This Row],[E_NH4]]/données_step[[#This Row],[E_NTOT]]),"")</f>
        <v/>
      </c>
      <c r="BN221" s="521" t="str">
        <f>IFERROR(IF(données_step[[#This Row],[E_NTOT]]/données_step[[#This Row],[E_COT]]=0,NA(),données_step[[#This Row],[E_NTOT]]/données_step[[#This Row],[E_COT]]),"")</f>
        <v/>
      </c>
      <c r="BO221" s="521" t="str">
        <f>IFERROR(IF(données_step[[#This Row],[E_PTOT]]/données_step[[#This Row],[E_COT]]=0,NA(),données_step[[#This Row],[E_PTOT]]/données_step[[#This Row],[E_COT]]),"")</f>
        <v/>
      </c>
      <c r="BP221" s="521" t="e">
        <f>IF(données_step[[#This Row],[E_DCO]]/données_step[[#This Row],[E_COT]]=0,NA(),données_step[[#This Row],[E_DCO]]/données_step[[#This Row],[E_COT]])</f>
        <v>#DIV/0!</v>
      </c>
      <c r="BQ221" s="521" t="e">
        <f>IF(données_step[[#This Row],[E_NTOT]]/données_step[[#This Row],[E_DCO]]=0,NA(),données_step[[#This Row],[E_NTOT]]/données_step[[#This Row],[E_DCO]])</f>
        <v>#DIV/0!</v>
      </c>
      <c r="BR221" s="521" t="e">
        <f>IF(données_step[[#This Row],[E_PTOT]]/données_step[[#This Row],[E_DCO]]=0,NA(),données_step[[#This Row],[E_PTOT]]/données_step[[#This Row],[E_DCO]])</f>
        <v>#DIV/0!</v>
      </c>
      <c r="BS221" s="747" t="e">
        <f ca="1">test_NH4_temp(données_step[[#This Row],[S_NH4]],données_step[[#This Row],[Temp_eaux]])</f>
        <v>#NAME?</v>
      </c>
    </row>
    <row r="222" spans="1:71" x14ac:dyDescent="0.2">
      <c r="A222" s="222">
        <f>données_step[[#This Row],[Datum]]</f>
        <v>44773</v>
      </c>
      <c r="B222" s="223"/>
      <c r="C222" s="224">
        <f t="shared" si="49"/>
        <v>1</v>
      </c>
      <c r="D222" s="523" t="str">
        <f>IF(OR(données_step[[#This Row],[E_DBO5]]&lt;=0,données_step[[#This Row],[E_DBO5]]=""),"",données_step[[#This Row],[D_QTRAI]]*données_step[[#This Row],[E_DBO5]]/1000)</f>
        <v/>
      </c>
      <c r="E222" s="523" t="str">
        <f>IF(OR(données_step[[#This Row],[E_DCO]]&lt;=0,données_step[[#This Row],[E_DCO]]=""),"",données_step[[#This Row],[D_QTRAI]]*données_step[[#This Row],[E_DCO]]/1000)</f>
        <v/>
      </c>
      <c r="F222" s="523" t="str">
        <f>IF(OR(données_step[[#This Row],[E_COT]]&lt;=0,données_step[[#This Row],[E_COT]]=""),"",données_step[[#This Row],[D_QTRAI]]*données_step[[#This Row],[E_COT]]/1000)</f>
        <v/>
      </c>
      <c r="G222" s="523" t="str">
        <f>IF(OR(données_step[[#This Row],[E_NH4]]&lt;=0,données_step[[#This Row],[E_NH4]]=""),"",données_step[[#This Row],[D_QTRAI]]*données_step[[#This Row],[E_NH4]]/1000)</f>
        <v/>
      </c>
      <c r="H222" s="523" t="str">
        <f>IF(OR(données_step[[#This Row],[E_NTOT]]&lt;=0,données_step[[#This Row],[E_NTOT]]=""),"",données_step[[#This Row],[D_QTRAI]]*données_step[[#This Row],[E_NTOT]]/1000)</f>
        <v/>
      </c>
      <c r="I222" s="523" t="str">
        <f>IF(OR(données_step[[#This Row],[E_NTOT]]&lt;=0,données_step[[#This Row],[E_NTOT]]=""),"",données_step[[#This Row],[D_QTRAI]]*données_step[[#This Row],[E_PTOT]]/1000)</f>
        <v/>
      </c>
      <c r="J222" s="523" t="str">
        <f>IF(OR(données_step[[#This Row],[S_DBO5]]&lt;=0,données_step[[#This Row],[S_DBO5]]=""),"",données_step[[#This Row],[D_QTRAI]]*données_step[[#This Row],[S_DBO5]]/1000)</f>
        <v/>
      </c>
      <c r="K222" s="523" t="str">
        <f>IF(OR(données_step[[#This Row],[S_DCO]]&lt;=0,données_step[[#This Row],[S_DCO]]=""),"",données_step[[#This Row],[D_QTRAI]]*données_step[[#This Row],[S_DCO]]/1000)</f>
        <v/>
      </c>
      <c r="L222" s="523" t="str">
        <f>IF(OR(données_step[[#This Row],[S_COD]]&lt;=0,données_step[[#This Row],[S_COD]]=""),"",données_step[[#This Row],[D_QTRAI]]*données_step[[#This Row],[S_COD]]/1000)</f>
        <v/>
      </c>
      <c r="M222" s="523" t="str">
        <f>IF(OR(données_step[[#This Row],[S_NH4]]&lt;=0,données_step[[#This Row],[S_NH4]]=""),"",données_step[[#This Row],[D_QTRAI]]*données_step[[#This Row],[S_NH4]]/1000)</f>
        <v/>
      </c>
      <c r="N222" s="523" t="str">
        <f>IF(OR(données_step[[#This Row],[S_NO2]]&lt;=0,données_step[[#This Row],[S_NO2]]=""),"",données_step[[#This Row],[D_QTRAI]]*données_step[[#This Row],[S_NO2]]/1000)</f>
        <v/>
      </c>
      <c r="O222" s="523" t="str">
        <f>IF(OR(données_step[[#This Row],[S_NO3]]&lt;=0,données_step[[#This Row],[S_NO3]]=""),"",données_step[[#This Row],[D_QTRAI]]*données_step[[#This Row],[S_NO3]]/1000)</f>
        <v/>
      </c>
      <c r="P222" s="523" t="str">
        <f>IF(OR(données_step[[#This Row],[S_PTOT]]&lt;=0,données_step[[#This Row],[S_PTOT]]=""),"",données_step[[#This Row],[D_QTRAI]]*données_step[[#This Row],[S_PTOT]]/1000)</f>
        <v/>
      </c>
      <c r="Q222" s="523" t="str">
        <f>IF(OR(données_step[[#This Row],[S_MES]]&lt;=0,données_step[[#This Row],[S_MES]]=""),"",données_step[[#This Row],[D_QTRAI]]*données_step[[#This Row],[S_MES]]/1000)</f>
        <v/>
      </c>
      <c r="R222" s="523">
        <f>MAX(données_step[[#This Row],[D_QTRAI]],données_step[[#This Row],[D_QTRAI2]])</f>
        <v>0</v>
      </c>
      <c r="S222" s="523" t="str">
        <f>IF(AND($R222&gt;0,données_step[[#This Row],[E_DCO]]&gt;0),données_step[[#This Row],[E_DCO]],"")</f>
        <v/>
      </c>
      <c r="T222" s="523" t="str">
        <f>IF(S222="","",(1-données_step[[#This Row],[E_DCO]]/$V$7)*100)</f>
        <v/>
      </c>
      <c r="U222" s="523" t="str">
        <f t="shared" si="50"/>
        <v/>
      </c>
      <c r="V222" s="523" t="str">
        <f t="shared" si="51"/>
        <v/>
      </c>
      <c r="W222" s="523" t="str">
        <f t="shared" si="52"/>
        <v/>
      </c>
      <c r="X222" s="523" t="e">
        <f>IF(((100-100/$V$7*données_step[[#This Row],[E_DCO]])/100*QTS)&lt;0,NA(),IF(OR(U222&lt;0,U222=""),NA(),((100-100/$V$7*données_step[[#This Row],[E_DCO]])/100*QTS)))</f>
        <v>#NUM!</v>
      </c>
      <c r="Y222" s="523" t="str">
        <f>IF(AND($R222&gt;0,données_step[[#This Row],[E_COT]]&gt;0),données_step[[#This Row],[E_COT]],"")</f>
        <v/>
      </c>
      <c r="Z222" s="523" t="str">
        <f>IF(Y222="","",(1-données_step[[#This Row],[E_COT]]/$AB$7)*100)</f>
        <v/>
      </c>
      <c r="AA222" s="523" t="str">
        <f t="shared" si="53"/>
        <v/>
      </c>
      <c r="AB222" s="523" t="str">
        <f t="shared" si="54"/>
        <v/>
      </c>
      <c r="AC222" s="523" t="str">
        <f t="shared" si="55"/>
        <v/>
      </c>
      <c r="AD222" s="523" t="e">
        <f>IF(((100-100/$AB$7*données_step[[#This Row],[E_COT]])/100*QTS)&lt;0,NA(),IF(OR(AA222&lt;0,AA222=""),NA(),((100-100/$AB$7*données_step[[#This Row],[E_COT]])/100*QTS)))</f>
        <v>#NUM!</v>
      </c>
      <c r="AE222" s="523" t="str">
        <f>IF(AND($R222&gt;0,données_step[[#This Row],[E_NH4]]&gt;0),données_step[[#This Row],[E_NH4]],"")</f>
        <v/>
      </c>
      <c r="AF222" s="523" t="str">
        <f>IF(AE222="","",(1-données_step[[#This Row],[E_NH4]]/$AH$7)*100)</f>
        <v/>
      </c>
      <c r="AG222" s="523" t="str">
        <f t="shared" si="56"/>
        <v/>
      </c>
      <c r="AH222" s="523" t="str">
        <f t="shared" si="57"/>
        <v/>
      </c>
      <c r="AI222" s="523" t="str">
        <f t="shared" si="58"/>
        <v/>
      </c>
      <c r="AJ222" s="523" t="e">
        <f>IF(((100-100/$AH$7*données_step[[#This Row],[E_NH4]])/100*QTS)&lt;0,NA(),IF(OR(AG222&lt;0,AG222=""),NA(),((100-100/$AH$7*données_step[[#This Row],[E_NH4]])/100*QTS)))</f>
        <v>#NUM!</v>
      </c>
      <c r="AK222" s="523" t="str">
        <f>IF(AND($R222&gt;0,données_step[[#This Row],[E_PTOT]]&gt;0),données_step[[#This Row],[E_PTOT]],"")</f>
        <v/>
      </c>
      <c r="AL222" s="523" t="str">
        <f>IF(AK222="","",(1-données_step[[#This Row],[E_PTOT]]/$AN$7)*100)</f>
        <v/>
      </c>
      <c r="AM222" s="523" t="str">
        <f t="shared" si="59"/>
        <v/>
      </c>
      <c r="AN222" s="523" t="str">
        <f t="shared" si="60"/>
        <v/>
      </c>
      <c r="AO222" s="523" t="str">
        <f t="shared" si="61"/>
        <v/>
      </c>
      <c r="AP222" s="523" t="e">
        <f>IF(((100-100/$AN$7*données_step[[#This Row],[E_PTOT]])/100*QTS)&lt;0,NA(),IF(OR(AM222&lt;0,AM222=""),NA(),((100-100/$AN$7*données_step[[#This Row],[E_PTOT]])/100*QTS)))</f>
        <v>#NUM!</v>
      </c>
      <c r="AQ222" s="524" t="e">
        <f t="shared" si="62"/>
        <v>#NUM!</v>
      </c>
      <c r="AR222" s="524" t="str">
        <f t="shared" si="63"/>
        <v/>
      </c>
      <c r="AY222" s="523" t="str">
        <f>_xlfn.IFNA(IF(données_step[[#This Row],[E_DCO]]&lt;=0,NA(),charge_entree[[#This Row],[ch_E_DCO]]/constanten!$B$8*1000),"")</f>
        <v/>
      </c>
      <c r="AZ222" s="523" t="str">
        <f>_xlfn.IFNA(IF(données_step[[#This Row],[E_NTOT]]&lt;=0,NA(),charge_entree[[#This Row],[ch_E_NTOT]]/constanten!$B$10*1000),"")</f>
        <v/>
      </c>
      <c r="BA222" s="523" t="str">
        <f>_xlfn.IFNA(IF(données_step[[#This Row],[E_NH4]]&lt;=0,NA(),charge_entree[[#This Row],[ch_E_NH4]]/constanten!$B$12*1000),"")</f>
        <v/>
      </c>
      <c r="BB222" s="523" t="str">
        <f>_xlfn.IFNA(IF(données_step[[#This Row],[E_COT]]&lt;=0,NA(),charge_entree[[#This Row],[ch_E_COT]]/constanten!$B$9*1000),"")</f>
        <v/>
      </c>
      <c r="BC222" s="523" t="str">
        <f>IFERROR(_xlfn.IFNA(IF(données_step[[#This Row],[E_PTOT]]&lt;=0,NA(),charge_entree[[#This Row],[ch_E_PTOT]]/constanten!$B$15*1000),""),"")</f>
        <v/>
      </c>
      <c r="BD222" s="535" t="e">
        <f>calculs!E222 * (1-0.4) / (données_step[[#This Row],[X_BA_VOL]]*données_step[[#This Row],[X_BACONC]])</f>
        <v>#VALUE!</v>
      </c>
      <c r="BE222" s="522" t="e">
        <f>(données_step[[#This Row],[X_BA_VOL]]*données_step[[#This Row],[X_BACONC]])/((données_step[[#This Row],[D_QTRAI2]]*données_step[[#This Row],[S_MES]]/1000)+(données_step[[#This Row],[X_BX_Q]]*données_step[[#This Row],[X_BXCONC]]))</f>
        <v>#VALUE!</v>
      </c>
      <c r="BF222" s="890" t="str">
        <f>IFERROR(données_step[[#This Row],[D_QTRAI]]/AY222*1000,"")</f>
        <v/>
      </c>
      <c r="BG222" s="535" t="str">
        <f>IFERROR(1-données_step[[#This Row],[S_DBO5]]/données_step[[#This Row],[E_DBO5]],"")</f>
        <v/>
      </c>
      <c r="BH222" s="536" t="str">
        <f>IFERROR(1-données_step[[#This Row],[S_DCO]]/données_step[[#This Row],[E_DCO]],"")</f>
        <v/>
      </c>
      <c r="BI222" s="535" t="str">
        <f>IFERROR(1-données_step[[#This Row],[S_COD]]/données_step[[#This Row],[E_COT]],"")</f>
        <v/>
      </c>
      <c r="BJ222" s="535" t="str">
        <f>IFERROR(1-données_step[[#This Row],[S_NH4]]/données_step[[#This Row],[E_NTOT]],"")</f>
        <v/>
      </c>
      <c r="BK222" s="535" t="str">
        <f>IFERROR(1-données_step[[#This Row],[S_PTOT]]/données_step[[#This Row],[E_PTOT]],"")</f>
        <v/>
      </c>
      <c r="BL222" s="521" t="str">
        <f>IFERROR(IF(données_step[[#This Row],[E_DCO]]/données_step[[#This Row],[E_DBO5]]=0,NA(),données_step[[#This Row],[E_DCO]]/données_step[[#This Row],[E_DBO5]]),"")</f>
        <v/>
      </c>
      <c r="BM222" s="521" t="str">
        <f>IFERROR(IF(données_step[[#This Row],[E_NH4]]/données_step[[#This Row],[E_NTOT]]=0,NA(),données_step[[#This Row],[E_NH4]]/données_step[[#This Row],[E_NTOT]]),"")</f>
        <v/>
      </c>
      <c r="BN222" s="521" t="str">
        <f>IFERROR(IF(données_step[[#This Row],[E_NTOT]]/données_step[[#This Row],[E_COT]]=0,NA(),données_step[[#This Row],[E_NTOT]]/données_step[[#This Row],[E_COT]]),"")</f>
        <v/>
      </c>
      <c r="BO222" s="521" t="str">
        <f>IFERROR(IF(données_step[[#This Row],[E_PTOT]]/données_step[[#This Row],[E_COT]]=0,NA(),données_step[[#This Row],[E_PTOT]]/données_step[[#This Row],[E_COT]]),"")</f>
        <v/>
      </c>
      <c r="BP222" s="521" t="e">
        <f>IF(données_step[[#This Row],[E_DCO]]/données_step[[#This Row],[E_COT]]=0,NA(),données_step[[#This Row],[E_DCO]]/données_step[[#This Row],[E_COT]])</f>
        <v>#DIV/0!</v>
      </c>
      <c r="BQ222" s="521" t="e">
        <f>IF(données_step[[#This Row],[E_NTOT]]/données_step[[#This Row],[E_DCO]]=0,NA(),données_step[[#This Row],[E_NTOT]]/données_step[[#This Row],[E_DCO]])</f>
        <v>#DIV/0!</v>
      </c>
      <c r="BR222" s="521" t="e">
        <f>IF(données_step[[#This Row],[E_PTOT]]/données_step[[#This Row],[E_DCO]]=0,NA(),données_step[[#This Row],[E_PTOT]]/données_step[[#This Row],[E_DCO]])</f>
        <v>#DIV/0!</v>
      </c>
      <c r="BS222" s="747" t="e">
        <f ca="1">test_NH4_temp(données_step[[#This Row],[S_NH4]],données_step[[#This Row],[Temp_eaux]])</f>
        <v>#NAME?</v>
      </c>
    </row>
    <row r="223" spans="1:71" x14ac:dyDescent="0.2">
      <c r="A223" s="222">
        <f>données_step[[#This Row],[Datum]]</f>
        <v>44774</v>
      </c>
      <c r="B223" s="223"/>
      <c r="C223" s="224">
        <f t="shared" si="49"/>
        <v>2</v>
      </c>
      <c r="D223" s="523" t="str">
        <f>IF(OR(données_step[[#This Row],[E_DBO5]]&lt;=0,données_step[[#This Row],[E_DBO5]]=""),"",données_step[[#This Row],[D_QTRAI]]*données_step[[#This Row],[E_DBO5]]/1000)</f>
        <v/>
      </c>
      <c r="E223" s="523" t="str">
        <f>IF(OR(données_step[[#This Row],[E_DCO]]&lt;=0,données_step[[#This Row],[E_DCO]]=""),"",données_step[[#This Row],[D_QTRAI]]*données_step[[#This Row],[E_DCO]]/1000)</f>
        <v/>
      </c>
      <c r="F223" s="523" t="str">
        <f>IF(OR(données_step[[#This Row],[E_COT]]&lt;=0,données_step[[#This Row],[E_COT]]=""),"",données_step[[#This Row],[D_QTRAI]]*données_step[[#This Row],[E_COT]]/1000)</f>
        <v/>
      </c>
      <c r="G223" s="523" t="str">
        <f>IF(OR(données_step[[#This Row],[E_NH4]]&lt;=0,données_step[[#This Row],[E_NH4]]=""),"",données_step[[#This Row],[D_QTRAI]]*données_step[[#This Row],[E_NH4]]/1000)</f>
        <v/>
      </c>
      <c r="H223" s="523" t="str">
        <f>IF(OR(données_step[[#This Row],[E_NTOT]]&lt;=0,données_step[[#This Row],[E_NTOT]]=""),"",données_step[[#This Row],[D_QTRAI]]*données_step[[#This Row],[E_NTOT]]/1000)</f>
        <v/>
      </c>
      <c r="I223" s="523" t="str">
        <f>IF(OR(données_step[[#This Row],[E_NTOT]]&lt;=0,données_step[[#This Row],[E_NTOT]]=""),"",données_step[[#This Row],[D_QTRAI]]*données_step[[#This Row],[E_PTOT]]/1000)</f>
        <v/>
      </c>
      <c r="J223" s="523" t="str">
        <f>IF(OR(données_step[[#This Row],[S_DBO5]]&lt;=0,données_step[[#This Row],[S_DBO5]]=""),"",données_step[[#This Row],[D_QTRAI]]*données_step[[#This Row],[S_DBO5]]/1000)</f>
        <v/>
      </c>
      <c r="K223" s="523" t="str">
        <f>IF(OR(données_step[[#This Row],[S_DCO]]&lt;=0,données_step[[#This Row],[S_DCO]]=""),"",données_step[[#This Row],[D_QTRAI]]*données_step[[#This Row],[S_DCO]]/1000)</f>
        <v/>
      </c>
      <c r="L223" s="523" t="str">
        <f>IF(OR(données_step[[#This Row],[S_COD]]&lt;=0,données_step[[#This Row],[S_COD]]=""),"",données_step[[#This Row],[D_QTRAI]]*données_step[[#This Row],[S_COD]]/1000)</f>
        <v/>
      </c>
      <c r="M223" s="523" t="str">
        <f>IF(OR(données_step[[#This Row],[S_NH4]]&lt;=0,données_step[[#This Row],[S_NH4]]=""),"",données_step[[#This Row],[D_QTRAI]]*données_step[[#This Row],[S_NH4]]/1000)</f>
        <v/>
      </c>
      <c r="N223" s="523" t="str">
        <f>IF(OR(données_step[[#This Row],[S_NO2]]&lt;=0,données_step[[#This Row],[S_NO2]]=""),"",données_step[[#This Row],[D_QTRAI]]*données_step[[#This Row],[S_NO2]]/1000)</f>
        <v/>
      </c>
      <c r="O223" s="523" t="str">
        <f>IF(OR(données_step[[#This Row],[S_NO3]]&lt;=0,données_step[[#This Row],[S_NO3]]=""),"",données_step[[#This Row],[D_QTRAI]]*données_step[[#This Row],[S_NO3]]/1000)</f>
        <v/>
      </c>
      <c r="P223" s="523" t="str">
        <f>IF(OR(données_step[[#This Row],[S_PTOT]]&lt;=0,données_step[[#This Row],[S_PTOT]]=""),"",données_step[[#This Row],[D_QTRAI]]*données_step[[#This Row],[S_PTOT]]/1000)</f>
        <v/>
      </c>
      <c r="Q223" s="523" t="str">
        <f>IF(OR(données_step[[#This Row],[S_MES]]&lt;=0,données_step[[#This Row],[S_MES]]=""),"",données_step[[#This Row],[D_QTRAI]]*données_step[[#This Row],[S_MES]]/1000)</f>
        <v/>
      </c>
      <c r="R223" s="523">
        <f>MAX(données_step[[#This Row],[D_QTRAI]],données_step[[#This Row],[D_QTRAI2]])</f>
        <v>0</v>
      </c>
      <c r="S223" s="523" t="str">
        <f>IF(AND($R223&gt;0,données_step[[#This Row],[E_DCO]]&gt;0),données_step[[#This Row],[E_DCO]],"")</f>
        <v/>
      </c>
      <c r="T223" s="523" t="str">
        <f>IF(S223="","",(1-données_step[[#This Row],[E_DCO]]/$V$7)*100)</f>
        <v/>
      </c>
      <c r="U223" s="523" t="str">
        <f t="shared" si="50"/>
        <v/>
      </c>
      <c r="V223" s="523" t="str">
        <f t="shared" si="51"/>
        <v/>
      </c>
      <c r="W223" s="523" t="str">
        <f t="shared" si="52"/>
        <v/>
      </c>
      <c r="X223" s="523" t="e">
        <f>IF(((100-100/$V$7*données_step[[#This Row],[E_DCO]])/100*QTS)&lt;0,NA(),IF(OR(U223&lt;0,U223=""),NA(),((100-100/$V$7*données_step[[#This Row],[E_DCO]])/100*QTS)))</f>
        <v>#NUM!</v>
      </c>
      <c r="Y223" s="523" t="str">
        <f>IF(AND($R223&gt;0,données_step[[#This Row],[E_COT]]&gt;0),données_step[[#This Row],[E_COT]],"")</f>
        <v/>
      </c>
      <c r="Z223" s="523" t="str">
        <f>IF(Y223="","",(1-données_step[[#This Row],[E_COT]]/$AB$7)*100)</f>
        <v/>
      </c>
      <c r="AA223" s="523" t="str">
        <f t="shared" si="53"/>
        <v/>
      </c>
      <c r="AB223" s="523" t="str">
        <f t="shared" si="54"/>
        <v/>
      </c>
      <c r="AC223" s="523" t="str">
        <f t="shared" si="55"/>
        <v/>
      </c>
      <c r="AD223" s="523" t="e">
        <f>IF(((100-100/$AB$7*données_step[[#This Row],[E_COT]])/100*QTS)&lt;0,NA(),IF(OR(AA223&lt;0,AA223=""),NA(),((100-100/$AB$7*données_step[[#This Row],[E_COT]])/100*QTS)))</f>
        <v>#NUM!</v>
      </c>
      <c r="AE223" s="523" t="str">
        <f>IF(AND($R223&gt;0,données_step[[#This Row],[E_NH4]]&gt;0),données_step[[#This Row],[E_NH4]],"")</f>
        <v/>
      </c>
      <c r="AF223" s="523" t="str">
        <f>IF(AE223="","",(1-données_step[[#This Row],[E_NH4]]/$AH$7)*100)</f>
        <v/>
      </c>
      <c r="AG223" s="523" t="str">
        <f t="shared" si="56"/>
        <v/>
      </c>
      <c r="AH223" s="523" t="str">
        <f t="shared" si="57"/>
        <v/>
      </c>
      <c r="AI223" s="523" t="str">
        <f t="shared" si="58"/>
        <v/>
      </c>
      <c r="AJ223" s="523" t="e">
        <f>IF(((100-100/$AH$7*données_step[[#This Row],[E_NH4]])/100*QTS)&lt;0,NA(),IF(OR(AG223&lt;0,AG223=""),NA(),((100-100/$AH$7*données_step[[#This Row],[E_NH4]])/100*QTS)))</f>
        <v>#NUM!</v>
      </c>
      <c r="AK223" s="523" t="str">
        <f>IF(AND($R223&gt;0,données_step[[#This Row],[E_PTOT]]&gt;0),données_step[[#This Row],[E_PTOT]],"")</f>
        <v/>
      </c>
      <c r="AL223" s="523" t="str">
        <f>IF(AK223="","",(1-données_step[[#This Row],[E_PTOT]]/$AN$7)*100)</f>
        <v/>
      </c>
      <c r="AM223" s="523" t="str">
        <f t="shared" si="59"/>
        <v/>
      </c>
      <c r="AN223" s="523" t="str">
        <f t="shared" si="60"/>
        <v/>
      </c>
      <c r="AO223" s="523" t="str">
        <f t="shared" si="61"/>
        <v/>
      </c>
      <c r="AP223" s="523" t="e">
        <f>IF(((100-100/$AN$7*données_step[[#This Row],[E_PTOT]])/100*QTS)&lt;0,NA(),IF(OR(AM223&lt;0,AM223=""),NA(),((100-100/$AN$7*données_step[[#This Row],[E_PTOT]])/100*QTS)))</f>
        <v>#NUM!</v>
      </c>
      <c r="AQ223" s="524" t="e">
        <f t="shared" si="62"/>
        <v>#NUM!</v>
      </c>
      <c r="AR223" s="524" t="str">
        <f t="shared" si="63"/>
        <v/>
      </c>
      <c r="AY223" s="523" t="str">
        <f>_xlfn.IFNA(IF(données_step[[#This Row],[E_DCO]]&lt;=0,NA(),charge_entree[[#This Row],[ch_E_DCO]]/constanten!$B$8*1000),"")</f>
        <v/>
      </c>
      <c r="AZ223" s="523" t="str">
        <f>_xlfn.IFNA(IF(données_step[[#This Row],[E_NTOT]]&lt;=0,NA(),charge_entree[[#This Row],[ch_E_NTOT]]/constanten!$B$10*1000),"")</f>
        <v/>
      </c>
      <c r="BA223" s="523" t="str">
        <f>_xlfn.IFNA(IF(données_step[[#This Row],[E_NH4]]&lt;=0,NA(),charge_entree[[#This Row],[ch_E_NH4]]/constanten!$B$12*1000),"")</f>
        <v/>
      </c>
      <c r="BB223" s="523" t="str">
        <f>_xlfn.IFNA(IF(données_step[[#This Row],[E_COT]]&lt;=0,NA(),charge_entree[[#This Row],[ch_E_COT]]/constanten!$B$9*1000),"")</f>
        <v/>
      </c>
      <c r="BC223" s="523" t="str">
        <f>IFERROR(_xlfn.IFNA(IF(données_step[[#This Row],[E_PTOT]]&lt;=0,NA(),charge_entree[[#This Row],[ch_E_PTOT]]/constanten!$B$15*1000),""),"")</f>
        <v/>
      </c>
      <c r="BD223" s="535" t="e">
        <f>calculs!E223 * (1-0.4) / (données_step[[#This Row],[X_BA_VOL]]*données_step[[#This Row],[X_BACONC]])</f>
        <v>#VALUE!</v>
      </c>
      <c r="BE223" s="522" t="e">
        <f>(données_step[[#This Row],[X_BA_VOL]]*données_step[[#This Row],[X_BACONC]])/((données_step[[#This Row],[D_QTRAI2]]*données_step[[#This Row],[S_MES]]/1000)+(données_step[[#This Row],[X_BX_Q]]*données_step[[#This Row],[X_BXCONC]]))</f>
        <v>#VALUE!</v>
      </c>
      <c r="BF223" s="890" t="str">
        <f>IFERROR(données_step[[#This Row],[D_QTRAI]]/AY223*1000,"")</f>
        <v/>
      </c>
      <c r="BG223" s="535" t="str">
        <f>IFERROR(1-données_step[[#This Row],[S_DBO5]]/données_step[[#This Row],[E_DBO5]],"")</f>
        <v/>
      </c>
      <c r="BH223" s="536" t="str">
        <f>IFERROR(1-données_step[[#This Row],[S_DCO]]/données_step[[#This Row],[E_DCO]],"")</f>
        <v/>
      </c>
      <c r="BI223" s="535" t="str">
        <f>IFERROR(1-données_step[[#This Row],[S_COD]]/données_step[[#This Row],[E_COT]],"")</f>
        <v/>
      </c>
      <c r="BJ223" s="535" t="str">
        <f>IFERROR(1-données_step[[#This Row],[S_NH4]]/données_step[[#This Row],[E_NTOT]],"")</f>
        <v/>
      </c>
      <c r="BK223" s="535" t="str">
        <f>IFERROR(1-données_step[[#This Row],[S_PTOT]]/données_step[[#This Row],[E_PTOT]],"")</f>
        <v/>
      </c>
      <c r="BL223" s="521" t="str">
        <f>IFERROR(IF(données_step[[#This Row],[E_DCO]]/données_step[[#This Row],[E_DBO5]]=0,NA(),données_step[[#This Row],[E_DCO]]/données_step[[#This Row],[E_DBO5]]),"")</f>
        <v/>
      </c>
      <c r="BM223" s="521" t="str">
        <f>IFERROR(IF(données_step[[#This Row],[E_NH4]]/données_step[[#This Row],[E_NTOT]]=0,NA(),données_step[[#This Row],[E_NH4]]/données_step[[#This Row],[E_NTOT]]),"")</f>
        <v/>
      </c>
      <c r="BN223" s="521" t="str">
        <f>IFERROR(IF(données_step[[#This Row],[E_NTOT]]/données_step[[#This Row],[E_COT]]=0,NA(),données_step[[#This Row],[E_NTOT]]/données_step[[#This Row],[E_COT]]),"")</f>
        <v/>
      </c>
      <c r="BO223" s="521" t="str">
        <f>IFERROR(IF(données_step[[#This Row],[E_PTOT]]/données_step[[#This Row],[E_COT]]=0,NA(),données_step[[#This Row],[E_PTOT]]/données_step[[#This Row],[E_COT]]),"")</f>
        <v/>
      </c>
      <c r="BP223" s="521" t="e">
        <f>IF(données_step[[#This Row],[E_DCO]]/données_step[[#This Row],[E_COT]]=0,NA(),données_step[[#This Row],[E_DCO]]/données_step[[#This Row],[E_COT]])</f>
        <v>#DIV/0!</v>
      </c>
      <c r="BQ223" s="521" t="e">
        <f>IF(données_step[[#This Row],[E_NTOT]]/données_step[[#This Row],[E_DCO]]=0,NA(),données_step[[#This Row],[E_NTOT]]/données_step[[#This Row],[E_DCO]])</f>
        <v>#DIV/0!</v>
      </c>
      <c r="BR223" s="521" t="e">
        <f>IF(données_step[[#This Row],[E_PTOT]]/données_step[[#This Row],[E_DCO]]=0,NA(),données_step[[#This Row],[E_PTOT]]/données_step[[#This Row],[E_DCO]])</f>
        <v>#DIV/0!</v>
      </c>
      <c r="BS223" s="747" t="e">
        <f ca="1">test_NH4_temp(données_step[[#This Row],[S_NH4]],données_step[[#This Row],[Temp_eaux]])</f>
        <v>#NAME?</v>
      </c>
    </row>
    <row r="224" spans="1:71" x14ac:dyDescent="0.2">
      <c r="A224" s="222">
        <f>données_step[[#This Row],[Datum]]</f>
        <v>44775</v>
      </c>
      <c r="B224" s="223"/>
      <c r="C224" s="224">
        <f t="shared" ref="C224:C287" si="64">WEEKDAY(A224)</f>
        <v>3</v>
      </c>
      <c r="D224" s="523" t="str">
        <f>IF(OR(données_step[[#This Row],[E_DBO5]]&lt;=0,données_step[[#This Row],[E_DBO5]]=""),"",données_step[[#This Row],[D_QTRAI]]*données_step[[#This Row],[E_DBO5]]/1000)</f>
        <v/>
      </c>
      <c r="E224" s="523" t="str">
        <f>IF(OR(données_step[[#This Row],[E_DCO]]&lt;=0,données_step[[#This Row],[E_DCO]]=""),"",données_step[[#This Row],[D_QTRAI]]*données_step[[#This Row],[E_DCO]]/1000)</f>
        <v/>
      </c>
      <c r="F224" s="523" t="str">
        <f>IF(OR(données_step[[#This Row],[E_COT]]&lt;=0,données_step[[#This Row],[E_COT]]=""),"",données_step[[#This Row],[D_QTRAI]]*données_step[[#This Row],[E_COT]]/1000)</f>
        <v/>
      </c>
      <c r="G224" s="523" t="str">
        <f>IF(OR(données_step[[#This Row],[E_NH4]]&lt;=0,données_step[[#This Row],[E_NH4]]=""),"",données_step[[#This Row],[D_QTRAI]]*données_step[[#This Row],[E_NH4]]/1000)</f>
        <v/>
      </c>
      <c r="H224" s="523" t="str">
        <f>IF(OR(données_step[[#This Row],[E_NTOT]]&lt;=0,données_step[[#This Row],[E_NTOT]]=""),"",données_step[[#This Row],[D_QTRAI]]*données_step[[#This Row],[E_NTOT]]/1000)</f>
        <v/>
      </c>
      <c r="I224" s="523" t="str">
        <f>IF(OR(données_step[[#This Row],[E_NTOT]]&lt;=0,données_step[[#This Row],[E_NTOT]]=""),"",données_step[[#This Row],[D_QTRAI]]*données_step[[#This Row],[E_PTOT]]/1000)</f>
        <v/>
      </c>
      <c r="J224" s="523" t="str">
        <f>IF(OR(données_step[[#This Row],[S_DBO5]]&lt;=0,données_step[[#This Row],[S_DBO5]]=""),"",données_step[[#This Row],[D_QTRAI]]*données_step[[#This Row],[S_DBO5]]/1000)</f>
        <v/>
      </c>
      <c r="K224" s="523" t="str">
        <f>IF(OR(données_step[[#This Row],[S_DCO]]&lt;=0,données_step[[#This Row],[S_DCO]]=""),"",données_step[[#This Row],[D_QTRAI]]*données_step[[#This Row],[S_DCO]]/1000)</f>
        <v/>
      </c>
      <c r="L224" s="523" t="str">
        <f>IF(OR(données_step[[#This Row],[S_COD]]&lt;=0,données_step[[#This Row],[S_COD]]=""),"",données_step[[#This Row],[D_QTRAI]]*données_step[[#This Row],[S_COD]]/1000)</f>
        <v/>
      </c>
      <c r="M224" s="523" t="str">
        <f>IF(OR(données_step[[#This Row],[S_NH4]]&lt;=0,données_step[[#This Row],[S_NH4]]=""),"",données_step[[#This Row],[D_QTRAI]]*données_step[[#This Row],[S_NH4]]/1000)</f>
        <v/>
      </c>
      <c r="N224" s="523" t="str">
        <f>IF(OR(données_step[[#This Row],[S_NO2]]&lt;=0,données_step[[#This Row],[S_NO2]]=""),"",données_step[[#This Row],[D_QTRAI]]*données_step[[#This Row],[S_NO2]]/1000)</f>
        <v/>
      </c>
      <c r="O224" s="523" t="str">
        <f>IF(OR(données_step[[#This Row],[S_NO3]]&lt;=0,données_step[[#This Row],[S_NO3]]=""),"",données_step[[#This Row],[D_QTRAI]]*données_step[[#This Row],[S_NO3]]/1000)</f>
        <v/>
      </c>
      <c r="P224" s="523" t="str">
        <f>IF(OR(données_step[[#This Row],[S_PTOT]]&lt;=0,données_step[[#This Row],[S_PTOT]]=""),"",données_step[[#This Row],[D_QTRAI]]*données_step[[#This Row],[S_PTOT]]/1000)</f>
        <v/>
      </c>
      <c r="Q224" s="523" t="str">
        <f>IF(OR(données_step[[#This Row],[S_MES]]&lt;=0,données_step[[#This Row],[S_MES]]=""),"",données_step[[#This Row],[D_QTRAI]]*données_step[[#This Row],[S_MES]]/1000)</f>
        <v/>
      </c>
      <c r="R224" s="523">
        <f>MAX(données_step[[#This Row],[D_QTRAI]],données_step[[#This Row],[D_QTRAI2]])</f>
        <v>0</v>
      </c>
      <c r="S224" s="523" t="str">
        <f>IF(AND($R224&gt;0,données_step[[#This Row],[E_DCO]]&gt;0),données_step[[#This Row],[E_DCO]],"")</f>
        <v/>
      </c>
      <c r="T224" s="523" t="str">
        <f>IF(S224="","",(1-données_step[[#This Row],[E_DCO]]/$V$7)*100)</f>
        <v/>
      </c>
      <c r="U224" s="523" t="str">
        <f t="shared" si="50"/>
        <v/>
      </c>
      <c r="V224" s="523" t="str">
        <f t="shared" si="51"/>
        <v/>
      </c>
      <c r="W224" s="523" t="str">
        <f t="shared" si="52"/>
        <v/>
      </c>
      <c r="X224" s="523" t="e">
        <f>IF(((100-100/$V$7*données_step[[#This Row],[E_DCO]])/100*QTS)&lt;0,NA(),IF(OR(U224&lt;0,U224=""),NA(),((100-100/$V$7*données_step[[#This Row],[E_DCO]])/100*QTS)))</f>
        <v>#NUM!</v>
      </c>
      <c r="Y224" s="523" t="str">
        <f>IF(AND($R224&gt;0,données_step[[#This Row],[E_COT]]&gt;0),données_step[[#This Row],[E_COT]],"")</f>
        <v/>
      </c>
      <c r="Z224" s="523" t="str">
        <f>IF(Y224="","",(1-données_step[[#This Row],[E_COT]]/$AB$7)*100)</f>
        <v/>
      </c>
      <c r="AA224" s="523" t="str">
        <f t="shared" si="53"/>
        <v/>
      </c>
      <c r="AB224" s="523" t="str">
        <f t="shared" si="54"/>
        <v/>
      </c>
      <c r="AC224" s="523" t="str">
        <f t="shared" si="55"/>
        <v/>
      </c>
      <c r="AD224" s="523" t="e">
        <f>IF(((100-100/$AB$7*données_step[[#This Row],[E_COT]])/100*QTS)&lt;0,NA(),IF(OR(AA224&lt;0,AA224=""),NA(),((100-100/$AB$7*données_step[[#This Row],[E_COT]])/100*QTS)))</f>
        <v>#NUM!</v>
      </c>
      <c r="AE224" s="523" t="str">
        <f>IF(AND($R224&gt;0,données_step[[#This Row],[E_NH4]]&gt;0),données_step[[#This Row],[E_NH4]],"")</f>
        <v/>
      </c>
      <c r="AF224" s="523" t="str">
        <f>IF(AE224="","",(1-données_step[[#This Row],[E_NH4]]/$AH$7)*100)</f>
        <v/>
      </c>
      <c r="AG224" s="523" t="str">
        <f t="shared" si="56"/>
        <v/>
      </c>
      <c r="AH224" s="523" t="str">
        <f t="shared" si="57"/>
        <v/>
      </c>
      <c r="AI224" s="523" t="str">
        <f t="shared" si="58"/>
        <v/>
      </c>
      <c r="AJ224" s="523" t="e">
        <f>IF(((100-100/$AH$7*données_step[[#This Row],[E_NH4]])/100*QTS)&lt;0,NA(),IF(OR(AG224&lt;0,AG224=""),NA(),((100-100/$AH$7*données_step[[#This Row],[E_NH4]])/100*QTS)))</f>
        <v>#NUM!</v>
      </c>
      <c r="AK224" s="523" t="str">
        <f>IF(AND($R224&gt;0,données_step[[#This Row],[E_PTOT]]&gt;0),données_step[[#This Row],[E_PTOT]],"")</f>
        <v/>
      </c>
      <c r="AL224" s="523" t="str">
        <f>IF(AK224="","",(1-données_step[[#This Row],[E_PTOT]]/$AN$7)*100)</f>
        <v/>
      </c>
      <c r="AM224" s="523" t="str">
        <f t="shared" si="59"/>
        <v/>
      </c>
      <c r="AN224" s="523" t="str">
        <f t="shared" si="60"/>
        <v/>
      </c>
      <c r="AO224" s="523" t="str">
        <f t="shared" si="61"/>
        <v/>
      </c>
      <c r="AP224" s="523" t="e">
        <f>IF(((100-100/$AN$7*données_step[[#This Row],[E_PTOT]])/100*QTS)&lt;0,NA(),IF(OR(AM224&lt;0,AM224=""),NA(),((100-100/$AN$7*données_step[[#This Row],[E_PTOT]])/100*QTS)))</f>
        <v>#NUM!</v>
      </c>
      <c r="AQ224" s="524" t="e">
        <f t="shared" si="62"/>
        <v>#NUM!</v>
      </c>
      <c r="AR224" s="524" t="str">
        <f t="shared" si="63"/>
        <v/>
      </c>
      <c r="AY224" s="523" t="str">
        <f>_xlfn.IFNA(IF(données_step[[#This Row],[E_DCO]]&lt;=0,NA(),charge_entree[[#This Row],[ch_E_DCO]]/constanten!$B$8*1000),"")</f>
        <v/>
      </c>
      <c r="AZ224" s="523" t="str">
        <f>_xlfn.IFNA(IF(données_step[[#This Row],[E_NTOT]]&lt;=0,NA(),charge_entree[[#This Row],[ch_E_NTOT]]/constanten!$B$10*1000),"")</f>
        <v/>
      </c>
      <c r="BA224" s="523" t="str">
        <f>_xlfn.IFNA(IF(données_step[[#This Row],[E_NH4]]&lt;=0,NA(),charge_entree[[#This Row],[ch_E_NH4]]/constanten!$B$12*1000),"")</f>
        <v/>
      </c>
      <c r="BB224" s="523" t="str">
        <f>_xlfn.IFNA(IF(données_step[[#This Row],[E_COT]]&lt;=0,NA(),charge_entree[[#This Row],[ch_E_COT]]/constanten!$B$9*1000),"")</f>
        <v/>
      </c>
      <c r="BC224" s="523" t="str">
        <f>IFERROR(_xlfn.IFNA(IF(données_step[[#This Row],[E_PTOT]]&lt;=0,NA(),charge_entree[[#This Row],[ch_E_PTOT]]/constanten!$B$15*1000),""),"")</f>
        <v/>
      </c>
      <c r="BD224" s="535" t="e">
        <f>calculs!E224 * (1-0.4) / (données_step[[#This Row],[X_BA_VOL]]*données_step[[#This Row],[X_BACONC]])</f>
        <v>#VALUE!</v>
      </c>
      <c r="BE224" s="522" t="e">
        <f>(données_step[[#This Row],[X_BA_VOL]]*données_step[[#This Row],[X_BACONC]])/((données_step[[#This Row],[D_QTRAI2]]*données_step[[#This Row],[S_MES]]/1000)+(données_step[[#This Row],[X_BX_Q]]*données_step[[#This Row],[X_BXCONC]]))</f>
        <v>#VALUE!</v>
      </c>
      <c r="BF224" s="890" t="str">
        <f>IFERROR(données_step[[#This Row],[D_QTRAI]]/AY224*1000,"")</f>
        <v/>
      </c>
      <c r="BG224" s="535" t="str">
        <f>IFERROR(1-données_step[[#This Row],[S_DBO5]]/données_step[[#This Row],[E_DBO5]],"")</f>
        <v/>
      </c>
      <c r="BH224" s="536" t="str">
        <f>IFERROR(1-données_step[[#This Row],[S_DCO]]/données_step[[#This Row],[E_DCO]],"")</f>
        <v/>
      </c>
      <c r="BI224" s="535" t="str">
        <f>IFERROR(1-données_step[[#This Row],[S_COD]]/données_step[[#This Row],[E_COT]],"")</f>
        <v/>
      </c>
      <c r="BJ224" s="535" t="str">
        <f>IFERROR(1-données_step[[#This Row],[S_NH4]]/données_step[[#This Row],[E_NTOT]],"")</f>
        <v/>
      </c>
      <c r="BK224" s="535" t="str">
        <f>IFERROR(1-données_step[[#This Row],[S_PTOT]]/données_step[[#This Row],[E_PTOT]],"")</f>
        <v/>
      </c>
      <c r="BL224" s="521" t="str">
        <f>IFERROR(IF(données_step[[#This Row],[E_DCO]]/données_step[[#This Row],[E_DBO5]]=0,NA(),données_step[[#This Row],[E_DCO]]/données_step[[#This Row],[E_DBO5]]),"")</f>
        <v/>
      </c>
      <c r="BM224" s="521" t="str">
        <f>IFERROR(IF(données_step[[#This Row],[E_NH4]]/données_step[[#This Row],[E_NTOT]]=0,NA(),données_step[[#This Row],[E_NH4]]/données_step[[#This Row],[E_NTOT]]),"")</f>
        <v/>
      </c>
      <c r="BN224" s="521" t="str">
        <f>IFERROR(IF(données_step[[#This Row],[E_NTOT]]/données_step[[#This Row],[E_COT]]=0,NA(),données_step[[#This Row],[E_NTOT]]/données_step[[#This Row],[E_COT]]),"")</f>
        <v/>
      </c>
      <c r="BO224" s="521" t="str">
        <f>IFERROR(IF(données_step[[#This Row],[E_PTOT]]/données_step[[#This Row],[E_COT]]=0,NA(),données_step[[#This Row],[E_PTOT]]/données_step[[#This Row],[E_COT]]),"")</f>
        <v/>
      </c>
      <c r="BP224" s="521" t="e">
        <f>IF(données_step[[#This Row],[E_DCO]]/données_step[[#This Row],[E_COT]]=0,NA(),données_step[[#This Row],[E_DCO]]/données_step[[#This Row],[E_COT]])</f>
        <v>#DIV/0!</v>
      </c>
      <c r="BQ224" s="521" t="e">
        <f>IF(données_step[[#This Row],[E_NTOT]]/données_step[[#This Row],[E_DCO]]=0,NA(),données_step[[#This Row],[E_NTOT]]/données_step[[#This Row],[E_DCO]])</f>
        <v>#DIV/0!</v>
      </c>
      <c r="BR224" s="521" t="e">
        <f>IF(données_step[[#This Row],[E_PTOT]]/données_step[[#This Row],[E_DCO]]=0,NA(),données_step[[#This Row],[E_PTOT]]/données_step[[#This Row],[E_DCO]])</f>
        <v>#DIV/0!</v>
      </c>
      <c r="BS224" s="747" t="e">
        <f ca="1">test_NH4_temp(données_step[[#This Row],[S_NH4]],données_step[[#This Row],[Temp_eaux]])</f>
        <v>#NAME?</v>
      </c>
    </row>
    <row r="225" spans="1:71" x14ac:dyDescent="0.2">
      <c r="A225" s="222">
        <f>données_step[[#This Row],[Datum]]</f>
        <v>44776</v>
      </c>
      <c r="B225" s="223"/>
      <c r="C225" s="224">
        <f t="shared" si="64"/>
        <v>4</v>
      </c>
      <c r="D225" s="523" t="str">
        <f>IF(OR(données_step[[#This Row],[E_DBO5]]&lt;=0,données_step[[#This Row],[E_DBO5]]=""),"",données_step[[#This Row],[D_QTRAI]]*données_step[[#This Row],[E_DBO5]]/1000)</f>
        <v/>
      </c>
      <c r="E225" s="523" t="str">
        <f>IF(OR(données_step[[#This Row],[E_DCO]]&lt;=0,données_step[[#This Row],[E_DCO]]=""),"",données_step[[#This Row],[D_QTRAI]]*données_step[[#This Row],[E_DCO]]/1000)</f>
        <v/>
      </c>
      <c r="F225" s="523" t="str">
        <f>IF(OR(données_step[[#This Row],[E_COT]]&lt;=0,données_step[[#This Row],[E_COT]]=""),"",données_step[[#This Row],[D_QTRAI]]*données_step[[#This Row],[E_COT]]/1000)</f>
        <v/>
      </c>
      <c r="G225" s="523" t="str">
        <f>IF(OR(données_step[[#This Row],[E_NH4]]&lt;=0,données_step[[#This Row],[E_NH4]]=""),"",données_step[[#This Row],[D_QTRAI]]*données_step[[#This Row],[E_NH4]]/1000)</f>
        <v/>
      </c>
      <c r="H225" s="523" t="str">
        <f>IF(OR(données_step[[#This Row],[E_NTOT]]&lt;=0,données_step[[#This Row],[E_NTOT]]=""),"",données_step[[#This Row],[D_QTRAI]]*données_step[[#This Row],[E_NTOT]]/1000)</f>
        <v/>
      </c>
      <c r="I225" s="523" t="str">
        <f>IF(OR(données_step[[#This Row],[E_NTOT]]&lt;=0,données_step[[#This Row],[E_NTOT]]=""),"",données_step[[#This Row],[D_QTRAI]]*données_step[[#This Row],[E_PTOT]]/1000)</f>
        <v/>
      </c>
      <c r="J225" s="523" t="str">
        <f>IF(OR(données_step[[#This Row],[S_DBO5]]&lt;=0,données_step[[#This Row],[S_DBO5]]=""),"",données_step[[#This Row],[D_QTRAI]]*données_step[[#This Row],[S_DBO5]]/1000)</f>
        <v/>
      </c>
      <c r="K225" s="523" t="str">
        <f>IF(OR(données_step[[#This Row],[S_DCO]]&lt;=0,données_step[[#This Row],[S_DCO]]=""),"",données_step[[#This Row],[D_QTRAI]]*données_step[[#This Row],[S_DCO]]/1000)</f>
        <v/>
      </c>
      <c r="L225" s="523" t="str">
        <f>IF(OR(données_step[[#This Row],[S_COD]]&lt;=0,données_step[[#This Row],[S_COD]]=""),"",données_step[[#This Row],[D_QTRAI]]*données_step[[#This Row],[S_COD]]/1000)</f>
        <v/>
      </c>
      <c r="M225" s="523" t="str">
        <f>IF(OR(données_step[[#This Row],[S_NH4]]&lt;=0,données_step[[#This Row],[S_NH4]]=""),"",données_step[[#This Row],[D_QTRAI]]*données_step[[#This Row],[S_NH4]]/1000)</f>
        <v/>
      </c>
      <c r="N225" s="523" t="str">
        <f>IF(OR(données_step[[#This Row],[S_NO2]]&lt;=0,données_step[[#This Row],[S_NO2]]=""),"",données_step[[#This Row],[D_QTRAI]]*données_step[[#This Row],[S_NO2]]/1000)</f>
        <v/>
      </c>
      <c r="O225" s="523" t="str">
        <f>IF(OR(données_step[[#This Row],[S_NO3]]&lt;=0,données_step[[#This Row],[S_NO3]]=""),"",données_step[[#This Row],[D_QTRAI]]*données_step[[#This Row],[S_NO3]]/1000)</f>
        <v/>
      </c>
      <c r="P225" s="523" t="str">
        <f>IF(OR(données_step[[#This Row],[S_PTOT]]&lt;=0,données_step[[#This Row],[S_PTOT]]=""),"",données_step[[#This Row],[D_QTRAI]]*données_step[[#This Row],[S_PTOT]]/1000)</f>
        <v/>
      </c>
      <c r="Q225" s="523" t="str">
        <f>IF(OR(données_step[[#This Row],[S_MES]]&lt;=0,données_step[[#This Row],[S_MES]]=""),"",données_step[[#This Row],[D_QTRAI]]*données_step[[#This Row],[S_MES]]/1000)</f>
        <v/>
      </c>
      <c r="R225" s="523">
        <f>MAX(données_step[[#This Row],[D_QTRAI]],données_step[[#This Row],[D_QTRAI2]])</f>
        <v>0</v>
      </c>
      <c r="S225" s="523" t="str">
        <f>IF(AND($R225&gt;0,données_step[[#This Row],[E_DCO]]&gt;0),données_step[[#This Row],[E_DCO]],"")</f>
        <v/>
      </c>
      <c r="T225" s="523" t="str">
        <f>IF(S225="","",(1-données_step[[#This Row],[E_DCO]]/$V$7)*100)</f>
        <v/>
      </c>
      <c r="U225" s="523" t="str">
        <f t="shared" si="50"/>
        <v/>
      </c>
      <c r="V225" s="523" t="str">
        <f t="shared" si="51"/>
        <v/>
      </c>
      <c r="W225" s="523" t="str">
        <f t="shared" si="52"/>
        <v/>
      </c>
      <c r="X225" s="523" t="e">
        <f>IF(((100-100/$V$7*données_step[[#This Row],[E_DCO]])/100*QTS)&lt;0,NA(),IF(OR(U225&lt;0,U225=""),NA(),((100-100/$V$7*données_step[[#This Row],[E_DCO]])/100*QTS)))</f>
        <v>#NUM!</v>
      </c>
      <c r="Y225" s="523" t="str">
        <f>IF(AND($R225&gt;0,données_step[[#This Row],[E_COT]]&gt;0),données_step[[#This Row],[E_COT]],"")</f>
        <v/>
      </c>
      <c r="Z225" s="523" t="str">
        <f>IF(Y225="","",(1-données_step[[#This Row],[E_COT]]/$AB$7)*100)</f>
        <v/>
      </c>
      <c r="AA225" s="523" t="str">
        <f t="shared" si="53"/>
        <v/>
      </c>
      <c r="AB225" s="523" t="str">
        <f t="shared" si="54"/>
        <v/>
      </c>
      <c r="AC225" s="523" t="str">
        <f t="shared" si="55"/>
        <v/>
      </c>
      <c r="AD225" s="523" t="e">
        <f>IF(((100-100/$AB$7*données_step[[#This Row],[E_COT]])/100*QTS)&lt;0,NA(),IF(OR(AA225&lt;0,AA225=""),NA(),((100-100/$AB$7*données_step[[#This Row],[E_COT]])/100*QTS)))</f>
        <v>#NUM!</v>
      </c>
      <c r="AE225" s="523" t="str">
        <f>IF(AND($R225&gt;0,données_step[[#This Row],[E_NH4]]&gt;0),données_step[[#This Row],[E_NH4]],"")</f>
        <v/>
      </c>
      <c r="AF225" s="523" t="str">
        <f>IF(AE225="","",(1-données_step[[#This Row],[E_NH4]]/$AH$7)*100)</f>
        <v/>
      </c>
      <c r="AG225" s="523" t="str">
        <f t="shared" si="56"/>
        <v/>
      </c>
      <c r="AH225" s="523" t="str">
        <f t="shared" si="57"/>
        <v/>
      </c>
      <c r="AI225" s="523" t="str">
        <f t="shared" si="58"/>
        <v/>
      </c>
      <c r="AJ225" s="523" t="e">
        <f>IF(((100-100/$AH$7*données_step[[#This Row],[E_NH4]])/100*QTS)&lt;0,NA(),IF(OR(AG225&lt;0,AG225=""),NA(),((100-100/$AH$7*données_step[[#This Row],[E_NH4]])/100*QTS)))</f>
        <v>#NUM!</v>
      </c>
      <c r="AK225" s="523" t="str">
        <f>IF(AND($R225&gt;0,données_step[[#This Row],[E_PTOT]]&gt;0),données_step[[#This Row],[E_PTOT]],"")</f>
        <v/>
      </c>
      <c r="AL225" s="523" t="str">
        <f>IF(AK225="","",(1-données_step[[#This Row],[E_PTOT]]/$AN$7)*100)</f>
        <v/>
      </c>
      <c r="AM225" s="523" t="str">
        <f t="shared" si="59"/>
        <v/>
      </c>
      <c r="AN225" s="523" t="str">
        <f t="shared" si="60"/>
        <v/>
      </c>
      <c r="AO225" s="523" t="str">
        <f t="shared" si="61"/>
        <v/>
      </c>
      <c r="AP225" s="523" t="e">
        <f>IF(((100-100/$AN$7*données_step[[#This Row],[E_PTOT]])/100*QTS)&lt;0,NA(),IF(OR(AM225&lt;0,AM225=""),NA(),((100-100/$AN$7*données_step[[#This Row],[E_PTOT]])/100*QTS)))</f>
        <v>#NUM!</v>
      </c>
      <c r="AQ225" s="524" t="e">
        <f t="shared" si="62"/>
        <v>#NUM!</v>
      </c>
      <c r="AR225" s="524" t="str">
        <f t="shared" si="63"/>
        <v/>
      </c>
      <c r="AY225" s="523" t="str">
        <f>_xlfn.IFNA(IF(données_step[[#This Row],[E_DCO]]&lt;=0,NA(),charge_entree[[#This Row],[ch_E_DCO]]/constanten!$B$8*1000),"")</f>
        <v/>
      </c>
      <c r="AZ225" s="523" t="str">
        <f>_xlfn.IFNA(IF(données_step[[#This Row],[E_NTOT]]&lt;=0,NA(),charge_entree[[#This Row],[ch_E_NTOT]]/constanten!$B$10*1000),"")</f>
        <v/>
      </c>
      <c r="BA225" s="523" t="str">
        <f>_xlfn.IFNA(IF(données_step[[#This Row],[E_NH4]]&lt;=0,NA(),charge_entree[[#This Row],[ch_E_NH4]]/constanten!$B$12*1000),"")</f>
        <v/>
      </c>
      <c r="BB225" s="523" t="str">
        <f>_xlfn.IFNA(IF(données_step[[#This Row],[E_COT]]&lt;=0,NA(),charge_entree[[#This Row],[ch_E_COT]]/constanten!$B$9*1000),"")</f>
        <v/>
      </c>
      <c r="BC225" s="523" t="str">
        <f>IFERROR(_xlfn.IFNA(IF(données_step[[#This Row],[E_PTOT]]&lt;=0,NA(),charge_entree[[#This Row],[ch_E_PTOT]]/constanten!$B$15*1000),""),"")</f>
        <v/>
      </c>
      <c r="BD225" s="535" t="e">
        <f>calculs!E225 * (1-0.4) / (données_step[[#This Row],[X_BA_VOL]]*données_step[[#This Row],[X_BACONC]])</f>
        <v>#VALUE!</v>
      </c>
      <c r="BE225" s="522" t="e">
        <f>(données_step[[#This Row],[X_BA_VOL]]*données_step[[#This Row],[X_BACONC]])/((données_step[[#This Row],[D_QTRAI2]]*données_step[[#This Row],[S_MES]]/1000)+(données_step[[#This Row],[X_BX_Q]]*données_step[[#This Row],[X_BXCONC]]))</f>
        <v>#VALUE!</v>
      </c>
      <c r="BF225" s="890" t="str">
        <f>IFERROR(données_step[[#This Row],[D_QTRAI]]/AY225*1000,"")</f>
        <v/>
      </c>
      <c r="BG225" s="535" t="str">
        <f>IFERROR(1-données_step[[#This Row],[S_DBO5]]/données_step[[#This Row],[E_DBO5]],"")</f>
        <v/>
      </c>
      <c r="BH225" s="536" t="str">
        <f>IFERROR(1-données_step[[#This Row],[S_DCO]]/données_step[[#This Row],[E_DCO]],"")</f>
        <v/>
      </c>
      <c r="BI225" s="535" t="str">
        <f>IFERROR(1-données_step[[#This Row],[S_COD]]/données_step[[#This Row],[E_COT]],"")</f>
        <v/>
      </c>
      <c r="BJ225" s="535" t="str">
        <f>IFERROR(1-données_step[[#This Row],[S_NH4]]/données_step[[#This Row],[E_NTOT]],"")</f>
        <v/>
      </c>
      <c r="BK225" s="535" t="str">
        <f>IFERROR(1-données_step[[#This Row],[S_PTOT]]/données_step[[#This Row],[E_PTOT]],"")</f>
        <v/>
      </c>
      <c r="BL225" s="521" t="str">
        <f>IFERROR(IF(données_step[[#This Row],[E_DCO]]/données_step[[#This Row],[E_DBO5]]=0,NA(),données_step[[#This Row],[E_DCO]]/données_step[[#This Row],[E_DBO5]]),"")</f>
        <v/>
      </c>
      <c r="BM225" s="521" t="str">
        <f>IFERROR(IF(données_step[[#This Row],[E_NH4]]/données_step[[#This Row],[E_NTOT]]=0,NA(),données_step[[#This Row],[E_NH4]]/données_step[[#This Row],[E_NTOT]]),"")</f>
        <v/>
      </c>
      <c r="BN225" s="521" t="str">
        <f>IFERROR(IF(données_step[[#This Row],[E_NTOT]]/données_step[[#This Row],[E_COT]]=0,NA(),données_step[[#This Row],[E_NTOT]]/données_step[[#This Row],[E_COT]]),"")</f>
        <v/>
      </c>
      <c r="BO225" s="521" t="str">
        <f>IFERROR(IF(données_step[[#This Row],[E_PTOT]]/données_step[[#This Row],[E_COT]]=0,NA(),données_step[[#This Row],[E_PTOT]]/données_step[[#This Row],[E_COT]]),"")</f>
        <v/>
      </c>
      <c r="BP225" s="521" t="e">
        <f>IF(données_step[[#This Row],[E_DCO]]/données_step[[#This Row],[E_COT]]=0,NA(),données_step[[#This Row],[E_DCO]]/données_step[[#This Row],[E_COT]])</f>
        <v>#DIV/0!</v>
      </c>
      <c r="BQ225" s="521" t="e">
        <f>IF(données_step[[#This Row],[E_NTOT]]/données_step[[#This Row],[E_DCO]]=0,NA(),données_step[[#This Row],[E_NTOT]]/données_step[[#This Row],[E_DCO]])</f>
        <v>#DIV/0!</v>
      </c>
      <c r="BR225" s="521" t="e">
        <f>IF(données_step[[#This Row],[E_PTOT]]/données_step[[#This Row],[E_DCO]]=0,NA(),données_step[[#This Row],[E_PTOT]]/données_step[[#This Row],[E_DCO]])</f>
        <v>#DIV/0!</v>
      </c>
      <c r="BS225" s="747" t="e">
        <f ca="1">test_NH4_temp(données_step[[#This Row],[S_NH4]],données_step[[#This Row],[Temp_eaux]])</f>
        <v>#NAME?</v>
      </c>
    </row>
    <row r="226" spans="1:71" x14ac:dyDescent="0.2">
      <c r="A226" s="222">
        <f>données_step[[#This Row],[Datum]]</f>
        <v>44777</v>
      </c>
      <c r="B226" s="223"/>
      <c r="C226" s="224">
        <f t="shared" si="64"/>
        <v>5</v>
      </c>
      <c r="D226" s="523" t="str">
        <f>IF(OR(données_step[[#This Row],[E_DBO5]]&lt;=0,données_step[[#This Row],[E_DBO5]]=""),"",données_step[[#This Row],[D_QTRAI]]*données_step[[#This Row],[E_DBO5]]/1000)</f>
        <v/>
      </c>
      <c r="E226" s="523" t="str">
        <f>IF(OR(données_step[[#This Row],[E_DCO]]&lt;=0,données_step[[#This Row],[E_DCO]]=""),"",données_step[[#This Row],[D_QTRAI]]*données_step[[#This Row],[E_DCO]]/1000)</f>
        <v/>
      </c>
      <c r="F226" s="523" t="str">
        <f>IF(OR(données_step[[#This Row],[E_COT]]&lt;=0,données_step[[#This Row],[E_COT]]=""),"",données_step[[#This Row],[D_QTRAI]]*données_step[[#This Row],[E_COT]]/1000)</f>
        <v/>
      </c>
      <c r="G226" s="523" t="str">
        <f>IF(OR(données_step[[#This Row],[E_NH4]]&lt;=0,données_step[[#This Row],[E_NH4]]=""),"",données_step[[#This Row],[D_QTRAI]]*données_step[[#This Row],[E_NH4]]/1000)</f>
        <v/>
      </c>
      <c r="H226" s="523" t="str">
        <f>IF(OR(données_step[[#This Row],[E_NTOT]]&lt;=0,données_step[[#This Row],[E_NTOT]]=""),"",données_step[[#This Row],[D_QTRAI]]*données_step[[#This Row],[E_NTOT]]/1000)</f>
        <v/>
      </c>
      <c r="I226" s="523" t="str">
        <f>IF(OR(données_step[[#This Row],[E_NTOT]]&lt;=0,données_step[[#This Row],[E_NTOT]]=""),"",données_step[[#This Row],[D_QTRAI]]*données_step[[#This Row],[E_PTOT]]/1000)</f>
        <v/>
      </c>
      <c r="J226" s="523" t="str">
        <f>IF(OR(données_step[[#This Row],[S_DBO5]]&lt;=0,données_step[[#This Row],[S_DBO5]]=""),"",données_step[[#This Row],[D_QTRAI]]*données_step[[#This Row],[S_DBO5]]/1000)</f>
        <v/>
      </c>
      <c r="K226" s="523" t="str">
        <f>IF(OR(données_step[[#This Row],[S_DCO]]&lt;=0,données_step[[#This Row],[S_DCO]]=""),"",données_step[[#This Row],[D_QTRAI]]*données_step[[#This Row],[S_DCO]]/1000)</f>
        <v/>
      </c>
      <c r="L226" s="523" t="str">
        <f>IF(OR(données_step[[#This Row],[S_COD]]&lt;=0,données_step[[#This Row],[S_COD]]=""),"",données_step[[#This Row],[D_QTRAI]]*données_step[[#This Row],[S_COD]]/1000)</f>
        <v/>
      </c>
      <c r="M226" s="523" t="str">
        <f>IF(OR(données_step[[#This Row],[S_NH4]]&lt;=0,données_step[[#This Row],[S_NH4]]=""),"",données_step[[#This Row],[D_QTRAI]]*données_step[[#This Row],[S_NH4]]/1000)</f>
        <v/>
      </c>
      <c r="N226" s="523" t="str">
        <f>IF(OR(données_step[[#This Row],[S_NO2]]&lt;=0,données_step[[#This Row],[S_NO2]]=""),"",données_step[[#This Row],[D_QTRAI]]*données_step[[#This Row],[S_NO2]]/1000)</f>
        <v/>
      </c>
      <c r="O226" s="523" t="str">
        <f>IF(OR(données_step[[#This Row],[S_NO3]]&lt;=0,données_step[[#This Row],[S_NO3]]=""),"",données_step[[#This Row],[D_QTRAI]]*données_step[[#This Row],[S_NO3]]/1000)</f>
        <v/>
      </c>
      <c r="P226" s="523" t="str">
        <f>IF(OR(données_step[[#This Row],[S_PTOT]]&lt;=0,données_step[[#This Row],[S_PTOT]]=""),"",données_step[[#This Row],[D_QTRAI]]*données_step[[#This Row],[S_PTOT]]/1000)</f>
        <v/>
      </c>
      <c r="Q226" s="523" t="str">
        <f>IF(OR(données_step[[#This Row],[S_MES]]&lt;=0,données_step[[#This Row],[S_MES]]=""),"",données_step[[#This Row],[D_QTRAI]]*données_step[[#This Row],[S_MES]]/1000)</f>
        <v/>
      </c>
      <c r="R226" s="523">
        <f>MAX(données_step[[#This Row],[D_QTRAI]],données_step[[#This Row],[D_QTRAI2]])</f>
        <v>0</v>
      </c>
      <c r="S226" s="523" t="str">
        <f>IF(AND($R226&gt;0,données_step[[#This Row],[E_DCO]]&gt;0),données_step[[#This Row],[E_DCO]],"")</f>
        <v/>
      </c>
      <c r="T226" s="523" t="str">
        <f>IF(S226="","",(1-données_step[[#This Row],[E_DCO]]/$V$7)*100)</f>
        <v/>
      </c>
      <c r="U226" s="523" t="str">
        <f t="shared" si="50"/>
        <v/>
      </c>
      <c r="V226" s="523" t="str">
        <f t="shared" si="51"/>
        <v/>
      </c>
      <c r="W226" s="523" t="str">
        <f t="shared" si="52"/>
        <v/>
      </c>
      <c r="X226" s="523" t="e">
        <f>IF(((100-100/$V$7*données_step[[#This Row],[E_DCO]])/100*QTS)&lt;0,NA(),IF(OR(U226&lt;0,U226=""),NA(),((100-100/$V$7*données_step[[#This Row],[E_DCO]])/100*QTS)))</f>
        <v>#NUM!</v>
      </c>
      <c r="Y226" s="523" t="str">
        <f>IF(AND($R226&gt;0,données_step[[#This Row],[E_COT]]&gt;0),données_step[[#This Row],[E_COT]],"")</f>
        <v/>
      </c>
      <c r="Z226" s="523" t="str">
        <f>IF(Y226="","",(1-données_step[[#This Row],[E_COT]]/$AB$7)*100)</f>
        <v/>
      </c>
      <c r="AA226" s="523" t="str">
        <f t="shared" si="53"/>
        <v/>
      </c>
      <c r="AB226" s="523" t="str">
        <f t="shared" si="54"/>
        <v/>
      </c>
      <c r="AC226" s="523" t="str">
        <f t="shared" si="55"/>
        <v/>
      </c>
      <c r="AD226" s="523" t="e">
        <f>IF(((100-100/$AB$7*données_step[[#This Row],[E_COT]])/100*QTS)&lt;0,NA(),IF(OR(AA226&lt;0,AA226=""),NA(),((100-100/$AB$7*données_step[[#This Row],[E_COT]])/100*QTS)))</f>
        <v>#NUM!</v>
      </c>
      <c r="AE226" s="523" t="str">
        <f>IF(AND($R226&gt;0,données_step[[#This Row],[E_NH4]]&gt;0),données_step[[#This Row],[E_NH4]],"")</f>
        <v/>
      </c>
      <c r="AF226" s="523" t="str">
        <f>IF(AE226="","",(1-données_step[[#This Row],[E_NH4]]/$AH$7)*100)</f>
        <v/>
      </c>
      <c r="AG226" s="523" t="str">
        <f t="shared" si="56"/>
        <v/>
      </c>
      <c r="AH226" s="523" t="str">
        <f t="shared" si="57"/>
        <v/>
      </c>
      <c r="AI226" s="523" t="str">
        <f t="shared" si="58"/>
        <v/>
      </c>
      <c r="AJ226" s="523" t="e">
        <f>IF(((100-100/$AH$7*données_step[[#This Row],[E_NH4]])/100*QTS)&lt;0,NA(),IF(OR(AG226&lt;0,AG226=""),NA(),((100-100/$AH$7*données_step[[#This Row],[E_NH4]])/100*QTS)))</f>
        <v>#NUM!</v>
      </c>
      <c r="AK226" s="523" t="str">
        <f>IF(AND($R226&gt;0,données_step[[#This Row],[E_PTOT]]&gt;0),données_step[[#This Row],[E_PTOT]],"")</f>
        <v/>
      </c>
      <c r="AL226" s="523" t="str">
        <f>IF(AK226="","",(1-données_step[[#This Row],[E_PTOT]]/$AN$7)*100)</f>
        <v/>
      </c>
      <c r="AM226" s="523" t="str">
        <f t="shared" si="59"/>
        <v/>
      </c>
      <c r="AN226" s="523" t="str">
        <f t="shared" si="60"/>
        <v/>
      </c>
      <c r="AO226" s="523" t="str">
        <f t="shared" si="61"/>
        <v/>
      </c>
      <c r="AP226" s="523" t="e">
        <f>IF(((100-100/$AN$7*données_step[[#This Row],[E_PTOT]])/100*QTS)&lt;0,NA(),IF(OR(AM226&lt;0,AM226=""),NA(),((100-100/$AN$7*données_step[[#This Row],[E_PTOT]])/100*QTS)))</f>
        <v>#NUM!</v>
      </c>
      <c r="AQ226" s="524" t="e">
        <f t="shared" si="62"/>
        <v>#NUM!</v>
      </c>
      <c r="AR226" s="524" t="str">
        <f t="shared" si="63"/>
        <v/>
      </c>
      <c r="AY226" s="523" t="str">
        <f>_xlfn.IFNA(IF(données_step[[#This Row],[E_DCO]]&lt;=0,NA(),charge_entree[[#This Row],[ch_E_DCO]]/constanten!$B$8*1000),"")</f>
        <v/>
      </c>
      <c r="AZ226" s="523" t="str">
        <f>_xlfn.IFNA(IF(données_step[[#This Row],[E_NTOT]]&lt;=0,NA(),charge_entree[[#This Row],[ch_E_NTOT]]/constanten!$B$10*1000),"")</f>
        <v/>
      </c>
      <c r="BA226" s="523" t="str">
        <f>_xlfn.IFNA(IF(données_step[[#This Row],[E_NH4]]&lt;=0,NA(),charge_entree[[#This Row],[ch_E_NH4]]/constanten!$B$12*1000),"")</f>
        <v/>
      </c>
      <c r="BB226" s="523" t="str">
        <f>_xlfn.IFNA(IF(données_step[[#This Row],[E_COT]]&lt;=0,NA(),charge_entree[[#This Row],[ch_E_COT]]/constanten!$B$9*1000),"")</f>
        <v/>
      </c>
      <c r="BC226" s="523" t="str">
        <f>IFERROR(_xlfn.IFNA(IF(données_step[[#This Row],[E_PTOT]]&lt;=0,NA(),charge_entree[[#This Row],[ch_E_PTOT]]/constanten!$B$15*1000),""),"")</f>
        <v/>
      </c>
      <c r="BD226" s="535" t="e">
        <f>calculs!E226 * (1-0.4) / (données_step[[#This Row],[X_BA_VOL]]*données_step[[#This Row],[X_BACONC]])</f>
        <v>#VALUE!</v>
      </c>
      <c r="BE226" s="522" t="e">
        <f>(données_step[[#This Row],[X_BA_VOL]]*données_step[[#This Row],[X_BACONC]])/((données_step[[#This Row],[D_QTRAI2]]*données_step[[#This Row],[S_MES]]/1000)+(données_step[[#This Row],[X_BX_Q]]*données_step[[#This Row],[X_BXCONC]]))</f>
        <v>#VALUE!</v>
      </c>
      <c r="BF226" s="890" t="str">
        <f>IFERROR(données_step[[#This Row],[D_QTRAI]]/AY226*1000,"")</f>
        <v/>
      </c>
      <c r="BG226" s="535" t="str">
        <f>IFERROR(1-données_step[[#This Row],[S_DBO5]]/données_step[[#This Row],[E_DBO5]],"")</f>
        <v/>
      </c>
      <c r="BH226" s="536" t="str">
        <f>IFERROR(1-données_step[[#This Row],[S_DCO]]/données_step[[#This Row],[E_DCO]],"")</f>
        <v/>
      </c>
      <c r="BI226" s="535" t="str">
        <f>IFERROR(1-données_step[[#This Row],[S_COD]]/données_step[[#This Row],[E_COT]],"")</f>
        <v/>
      </c>
      <c r="BJ226" s="535" t="str">
        <f>IFERROR(1-données_step[[#This Row],[S_NH4]]/données_step[[#This Row],[E_NTOT]],"")</f>
        <v/>
      </c>
      <c r="BK226" s="535" t="str">
        <f>IFERROR(1-données_step[[#This Row],[S_PTOT]]/données_step[[#This Row],[E_PTOT]],"")</f>
        <v/>
      </c>
      <c r="BL226" s="521" t="str">
        <f>IFERROR(IF(données_step[[#This Row],[E_DCO]]/données_step[[#This Row],[E_DBO5]]=0,NA(),données_step[[#This Row],[E_DCO]]/données_step[[#This Row],[E_DBO5]]),"")</f>
        <v/>
      </c>
      <c r="BM226" s="521" t="str">
        <f>IFERROR(IF(données_step[[#This Row],[E_NH4]]/données_step[[#This Row],[E_NTOT]]=0,NA(),données_step[[#This Row],[E_NH4]]/données_step[[#This Row],[E_NTOT]]),"")</f>
        <v/>
      </c>
      <c r="BN226" s="521" t="str">
        <f>IFERROR(IF(données_step[[#This Row],[E_NTOT]]/données_step[[#This Row],[E_COT]]=0,NA(),données_step[[#This Row],[E_NTOT]]/données_step[[#This Row],[E_COT]]),"")</f>
        <v/>
      </c>
      <c r="BO226" s="521" t="str">
        <f>IFERROR(IF(données_step[[#This Row],[E_PTOT]]/données_step[[#This Row],[E_COT]]=0,NA(),données_step[[#This Row],[E_PTOT]]/données_step[[#This Row],[E_COT]]),"")</f>
        <v/>
      </c>
      <c r="BP226" s="521" t="e">
        <f>IF(données_step[[#This Row],[E_DCO]]/données_step[[#This Row],[E_COT]]=0,NA(),données_step[[#This Row],[E_DCO]]/données_step[[#This Row],[E_COT]])</f>
        <v>#DIV/0!</v>
      </c>
      <c r="BQ226" s="521" t="e">
        <f>IF(données_step[[#This Row],[E_NTOT]]/données_step[[#This Row],[E_DCO]]=0,NA(),données_step[[#This Row],[E_NTOT]]/données_step[[#This Row],[E_DCO]])</f>
        <v>#DIV/0!</v>
      </c>
      <c r="BR226" s="521" t="e">
        <f>IF(données_step[[#This Row],[E_PTOT]]/données_step[[#This Row],[E_DCO]]=0,NA(),données_step[[#This Row],[E_PTOT]]/données_step[[#This Row],[E_DCO]])</f>
        <v>#DIV/0!</v>
      </c>
      <c r="BS226" s="747" t="e">
        <f ca="1">test_NH4_temp(données_step[[#This Row],[S_NH4]],données_step[[#This Row],[Temp_eaux]])</f>
        <v>#NAME?</v>
      </c>
    </row>
    <row r="227" spans="1:71" x14ac:dyDescent="0.2">
      <c r="A227" s="222">
        <f>données_step[[#This Row],[Datum]]</f>
        <v>44778</v>
      </c>
      <c r="B227" s="223"/>
      <c r="C227" s="224">
        <f t="shared" si="64"/>
        <v>6</v>
      </c>
      <c r="D227" s="523" t="str">
        <f>IF(OR(données_step[[#This Row],[E_DBO5]]&lt;=0,données_step[[#This Row],[E_DBO5]]=""),"",données_step[[#This Row],[D_QTRAI]]*données_step[[#This Row],[E_DBO5]]/1000)</f>
        <v/>
      </c>
      <c r="E227" s="523" t="str">
        <f>IF(OR(données_step[[#This Row],[E_DCO]]&lt;=0,données_step[[#This Row],[E_DCO]]=""),"",données_step[[#This Row],[D_QTRAI]]*données_step[[#This Row],[E_DCO]]/1000)</f>
        <v/>
      </c>
      <c r="F227" s="523" t="str">
        <f>IF(OR(données_step[[#This Row],[E_COT]]&lt;=0,données_step[[#This Row],[E_COT]]=""),"",données_step[[#This Row],[D_QTRAI]]*données_step[[#This Row],[E_COT]]/1000)</f>
        <v/>
      </c>
      <c r="G227" s="523" t="str">
        <f>IF(OR(données_step[[#This Row],[E_NH4]]&lt;=0,données_step[[#This Row],[E_NH4]]=""),"",données_step[[#This Row],[D_QTRAI]]*données_step[[#This Row],[E_NH4]]/1000)</f>
        <v/>
      </c>
      <c r="H227" s="523" t="str">
        <f>IF(OR(données_step[[#This Row],[E_NTOT]]&lt;=0,données_step[[#This Row],[E_NTOT]]=""),"",données_step[[#This Row],[D_QTRAI]]*données_step[[#This Row],[E_NTOT]]/1000)</f>
        <v/>
      </c>
      <c r="I227" s="523" t="str">
        <f>IF(OR(données_step[[#This Row],[E_NTOT]]&lt;=0,données_step[[#This Row],[E_NTOT]]=""),"",données_step[[#This Row],[D_QTRAI]]*données_step[[#This Row],[E_PTOT]]/1000)</f>
        <v/>
      </c>
      <c r="J227" s="523" t="str">
        <f>IF(OR(données_step[[#This Row],[S_DBO5]]&lt;=0,données_step[[#This Row],[S_DBO5]]=""),"",données_step[[#This Row],[D_QTRAI]]*données_step[[#This Row],[S_DBO5]]/1000)</f>
        <v/>
      </c>
      <c r="K227" s="523" t="str">
        <f>IF(OR(données_step[[#This Row],[S_DCO]]&lt;=0,données_step[[#This Row],[S_DCO]]=""),"",données_step[[#This Row],[D_QTRAI]]*données_step[[#This Row],[S_DCO]]/1000)</f>
        <v/>
      </c>
      <c r="L227" s="523" t="str">
        <f>IF(OR(données_step[[#This Row],[S_COD]]&lt;=0,données_step[[#This Row],[S_COD]]=""),"",données_step[[#This Row],[D_QTRAI]]*données_step[[#This Row],[S_COD]]/1000)</f>
        <v/>
      </c>
      <c r="M227" s="523" t="str">
        <f>IF(OR(données_step[[#This Row],[S_NH4]]&lt;=0,données_step[[#This Row],[S_NH4]]=""),"",données_step[[#This Row],[D_QTRAI]]*données_step[[#This Row],[S_NH4]]/1000)</f>
        <v/>
      </c>
      <c r="N227" s="523" t="str">
        <f>IF(OR(données_step[[#This Row],[S_NO2]]&lt;=0,données_step[[#This Row],[S_NO2]]=""),"",données_step[[#This Row],[D_QTRAI]]*données_step[[#This Row],[S_NO2]]/1000)</f>
        <v/>
      </c>
      <c r="O227" s="523" t="str">
        <f>IF(OR(données_step[[#This Row],[S_NO3]]&lt;=0,données_step[[#This Row],[S_NO3]]=""),"",données_step[[#This Row],[D_QTRAI]]*données_step[[#This Row],[S_NO3]]/1000)</f>
        <v/>
      </c>
      <c r="P227" s="523" t="str">
        <f>IF(OR(données_step[[#This Row],[S_PTOT]]&lt;=0,données_step[[#This Row],[S_PTOT]]=""),"",données_step[[#This Row],[D_QTRAI]]*données_step[[#This Row],[S_PTOT]]/1000)</f>
        <v/>
      </c>
      <c r="Q227" s="523" t="str">
        <f>IF(OR(données_step[[#This Row],[S_MES]]&lt;=0,données_step[[#This Row],[S_MES]]=""),"",données_step[[#This Row],[D_QTRAI]]*données_step[[#This Row],[S_MES]]/1000)</f>
        <v/>
      </c>
      <c r="R227" s="523">
        <f>MAX(données_step[[#This Row],[D_QTRAI]],données_step[[#This Row],[D_QTRAI2]])</f>
        <v>0</v>
      </c>
      <c r="S227" s="523" t="str">
        <f>IF(AND($R227&gt;0,données_step[[#This Row],[E_DCO]]&gt;0),données_step[[#This Row],[E_DCO]],"")</f>
        <v/>
      </c>
      <c r="T227" s="523" t="str">
        <f>IF(S227="","",(1-données_step[[#This Row],[E_DCO]]/$V$7)*100)</f>
        <v/>
      </c>
      <c r="U227" s="523" t="str">
        <f t="shared" si="50"/>
        <v/>
      </c>
      <c r="V227" s="523" t="str">
        <f t="shared" si="51"/>
        <v/>
      </c>
      <c r="W227" s="523" t="str">
        <f t="shared" si="52"/>
        <v/>
      </c>
      <c r="X227" s="523" t="e">
        <f>IF(((100-100/$V$7*données_step[[#This Row],[E_DCO]])/100*QTS)&lt;0,NA(),IF(OR(U227&lt;0,U227=""),NA(),((100-100/$V$7*données_step[[#This Row],[E_DCO]])/100*QTS)))</f>
        <v>#NUM!</v>
      </c>
      <c r="Y227" s="523" t="str">
        <f>IF(AND($R227&gt;0,données_step[[#This Row],[E_COT]]&gt;0),données_step[[#This Row],[E_COT]],"")</f>
        <v/>
      </c>
      <c r="Z227" s="523" t="str">
        <f>IF(Y227="","",(1-données_step[[#This Row],[E_COT]]/$AB$7)*100)</f>
        <v/>
      </c>
      <c r="AA227" s="523" t="str">
        <f t="shared" si="53"/>
        <v/>
      </c>
      <c r="AB227" s="523" t="str">
        <f t="shared" si="54"/>
        <v/>
      </c>
      <c r="AC227" s="523" t="str">
        <f t="shared" si="55"/>
        <v/>
      </c>
      <c r="AD227" s="523" t="e">
        <f>IF(((100-100/$AB$7*données_step[[#This Row],[E_COT]])/100*QTS)&lt;0,NA(),IF(OR(AA227&lt;0,AA227=""),NA(),((100-100/$AB$7*données_step[[#This Row],[E_COT]])/100*QTS)))</f>
        <v>#NUM!</v>
      </c>
      <c r="AE227" s="523" t="str">
        <f>IF(AND($R227&gt;0,données_step[[#This Row],[E_NH4]]&gt;0),données_step[[#This Row],[E_NH4]],"")</f>
        <v/>
      </c>
      <c r="AF227" s="523" t="str">
        <f>IF(AE227="","",(1-données_step[[#This Row],[E_NH4]]/$AH$7)*100)</f>
        <v/>
      </c>
      <c r="AG227" s="523" t="str">
        <f t="shared" si="56"/>
        <v/>
      </c>
      <c r="AH227" s="523" t="str">
        <f t="shared" si="57"/>
        <v/>
      </c>
      <c r="AI227" s="523" t="str">
        <f t="shared" si="58"/>
        <v/>
      </c>
      <c r="AJ227" s="523" t="e">
        <f>IF(((100-100/$AH$7*données_step[[#This Row],[E_NH4]])/100*QTS)&lt;0,NA(),IF(OR(AG227&lt;0,AG227=""),NA(),((100-100/$AH$7*données_step[[#This Row],[E_NH4]])/100*QTS)))</f>
        <v>#NUM!</v>
      </c>
      <c r="AK227" s="523" t="str">
        <f>IF(AND($R227&gt;0,données_step[[#This Row],[E_PTOT]]&gt;0),données_step[[#This Row],[E_PTOT]],"")</f>
        <v/>
      </c>
      <c r="AL227" s="523" t="str">
        <f>IF(AK227="","",(1-données_step[[#This Row],[E_PTOT]]/$AN$7)*100)</f>
        <v/>
      </c>
      <c r="AM227" s="523" t="str">
        <f t="shared" si="59"/>
        <v/>
      </c>
      <c r="AN227" s="523" t="str">
        <f t="shared" si="60"/>
        <v/>
      </c>
      <c r="AO227" s="523" t="str">
        <f t="shared" si="61"/>
        <v/>
      </c>
      <c r="AP227" s="523" t="e">
        <f>IF(((100-100/$AN$7*données_step[[#This Row],[E_PTOT]])/100*QTS)&lt;0,NA(),IF(OR(AM227&lt;0,AM227=""),NA(),((100-100/$AN$7*données_step[[#This Row],[E_PTOT]])/100*QTS)))</f>
        <v>#NUM!</v>
      </c>
      <c r="AQ227" s="524" t="e">
        <f t="shared" si="62"/>
        <v>#NUM!</v>
      </c>
      <c r="AR227" s="524" t="str">
        <f t="shared" si="63"/>
        <v/>
      </c>
      <c r="AY227" s="523" t="str">
        <f>_xlfn.IFNA(IF(données_step[[#This Row],[E_DCO]]&lt;=0,NA(),charge_entree[[#This Row],[ch_E_DCO]]/constanten!$B$8*1000),"")</f>
        <v/>
      </c>
      <c r="AZ227" s="523" t="str">
        <f>_xlfn.IFNA(IF(données_step[[#This Row],[E_NTOT]]&lt;=0,NA(),charge_entree[[#This Row],[ch_E_NTOT]]/constanten!$B$10*1000),"")</f>
        <v/>
      </c>
      <c r="BA227" s="523" t="str">
        <f>_xlfn.IFNA(IF(données_step[[#This Row],[E_NH4]]&lt;=0,NA(),charge_entree[[#This Row],[ch_E_NH4]]/constanten!$B$12*1000),"")</f>
        <v/>
      </c>
      <c r="BB227" s="523" t="str">
        <f>_xlfn.IFNA(IF(données_step[[#This Row],[E_COT]]&lt;=0,NA(),charge_entree[[#This Row],[ch_E_COT]]/constanten!$B$9*1000),"")</f>
        <v/>
      </c>
      <c r="BC227" s="523" t="str">
        <f>IFERROR(_xlfn.IFNA(IF(données_step[[#This Row],[E_PTOT]]&lt;=0,NA(),charge_entree[[#This Row],[ch_E_PTOT]]/constanten!$B$15*1000),""),"")</f>
        <v/>
      </c>
      <c r="BD227" s="535" t="e">
        <f>calculs!E227 * (1-0.4) / (données_step[[#This Row],[X_BA_VOL]]*données_step[[#This Row],[X_BACONC]])</f>
        <v>#VALUE!</v>
      </c>
      <c r="BE227" s="522" t="e">
        <f>(données_step[[#This Row],[X_BA_VOL]]*données_step[[#This Row],[X_BACONC]])/((données_step[[#This Row],[D_QTRAI2]]*données_step[[#This Row],[S_MES]]/1000)+(données_step[[#This Row],[X_BX_Q]]*données_step[[#This Row],[X_BXCONC]]))</f>
        <v>#VALUE!</v>
      </c>
      <c r="BF227" s="890" t="str">
        <f>IFERROR(données_step[[#This Row],[D_QTRAI]]/AY227*1000,"")</f>
        <v/>
      </c>
      <c r="BG227" s="535" t="str">
        <f>IFERROR(1-données_step[[#This Row],[S_DBO5]]/données_step[[#This Row],[E_DBO5]],"")</f>
        <v/>
      </c>
      <c r="BH227" s="536" t="str">
        <f>IFERROR(1-données_step[[#This Row],[S_DCO]]/données_step[[#This Row],[E_DCO]],"")</f>
        <v/>
      </c>
      <c r="BI227" s="535" t="str">
        <f>IFERROR(1-données_step[[#This Row],[S_COD]]/données_step[[#This Row],[E_COT]],"")</f>
        <v/>
      </c>
      <c r="BJ227" s="535" t="str">
        <f>IFERROR(1-données_step[[#This Row],[S_NH4]]/données_step[[#This Row],[E_NTOT]],"")</f>
        <v/>
      </c>
      <c r="BK227" s="535" t="str">
        <f>IFERROR(1-données_step[[#This Row],[S_PTOT]]/données_step[[#This Row],[E_PTOT]],"")</f>
        <v/>
      </c>
      <c r="BL227" s="521" t="str">
        <f>IFERROR(IF(données_step[[#This Row],[E_DCO]]/données_step[[#This Row],[E_DBO5]]=0,NA(),données_step[[#This Row],[E_DCO]]/données_step[[#This Row],[E_DBO5]]),"")</f>
        <v/>
      </c>
      <c r="BM227" s="521" t="str">
        <f>IFERROR(IF(données_step[[#This Row],[E_NH4]]/données_step[[#This Row],[E_NTOT]]=0,NA(),données_step[[#This Row],[E_NH4]]/données_step[[#This Row],[E_NTOT]]),"")</f>
        <v/>
      </c>
      <c r="BN227" s="521" t="str">
        <f>IFERROR(IF(données_step[[#This Row],[E_NTOT]]/données_step[[#This Row],[E_COT]]=0,NA(),données_step[[#This Row],[E_NTOT]]/données_step[[#This Row],[E_COT]]),"")</f>
        <v/>
      </c>
      <c r="BO227" s="521" t="str">
        <f>IFERROR(IF(données_step[[#This Row],[E_PTOT]]/données_step[[#This Row],[E_COT]]=0,NA(),données_step[[#This Row],[E_PTOT]]/données_step[[#This Row],[E_COT]]),"")</f>
        <v/>
      </c>
      <c r="BP227" s="521" t="e">
        <f>IF(données_step[[#This Row],[E_DCO]]/données_step[[#This Row],[E_COT]]=0,NA(),données_step[[#This Row],[E_DCO]]/données_step[[#This Row],[E_COT]])</f>
        <v>#DIV/0!</v>
      </c>
      <c r="BQ227" s="521" t="e">
        <f>IF(données_step[[#This Row],[E_NTOT]]/données_step[[#This Row],[E_DCO]]=0,NA(),données_step[[#This Row],[E_NTOT]]/données_step[[#This Row],[E_DCO]])</f>
        <v>#DIV/0!</v>
      </c>
      <c r="BR227" s="521" t="e">
        <f>IF(données_step[[#This Row],[E_PTOT]]/données_step[[#This Row],[E_DCO]]=0,NA(),données_step[[#This Row],[E_PTOT]]/données_step[[#This Row],[E_DCO]])</f>
        <v>#DIV/0!</v>
      </c>
      <c r="BS227" s="747" t="e">
        <f ca="1">test_NH4_temp(données_step[[#This Row],[S_NH4]],données_step[[#This Row],[Temp_eaux]])</f>
        <v>#NAME?</v>
      </c>
    </row>
    <row r="228" spans="1:71" x14ac:dyDescent="0.2">
      <c r="A228" s="222">
        <f>données_step[[#This Row],[Datum]]</f>
        <v>44779</v>
      </c>
      <c r="B228" s="223"/>
      <c r="C228" s="224">
        <f t="shared" si="64"/>
        <v>7</v>
      </c>
      <c r="D228" s="523" t="str">
        <f>IF(OR(données_step[[#This Row],[E_DBO5]]&lt;=0,données_step[[#This Row],[E_DBO5]]=""),"",données_step[[#This Row],[D_QTRAI]]*données_step[[#This Row],[E_DBO5]]/1000)</f>
        <v/>
      </c>
      <c r="E228" s="523" t="str">
        <f>IF(OR(données_step[[#This Row],[E_DCO]]&lt;=0,données_step[[#This Row],[E_DCO]]=""),"",données_step[[#This Row],[D_QTRAI]]*données_step[[#This Row],[E_DCO]]/1000)</f>
        <v/>
      </c>
      <c r="F228" s="523" t="str">
        <f>IF(OR(données_step[[#This Row],[E_COT]]&lt;=0,données_step[[#This Row],[E_COT]]=""),"",données_step[[#This Row],[D_QTRAI]]*données_step[[#This Row],[E_COT]]/1000)</f>
        <v/>
      </c>
      <c r="G228" s="523" t="str">
        <f>IF(OR(données_step[[#This Row],[E_NH4]]&lt;=0,données_step[[#This Row],[E_NH4]]=""),"",données_step[[#This Row],[D_QTRAI]]*données_step[[#This Row],[E_NH4]]/1000)</f>
        <v/>
      </c>
      <c r="H228" s="523" t="str">
        <f>IF(OR(données_step[[#This Row],[E_NTOT]]&lt;=0,données_step[[#This Row],[E_NTOT]]=""),"",données_step[[#This Row],[D_QTRAI]]*données_step[[#This Row],[E_NTOT]]/1000)</f>
        <v/>
      </c>
      <c r="I228" s="523" t="str">
        <f>IF(OR(données_step[[#This Row],[E_NTOT]]&lt;=0,données_step[[#This Row],[E_NTOT]]=""),"",données_step[[#This Row],[D_QTRAI]]*données_step[[#This Row],[E_PTOT]]/1000)</f>
        <v/>
      </c>
      <c r="J228" s="523" t="str">
        <f>IF(OR(données_step[[#This Row],[S_DBO5]]&lt;=0,données_step[[#This Row],[S_DBO5]]=""),"",données_step[[#This Row],[D_QTRAI]]*données_step[[#This Row],[S_DBO5]]/1000)</f>
        <v/>
      </c>
      <c r="K228" s="523" t="str">
        <f>IF(OR(données_step[[#This Row],[S_DCO]]&lt;=0,données_step[[#This Row],[S_DCO]]=""),"",données_step[[#This Row],[D_QTRAI]]*données_step[[#This Row],[S_DCO]]/1000)</f>
        <v/>
      </c>
      <c r="L228" s="523" t="str">
        <f>IF(OR(données_step[[#This Row],[S_COD]]&lt;=0,données_step[[#This Row],[S_COD]]=""),"",données_step[[#This Row],[D_QTRAI]]*données_step[[#This Row],[S_COD]]/1000)</f>
        <v/>
      </c>
      <c r="M228" s="523" t="str">
        <f>IF(OR(données_step[[#This Row],[S_NH4]]&lt;=0,données_step[[#This Row],[S_NH4]]=""),"",données_step[[#This Row],[D_QTRAI]]*données_step[[#This Row],[S_NH4]]/1000)</f>
        <v/>
      </c>
      <c r="N228" s="523" t="str">
        <f>IF(OR(données_step[[#This Row],[S_NO2]]&lt;=0,données_step[[#This Row],[S_NO2]]=""),"",données_step[[#This Row],[D_QTRAI]]*données_step[[#This Row],[S_NO2]]/1000)</f>
        <v/>
      </c>
      <c r="O228" s="523" t="str">
        <f>IF(OR(données_step[[#This Row],[S_NO3]]&lt;=0,données_step[[#This Row],[S_NO3]]=""),"",données_step[[#This Row],[D_QTRAI]]*données_step[[#This Row],[S_NO3]]/1000)</f>
        <v/>
      </c>
      <c r="P228" s="523" t="str">
        <f>IF(OR(données_step[[#This Row],[S_PTOT]]&lt;=0,données_step[[#This Row],[S_PTOT]]=""),"",données_step[[#This Row],[D_QTRAI]]*données_step[[#This Row],[S_PTOT]]/1000)</f>
        <v/>
      </c>
      <c r="Q228" s="523" t="str">
        <f>IF(OR(données_step[[#This Row],[S_MES]]&lt;=0,données_step[[#This Row],[S_MES]]=""),"",données_step[[#This Row],[D_QTRAI]]*données_step[[#This Row],[S_MES]]/1000)</f>
        <v/>
      </c>
      <c r="R228" s="523">
        <f>MAX(données_step[[#This Row],[D_QTRAI]],données_step[[#This Row],[D_QTRAI2]])</f>
        <v>0</v>
      </c>
      <c r="S228" s="523" t="str">
        <f>IF(AND($R228&gt;0,données_step[[#This Row],[E_DCO]]&gt;0),données_step[[#This Row],[E_DCO]],"")</f>
        <v/>
      </c>
      <c r="T228" s="523" t="str">
        <f>IF(S228="","",(1-données_step[[#This Row],[E_DCO]]/$V$7)*100)</f>
        <v/>
      </c>
      <c r="U228" s="523" t="str">
        <f t="shared" si="50"/>
        <v/>
      </c>
      <c r="V228" s="523" t="str">
        <f t="shared" si="51"/>
        <v/>
      </c>
      <c r="W228" s="523" t="str">
        <f t="shared" si="52"/>
        <v/>
      </c>
      <c r="X228" s="523" t="e">
        <f>IF(((100-100/$V$7*données_step[[#This Row],[E_DCO]])/100*QTS)&lt;0,NA(),IF(OR(U228&lt;0,U228=""),NA(),((100-100/$V$7*données_step[[#This Row],[E_DCO]])/100*QTS)))</f>
        <v>#NUM!</v>
      </c>
      <c r="Y228" s="523" t="str">
        <f>IF(AND($R228&gt;0,données_step[[#This Row],[E_COT]]&gt;0),données_step[[#This Row],[E_COT]],"")</f>
        <v/>
      </c>
      <c r="Z228" s="523" t="str">
        <f>IF(Y228="","",(1-données_step[[#This Row],[E_COT]]/$AB$7)*100)</f>
        <v/>
      </c>
      <c r="AA228" s="523" t="str">
        <f t="shared" si="53"/>
        <v/>
      </c>
      <c r="AB228" s="523" t="str">
        <f t="shared" si="54"/>
        <v/>
      </c>
      <c r="AC228" s="523" t="str">
        <f t="shared" si="55"/>
        <v/>
      </c>
      <c r="AD228" s="523" t="e">
        <f>IF(((100-100/$AB$7*données_step[[#This Row],[E_COT]])/100*QTS)&lt;0,NA(),IF(OR(AA228&lt;0,AA228=""),NA(),((100-100/$AB$7*données_step[[#This Row],[E_COT]])/100*QTS)))</f>
        <v>#NUM!</v>
      </c>
      <c r="AE228" s="523" t="str">
        <f>IF(AND($R228&gt;0,données_step[[#This Row],[E_NH4]]&gt;0),données_step[[#This Row],[E_NH4]],"")</f>
        <v/>
      </c>
      <c r="AF228" s="523" t="str">
        <f>IF(AE228="","",(1-données_step[[#This Row],[E_NH4]]/$AH$7)*100)</f>
        <v/>
      </c>
      <c r="AG228" s="523" t="str">
        <f t="shared" si="56"/>
        <v/>
      </c>
      <c r="AH228" s="523" t="str">
        <f t="shared" si="57"/>
        <v/>
      </c>
      <c r="AI228" s="523" t="str">
        <f t="shared" si="58"/>
        <v/>
      </c>
      <c r="AJ228" s="523" t="e">
        <f>IF(((100-100/$AH$7*données_step[[#This Row],[E_NH4]])/100*QTS)&lt;0,NA(),IF(OR(AG228&lt;0,AG228=""),NA(),((100-100/$AH$7*données_step[[#This Row],[E_NH4]])/100*QTS)))</f>
        <v>#NUM!</v>
      </c>
      <c r="AK228" s="523" t="str">
        <f>IF(AND($R228&gt;0,données_step[[#This Row],[E_PTOT]]&gt;0),données_step[[#This Row],[E_PTOT]],"")</f>
        <v/>
      </c>
      <c r="AL228" s="523" t="str">
        <f>IF(AK228="","",(1-données_step[[#This Row],[E_PTOT]]/$AN$7)*100)</f>
        <v/>
      </c>
      <c r="AM228" s="523" t="str">
        <f t="shared" si="59"/>
        <v/>
      </c>
      <c r="AN228" s="523" t="str">
        <f t="shared" si="60"/>
        <v/>
      </c>
      <c r="AO228" s="523" t="str">
        <f t="shared" si="61"/>
        <v/>
      </c>
      <c r="AP228" s="523" t="e">
        <f>IF(((100-100/$AN$7*données_step[[#This Row],[E_PTOT]])/100*QTS)&lt;0,NA(),IF(OR(AM228&lt;0,AM228=""),NA(),((100-100/$AN$7*données_step[[#This Row],[E_PTOT]])/100*QTS)))</f>
        <v>#NUM!</v>
      </c>
      <c r="AQ228" s="524" t="e">
        <f t="shared" si="62"/>
        <v>#NUM!</v>
      </c>
      <c r="AR228" s="524" t="str">
        <f t="shared" si="63"/>
        <v/>
      </c>
      <c r="AY228" s="523" t="str">
        <f>_xlfn.IFNA(IF(données_step[[#This Row],[E_DCO]]&lt;=0,NA(),charge_entree[[#This Row],[ch_E_DCO]]/constanten!$B$8*1000),"")</f>
        <v/>
      </c>
      <c r="AZ228" s="523" t="str">
        <f>_xlfn.IFNA(IF(données_step[[#This Row],[E_NTOT]]&lt;=0,NA(),charge_entree[[#This Row],[ch_E_NTOT]]/constanten!$B$10*1000),"")</f>
        <v/>
      </c>
      <c r="BA228" s="523" t="str">
        <f>_xlfn.IFNA(IF(données_step[[#This Row],[E_NH4]]&lt;=0,NA(),charge_entree[[#This Row],[ch_E_NH4]]/constanten!$B$12*1000),"")</f>
        <v/>
      </c>
      <c r="BB228" s="523" t="str">
        <f>_xlfn.IFNA(IF(données_step[[#This Row],[E_COT]]&lt;=0,NA(),charge_entree[[#This Row],[ch_E_COT]]/constanten!$B$9*1000),"")</f>
        <v/>
      </c>
      <c r="BC228" s="523" t="str">
        <f>IFERROR(_xlfn.IFNA(IF(données_step[[#This Row],[E_PTOT]]&lt;=0,NA(),charge_entree[[#This Row],[ch_E_PTOT]]/constanten!$B$15*1000),""),"")</f>
        <v/>
      </c>
      <c r="BD228" s="535" t="e">
        <f>calculs!E228 * (1-0.4) / (données_step[[#This Row],[X_BA_VOL]]*données_step[[#This Row],[X_BACONC]])</f>
        <v>#VALUE!</v>
      </c>
      <c r="BE228" s="522" t="e">
        <f>(données_step[[#This Row],[X_BA_VOL]]*données_step[[#This Row],[X_BACONC]])/((données_step[[#This Row],[D_QTRAI2]]*données_step[[#This Row],[S_MES]]/1000)+(données_step[[#This Row],[X_BX_Q]]*données_step[[#This Row],[X_BXCONC]]))</f>
        <v>#VALUE!</v>
      </c>
      <c r="BF228" s="890" t="str">
        <f>IFERROR(données_step[[#This Row],[D_QTRAI]]/AY228*1000,"")</f>
        <v/>
      </c>
      <c r="BG228" s="535" t="str">
        <f>IFERROR(1-données_step[[#This Row],[S_DBO5]]/données_step[[#This Row],[E_DBO5]],"")</f>
        <v/>
      </c>
      <c r="BH228" s="536" t="str">
        <f>IFERROR(1-données_step[[#This Row],[S_DCO]]/données_step[[#This Row],[E_DCO]],"")</f>
        <v/>
      </c>
      <c r="BI228" s="535" t="str">
        <f>IFERROR(1-données_step[[#This Row],[S_COD]]/données_step[[#This Row],[E_COT]],"")</f>
        <v/>
      </c>
      <c r="BJ228" s="535" t="str">
        <f>IFERROR(1-données_step[[#This Row],[S_NH4]]/données_step[[#This Row],[E_NTOT]],"")</f>
        <v/>
      </c>
      <c r="BK228" s="535" t="str">
        <f>IFERROR(1-données_step[[#This Row],[S_PTOT]]/données_step[[#This Row],[E_PTOT]],"")</f>
        <v/>
      </c>
      <c r="BL228" s="521" t="str">
        <f>IFERROR(IF(données_step[[#This Row],[E_DCO]]/données_step[[#This Row],[E_DBO5]]=0,NA(),données_step[[#This Row],[E_DCO]]/données_step[[#This Row],[E_DBO5]]),"")</f>
        <v/>
      </c>
      <c r="BM228" s="521" t="str">
        <f>IFERROR(IF(données_step[[#This Row],[E_NH4]]/données_step[[#This Row],[E_NTOT]]=0,NA(),données_step[[#This Row],[E_NH4]]/données_step[[#This Row],[E_NTOT]]),"")</f>
        <v/>
      </c>
      <c r="BN228" s="521" t="str">
        <f>IFERROR(IF(données_step[[#This Row],[E_NTOT]]/données_step[[#This Row],[E_COT]]=0,NA(),données_step[[#This Row],[E_NTOT]]/données_step[[#This Row],[E_COT]]),"")</f>
        <v/>
      </c>
      <c r="BO228" s="521" t="str">
        <f>IFERROR(IF(données_step[[#This Row],[E_PTOT]]/données_step[[#This Row],[E_COT]]=0,NA(),données_step[[#This Row],[E_PTOT]]/données_step[[#This Row],[E_COT]]),"")</f>
        <v/>
      </c>
      <c r="BP228" s="521" t="e">
        <f>IF(données_step[[#This Row],[E_DCO]]/données_step[[#This Row],[E_COT]]=0,NA(),données_step[[#This Row],[E_DCO]]/données_step[[#This Row],[E_COT]])</f>
        <v>#DIV/0!</v>
      </c>
      <c r="BQ228" s="521" t="e">
        <f>IF(données_step[[#This Row],[E_NTOT]]/données_step[[#This Row],[E_DCO]]=0,NA(),données_step[[#This Row],[E_NTOT]]/données_step[[#This Row],[E_DCO]])</f>
        <v>#DIV/0!</v>
      </c>
      <c r="BR228" s="521" t="e">
        <f>IF(données_step[[#This Row],[E_PTOT]]/données_step[[#This Row],[E_DCO]]=0,NA(),données_step[[#This Row],[E_PTOT]]/données_step[[#This Row],[E_DCO]])</f>
        <v>#DIV/0!</v>
      </c>
      <c r="BS228" s="747" t="e">
        <f ca="1">test_NH4_temp(données_step[[#This Row],[S_NH4]],données_step[[#This Row],[Temp_eaux]])</f>
        <v>#NAME?</v>
      </c>
    </row>
    <row r="229" spans="1:71" x14ac:dyDescent="0.2">
      <c r="A229" s="222">
        <f>données_step[[#This Row],[Datum]]</f>
        <v>44780</v>
      </c>
      <c r="B229" s="223"/>
      <c r="C229" s="224">
        <f t="shared" si="64"/>
        <v>1</v>
      </c>
      <c r="D229" s="523" t="str">
        <f>IF(OR(données_step[[#This Row],[E_DBO5]]&lt;=0,données_step[[#This Row],[E_DBO5]]=""),"",données_step[[#This Row],[D_QTRAI]]*données_step[[#This Row],[E_DBO5]]/1000)</f>
        <v/>
      </c>
      <c r="E229" s="523" t="str">
        <f>IF(OR(données_step[[#This Row],[E_DCO]]&lt;=0,données_step[[#This Row],[E_DCO]]=""),"",données_step[[#This Row],[D_QTRAI]]*données_step[[#This Row],[E_DCO]]/1000)</f>
        <v/>
      </c>
      <c r="F229" s="523" t="str">
        <f>IF(OR(données_step[[#This Row],[E_COT]]&lt;=0,données_step[[#This Row],[E_COT]]=""),"",données_step[[#This Row],[D_QTRAI]]*données_step[[#This Row],[E_COT]]/1000)</f>
        <v/>
      </c>
      <c r="G229" s="523" t="str">
        <f>IF(OR(données_step[[#This Row],[E_NH4]]&lt;=0,données_step[[#This Row],[E_NH4]]=""),"",données_step[[#This Row],[D_QTRAI]]*données_step[[#This Row],[E_NH4]]/1000)</f>
        <v/>
      </c>
      <c r="H229" s="523" t="str">
        <f>IF(OR(données_step[[#This Row],[E_NTOT]]&lt;=0,données_step[[#This Row],[E_NTOT]]=""),"",données_step[[#This Row],[D_QTRAI]]*données_step[[#This Row],[E_NTOT]]/1000)</f>
        <v/>
      </c>
      <c r="I229" s="523" t="str">
        <f>IF(OR(données_step[[#This Row],[E_NTOT]]&lt;=0,données_step[[#This Row],[E_NTOT]]=""),"",données_step[[#This Row],[D_QTRAI]]*données_step[[#This Row],[E_PTOT]]/1000)</f>
        <v/>
      </c>
      <c r="J229" s="523" t="str">
        <f>IF(OR(données_step[[#This Row],[S_DBO5]]&lt;=0,données_step[[#This Row],[S_DBO5]]=""),"",données_step[[#This Row],[D_QTRAI]]*données_step[[#This Row],[S_DBO5]]/1000)</f>
        <v/>
      </c>
      <c r="K229" s="523" t="str">
        <f>IF(OR(données_step[[#This Row],[S_DCO]]&lt;=0,données_step[[#This Row],[S_DCO]]=""),"",données_step[[#This Row],[D_QTRAI]]*données_step[[#This Row],[S_DCO]]/1000)</f>
        <v/>
      </c>
      <c r="L229" s="523" t="str">
        <f>IF(OR(données_step[[#This Row],[S_COD]]&lt;=0,données_step[[#This Row],[S_COD]]=""),"",données_step[[#This Row],[D_QTRAI]]*données_step[[#This Row],[S_COD]]/1000)</f>
        <v/>
      </c>
      <c r="M229" s="523" t="str">
        <f>IF(OR(données_step[[#This Row],[S_NH4]]&lt;=0,données_step[[#This Row],[S_NH4]]=""),"",données_step[[#This Row],[D_QTRAI]]*données_step[[#This Row],[S_NH4]]/1000)</f>
        <v/>
      </c>
      <c r="N229" s="523" t="str">
        <f>IF(OR(données_step[[#This Row],[S_NO2]]&lt;=0,données_step[[#This Row],[S_NO2]]=""),"",données_step[[#This Row],[D_QTRAI]]*données_step[[#This Row],[S_NO2]]/1000)</f>
        <v/>
      </c>
      <c r="O229" s="523" t="str">
        <f>IF(OR(données_step[[#This Row],[S_NO3]]&lt;=0,données_step[[#This Row],[S_NO3]]=""),"",données_step[[#This Row],[D_QTRAI]]*données_step[[#This Row],[S_NO3]]/1000)</f>
        <v/>
      </c>
      <c r="P229" s="523" t="str">
        <f>IF(OR(données_step[[#This Row],[S_PTOT]]&lt;=0,données_step[[#This Row],[S_PTOT]]=""),"",données_step[[#This Row],[D_QTRAI]]*données_step[[#This Row],[S_PTOT]]/1000)</f>
        <v/>
      </c>
      <c r="Q229" s="523" t="str">
        <f>IF(OR(données_step[[#This Row],[S_MES]]&lt;=0,données_step[[#This Row],[S_MES]]=""),"",données_step[[#This Row],[D_QTRAI]]*données_step[[#This Row],[S_MES]]/1000)</f>
        <v/>
      </c>
      <c r="R229" s="523">
        <f>MAX(données_step[[#This Row],[D_QTRAI]],données_step[[#This Row],[D_QTRAI2]])</f>
        <v>0</v>
      </c>
      <c r="S229" s="523" t="str">
        <f>IF(AND($R229&gt;0,données_step[[#This Row],[E_DCO]]&gt;0),données_step[[#This Row],[E_DCO]],"")</f>
        <v/>
      </c>
      <c r="T229" s="523" t="str">
        <f>IF(S229="","",(1-données_step[[#This Row],[E_DCO]]/$V$7)*100)</f>
        <v/>
      </c>
      <c r="U229" s="523" t="str">
        <f t="shared" si="50"/>
        <v/>
      </c>
      <c r="V229" s="523" t="str">
        <f t="shared" si="51"/>
        <v/>
      </c>
      <c r="W229" s="523" t="str">
        <f t="shared" si="52"/>
        <v/>
      </c>
      <c r="X229" s="523" t="e">
        <f>IF(((100-100/$V$7*données_step[[#This Row],[E_DCO]])/100*QTS)&lt;0,NA(),IF(OR(U229&lt;0,U229=""),NA(),((100-100/$V$7*données_step[[#This Row],[E_DCO]])/100*QTS)))</f>
        <v>#NUM!</v>
      </c>
      <c r="Y229" s="523" t="str">
        <f>IF(AND($R229&gt;0,données_step[[#This Row],[E_COT]]&gt;0),données_step[[#This Row],[E_COT]],"")</f>
        <v/>
      </c>
      <c r="Z229" s="523" t="str">
        <f>IF(Y229="","",(1-données_step[[#This Row],[E_COT]]/$AB$7)*100)</f>
        <v/>
      </c>
      <c r="AA229" s="523" t="str">
        <f t="shared" si="53"/>
        <v/>
      </c>
      <c r="AB229" s="523" t="str">
        <f t="shared" si="54"/>
        <v/>
      </c>
      <c r="AC229" s="523" t="str">
        <f t="shared" si="55"/>
        <v/>
      </c>
      <c r="AD229" s="523" t="e">
        <f>IF(((100-100/$AB$7*données_step[[#This Row],[E_COT]])/100*QTS)&lt;0,NA(),IF(OR(AA229&lt;0,AA229=""),NA(),((100-100/$AB$7*données_step[[#This Row],[E_COT]])/100*QTS)))</f>
        <v>#NUM!</v>
      </c>
      <c r="AE229" s="523" t="str">
        <f>IF(AND($R229&gt;0,données_step[[#This Row],[E_NH4]]&gt;0),données_step[[#This Row],[E_NH4]],"")</f>
        <v/>
      </c>
      <c r="AF229" s="523" t="str">
        <f>IF(AE229="","",(1-données_step[[#This Row],[E_NH4]]/$AH$7)*100)</f>
        <v/>
      </c>
      <c r="AG229" s="523" t="str">
        <f t="shared" si="56"/>
        <v/>
      </c>
      <c r="AH229" s="523" t="str">
        <f t="shared" si="57"/>
        <v/>
      </c>
      <c r="AI229" s="523" t="str">
        <f t="shared" si="58"/>
        <v/>
      </c>
      <c r="AJ229" s="523" t="e">
        <f>IF(((100-100/$AH$7*données_step[[#This Row],[E_NH4]])/100*QTS)&lt;0,NA(),IF(OR(AG229&lt;0,AG229=""),NA(),((100-100/$AH$7*données_step[[#This Row],[E_NH4]])/100*QTS)))</f>
        <v>#NUM!</v>
      </c>
      <c r="AK229" s="523" t="str">
        <f>IF(AND($R229&gt;0,données_step[[#This Row],[E_PTOT]]&gt;0),données_step[[#This Row],[E_PTOT]],"")</f>
        <v/>
      </c>
      <c r="AL229" s="523" t="str">
        <f>IF(AK229="","",(1-données_step[[#This Row],[E_PTOT]]/$AN$7)*100)</f>
        <v/>
      </c>
      <c r="AM229" s="523" t="str">
        <f t="shared" si="59"/>
        <v/>
      </c>
      <c r="AN229" s="523" t="str">
        <f t="shared" si="60"/>
        <v/>
      </c>
      <c r="AO229" s="523" t="str">
        <f t="shared" si="61"/>
        <v/>
      </c>
      <c r="AP229" s="523" t="e">
        <f>IF(((100-100/$AN$7*données_step[[#This Row],[E_PTOT]])/100*QTS)&lt;0,NA(),IF(OR(AM229&lt;0,AM229=""),NA(),((100-100/$AN$7*données_step[[#This Row],[E_PTOT]])/100*QTS)))</f>
        <v>#NUM!</v>
      </c>
      <c r="AQ229" s="524" t="e">
        <f t="shared" si="62"/>
        <v>#NUM!</v>
      </c>
      <c r="AR229" s="524" t="str">
        <f t="shared" si="63"/>
        <v/>
      </c>
      <c r="AY229" s="523" t="str">
        <f>_xlfn.IFNA(IF(données_step[[#This Row],[E_DCO]]&lt;=0,NA(),charge_entree[[#This Row],[ch_E_DCO]]/constanten!$B$8*1000),"")</f>
        <v/>
      </c>
      <c r="AZ229" s="523" t="str">
        <f>_xlfn.IFNA(IF(données_step[[#This Row],[E_NTOT]]&lt;=0,NA(),charge_entree[[#This Row],[ch_E_NTOT]]/constanten!$B$10*1000),"")</f>
        <v/>
      </c>
      <c r="BA229" s="523" t="str">
        <f>_xlfn.IFNA(IF(données_step[[#This Row],[E_NH4]]&lt;=0,NA(),charge_entree[[#This Row],[ch_E_NH4]]/constanten!$B$12*1000),"")</f>
        <v/>
      </c>
      <c r="BB229" s="523" t="str">
        <f>_xlfn.IFNA(IF(données_step[[#This Row],[E_COT]]&lt;=0,NA(),charge_entree[[#This Row],[ch_E_COT]]/constanten!$B$9*1000),"")</f>
        <v/>
      </c>
      <c r="BC229" s="523" t="str">
        <f>IFERROR(_xlfn.IFNA(IF(données_step[[#This Row],[E_PTOT]]&lt;=0,NA(),charge_entree[[#This Row],[ch_E_PTOT]]/constanten!$B$15*1000),""),"")</f>
        <v/>
      </c>
      <c r="BD229" s="535" t="e">
        <f>calculs!E229 * (1-0.4) / (données_step[[#This Row],[X_BA_VOL]]*données_step[[#This Row],[X_BACONC]])</f>
        <v>#VALUE!</v>
      </c>
      <c r="BE229" s="522" t="e">
        <f>(données_step[[#This Row],[X_BA_VOL]]*données_step[[#This Row],[X_BACONC]])/((données_step[[#This Row],[D_QTRAI2]]*données_step[[#This Row],[S_MES]]/1000)+(données_step[[#This Row],[X_BX_Q]]*données_step[[#This Row],[X_BXCONC]]))</f>
        <v>#VALUE!</v>
      </c>
      <c r="BF229" s="890" t="str">
        <f>IFERROR(données_step[[#This Row],[D_QTRAI]]/AY229*1000,"")</f>
        <v/>
      </c>
      <c r="BG229" s="535" t="str">
        <f>IFERROR(1-données_step[[#This Row],[S_DBO5]]/données_step[[#This Row],[E_DBO5]],"")</f>
        <v/>
      </c>
      <c r="BH229" s="536" t="str">
        <f>IFERROR(1-données_step[[#This Row],[S_DCO]]/données_step[[#This Row],[E_DCO]],"")</f>
        <v/>
      </c>
      <c r="BI229" s="535" t="str">
        <f>IFERROR(1-données_step[[#This Row],[S_COD]]/données_step[[#This Row],[E_COT]],"")</f>
        <v/>
      </c>
      <c r="BJ229" s="535" t="str">
        <f>IFERROR(1-données_step[[#This Row],[S_NH4]]/données_step[[#This Row],[E_NTOT]],"")</f>
        <v/>
      </c>
      <c r="BK229" s="535" t="str">
        <f>IFERROR(1-données_step[[#This Row],[S_PTOT]]/données_step[[#This Row],[E_PTOT]],"")</f>
        <v/>
      </c>
      <c r="BL229" s="521" t="str">
        <f>IFERROR(IF(données_step[[#This Row],[E_DCO]]/données_step[[#This Row],[E_DBO5]]=0,NA(),données_step[[#This Row],[E_DCO]]/données_step[[#This Row],[E_DBO5]]),"")</f>
        <v/>
      </c>
      <c r="BM229" s="521" t="str">
        <f>IFERROR(IF(données_step[[#This Row],[E_NH4]]/données_step[[#This Row],[E_NTOT]]=0,NA(),données_step[[#This Row],[E_NH4]]/données_step[[#This Row],[E_NTOT]]),"")</f>
        <v/>
      </c>
      <c r="BN229" s="521" t="str">
        <f>IFERROR(IF(données_step[[#This Row],[E_NTOT]]/données_step[[#This Row],[E_COT]]=0,NA(),données_step[[#This Row],[E_NTOT]]/données_step[[#This Row],[E_COT]]),"")</f>
        <v/>
      </c>
      <c r="BO229" s="521" t="str">
        <f>IFERROR(IF(données_step[[#This Row],[E_PTOT]]/données_step[[#This Row],[E_COT]]=0,NA(),données_step[[#This Row],[E_PTOT]]/données_step[[#This Row],[E_COT]]),"")</f>
        <v/>
      </c>
      <c r="BP229" s="521" t="e">
        <f>IF(données_step[[#This Row],[E_DCO]]/données_step[[#This Row],[E_COT]]=0,NA(),données_step[[#This Row],[E_DCO]]/données_step[[#This Row],[E_COT]])</f>
        <v>#DIV/0!</v>
      </c>
      <c r="BQ229" s="521" t="e">
        <f>IF(données_step[[#This Row],[E_NTOT]]/données_step[[#This Row],[E_DCO]]=0,NA(),données_step[[#This Row],[E_NTOT]]/données_step[[#This Row],[E_DCO]])</f>
        <v>#DIV/0!</v>
      </c>
      <c r="BR229" s="521" t="e">
        <f>IF(données_step[[#This Row],[E_PTOT]]/données_step[[#This Row],[E_DCO]]=0,NA(),données_step[[#This Row],[E_PTOT]]/données_step[[#This Row],[E_DCO]])</f>
        <v>#DIV/0!</v>
      </c>
      <c r="BS229" s="747" t="e">
        <f ca="1">test_NH4_temp(données_step[[#This Row],[S_NH4]],données_step[[#This Row],[Temp_eaux]])</f>
        <v>#NAME?</v>
      </c>
    </row>
    <row r="230" spans="1:71" x14ac:dyDescent="0.2">
      <c r="A230" s="222">
        <f>données_step[[#This Row],[Datum]]</f>
        <v>44781</v>
      </c>
      <c r="B230" s="223"/>
      <c r="C230" s="224">
        <f t="shared" si="64"/>
        <v>2</v>
      </c>
      <c r="D230" s="523" t="str">
        <f>IF(OR(données_step[[#This Row],[E_DBO5]]&lt;=0,données_step[[#This Row],[E_DBO5]]=""),"",données_step[[#This Row],[D_QTRAI]]*données_step[[#This Row],[E_DBO5]]/1000)</f>
        <v/>
      </c>
      <c r="E230" s="523" t="str">
        <f>IF(OR(données_step[[#This Row],[E_DCO]]&lt;=0,données_step[[#This Row],[E_DCO]]=""),"",données_step[[#This Row],[D_QTRAI]]*données_step[[#This Row],[E_DCO]]/1000)</f>
        <v/>
      </c>
      <c r="F230" s="523" t="str">
        <f>IF(OR(données_step[[#This Row],[E_COT]]&lt;=0,données_step[[#This Row],[E_COT]]=""),"",données_step[[#This Row],[D_QTRAI]]*données_step[[#This Row],[E_COT]]/1000)</f>
        <v/>
      </c>
      <c r="G230" s="523" t="str">
        <f>IF(OR(données_step[[#This Row],[E_NH4]]&lt;=0,données_step[[#This Row],[E_NH4]]=""),"",données_step[[#This Row],[D_QTRAI]]*données_step[[#This Row],[E_NH4]]/1000)</f>
        <v/>
      </c>
      <c r="H230" s="523" t="str">
        <f>IF(OR(données_step[[#This Row],[E_NTOT]]&lt;=0,données_step[[#This Row],[E_NTOT]]=""),"",données_step[[#This Row],[D_QTRAI]]*données_step[[#This Row],[E_NTOT]]/1000)</f>
        <v/>
      </c>
      <c r="I230" s="523" t="str">
        <f>IF(OR(données_step[[#This Row],[E_NTOT]]&lt;=0,données_step[[#This Row],[E_NTOT]]=""),"",données_step[[#This Row],[D_QTRAI]]*données_step[[#This Row],[E_PTOT]]/1000)</f>
        <v/>
      </c>
      <c r="J230" s="523" t="str">
        <f>IF(OR(données_step[[#This Row],[S_DBO5]]&lt;=0,données_step[[#This Row],[S_DBO5]]=""),"",données_step[[#This Row],[D_QTRAI]]*données_step[[#This Row],[S_DBO5]]/1000)</f>
        <v/>
      </c>
      <c r="K230" s="523" t="str">
        <f>IF(OR(données_step[[#This Row],[S_DCO]]&lt;=0,données_step[[#This Row],[S_DCO]]=""),"",données_step[[#This Row],[D_QTRAI]]*données_step[[#This Row],[S_DCO]]/1000)</f>
        <v/>
      </c>
      <c r="L230" s="523" t="str">
        <f>IF(OR(données_step[[#This Row],[S_COD]]&lt;=0,données_step[[#This Row],[S_COD]]=""),"",données_step[[#This Row],[D_QTRAI]]*données_step[[#This Row],[S_COD]]/1000)</f>
        <v/>
      </c>
      <c r="M230" s="523" t="str">
        <f>IF(OR(données_step[[#This Row],[S_NH4]]&lt;=0,données_step[[#This Row],[S_NH4]]=""),"",données_step[[#This Row],[D_QTRAI]]*données_step[[#This Row],[S_NH4]]/1000)</f>
        <v/>
      </c>
      <c r="N230" s="523" t="str">
        <f>IF(OR(données_step[[#This Row],[S_NO2]]&lt;=0,données_step[[#This Row],[S_NO2]]=""),"",données_step[[#This Row],[D_QTRAI]]*données_step[[#This Row],[S_NO2]]/1000)</f>
        <v/>
      </c>
      <c r="O230" s="523" t="str">
        <f>IF(OR(données_step[[#This Row],[S_NO3]]&lt;=0,données_step[[#This Row],[S_NO3]]=""),"",données_step[[#This Row],[D_QTRAI]]*données_step[[#This Row],[S_NO3]]/1000)</f>
        <v/>
      </c>
      <c r="P230" s="523" t="str">
        <f>IF(OR(données_step[[#This Row],[S_PTOT]]&lt;=0,données_step[[#This Row],[S_PTOT]]=""),"",données_step[[#This Row],[D_QTRAI]]*données_step[[#This Row],[S_PTOT]]/1000)</f>
        <v/>
      </c>
      <c r="Q230" s="523" t="str">
        <f>IF(OR(données_step[[#This Row],[S_MES]]&lt;=0,données_step[[#This Row],[S_MES]]=""),"",données_step[[#This Row],[D_QTRAI]]*données_step[[#This Row],[S_MES]]/1000)</f>
        <v/>
      </c>
      <c r="R230" s="523">
        <f>MAX(données_step[[#This Row],[D_QTRAI]],données_step[[#This Row],[D_QTRAI2]])</f>
        <v>0</v>
      </c>
      <c r="S230" s="523" t="str">
        <f>IF(AND($R230&gt;0,données_step[[#This Row],[E_DCO]]&gt;0),données_step[[#This Row],[E_DCO]],"")</f>
        <v/>
      </c>
      <c r="T230" s="523" t="str">
        <f>IF(S230="","",(1-données_step[[#This Row],[E_DCO]]/$V$7)*100)</f>
        <v/>
      </c>
      <c r="U230" s="523" t="str">
        <f t="shared" si="50"/>
        <v/>
      </c>
      <c r="V230" s="523" t="str">
        <f t="shared" si="51"/>
        <v/>
      </c>
      <c r="W230" s="523" t="str">
        <f t="shared" si="52"/>
        <v/>
      </c>
      <c r="X230" s="523" t="e">
        <f>IF(((100-100/$V$7*données_step[[#This Row],[E_DCO]])/100*QTS)&lt;0,NA(),IF(OR(U230&lt;0,U230=""),NA(),((100-100/$V$7*données_step[[#This Row],[E_DCO]])/100*QTS)))</f>
        <v>#NUM!</v>
      </c>
      <c r="Y230" s="523" t="str">
        <f>IF(AND($R230&gt;0,données_step[[#This Row],[E_COT]]&gt;0),données_step[[#This Row],[E_COT]],"")</f>
        <v/>
      </c>
      <c r="Z230" s="523" t="str">
        <f>IF(Y230="","",(1-données_step[[#This Row],[E_COT]]/$AB$7)*100)</f>
        <v/>
      </c>
      <c r="AA230" s="523" t="str">
        <f t="shared" si="53"/>
        <v/>
      </c>
      <c r="AB230" s="523" t="str">
        <f t="shared" si="54"/>
        <v/>
      </c>
      <c r="AC230" s="523" t="str">
        <f t="shared" si="55"/>
        <v/>
      </c>
      <c r="AD230" s="523" t="e">
        <f>IF(((100-100/$AB$7*données_step[[#This Row],[E_COT]])/100*QTS)&lt;0,NA(),IF(OR(AA230&lt;0,AA230=""),NA(),((100-100/$AB$7*données_step[[#This Row],[E_COT]])/100*QTS)))</f>
        <v>#NUM!</v>
      </c>
      <c r="AE230" s="523" t="str">
        <f>IF(AND($R230&gt;0,données_step[[#This Row],[E_NH4]]&gt;0),données_step[[#This Row],[E_NH4]],"")</f>
        <v/>
      </c>
      <c r="AF230" s="523" t="str">
        <f>IF(AE230="","",(1-données_step[[#This Row],[E_NH4]]/$AH$7)*100)</f>
        <v/>
      </c>
      <c r="AG230" s="523" t="str">
        <f t="shared" si="56"/>
        <v/>
      </c>
      <c r="AH230" s="523" t="str">
        <f t="shared" si="57"/>
        <v/>
      </c>
      <c r="AI230" s="523" t="str">
        <f t="shared" si="58"/>
        <v/>
      </c>
      <c r="AJ230" s="523" t="e">
        <f>IF(((100-100/$AH$7*données_step[[#This Row],[E_NH4]])/100*QTS)&lt;0,NA(),IF(OR(AG230&lt;0,AG230=""),NA(),((100-100/$AH$7*données_step[[#This Row],[E_NH4]])/100*QTS)))</f>
        <v>#NUM!</v>
      </c>
      <c r="AK230" s="523" t="str">
        <f>IF(AND($R230&gt;0,données_step[[#This Row],[E_PTOT]]&gt;0),données_step[[#This Row],[E_PTOT]],"")</f>
        <v/>
      </c>
      <c r="AL230" s="523" t="str">
        <f>IF(AK230="","",(1-données_step[[#This Row],[E_PTOT]]/$AN$7)*100)</f>
        <v/>
      </c>
      <c r="AM230" s="523" t="str">
        <f t="shared" si="59"/>
        <v/>
      </c>
      <c r="AN230" s="523" t="str">
        <f t="shared" si="60"/>
        <v/>
      </c>
      <c r="AO230" s="523" t="str">
        <f t="shared" si="61"/>
        <v/>
      </c>
      <c r="AP230" s="523" t="e">
        <f>IF(((100-100/$AN$7*données_step[[#This Row],[E_PTOT]])/100*QTS)&lt;0,NA(),IF(OR(AM230&lt;0,AM230=""),NA(),((100-100/$AN$7*données_step[[#This Row],[E_PTOT]])/100*QTS)))</f>
        <v>#NUM!</v>
      </c>
      <c r="AQ230" s="524" t="e">
        <f t="shared" si="62"/>
        <v>#NUM!</v>
      </c>
      <c r="AR230" s="524" t="str">
        <f t="shared" si="63"/>
        <v/>
      </c>
      <c r="AY230" s="523" t="str">
        <f>_xlfn.IFNA(IF(données_step[[#This Row],[E_DCO]]&lt;=0,NA(),charge_entree[[#This Row],[ch_E_DCO]]/constanten!$B$8*1000),"")</f>
        <v/>
      </c>
      <c r="AZ230" s="523" t="str">
        <f>_xlfn.IFNA(IF(données_step[[#This Row],[E_NTOT]]&lt;=0,NA(),charge_entree[[#This Row],[ch_E_NTOT]]/constanten!$B$10*1000),"")</f>
        <v/>
      </c>
      <c r="BA230" s="523" t="str">
        <f>_xlfn.IFNA(IF(données_step[[#This Row],[E_NH4]]&lt;=0,NA(),charge_entree[[#This Row],[ch_E_NH4]]/constanten!$B$12*1000),"")</f>
        <v/>
      </c>
      <c r="BB230" s="523" t="str">
        <f>_xlfn.IFNA(IF(données_step[[#This Row],[E_COT]]&lt;=0,NA(),charge_entree[[#This Row],[ch_E_COT]]/constanten!$B$9*1000),"")</f>
        <v/>
      </c>
      <c r="BC230" s="523" t="str">
        <f>IFERROR(_xlfn.IFNA(IF(données_step[[#This Row],[E_PTOT]]&lt;=0,NA(),charge_entree[[#This Row],[ch_E_PTOT]]/constanten!$B$15*1000),""),"")</f>
        <v/>
      </c>
      <c r="BD230" s="535" t="e">
        <f>calculs!E230 * (1-0.4) / (données_step[[#This Row],[X_BA_VOL]]*données_step[[#This Row],[X_BACONC]])</f>
        <v>#VALUE!</v>
      </c>
      <c r="BE230" s="522" t="e">
        <f>(données_step[[#This Row],[X_BA_VOL]]*données_step[[#This Row],[X_BACONC]])/((données_step[[#This Row],[D_QTRAI2]]*données_step[[#This Row],[S_MES]]/1000)+(données_step[[#This Row],[X_BX_Q]]*données_step[[#This Row],[X_BXCONC]]))</f>
        <v>#VALUE!</v>
      </c>
      <c r="BF230" s="890" t="str">
        <f>IFERROR(données_step[[#This Row],[D_QTRAI]]/AY230*1000,"")</f>
        <v/>
      </c>
      <c r="BG230" s="535" t="str">
        <f>IFERROR(1-données_step[[#This Row],[S_DBO5]]/données_step[[#This Row],[E_DBO5]],"")</f>
        <v/>
      </c>
      <c r="BH230" s="536" t="str">
        <f>IFERROR(1-données_step[[#This Row],[S_DCO]]/données_step[[#This Row],[E_DCO]],"")</f>
        <v/>
      </c>
      <c r="BI230" s="535" t="str">
        <f>IFERROR(1-données_step[[#This Row],[S_COD]]/données_step[[#This Row],[E_COT]],"")</f>
        <v/>
      </c>
      <c r="BJ230" s="535" t="str">
        <f>IFERROR(1-données_step[[#This Row],[S_NH4]]/données_step[[#This Row],[E_NTOT]],"")</f>
        <v/>
      </c>
      <c r="BK230" s="535" t="str">
        <f>IFERROR(1-données_step[[#This Row],[S_PTOT]]/données_step[[#This Row],[E_PTOT]],"")</f>
        <v/>
      </c>
      <c r="BL230" s="521" t="str">
        <f>IFERROR(IF(données_step[[#This Row],[E_DCO]]/données_step[[#This Row],[E_DBO5]]=0,NA(),données_step[[#This Row],[E_DCO]]/données_step[[#This Row],[E_DBO5]]),"")</f>
        <v/>
      </c>
      <c r="BM230" s="521" t="str">
        <f>IFERROR(IF(données_step[[#This Row],[E_NH4]]/données_step[[#This Row],[E_NTOT]]=0,NA(),données_step[[#This Row],[E_NH4]]/données_step[[#This Row],[E_NTOT]]),"")</f>
        <v/>
      </c>
      <c r="BN230" s="521" t="str">
        <f>IFERROR(IF(données_step[[#This Row],[E_NTOT]]/données_step[[#This Row],[E_COT]]=0,NA(),données_step[[#This Row],[E_NTOT]]/données_step[[#This Row],[E_COT]]),"")</f>
        <v/>
      </c>
      <c r="BO230" s="521" t="str">
        <f>IFERROR(IF(données_step[[#This Row],[E_PTOT]]/données_step[[#This Row],[E_COT]]=0,NA(),données_step[[#This Row],[E_PTOT]]/données_step[[#This Row],[E_COT]]),"")</f>
        <v/>
      </c>
      <c r="BP230" s="521" t="e">
        <f>IF(données_step[[#This Row],[E_DCO]]/données_step[[#This Row],[E_COT]]=0,NA(),données_step[[#This Row],[E_DCO]]/données_step[[#This Row],[E_COT]])</f>
        <v>#DIV/0!</v>
      </c>
      <c r="BQ230" s="521" t="e">
        <f>IF(données_step[[#This Row],[E_NTOT]]/données_step[[#This Row],[E_DCO]]=0,NA(),données_step[[#This Row],[E_NTOT]]/données_step[[#This Row],[E_DCO]])</f>
        <v>#DIV/0!</v>
      </c>
      <c r="BR230" s="521" t="e">
        <f>IF(données_step[[#This Row],[E_PTOT]]/données_step[[#This Row],[E_DCO]]=0,NA(),données_step[[#This Row],[E_PTOT]]/données_step[[#This Row],[E_DCO]])</f>
        <v>#DIV/0!</v>
      </c>
      <c r="BS230" s="747" t="e">
        <f ca="1">test_NH4_temp(données_step[[#This Row],[S_NH4]],données_step[[#This Row],[Temp_eaux]])</f>
        <v>#NAME?</v>
      </c>
    </row>
    <row r="231" spans="1:71" x14ac:dyDescent="0.2">
      <c r="A231" s="222">
        <f>données_step[[#This Row],[Datum]]</f>
        <v>44782</v>
      </c>
      <c r="B231" s="223"/>
      <c r="C231" s="224">
        <f t="shared" si="64"/>
        <v>3</v>
      </c>
      <c r="D231" s="523" t="str">
        <f>IF(OR(données_step[[#This Row],[E_DBO5]]&lt;=0,données_step[[#This Row],[E_DBO5]]=""),"",données_step[[#This Row],[D_QTRAI]]*données_step[[#This Row],[E_DBO5]]/1000)</f>
        <v/>
      </c>
      <c r="E231" s="523" t="str">
        <f>IF(OR(données_step[[#This Row],[E_DCO]]&lt;=0,données_step[[#This Row],[E_DCO]]=""),"",données_step[[#This Row],[D_QTRAI]]*données_step[[#This Row],[E_DCO]]/1000)</f>
        <v/>
      </c>
      <c r="F231" s="523" t="str">
        <f>IF(OR(données_step[[#This Row],[E_COT]]&lt;=0,données_step[[#This Row],[E_COT]]=""),"",données_step[[#This Row],[D_QTRAI]]*données_step[[#This Row],[E_COT]]/1000)</f>
        <v/>
      </c>
      <c r="G231" s="523" t="str">
        <f>IF(OR(données_step[[#This Row],[E_NH4]]&lt;=0,données_step[[#This Row],[E_NH4]]=""),"",données_step[[#This Row],[D_QTRAI]]*données_step[[#This Row],[E_NH4]]/1000)</f>
        <v/>
      </c>
      <c r="H231" s="523" t="str">
        <f>IF(OR(données_step[[#This Row],[E_NTOT]]&lt;=0,données_step[[#This Row],[E_NTOT]]=""),"",données_step[[#This Row],[D_QTRAI]]*données_step[[#This Row],[E_NTOT]]/1000)</f>
        <v/>
      </c>
      <c r="I231" s="523" t="str">
        <f>IF(OR(données_step[[#This Row],[E_NTOT]]&lt;=0,données_step[[#This Row],[E_NTOT]]=""),"",données_step[[#This Row],[D_QTRAI]]*données_step[[#This Row],[E_PTOT]]/1000)</f>
        <v/>
      </c>
      <c r="J231" s="523" t="str">
        <f>IF(OR(données_step[[#This Row],[S_DBO5]]&lt;=0,données_step[[#This Row],[S_DBO5]]=""),"",données_step[[#This Row],[D_QTRAI]]*données_step[[#This Row],[S_DBO5]]/1000)</f>
        <v/>
      </c>
      <c r="K231" s="523" t="str">
        <f>IF(OR(données_step[[#This Row],[S_DCO]]&lt;=0,données_step[[#This Row],[S_DCO]]=""),"",données_step[[#This Row],[D_QTRAI]]*données_step[[#This Row],[S_DCO]]/1000)</f>
        <v/>
      </c>
      <c r="L231" s="523" t="str">
        <f>IF(OR(données_step[[#This Row],[S_COD]]&lt;=0,données_step[[#This Row],[S_COD]]=""),"",données_step[[#This Row],[D_QTRAI]]*données_step[[#This Row],[S_COD]]/1000)</f>
        <v/>
      </c>
      <c r="M231" s="523" t="str">
        <f>IF(OR(données_step[[#This Row],[S_NH4]]&lt;=0,données_step[[#This Row],[S_NH4]]=""),"",données_step[[#This Row],[D_QTRAI]]*données_step[[#This Row],[S_NH4]]/1000)</f>
        <v/>
      </c>
      <c r="N231" s="523" t="str">
        <f>IF(OR(données_step[[#This Row],[S_NO2]]&lt;=0,données_step[[#This Row],[S_NO2]]=""),"",données_step[[#This Row],[D_QTRAI]]*données_step[[#This Row],[S_NO2]]/1000)</f>
        <v/>
      </c>
      <c r="O231" s="523" t="str">
        <f>IF(OR(données_step[[#This Row],[S_NO3]]&lt;=0,données_step[[#This Row],[S_NO3]]=""),"",données_step[[#This Row],[D_QTRAI]]*données_step[[#This Row],[S_NO3]]/1000)</f>
        <v/>
      </c>
      <c r="P231" s="523" t="str">
        <f>IF(OR(données_step[[#This Row],[S_PTOT]]&lt;=0,données_step[[#This Row],[S_PTOT]]=""),"",données_step[[#This Row],[D_QTRAI]]*données_step[[#This Row],[S_PTOT]]/1000)</f>
        <v/>
      </c>
      <c r="Q231" s="523" t="str">
        <f>IF(OR(données_step[[#This Row],[S_MES]]&lt;=0,données_step[[#This Row],[S_MES]]=""),"",données_step[[#This Row],[D_QTRAI]]*données_step[[#This Row],[S_MES]]/1000)</f>
        <v/>
      </c>
      <c r="R231" s="523">
        <f>MAX(données_step[[#This Row],[D_QTRAI]],données_step[[#This Row],[D_QTRAI2]])</f>
        <v>0</v>
      </c>
      <c r="S231" s="523" t="str">
        <f>IF(AND($R231&gt;0,données_step[[#This Row],[E_DCO]]&gt;0),données_step[[#This Row],[E_DCO]],"")</f>
        <v/>
      </c>
      <c r="T231" s="523" t="str">
        <f>IF(S231="","",(1-données_step[[#This Row],[E_DCO]]/$V$7)*100)</f>
        <v/>
      </c>
      <c r="U231" s="523" t="str">
        <f t="shared" si="50"/>
        <v/>
      </c>
      <c r="V231" s="523" t="str">
        <f t="shared" si="51"/>
        <v/>
      </c>
      <c r="W231" s="523" t="str">
        <f t="shared" si="52"/>
        <v/>
      </c>
      <c r="X231" s="523" t="e">
        <f>IF(((100-100/$V$7*données_step[[#This Row],[E_DCO]])/100*QTS)&lt;0,NA(),IF(OR(U231&lt;0,U231=""),NA(),((100-100/$V$7*données_step[[#This Row],[E_DCO]])/100*QTS)))</f>
        <v>#NUM!</v>
      </c>
      <c r="Y231" s="523" t="str">
        <f>IF(AND($R231&gt;0,données_step[[#This Row],[E_COT]]&gt;0),données_step[[#This Row],[E_COT]],"")</f>
        <v/>
      </c>
      <c r="Z231" s="523" t="str">
        <f>IF(Y231="","",(1-données_step[[#This Row],[E_COT]]/$AB$7)*100)</f>
        <v/>
      </c>
      <c r="AA231" s="523" t="str">
        <f t="shared" si="53"/>
        <v/>
      </c>
      <c r="AB231" s="523" t="str">
        <f t="shared" si="54"/>
        <v/>
      </c>
      <c r="AC231" s="523" t="str">
        <f t="shared" si="55"/>
        <v/>
      </c>
      <c r="AD231" s="523" t="e">
        <f>IF(((100-100/$AB$7*données_step[[#This Row],[E_COT]])/100*QTS)&lt;0,NA(),IF(OR(AA231&lt;0,AA231=""),NA(),((100-100/$AB$7*données_step[[#This Row],[E_COT]])/100*QTS)))</f>
        <v>#NUM!</v>
      </c>
      <c r="AE231" s="523" t="str">
        <f>IF(AND($R231&gt;0,données_step[[#This Row],[E_NH4]]&gt;0),données_step[[#This Row],[E_NH4]],"")</f>
        <v/>
      </c>
      <c r="AF231" s="523" t="str">
        <f>IF(AE231="","",(1-données_step[[#This Row],[E_NH4]]/$AH$7)*100)</f>
        <v/>
      </c>
      <c r="AG231" s="523" t="str">
        <f t="shared" si="56"/>
        <v/>
      </c>
      <c r="AH231" s="523" t="str">
        <f t="shared" si="57"/>
        <v/>
      </c>
      <c r="AI231" s="523" t="str">
        <f t="shared" si="58"/>
        <v/>
      </c>
      <c r="AJ231" s="523" t="e">
        <f>IF(((100-100/$AH$7*données_step[[#This Row],[E_NH4]])/100*QTS)&lt;0,NA(),IF(OR(AG231&lt;0,AG231=""),NA(),((100-100/$AH$7*données_step[[#This Row],[E_NH4]])/100*QTS)))</f>
        <v>#NUM!</v>
      </c>
      <c r="AK231" s="523" t="str">
        <f>IF(AND($R231&gt;0,données_step[[#This Row],[E_PTOT]]&gt;0),données_step[[#This Row],[E_PTOT]],"")</f>
        <v/>
      </c>
      <c r="AL231" s="523" t="str">
        <f>IF(AK231="","",(1-données_step[[#This Row],[E_PTOT]]/$AN$7)*100)</f>
        <v/>
      </c>
      <c r="AM231" s="523" t="str">
        <f t="shared" si="59"/>
        <v/>
      </c>
      <c r="AN231" s="523" t="str">
        <f t="shared" si="60"/>
        <v/>
      </c>
      <c r="AO231" s="523" t="str">
        <f t="shared" si="61"/>
        <v/>
      </c>
      <c r="AP231" s="523" t="e">
        <f>IF(((100-100/$AN$7*données_step[[#This Row],[E_PTOT]])/100*QTS)&lt;0,NA(),IF(OR(AM231&lt;0,AM231=""),NA(),((100-100/$AN$7*données_step[[#This Row],[E_PTOT]])/100*QTS)))</f>
        <v>#NUM!</v>
      </c>
      <c r="AQ231" s="524" t="e">
        <f t="shared" si="62"/>
        <v>#NUM!</v>
      </c>
      <c r="AR231" s="524" t="str">
        <f t="shared" si="63"/>
        <v/>
      </c>
      <c r="AY231" s="523" t="str">
        <f>_xlfn.IFNA(IF(données_step[[#This Row],[E_DCO]]&lt;=0,NA(),charge_entree[[#This Row],[ch_E_DCO]]/constanten!$B$8*1000),"")</f>
        <v/>
      </c>
      <c r="AZ231" s="523" t="str">
        <f>_xlfn.IFNA(IF(données_step[[#This Row],[E_NTOT]]&lt;=0,NA(),charge_entree[[#This Row],[ch_E_NTOT]]/constanten!$B$10*1000),"")</f>
        <v/>
      </c>
      <c r="BA231" s="523" t="str">
        <f>_xlfn.IFNA(IF(données_step[[#This Row],[E_NH4]]&lt;=0,NA(),charge_entree[[#This Row],[ch_E_NH4]]/constanten!$B$12*1000),"")</f>
        <v/>
      </c>
      <c r="BB231" s="523" t="str">
        <f>_xlfn.IFNA(IF(données_step[[#This Row],[E_COT]]&lt;=0,NA(),charge_entree[[#This Row],[ch_E_COT]]/constanten!$B$9*1000),"")</f>
        <v/>
      </c>
      <c r="BC231" s="523" t="str">
        <f>IFERROR(_xlfn.IFNA(IF(données_step[[#This Row],[E_PTOT]]&lt;=0,NA(),charge_entree[[#This Row],[ch_E_PTOT]]/constanten!$B$15*1000),""),"")</f>
        <v/>
      </c>
      <c r="BD231" s="535" t="e">
        <f>calculs!E231 * (1-0.4) / (données_step[[#This Row],[X_BA_VOL]]*données_step[[#This Row],[X_BACONC]])</f>
        <v>#VALUE!</v>
      </c>
      <c r="BE231" s="522" t="e">
        <f>(données_step[[#This Row],[X_BA_VOL]]*données_step[[#This Row],[X_BACONC]])/((données_step[[#This Row],[D_QTRAI2]]*données_step[[#This Row],[S_MES]]/1000)+(données_step[[#This Row],[X_BX_Q]]*données_step[[#This Row],[X_BXCONC]]))</f>
        <v>#VALUE!</v>
      </c>
      <c r="BF231" s="890" t="str">
        <f>IFERROR(données_step[[#This Row],[D_QTRAI]]/AY231*1000,"")</f>
        <v/>
      </c>
      <c r="BG231" s="535" t="str">
        <f>IFERROR(1-données_step[[#This Row],[S_DBO5]]/données_step[[#This Row],[E_DBO5]],"")</f>
        <v/>
      </c>
      <c r="BH231" s="536" t="str">
        <f>IFERROR(1-données_step[[#This Row],[S_DCO]]/données_step[[#This Row],[E_DCO]],"")</f>
        <v/>
      </c>
      <c r="BI231" s="535" t="str">
        <f>IFERROR(1-données_step[[#This Row],[S_COD]]/données_step[[#This Row],[E_COT]],"")</f>
        <v/>
      </c>
      <c r="BJ231" s="535" t="str">
        <f>IFERROR(1-données_step[[#This Row],[S_NH4]]/données_step[[#This Row],[E_NTOT]],"")</f>
        <v/>
      </c>
      <c r="BK231" s="535" t="str">
        <f>IFERROR(1-données_step[[#This Row],[S_PTOT]]/données_step[[#This Row],[E_PTOT]],"")</f>
        <v/>
      </c>
      <c r="BL231" s="521" t="str">
        <f>IFERROR(IF(données_step[[#This Row],[E_DCO]]/données_step[[#This Row],[E_DBO5]]=0,NA(),données_step[[#This Row],[E_DCO]]/données_step[[#This Row],[E_DBO5]]),"")</f>
        <v/>
      </c>
      <c r="BM231" s="521" t="str">
        <f>IFERROR(IF(données_step[[#This Row],[E_NH4]]/données_step[[#This Row],[E_NTOT]]=0,NA(),données_step[[#This Row],[E_NH4]]/données_step[[#This Row],[E_NTOT]]),"")</f>
        <v/>
      </c>
      <c r="BN231" s="521" t="str">
        <f>IFERROR(IF(données_step[[#This Row],[E_NTOT]]/données_step[[#This Row],[E_COT]]=0,NA(),données_step[[#This Row],[E_NTOT]]/données_step[[#This Row],[E_COT]]),"")</f>
        <v/>
      </c>
      <c r="BO231" s="521" t="str">
        <f>IFERROR(IF(données_step[[#This Row],[E_PTOT]]/données_step[[#This Row],[E_COT]]=0,NA(),données_step[[#This Row],[E_PTOT]]/données_step[[#This Row],[E_COT]]),"")</f>
        <v/>
      </c>
      <c r="BP231" s="521" t="e">
        <f>IF(données_step[[#This Row],[E_DCO]]/données_step[[#This Row],[E_COT]]=0,NA(),données_step[[#This Row],[E_DCO]]/données_step[[#This Row],[E_COT]])</f>
        <v>#DIV/0!</v>
      </c>
      <c r="BQ231" s="521" t="e">
        <f>IF(données_step[[#This Row],[E_NTOT]]/données_step[[#This Row],[E_DCO]]=0,NA(),données_step[[#This Row],[E_NTOT]]/données_step[[#This Row],[E_DCO]])</f>
        <v>#DIV/0!</v>
      </c>
      <c r="BR231" s="521" t="e">
        <f>IF(données_step[[#This Row],[E_PTOT]]/données_step[[#This Row],[E_DCO]]=0,NA(),données_step[[#This Row],[E_PTOT]]/données_step[[#This Row],[E_DCO]])</f>
        <v>#DIV/0!</v>
      </c>
      <c r="BS231" s="747" t="e">
        <f ca="1">test_NH4_temp(données_step[[#This Row],[S_NH4]],données_step[[#This Row],[Temp_eaux]])</f>
        <v>#NAME?</v>
      </c>
    </row>
    <row r="232" spans="1:71" x14ac:dyDescent="0.2">
      <c r="A232" s="222">
        <f>données_step[[#This Row],[Datum]]</f>
        <v>44783</v>
      </c>
      <c r="B232" s="223"/>
      <c r="C232" s="224">
        <f t="shared" si="64"/>
        <v>4</v>
      </c>
      <c r="D232" s="523" t="str">
        <f>IF(OR(données_step[[#This Row],[E_DBO5]]&lt;=0,données_step[[#This Row],[E_DBO5]]=""),"",données_step[[#This Row],[D_QTRAI]]*données_step[[#This Row],[E_DBO5]]/1000)</f>
        <v/>
      </c>
      <c r="E232" s="523" t="str">
        <f>IF(OR(données_step[[#This Row],[E_DCO]]&lt;=0,données_step[[#This Row],[E_DCO]]=""),"",données_step[[#This Row],[D_QTRAI]]*données_step[[#This Row],[E_DCO]]/1000)</f>
        <v/>
      </c>
      <c r="F232" s="523" t="str">
        <f>IF(OR(données_step[[#This Row],[E_COT]]&lt;=0,données_step[[#This Row],[E_COT]]=""),"",données_step[[#This Row],[D_QTRAI]]*données_step[[#This Row],[E_COT]]/1000)</f>
        <v/>
      </c>
      <c r="G232" s="523" t="str">
        <f>IF(OR(données_step[[#This Row],[E_NH4]]&lt;=0,données_step[[#This Row],[E_NH4]]=""),"",données_step[[#This Row],[D_QTRAI]]*données_step[[#This Row],[E_NH4]]/1000)</f>
        <v/>
      </c>
      <c r="H232" s="523" t="str">
        <f>IF(OR(données_step[[#This Row],[E_NTOT]]&lt;=0,données_step[[#This Row],[E_NTOT]]=""),"",données_step[[#This Row],[D_QTRAI]]*données_step[[#This Row],[E_NTOT]]/1000)</f>
        <v/>
      </c>
      <c r="I232" s="523" t="str">
        <f>IF(OR(données_step[[#This Row],[E_NTOT]]&lt;=0,données_step[[#This Row],[E_NTOT]]=""),"",données_step[[#This Row],[D_QTRAI]]*données_step[[#This Row],[E_PTOT]]/1000)</f>
        <v/>
      </c>
      <c r="J232" s="523" t="str">
        <f>IF(OR(données_step[[#This Row],[S_DBO5]]&lt;=0,données_step[[#This Row],[S_DBO5]]=""),"",données_step[[#This Row],[D_QTRAI]]*données_step[[#This Row],[S_DBO5]]/1000)</f>
        <v/>
      </c>
      <c r="K232" s="523" t="str">
        <f>IF(OR(données_step[[#This Row],[S_DCO]]&lt;=0,données_step[[#This Row],[S_DCO]]=""),"",données_step[[#This Row],[D_QTRAI]]*données_step[[#This Row],[S_DCO]]/1000)</f>
        <v/>
      </c>
      <c r="L232" s="523" t="str">
        <f>IF(OR(données_step[[#This Row],[S_COD]]&lt;=0,données_step[[#This Row],[S_COD]]=""),"",données_step[[#This Row],[D_QTRAI]]*données_step[[#This Row],[S_COD]]/1000)</f>
        <v/>
      </c>
      <c r="M232" s="523" t="str">
        <f>IF(OR(données_step[[#This Row],[S_NH4]]&lt;=0,données_step[[#This Row],[S_NH4]]=""),"",données_step[[#This Row],[D_QTRAI]]*données_step[[#This Row],[S_NH4]]/1000)</f>
        <v/>
      </c>
      <c r="N232" s="523" t="str">
        <f>IF(OR(données_step[[#This Row],[S_NO2]]&lt;=0,données_step[[#This Row],[S_NO2]]=""),"",données_step[[#This Row],[D_QTRAI]]*données_step[[#This Row],[S_NO2]]/1000)</f>
        <v/>
      </c>
      <c r="O232" s="523" t="str">
        <f>IF(OR(données_step[[#This Row],[S_NO3]]&lt;=0,données_step[[#This Row],[S_NO3]]=""),"",données_step[[#This Row],[D_QTRAI]]*données_step[[#This Row],[S_NO3]]/1000)</f>
        <v/>
      </c>
      <c r="P232" s="523" t="str">
        <f>IF(OR(données_step[[#This Row],[S_PTOT]]&lt;=0,données_step[[#This Row],[S_PTOT]]=""),"",données_step[[#This Row],[D_QTRAI]]*données_step[[#This Row],[S_PTOT]]/1000)</f>
        <v/>
      </c>
      <c r="Q232" s="523" t="str">
        <f>IF(OR(données_step[[#This Row],[S_MES]]&lt;=0,données_step[[#This Row],[S_MES]]=""),"",données_step[[#This Row],[D_QTRAI]]*données_step[[#This Row],[S_MES]]/1000)</f>
        <v/>
      </c>
      <c r="R232" s="523">
        <f>MAX(données_step[[#This Row],[D_QTRAI]],données_step[[#This Row],[D_QTRAI2]])</f>
        <v>0</v>
      </c>
      <c r="S232" s="523" t="str">
        <f>IF(AND($R232&gt;0,données_step[[#This Row],[E_DCO]]&gt;0),données_step[[#This Row],[E_DCO]],"")</f>
        <v/>
      </c>
      <c r="T232" s="523" t="str">
        <f>IF(S232="","",(1-données_step[[#This Row],[E_DCO]]/$V$7)*100)</f>
        <v/>
      </c>
      <c r="U232" s="523" t="str">
        <f t="shared" si="50"/>
        <v/>
      </c>
      <c r="V232" s="523" t="str">
        <f t="shared" si="51"/>
        <v/>
      </c>
      <c r="W232" s="523" t="str">
        <f t="shared" si="52"/>
        <v/>
      </c>
      <c r="X232" s="523" t="e">
        <f>IF(((100-100/$V$7*données_step[[#This Row],[E_DCO]])/100*QTS)&lt;0,NA(),IF(OR(U232&lt;0,U232=""),NA(),((100-100/$V$7*données_step[[#This Row],[E_DCO]])/100*QTS)))</f>
        <v>#NUM!</v>
      </c>
      <c r="Y232" s="523" t="str">
        <f>IF(AND($R232&gt;0,données_step[[#This Row],[E_COT]]&gt;0),données_step[[#This Row],[E_COT]],"")</f>
        <v/>
      </c>
      <c r="Z232" s="523" t="str">
        <f>IF(Y232="","",(1-données_step[[#This Row],[E_COT]]/$AB$7)*100)</f>
        <v/>
      </c>
      <c r="AA232" s="523" t="str">
        <f t="shared" si="53"/>
        <v/>
      </c>
      <c r="AB232" s="523" t="str">
        <f t="shared" si="54"/>
        <v/>
      </c>
      <c r="AC232" s="523" t="str">
        <f t="shared" si="55"/>
        <v/>
      </c>
      <c r="AD232" s="523" t="e">
        <f>IF(((100-100/$AB$7*données_step[[#This Row],[E_COT]])/100*QTS)&lt;0,NA(),IF(OR(AA232&lt;0,AA232=""),NA(),((100-100/$AB$7*données_step[[#This Row],[E_COT]])/100*QTS)))</f>
        <v>#NUM!</v>
      </c>
      <c r="AE232" s="523" t="str">
        <f>IF(AND($R232&gt;0,données_step[[#This Row],[E_NH4]]&gt;0),données_step[[#This Row],[E_NH4]],"")</f>
        <v/>
      </c>
      <c r="AF232" s="523" t="str">
        <f>IF(AE232="","",(1-données_step[[#This Row],[E_NH4]]/$AH$7)*100)</f>
        <v/>
      </c>
      <c r="AG232" s="523" t="str">
        <f t="shared" si="56"/>
        <v/>
      </c>
      <c r="AH232" s="523" t="str">
        <f t="shared" si="57"/>
        <v/>
      </c>
      <c r="AI232" s="523" t="str">
        <f t="shared" si="58"/>
        <v/>
      </c>
      <c r="AJ232" s="523" t="e">
        <f>IF(((100-100/$AH$7*données_step[[#This Row],[E_NH4]])/100*QTS)&lt;0,NA(),IF(OR(AG232&lt;0,AG232=""),NA(),((100-100/$AH$7*données_step[[#This Row],[E_NH4]])/100*QTS)))</f>
        <v>#NUM!</v>
      </c>
      <c r="AK232" s="523" t="str">
        <f>IF(AND($R232&gt;0,données_step[[#This Row],[E_PTOT]]&gt;0),données_step[[#This Row],[E_PTOT]],"")</f>
        <v/>
      </c>
      <c r="AL232" s="523" t="str">
        <f>IF(AK232="","",(1-données_step[[#This Row],[E_PTOT]]/$AN$7)*100)</f>
        <v/>
      </c>
      <c r="AM232" s="523" t="str">
        <f t="shared" si="59"/>
        <v/>
      </c>
      <c r="AN232" s="523" t="str">
        <f t="shared" si="60"/>
        <v/>
      </c>
      <c r="AO232" s="523" t="str">
        <f t="shared" si="61"/>
        <v/>
      </c>
      <c r="AP232" s="523" t="e">
        <f>IF(((100-100/$AN$7*données_step[[#This Row],[E_PTOT]])/100*QTS)&lt;0,NA(),IF(OR(AM232&lt;0,AM232=""),NA(),((100-100/$AN$7*données_step[[#This Row],[E_PTOT]])/100*QTS)))</f>
        <v>#NUM!</v>
      </c>
      <c r="AQ232" s="524" t="e">
        <f t="shared" si="62"/>
        <v>#NUM!</v>
      </c>
      <c r="AR232" s="524" t="str">
        <f t="shared" si="63"/>
        <v/>
      </c>
      <c r="AY232" s="523" t="str">
        <f>_xlfn.IFNA(IF(données_step[[#This Row],[E_DCO]]&lt;=0,NA(),charge_entree[[#This Row],[ch_E_DCO]]/constanten!$B$8*1000),"")</f>
        <v/>
      </c>
      <c r="AZ232" s="523" t="str">
        <f>_xlfn.IFNA(IF(données_step[[#This Row],[E_NTOT]]&lt;=0,NA(),charge_entree[[#This Row],[ch_E_NTOT]]/constanten!$B$10*1000),"")</f>
        <v/>
      </c>
      <c r="BA232" s="523" t="str">
        <f>_xlfn.IFNA(IF(données_step[[#This Row],[E_NH4]]&lt;=0,NA(),charge_entree[[#This Row],[ch_E_NH4]]/constanten!$B$12*1000),"")</f>
        <v/>
      </c>
      <c r="BB232" s="523" t="str">
        <f>_xlfn.IFNA(IF(données_step[[#This Row],[E_COT]]&lt;=0,NA(),charge_entree[[#This Row],[ch_E_COT]]/constanten!$B$9*1000),"")</f>
        <v/>
      </c>
      <c r="BC232" s="523" t="str">
        <f>IFERROR(_xlfn.IFNA(IF(données_step[[#This Row],[E_PTOT]]&lt;=0,NA(),charge_entree[[#This Row],[ch_E_PTOT]]/constanten!$B$15*1000),""),"")</f>
        <v/>
      </c>
      <c r="BD232" s="535" t="e">
        <f>calculs!E232 * (1-0.4) / (données_step[[#This Row],[X_BA_VOL]]*données_step[[#This Row],[X_BACONC]])</f>
        <v>#VALUE!</v>
      </c>
      <c r="BE232" s="522" t="e">
        <f>(données_step[[#This Row],[X_BA_VOL]]*données_step[[#This Row],[X_BACONC]])/((données_step[[#This Row],[D_QTRAI2]]*données_step[[#This Row],[S_MES]]/1000)+(données_step[[#This Row],[X_BX_Q]]*données_step[[#This Row],[X_BXCONC]]))</f>
        <v>#VALUE!</v>
      </c>
      <c r="BF232" s="890" t="str">
        <f>IFERROR(données_step[[#This Row],[D_QTRAI]]/AY232*1000,"")</f>
        <v/>
      </c>
      <c r="BG232" s="535" t="str">
        <f>IFERROR(1-données_step[[#This Row],[S_DBO5]]/données_step[[#This Row],[E_DBO5]],"")</f>
        <v/>
      </c>
      <c r="BH232" s="536" t="str">
        <f>IFERROR(1-données_step[[#This Row],[S_DCO]]/données_step[[#This Row],[E_DCO]],"")</f>
        <v/>
      </c>
      <c r="BI232" s="535" t="str">
        <f>IFERROR(1-données_step[[#This Row],[S_COD]]/données_step[[#This Row],[E_COT]],"")</f>
        <v/>
      </c>
      <c r="BJ232" s="535" t="str">
        <f>IFERROR(1-données_step[[#This Row],[S_NH4]]/données_step[[#This Row],[E_NTOT]],"")</f>
        <v/>
      </c>
      <c r="BK232" s="535" t="str">
        <f>IFERROR(1-données_step[[#This Row],[S_PTOT]]/données_step[[#This Row],[E_PTOT]],"")</f>
        <v/>
      </c>
      <c r="BL232" s="521" t="str">
        <f>IFERROR(IF(données_step[[#This Row],[E_DCO]]/données_step[[#This Row],[E_DBO5]]=0,NA(),données_step[[#This Row],[E_DCO]]/données_step[[#This Row],[E_DBO5]]),"")</f>
        <v/>
      </c>
      <c r="BM232" s="521" t="str">
        <f>IFERROR(IF(données_step[[#This Row],[E_NH4]]/données_step[[#This Row],[E_NTOT]]=0,NA(),données_step[[#This Row],[E_NH4]]/données_step[[#This Row],[E_NTOT]]),"")</f>
        <v/>
      </c>
      <c r="BN232" s="521" t="str">
        <f>IFERROR(IF(données_step[[#This Row],[E_NTOT]]/données_step[[#This Row],[E_COT]]=0,NA(),données_step[[#This Row],[E_NTOT]]/données_step[[#This Row],[E_COT]]),"")</f>
        <v/>
      </c>
      <c r="BO232" s="521" t="str">
        <f>IFERROR(IF(données_step[[#This Row],[E_PTOT]]/données_step[[#This Row],[E_COT]]=0,NA(),données_step[[#This Row],[E_PTOT]]/données_step[[#This Row],[E_COT]]),"")</f>
        <v/>
      </c>
      <c r="BP232" s="521" t="e">
        <f>IF(données_step[[#This Row],[E_DCO]]/données_step[[#This Row],[E_COT]]=0,NA(),données_step[[#This Row],[E_DCO]]/données_step[[#This Row],[E_COT]])</f>
        <v>#DIV/0!</v>
      </c>
      <c r="BQ232" s="521" t="e">
        <f>IF(données_step[[#This Row],[E_NTOT]]/données_step[[#This Row],[E_DCO]]=0,NA(),données_step[[#This Row],[E_NTOT]]/données_step[[#This Row],[E_DCO]])</f>
        <v>#DIV/0!</v>
      </c>
      <c r="BR232" s="521" t="e">
        <f>IF(données_step[[#This Row],[E_PTOT]]/données_step[[#This Row],[E_DCO]]=0,NA(),données_step[[#This Row],[E_PTOT]]/données_step[[#This Row],[E_DCO]])</f>
        <v>#DIV/0!</v>
      </c>
      <c r="BS232" s="747" t="e">
        <f ca="1">test_NH4_temp(données_step[[#This Row],[S_NH4]],données_step[[#This Row],[Temp_eaux]])</f>
        <v>#NAME?</v>
      </c>
    </row>
    <row r="233" spans="1:71" x14ac:dyDescent="0.2">
      <c r="A233" s="222">
        <f>données_step[[#This Row],[Datum]]</f>
        <v>44784</v>
      </c>
      <c r="B233" s="223"/>
      <c r="C233" s="224">
        <f t="shared" si="64"/>
        <v>5</v>
      </c>
      <c r="D233" s="523" t="str">
        <f>IF(OR(données_step[[#This Row],[E_DBO5]]&lt;=0,données_step[[#This Row],[E_DBO5]]=""),"",données_step[[#This Row],[D_QTRAI]]*données_step[[#This Row],[E_DBO5]]/1000)</f>
        <v/>
      </c>
      <c r="E233" s="523" t="str">
        <f>IF(OR(données_step[[#This Row],[E_DCO]]&lt;=0,données_step[[#This Row],[E_DCO]]=""),"",données_step[[#This Row],[D_QTRAI]]*données_step[[#This Row],[E_DCO]]/1000)</f>
        <v/>
      </c>
      <c r="F233" s="523" t="str">
        <f>IF(OR(données_step[[#This Row],[E_COT]]&lt;=0,données_step[[#This Row],[E_COT]]=""),"",données_step[[#This Row],[D_QTRAI]]*données_step[[#This Row],[E_COT]]/1000)</f>
        <v/>
      </c>
      <c r="G233" s="523" t="str">
        <f>IF(OR(données_step[[#This Row],[E_NH4]]&lt;=0,données_step[[#This Row],[E_NH4]]=""),"",données_step[[#This Row],[D_QTRAI]]*données_step[[#This Row],[E_NH4]]/1000)</f>
        <v/>
      </c>
      <c r="H233" s="523" t="str">
        <f>IF(OR(données_step[[#This Row],[E_NTOT]]&lt;=0,données_step[[#This Row],[E_NTOT]]=""),"",données_step[[#This Row],[D_QTRAI]]*données_step[[#This Row],[E_NTOT]]/1000)</f>
        <v/>
      </c>
      <c r="I233" s="523" t="str">
        <f>IF(OR(données_step[[#This Row],[E_NTOT]]&lt;=0,données_step[[#This Row],[E_NTOT]]=""),"",données_step[[#This Row],[D_QTRAI]]*données_step[[#This Row],[E_PTOT]]/1000)</f>
        <v/>
      </c>
      <c r="J233" s="523" t="str">
        <f>IF(OR(données_step[[#This Row],[S_DBO5]]&lt;=0,données_step[[#This Row],[S_DBO5]]=""),"",données_step[[#This Row],[D_QTRAI]]*données_step[[#This Row],[S_DBO5]]/1000)</f>
        <v/>
      </c>
      <c r="K233" s="523" t="str">
        <f>IF(OR(données_step[[#This Row],[S_DCO]]&lt;=0,données_step[[#This Row],[S_DCO]]=""),"",données_step[[#This Row],[D_QTRAI]]*données_step[[#This Row],[S_DCO]]/1000)</f>
        <v/>
      </c>
      <c r="L233" s="523" t="str">
        <f>IF(OR(données_step[[#This Row],[S_COD]]&lt;=0,données_step[[#This Row],[S_COD]]=""),"",données_step[[#This Row],[D_QTRAI]]*données_step[[#This Row],[S_COD]]/1000)</f>
        <v/>
      </c>
      <c r="M233" s="523" t="str">
        <f>IF(OR(données_step[[#This Row],[S_NH4]]&lt;=0,données_step[[#This Row],[S_NH4]]=""),"",données_step[[#This Row],[D_QTRAI]]*données_step[[#This Row],[S_NH4]]/1000)</f>
        <v/>
      </c>
      <c r="N233" s="523" t="str">
        <f>IF(OR(données_step[[#This Row],[S_NO2]]&lt;=0,données_step[[#This Row],[S_NO2]]=""),"",données_step[[#This Row],[D_QTRAI]]*données_step[[#This Row],[S_NO2]]/1000)</f>
        <v/>
      </c>
      <c r="O233" s="523" t="str">
        <f>IF(OR(données_step[[#This Row],[S_NO3]]&lt;=0,données_step[[#This Row],[S_NO3]]=""),"",données_step[[#This Row],[D_QTRAI]]*données_step[[#This Row],[S_NO3]]/1000)</f>
        <v/>
      </c>
      <c r="P233" s="523" t="str">
        <f>IF(OR(données_step[[#This Row],[S_PTOT]]&lt;=0,données_step[[#This Row],[S_PTOT]]=""),"",données_step[[#This Row],[D_QTRAI]]*données_step[[#This Row],[S_PTOT]]/1000)</f>
        <v/>
      </c>
      <c r="Q233" s="523" t="str">
        <f>IF(OR(données_step[[#This Row],[S_MES]]&lt;=0,données_step[[#This Row],[S_MES]]=""),"",données_step[[#This Row],[D_QTRAI]]*données_step[[#This Row],[S_MES]]/1000)</f>
        <v/>
      </c>
      <c r="R233" s="523">
        <f>MAX(données_step[[#This Row],[D_QTRAI]],données_step[[#This Row],[D_QTRAI2]])</f>
        <v>0</v>
      </c>
      <c r="S233" s="523" t="str">
        <f>IF(AND($R233&gt;0,données_step[[#This Row],[E_DCO]]&gt;0),données_step[[#This Row],[E_DCO]],"")</f>
        <v/>
      </c>
      <c r="T233" s="523" t="str">
        <f>IF(S233="","",(1-données_step[[#This Row],[E_DCO]]/$V$7)*100)</f>
        <v/>
      </c>
      <c r="U233" s="523" t="str">
        <f t="shared" si="50"/>
        <v/>
      </c>
      <c r="V233" s="523" t="str">
        <f t="shared" si="51"/>
        <v/>
      </c>
      <c r="W233" s="523" t="str">
        <f t="shared" si="52"/>
        <v/>
      </c>
      <c r="X233" s="523" t="e">
        <f>IF(((100-100/$V$7*données_step[[#This Row],[E_DCO]])/100*QTS)&lt;0,NA(),IF(OR(U233&lt;0,U233=""),NA(),((100-100/$V$7*données_step[[#This Row],[E_DCO]])/100*QTS)))</f>
        <v>#NUM!</v>
      </c>
      <c r="Y233" s="523" t="str">
        <f>IF(AND($R233&gt;0,données_step[[#This Row],[E_COT]]&gt;0),données_step[[#This Row],[E_COT]],"")</f>
        <v/>
      </c>
      <c r="Z233" s="523" t="str">
        <f>IF(Y233="","",(1-données_step[[#This Row],[E_COT]]/$AB$7)*100)</f>
        <v/>
      </c>
      <c r="AA233" s="523" t="str">
        <f t="shared" si="53"/>
        <v/>
      </c>
      <c r="AB233" s="523" t="str">
        <f t="shared" si="54"/>
        <v/>
      </c>
      <c r="AC233" s="523" t="str">
        <f t="shared" si="55"/>
        <v/>
      </c>
      <c r="AD233" s="523" t="e">
        <f>IF(((100-100/$AB$7*données_step[[#This Row],[E_COT]])/100*QTS)&lt;0,NA(),IF(OR(AA233&lt;0,AA233=""),NA(),((100-100/$AB$7*données_step[[#This Row],[E_COT]])/100*QTS)))</f>
        <v>#NUM!</v>
      </c>
      <c r="AE233" s="523" t="str">
        <f>IF(AND($R233&gt;0,données_step[[#This Row],[E_NH4]]&gt;0),données_step[[#This Row],[E_NH4]],"")</f>
        <v/>
      </c>
      <c r="AF233" s="523" t="str">
        <f>IF(AE233="","",(1-données_step[[#This Row],[E_NH4]]/$AH$7)*100)</f>
        <v/>
      </c>
      <c r="AG233" s="523" t="str">
        <f t="shared" si="56"/>
        <v/>
      </c>
      <c r="AH233" s="523" t="str">
        <f t="shared" si="57"/>
        <v/>
      </c>
      <c r="AI233" s="523" t="str">
        <f t="shared" si="58"/>
        <v/>
      </c>
      <c r="AJ233" s="523" t="e">
        <f>IF(((100-100/$AH$7*données_step[[#This Row],[E_NH4]])/100*QTS)&lt;0,NA(),IF(OR(AG233&lt;0,AG233=""),NA(),((100-100/$AH$7*données_step[[#This Row],[E_NH4]])/100*QTS)))</f>
        <v>#NUM!</v>
      </c>
      <c r="AK233" s="523" t="str">
        <f>IF(AND($R233&gt;0,données_step[[#This Row],[E_PTOT]]&gt;0),données_step[[#This Row],[E_PTOT]],"")</f>
        <v/>
      </c>
      <c r="AL233" s="523" t="str">
        <f>IF(AK233="","",(1-données_step[[#This Row],[E_PTOT]]/$AN$7)*100)</f>
        <v/>
      </c>
      <c r="AM233" s="523" t="str">
        <f t="shared" si="59"/>
        <v/>
      </c>
      <c r="AN233" s="523" t="str">
        <f t="shared" si="60"/>
        <v/>
      </c>
      <c r="AO233" s="523" t="str">
        <f t="shared" si="61"/>
        <v/>
      </c>
      <c r="AP233" s="523" t="e">
        <f>IF(((100-100/$AN$7*données_step[[#This Row],[E_PTOT]])/100*QTS)&lt;0,NA(),IF(OR(AM233&lt;0,AM233=""),NA(),((100-100/$AN$7*données_step[[#This Row],[E_PTOT]])/100*QTS)))</f>
        <v>#NUM!</v>
      </c>
      <c r="AQ233" s="524" t="e">
        <f t="shared" si="62"/>
        <v>#NUM!</v>
      </c>
      <c r="AR233" s="524" t="str">
        <f t="shared" si="63"/>
        <v/>
      </c>
      <c r="AY233" s="523" t="str">
        <f>_xlfn.IFNA(IF(données_step[[#This Row],[E_DCO]]&lt;=0,NA(),charge_entree[[#This Row],[ch_E_DCO]]/constanten!$B$8*1000),"")</f>
        <v/>
      </c>
      <c r="AZ233" s="523" t="str">
        <f>_xlfn.IFNA(IF(données_step[[#This Row],[E_NTOT]]&lt;=0,NA(),charge_entree[[#This Row],[ch_E_NTOT]]/constanten!$B$10*1000),"")</f>
        <v/>
      </c>
      <c r="BA233" s="523" t="str">
        <f>_xlfn.IFNA(IF(données_step[[#This Row],[E_NH4]]&lt;=0,NA(),charge_entree[[#This Row],[ch_E_NH4]]/constanten!$B$12*1000),"")</f>
        <v/>
      </c>
      <c r="BB233" s="523" t="str">
        <f>_xlfn.IFNA(IF(données_step[[#This Row],[E_COT]]&lt;=0,NA(),charge_entree[[#This Row],[ch_E_COT]]/constanten!$B$9*1000),"")</f>
        <v/>
      </c>
      <c r="BC233" s="523" t="str">
        <f>IFERROR(_xlfn.IFNA(IF(données_step[[#This Row],[E_PTOT]]&lt;=0,NA(),charge_entree[[#This Row],[ch_E_PTOT]]/constanten!$B$15*1000),""),"")</f>
        <v/>
      </c>
      <c r="BD233" s="535" t="e">
        <f>calculs!E233 * (1-0.4) / (données_step[[#This Row],[X_BA_VOL]]*données_step[[#This Row],[X_BACONC]])</f>
        <v>#VALUE!</v>
      </c>
      <c r="BE233" s="522" t="e">
        <f>(données_step[[#This Row],[X_BA_VOL]]*données_step[[#This Row],[X_BACONC]])/((données_step[[#This Row],[D_QTRAI2]]*données_step[[#This Row],[S_MES]]/1000)+(données_step[[#This Row],[X_BX_Q]]*données_step[[#This Row],[X_BXCONC]]))</f>
        <v>#VALUE!</v>
      </c>
      <c r="BF233" s="890" t="str">
        <f>IFERROR(données_step[[#This Row],[D_QTRAI]]/AY233*1000,"")</f>
        <v/>
      </c>
      <c r="BG233" s="535" t="str">
        <f>IFERROR(1-données_step[[#This Row],[S_DBO5]]/données_step[[#This Row],[E_DBO5]],"")</f>
        <v/>
      </c>
      <c r="BH233" s="536" t="str">
        <f>IFERROR(1-données_step[[#This Row],[S_DCO]]/données_step[[#This Row],[E_DCO]],"")</f>
        <v/>
      </c>
      <c r="BI233" s="535" t="str">
        <f>IFERROR(1-données_step[[#This Row],[S_COD]]/données_step[[#This Row],[E_COT]],"")</f>
        <v/>
      </c>
      <c r="BJ233" s="535" t="str">
        <f>IFERROR(1-données_step[[#This Row],[S_NH4]]/données_step[[#This Row],[E_NTOT]],"")</f>
        <v/>
      </c>
      <c r="BK233" s="535" t="str">
        <f>IFERROR(1-données_step[[#This Row],[S_PTOT]]/données_step[[#This Row],[E_PTOT]],"")</f>
        <v/>
      </c>
      <c r="BL233" s="521" t="str">
        <f>IFERROR(IF(données_step[[#This Row],[E_DCO]]/données_step[[#This Row],[E_DBO5]]=0,NA(),données_step[[#This Row],[E_DCO]]/données_step[[#This Row],[E_DBO5]]),"")</f>
        <v/>
      </c>
      <c r="BM233" s="521" t="str">
        <f>IFERROR(IF(données_step[[#This Row],[E_NH4]]/données_step[[#This Row],[E_NTOT]]=0,NA(),données_step[[#This Row],[E_NH4]]/données_step[[#This Row],[E_NTOT]]),"")</f>
        <v/>
      </c>
      <c r="BN233" s="521" t="str">
        <f>IFERROR(IF(données_step[[#This Row],[E_NTOT]]/données_step[[#This Row],[E_COT]]=0,NA(),données_step[[#This Row],[E_NTOT]]/données_step[[#This Row],[E_COT]]),"")</f>
        <v/>
      </c>
      <c r="BO233" s="521" t="str">
        <f>IFERROR(IF(données_step[[#This Row],[E_PTOT]]/données_step[[#This Row],[E_COT]]=0,NA(),données_step[[#This Row],[E_PTOT]]/données_step[[#This Row],[E_COT]]),"")</f>
        <v/>
      </c>
      <c r="BP233" s="521" t="e">
        <f>IF(données_step[[#This Row],[E_DCO]]/données_step[[#This Row],[E_COT]]=0,NA(),données_step[[#This Row],[E_DCO]]/données_step[[#This Row],[E_COT]])</f>
        <v>#DIV/0!</v>
      </c>
      <c r="BQ233" s="521" t="e">
        <f>IF(données_step[[#This Row],[E_NTOT]]/données_step[[#This Row],[E_DCO]]=0,NA(),données_step[[#This Row],[E_NTOT]]/données_step[[#This Row],[E_DCO]])</f>
        <v>#DIV/0!</v>
      </c>
      <c r="BR233" s="521" t="e">
        <f>IF(données_step[[#This Row],[E_PTOT]]/données_step[[#This Row],[E_DCO]]=0,NA(),données_step[[#This Row],[E_PTOT]]/données_step[[#This Row],[E_DCO]])</f>
        <v>#DIV/0!</v>
      </c>
      <c r="BS233" s="747" t="e">
        <f ca="1">test_NH4_temp(données_step[[#This Row],[S_NH4]],données_step[[#This Row],[Temp_eaux]])</f>
        <v>#NAME?</v>
      </c>
    </row>
    <row r="234" spans="1:71" x14ac:dyDescent="0.2">
      <c r="A234" s="222">
        <f>données_step[[#This Row],[Datum]]</f>
        <v>44785</v>
      </c>
      <c r="B234" s="223"/>
      <c r="C234" s="224">
        <f t="shared" si="64"/>
        <v>6</v>
      </c>
      <c r="D234" s="523" t="str">
        <f>IF(OR(données_step[[#This Row],[E_DBO5]]&lt;=0,données_step[[#This Row],[E_DBO5]]=""),"",données_step[[#This Row],[D_QTRAI]]*données_step[[#This Row],[E_DBO5]]/1000)</f>
        <v/>
      </c>
      <c r="E234" s="523" t="str">
        <f>IF(OR(données_step[[#This Row],[E_DCO]]&lt;=0,données_step[[#This Row],[E_DCO]]=""),"",données_step[[#This Row],[D_QTRAI]]*données_step[[#This Row],[E_DCO]]/1000)</f>
        <v/>
      </c>
      <c r="F234" s="523" t="str">
        <f>IF(OR(données_step[[#This Row],[E_COT]]&lt;=0,données_step[[#This Row],[E_COT]]=""),"",données_step[[#This Row],[D_QTRAI]]*données_step[[#This Row],[E_COT]]/1000)</f>
        <v/>
      </c>
      <c r="G234" s="523" t="str">
        <f>IF(OR(données_step[[#This Row],[E_NH4]]&lt;=0,données_step[[#This Row],[E_NH4]]=""),"",données_step[[#This Row],[D_QTRAI]]*données_step[[#This Row],[E_NH4]]/1000)</f>
        <v/>
      </c>
      <c r="H234" s="523" t="str">
        <f>IF(OR(données_step[[#This Row],[E_NTOT]]&lt;=0,données_step[[#This Row],[E_NTOT]]=""),"",données_step[[#This Row],[D_QTRAI]]*données_step[[#This Row],[E_NTOT]]/1000)</f>
        <v/>
      </c>
      <c r="I234" s="523" t="str">
        <f>IF(OR(données_step[[#This Row],[E_NTOT]]&lt;=0,données_step[[#This Row],[E_NTOT]]=""),"",données_step[[#This Row],[D_QTRAI]]*données_step[[#This Row],[E_PTOT]]/1000)</f>
        <v/>
      </c>
      <c r="J234" s="523" t="str">
        <f>IF(OR(données_step[[#This Row],[S_DBO5]]&lt;=0,données_step[[#This Row],[S_DBO5]]=""),"",données_step[[#This Row],[D_QTRAI]]*données_step[[#This Row],[S_DBO5]]/1000)</f>
        <v/>
      </c>
      <c r="K234" s="523" t="str">
        <f>IF(OR(données_step[[#This Row],[S_DCO]]&lt;=0,données_step[[#This Row],[S_DCO]]=""),"",données_step[[#This Row],[D_QTRAI]]*données_step[[#This Row],[S_DCO]]/1000)</f>
        <v/>
      </c>
      <c r="L234" s="523" t="str">
        <f>IF(OR(données_step[[#This Row],[S_COD]]&lt;=0,données_step[[#This Row],[S_COD]]=""),"",données_step[[#This Row],[D_QTRAI]]*données_step[[#This Row],[S_COD]]/1000)</f>
        <v/>
      </c>
      <c r="M234" s="523" t="str">
        <f>IF(OR(données_step[[#This Row],[S_NH4]]&lt;=0,données_step[[#This Row],[S_NH4]]=""),"",données_step[[#This Row],[D_QTRAI]]*données_step[[#This Row],[S_NH4]]/1000)</f>
        <v/>
      </c>
      <c r="N234" s="523" t="str">
        <f>IF(OR(données_step[[#This Row],[S_NO2]]&lt;=0,données_step[[#This Row],[S_NO2]]=""),"",données_step[[#This Row],[D_QTRAI]]*données_step[[#This Row],[S_NO2]]/1000)</f>
        <v/>
      </c>
      <c r="O234" s="523" t="str">
        <f>IF(OR(données_step[[#This Row],[S_NO3]]&lt;=0,données_step[[#This Row],[S_NO3]]=""),"",données_step[[#This Row],[D_QTRAI]]*données_step[[#This Row],[S_NO3]]/1000)</f>
        <v/>
      </c>
      <c r="P234" s="523" t="str">
        <f>IF(OR(données_step[[#This Row],[S_PTOT]]&lt;=0,données_step[[#This Row],[S_PTOT]]=""),"",données_step[[#This Row],[D_QTRAI]]*données_step[[#This Row],[S_PTOT]]/1000)</f>
        <v/>
      </c>
      <c r="Q234" s="523" t="str">
        <f>IF(OR(données_step[[#This Row],[S_MES]]&lt;=0,données_step[[#This Row],[S_MES]]=""),"",données_step[[#This Row],[D_QTRAI]]*données_step[[#This Row],[S_MES]]/1000)</f>
        <v/>
      </c>
      <c r="R234" s="523">
        <f>MAX(données_step[[#This Row],[D_QTRAI]],données_step[[#This Row],[D_QTRAI2]])</f>
        <v>0</v>
      </c>
      <c r="S234" s="523" t="str">
        <f>IF(AND($R234&gt;0,données_step[[#This Row],[E_DCO]]&gt;0),données_step[[#This Row],[E_DCO]],"")</f>
        <v/>
      </c>
      <c r="T234" s="523" t="str">
        <f>IF(S234="","",(1-données_step[[#This Row],[E_DCO]]/$V$7)*100)</f>
        <v/>
      </c>
      <c r="U234" s="523" t="str">
        <f t="shared" si="50"/>
        <v/>
      </c>
      <c r="V234" s="523" t="str">
        <f t="shared" si="51"/>
        <v/>
      </c>
      <c r="W234" s="523" t="str">
        <f t="shared" si="52"/>
        <v/>
      </c>
      <c r="X234" s="523" t="e">
        <f>IF(((100-100/$V$7*données_step[[#This Row],[E_DCO]])/100*QTS)&lt;0,NA(),IF(OR(U234&lt;0,U234=""),NA(),((100-100/$V$7*données_step[[#This Row],[E_DCO]])/100*QTS)))</f>
        <v>#NUM!</v>
      </c>
      <c r="Y234" s="523" t="str">
        <f>IF(AND($R234&gt;0,données_step[[#This Row],[E_COT]]&gt;0),données_step[[#This Row],[E_COT]],"")</f>
        <v/>
      </c>
      <c r="Z234" s="523" t="str">
        <f>IF(Y234="","",(1-données_step[[#This Row],[E_COT]]/$AB$7)*100)</f>
        <v/>
      </c>
      <c r="AA234" s="523" t="str">
        <f t="shared" si="53"/>
        <v/>
      </c>
      <c r="AB234" s="523" t="str">
        <f t="shared" si="54"/>
        <v/>
      </c>
      <c r="AC234" s="523" t="str">
        <f t="shared" si="55"/>
        <v/>
      </c>
      <c r="AD234" s="523" t="e">
        <f>IF(((100-100/$AB$7*données_step[[#This Row],[E_COT]])/100*QTS)&lt;0,NA(),IF(OR(AA234&lt;0,AA234=""),NA(),((100-100/$AB$7*données_step[[#This Row],[E_COT]])/100*QTS)))</f>
        <v>#NUM!</v>
      </c>
      <c r="AE234" s="523" t="str">
        <f>IF(AND($R234&gt;0,données_step[[#This Row],[E_NH4]]&gt;0),données_step[[#This Row],[E_NH4]],"")</f>
        <v/>
      </c>
      <c r="AF234" s="523" t="str">
        <f>IF(AE234="","",(1-données_step[[#This Row],[E_NH4]]/$AH$7)*100)</f>
        <v/>
      </c>
      <c r="AG234" s="523" t="str">
        <f t="shared" si="56"/>
        <v/>
      </c>
      <c r="AH234" s="523" t="str">
        <f t="shared" si="57"/>
        <v/>
      </c>
      <c r="AI234" s="523" t="str">
        <f t="shared" si="58"/>
        <v/>
      </c>
      <c r="AJ234" s="523" t="e">
        <f>IF(((100-100/$AH$7*données_step[[#This Row],[E_NH4]])/100*QTS)&lt;0,NA(),IF(OR(AG234&lt;0,AG234=""),NA(),((100-100/$AH$7*données_step[[#This Row],[E_NH4]])/100*QTS)))</f>
        <v>#NUM!</v>
      </c>
      <c r="AK234" s="523" t="str">
        <f>IF(AND($R234&gt;0,données_step[[#This Row],[E_PTOT]]&gt;0),données_step[[#This Row],[E_PTOT]],"")</f>
        <v/>
      </c>
      <c r="AL234" s="523" t="str">
        <f>IF(AK234="","",(1-données_step[[#This Row],[E_PTOT]]/$AN$7)*100)</f>
        <v/>
      </c>
      <c r="AM234" s="523" t="str">
        <f t="shared" si="59"/>
        <v/>
      </c>
      <c r="AN234" s="523" t="str">
        <f t="shared" si="60"/>
        <v/>
      </c>
      <c r="AO234" s="523" t="str">
        <f t="shared" si="61"/>
        <v/>
      </c>
      <c r="AP234" s="523" t="e">
        <f>IF(((100-100/$AN$7*données_step[[#This Row],[E_PTOT]])/100*QTS)&lt;0,NA(),IF(OR(AM234&lt;0,AM234=""),NA(),((100-100/$AN$7*données_step[[#This Row],[E_PTOT]])/100*QTS)))</f>
        <v>#NUM!</v>
      </c>
      <c r="AQ234" s="524" t="e">
        <f t="shared" si="62"/>
        <v>#NUM!</v>
      </c>
      <c r="AR234" s="524" t="str">
        <f t="shared" si="63"/>
        <v/>
      </c>
      <c r="AY234" s="523" t="str">
        <f>_xlfn.IFNA(IF(données_step[[#This Row],[E_DCO]]&lt;=0,NA(),charge_entree[[#This Row],[ch_E_DCO]]/constanten!$B$8*1000),"")</f>
        <v/>
      </c>
      <c r="AZ234" s="523" t="str">
        <f>_xlfn.IFNA(IF(données_step[[#This Row],[E_NTOT]]&lt;=0,NA(),charge_entree[[#This Row],[ch_E_NTOT]]/constanten!$B$10*1000),"")</f>
        <v/>
      </c>
      <c r="BA234" s="523" t="str">
        <f>_xlfn.IFNA(IF(données_step[[#This Row],[E_NH4]]&lt;=0,NA(),charge_entree[[#This Row],[ch_E_NH4]]/constanten!$B$12*1000),"")</f>
        <v/>
      </c>
      <c r="BB234" s="523" t="str">
        <f>_xlfn.IFNA(IF(données_step[[#This Row],[E_COT]]&lt;=0,NA(),charge_entree[[#This Row],[ch_E_COT]]/constanten!$B$9*1000),"")</f>
        <v/>
      </c>
      <c r="BC234" s="523" t="str">
        <f>IFERROR(_xlfn.IFNA(IF(données_step[[#This Row],[E_PTOT]]&lt;=0,NA(),charge_entree[[#This Row],[ch_E_PTOT]]/constanten!$B$15*1000),""),"")</f>
        <v/>
      </c>
      <c r="BD234" s="535" t="e">
        <f>calculs!E234 * (1-0.4) / (données_step[[#This Row],[X_BA_VOL]]*données_step[[#This Row],[X_BACONC]])</f>
        <v>#VALUE!</v>
      </c>
      <c r="BE234" s="522" t="e">
        <f>(données_step[[#This Row],[X_BA_VOL]]*données_step[[#This Row],[X_BACONC]])/((données_step[[#This Row],[D_QTRAI2]]*données_step[[#This Row],[S_MES]]/1000)+(données_step[[#This Row],[X_BX_Q]]*données_step[[#This Row],[X_BXCONC]]))</f>
        <v>#VALUE!</v>
      </c>
      <c r="BF234" s="890" t="str">
        <f>IFERROR(données_step[[#This Row],[D_QTRAI]]/AY234*1000,"")</f>
        <v/>
      </c>
      <c r="BG234" s="535" t="str">
        <f>IFERROR(1-données_step[[#This Row],[S_DBO5]]/données_step[[#This Row],[E_DBO5]],"")</f>
        <v/>
      </c>
      <c r="BH234" s="536" t="str">
        <f>IFERROR(1-données_step[[#This Row],[S_DCO]]/données_step[[#This Row],[E_DCO]],"")</f>
        <v/>
      </c>
      <c r="BI234" s="535" t="str">
        <f>IFERROR(1-données_step[[#This Row],[S_COD]]/données_step[[#This Row],[E_COT]],"")</f>
        <v/>
      </c>
      <c r="BJ234" s="535" t="str">
        <f>IFERROR(1-données_step[[#This Row],[S_NH4]]/données_step[[#This Row],[E_NTOT]],"")</f>
        <v/>
      </c>
      <c r="BK234" s="535" t="str">
        <f>IFERROR(1-données_step[[#This Row],[S_PTOT]]/données_step[[#This Row],[E_PTOT]],"")</f>
        <v/>
      </c>
      <c r="BL234" s="521" t="str">
        <f>IFERROR(IF(données_step[[#This Row],[E_DCO]]/données_step[[#This Row],[E_DBO5]]=0,NA(),données_step[[#This Row],[E_DCO]]/données_step[[#This Row],[E_DBO5]]),"")</f>
        <v/>
      </c>
      <c r="BM234" s="521" t="str">
        <f>IFERROR(IF(données_step[[#This Row],[E_NH4]]/données_step[[#This Row],[E_NTOT]]=0,NA(),données_step[[#This Row],[E_NH4]]/données_step[[#This Row],[E_NTOT]]),"")</f>
        <v/>
      </c>
      <c r="BN234" s="521" t="str">
        <f>IFERROR(IF(données_step[[#This Row],[E_NTOT]]/données_step[[#This Row],[E_COT]]=0,NA(),données_step[[#This Row],[E_NTOT]]/données_step[[#This Row],[E_COT]]),"")</f>
        <v/>
      </c>
      <c r="BO234" s="521" t="str">
        <f>IFERROR(IF(données_step[[#This Row],[E_PTOT]]/données_step[[#This Row],[E_COT]]=0,NA(),données_step[[#This Row],[E_PTOT]]/données_step[[#This Row],[E_COT]]),"")</f>
        <v/>
      </c>
      <c r="BP234" s="521" t="e">
        <f>IF(données_step[[#This Row],[E_DCO]]/données_step[[#This Row],[E_COT]]=0,NA(),données_step[[#This Row],[E_DCO]]/données_step[[#This Row],[E_COT]])</f>
        <v>#DIV/0!</v>
      </c>
      <c r="BQ234" s="521" t="e">
        <f>IF(données_step[[#This Row],[E_NTOT]]/données_step[[#This Row],[E_DCO]]=0,NA(),données_step[[#This Row],[E_NTOT]]/données_step[[#This Row],[E_DCO]])</f>
        <v>#DIV/0!</v>
      </c>
      <c r="BR234" s="521" t="e">
        <f>IF(données_step[[#This Row],[E_PTOT]]/données_step[[#This Row],[E_DCO]]=0,NA(),données_step[[#This Row],[E_PTOT]]/données_step[[#This Row],[E_DCO]])</f>
        <v>#DIV/0!</v>
      </c>
      <c r="BS234" s="747" t="e">
        <f ca="1">test_NH4_temp(données_step[[#This Row],[S_NH4]],données_step[[#This Row],[Temp_eaux]])</f>
        <v>#NAME?</v>
      </c>
    </row>
    <row r="235" spans="1:71" x14ac:dyDescent="0.2">
      <c r="A235" s="222">
        <f>données_step[[#This Row],[Datum]]</f>
        <v>44786</v>
      </c>
      <c r="B235" s="223"/>
      <c r="C235" s="224">
        <f t="shared" si="64"/>
        <v>7</v>
      </c>
      <c r="D235" s="523" t="str">
        <f>IF(OR(données_step[[#This Row],[E_DBO5]]&lt;=0,données_step[[#This Row],[E_DBO5]]=""),"",données_step[[#This Row],[D_QTRAI]]*données_step[[#This Row],[E_DBO5]]/1000)</f>
        <v/>
      </c>
      <c r="E235" s="523" t="str">
        <f>IF(OR(données_step[[#This Row],[E_DCO]]&lt;=0,données_step[[#This Row],[E_DCO]]=""),"",données_step[[#This Row],[D_QTRAI]]*données_step[[#This Row],[E_DCO]]/1000)</f>
        <v/>
      </c>
      <c r="F235" s="523" t="str">
        <f>IF(OR(données_step[[#This Row],[E_COT]]&lt;=0,données_step[[#This Row],[E_COT]]=""),"",données_step[[#This Row],[D_QTRAI]]*données_step[[#This Row],[E_COT]]/1000)</f>
        <v/>
      </c>
      <c r="G235" s="523" t="str">
        <f>IF(OR(données_step[[#This Row],[E_NH4]]&lt;=0,données_step[[#This Row],[E_NH4]]=""),"",données_step[[#This Row],[D_QTRAI]]*données_step[[#This Row],[E_NH4]]/1000)</f>
        <v/>
      </c>
      <c r="H235" s="523" t="str">
        <f>IF(OR(données_step[[#This Row],[E_NTOT]]&lt;=0,données_step[[#This Row],[E_NTOT]]=""),"",données_step[[#This Row],[D_QTRAI]]*données_step[[#This Row],[E_NTOT]]/1000)</f>
        <v/>
      </c>
      <c r="I235" s="523" t="str">
        <f>IF(OR(données_step[[#This Row],[E_NTOT]]&lt;=0,données_step[[#This Row],[E_NTOT]]=""),"",données_step[[#This Row],[D_QTRAI]]*données_step[[#This Row],[E_PTOT]]/1000)</f>
        <v/>
      </c>
      <c r="J235" s="523" t="str">
        <f>IF(OR(données_step[[#This Row],[S_DBO5]]&lt;=0,données_step[[#This Row],[S_DBO5]]=""),"",données_step[[#This Row],[D_QTRAI]]*données_step[[#This Row],[S_DBO5]]/1000)</f>
        <v/>
      </c>
      <c r="K235" s="523" t="str">
        <f>IF(OR(données_step[[#This Row],[S_DCO]]&lt;=0,données_step[[#This Row],[S_DCO]]=""),"",données_step[[#This Row],[D_QTRAI]]*données_step[[#This Row],[S_DCO]]/1000)</f>
        <v/>
      </c>
      <c r="L235" s="523" t="str">
        <f>IF(OR(données_step[[#This Row],[S_COD]]&lt;=0,données_step[[#This Row],[S_COD]]=""),"",données_step[[#This Row],[D_QTRAI]]*données_step[[#This Row],[S_COD]]/1000)</f>
        <v/>
      </c>
      <c r="M235" s="523" t="str">
        <f>IF(OR(données_step[[#This Row],[S_NH4]]&lt;=0,données_step[[#This Row],[S_NH4]]=""),"",données_step[[#This Row],[D_QTRAI]]*données_step[[#This Row],[S_NH4]]/1000)</f>
        <v/>
      </c>
      <c r="N235" s="523" t="str">
        <f>IF(OR(données_step[[#This Row],[S_NO2]]&lt;=0,données_step[[#This Row],[S_NO2]]=""),"",données_step[[#This Row],[D_QTRAI]]*données_step[[#This Row],[S_NO2]]/1000)</f>
        <v/>
      </c>
      <c r="O235" s="523" t="str">
        <f>IF(OR(données_step[[#This Row],[S_NO3]]&lt;=0,données_step[[#This Row],[S_NO3]]=""),"",données_step[[#This Row],[D_QTRAI]]*données_step[[#This Row],[S_NO3]]/1000)</f>
        <v/>
      </c>
      <c r="P235" s="523" t="str">
        <f>IF(OR(données_step[[#This Row],[S_PTOT]]&lt;=0,données_step[[#This Row],[S_PTOT]]=""),"",données_step[[#This Row],[D_QTRAI]]*données_step[[#This Row],[S_PTOT]]/1000)</f>
        <v/>
      </c>
      <c r="Q235" s="523" t="str">
        <f>IF(OR(données_step[[#This Row],[S_MES]]&lt;=0,données_step[[#This Row],[S_MES]]=""),"",données_step[[#This Row],[D_QTRAI]]*données_step[[#This Row],[S_MES]]/1000)</f>
        <v/>
      </c>
      <c r="R235" s="523">
        <f>MAX(données_step[[#This Row],[D_QTRAI]],données_step[[#This Row],[D_QTRAI2]])</f>
        <v>0</v>
      </c>
      <c r="S235" s="523" t="str">
        <f>IF(AND($R235&gt;0,données_step[[#This Row],[E_DCO]]&gt;0),données_step[[#This Row],[E_DCO]],"")</f>
        <v/>
      </c>
      <c r="T235" s="523" t="str">
        <f>IF(S235="","",(1-données_step[[#This Row],[E_DCO]]/$V$7)*100)</f>
        <v/>
      </c>
      <c r="U235" s="523" t="str">
        <f t="shared" si="50"/>
        <v/>
      </c>
      <c r="V235" s="523" t="str">
        <f t="shared" si="51"/>
        <v/>
      </c>
      <c r="W235" s="523" t="str">
        <f t="shared" si="52"/>
        <v/>
      </c>
      <c r="X235" s="523" t="e">
        <f>IF(((100-100/$V$7*données_step[[#This Row],[E_DCO]])/100*QTS)&lt;0,NA(),IF(OR(U235&lt;0,U235=""),NA(),((100-100/$V$7*données_step[[#This Row],[E_DCO]])/100*QTS)))</f>
        <v>#NUM!</v>
      </c>
      <c r="Y235" s="523" t="str">
        <f>IF(AND($R235&gt;0,données_step[[#This Row],[E_COT]]&gt;0),données_step[[#This Row],[E_COT]],"")</f>
        <v/>
      </c>
      <c r="Z235" s="523" t="str">
        <f>IF(Y235="","",(1-données_step[[#This Row],[E_COT]]/$AB$7)*100)</f>
        <v/>
      </c>
      <c r="AA235" s="523" t="str">
        <f t="shared" si="53"/>
        <v/>
      </c>
      <c r="AB235" s="523" t="str">
        <f t="shared" si="54"/>
        <v/>
      </c>
      <c r="AC235" s="523" t="str">
        <f t="shared" si="55"/>
        <v/>
      </c>
      <c r="AD235" s="523" t="e">
        <f>IF(((100-100/$AB$7*données_step[[#This Row],[E_COT]])/100*QTS)&lt;0,NA(),IF(OR(AA235&lt;0,AA235=""),NA(),((100-100/$AB$7*données_step[[#This Row],[E_COT]])/100*QTS)))</f>
        <v>#NUM!</v>
      </c>
      <c r="AE235" s="523" t="str">
        <f>IF(AND($R235&gt;0,données_step[[#This Row],[E_NH4]]&gt;0),données_step[[#This Row],[E_NH4]],"")</f>
        <v/>
      </c>
      <c r="AF235" s="523" t="str">
        <f>IF(AE235="","",(1-données_step[[#This Row],[E_NH4]]/$AH$7)*100)</f>
        <v/>
      </c>
      <c r="AG235" s="523" t="str">
        <f t="shared" si="56"/>
        <v/>
      </c>
      <c r="AH235" s="523" t="str">
        <f t="shared" si="57"/>
        <v/>
      </c>
      <c r="AI235" s="523" t="str">
        <f t="shared" si="58"/>
        <v/>
      </c>
      <c r="AJ235" s="523" t="e">
        <f>IF(((100-100/$AH$7*données_step[[#This Row],[E_NH4]])/100*QTS)&lt;0,NA(),IF(OR(AG235&lt;0,AG235=""),NA(),((100-100/$AH$7*données_step[[#This Row],[E_NH4]])/100*QTS)))</f>
        <v>#NUM!</v>
      </c>
      <c r="AK235" s="523" t="str">
        <f>IF(AND($R235&gt;0,données_step[[#This Row],[E_PTOT]]&gt;0),données_step[[#This Row],[E_PTOT]],"")</f>
        <v/>
      </c>
      <c r="AL235" s="523" t="str">
        <f>IF(AK235="","",(1-données_step[[#This Row],[E_PTOT]]/$AN$7)*100)</f>
        <v/>
      </c>
      <c r="AM235" s="523" t="str">
        <f t="shared" si="59"/>
        <v/>
      </c>
      <c r="AN235" s="523" t="str">
        <f t="shared" si="60"/>
        <v/>
      </c>
      <c r="AO235" s="523" t="str">
        <f t="shared" si="61"/>
        <v/>
      </c>
      <c r="AP235" s="523" t="e">
        <f>IF(((100-100/$AN$7*données_step[[#This Row],[E_PTOT]])/100*QTS)&lt;0,NA(),IF(OR(AM235&lt;0,AM235=""),NA(),((100-100/$AN$7*données_step[[#This Row],[E_PTOT]])/100*QTS)))</f>
        <v>#NUM!</v>
      </c>
      <c r="AQ235" s="524" t="e">
        <f t="shared" si="62"/>
        <v>#NUM!</v>
      </c>
      <c r="AR235" s="524" t="str">
        <f t="shared" si="63"/>
        <v/>
      </c>
      <c r="AY235" s="523" t="str">
        <f>_xlfn.IFNA(IF(données_step[[#This Row],[E_DCO]]&lt;=0,NA(),charge_entree[[#This Row],[ch_E_DCO]]/constanten!$B$8*1000),"")</f>
        <v/>
      </c>
      <c r="AZ235" s="523" t="str">
        <f>_xlfn.IFNA(IF(données_step[[#This Row],[E_NTOT]]&lt;=0,NA(),charge_entree[[#This Row],[ch_E_NTOT]]/constanten!$B$10*1000),"")</f>
        <v/>
      </c>
      <c r="BA235" s="523" t="str">
        <f>_xlfn.IFNA(IF(données_step[[#This Row],[E_NH4]]&lt;=0,NA(),charge_entree[[#This Row],[ch_E_NH4]]/constanten!$B$12*1000),"")</f>
        <v/>
      </c>
      <c r="BB235" s="523" t="str">
        <f>_xlfn.IFNA(IF(données_step[[#This Row],[E_COT]]&lt;=0,NA(),charge_entree[[#This Row],[ch_E_COT]]/constanten!$B$9*1000),"")</f>
        <v/>
      </c>
      <c r="BC235" s="523" t="str">
        <f>IFERROR(_xlfn.IFNA(IF(données_step[[#This Row],[E_PTOT]]&lt;=0,NA(),charge_entree[[#This Row],[ch_E_PTOT]]/constanten!$B$15*1000),""),"")</f>
        <v/>
      </c>
      <c r="BD235" s="535" t="e">
        <f>calculs!E235 * (1-0.4) / (données_step[[#This Row],[X_BA_VOL]]*données_step[[#This Row],[X_BACONC]])</f>
        <v>#VALUE!</v>
      </c>
      <c r="BE235" s="522" t="e">
        <f>(données_step[[#This Row],[X_BA_VOL]]*données_step[[#This Row],[X_BACONC]])/((données_step[[#This Row],[D_QTRAI2]]*données_step[[#This Row],[S_MES]]/1000)+(données_step[[#This Row],[X_BX_Q]]*données_step[[#This Row],[X_BXCONC]]))</f>
        <v>#VALUE!</v>
      </c>
      <c r="BF235" s="890" t="str">
        <f>IFERROR(données_step[[#This Row],[D_QTRAI]]/AY235*1000,"")</f>
        <v/>
      </c>
      <c r="BG235" s="535" t="str">
        <f>IFERROR(1-données_step[[#This Row],[S_DBO5]]/données_step[[#This Row],[E_DBO5]],"")</f>
        <v/>
      </c>
      <c r="BH235" s="536" t="str">
        <f>IFERROR(1-données_step[[#This Row],[S_DCO]]/données_step[[#This Row],[E_DCO]],"")</f>
        <v/>
      </c>
      <c r="BI235" s="535" t="str">
        <f>IFERROR(1-données_step[[#This Row],[S_COD]]/données_step[[#This Row],[E_COT]],"")</f>
        <v/>
      </c>
      <c r="BJ235" s="535" t="str">
        <f>IFERROR(1-données_step[[#This Row],[S_NH4]]/données_step[[#This Row],[E_NTOT]],"")</f>
        <v/>
      </c>
      <c r="BK235" s="535" t="str">
        <f>IFERROR(1-données_step[[#This Row],[S_PTOT]]/données_step[[#This Row],[E_PTOT]],"")</f>
        <v/>
      </c>
      <c r="BL235" s="521" t="str">
        <f>IFERROR(IF(données_step[[#This Row],[E_DCO]]/données_step[[#This Row],[E_DBO5]]=0,NA(),données_step[[#This Row],[E_DCO]]/données_step[[#This Row],[E_DBO5]]),"")</f>
        <v/>
      </c>
      <c r="BM235" s="521" t="str">
        <f>IFERROR(IF(données_step[[#This Row],[E_NH4]]/données_step[[#This Row],[E_NTOT]]=0,NA(),données_step[[#This Row],[E_NH4]]/données_step[[#This Row],[E_NTOT]]),"")</f>
        <v/>
      </c>
      <c r="BN235" s="521" t="str">
        <f>IFERROR(IF(données_step[[#This Row],[E_NTOT]]/données_step[[#This Row],[E_COT]]=0,NA(),données_step[[#This Row],[E_NTOT]]/données_step[[#This Row],[E_COT]]),"")</f>
        <v/>
      </c>
      <c r="BO235" s="521" t="str">
        <f>IFERROR(IF(données_step[[#This Row],[E_PTOT]]/données_step[[#This Row],[E_COT]]=0,NA(),données_step[[#This Row],[E_PTOT]]/données_step[[#This Row],[E_COT]]),"")</f>
        <v/>
      </c>
      <c r="BP235" s="521" t="e">
        <f>IF(données_step[[#This Row],[E_DCO]]/données_step[[#This Row],[E_COT]]=0,NA(),données_step[[#This Row],[E_DCO]]/données_step[[#This Row],[E_COT]])</f>
        <v>#DIV/0!</v>
      </c>
      <c r="BQ235" s="521" t="e">
        <f>IF(données_step[[#This Row],[E_NTOT]]/données_step[[#This Row],[E_DCO]]=0,NA(),données_step[[#This Row],[E_NTOT]]/données_step[[#This Row],[E_DCO]])</f>
        <v>#DIV/0!</v>
      </c>
      <c r="BR235" s="521" t="e">
        <f>IF(données_step[[#This Row],[E_PTOT]]/données_step[[#This Row],[E_DCO]]=0,NA(),données_step[[#This Row],[E_PTOT]]/données_step[[#This Row],[E_DCO]])</f>
        <v>#DIV/0!</v>
      </c>
      <c r="BS235" s="747" t="e">
        <f ca="1">test_NH4_temp(données_step[[#This Row],[S_NH4]],données_step[[#This Row],[Temp_eaux]])</f>
        <v>#NAME?</v>
      </c>
    </row>
    <row r="236" spans="1:71" x14ac:dyDescent="0.2">
      <c r="A236" s="222">
        <f>données_step[[#This Row],[Datum]]</f>
        <v>44787</v>
      </c>
      <c r="B236" s="223"/>
      <c r="C236" s="224">
        <f t="shared" si="64"/>
        <v>1</v>
      </c>
      <c r="D236" s="523" t="str">
        <f>IF(OR(données_step[[#This Row],[E_DBO5]]&lt;=0,données_step[[#This Row],[E_DBO5]]=""),"",données_step[[#This Row],[D_QTRAI]]*données_step[[#This Row],[E_DBO5]]/1000)</f>
        <v/>
      </c>
      <c r="E236" s="523" t="str">
        <f>IF(OR(données_step[[#This Row],[E_DCO]]&lt;=0,données_step[[#This Row],[E_DCO]]=""),"",données_step[[#This Row],[D_QTRAI]]*données_step[[#This Row],[E_DCO]]/1000)</f>
        <v/>
      </c>
      <c r="F236" s="523" t="str">
        <f>IF(OR(données_step[[#This Row],[E_COT]]&lt;=0,données_step[[#This Row],[E_COT]]=""),"",données_step[[#This Row],[D_QTRAI]]*données_step[[#This Row],[E_COT]]/1000)</f>
        <v/>
      </c>
      <c r="G236" s="523" t="str">
        <f>IF(OR(données_step[[#This Row],[E_NH4]]&lt;=0,données_step[[#This Row],[E_NH4]]=""),"",données_step[[#This Row],[D_QTRAI]]*données_step[[#This Row],[E_NH4]]/1000)</f>
        <v/>
      </c>
      <c r="H236" s="523" t="str">
        <f>IF(OR(données_step[[#This Row],[E_NTOT]]&lt;=0,données_step[[#This Row],[E_NTOT]]=""),"",données_step[[#This Row],[D_QTRAI]]*données_step[[#This Row],[E_NTOT]]/1000)</f>
        <v/>
      </c>
      <c r="I236" s="523" t="str">
        <f>IF(OR(données_step[[#This Row],[E_NTOT]]&lt;=0,données_step[[#This Row],[E_NTOT]]=""),"",données_step[[#This Row],[D_QTRAI]]*données_step[[#This Row],[E_PTOT]]/1000)</f>
        <v/>
      </c>
      <c r="J236" s="523" t="str">
        <f>IF(OR(données_step[[#This Row],[S_DBO5]]&lt;=0,données_step[[#This Row],[S_DBO5]]=""),"",données_step[[#This Row],[D_QTRAI]]*données_step[[#This Row],[S_DBO5]]/1000)</f>
        <v/>
      </c>
      <c r="K236" s="523" t="str">
        <f>IF(OR(données_step[[#This Row],[S_DCO]]&lt;=0,données_step[[#This Row],[S_DCO]]=""),"",données_step[[#This Row],[D_QTRAI]]*données_step[[#This Row],[S_DCO]]/1000)</f>
        <v/>
      </c>
      <c r="L236" s="523" t="str">
        <f>IF(OR(données_step[[#This Row],[S_COD]]&lt;=0,données_step[[#This Row],[S_COD]]=""),"",données_step[[#This Row],[D_QTRAI]]*données_step[[#This Row],[S_COD]]/1000)</f>
        <v/>
      </c>
      <c r="M236" s="523" t="str">
        <f>IF(OR(données_step[[#This Row],[S_NH4]]&lt;=0,données_step[[#This Row],[S_NH4]]=""),"",données_step[[#This Row],[D_QTRAI]]*données_step[[#This Row],[S_NH4]]/1000)</f>
        <v/>
      </c>
      <c r="N236" s="523" t="str">
        <f>IF(OR(données_step[[#This Row],[S_NO2]]&lt;=0,données_step[[#This Row],[S_NO2]]=""),"",données_step[[#This Row],[D_QTRAI]]*données_step[[#This Row],[S_NO2]]/1000)</f>
        <v/>
      </c>
      <c r="O236" s="523" t="str">
        <f>IF(OR(données_step[[#This Row],[S_NO3]]&lt;=0,données_step[[#This Row],[S_NO3]]=""),"",données_step[[#This Row],[D_QTRAI]]*données_step[[#This Row],[S_NO3]]/1000)</f>
        <v/>
      </c>
      <c r="P236" s="523" t="str">
        <f>IF(OR(données_step[[#This Row],[S_PTOT]]&lt;=0,données_step[[#This Row],[S_PTOT]]=""),"",données_step[[#This Row],[D_QTRAI]]*données_step[[#This Row],[S_PTOT]]/1000)</f>
        <v/>
      </c>
      <c r="Q236" s="523" t="str">
        <f>IF(OR(données_step[[#This Row],[S_MES]]&lt;=0,données_step[[#This Row],[S_MES]]=""),"",données_step[[#This Row],[D_QTRAI]]*données_step[[#This Row],[S_MES]]/1000)</f>
        <v/>
      </c>
      <c r="R236" s="523">
        <f>MAX(données_step[[#This Row],[D_QTRAI]],données_step[[#This Row],[D_QTRAI2]])</f>
        <v>0</v>
      </c>
      <c r="S236" s="523" t="str">
        <f>IF(AND($R236&gt;0,données_step[[#This Row],[E_DCO]]&gt;0),données_step[[#This Row],[E_DCO]],"")</f>
        <v/>
      </c>
      <c r="T236" s="523" t="str">
        <f>IF(S236="","",(1-données_step[[#This Row],[E_DCO]]/$V$7)*100)</f>
        <v/>
      </c>
      <c r="U236" s="523" t="str">
        <f t="shared" si="50"/>
        <v/>
      </c>
      <c r="V236" s="523" t="str">
        <f t="shared" si="51"/>
        <v/>
      </c>
      <c r="W236" s="523" t="str">
        <f t="shared" si="52"/>
        <v/>
      </c>
      <c r="X236" s="523" t="e">
        <f>IF(((100-100/$V$7*données_step[[#This Row],[E_DCO]])/100*QTS)&lt;0,NA(),IF(OR(U236&lt;0,U236=""),NA(),((100-100/$V$7*données_step[[#This Row],[E_DCO]])/100*QTS)))</f>
        <v>#NUM!</v>
      </c>
      <c r="Y236" s="523" t="str">
        <f>IF(AND($R236&gt;0,données_step[[#This Row],[E_COT]]&gt;0),données_step[[#This Row],[E_COT]],"")</f>
        <v/>
      </c>
      <c r="Z236" s="523" t="str">
        <f>IF(Y236="","",(1-données_step[[#This Row],[E_COT]]/$AB$7)*100)</f>
        <v/>
      </c>
      <c r="AA236" s="523" t="str">
        <f t="shared" si="53"/>
        <v/>
      </c>
      <c r="AB236" s="523" t="str">
        <f t="shared" si="54"/>
        <v/>
      </c>
      <c r="AC236" s="523" t="str">
        <f t="shared" si="55"/>
        <v/>
      </c>
      <c r="AD236" s="523" t="e">
        <f>IF(((100-100/$AB$7*données_step[[#This Row],[E_COT]])/100*QTS)&lt;0,NA(),IF(OR(AA236&lt;0,AA236=""),NA(),((100-100/$AB$7*données_step[[#This Row],[E_COT]])/100*QTS)))</f>
        <v>#NUM!</v>
      </c>
      <c r="AE236" s="523" t="str">
        <f>IF(AND($R236&gt;0,données_step[[#This Row],[E_NH4]]&gt;0),données_step[[#This Row],[E_NH4]],"")</f>
        <v/>
      </c>
      <c r="AF236" s="523" t="str">
        <f>IF(AE236="","",(1-données_step[[#This Row],[E_NH4]]/$AH$7)*100)</f>
        <v/>
      </c>
      <c r="AG236" s="523" t="str">
        <f t="shared" si="56"/>
        <v/>
      </c>
      <c r="AH236" s="523" t="str">
        <f t="shared" si="57"/>
        <v/>
      </c>
      <c r="AI236" s="523" t="str">
        <f t="shared" si="58"/>
        <v/>
      </c>
      <c r="AJ236" s="523" t="e">
        <f>IF(((100-100/$AH$7*données_step[[#This Row],[E_NH4]])/100*QTS)&lt;0,NA(),IF(OR(AG236&lt;0,AG236=""),NA(),((100-100/$AH$7*données_step[[#This Row],[E_NH4]])/100*QTS)))</f>
        <v>#NUM!</v>
      </c>
      <c r="AK236" s="523" t="str">
        <f>IF(AND($R236&gt;0,données_step[[#This Row],[E_PTOT]]&gt;0),données_step[[#This Row],[E_PTOT]],"")</f>
        <v/>
      </c>
      <c r="AL236" s="523" t="str">
        <f>IF(AK236="","",(1-données_step[[#This Row],[E_PTOT]]/$AN$7)*100)</f>
        <v/>
      </c>
      <c r="AM236" s="523" t="str">
        <f t="shared" si="59"/>
        <v/>
      </c>
      <c r="AN236" s="523" t="str">
        <f t="shared" si="60"/>
        <v/>
      </c>
      <c r="AO236" s="523" t="str">
        <f t="shared" si="61"/>
        <v/>
      </c>
      <c r="AP236" s="523" t="e">
        <f>IF(((100-100/$AN$7*données_step[[#This Row],[E_PTOT]])/100*QTS)&lt;0,NA(),IF(OR(AM236&lt;0,AM236=""),NA(),((100-100/$AN$7*données_step[[#This Row],[E_PTOT]])/100*QTS)))</f>
        <v>#NUM!</v>
      </c>
      <c r="AQ236" s="524" t="e">
        <f t="shared" si="62"/>
        <v>#NUM!</v>
      </c>
      <c r="AR236" s="524" t="str">
        <f t="shared" si="63"/>
        <v/>
      </c>
      <c r="AY236" s="523" t="str">
        <f>_xlfn.IFNA(IF(données_step[[#This Row],[E_DCO]]&lt;=0,NA(),charge_entree[[#This Row],[ch_E_DCO]]/constanten!$B$8*1000),"")</f>
        <v/>
      </c>
      <c r="AZ236" s="523" t="str">
        <f>_xlfn.IFNA(IF(données_step[[#This Row],[E_NTOT]]&lt;=0,NA(),charge_entree[[#This Row],[ch_E_NTOT]]/constanten!$B$10*1000),"")</f>
        <v/>
      </c>
      <c r="BA236" s="523" t="str">
        <f>_xlfn.IFNA(IF(données_step[[#This Row],[E_NH4]]&lt;=0,NA(),charge_entree[[#This Row],[ch_E_NH4]]/constanten!$B$12*1000),"")</f>
        <v/>
      </c>
      <c r="BB236" s="523" t="str">
        <f>_xlfn.IFNA(IF(données_step[[#This Row],[E_COT]]&lt;=0,NA(),charge_entree[[#This Row],[ch_E_COT]]/constanten!$B$9*1000),"")</f>
        <v/>
      </c>
      <c r="BC236" s="523" t="str">
        <f>IFERROR(_xlfn.IFNA(IF(données_step[[#This Row],[E_PTOT]]&lt;=0,NA(),charge_entree[[#This Row],[ch_E_PTOT]]/constanten!$B$15*1000),""),"")</f>
        <v/>
      </c>
      <c r="BD236" s="535" t="e">
        <f>calculs!E236 * (1-0.4) / (données_step[[#This Row],[X_BA_VOL]]*données_step[[#This Row],[X_BACONC]])</f>
        <v>#VALUE!</v>
      </c>
      <c r="BE236" s="522" t="e">
        <f>(données_step[[#This Row],[X_BA_VOL]]*données_step[[#This Row],[X_BACONC]])/((données_step[[#This Row],[D_QTRAI2]]*données_step[[#This Row],[S_MES]]/1000)+(données_step[[#This Row],[X_BX_Q]]*données_step[[#This Row],[X_BXCONC]]))</f>
        <v>#VALUE!</v>
      </c>
      <c r="BF236" s="890" t="str">
        <f>IFERROR(données_step[[#This Row],[D_QTRAI]]/AY236*1000,"")</f>
        <v/>
      </c>
      <c r="BG236" s="535" t="str">
        <f>IFERROR(1-données_step[[#This Row],[S_DBO5]]/données_step[[#This Row],[E_DBO5]],"")</f>
        <v/>
      </c>
      <c r="BH236" s="536" t="str">
        <f>IFERROR(1-données_step[[#This Row],[S_DCO]]/données_step[[#This Row],[E_DCO]],"")</f>
        <v/>
      </c>
      <c r="BI236" s="535" t="str">
        <f>IFERROR(1-données_step[[#This Row],[S_COD]]/données_step[[#This Row],[E_COT]],"")</f>
        <v/>
      </c>
      <c r="BJ236" s="535" t="str">
        <f>IFERROR(1-données_step[[#This Row],[S_NH4]]/données_step[[#This Row],[E_NTOT]],"")</f>
        <v/>
      </c>
      <c r="BK236" s="535" t="str">
        <f>IFERROR(1-données_step[[#This Row],[S_PTOT]]/données_step[[#This Row],[E_PTOT]],"")</f>
        <v/>
      </c>
      <c r="BL236" s="521" t="str">
        <f>IFERROR(IF(données_step[[#This Row],[E_DCO]]/données_step[[#This Row],[E_DBO5]]=0,NA(),données_step[[#This Row],[E_DCO]]/données_step[[#This Row],[E_DBO5]]),"")</f>
        <v/>
      </c>
      <c r="BM236" s="521" t="str">
        <f>IFERROR(IF(données_step[[#This Row],[E_NH4]]/données_step[[#This Row],[E_NTOT]]=0,NA(),données_step[[#This Row],[E_NH4]]/données_step[[#This Row],[E_NTOT]]),"")</f>
        <v/>
      </c>
      <c r="BN236" s="521" t="str">
        <f>IFERROR(IF(données_step[[#This Row],[E_NTOT]]/données_step[[#This Row],[E_COT]]=0,NA(),données_step[[#This Row],[E_NTOT]]/données_step[[#This Row],[E_COT]]),"")</f>
        <v/>
      </c>
      <c r="BO236" s="521" t="str">
        <f>IFERROR(IF(données_step[[#This Row],[E_PTOT]]/données_step[[#This Row],[E_COT]]=0,NA(),données_step[[#This Row],[E_PTOT]]/données_step[[#This Row],[E_COT]]),"")</f>
        <v/>
      </c>
      <c r="BP236" s="521" t="e">
        <f>IF(données_step[[#This Row],[E_DCO]]/données_step[[#This Row],[E_COT]]=0,NA(),données_step[[#This Row],[E_DCO]]/données_step[[#This Row],[E_COT]])</f>
        <v>#DIV/0!</v>
      </c>
      <c r="BQ236" s="521" t="e">
        <f>IF(données_step[[#This Row],[E_NTOT]]/données_step[[#This Row],[E_DCO]]=0,NA(),données_step[[#This Row],[E_NTOT]]/données_step[[#This Row],[E_DCO]])</f>
        <v>#DIV/0!</v>
      </c>
      <c r="BR236" s="521" t="e">
        <f>IF(données_step[[#This Row],[E_PTOT]]/données_step[[#This Row],[E_DCO]]=0,NA(),données_step[[#This Row],[E_PTOT]]/données_step[[#This Row],[E_DCO]])</f>
        <v>#DIV/0!</v>
      </c>
      <c r="BS236" s="747" t="e">
        <f ca="1">test_NH4_temp(données_step[[#This Row],[S_NH4]],données_step[[#This Row],[Temp_eaux]])</f>
        <v>#NAME?</v>
      </c>
    </row>
    <row r="237" spans="1:71" x14ac:dyDescent="0.2">
      <c r="A237" s="222">
        <f>données_step[[#This Row],[Datum]]</f>
        <v>44788</v>
      </c>
      <c r="B237" s="223"/>
      <c r="C237" s="224">
        <f t="shared" si="64"/>
        <v>2</v>
      </c>
      <c r="D237" s="523" t="str">
        <f>IF(OR(données_step[[#This Row],[E_DBO5]]&lt;=0,données_step[[#This Row],[E_DBO5]]=""),"",données_step[[#This Row],[D_QTRAI]]*données_step[[#This Row],[E_DBO5]]/1000)</f>
        <v/>
      </c>
      <c r="E237" s="523" t="str">
        <f>IF(OR(données_step[[#This Row],[E_DCO]]&lt;=0,données_step[[#This Row],[E_DCO]]=""),"",données_step[[#This Row],[D_QTRAI]]*données_step[[#This Row],[E_DCO]]/1000)</f>
        <v/>
      </c>
      <c r="F237" s="523" t="str">
        <f>IF(OR(données_step[[#This Row],[E_COT]]&lt;=0,données_step[[#This Row],[E_COT]]=""),"",données_step[[#This Row],[D_QTRAI]]*données_step[[#This Row],[E_COT]]/1000)</f>
        <v/>
      </c>
      <c r="G237" s="523" t="str">
        <f>IF(OR(données_step[[#This Row],[E_NH4]]&lt;=0,données_step[[#This Row],[E_NH4]]=""),"",données_step[[#This Row],[D_QTRAI]]*données_step[[#This Row],[E_NH4]]/1000)</f>
        <v/>
      </c>
      <c r="H237" s="523" t="str">
        <f>IF(OR(données_step[[#This Row],[E_NTOT]]&lt;=0,données_step[[#This Row],[E_NTOT]]=""),"",données_step[[#This Row],[D_QTRAI]]*données_step[[#This Row],[E_NTOT]]/1000)</f>
        <v/>
      </c>
      <c r="I237" s="523" t="str">
        <f>IF(OR(données_step[[#This Row],[E_NTOT]]&lt;=0,données_step[[#This Row],[E_NTOT]]=""),"",données_step[[#This Row],[D_QTRAI]]*données_step[[#This Row],[E_PTOT]]/1000)</f>
        <v/>
      </c>
      <c r="J237" s="523" t="str">
        <f>IF(OR(données_step[[#This Row],[S_DBO5]]&lt;=0,données_step[[#This Row],[S_DBO5]]=""),"",données_step[[#This Row],[D_QTRAI]]*données_step[[#This Row],[S_DBO5]]/1000)</f>
        <v/>
      </c>
      <c r="K237" s="523" t="str">
        <f>IF(OR(données_step[[#This Row],[S_DCO]]&lt;=0,données_step[[#This Row],[S_DCO]]=""),"",données_step[[#This Row],[D_QTRAI]]*données_step[[#This Row],[S_DCO]]/1000)</f>
        <v/>
      </c>
      <c r="L237" s="523" t="str">
        <f>IF(OR(données_step[[#This Row],[S_COD]]&lt;=0,données_step[[#This Row],[S_COD]]=""),"",données_step[[#This Row],[D_QTRAI]]*données_step[[#This Row],[S_COD]]/1000)</f>
        <v/>
      </c>
      <c r="M237" s="523" t="str">
        <f>IF(OR(données_step[[#This Row],[S_NH4]]&lt;=0,données_step[[#This Row],[S_NH4]]=""),"",données_step[[#This Row],[D_QTRAI]]*données_step[[#This Row],[S_NH4]]/1000)</f>
        <v/>
      </c>
      <c r="N237" s="523" t="str">
        <f>IF(OR(données_step[[#This Row],[S_NO2]]&lt;=0,données_step[[#This Row],[S_NO2]]=""),"",données_step[[#This Row],[D_QTRAI]]*données_step[[#This Row],[S_NO2]]/1000)</f>
        <v/>
      </c>
      <c r="O237" s="523" t="str">
        <f>IF(OR(données_step[[#This Row],[S_NO3]]&lt;=0,données_step[[#This Row],[S_NO3]]=""),"",données_step[[#This Row],[D_QTRAI]]*données_step[[#This Row],[S_NO3]]/1000)</f>
        <v/>
      </c>
      <c r="P237" s="523" t="str">
        <f>IF(OR(données_step[[#This Row],[S_PTOT]]&lt;=0,données_step[[#This Row],[S_PTOT]]=""),"",données_step[[#This Row],[D_QTRAI]]*données_step[[#This Row],[S_PTOT]]/1000)</f>
        <v/>
      </c>
      <c r="Q237" s="523" t="str">
        <f>IF(OR(données_step[[#This Row],[S_MES]]&lt;=0,données_step[[#This Row],[S_MES]]=""),"",données_step[[#This Row],[D_QTRAI]]*données_step[[#This Row],[S_MES]]/1000)</f>
        <v/>
      </c>
      <c r="R237" s="523">
        <f>MAX(données_step[[#This Row],[D_QTRAI]],données_step[[#This Row],[D_QTRAI2]])</f>
        <v>0</v>
      </c>
      <c r="S237" s="523" t="str">
        <f>IF(AND($R237&gt;0,données_step[[#This Row],[E_DCO]]&gt;0),données_step[[#This Row],[E_DCO]],"")</f>
        <v/>
      </c>
      <c r="T237" s="523" t="str">
        <f>IF(S237="","",(1-données_step[[#This Row],[E_DCO]]/$V$7)*100)</f>
        <v/>
      </c>
      <c r="U237" s="523" t="str">
        <f t="shared" si="50"/>
        <v/>
      </c>
      <c r="V237" s="523" t="str">
        <f t="shared" si="51"/>
        <v/>
      </c>
      <c r="W237" s="523" t="str">
        <f t="shared" si="52"/>
        <v/>
      </c>
      <c r="X237" s="523" t="e">
        <f>IF(((100-100/$V$7*données_step[[#This Row],[E_DCO]])/100*QTS)&lt;0,NA(),IF(OR(U237&lt;0,U237=""),NA(),((100-100/$V$7*données_step[[#This Row],[E_DCO]])/100*QTS)))</f>
        <v>#NUM!</v>
      </c>
      <c r="Y237" s="523" t="str">
        <f>IF(AND($R237&gt;0,données_step[[#This Row],[E_COT]]&gt;0),données_step[[#This Row],[E_COT]],"")</f>
        <v/>
      </c>
      <c r="Z237" s="523" t="str">
        <f>IF(Y237="","",(1-données_step[[#This Row],[E_COT]]/$AB$7)*100)</f>
        <v/>
      </c>
      <c r="AA237" s="523" t="str">
        <f t="shared" si="53"/>
        <v/>
      </c>
      <c r="AB237" s="523" t="str">
        <f t="shared" si="54"/>
        <v/>
      </c>
      <c r="AC237" s="523" t="str">
        <f t="shared" si="55"/>
        <v/>
      </c>
      <c r="AD237" s="523" t="e">
        <f>IF(((100-100/$AB$7*données_step[[#This Row],[E_COT]])/100*QTS)&lt;0,NA(),IF(OR(AA237&lt;0,AA237=""),NA(),((100-100/$AB$7*données_step[[#This Row],[E_COT]])/100*QTS)))</f>
        <v>#NUM!</v>
      </c>
      <c r="AE237" s="523" t="str">
        <f>IF(AND($R237&gt;0,données_step[[#This Row],[E_NH4]]&gt;0),données_step[[#This Row],[E_NH4]],"")</f>
        <v/>
      </c>
      <c r="AF237" s="523" t="str">
        <f>IF(AE237="","",(1-données_step[[#This Row],[E_NH4]]/$AH$7)*100)</f>
        <v/>
      </c>
      <c r="AG237" s="523" t="str">
        <f t="shared" si="56"/>
        <v/>
      </c>
      <c r="AH237" s="523" t="str">
        <f t="shared" si="57"/>
        <v/>
      </c>
      <c r="AI237" s="523" t="str">
        <f t="shared" si="58"/>
        <v/>
      </c>
      <c r="AJ237" s="523" t="e">
        <f>IF(((100-100/$AH$7*données_step[[#This Row],[E_NH4]])/100*QTS)&lt;0,NA(),IF(OR(AG237&lt;0,AG237=""),NA(),((100-100/$AH$7*données_step[[#This Row],[E_NH4]])/100*QTS)))</f>
        <v>#NUM!</v>
      </c>
      <c r="AK237" s="523" t="str">
        <f>IF(AND($R237&gt;0,données_step[[#This Row],[E_PTOT]]&gt;0),données_step[[#This Row],[E_PTOT]],"")</f>
        <v/>
      </c>
      <c r="AL237" s="523" t="str">
        <f>IF(AK237="","",(1-données_step[[#This Row],[E_PTOT]]/$AN$7)*100)</f>
        <v/>
      </c>
      <c r="AM237" s="523" t="str">
        <f t="shared" si="59"/>
        <v/>
      </c>
      <c r="AN237" s="523" t="str">
        <f t="shared" si="60"/>
        <v/>
      </c>
      <c r="AO237" s="523" t="str">
        <f t="shared" si="61"/>
        <v/>
      </c>
      <c r="AP237" s="523" t="e">
        <f>IF(((100-100/$AN$7*données_step[[#This Row],[E_PTOT]])/100*QTS)&lt;0,NA(),IF(OR(AM237&lt;0,AM237=""),NA(),((100-100/$AN$7*données_step[[#This Row],[E_PTOT]])/100*QTS)))</f>
        <v>#NUM!</v>
      </c>
      <c r="AQ237" s="524" t="e">
        <f t="shared" si="62"/>
        <v>#NUM!</v>
      </c>
      <c r="AR237" s="524" t="str">
        <f t="shared" si="63"/>
        <v/>
      </c>
      <c r="AY237" s="523" t="str">
        <f>_xlfn.IFNA(IF(données_step[[#This Row],[E_DCO]]&lt;=0,NA(),charge_entree[[#This Row],[ch_E_DCO]]/constanten!$B$8*1000),"")</f>
        <v/>
      </c>
      <c r="AZ237" s="523" t="str">
        <f>_xlfn.IFNA(IF(données_step[[#This Row],[E_NTOT]]&lt;=0,NA(),charge_entree[[#This Row],[ch_E_NTOT]]/constanten!$B$10*1000),"")</f>
        <v/>
      </c>
      <c r="BA237" s="523" t="str">
        <f>_xlfn.IFNA(IF(données_step[[#This Row],[E_NH4]]&lt;=0,NA(),charge_entree[[#This Row],[ch_E_NH4]]/constanten!$B$12*1000),"")</f>
        <v/>
      </c>
      <c r="BB237" s="523" t="str">
        <f>_xlfn.IFNA(IF(données_step[[#This Row],[E_COT]]&lt;=0,NA(),charge_entree[[#This Row],[ch_E_COT]]/constanten!$B$9*1000),"")</f>
        <v/>
      </c>
      <c r="BC237" s="523" t="str">
        <f>IFERROR(_xlfn.IFNA(IF(données_step[[#This Row],[E_PTOT]]&lt;=0,NA(),charge_entree[[#This Row],[ch_E_PTOT]]/constanten!$B$15*1000),""),"")</f>
        <v/>
      </c>
      <c r="BD237" s="535" t="e">
        <f>calculs!E237 * (1-0.4) / (données_step[[#This Row],[X_BA_VOL]]*données_step[[#This Row],[X_BACONC]])</f>
        <v>#VALUE!</v>
      </c>
      <c r="BE237" s="522" t="e">
        <f>(données_step[[#This Row],[X_BA_VOL]]*données_step[[#This Row],[X_BACONC]])/((données_step[[#This Row],[D_QTRAI2]]*données_step[[#This Row],[S_MES]]/1000)+(données_step[[#This Row],[X_BX_Q]]*données_step[[#This Row],[X_BXCONC]]))</f>
        <v>#VALUE!</v>
      </c>
      <c r="BF237" s="890" t="str">
        <f>IFERROR(données_step[[#This Row],[D_QTRAI]]/AY237*1000,"")</f>
        <v/>
      </c>
      <c r="BG237" s="535" t="str">
        <f>IFERROR(1-données_step[[#This Row],[S_DBO5]]/données_step[[#This Row],[E_DBO5]],"")</f>
        <v/>
      </c>
      <c r="BH237" s="536" t="str">
        <f>IFERROR(1-données_step[[#This Row],[S_DCO]]/données_step[[#This Row],[E_DCO]],"")</f>
        <v/>
      </c>
      <c r="BI237" s="535" t="str">
        <f>IFERROR(1-données_step[[#This Row],[S_COD]]/données_step[[#This Row],[E_COT]],"")</f>
        <v/>
      </c>
      <c r="BJ237" s="535" t="str">
        <f>IFERROR(1-données_step[[#This Row],[S_NH4]]/données_step[[#This Row],[E_NTOT]],"")</f>
        <v/>
      </c>
      <c r="BK237" s="535" t="str">
        <f>IFERROR(1-données_step[[#This Row],[S_PTOT]]/données_step[[#This Row],[E_PTOT]],"")</f>
        <v/>
      </c>
      <c r="BL237" s="521" t="str">
        <f>IFERROR(IF(données_step[[#This Row],[E_DCO]]/données_step[[#This Row],[E_DBO5]]=0,NA(),données_step[[#This Row],[E_DCO]]/données_step[[#This Row],[E_DBO5]]),"")</f>
        <v/>
      </c>
      <c r="BM237" s="521" t="str">
        <f>IFERROR(IF(données_step[[#This Row],[E_NH4]]/données_step[[#This Row],[E_NTOT]]=0,NA(),données_step[[#This Row],[E_NH4]]/données_step[[#This Row],[E_NTOT]]),"")</f>
        <v/>
      </c>
      <c r="BN237" s="521" t="str">
        <f>IFERROR(IF(données_step[[#This Row],[E_NTOT]]/données_step[[#This Row],[E_COT]]=0,NA(),données_step[[#This Row],[E_NTOT]]/données_step[[#This Row],[E_COT]]),"")</f>
        <v/>
      </c>
      <c r="BO237" s="521" t="str">
        <f>IFERROR(IF(données_step[[#This Row],[E_PTOT]]/données_step[[#This Row],[E_COT]]=0,NA(),données_step[[#This Row],[E_PTOT]]/données_step[[#This Row],[E_COT]]),"")</f>
        <v/>
      </c>
      <c r="BP237" s="521" t="e">
        <f>IF(données_step[[#This Row],[E_DCO]]/données_step[[#This Row],[E_COT]]=0,NA(),données_step[[#This Row],[E_DCO]]/données_step[[#This Row],[E_COT]])</f>
        <v>#DIV/0!</v>
      </c>
      <c r="BQ237" s="521" t="e">
        <f>IF(données_step[[#This Row],[E_NTOT]]/données_step[[#This Row],[E_DCO]]=0,NA(),données_step[[#This Row],[E_NTOT]]/données_step[[#This Row],[E_DCO]])</f>
        <v>#DIV/0!</v>
      </c>
      <c r="BR237" s="521" t="e">
        <f>IF(données_step[[#This Row],[E_PTOT]]/données_step[[#This Row],[E_DCO]]=0,NA(),données_step[[#This Row],[E_PTOT]]/données_step[[#This Row],[E_DCO]])</f>
        <v>#DIV/0!</v>
      </c>
      <c r="BS237" s="747" t="e">
        <f ca="1">test_NH4_temp(données_step[[#This Row],[S_NH4]],données_step[[#This Row],[Temp_eaux]])</f>
        <v>#NAME?</v>
      </c>
    </row>
    <row r="238" spans="1:71" x14ac:dyDescent="0.2">
      <c r="A238" s="222">
        <f>données_step[[#This Row],[Datum]]</f>
        <v>44789</v>
      </c>
      <c r="B238" s="223"/>
      <c r="C238" s="224">
        <f t="shared" si="64"/>
        <v>3</v>
      </c>
      <c r="D238" s="523" t="str">
        <f>IF(OR(données_step[[#This Row],[E_DBO5]]&lt;=0,données_step[[#This Row],[E_DBO5]]=""),"",données_step[[#This Row],[D_QTRAI]]*données_step[[#This Row],[E_DBO5]]/1000)</f>
        <v/>
      </c>
      <c r="E238" s="523" t="str">
        <f>IF(OR(données_step[[#This Row],[E_DCO]]&lt;=0,données_step[[#This Row],[E_DCO]]=""),"",données_step[[#This Row],[D_QTRAI]]*données_step[[#This Row],[E_DCO]]/1000)</f>
        <v/>
      </c>
      <c r="F238" s="523" t="str">
        <f>IF(OR(données_step[[#This Row],[E_COT]]&lt;=0,données_step[[#This Row],[E_COT]]=""),"",données_step[[#This Row],[D_QTRAI]]*données_step[[#This Row],[E_COT]]/1000)</f>
        <v/>
      </c>
      <c r="G238" s="523" t="str">
        <f>IF(OR(données_step[[#This Row],[E_NH4]]&lt;=0,données_step[[#This Row],[E_NH4]]=""),"",données_step[[#This Row],[D_QTRAI]]*données_step[[#This Row],[E_NH4]]/1000)</f>
        <v/>
      </c>
      <c r="H238" s="523" t="str">
        <f>IF(OR(données_step[[#This Row],[E_NTOT]]&lt;=0,données_step[[#This Row],[E_NTOT]]=""),"",données_step[[#This Row],[D_QTRAI]]*données_step[[#This Row],[E_NTOT]]/1000)</f>
        <v/>
      </c>
      <c r="I238" s="523" t="str">
        <f>IF(OR(données_step[[#This Row],[E_NTOT]]&lt;=0,données_step[[#This Row],[E_NTOT]]=""),"",données_step[[#This Row],[D_QTRAI]]*données_step[[#This Row],[E_PTOT]]/1000)</f>
        <v/>
      </c>
      <c r="J238" s="523" t="str">
        <f>IF(OR(données_step[[#This Row],[S_DBO5]]&lt;=0,données_step[[#This Row],[S_DBO5]]=""),"",données_step[[#This Row],[D_QTRAI]]*données_step[[#This Row],[S_DBO5]]/1000)</f>
        <v/>
      </c>
      <c r="K238" s="523" t="str">
        <f>IF(OR(données_step[[#This Row],[S_DCO]]&lt;=0,données_step[[#This Row],[S_DCO]]=""),"",données_step[[#This Row],[D_QTRAI]]*données_step[[#This Row],[S_DCO]]/1000)</f>
        <v/>
      </c>
      <c r="L238" s="523" t="str">
        <f>IF(OR(données_step[[#This Row],[S_COD]]&lt;=0,données_step[[#This Row],[S_COD]]=""),"",données_step[[#This Row],[D_QTRAI]]*données_step[[#This Row],[S_COD]]/1000)</f>
        <v/>
      </c>
      <c r="M238" s="523" t="str">
        <f>IF(OR(données_step[[#This Row],[S_NH4]]&lt;=0,données_step[[#This Row],[S_NH4]]=""),"",données_step[[#This Row],[D_QTRAI]]*données_step[[#This Row],[S_NH4]]/1000)</f>
        <v/>
      </c>
      <c r="N238" s="523" t="str">
        <f>IF(OR(données_step[[#This Row],[S_NO2]]&lt;=0,données_step[[#This Row],[S_NO2]]=""),"",données_step[[#This Row],[D_QTRAI]]*données_step[[#This Row],[S_NO2]]/1000)</f>
        <v/>
      </c>
      <c r="O238" s="523" t="str">
        <f>IF(OR(données_step[[#This Row],[S_NO3]]&lt;=0,données_step[[#This Row],[S_NO3]]=""),"",données_step[[#This Row],[D_QTRAI]]*données_step[[#This Row],[S_NO3]]/1000)</f>
        <v/>
      </c>
      <c r="P238" s="523" t="str">
        <f>IF(OR(données_step[[#This Row],[S_PTOT]]&lt;=0,données_step[[#This Row],[S_PTOT]]=""),"",données_step[[#This Row],[D_QTRAI]]*données_step[[#This Row],[S_PTOT]]/1000)</f>
        <v/>
      </c>
      <c r="Q238" s="523" t="str">
        <f>IF(OR(données_step[[#This Row],[S_MES]]&lt;=0,données_step[[#This Row],[S_MES]]=""),"",données_step[[#This Row],[D_QTRAI]]*données_step[[#This Row],[S_MES]]/1000)</f>
        <v/>
      </c>
      <c r="R238" s="523">
        <f>MAX(données_step[[#This Row],[D_QTRAI]],données_step[[#This Row],[D_QTRAI2]])</f>
        <v>0</v>
      </c>
      <c r="S238" s="523" t="str">
        <f>IF(AND($R238&gt;0,données_step[[#This Row],[E_DCO]]&gt;0),données_step[[#This Row],[E_DCO]],"")</f>
        <v/>
      </c>
      <c r="T238" s="523" t="str">
        <f>IF(S238="","",(1-données_step[[#This Row],[E_DCO]]/$V$7)*100)</f>
        <v/>
      </c>
      <c r="U238" s="523" t="str">
        <f t="shared" si="50"/>
        <v/>
      </c>
      <c r="V238" s="523" t="str">
        <f t="shared" si="51"/>
        <v/>
      </c>
      <c r="W238" s="523" t="str">
        <f t="shared" si="52"/>
        <v/>
      </c>
      <c r="X238" s="523" t="e">
        <f>IF(((100-100/$V$7*données_step[[#This Row],[E_DCO]])/100*QTS)&lt;0,NA(),IF(OR(U238&lt;0,U238=""),NA(),((100-100/$V$7*données_step[[#This Row],[E_DCO]])/100*QTS)))</f>
        <v>#NUM!</v>
      </c>
      <c r="Y238" s="523" t="str">
        <f>IF(AND($R238&gt;0,données_step[[#This Row],[E_COT]]&gt;0),données_step[[#This Row],[E_COT]],"")</f>
        <v/>
      </c>
      <c r="Z238" s="523" t="str">
        <f>IF(Y238="","",(1-données_step[[#This Row],[E_COT]]/$AB$7)*100)</f>
        <v/>
      </c>
      <c r="AA238" s="523" t="str">
        <f t="shared" si="53"/>
        <v/>
      </c>
      <c r="AB238" s="523" t="str">
        <f t="shared" si="54"/>
        <v/>
      </c>
      <c r="AC238" s="523" t="str">
        <f t="shared" si="55"/>
        <v/>
      </c>
      <c r="AD238" s="523" t="e">
        <f>IF(((100-100/$AB$7*données_step[[#This Row],[E_COT]])/100*QTS)&lt;0,NA(),IF(OR(AA238&lt;0,AA238=""),NA(),((100-100/$AB$7*données_step[[#This Row],[E_COT]])/100*QTS)))</f>
        <v>#NUM!</v>
      </c>
      <c r="AE238" s="523" t="str">
        <f>IF(AND($R238&gt;0,données_step[[#This Row],[E_NH4]]&gt;0),données_step[[#This Row],[E_NH4]],"")</f>
        <v/>
      </c>
      <c r="AF238" s="523" t="str">
        <f>IF(AE238="","",(1-données_step[[#This Row],[E_NH4]]/$AH$7)*100)</f>
        <v/>
      </c>
      <c r="AG238" s="523" t="str">
        <f t="shared" si="56"/>
        <v/>
      </c>
      <c r="AH238" s="523" t="str">
        <f t="shared" si="57"/>
        <v/>
      </c>
      <c r="AI238" s="523" t="str">
        <f t="shared" si="58"/>
        <v/>
      </c>
      <c r="AJ238" s="523" t="e">
        <f>IF(((100-100/$AH$7*données_step[[#This Row],[E_NH4]])/100*QTS)&lt;0,NA(),IF(OR(AG238&lt;0,AG238=""),NA(),((100-100/$AH$7*données_step[[#This Row],[E_NH4]])/100*QTS)))</f>
        <v>#NUM!</v>
      </c>
      <c r="AK238" s="523" t="str">
        <f>IF(AND($R238&gt;0,données_step[[#This Row],[E_PTOT]]&gt;0),données_step[[#This Row],[E_PTOT]],"")</f>
        <v/>
      </c>
      <c r="AL238" s="523" t="str">
        <f>IF(AK238="","",(1-données_step[[#This Row],[E_PTOT]]/$AN$7)*100)</f>
        <v/>
      </c>
      <c r="AM238" s="523" t="str">
        <f t="shared" si="59"/>
        <v/>
      </c>
      <c r="AN238" s="523" t="str">
        <f t="shared" si="60"/>
        <v/>
      </c>
      <c r="AO238" s="523" t="str">
        <f t="shared" si="61"/>
        <v/>
      </c>
      <c r="AP238" s="523" t="e">
        <f>IF(((100-100/$AN$7*données_step[[#This Row],[E_PTOT]])/100*QTS)&lt;0,NA(),IF(OR(AM238&lt;0,AM238=""),NA(),((100-100/$AN$7*données_step[[#This Row],[E_PTOT]])/100*QTS)))</f>
        <v>#NUM!</v>
      </c>
      <c r="AQ238" s="524" t="e">
        <f t="shared" si="62"/>
        <v>#NUM!</v>
      </c>
      <c r="AR238" s="524" t="str">
        <f t="shared" si="63"/>
        <v/>
      </c>
      <c r="AY238" s="523" t="str">
        <f>_xlfn.IFNA(IF(données_step[[#This Row],[E_DCO]]&lt;=0,NA(),charge_entree[[#This Row],[ch_E_DCO]]/constanten!$B$8*1000),"")</f>
        <v/>
      </c>
      <c r="AZ238" s="523" t="str">
        <f>_xlfn.IFNA(IF(données_step[[#This Row],[E_NTOT]]&lt;=0,NA(),charge_entree[[#This Row],[ch_E_NTOT]]/constanten!$B$10*1000),"")</f>
        <v/>
      </c>
      <c r="BA238" s="523" t="str">
        <f>_xlfn.IFNA(IF(données_step[[#This Row],[E_NH4]]&lt;=0,NA(),charge_entree[[#This Row],[ch_E_NH4]]/constanten!$B$12*1000),"")</f>
        <v/>
      </c>
      <c r="BB238" s="523" t="str">
        <f>_xlfn.IFNA(IF(données_step[[#This Row],[E_COT]]&lt;=0,NA(),charge_entree[[#This Row],[ch_E_COT]]/constanten!$B$9*1000),"")</f>
        <v/>
      </c>
      <c r="BC238" s="523" t="str">
        <f>IFERROR(_xlfn.IFNA(IF(données_step[[#This Row],[E_PTOT]]&lt;=0,NA(),charge_entree[[#This Row],[ch_E_PTOT]]/constanten!$B$15*1000),""),"")</f>
        <v/>
      </c>
      <c r="BD238" s="535" t="e">
        <f>calculs!E238 * (1-0.4) / (données_step[[#This Row],[X_BA_VOL]]*données_step[[#This Row],[X_BACONC]])</f>
        <v>#VALUE!</v>
      </c>
      <c r="BE238" s="522" t="e">
        <f>(données_step[[#This Row],[X_BA_VOL]]*données_step[[#This Row],[X_BACONC]])/((données_step[[#This Row],[D_QTRAI2]]*données_step[[#This Row],[S_MES]]/1000)+(données_step[[#This Row],[X_BX_Q]]*données_step[[#This Row],[X_BXCONC]]))</f>
        <v>#VALUE!</v>
      </c>
      <c r="BF238" s="890" t="str">
        <f>IFERROR(données_step[[#This Row],[D_QTRAI]]/AY238*1000,"")</f>
        <v/>
      </c>
      <c r="BG238" s="535" t="str">
        <f>IFERROR(1-données_step[[#This Row],[S_DBO5]]/données_step[[#This Row],[E_DBO5]],"")</f>
        <v/>
      </c>
      <c r="BH238" s="536" t="str">
        <f>IFERROR(1-données_step[[#This Row],[S_DCO]]/données_step[[#This Row],[E_DCO]],"")</f>
        <v/>
      </c>
      <c r="BI238" s="535" t="str">
        <f>IFERROR(1-données_step[[#This Row],[S_COD]]/données_step[[#This Row],[E_COT]],"")</f>
        <v/>
      </c>
      <c r="BJ238" s="535" t="str">
        <f>IFERROR(1-données_step[[#This Row],[S_NH4]]/données_step[[#This Row],[E_NTOT]],"")</f>
        <v/>
      </c>
      <c r="BK238" s="535" t="str">
        <f>IFERROR(1-données_step[[#This Row],[S_PTOT]]/données_step[[#This Row],[E_PTOT]],"")</f>
        <v/>
      </c>
      <c r="BL238" s="521" t="str">
        <f>IFERROR(IF(données_step[[#This Row],[E_DCO]]/données_step[[#This Row],[E_DBO5]]=0,NA(),données_step[[#This Row],[E_DCO]]/données_step[[#This Row],[E_DBO5]]),"")</f>
        <v/>
      </c>
      <c r="BM238" s="521" t="str">
        <f>IFERROR(IF(données_step[[#This Row],[E_NH4]]/données_step[[#This Row],[E_NTOT]]=0,NA(),données_step[[#This Row],[E_NH4]]/données_step[[#This Row],[E_NTOT]]),"")</f>
        <v/>
      </c>
      <c r="BN238" s="521" t="str">
        <f>IFERROR(IF(données_step[[#This Row],[E_NTOT]]/données_step[[#This Row],[E_COT]]=0,NA(),données_step[[#This Row],[E_NTOT]]/données_step[[#This Row],[E_COT]]),"")</f>
        <v/>
      </c>
      <c r="BO238" s="521" t="str">
        <f>IFERROR(IF(données_step[[#This Row],[E_PTOT]]/données_step[[#This Row],[E_COT]]=0,NA(),données_step[[#This Row],[E_PTOT]]/données_step[[#This Row],[E_COT]]),"")</f>
        <v/>
      </c>
      <c r="BP238" s="521" t="e">
        <f>IF(données_step[[#This Row],[E_DCO]]/données_step[[#This Row],[E_COT]]=0,NA(),données_step[[#This Row],[E_DCO]]/données_step[[#This Row],[E_COT]])</f>
        <v>#DIV/0!</v>
      </c>
      <c r="BQ238" s="521" t="e">
        <f>IF(données_step[[#This Row],[E_NTOT]]/données_step[[#This Row],[E_DCO]]=0,NA(),données_step[[#This Row],[E_NTOT]]/données_step[[#This Row],[E_DCO]])</f>
        <v>#DIV/0!</v>
      </c>
      <c r="BR238" s="521" t="e">
        <f>IF(données_step[[#This Row],[E_PTOT]]/données_step[[#This Row],[E_DCO]]=0,NA(),données_step[[#This Row],[E_PTOT]]/données_step[[#This Row],[E_DCO]])</f>
        <v>#DIV/0!</v>
      </c>
      <c r="BS238" s="747" t="e">
        <f ca="1">test_NH4_temp(données_step[[#This Row],[S_NH4]],données_step[[#This Row],[Temp_eaux]])</f>
        <v>#NAME?</v>
      </c>
    </row>
    <row r="239" spans="1:71" x14ac:dyDescent="0.2">
      <c r="A239" s="222">
        <f>données_step[[#This Row],[Datum]]</f>
        <v>44790</v>
      </c>
      <c r="B239" s="223"/>
      <c r="C239" s="224">
        <f t="shared" si="64"/>
        <v>4</v>
      </c>
      <c r="D239" s="523" t="str">
        <f>IF(OR(données_step[[#This Row],[E_DBO5]]&lt;=0,données_step[[#This Row],[E_DBO5]]=""),"",données_step[[#This Row],[D_QTRAI]]*données_step[[#This Row],[E_DBO5]]/1000)</f>
        <v/>
      </c>
      <c r="E239" s="523" t="str">
        <f>IF(OR(données_step[[#This Row],[E_DCO]]&lt;=0,données_step[[#This Row],[E_DCO]]=""),"",données_step[[#This Row],[D_QTRAI]]*données_step[[#This Row],[E_DCO]]/1000)</f>
        <v/>
      </c>
      <c r="F239" s="523" t="str">
        <f>IF(OR(données_step[[#This Row],[E_COT]]&lt;=0,données_step[[#This Row],[E_COT]]=""),"",données_step[[#This Row],[D_QTRAI]]*données_step[[#This Row],[E_COT]]/1000)</f>
        <v/>
      </c>
      <c r="G239" s="523" t="str">
        <f>IF(OR(données_step[[#This Row],[E_NH4]]&lt;=0,données_step[[#This Row],[E_NH4]]=""),"",données_step[[#This Row],[D_QTRAI]]*données_step[[#This Row],[E_NH4]]/1000)</f>
        <v/>
      </c>
      <c r="H239" s="523" t="str">
        <f>IF(OR(données_step[[#This Row],[E_NTOT]]&lt;=0,données_step[[#This Row],[E_NTOT]]=""),"",données_step[[#This Row],[D_QTRAI]]*données_step[[#This Row],[E_NTOT]]/1000)</f>
        <v/>
      </c>
      <c r="I239" s="523" t="str">
        <f>IF(OR(données_step[[#This Row],[E_NTOT]]&lt;=0,données_step[[#This Row],[E_NTOT]]=""),"",données_step[[#This Row],[D_QTRAI]]*données_step[[#This Row],[E_PTOT]]/1000)</f>
        <v/>
      </c>
      <c r="J239" s="523" t="str">
        <f>IF(OR(données_step[[#This Row],[S_DBO5]]&lt;=0,données_step[[#This Row],[S_DBO5]]=""),"",données_step[[#This Row],[D_QTRAI]]*données_step[[#This Row],[S_DBO5]]/1000)</f>
        <v/>
      </c>
      <c r="K239" s="523" t="str">
        <f>IF(OR(données_step[[#This Row],[S_DCO]]&lt;=0,données_step[[#This Row],[S_DCO]]=""),"",données_step[[#This Row],[D_QTRAI]]*données_step[[#This Row],[S_DCO]]/1000)</f>
        <v/>
      </c>
      <c r="L239" s="523" t="str">
        <f>IF(OR(données_step[[#This Row],[S_COD]]&lt;=0,données_step[[#This Row],[S_COD]]=""),"",données_step[[#This Row],[D_QTRAI]]*données_step[[#This Row],[S_COD]]/1000)</f>
        <v/>
      </c>
      <c r="M239" s="523" t="str">
        <f>IF(OR(données_step[[#This Row],[S_NH4]]&lt;=0,données_step[[#This Row],[S_NH4]]=""),"",données_step[[#This Row],[D_QTRAI]]*données_step[[#This Row],[S_NH4]]/1000)</f>
        <v/>
      </c>
      <c r="N239" s="523" t="str">
        <f>IF(OR(données_step[[#This Row],[S_NO2]]&lt;=0,données_step[[#This Row],[S_NO2]]=""),"",données_step[[#This Row],[D_QTRAI]]*données_step[[#This Row],[S_NO2]]/1000)</f>
        <v/>
      </c>
      <c r="O239" s="523" t="str">
        <f>IF(OR(données_step[[#This Row],[S_NO3]]&lt;=0,données_step[[#This Row],[S_NO3]]=""),"",données_step[[#This Row],[D_QTRAI]]*données_step[[#This Row],[S_NO3]]/1000)</f>
        <v/>
      </c>
      <c r="P239" s="523" t="str">
        <f>IF(OR(données_step[[#This Row],[S_PTOT]]&lt;=0,données_step[[#This Row],[S_PTOT]]=""),"",données_step[[#This Row],[D_QTRAI]]*données_step[[#This Row],[S_PTOT]]/1000)</f>
        <v/>
      </c>
      <c r="Q239" s="523" t="str">
        <f>IF(OR(données_step[[#This Row],[S_MES]]&lt;=0,données_step[[#This Row],[S_MES]]=""),"",données_step[[#This Row],[D_QTRAI]]*données_step[[#This Row],[S_MES]]/1000)</f>
        <v/>
      </c>
      <c r="R239" s="523">
        <f>MAX(données_step[[#This Row],[D_QTRAI]],données_step[[#This Row],[D_QTRAI2]])</f>
        <v>0</v>
      </c>
      <c r="S239" s="523" t="str">
        <f>IF(AND($R239&gt;0,données_step[[#This Row],[E_DCO]]&gt;0),données_step[[#This Row],[E_DCO]],"")</f>
        <v/>
      </c>
      <c r="T239" s="523" t="str">
        <f>IF(S239="","",(1-données_step[[#This Row],[E_DCO]]/$V$7)*100)</f>
        <v/>
      </c>
      <c r="U239" s="523" t="str">
        <f t="shared" si="50"/>
        <v/>
      </c>
      <c r="V239" s="523" t="str">
        <f t="shared" si="51"/>
        <v/>
      </c>
      <c r="W239" s="523" t="str">
        <f t="shared" si="52"/>
        <v/>
      </c>
      <c r="X239" s="523" t="e">
        <f>IF(((100-100/$V$7*données_step[[#This Row],[E_DCO]])/100*QTS)&lt;0,NA(),IF(OR(U239&lt;0,U239=""),NA(),((100-100/$V$7*données_step[[#This Row],[E_DCO]])/100*QTS)))</f>
        <v>#NUM!</v>
      </c>
      <c r="Y239" s="523" t="str">
        <f>IF(AND($R239&gt;0,données_step[[#This Row],[E_COT]]&gt;0),données_step[[#This Row],[E_COT]],"")</f>
        <v/>
      </c>
      <c r="Z239" s="523" t="str">
        <f>IF(Y239="","",(1-données_step[[#This Row],[E_COT]]/$AB$7)*100)</f>
        <v/>
      </c>
      <c r="AA239" s="523" t="str">
        <f t="shared" si="53"/>
        <v/>
      </c>
      <c r="AB239" s="523" t="str">
        <f t="shared" si="54"/>
        <v/>
      </c>
      <c r="AC239" s="523" t="str">
        <f t="shared" si="55"/>
        <v/>
      </c>
      <c r="AD239" s="523" t="e">
        <f>IF(((100-100/$AB$7*données_step[[#This Row],[E_COT]])/100*QTS)&lt;0,NA(),IF(OR(AA239&lt;0,AA239=""),NA(),((100-100/$AB$7*données_step[[#This Row],[E_COT]])/100*QTS)))</f>
        <v>#NUM!</v>
      </c>
      <c r="AE239" s="523" t="str">
        <f>IF(AND($R239&gt;0,données_step[[#This Row],[E_NH4]]&gt;0),données_step[[#This Row],[E_NH4]],"")</f>
        <v/>
      </c>
      <c r="AF239" s="523" t="str">
        <f>IF(AE239="","",(1-données_step[[#This Row],[E_NH4]]/$AH$7)*100)</f>
        <v/>
      </c>
      <c r="AG239" s="523" t="str">
        <f t="shared" si="56"/>
        <v/>
      </c>
      <c r="AH239" s="523" t="str">
        <f t="shared" si="57"/>
        <v/>
      </c>
      <c r="AI239" s="523" t="str">
        <f t="shared" si="58"/>
        <v/>
      </c>
      <c r="AJ239" s="523" t="e">
        <f>IF(((100-100/$AH$7*données_step[[#This Row],[E_NH4]])/100*QTS)&lt;0,NA(),IF(OR(AG239&lt;0,AG239=""),NA(),((100-100/$AH$7*données_step[[#This Row],[E_NH4]])/100*QTS)))</f>
        <v>#NUM!</v>
      </c>
      <c r="AK239" s="523" t="str">
        <f>IF(AND($R239&gt;0,données_step[[#This Row],[E_PTOT]]&gt;0),données_step[[#This Row],[E_PTOT]],"")</f>
        <v/>
      </c>
      <c r="AL239" s="523" t="str">
        <f>IF(AK239="","",(1-données_step[[#This Row],[E_PTOT]]/$AN$7)*100)</f>
        <v/>
      </c>
      <c r="AM239" s="523" t="str">
        <f t="shared" si="59"/>
        <v/>
      </c>
      <c r="AN239" s="523" t="str">
        <f t="shared" si="60"/>
        <v/>
      </c>
      <c r="AO239" s="523" t="str">
        <f t="shared" si="61"/>
        <v/>
      </c>
      <c r="AP239" s="523" t="e">
        <f>IF(((100-100/$AN$7*données_step[[#This Row],[E_PTOT]])/100*QTS)&lt;0,NA(),IF(OR(AM239&lt;0,AM239=""),NA(),((100-100/$AN$7*données_step[[#This Row],[E_PTOT]])/100*QTS)))</f>
        <v>#NUM!</v>
      </c>
      <c r="AQ239" s="524" t="e">
        <f t="shared" si="62"/>
        <v>#NUM!</v>
      </c>
      <c r="AR239" s="524" t="str">
        <f t="shared" si="63"/>
        <v/>
      </c>
      <c r="AY239" s="523" t="str">
        <f>_xlfn.IFNA(IF(données_step[[#This Row],[E_DCO]]&lt;=0,NA(),charge_entree[[#This Row],[ch_E_DCO]]/constanten!$B$8*1000),"")</f>
        <v/>
      </c>
      <c r="AZ239" s="523" t="str">
        <f>_xlfn.IFNA(IF(données_step[[#This Row],[E_NTOT]]&lt;=0,NA(),charge_entree[[#This Row],[ch_E_NTOT]]/constanten!$B$10*1000),"")</f>
        <v/>
      </c>
      <c r="BA239" s="523" t="str">
        <f>_xlfn.IFNA(IF(données_step[[#This Row],[E_NH4]]&lt;=0,NA(),charge_entree[[#This Row],[ch_E_NH4]]/constanten!$B$12*1000),"")</f>
        <v/>
      </c>
      <c r="BB239" s="523" t="str">
        <f>_xlfn.IFNA(IF(données_step[[#This Row],[E_COT]]&lt;=0,NA(),charge_entree[[#This Row],[ch_E_COT]]/constanten!$B$9*1000),"")</f>
        <v/>
      </c>
      <c r="BC239" s="523" t="str">
        <f>IFERROR(_xlfn.IFNA(IF(données_step[[#This Row],[E_PTOT]]&lt;=0,NA(),charge_entree[[#This Row],[ch_E_PTOT]]/constanten!$B$15*1000),""),"")</f>
        <v/>
      </c>
      <c r="BD239" s="535" t="e">
        <f>calculs!E239 * (1-0.4) / (données_step[[#This Row],[X_BA_VOL]]*données_step[[#This Row],[X_BACONC]])</f>
        <v>#VALUE!</v>
      </c>
      <c r="BE239" s="522" t="e">
        <f>(données_step[[#This Row],[X_BA_VOL]]*données_step[[#This Row],[X_BACONC]])/((données_step[[#This Row],[D_QTRAI2]]*données_step[[#This Row],[S_MES]]/1000)+(données_step[[#This Row],[X_BX_Q]]*données_step[[#This Row],[X_BXCONC]]))</f>
        <v>#VALUE!</v>
      </c>
      <c r="BF239" s="890" t="str">
        <f>IFERROR(données_step[[#This Row],[D_QTRAI]]/AY239*1000,"")</f>
        <v/>
      </c>
      <c r="BG239" s="535" t="str">
        <f>IFERROR(1-données_step[[#This Row],[S_DBO5]]/données_step[[#This Row],[E_DBO5]],"")</f>
        <v/>
      </c>
      <c r="BH239" s="536" t="str">
        <f>IFERROR(1-données_step[[#This Row],[S_DCO]]/données_step[[#This Row],[E_DCO]],"")</f>
        <v/>
      </c>
      <c r="BI239" s="535" t="str">
        <f>IFERROR(1-données_step[[#This Row],[S_COD]]/données_step[[#This Row],[E_COT]],"")</f>
        <v/>
      </c>
      <c r="BJ239" s="535" t="str">
        <f>IFERROR(1-données_step[[#This Row],[S_NH4]]/données_step[[#This Row],[E_NTOT]],"")</f>
        <v/>
      </c>
      <c r="BK239" s="535" t="str">
        <f>IFERROR(1-données_step[[#This Row],[S_PTOT]]/données_step[[#This Row],[E_PTOT]],"")</f>
        <v/>
      </c>
      <c r="BL239" s="521" t="str">
        <f>IFERROR(IF(données_step[[#This Row],[E_DCO]]/données_step[[#This Row],[E_DBO5]]=0,NA(),données_step[[#This Row],[E_DCO]]/données_step[[#This Row],[E_DBO5]]),"")</f>
        <v/>
      </c>
      <c r="BM239" s="521" t="str">
        <f>IFERROR(IF(données_step[[#This Row],[E_NH4]]/données_step[[#This Row],[E_NTOT]]=0,NA(),données_step[[#This Row],[E_NH4]]/données_step[[#This Row],[E_NTOT]]),"")</f>
        <v/>
      </c>
      <c r="BN239" s="521" t="str">
        <f>IFERROR(IF(données_step[[#This Row],[E_NTOT]]/données_step[[#This Row],[E_COT]]=0,NA(),données_step[[#This Row],[E_NTOT]]/données_step[[#This Row],[E_COT]]),"")</f>
        <v/>
      </c>
      <c r="BO239" s="521" t="str">
        <f>IFERROR(IF(données_step[[#This Row],[E_PTOT]]/données_step[[#This Row],[E_COT]]=0,NA(),données_step[[#This Row],[E_PTOT]]/données_step[[#This Row],[E_COT]]),"")</f>
        <v/>
      </c>
      <c r="BP239" s="521" t="e">
        <f>IF(données_step[[#This Row],[E_DCO]]/données_step[[#This Row],[E_COT]]=0,NA(),données_step[[#This Row],[E_DCO]]/données_step[[#This Row],[E_COT]])</f>
        <v>#DIV/0!</v>
      </c>
      <c r="BQ239" s="521" t="e">
        <f>IF(données_step[[#This Row],[E_NTOT]]/données_step[[#This Row],[E_DCO]]=0,NA(),données_step[[#This Row],[E_NTOT]]/données_step[[#This Row],[E_DCO]])</f>
        <v>#DIV/0!</v>
      </c>
      <c r="BR239" s="521" t="e">
        <f>IF(données_step[[#This Row],[E_PTOT]]/données_step[[#This Row],[E_DCO]]=0,NA(),données_step[[#This Row],[E_PTOT]]/données_step[[#This Row],[E_DCO]])</f>
        <v>#DIV/0!</v>
      </c>
      <c r="BS239" s="747" t="e">
        <f ca="1">test_NH4_temp(données_step[[#This Row],[S_NH4]],données_step[[#This Row],[Temp_eaux]])</f>
        <v>#NAME?</v>
      </c>
    </row>
    <row r="240" spans="1:71" x14ac:dyDescent="0.2">
      <c r="A240" s="222">
        <f>données_step[[#This Row],[Datum]]</f>
        <v>44791</v>
      </c>
      <c r="B240" s="223"/>
      <c r="C240" s="224">
        <f t="shared" si="64"/>
        <v>5</v>
      </c>
      <c r="D240" s="523" t="str">
        <f>IF(OR(données_step[[#This Row],[E_DBO5]]&lt;=0,données_step[[#This Row],[E_DBO5]]=""),"",données_step[[#This Row],[D_QTRAI]]*données_step[[#This Row],[E_DBO5]]/1000)</f>
        <v/>
      </c>
      <c r="E240" s="523" t="str">
        <f>IF(OR(données_step[[#This Row],[E_DCO]]&lt;=0,données_step[[#This Row],[E_DCO]]=""),"",données_step[[#This Row],[D_QTRAI]]*données_step[[#This Row],[E_DCO]]/1000)</f>
        <v/>
      </c>
      <c r="F240" s="523" t="str">
        <f>IF(OR(données_step[[#This Row],[E_COT]]&lt;=0,données_step[[#This Row],[E_COT]]=""),"",données_step[[#This Row],[D_QTRAI]]*données_step[[#This Row],[E_COT]]/1000)</f>
        <v/>
      </c>
      <c r="G240" s="523" t="str">
        <f>IF(OR(données_step[[#This Row],[E_NH4]]&lt;=0,données_step[[#This Row],[E_NH4]]=""),"",données_step[[#This Row],[D_QTRAI]]*données_step[[#This Row],[E_NH4]]/1000)</f>
        <v/>
      </c>
      <c r="H240" s="523" t="str">
        <f>IF(OR(données_step[[#This Row],[E_NTOT]]&lt;=0,données_step[[#This Row],[E_NTOT]]=""),"",données_step[[#This Row],[D_QTRAI]]*données_step[[#This Row],[E_NTOT]]/1000)</f>
        <v/>
      </c>
      <c r="I240" s="523" t="str">
        <f>IF(OR(données_step[[#This Row],[E_NTOT]]&lt;=0,données_step[[#This Row],[E_NTOT]]=""),"",données_step[[#This Row],[D_QTRAI]]*données_step[[#This Row],[E_PTOT]]/1000)</f>
        <v/>
      </c>
      <c r="J240" s="523" t="str">
        <f>IF(OR(données_step[[#This Row],[S_DBO5]]&lt;=0,données_step[[#This Row],[S_DBO5]]=""),"",données_step[[#This Row],[D_QTRAI]]*données_step[[#This Row],[S_DBO5]]/1000)</f>
        <v/>
      </c>
      <c r="K240" s="523" t="str">
        <f>IF(OR(données_step[[#This Row],[S_DCO]]&lt;=0,données_step[[#This Row],[S_DCO]]=""),"",données_step[[#This Row],[D_QTRAI]]*données_step[[#This Row],[S_DCO]]/1000)</f>
        <v/>
      </c>
      <c r="L240" s="523" t="str">
        <f>IF(OR(données_step[[#This Row],[S_COD]]&lt;=0,données_step[[#This Row],[S_COD]]=""),"",données_step[[#This Row],[D_QTRAI]]*données_step[[#This Row],[S_COD]]/1000)</f>
        <v/>
      </c>
      <c r="M240" s="523" t="str">
        <f>IF(OR(données_step[[#This Row],[S_NH4]]&lt;=0,données_step[[#This Row],[S_NH4]]=""),"",données_step[[#This Row],[D_QTRAI]]*données_step[[#This Row],[S_NH4]]/1000)</f>
        <v/>
      </c>
      <c r="N240" s="523" t="str">
        <f>IF(OR(données_step[[#This Row],[S_NO2]]&lt;=0,données_step[[#This Row],[S_NO2]]=""),"",données_step[[#This Row],[D_QTRAI]]*données_step[[#This Row],[S_NO2]]/1000)</f>
        <v/>
      </c>
      <c r="O240" s="523" t="str">
        <f>IF(OR(données_step[[#This Row],[S_NO3]]&lt;=0,données_step[[#This Row],[S_NO3]]=""),"",données_step[[#This Row],[D_QTRAI]]*données_step[[#This Row],[S_NO3]]/1000)</f>
        <v/>
      </c>
      <c r="P240" s="523" t="str">
        <f>IF(OR(données_step[[#This Row],[S_PTOT]]&lt;=0,données_step[[#This Row],[S_PTOT]]=""),"",données_step[[#This Row],[D_QTRAI]]*données_step[[#This Row],[S_PTOT]]/1000)</f>
        <v/>
      </c>
      <c r="Q240" s="523" t="str">
        <f>IF(OR(données_step[[#This Row],[S_MES]]&lt;=0,données_step[[#This Row],[S_MES]]=""),"",données_step[[#This Row],[D_QTRAI]]*données_step[[#This Row],[S_MES]]/1000)</f>
        <v/>
      </c>
      <c r="R240" s="523">
        <f>MAX(données_step[[#This Row],[D_QTRAI]],données_step[[#This Row],[D_QTRAI2]])</f>
        <v>0</v>
      </c>
      <c r="S240" s="523" t="str">
        <f>IF(AND($R240&gt;0,données_step[[#This Row],[E_DCO]]&gt;0),données_step[[#This Row],[E_DCO]],"")</f>
        <v/>
      </c>
      <c r="T240" s="523" t="str">
        <f>IF(S240="","",(1-données_step[[#This Row],[E_DCO]]/$V$7)*100)</f>
        <v/>
      </c>
      <c r="U240" s="523" t="str">
        <f t="shared" si="50"/>
        <v/>
      </c>
      <c r="V240" s="523" t="str">
        <f t="shared" si="51"/>
        <v/>
      </c>
      <c r="W240" s="523" t="str">
        <f t="shared" si="52"/>
        <v/>
      </c>
      <c r="X240" s="523" t="e">
        <f>IF(((100-100/$V$7*données_step[[#This Row],[E_DCO]])/100*QTS)&lt;0,NA(),IF(OR(U240&lt;0,U240=""),NA(),((100-100/$V$7*données_step[[#This Row],[E_DCO]])/100*QTS)))</f>
        <v>#NUM!</v>
      </c>
      <c r="Y240" s="523" t="str">
        <f>IF(AND($R240&gt;0,données_step[[#This Row],[E_COT]]&gt;0),données_step[[#This Row],[E_COT]],"")</f>
        <v/>
      </c>
      <c r="Z240" s="523" t="str">
        <f>IF(Y240="","",(1-données_step[[#This Row],[E_COT]]/$AB$7)*100)</f>
        <v/>
      </c>
      <c r="AA240" s="523" t="str">
        <f t="shared" si="53"/>
        <v/>
      </c>
      <c r="AB240" s="523" t="str">
        <f t="shared" si="54"/>
        <v/>
      </c>
      <c r="AC240" s="523" t="str">
        <f t="shared" si="55"/>
        <v/>
      </c>
      <c r="AD240" s="523" t="e">
        <f>IF(((100-100/$AB$7*données_step[[#This Row],[E_COT]])/100*QTS)&lt;0,NA(),IF(OR(AA240&lt;0,AA240=""),NA(),((100-100/$AB$7*données_step[[#This Row],[E_COT]])/100*QTS)))</f>
        <v>#NUM!</v>
      </c>
      <c r="AE240" s="523" t="str">
        <f>IF(AND($R240&gt;0,données_step[[#This Row],[E_NH4]]&gt;0),données_step[[#This Row],[E_NH4]],"")</f>
        <v/>
      </c>
      <c r="AF240" s="523" t="str">
        <f>IF(AE240="","",(1-données_step[[#This Row],[E_NH4]]/$AH$7)*100)</f>
        <v/>
      </c>
      <c r="AG240" s="523" t="str">
        <f t="shared" si="56"/>
        <v/>
      </c>
      <c r="AH240" s="523" t="str">
        <f t="shared" si="57"/>
        <v/>
      </c>
      <c r="AI240" s="523" t="str">
        <f t="shared" si="58"/>
        <v/>
      </c>
      <c r="AJ240" s="523" t="e">
        <f>IF(((100-100/$AH$7*données_step[[#This Row],[E_NH4]])/100*QTS)&lt;0,NA(),IF(OR(AG240&lt;0,AG240=""),NA(),((100-100/$AH$7*données_step[[#This Row],[E_NH4]])/100*QTS)))</f>
        <v>#NUM!</v>
      </c>
      <c r="AK240" s="523" t="str">
        <f>IF(AND($R240&gt;0,données_step[[#This Row],[E_PTOT]]&gt;0),données_step[[#This Row],[E_PTOT]],"")</f>
        <v/>
      </c>
      <c r="AL240" s="523" t="str">
        <f>IF(AK240="","",(1-données_step[[#This Row],[E_PTOT]]/$AN$7)*100)</f>
        <v/>
      </c>
      <c r="AM240" s="523" t="str">
        <f t="shared" si="59"/>
        <v/>
      </c>
      <c r="AN240" s="523" t="str">
        <f t="shared" si="60"/>
        <v/>
      </c>
      <c r="AO240" s="523" t="str">
        <f t="shared" si="61"/>
        <v/>
      </c>
      <c r="AP240" s="523" t="e">
        <f>IF(((100-100/$AN$7*données_step[[#This Row],[E_PTOT]])/100*QTS)&lt;0,NA(),IF(OR(AM240&lt;0,AM240=""),NA(),((100-100/$AN$7*données_step[[#This Row],[E_PTOT]])/100*QTS)))</f>
        <v>#NUM!</v>
      </c>
      <c r="AQ240" s="524" t="e">
        <f t="shared" si="62"/>
        <v>#NUM!</v>
      </c>
      <c r="AR240" s="524" t="str">
        <f t="shared" si="63"/>
        <v/>
      </c>
      <c r="AY240" s="523" t="str">
        <f>_xlfn.IFNA(IF(données_step[[#This Row],[E_DCO]]&lt;=0,NA(),charge_entree[[#This Row],[ch_E_DCO]]/constanten!$B$8*1000),"")</f>
        <v/>
      </c>
      <c r="AZ240" s="523" t="str">
        <f>_xlfn.IFNA(IF(données_step[[#This Row],[E_NTOT]]&lt;=0,NA(),charge_entree[[#This Row],[ch_E_NTOT]]/constanten!$B$10*1000),"")</f>
        <v/>
      </c>
      <c r="BA240" s="523" t="str">
        <f>_xlfn.IFNA(IF(données_step[[#This Row],[E_NH4]]&lt;=0,NA(),charge_entree[[#This Row],[ch_E_NH4]]/constanten!$B$12*1000),"")</f>
        <v/>
      </c>
      <c r="BB240" s="523" t="str">
        <f>_xlfn.IFNA(IF(données_step[[#This Row],[E_COT]]&lt;=0,NA(),charge_entree[[#This Row],[ch_E_COT]]/constanten!$B$9*1000),"")</f>
        <v/>
      </c>
      <c r="BC240" s="523" t="str">
        <f>IFERROR(_xlfn.IFNA(IF(données_step[[#This Row],[E_PTOT]]&lt;=0,NA(),charge_entree[[#This Row],[ch_E_PTOT]]/constanten!$B$15*1000),""),"")</f>
        <v/>
      </c>
      <c r="BD240" s="535" t="e">
        <f>calculs!E240 * (1-0.4) / (données_step[[#This Row],[X_BA_VOL]]*données_step[[#This Row],[X_BACONC]])</f>
        <v>#VALUE!</v>
      </c>
      <c r="BE240" s="522" t="e">
        <f>(données_step[[#This Row],[X_BA_VOL]]*données_step[[#This Row],[X_BACONC]])/((données_step[[#This Row],[D_QTRAI2]]*données_step[[#This Row],[S_MES]]/1000)+(données_step[[#This Row],[X_BX_Q]]*données_step[[#This Row],[X_BXCONC]]))</f>
        <v>#VALUE!</v>
      </c>
      <c r="BF240" s="890" t="str">
        <f>IFERROR(données_step[[#This Row],[D_QTRAI]]/AY240*1000,"")</f>
        <v/>
      </c>
      <c r="BG240" s="535" t="str">
        <f>IFERROR(1-données_step[[#This Row],[S_DBO5]]/données_step[[#This Row],[E_DBO5]],"")</f>
        <v/>
      </c>
      <c r="BH240" s="536" t="str">
        <f>IFERROR(1-données_step[[#This Row],[S_DCO]]/données_step[[#This Row],[E_DCO]],"")</f>
        <v/>
      </c>
      <c r="BI240" s="535" t="str">
        <f>IFERROR(1-données_step[[#This Row],[S_COD]]/données_step[[#This Row],[E_COT]],"")</f>
        <v/>
      </c>
      <c r="BJ240" s="535" t="str">
        <f>IFERROR(1-données_step[[#This Row],[S_NH4]]/données_step[[#This Row],[E_NTOT]],"")</f>
        <v/>
      </c>
      <c r="BK240" s="535" t="str">
        <f>IFERROR(1-données_step[[#This Row],[S_PTOT]]/données_step[[#This Row],[E_PTOT]],"")</f>
        <v/>
      </c>
      <c r="BL240" s="521" t="str">
        <f>IFERROR(IF(données_step[[#This Row],[E_DCO]]/données_step[[#This Row],[E_DBO5]]=0,NA(),données_step[[#This Row],[E_DCO]]/données_step[[#This Row],[E_DBO5]]),"")</f>
        <v/>
      </c>
      <c r="BM240" s="521" t="str">
        <f>IFERROR(IF(données_step[[#This Row],[E_NH4]]/données_step[[#This Row],[E_NTOT]]=0,NA(),données_step[[#This Row],[E_NH4]]/données_step[[#This Row],[E_NTOT]]),"")</f>
        <v/>
      </c>
      <c r="BN240" s="521" t="str">
        <f>IFERROR(IF(données_step[[#This Row],[E_NTOT]]/données_step[[#This Row],[E_COT]]=0,NA(),données_step[[#This Row],[E_NTOT]]/données_step[[#This Row],[E_COT]]),"")</f>
        <v/>
      </c>
      <c r="BO240" s="521" t="str">
        <f>IFERROR(IF(données_step[[#This Row],[E_PTOT]]/données_step[[#This Row],[E_COT]]=0,NA(),données_step[[#This Row],[E_PTOT]]/données_step[[#This Row],[E_COT]]),"")</f>
        <v/>
      </c>
      <c r="BP240" s="521" t="e">
        <f>IF(données_step[[#This Row],[E_DCO]]/données_step[[#This Row],[E_COT]]=0,NA(),données_step[[#This Row],[E_DCO]]/données_step[[#This Row],[E_COT]])</f>
        <v>#DIV/0!</v>
      </c>
      <c r="BQ240" s="521" t="e">
        <f>IF(données_step[[#This Row],[E_NTOT]]/données_step[[#This Row],[E_DCO]]=0,NA(),données_step[[#This Row],[E_NTOT]]/données_step[[#This Row],[E_DCO]])</f>
        <v>#DIV/0!</v>
      </c>
      <c r="BR240" s="521" t="e">
        <f>IF(données_step[[#This Row],[E_PTOT]]/données_step[[#This Row],[E_DCO]]=0,NA(),données_step[[#This Row],[E_PTOT]]/données_step[[#This Row],[E_DCO]])</f>
        <v>#DIV/0!</v>
      </c>
      <c r="BS240" s="747" t="e">
        <f ca="1">test_NH4_temp(données_step[[#This Row],[S_NH4]],données_step[[#This Row],[Temp_eaux]])</f>
        <v>#NAME?</v>
      </c>
    </row>
    <row r="241" spans="1:71" x14ac:dyDescent="0.2">
      <c r="A241" s="222">
        <f>données_step[[#This Row],[Datum]]</f>
        <v>44792</v>
      </c>
      <c r="B241" s="223"/>
      <c r="C241" s="224">
        <f t="shared" si="64"/>
        <v>6</v>
      </c>
      <c r="D241" s="523" t="str">
        <f>IF(OR(données_step[[#This Row],[E_DBO5]]&lt;=0,données_step[[#This Row],[E_DBO5]]=""),"",données_step[[#This Row],[D_QTRAI]]*données_step[[#This Row],[E_DBO5]]/1000)</f>
        <v/>
      </c>
      <c r="E241" s="523" t="str">
        <f>IF(OR(données_step[[#This Row],[E_DCO]]&lt;=0,données_step[[#This Row],[E_DCO]]=""),"",données_step[[#This Row],[D_QTRAI]]*données_step[[#This Row],[E_DCO]]/1000)</f>
        <v/>
      </c>
      <c r="F241" s="523" t="str">
        <f>IF(OR(données_step[[#This Row],[E_COT]]&lt;=0,données_step[[#This Row],[E_COT]]=""),"",données_step[[#This Row],[D_QTRAI]]*données_step[[#This Row],[E_COT]]/1000)</f>
        <v/>
      </c>
      <c r="G241" s="523" t="str">
        <f>IF(OR(données_step[[#This Row],[E_NH4]]&lt;=0,données_step[[#This Row],[E_NH4]]=""),"",données_step[[#This Row],[D_QTRAI]]*données_step[[#This Row],[E_NH4]]/1000)</f>
        <v/>
      </c>
      <c r="H241" s="523" t="str">
        <f>IF(OR(données_step[[#This Row],[E_NTOT]]&lt;=0,données_step[[#This Row],[E_NTOT]]=""),"",données_step[[#This Row],[D_QTRAI]]*données_step[[#This Row],[E_NTOT]]/1000)</f>
        <v/>
      </c>
      <c r="I241" s="523" t="str">
        <f>IF(OR(données_step[[#This Row],[E_NTOT]]&lt;=0,données_step[[#This Row],[E_NTOT]]=""),"",données_step[[#This Row],[D_QTRAI]]*données_step[[#This Row],[E_PTOT]]/1000)</f>
        <v/>
      </c>
      <c r="J241" s="523" t="str">
        <f>IF(OR(données_step[[#This Row],[S_DBO5]]&lt;=0,données_step[[#This Row],[S_DBO5]]=""),"",données_step[[#This Row],[D_QTRAI]]*données_step[[#This Row],[S_DBO5]]/1000)</f>
        <v/>
      </c>
      <c r="K241" s="523" t="str">
        <f>IF(OR(données_step[[#This Row],[S_DCO]]&lt;=0,données_step[[#This Row],[S_DCO]]=""),"",données_step[[#This Row],[D_QTRAI]]*données_step[[#This Row],[S_DCO]]/1000)</f>
        <v/>
      </c>
      <c r="L241" s="523" t="str">
        <f>IF(OR(données_step[[#This Row],[S_COD]]&lt;=0,données_step[[#This Row],[S_COD]]=""),"",données_step[[#This Row],[D_QTRAI]]*données_step[[#This Row],[S_COD]]/1000)</f>
        <v/>
      </c>
      <c r="M241" s="523" t="str">
        <f>IF(OR(données_step[[#This Row],[S_NH4]]&lt;=0,données_step[[#This Row],[S_NH4]]=""),"",données_step[[#This Row],[D_QTRAI]]*données_step[[#This Row],[S_NH4]]/1000)</f>
        <v/>
      </c>
      <c r="N241" s="523" t="str">
        <f>IF(OR(données_step[[#This Row],[S_NO2]]&lt;=0,données_step[[#This Row],[S_NO2]]=""),"",données_step[[#This Row],[D_QTRAI]]*données_step[[#This Row],[S_NO2]]/1000)</f>
        <v/>
      </c>
      <c r="O241" s="523" t="str">
        <f>IF(OR(données_step[[#This Row],[S_NO3]]&lt;=0,données_step[[#This Row],[S_NO3]]=""),"",données_step[[#This Row],[D_QTRAI]]*données_step[[#This Row],[S_NO3]]/1000)</f>
        <v/>
      </c>
      <c r="P241" s="523" t="str">
        <f>IF(OR(données_step[[#This Row],[S_PTOT]]&lt;=0,données_step[[#This Row],[S_PTOT]]=""),"",données_step[[#This Row],[D_QTRAI]]*données_step[[#This Row],[S_PTOT]]/1000)</f>
        <v/>
      </c>
      <c r="Q241" s="523" t="str">
        <f>IF(OR(données_step[[#This Row],[S_MES]]&lt;=0,données_step[[#This Row],[S_MES]]=""),"",données_step[[#This Row],[D_QTRAI]]*données_step[[#This Row],[S_MES]]/1000)</f>
        <v/>
      </c>
      <c r="R241" s="523">
        <f>MAX(données_step[[#This Row],[D_QTRAI]],données_step[[#This Row],[D_QTRAI2]])</f>
        <v>0</v>
      </c>
      <c r="S241" s="523" t="str">
        <f>IF(AND($R241&gt;0,données_step[[#This Row],[E_DCO]]&gt;0),données_step[[#This Row],[E_DCO]],"")</f>
        <v/>
      </c>
      <c r="T241" s="523" t="str">
        <f>IF(S241="","",(1-données_step[[#This Row],[E_DCO]]/$V$7)*100)</f>
        <v/>
      </c>
      <c r="U241" s="523" t="str">
        <f t="shared" si="50"/>
        <v/>
      </c>
      <c r="V241" s="523" t="str">
        <f t="shared" si="51"/>
        <v/>
      </c>
      <c r="W241" s="523" t="str">
        <f t="shared" si="52"/>
        <v/>
      </c>
      <c r="X241" s="523" t="e">
        <f>IF(((100-100/$V$7*données_step[[#This Row],[E_DCO]])/100*QTS)&lt;0,NA(),IF(OR(U241&lt;0,U241=""),NA(),((100-100/$V$7*données_step[[#This Row],[E_DCO]])/100*QTS)))</f>
        <v>#NUM!</v>
      </c>
      <c r="Y241" s="523" t="str">
        <f>IF(AND($R241&gt;0,données_step[[#This Row],[E_COT]]&gt;0),données_step[[#This Row],[E_COT]],"")</f>
        <v/>
      </c>
      <c r="Z241" s="523" t="str">
        <f>IF(Y241="","",(1-données_step[[#This Row],[E_COT]]/$AB$7)*100)</f>
        <v/>
      </c>
      <c r="AA241" s="523" t="str">
        <f t="shared" si="53"/>
        <v/>
      </c>
      <c r="AB241" s="523" t="str">
        <f t="shared" si="54"/>
        <v/>
      </c>
      <c r="AC241" s="523" t="str">
        <f t="shared" si="55"/>
        <v/>
      </c>
      <c r="AD241" s="523" t="e">
        <f>IF(((100-100/$AB$7*données_step[[#This Row],[E_COT]])/100*QTS)&lt;0,NA(),IF(OR(AA241&lt;0,AA241=""),NA(),((100-100/$AB$7*données_step[[#This Row],[E_COT]])/100*QTS)))</f>
        <v>#NUM!</v>
      </c>
      <c r="AE241" s="523" t="str">
        <f>IF(AND($R241&gt;0,données_step[[#This Row],[E_NH4]]&gt;0),données_step[[#This Row],[E_NH4]],"")</f>
        <v/>
      </c>
      <c r="AF241" s="523" t="str">
        <f>IF(AE241="","",(1-données_step[[#This Row],[E_NH4]]/$AH$7)*100)</f>
        <v/>
      </c>
      <c r="AG241" s="523" t="str">
        <f t="shared" si="56"/>
        <v/>
      </c>
      <c r="AH241" s="523" t="str">
        <f t="shared" si="57"/>
        <v/>
      </c>
      <c r="AI241" s="523" t="str">
        <f t="shared" si="58"/>
        <v/>
      </c>
      <c r="AJ241" s="523" t="e">
        <f>IF(((100-100/$AH$7*données_step[[#This Row],[E_NH4]])/100*QTS)&lt;0,NA(),IF(OR(AG241&lt;0,AG241=""),NA(),((100-100/$AH$7*données_step[[#This Row],[E_NH4]])/100*QTS)))</f>
        <v>#NUM!</v>
      </c>
      <c r="AK241" s="523" t="str">
        <f>IF(AND($R241&gt;0,données_step[[#This Row],[E_PTOT]]&gt;0),données_step[[#This Row],[E_PTOT]],"")</f>
        <v/>
      </c>
      <c r="AL241" s="523" t="str">
        <f>IF(AK241="","",(1-données_step[[#This Row],[E_PTOT]]/$AN$7)*100)</f>
        <v/>
      </c>
      <c r="AM241" s="523" t="str">
        <f t="shared" si="59"/>
        <v/>
      </c>
      <c r="AN241" s="523" t="str">
        <f t="shared" si="60"/>
        <v/>
      </c>
      <c r="AO241" s="523" t="str">
        <f t="shared" si="61"/>
        <v/>
      </c>
      <c r="AP241" s="523" t="e">
        <f>IF(((100-100/$AN$7*données_step[[#This Row],[E_PTOT]])/100*QTS)&lt;0,NA(),IF(OR(AM241&lt;0,AM241=""),NA(),((100-100/$AN$7*données_step[[#This Row],[E_PTOT]])/100*QTS)))</f>
        <v>#NUM!</v>
      </c>
      <c r="AQ241" s="524" t="e">
        <f t="shared" si="62"/>
        <v>#NUM!</v>
      </c>
      <c r="AR241" s="524" t="str">
        <f t="shared" si="63"/>
        <v/>
      </c>
      <c r="AY241" s="523" t="str">
        <f>_xlfn.IFNA(IF(données_step[[#This Row],[E_DCO]]&lt;=0,NA(),charge_entree[[#This Row],[ch_E_DCO]]/constanten!$B$8*1000),"")</f>
        <v/>
      </c>
      <c r="AZ241" s="523" t="str">
        <f>_xlfn.IFNA(IF(données_step[[#This Row],[E_NTOT]]&lt;=0,NA(),charge_entree[[#This Row],[ch_E_NTOT]]/constanten!$B$10*1000),"")</f>
        <v/>
      </c>
      <c r="BA241" s="523" t="str">
        <f>_xlfn.IFNA(IF(données_step[[#This Row],[E_NH4]]&lt;=0,NA(),charge_entree[[#This Row],[ch_E_NH4]]/constanten!$B$12*1000),"")</f>
        <v/>
      </c>
      <c r="BB241" s="523" t="str">
        <f>_xlfn.IFNA(IF(données_step[[#This Row],[E_COT]]&lt;=0,NA(),charge_entree[[#This Row],[ch_E_COT]]/constanten!$B$9*1000),"")</f>
        <v/>
      </c>
      <c r="BC241" s="523" t="str">
        <f>IFERROR(_xlfn.IFNA(IF(données_step[[#This Row],[E_PTOT]]&lt;=0,NA(),charge_entree[[#This Row],[ch_E_PTOT]]/constanten!$B$15*1000),""),"")</f>
        <v/>
      </c>
      <c r="BD241" s="535" t="e">
        <f>calculs!E241 * (1-0.4) / (données_step[[#This Row],[X_BA_VOL]]*données_step[[#This Row],[X_BACONC]])</f>
        <v>#VALUE!</v>
      </c>
      <c r="BE241" s="522" t="e">
        <f>(données_step[[#This Row],[X_BA_VOL]]*données_step[[#This Row],[X_BACONC]])/((données_step[[#This Row],[D_QTRAI2]]*données_step[[#This Row],[S_MES]]/1000)+(données_step[[#This Row],[X_BX_Q]]*données_step[[#This Row],[X_BXCONC]]))</f>
        <v>#VALUE!</v>
      </c>
      <c r="BF241" s="890" t="str">
        <f>IFERROR(données_step[[#This Row],[D_QTRAI]]/AY241*1000,"")</f>
        <v/>
      </c>
      <c r="BG241" s="535" t="str">
        <f>IFERROR(1-données_step[[#This Row],[S_DBO5]]/données_step[[#This Row],[E_DBO5]],"")</f>
        <v/>
      </c>
      <c r="BH241" s="536" t="str">
        <f>IFERROR(1-données_step[[#This Row],[S_DCO]]/données_step[[#This Row],[E_DCO]],"")</f>
        <v/>
      </c>
      <c r="BI241" s="535" t="str">
        <f>IFERROR(1-données_step[[#This Row],[S_COD]]/données_step[[#This Row],[E_COT]],"")</f>
        <v/>
      </c>
      <c r="BJ241" s="535" t="str">
        <f>IFERROR(1-données_step[[#This Row],[S_NH4]]/données_step[[#This Row],[E_NTOT]],"")</f>
        <v/>
      </c>
      <c r="BK241" s="535" t="str">
        <f>IFERROR(1-données_step[[#This Row],[S_PTOT]]/données_step[[#This Row],[E_PTOT]],"")</f>
        <v/>
      </c>
      <c r="BL241" s="521" t="str">
        <f>IFERROR(IF(données_step[[#This Row],[E_DCO]]/données_step[[#This Row],[E_DBO5]]=0,NA(),données_step[[#This Row],[E_DCO]]/données_step[[#This Row],[E_DBO5]]),"")</f>
        <v/>
      </c>
      <c r="BM241" s="521" t="str">
        <f>IFERROR(IF(données_step[[#This Row],[E_NH4]]/données_step[[#This Row],[E_NTOT]]=0,NA(),données_step[[#This Row],[E_NH4]]/données_step[[#This Row],[E_NTOT]]),"")</f>
        <v/>
      </c>
      <c r="BN241" s="521" t="str">
        <f>IFERROR(IF(données_step[[#This Row],[E_NTOT]]/données_step[[#This Row],[E_COT]]=0,NA(),données_step[[#This Row],[E_NTOT]]/données_step[[#This Row],[E_COT]]),"")</f>
        <v/>
      </c>
      <c r="BO241" s="521" t="str">
        <f>IFERROR(IF(données_step[[#This Row],[E_PTOT]]/données_step[[#This Row],[E_COT]]=0,NA(),données_step[[#This Row],[E_PTOT]]/données_step[[#This Row],[E_COT]]),"")</f>
        <v/>
      </c>
      <c r="BP241" s="521" t="e">
        <f>IF(données_step[[#This Row],[E_DCO]]/données_step[[#This Row],[E_COT]]=0,NA(),données_step[[#This Row],[E_DCO]]/données_step[[#This Row],[E_COT]])</f>
        <v>#DIV/0!</v>
      </c>
      <c r="BQ241" s="521" t="e">
        <f>IF(données_step[[#This Row],[E_NTOT]]/données_step[[#This Row],[E_DCO]]=0,NA(),données_step[[#This Row],[E_NTOT]]/données_step[[#This Row],[E_DCO]])</f>
        <v>#DIV/0!</v>
      </c>
      <c r="BR241" s="521" t="e">
        <f>IF(données_step[[#This Row],[E_PTOT]]/données_step[[#This Row],[E_DCO]]=0,NA(),données_step[[#This Row],[E_PTOT]]/données_step[[#This Row],[E_DCO]])</f>
        <v>#DIV/0!</v>
      </c>
      <c r="BS241" s="747" t="e">
        <f ca="1">test_NH4_temp(données_step[[#This Row],[S_NH4]],données_step[[#This Row],[Temp_eaux]])</f>
        <v>#NAME?</v>
      </c>
    </row>
    <row r="242" spans="1:71" x14ac:dyDescent="0.2">
      <c r="A242" s="222">
        <f>données_step[[#This Row],[Datum]]</f>
        <v>44793</v>
      </c>
      <c r="B242" s="223"/>
      <c r="C242" s="224">
        <f t="shared" si="64"/>
        <v>7</v>
      </c>
      <c r="D242" s="523" t="str">
        <f>IF(OR(données_step[[#This Row],[E_DBO5]]&lt;=0,données_step[[#This Row],[E_DBO5]]=""),"",données_step[[#This Row],[D_QTRAI]]*données_step[[#This Row],[E_DBO5]]/1000)</f>
        <v/>
      </c>
      <c r="E242" s="523" t="str">
        <f>IF(OR(données_step[[#This Row],[E_DCO]]&lt;=0,données_step[[#This Row],[E_DCO]]=""),"",données_step[[#This Row],[D_QTRAI]]*données_step[[#This Row],[E_DCO]]/1000)</f>
        <v/>
      </c>
      <c r="F242" s="523" t="str">
        <f>IF(OR(données_step[[#This Row],[E_COT]]&lt;=0,données_step[[#This Row],[E_COT]]=""),"",données_step[[#This Row],[D_QTRAI]]*données_step[[#This Row],[E_COT]]/1000)</f>
        <v/>
      </c>
      <c r="G242" s="523" t="str">
        <f>IF(OR(données_step[[#This Row],[E_NH4]]&lt;=0,données_step[[#This Row],[E_NH4]]=""),"",données_step[[#This Row],[D_QTRAI]]*données_step[[#This Row],[E_NH4]]/1000)</f>
        <v/>
      </c>
      <c r="H242" s="523" t="str">
        <f>IF(OR(données_step[[#This Row],[E_NTOT]]&lt;=0,données_step[[#This Row],[E_NTOT]]=""),"",données_step[[#This Row],[D_QTRAI]]*données_step[[#This Row],[E_NTOT]]/1000)</f>
        <v/>
      </c>
      <c r="I242" s="523" t="str">
        <f>IF(OR(données_step[[#This Row],[E_NTOT]]&lt;=0,données_step[[#This Row],[E_NTOT]]=""),"",données_step[[#This Row],[D_QTRAI]]*données_step[[#This Row],[E_PTOT]]/1000)</f>
        <v/>
      </c>
      <c r="J242" s="523" t="str">
        <f>IF(OR(données_step[[#This Row],[S_DBO5]]&lt;=0,données_step[[#This Row],[S_DBO5]]=""),"",données_step[[#This Row],[D_QTRAI]]*données_step[[#This Row],[S_DBO5]]/1000)</f>
        <v/>
      </c>
      <c r="K242" s="523" t="str">
        <f>IF(OR(données_step[[#This Row],[S_DCO]]&lt;=0,données_step[[#This Row],[S_DCO]]=""),"",données_step[[#This Row],[D_QTRAI]]*données_step[[#This Row],[S_DCO]]/1000)</f>
        <v/>
      </c>
      <c r="L242" s="523" t="str">
        <f>IF(OR(données_step[[#This Row],[S_COD]]&lt;=0,données_step[[#This Row],[S_COD]]=""),"",données_step[[#This Row],[D_QTRAI]]*données_step[[#This Row],[S_COD]]/1000)</f>
        <v/>
      </c>
      <c r="M242" s="523" t="str">
        <f>IF(OR(données_step[[#This Row],[S_NH4]]&lt;=0,données_step[[#This Row],[S_NH4]]=""),"",données_step[[#This Row],[D_QTRAI]]*données_step[[#This Row],[S_NH4]]/1000)</f>
        <v/>
      </c>
      <c r="N242" s="523" t="str">
        <f>IF(OR(données_step[[#This Row],[S_NO2]]&lt;=0,données_step[[#This Row],[S_NO2]]=""),"",données_step[[#This Row],[D_QTRAI]]*données_step[[#This Row],[S_NO2]]/1000)</f>
        <v/>
      </c>
      <c r="O242" s="523" t="str">
        <f>IF(OR(données_step[[#This Row],[S_NO3]]&lt;=0,données_step[[#This Row],[S_NO3]]=""),"",données_step[[#This Row],[D_QTRAI]]*données_step[[#This Row],[S_NO3]]/1000)</f>
        <v/>
      </c>
      <c r="P242" s="523" t="str">
        <f>IF(OR(données_step[[#This Row],[S_PTOT]]&lt;=0,données_step[[#This Row],[S_PTOT]]=""),"",données_step[[#This Row],[D_QTRAI]]*données_step[[#This Row],[S_PTOT]]/1000)</f>
        <v/>
      </c>
      <c r="Q242" s="523" t="str">
        <f>IF(OR(données_step[[#This Row],[S_MES]]&lt;=0,données_step[[#This Row],[S_MES]]=""),"",données_step[[#This Row],[D_QTRAI]]*données_step[[#This Row],[S_MES]]/1000)</f>
        <v/>
      </c>
      <c r="R242" s="523">
        <f>MAX(données_step[[#This Row],[D_QTRAI]],données_step[[#This Row],[D_QTRAI2]])</f>
        <v>0</v>
      </c>
      <c r="S242" s="523" t="str">
        <f>IF(AND($R242&gt;0,données_step[[#This Row],[E_DCO]]&gt;0),données_step[[#This Row],[E_DCO]],"")</f>
        <v/>
      </c>
      <c r="T242" s="523" t="str">
        <f>IF(S242="","",(1-données_step[[#This Row],[E_DCO]]/$V$7)*100)</f>
        <v/>
      </c>
      <c r="U242" s="523" t="str">
        <f t="shared" si="50"/>
        <v/>
      </c>
      <c r="V242" s="523" t="str">
        <f t="shared" si="51"/>
        <v/>
      </c>
      <c r="W242" s="523" t="str">
        <f t="shared" si="52"/>
        <v/>
      </c>
      <c r="X242" s="523" t="e">
        <f>IF(((100-100/$V$7*données_step[[#This Row],[E_DCO]])/100*QTS)&lt;0,NA(),IF(OR(U242&lt;0,U242=""),NA(),((100-100/$V$7*données_step[[#This Row],[E_DCO]])/100*QTS)))</f>
        <v>#NUM!</v>
      </c>
      <c r="Y242" s="523" t="str">
        <f>IF(AND($R242&gt;0,données_step[[#This Row],[E_COT]]&gt;0),données_step[[#This Row],[E_COT]],"")</f>
        <v/>
      </c>
      <c r="Z242" s="523" t="str">
        <f>IF(Y242="","",(1-données_step[[#This Row],[E_COT]]/$AB$7)*100)</f>
        <v/>
      </c>
      <c r="AA242" s="523" t="str">
        <f t="shared" si="53"/>
        <v/>
      </c>
      <c r="AB242" s="523" t="str">
        <f t="shared" si="54"/>
        <v/>
      </c>
      <c r="AC242" s="523" t="str">
        <f t="shared" si="55"/>
        <v/>
      </c>
      <c r="AD242" s="523" t="e">
        <f>IF(((100-100/$AB$7*données_step[[#This Row],[E_COT]])/100*QTS)&lt;0,NA(),IF(OR(AA242&lt;0,AA242=""),NA(),((100-100/$AB$7*données_step[[#This Row],[E_COT]])/100*QTS)))</f>
        <v>#NUM!</v>
      </c>
      <c r="AE242" s="523" t="str">
        <f>IF(AND($R242&gt;0,données_step[[#This Row],[E_NH4]]&gt;0),données_step[[#This Row],[E_NH4]],"")</f>
        <v/>
      </c>
      <c r="AF242" s="523" t="str">
        <f>IF(AE242="","",(1-données_step[[#This Row],[E_NH4]]/$AH$7)*100)</f>
        <v/>
      </c>
      <c r="AG242" s="523" t="str">
        <f t="shared" si="56"/>
        <v/>
      </c>
      <c r="AH242" s="523" t="str">
        <f t="shared" si="57"/>
        <v/>
      </c>
      <c r="AI242" s="523" t="str">
        <f t="shared" si="58"/>
        <v/>
      </c>
      <c r="AJ242" s="523" t="e">
        <f>IF(((100-100/$AH$7*données_step[[#This Row],[E_NH4]])/100*QTS)&lt;0,NA(),IF(OR(AG242&lt;0,AG242=""),NA(),((100-100/$AH$7*données_step[[#This Row],[E_NH4]])/100*QTS)))</f>
        <v>#NUM!</v>
      </c>
      <c r="AK242" s="523" t="str">
        <f>IF(AND($R242&gt;0,données_step[[#This Row],[E_PTOT]]&gt;0),données_step[[#This Row],[E_PTOT]],"")</f>
        <v/>
      </c>
      <c r="AL242" s="523" t="str">
        <f>IF(AK242="","",(1-données_step[[#This Row],[E_PTOT]]/$AN$7)*100)</f>
        <v/>
      </c>
      <c r="AM242" s="523" t="str">
        <f t="shared" si="59"/>
        <v/>
      </c>
      <c r="AN242" s="523" t="str">
        <f t="shared" si="60"/>
        <v/>
      </c>
      <c r="AO242" s="523" t="str">
        <f t="shared" si="61"/>
        <v/>
      </c>
      <c r="AP242" s="523" t="e">
        <f>IF(((100-100/$AN$7*données_step[[#This Row],[E_PTOT]])/100*QTS)&lt;0,NA(),IF(OR(AM242&lt;0,AM242=""),NA(),((100-100/$AN$7*données_step[[#This Row],[E_PTOT]])/100*QTS)))</f>
        <v>#NUM!</v>
      </c>
      <c r="AQ242" s="524" t="e">
        <f t="shared" si="62"/>
        <v>#NUM!</v>
      </c>
      <c r="AR242" s="524" t="str">
        <f t="shared" si="63"/>
        <v/>
      </c>
      <c r="AY242" s="523" t="str">
        <f>_xlfn.IFNA(IF(données_step[[#This Row],[E_DCO]]&lt;=0,NA(),charge_entree[[#This Row],[ch_E_DCO]]/constanten!$B$8*1000),"")</f>
        <v/>
      </c>
      <c r="AZ242" s="523" t="str">
        <f>_xlfn.IFNA(IF(données_step[[#This Row],[E_NTOT]]&lt;=0,NA(),charge_entree[[#This Row],[ch_E_NTOT]]/constanten!$B$10*1000),"")</f>
        <v/>
      </c>
      <c r="BA242" s="523" t="str">
        <f>_xlfn.IFNA(IF(données_step[[#This Row],[E_NH4]]&lt;=0,NA(),charge_entree[[#This Row],[ch_E_NH4]]/constanten!$B$12*1000),"")</f>
        <v/>
      </c>
      <c r="BB242" s="523" t="str">
        <f>_xlfn.IFNA(IF(données_step[[#This Row],[E_COT]]&lt;=0,NA(),charge_entree[[#This Row],[ch_E_COT]]/constanten!$B$9*1000),"")</f>
        <v/>
      </c>
      <c r="BC242" s="523" t="str">
        <f>IFERROR(_xlfn.IFNA(IF(données_step[[#This Row],[E_PTOT]]&lt;=0,NA(),charge_entree[[#This Row],[ch_E_PTOT]]/constanten!$B$15*1000),""),"")</f>
        <v/>
      </c>
      <c r="BD242" s="535" t="e">
        <f>calculs!E242 * (1-0.4) / (données_step[[#This Row],[X_BA_VOL]]*données_step[[#This Row],[X_BACONC]])</f>
        <v>#VALUE!</v>
      </c>
      <c r="BE242" s="522" t="e">
        <f>(données_step[[#This Row],[X_BA_VOL]]*données_step[[#This Row],[X_BACONC]])/((données_step[[#This Row],[D_QTRAI2]]*données_step[[#This Row],[S_MES]]/1000)+(données_step[[#This Row],[X_BX_Q]]*données_step[[#This Row],[X_BXCONC]]))</f>
        <v>#VALUE!</v>
      </c>
      <c r="BF242" s="890" t="str">
        <f>IFERROR(données_step[[#This Row],[D_QTRAI]]/AY242*1000,"")</f>
        <v/>
      </c>
      <c r="BG242" s="535" t="str">
        <f>IFERROR(1-données_step[[#This Row],[S_DBO5]]/données_step[[#This Row],[E_DBO5]],"")</f>
        <v/>
      </c>
      <c r="BH242" s="536" t="str">
        <f>IFERROR(1-données_step[[#This Row],[S_DCO]]/données_step[[#This Row],[E_DCO]],"")</f>
        <v/>
      </c>
      <c r="BI242" s="535" t="str">
        <f>IFERROR(1-données_step[[#This Row],[S_COD]]/données_step[[#This Row],[E_COT]],"")</f>
        <v/>
      </c>
      <c r="BJ242" s="535" t="str">
        <f>IFERROR(1-données_step[[#This Row],[S_NH4]]/données_step[[#This Row],[E_NTOT]],"")</f>
        <v/>
      </c>
      <c r="BK242" s="535" t="str">
        <f>IFERROR(1-données_step[[#This Row],[S_PTOT]]/données_step[[#This Row],[E_PTOT]],"")</f>
        <v/>
      </c>
      <c r="BL242" s="521" t="str">
        <f>IFERROR(IF(données_step[[#This Row],[E_DCO]]/données_step[[#This Row],[E_DBO5]]=0,NA(),données_step[[#This Row],[E_DCO]]/données_step[[#This Row],[E_DBO5]]),"")</f>
        <v/>
      </c>
      <c r="BM242" s="521" t="str">
        <f>IFERROR(IF(données_step[[#This Row],[E_NH4]]/données_step[[#This Row],[E_NTOT]]=0,NA(),données_step[[#This Row],[E_NH4]]/données_step[[#This Row],[E_NTOT]]),"")</f>
        <v/>
      </c>
      <c r="BN242" s="521" t="str">
        <f>IFERROR(IF(données_step[[#This Row],[E_NTOT]]/données_step[[#This Row],[E_COT]]=0,NA(),données_step[[#This Row],[E_NTOT]]/données_step[[#This Row],[E_COT]]),"")</f>
        <v/>
      </c>
      <c r="BO242" s="521" t="str">
        <f>IFERROR(IF(données_step[[#This Row],[E_PTOT]]/données_step[[#This Row],[E_COT]]=0,NA(),données_step[[#This Row],[E_PTOT]]/données_step[[#This Row],[E_COT]]),"")</f>
        <v/>
      </c>
      <c r="BP242" s="521" t="e">
        <f>IF(données_step[[#This Row],[E_DCO]]/données_step[[#This Row],[E_COT]]=0,NA(),données_step[[#This Row],[E_DCO]]/données_step[[#This Row],[E_COT]])</f>
        <v>#DIV/0!</v>
      </c>
      <c r="BQ242" s="521" t="e">
        <f>IF(données_step[[#This Row],[E_NTOT]]/données_step[[#This Row],[E_DCO]]=0,NA(),données_step[[#This Row],[E_NTOT]]/données_step[[#This Row],[E_DCO]])</f>
        <v>#DIV/0!</v>
      </c>
      <c r="BR242" s="521" t="e">
        <f>IF(données_step[[#This Row],[E_PTOT]]/données_step[[#This Row],[E_DCO]]=0,NA(),données_step[[#This Row],[E_PTOT]]/données_step[[#This Row],[E_DCO]])</f>
        <v>#DIV/0!</v>
      </c>
      <c r="BS242" s="747" t="e">
        <f ca="1">test_NH4_temp(données_step[[#This Row],[S_NH4]],données_step[[#This Row],[Temp_eaux]])</f>
        <v>#NAME?</v>
      </c>
    </row>
    <row r="243" spans="1:71" x14ac:dyDescent="0.2">
      <c r="A243" s="222">
        <f>données_step[[#This Row],[Datum]]</f>
        <v>44794</v>
      </c>
      <c r="B243" s="223"/>
      <c r="C243" s="224">
        <f t="shared" si="64"/>
        <v>1</v>
      </c>
      <c r="D243" s="523" t="str">
        <f>IF(OR(données_step[[#This Row],[E_DBO5]]&lt;=0,données_step[[#This Row],[E_DBO5]]=""),"",données_step[[#This Row],[D_QTRAI]]*données_step[[#This Row],[E_DBO5]]/1000)</f>
        <v/>
      </c>
      <c r="E243" s="523" t="str">
        <f>IF(OR(données_step[[#This Row],[E_DCO]]&lt;=0,données_step[[#This Row],[E_DCO]]=""),"",données_step[[#This Row],[D_QTRAI]]*données_step[[#This Row],[E_DCO]]/1000)</f>
        <v/>
      </c>
      <c r="F243" s="523" t="str">
        <f>IF(OR(données_step[[#This Row],[E_COT]]&lt;=0,données_step[[#This Row],[E_COT]]=""),"",données_step[[#This Row],[D_QTRAI]]*données_step[[#This Row],[E_COT]]/1000)</f>
        <v/>
      </c>
      <c r="G243" s="523" t="str">
        <f>IF(OR(données_step[[#This Row],[E_NH4]]&lt;=0,données_step[[#This Row],[E_NH4]]=""),"",données_step[[#This Row],[D_QTRAI]]*données_step[[#This Row],[E_NH4]]/1000)</f>
        <v/>
      </c>
      <c r="H243" s="523" t="str">
        <f>IF(OR(données_step[[#This Row],[E_NTOT]]&lt;=0,données_step[[#This Row],[E_NTOT]]=""),"",données_step[[#This Row],[D_QTRAI]]*données_step[[#This Row],[E_NTOT]]/1000)</f>
        <v/>
      </c>
      <c r="I243" s="523" t="str">
        <f>IF(OR(données_step[[#This Row],[E_NTOT]]&lt;=0,données_step[[#This Row],[E_NTOT]]=""),"",données_step[[#This Row],[D_QTRAI]]*données_step[[#This Row],[E_PTOT]]/1000)</f>
        <v/>
      </c>
      <c r="J243" s="523" t="str">
        <f>IF(OR(données_step[[#This Row],[S_DBO5]]&lt;=0,données_step[[#This Row],[S_DBO5]]=""),"",données_step[[#This Row],[D_QTRAI]]*données_step[[#This Row],[S_DBO5]]/1000)</f>
        <v/>
      </c>
      <c r="K243" s="523" t="str">
        <f>IF(OR(données_step[[#This Row],[S_DCO]]&lt;=0,données_step[[#This Row],[S_DCO]]=""),"",données_step[[#This Row],[D_QTRAI]]*données_step[[#This Row],[S_DCO]]/1000)</f>
        <v/>
      </c>
      <c r="L243" s="523" t="str">
        <f>IF(OR(données_step[[#This Row],[S_COD]]&lt;=0,données_step[[#This Row],[S_COD]]=""),"",données_step[[#This Row],[D_QTRAI]]*données_step[[#This Row],[S_COD]]/1000)</f>
        <v/>
      </c>
      <c r="M243" s="523" t="str">
        <f>IF(OR(données_step[[#This Row],[S_NH4]]&lt;=0,données_step[[#This Row],[S_NH4]]=""),"",données_step[[#This Row],[D_QTRAI]]*données_step[[#This Row],[S_NH4]]/1000)</f>
        <v/>
      </c>
      <c r="N243" s="523" t="str">
        <f>IF(OR(données_step[[#This Row],[S_NO2]]&lt;=0,données_step[[#This Row],[S_NO2]]=""),"",données_step[[#This Row],[D_QTRAI]]*données_step[[#This Row],[S_NO2]]/1000)</f>
        <v/>
      </c>
      <c r="O243" s="523" t="str">
        <f>IF(OR(données_step[[#This Row],[S_NO3]]&lt;=0,données_step[[#This Row],[S_NO3]]=""),"",données_step[[#This Row],[D_QTRAI]]*données_step[[#This Row],[S_NO3]]/1000)</f>
        <v/>
      </c>
      <c r="P243" s="523" t="str">
        <f>IF(OR(données_step[[#This Row],[S_PTOT]]&lt;=0,données_step[[#This Row],[S_PTOT]]=""),"",données_step[[#This Row],[D_QTRAI]]*données_step[[#This Row],[S_PTOT]]/1000)</f>
        <v/>
      </c>
      <c r="Q243" s="523" t="str">
        <f>IF(OR(données_step[[#This Row],[S_MES]]&lt;=0,données_step[[#This Row],[S_MES]]=""),"",données_step[[#This Row],[D_QTRAI]]*données_step[[#This Row],[S_MES]]/1000)</f>
        <v/>
      </c>
      <c r="R243" s="523">
        <f>MAX(données_step[[#This Row],[D_QTRAI]],données_step[[#This Row],[D_QTRAI2]])</f>
        <v>0</v>
      </c>
      <c r="S243" s="523" t="str">
        <f>IF(AND($R243&gt;0,données_step[[#This Row],[E_DCO]]&gt;0),données_step[[#This Row],[E_DCO]],"")</f>
        <v/>
      </c>
      <c r="T243" s="523" t="str">
        <f>IF(S243="","",(1-données_step[[#This Row],[E_DCO]]/$V$7)*100)</f>
        <v/>
      </c>
      <c r="U243" s="523" t="str">
        <f t="shared" si="50"/>
        <v/>
      </c>
      <c r="V243" s="523" t="str">
        <f t="shared" si="51"/>
        <v/>
      </c>
      <c r="W243" s="523" t="str">
        <f t="shared" si="52"/>
        <v/>
      </c>
      <c r="X243" s="523" t="e">
        <f>IF(((100-100/$V$7*données_step[[#This Row],[E_DCO]])/100*QTS)&lt;0,NA(),IF(OR(U243&lt;0,U243=""),NA(),((100-100/$V$7*données_step[[#This Row],[E_DCO]])/100*QTS)))</f>
        <v>#NUM!</v>
      </c>
      <c r="Y243" s="523" t="str">
        <f>IF(AND($R243&gt;0,données_step[[#This Row],[E_COT]]&gt;0),données_step[[#This Row],[E_COT]],"")</f>
        <v/>
      </c>
      <c r="Z243" s="523" t="str">
        <f>IF(Y243="","",(1-données_step[[#This Row],[E_COT]]/$AB$7)*100)</f>
        <v/>
      </c>
      <c r="AA243" s="523" t="str">
        <f t="shared" si="53"/>
        <v/>
      </c>
      <c r="AB243" s="523" t="str">
        <f t="shared" si="54"/>
        <v/>
      </c>
      <c r="AC243" s="523" t="str">
        <f t="shared" si="55"/>
        <v/>
      </c>
      <c r="AD243" s="523" t="e">
        <f>IF(((100-100/$AB$7*données_step[[#This Row],[E_COT]])/100*QTS)&lt;0,NA(),IF(OR(AA243&lt;0,AA243=""),NA(),((100-100/$AB$7*données_step[[#This Row],[E_COT]])/100*QTS)))</f>
        <v>#NUM!</v>
      </c>
      <c r="AE243" s="523" t="str">
        <f>IF(AND($R243&gt;0,données_step[[#This Row],[E_NH4]]&gt;0),données_step[[#This Row],[E_NH4]],"")</f>
        <v/>
      </c>
      <c r="AF243" s="523" t="str">
        <f>IF(AE243="","",(1-données_step[[#This Row],[E_NH4]]/$AH$7)*100)</f>
        <v/>
      </c>
      <c r="AG243" s="523" t="str">
        <f t="shared" si="56"/>
        <v/>
      </c>
      <c r="AH243" s="523" t="str">
        <f t="shared" si="57"/>
        <v/>
      </c>
      <c r="AI243" s="523" t="str">
        <f t="shared" si="58"/>
        <v/>
      </c>
      <c r="AJ243" s="523" t="e">
        <f>IF(((100-100/$AH$7*données_step[[#This Row],[E_NH4]])/100*QTS)&lt;0,NA(),IF(OR(AG243&lt;0,AG243=""),NA(),((100-100/$AH$7*données_step[[#This Row],[E_NH4]])/100*QTS)))</f>
        <v>#NUM!</v>
      </c>
      <c r="AK243" s="523" t="str">
        <f>IF(AND($R243&gt;0,données_step[[#This Row],[E_PTOT]]&gt;0),données_step[[#This Row],[E_PTOT]],"")</f>
        <v/>
      </c>
      <c r="AL243" s="523" t="str">
        <f>IF(AK243="","",(1-données_step[[#This Row],[E_PTOT]]/$AN$7)*100)</f>
        <v/>
      </c>
      <c r="AM243" s="523" t="str">
        <f t="shared" si="59"/>
        <v/>
      </c>
      <c r="AN243" s="523" t="str">
        <f t="shared" si="60"/>
        <v/>
      </c>
      <c r="AO243" s="523" t="str">
        <f t="shared" si="61"/>
        <v/>
      </c>
      <c r="AP243" s="523" t="e">
        <f>IF(((100-100/$AN$7*données_step[[#This Row],[E_PTOT]])/100*QTS)&lt;0,NA(),IF(OR(AM243&lt;0,AM243=""),NA(),((100-100/$AN$7*données_step[[#This Row],[E_PTOT]])/100*QTS)))</f>
        <v>#NUM!</v>
      </c>
      <c r="AQ243" s="524" t="e">
        <f t="shared" si="62"/>
        <v>#NUM!</v>
      </c>
      <c r="AR243" s="524" t="str">
        <f t="shared" si="63"/>
        <v/>
      </c>
      <c r="AY243" s="523" t="str">
        <f>_xlfn.IFNA(IF(données_step[[#This Row],[E_DCO]]&lt;=0,NA(),charge_entree[[#This Row],[ch_E_DCO]]/constanten!$B$8*1000),"")</f>
        <v/>
      </c>
      <c r="AZ243" s="523" t="str">
        <f>_xlfn.IFNA(IF(données_step[[#This Row],[E_NTOT]]&lt;=0,NA(),charge_entree[[#This Row],[ch_E_NTOT]]/constanten!$B$10*1000),"")</f>
        <v/>
      </c>
      <c r="BA243" s="523" t="str">
        <f>_xlfn.IFNA(IF(données_step[[#This Row],[E_NH4]]&lt;=0,NA(),charge_entree[[#This Row],[ch_E_NH4]]/constanten!$B$12*1000),"")</f>
        <v/>
      </c>
      <c r="BB243" s="523" t="str">
        <f>_xlfn.IFNA(IF(données_step[[#This Row],[E_COT]]&lt;=0,NA(),charge_entree[[#This Row],[ch_E_COT]]/constanten!$B$9*1000),"")</f>
        <v/>
      </c>
      <c r="BC243" s="523" t="str">
        <f>IFERROR(_xlfn.IFNA(IF(données_step[[#This Row],[E_PTOT]]&lt;=0,NA(),charge_entree[[#This Row],[ch_E_PTOT]]/constanten!$B$15*1000),""),"")</f>
        <v/>
      </c>
      <c r="BD243" s="535" t="e">
        <f>calculs!E243 * (1-0.4) / (données_step[[#This Row],[X_BA_VOL]]*données_step[[#This Row],[X_BACONC]])</f>
        <v>#VALUE!</v>
      </c>
      <c r="BE243" s="522" t="e">
        <f>(données_step[[#This Row],[X_BA_VOL]]*données_step[[#This Row],[X_BACONC]])/((données_step[[#This Row],[D_QTRAI2]]*données_step[[#This Row],[S_MES]]/1000)+(données_step[[#This Row],[X_BX_Q]]*données_step[[#This Row],[X_BXCONC]]))</f>
        <v>#VALUE!</v>
      </c>
      <c r="BF243" s="890" t="str">
        <f>IFERROR(données_step[[#This Row],[D_QTRAI]]/AY243*1000,"")</f>
        <v/>
      </c>
      <c r="BG243" s="535" t="str">
        <f>IFERROR(1-données_step[[#This Row],[S_DBO5]]/données_step[[#This Row],[E_DBO5]],"")</f>
        <v/>
      </c>
      <c r="BH243" s="536" t="str">
        <f>IFERROR(1-données_step[[#This Row],[S_DCO]]/données_step[[#This Row],[E_DCO]],"")</f>
        <v/>
      </c>
      <c r="BI243" s="535" t="str">
        <f>IFERROR(1-données_step[[#This Row],[S_COD]]/données_step[[#This Row],[E_COT]],"")</f>
        <v/>
      </c>
      <c r="BJ243" s="535" t="str">
        <f>IFERROR(1-données_step[[#This Row],[S_NH4]]/données_step[[#This Row],[E_NTOT]],"")</f>
        <v/>
      </c>
      <c r="BK243" s="535" t="str">
        <f>IFERROR(1-données_step[[#This Row],[S_PTOT]]/données_step[[#This Row],[E_PTOT]],"")</f>
        <v/>
      </c>
      <c r="BL243" s="521" t="str">
        <f>IFERROR(IF(données_step[[#This Row],[E_DCO]]/données_step[[#This Row],[E_DBO5]]=0,NA(),données_step[[#This Row],[E_DCO]]/données_step[[#This Row],[E_DBO5]]),"")</f>
        <v/>
      </c>
      <c r="BM243" s="521" t="str">
        <f>IFERROR(IF(données_step[[#This Row],[E_NH4]]/données_step[[#This Row],[E_NTOT]]=0,NA(),données_step[[#This Row],[E_NH4]]/données_step[[#This Row],[E_NTOT]]),"")</f>
        <v/>
      </c>
      <c r="BN243" s="521" t="str">
        <f>IFERROR(IF(données_step[[#This Row],[E_NTOT]]/données_step[[#This Row],[E_COT]]=0,NA(),données_step[[#This Row],[E_NTOT]]/données_step[[#This Row],[E_COT]]),"")</f>
        <v/>
      </c>
      <c r="BO243" s="521" t="str">
        <f>IFERROR(IF(données_step[[#This Row],[E_PTOT]]/données_step[[#This Row],[E_COT]]=0,NA(),données_step[[#This Row],[E_PTOT]]/données_step[[#This Row],[E_COT]]),"")</f>
        <v/>
      </c>
      <c r="BP243" s="521" t="e">
        <f>IF(données_step[[#This Row],[E_DCO]]/données_step[[#This Row],[E_COT]]=0,NA(),données_step[[#This Row],[E_DCO]]/données_step[[#This Row],[E_COT]])</f>
        <v>#DIV/0!</v>
      </c>
      <c r="BQ243" s="521" t="e">
        <f>IF(données_step[[#This Row],[E_NTOT]]/données_step[[#This Row],[E_DCO]]=0,NA(),données_step[[#This Row],[E_NTOT]]/données_step[[#This Row],[E_DCO]])</f>
        <v>#DIV/0!</v>
      </c>
      <c r="BR243" s="521" t="e">
        <f>IF(données_step[[#This Row],[E_PTOT]]/données_step[[#This Row],[E_DCO]]=0,NA(),données_step[[#This Row],[E_PTOT]]/données_step[[#This Row],[E_DCO]])</f>
        <v>#DIV/0!</v>
      </c>
      <c r="BS243" s="747" t="e">
        <f ca="1">test_NH4_temp(données_step[[#This Row],[S_NH4]],données_step[[#This Row],[Temp_eaux]])</f>
        <v>#NAME?</v>
      </c>
    </row>
    <row r="244" spans="1:71" x14ac:dyDescent="0.2">
      <c r="A244" s="222">
        <f>données_step[[#This Row],[Datum]]</f>
        <v>44795</v>
      </c>
      <c r="B244" s="223"/>
      <c r="C244" s="224">
        <f t="shared" si="64"/>
        <v>2</v>
      </c>
      <c r="D244" s="523" t="str">
        <f>IF(OR(données_step[[#This Row],[E_DBO5]]&lt;=0,données_step[[#This Row],[E_DBO5]]=""),"",données_step[[#This Row],[D_QTRAI]]*données_step[[#This Row],[E_DBO5]]/1000)</f>
        <v/>
      </c>
      <c r="E244" s="523" t="str">
        <f>IF(OR(données_step[[#This Row],[E_DCO]]&lt;=0,données_step[[#This Row],[E_DCO]]=""),"",données_step[[#This Row],[D_QTRAI]]*données_step[[#This Row],[E_DCO]]/1000)</f>
        <v/>
      </c>
      <c r="F244" s="523" t="str">
        <f>IF(OR(données_step[[#This Row],[E_COT]]&lt;=0,données_step[[#This Row],[E_COT]]=""),"",données_step[[#This Row],[D_QTRAI]]*données_step[[#This Row],[E_COT]]/1000)</f>
        <v/>
      </c>
      <c r="G244" s="523" t="str">
        <f>IF(OR(données_step[[#This Row],[E_NH4]]&lt;=0,données_step[[#This Row],[E_NH4]]=""),"",données_step[[#This Row],[D_QTRAI]]*données_step[[#This Row],[E_NH4]]/1000)</f>
        <v/>
      </c>
      <c r="H244" s="523" t="str">
        <f>IF(OR(données_step[[#This Row],[E_NTOT]]&lt;=0,données_step[[#This Row],[E_NTOT]]=""),"",données_step[[#This Row],[D_QTRAI]]*données_step[[#This Row],[E_NTOT]]/1000)</f>
        <v/>
      </c>
      <c r="I244" s="523" t="str">
        <f>IF(OR(données_step[[#This Row],[E_NTOT]]&lt;=0,données_step[[#This Row],[E_NTOT]]=""),"",données_step[[#This Row],[D_QTRAI]]*données_step[[#This Row],[E_PTOT]]/1000)</f>
        <v/>
      </c>
      <c r="J244" s="523" t="str">
        <f>IF(OR(données_step[[#This Row],[S_DBO5]]&lt;=0,données_step[[#This Row],[S_DBO5]]=""),"",données_step[[#This Row],[D_QTRAI]]*données_step[[#This Row],[S_DBO5]]/1000)</f>
        <v/>
      </c>
      <c r="K244" s="523" t="str">
        <f>IF(OR(données_step[[#This Row],[S_DCO]]&lt;=0,données_step[[#This Row],[S_DCO]]=""),"",données_step[[#This Row],[D_QTRAI]]*données_step[[#This Row],[S_DCO]]/1000)</f>
        <v/>
      </c>
      <c r="L244" s="523" t="str">
        <f>IF(OR(données_step[[#This Row],[S_COD]]&lt;=0,données_step[[#This Row],[S_COD]]=""),"",données_step[[#This Row],[D_QTRAI]]*données_step[[#This Row],[S_COD]]/1000)</f>
        <v/>
      </c>
      <c r="M244" s="523" t="str">
        <f>IF(OR(données_step[[#This Row],[S_NH4]]&lt;=0,données_step[[#This Row],[S_NH4]]=""),"",données_step[[#This Row],[D_QTRAI]]*données_step[[#This Row],[S_NH4]]/1000)</f>
        <v/>
      </c>
      <c r="N244" s="523" t="str">
        <f>IF(OR(données_step[[#This Row],[S_NO2]]&lt;=0,données_step[[#This Row],[S_NO2]]=""),"",données_step[[#This Row],[D_QTRAI]]*données_step[[#This Row],[S_NO2]]/1000)</f>
        <v/>
      </c>
      <c r="O244" s="523" t="str">
        <f>IF(OR(données_step[[#This Row],[S_NO3]]&lt;=0,données_step[[#This Row],[S_NO3]]=""),"",données_step[[#This Row],[D_QTRAI]]*données_step[[#This Row],[S_NO3]]/1000)</f>
        <v/>
      </c>
      <c r="P244" s="523" t="str">
        <f>IF(OR(données_step[[#This Row],[S_PTOT]]&lt;=0,données_step[[#This Row],[S_PTOT]]=""),"",données_step[[#This Row],[D_QTRAI]]*données_step[[#This Row],[S_PTOT]]/1000)</f>
        <v/>
      </c>
      <c r="Q244" s="523" t="str">
        <f>IF(OR(données_step[[#This Row],[S_MES]]&lt;=0,données_step[[#This Row],[S_MES]]=""),"",données_step[[#This Row],[D_QTRAI]]*données_step[[#This Row],[S_MES]]/1000)</f>
        <v/>
      </c>
      <c r="R244" s="523">
        <f>MAX(données_step[[#This Row],[D_QTRAI]],données_step[[#This Row],[D_QTRAI2]])</f>
        <v>0</v>
      </c>
      <c r="S244" s="523" t="str">
        <f>IF(AND($R244&gt;0,données_step[[#This Row],[E_DCO]]&gt;0),données_step[[#This Row],[E_DCO]],"")</f>
        <v/>
      </c>
      <c r="T244" s="523" t="str">
        <f>IF(S244="","",(1-données_step[[#This Row],[E_DCO]]/$V$7)*100)</f>
        <v/>
      </c>
      <c r="U244" s="523" t="str">
        <f t="shared" si="50"/>
        <v/>
      </c>
      <c r="V244" s="523" t="str">
        <f t="shared" si="51"/>
        <v/>
      </c>
      <c r="W244" s="523" t="str">
        <f t="shared" si="52"/>
        <v/>
      </c>
      <c r="X244" s="523" t="e">
        <f>IF(((100-100/$V$7*données_step[[#This Row],[E_DCO]])/100*QTS)&lt;0,NA(),IF(OR(U244&lt;0,U244=""),NA(),((100-100/$V$7*données_step[[#This Row],[E_DCO]])/100*QTS)))</f>
        <v>#NUM!</v>
      </c>
      <c r="Y244" s="523" t="str">
        <f>IF(AND($R244&gt;0,données_step[[#This Row],[E_COT]]&gt;0),données_step[[#This Row],[E_COT]],"")</f>
        <v/>
      </c>
      <c r="Z244" s="523" t="str">
        <f>IF(Y244="","",(1-données_step[[#This Row],[E_COT]]/$AB$7)*100)</f>
        <v/>
      </c>
      <c r="AA244" s="523" t="str">
        <f t="shared" si="53"/>
        <v/>
      </c>
      <c r="AB244" s="523" t="str">
        <f t="shared" si="54"/>
        <v/>
      </c>
      <c r="AC244" s="523" t="str">
        <f t="shared" si="55"/>
        <v/>
      </c>
      <c r="AD244" s="523" t="e">
        <f>IF(((100-100/$AB$7*données_step[[#This Row],[E_COT]])/100*QTS)&lt;0,NA(),IF(OR(AA244&lt;0,AA244=""),NA(),((100-100/$AB$7*données_step[[#This Row],[E_COT]])/100*QTS)))</f>
        <v>#NUM!</v>
      </c>
      <c r="AE244" s="523" t="str">
        <f>IF(AND($R244&gt;0,données_step[[#This Row],[E_NH4]]&gt;0),données_step[[#This Row],[E_NH4]],"")</f>
        <v/>
      </c>
      <c r="AF244" s="523" t="str">
        <f>IF(AE244="","",(1-données_step[[#This Row],[E_NH4]]/$AH$7)*100)</f>
        <v/>
      </c>
      <c r="AG244" s="523" t="str">
        <f t="shared" si="56"/>
        <v/>
      </c>
      <c r="AH244" s="523" t="str">
        <f t="shared" si="57"/>
        <v/>
      </c>
      <c r="AI244" s="523" t="str">
        <f t="shared" si="58"/>
        <v/>
      </c>
      <c r="AJ244" s="523" t="e">
        <f>IF(((100-100/$AH$7*données_step[[#This Row],[E_NH4]])/100*QTS)&lt;0,NA(),IF(OR(AG244&lt;0,AG244=""),NA(),((100-100/$AH$7*données_step[[#This Row],[E_NH4]])/100*QTS)))</f>
        <v>#NUM!</v>
      </c>
      <c r="AK244" s="523" t="str">
        <f>IF(AND($R244&gt;0,données_step[[#This Row],[E_PTOT]]&gt;0),données_step[[#This Row],[E_PTOT]],"")</f>
        <v/>
      </c>
      <c r="AL244" s="523" t="str">
        <f>IF(AK244="","",(1-données_step[[#This Row],[E_PTOT]]/$AN$7)*100)</f>
        <v/>
      </c>
      <c r="AM244" s="523" t="str">
        <f t="shared" si="59"/>
        <v/>
      </c>
      <c r="AN244" s="523" t="str">
        <f t="shared" si="60"/>
        <v/>
      </c>
      <c r="AO244" s="523" t="str">
        <f t="shared" si="61"/>
        <v/>
      </c>
      <c r="AP244" s="523" t="e">
        <f>IF(((100-100/$AN$7*données_step[[#This Row],[E_PTOT]])/100*QTS)&lt;0,NA(),IF(OR(AM244&lt;0,AM244=""),NA(),((100-100/$AN$7*données_step[[#This Row],[E_PTOT]])/100*QTS)))</f>
        <v>#NUM!</v>
      </c>
      <c r="AQ244" s="524" t="e">
        <f t="shared" si="62"/>
        <v>#NUM!</v>
      </c>
      <c r="AR244" s="524" t="str">
        <f t="shared" si="63"/>
        <v/>
      </c>
      <c r="AY244" s="523" t="str">
        <f>_xlfn.IFNA(IF(données_step[[#This Row],[E_DCO]]&lt;=0,NA(),charge_entree[[#This Row],[ch_E_DCO]]/constanten!$B$8*1000),"")</f>
        <v/>
      </c>
      <c r="AZ244" s="523" t="str">
        <f>_xlfn.IFNA(IF(données_step[[#This Row],[E_NTOT]]&lt;=0,NA(),charge_entree[[#This Row],[ch_E_NTOT]]/constanten!$B$10*1000),"")</f>
        <v/>
      </c>
      <c r="BA244" s="523" t="str">
        <f>_xlfn.IFNA(IF(données_step[[#This Row],[E_NH4]]&lt;=0,NA(),charge_entree[[#This Row],[ch_E_NH4]]/constanten!$B$12*1000),"")</f>
        <v/>
      </c>
      <c r="BB244" s="523" t="str">
        <f>_xlfn.IFNA(IF(données_step[[#This Row],[E_COT]]&lt;=0,NA(),charge_entree[[#This Row],[ch_E_COT]]/constanten!$B$9*1000),"")</f>
        <v/>
      </c>
      <c r="BC244" s="523" t="str">
        <f>IFERROR(_xlfn.IFNA(IF(données_step[[#This Row],[E_PTOT]]&lt;=0,NA(),charge_entree[[#This Row],[ch_E_PTOT]]/constanten!$B$15*1000),""),"")</f>
        <v/>
      </c>
      <c r="BD244" s="535" t="e">
        <f>calculs!E244 * (1-0.4) / (données_step[[#This Row],[X_BA_VOL]]*données_step[[#This Row],[X_BACONC]])</f>
        <v>#VALUE!</v>
      </c>
      <c r="BE244" s="522" t="e">
        <f>(données_step[[#This Row],[X_BA_VOL]]*données_step[[#This Row],[X_BACONC]])/((données_step[[#This Row],[D_QTRAI2]]*données_step[[#This Row],[S_MES]]/1000)+(données_step[[#This Row],[X_BX_Q]]*données_step[[#This Row],[X_BXCONC]]))</f>
        <v>#VALUE!</v>
      </c>
      <c r="BF244" s="890" t="str">
        <f>IFERROR(données_step[[#This Row],[D_QTRAI]]/AY244*1000,"")</f>
        <v/>
      </c>
      <c r="BG244" s="535" t="str">
        <f>IFERROR(1-données_step[[#This Row],[S_DBO5]]/données_step[[#This Row],[E_DBO5]],"")</f>
        <v/>
      </c>
      <c r="BH244" s="536" t="str">
        <f>IFERROR(1-données_step[[#This Row],[S_DCO]]/données_step[[#This Row],[E_DCO]],"")</f>
        <v/>
      </c>
      <c r="BI244" s="535" t="str">
        <f>IFERROR(1-données_step[[#This Row],[S_COD]]/données_step[[#This Row],[E_COT]],"")</f>
        <v/>
      </c>
      <c r="BJ244" s="535" t="str">
        <f>IFERROR(1-données_step[[#This Row],[S_NH4]]/données_step[[#This Row],[E_NTOT]],"")</f>
        <v/>
      </c>
      <c r="BK244" s="535" t="str">
        <f>IFERROR(1-données_step[[#This Row],[S_PTOT]]/données_step[[#This Row],[E_PTOT]],"")</f>
        <v/>
      </c>
      <c r="BL244" s="521" t="str">
        <f>IFERROR(IF(données_step[[#This Row],[E_DCO]]/données_step[[#This Row],[E_DBO5]]=0,NA(),données_step[[#This Row],[E_DCO]]/données_step[[#This Row],[E_DBO5]]),"")</f>
        <v/>
      </c>
      <c r="BM244" s="521" t="str">
        <f>IFERROR(IF(données_step[[#This Row],[E_NH4]]/données_step[[#This Row],[E_NTOT]]=0,NA(),données_step[[#This Row],[E_NH4]]/données_step[[#This Row],[E_NTOT]]),"")</f>
        <v/>
      </c>
      <c r="BN244" s="521" t="str">
        <f>IFERROR(IF(données_step[[#This Row],[E_NTOT]]/données_step[[#This Row],[E_COT]]=0,NA(),données_step[[#This Row],[E_NTOT]]/données_step[[#This Row],[E_COT]]),"")</f>
        <v/>
      </c>
      <c r="BO244" s="521" t="str">
        <f>IFERROR(IF(données_step[[#This Row],[E_PTOT]]/données_step[[#This Row],[E_COT]]=0,NA(),données_step[[#This Row],[E_PTOT]]/données_step[[#This Row],[E_COT]]),"")</f>
        <v/>
      </c>
      <c r="BP244" s="521" t="e">
        <f>IF(données_step[[#This Row],[E_DCO]]/données_step[[#This Row],[E_COT]]=0,NA(),données_step[[#This Row],[E_DCO]]/données_step[[#This Row],[E_COT]])</f>
        <v>#DIV/0!</v>
      </c>
      <c r="BQ244" s="521" t="e">
        <f>IF(données_step[[#This Row],[E_NTOT]]/données_step[[#This Row],[E_DCO]]=0,NA(),données_step[[#This Row],[E_NTOT]]/données_step[[#This Row],[E_DCO]])</f>
        <v>#DIV/0!</v>
      </c>
      <c r="BR244" s="521" t="e">
        <f>IF(données_step[[#This Row],[E_PTOT]]/données_step[[#This Row],[E_DCO]]=0,NA(),données_step[[#This Row],[E_PTOT]]/données_step[[#This Row],[E_DCO]])</f>
        <v>#DIV/0!</v>
      </c>
      <c r="BS244" s="747" t="e">
        <f ca="1">test_NH4_temp(données_step[[#This Row],[S_NH4]],données_step[[#This Row],[Temp_eaux]])</f>
        <v>#NAME?</v>
      </c>
    </row>
    <row r="245" spans="1:71" x14ac:dyDescent="0.2">
      <c r="A245" s="222">
        <f>données_step[[#This Row],[Datum]]</f>
        <v>44796</v>
      </c>
      <c r="B245" s="223"/>
      <c r="C245" s="224">
        <f t="shared" si="64"/>
        <v>3</v>
      </c>
      <c r="D245" s="523" t="str">
        <f>IF(OR(données_step[[#This Row],[E_DBO5]]&lt;=0,données_step[[#This Row],[E_DBO5]]=""),"",données_step[[#This Row],[D_QTRAI]]*données_step[[#This Row],[E_DBO5]]/1000)</f>
        <v/>
      </c>
      <c r="E245" s="523" t="str">
        <f>IF(OR(données_step[[#This Row],[E_DCO]]&lt;=0,données_step[[#This Row],[E_DCO]]=""),"",données_step[[#This Row],[D_QTRAI]]*données_step[[#This Row],[E_DCO]]/1000)</f>
        <v/>
      </c>
      <c r="F245" s="523" t="str">
        <f>IF(OR(données_step[[#This Row],[E_COT]]&lt;=0,données_step[[#This Row],[E_COT]]=""),"",données_step[[#This Row],[D_QTRAI]]*données_step[[#This Row],[E_COT]]/1000)</f>
        <v/>
      </c>
      <c r="G245" s="523" t="str">
        <f>IF(OR(données_step[[#This Row],[E_NH4]]&lt;=0,données_step[[#This Row],[E_NH4]]=""),"",données_step[[#This Row],[D_QTRAI]]*données_step[[#This Row],[E_NH4]]/1000)</f>
        <v/>
      </c>
      <c r="H245" s="523" t="str">
        <f>IF(OR(données_step[[#This Row],[E_NTOT]]&lt;=0,données_step[[#This Row],[E_NTOT]]=""),"",données_step[[#This Row],[D_QTRAI]]*données_step[[#This Row],[E_NTOT]]/1000)</f>
        <v/>
      </c>
      <c r="I245" s="523" t="str">
        <f>IF(OR(données_step[[#This Row],[E_NTOT]]&lt;=0,données_step[[#This Row],[E_NTOT]]=""),"",données_step[[#This Row],[D_QTRAI]]*données_step[[#This Row],[E_PTOT]]/1000)</f>
        <v/>
      </c>
      <c r="J245" s="523" t="str">
        <f>IF(OR(données_step[[#This Row],[S_DBO5]]&lt;=0,données_step[[#This Row],[S_DBO5]]=""),"",données_step[[#This Row],[D_QTRAI]]*données_step[[#This Row],[S_DBO5]]/1000)</f>
        <v/>
      </c>
      <c r="K245" s="523" t="str">
        <f>IF(OR(données_step[[#This Row],[S_DCO]]&lt;=0,données_step[[#This Row],[S_DCO]]=""),"",données_step[[#This Row],[D_QTRAI]]*données_step[[#This Row],[S_DCO]]/1000)</f>
        <v/>
      </c>
      <c r="L245" s="523" t="str">
        <f>IF(OR(données_step[[#This Row],[S_COD]]&lt;=0,données_step[[#This Row],[S_COD]]=""),"",données_step[[#This Row],[D_QTRAI]]*données_step[[#This Row],[S_COD]]/1000)</f>
        <v/>
      </c>
      <c r="M245" s="523" t="str">
        <f>IF(OR(données_step[[#This Row],[S_NH4]]&lt;=0,données_step[[#This Row],[S_NH4]]=""),"",données_step[[#This Row],[D_QTRAI]]*données_step[[#This Row],[S_NH4]]/1000)</f>
        <v/>
      </c>
      <c r="N245" s="523" t="str">
        <f>IF(OR(données_step[[#This Row],[S_NO2]]&lt;=0,données_step[[#This Row],[S_NO2]]=""),"",données_step[[#This Row],[D_QTRAI]]*données_step[[#This Row],[S_NO2]]/1000)</f>
        <v/>
      </c>
      <c r="O245" s="523" t="str">
        <f>IF(OR(données_step[[#This Row],[S_NO3]]&lt;=0,données_step[[#This Row],[S_NO3]]=""),"",données_step[[#This Row],[D_QTRAI]]*données_step[[#This Row],[S_NO3]]/1000)</f>
        <v/>
      </c>
      <c r="P245" s="523" t="str">
        <f>IF(OR(données_step[[#This Row],[S_PTOT]]&lt;=0,données_step[[#This Row],[S_PTOT]]=""),"",données_step[[#This Row],[D_QTRAI]]*données_step[[#This Row],[S_PTOT]]/1000)</f>
        <v/>
      </c>
      <c r="Q245" s="523" t="str">
        <f>IF(OR(données_step[[#This Row],[S_MES]]&lt;=0,données_step[[#This Row],[S_MES]]=""),"",données_step[[#This Row],[D_QTRAI]]*données_step[[#This Row],[S_MES]]/1000)</f>
        <v/>
      </c>
      <c r="R245" s="523">
        <f>MAX(données_step[[#This Row],[D_QTRAI]],données_step[[#This Row],[D_QTRAI2]])</f>
        <v>0</v>
      </c>
      <c r="S245" s="523" t="str">
        <f>IF(AND($R245&gt;0,données_step[[#This Row],[E_DCO]]&gt;0),données_step[[#This Row],[E_DCO]],"")</f>
        <v/>
      </c>
      <c r="T245" s="523" t="str">
        <f>IF(S245="","",(1-données_step[[#This Row],[E_DCO]]/$V$7)*100)</f>
        <v/>
      </c>
      <c r="U245" s="523" t="str">
        <f t="shared" si="50"/>
        <v/>
      </c>
      <c r="V245" s="523" t="str">
        <f t="shared" si="51"/>
        <v/>
      </c>
      <c r="W245" s="523" t="str">
        <f t="shared" si="52"/>
        <v/>
      </c>
      <c r="X245" s="523" t="e">
        <f>IF(((100-100/$V$7*données_step[[#This Row],[E_DCO]])/100*QTS)&lt;0,NA(),IF(OR(U245&lt;0,U245=""),NA(),((100-100/$V$7*données_step[[#This Row],[E_DCO]])/100*QTS)))</f>
        <v>#NUM!</v>
      </c>
      <c r="Y245" s="523" t="str">
        <f>IF(AND($R245&gt;0,données_step[[#This Row],[E_COT]]&gt;0),données_step[[#This Row],[E_COT]],"")</f>
        <v/>
      </c>
      <c r="Z245" s="523" t="str">
        <f>IF(Y245="","",(1-données_step[[#This Row],[E_COT]]/$AB$7)*100)</f>
        <v/>
      </c>
      <c r="AA245" s="523" t="str">
        <f t="shared" si="53"/>
        <v/>
      </c>
      <c r="AB245" s="523" t="str">
        <f t="shared" si="54"/>
        <v/>
      </c>
      <c r="AC245" s="523" t="str">
        <f t="shared" si="55"/>
        <v/>
      </c>
      <c r="AD245" s="523" t="e">
        <f>IF(((100-100/$AB$7*données_step[[#This Row],[E_COT]])/100*QTS)&lt;0,NA(),IF(OR(AA245&lt;0,AA245=""),NA(),((100-100/$AB$7*données_step[[#This Row],[E_COT]])/100*QTS)))</f>
        <v>#NUM!</v>
      </c>
      <c r="AE245" s="523" t="str">
        <f>IF(AND($R245&gt;0,données_step[[#This Row],[E_NH4]]&gt;0),données_step[[#This Row],[E_NH4]],"")</f>
        <v/>
      </c>
      <c r="AF245" s="523" t="str">
        <f>IF(AE245="","",(1-données_step[[#This Row],[E_NH4]]/$AH$7)*100)</f>
        <v/>
      </c>
      <c r="AG245" s="523" t="str">
        <f t="shared" si="56"/>
        <v/>
      </c>
      <c r="AH245" s="523" t="str">
        <f t="shared" si="57"/>
        <v/>
      </c>
      <c r="AI245" s="523" t="str">
        <f t="shared" si="58"/>
        <v/>
      </c>
      <c r="AJ245" s="523" t="e">
        <f>IF(((100-100/$AH$7*données_step[[#This Row],[E_NH4]])/100*QTS)&lt;0,NA(),IF(OR(AG245&lt;0,AG245=""),NA(),((100-100/$AH$7*données_step[[#This Row],[E_NH4]])/100*QTS)))</f>
        <v>#NUM!</v>
      </c>
      <c r="AK245" s="523" t="str">
        <f>IF(AND($R245&gt;0,données_step[[#This Row],[E_PTOT]]&gt;0),données_step[[#This Row],[E_PTOT]],"")</f>
        <v/>
      </c>
      <c r="AL245" s="523" t="str">
        <f>IF(AK245="","",(1-données_step[[#This Row],[E_PTOT]]/$AN$7)*100)</f>
        <v/>
      </c>
      <c r="AM245" s="523" t="str">
        <f t="shared" si="59"/>
        <v/>
      </c>
      <c r="AN245" s="523" t="str">
        <f t="shared" si="60"/>
        <v/>
      </c>
      <c r="AO245" s="523" t="str">
        <f t="shared" si="61"/>
        <v/>
      </c>
      <c r="AP245" s="523" t="e">
        <f>IF(((100-100/$AN$7*données_step[[#This Row],[E_PTOT]])/100*QTS)&lt;0,NA(),IF(OR(AM245&lt;0,AM245=""),NA(),((100-100/$AN$7*données_step[[#This Row],[E_PTOT]])/100*QTS)))</f>
        <v>#NUM!</v>
      </c>
      <c r="AQ245" s="524" t="e">
        <f t="shared" si="62"/>
        <v>#NUM!</v>
      </c>
      <c r="AR245" s="524" t="str">
        <f t="shared" si="63"/>
        <v/>
      </c>
      <c r="AY245" s="523" t="str">
        <f>_xlfn.IFNA(IF(données_step[[#This Row],[E_DCO]]&lt;=0,NA(),charge_entree[[#This Row],[ch_E_DCO]]/constanten!$B$8*1000),"")</f>
        <v/>
      </c>
      <c r="AZ245" s="523" t="str">
        <f>_xlfn.IFNA(IF(données_step[[#This Row],[E_NTOT]]&lt;=0,NA(),charge_entree[[#This Row],[ch_E_NTOT]]/constanten!$B$10*1000),"")</f>
        <v/>
      </c>
      <c r="BA245" s="523" t="str">
        <f>_xlfn.IFNA(IF(données_step[[#This Row],[E_NH4]]&lt;=0,NA(),charge_entree[[#This Row],[ch_E_NH4]]/constanten!$B$12*1000),"")</f>
        <v/>
      </c>
      <c r="BB245" s="523" t="str">
        <f>_xlfn.IFNA(IF(données_step[[#This Row],[E_COT]]&lt;=0,NA(),charge_entree[[#This Row],[ch_E_COT]]/constanten!$B$9*1000),"")</f>
        <v/>
      </c>
      <c r="BC245" s="523" t="str">
        <f>IFERROR(_xlfn.IFNA(IF(données_step[[#This Row],[E_PTOT]]&lt;=0,NA(),charge_entree[[#This Row],[ch_E_PTOT]]/constanten!$B$15*1000),""),"")</f>
        <v/>
      </c>
      <c r="BD245" s="535" t="e">
        <f>calculs!E245 * (1-0.4) / (données_step[[#This Row],[X_BA_VOL]]*données_step[[#This Row],[X_BACONC]])</f>
        <v>#VALUE!</v>
      </c>
      <c r="BE245" s="522" t="e">
        <f>(données_step[[#This Row],[X_BA_VOL]]*données_step[[#This Row],[X_BACONC]])/((données_step[[#This Row],[D_QTRAI2]]*données_step[[#This Row],[S_MES]]/1000)+(données_step[[#This Row],[X_BX_Q]]*données_step[[#This Row],[X_BXCONC]]))</f>
        <v>#VALUE!</v>
      </c>
      <c r="BF245" s="890" t="str">
        <f>IFERROR(données_step[[#This Row],[D_QTRAI]]/AY245*1000,"")</f>
        <v/>
      </c>
      <c r="BG245" s="535" t="str">
        <f>IFERROR(1-données_step[[#This Row],[S_DBO5]]/données_step[[#This Row],[E_DBO5]],"")</f>
        <v/>
      </c>
      <c r="BH245" s="536" t="str">
        <f>IFERROR(1-données_step[[#This Row],[S_DCO]]/données_step[[#This Row],[E_DCO]],"")</f>
        <v/>
      </c>
      <c r="BI245" s="535" t="str">
        <f>IFERROR(1-données_step[[#This Row],[S_COD]]/données_step[[#This Row],[E_COT]],"")</f>
        <v/>
      </c>
      <c r="BJ245" s="535" t="str">
        <f>IFERROR(1-données_step[[#This Row],[S_NH4]]/données_step[[#This Row],[E_NTOT]],"")</f>
        <v/>
      </c>
      <c r="BK245" s="535" t="str">
        <f>IFERROR(1-données_step[[#This Row],[S_PTOT]]/données_step[[#This Row],[E_PTOT]],"")</f>
        <v/>
      </c>
      <c r="BL245" s="521" t="str">
        <f>IFERROR(IF(données_step[[#This Row],[E_DCO]]/données_step[[#This Row],[E_DBO5]]=0,NA(),données_step[[#This Row],[E_DCO]]/données_step[[#This Row],[E_DBO5]]),"")</f>
        <v/>
      </c>
      <c r="BM245" s="521" t="str">
        <f>IFERROR(IF(données_step[[#This Row],[E_NH4]]/données_step[[#This Row],[E_NTOT]]=0,NA(),données_step[[#This Row],[E_NH4]]/données_step[[#This Row],[E_NTOT]]),"")</f>
        <v/>
      </c>
      <c r="BN245" s="521" t="str">
        <f>IFERROR(IF(données_step[[#This Row],[E_NTOT]]/données_step[[#This Row],[E_COT]]=0,NA(),données_step[[#This Row],[E_NTOT]]/données_step[[#This Row],[E_COT]]),"")</f>
        <v/>
      </c>
      <c r="BO245" s="521" t="str">
        <f>IFERROR(IF(données_step[[#This Row],[E_PTOT]]/données_step[[#This Row],[E_COT]]=0,NA(),données_step[[#This Row],[E_PTOT]]/données_step[[#This Row],[E_COT]]),"")</f>
        <v/>
      </c>
      <c r="BP245" s="521" t="e">
        <f>IF(données_step[[#This Row],[E_DCO]]/données_step[[#This Row],[E_COT]]=0,NA(),données_step[[#This Row],[E_DCO]]/données_step[[#This Row],[E_COT]])</f>
        <v>#DIV/0!</v>
      </c>
      <c r="BQ245" s="521" t="e">
        <f>IF(données_step[[#This Row],[E_NTOT]]/données_step[[#This Row],[E_DCO]]=0,NA(),données_step[[#This Row],[E_NTOT]]/données_step[[#This Row],[E_DCO]])</f>
        <v>#DIV/0!</v>
      </c>
      <c r="BR245" s="521" t="e">
        <f>IF(données_step[[#This Row],[E_PTOT]]/données_step[[#This Row],[E_DCO]]=0,NA(),données_step[[#This Row],[E_PTOT]]/données_step[[#This Row],[E_DCO]])</f>
        <v>#DIV/0!</v>
      </c>
      <c r="BS245" s="747" t="e">
        <f ca="1">test_NH4_temp(données_step[[#This Row],[S_NH4]],données_step[[#This Row],[Temp_eaux]])</f>
        <v>#NAME?</v>
      </c>
    </row>
    <row r="246" spans="1:71" x14ac:dyDescent="0.2">
      <c r="A246" s="222">
        <f>données_step[[#This Row],[Datum]]</f>
        <v>44797</v>
      </c>
      <c r="B246" s="223"/>
      <c r="C246" s="224">
        <f t="shared" si="64"/>
        <v>4</v>
      </c>
      <c r="D246" s="523" t="str">
        <f>IF(OR(données_step[[#This Row],[E_DBO5]]&lt;=0,données_step[[#This Row],[E_DBO5]]=""),"",données_step[[#This Row],[D_QTRAI]]*données_step[[#This Row],[E_DBO5]]/1000)</f>
        <v/>
      </c>
      <c r="E246" s="523" t="str">
        <f>IF(OR(données_step[[#This Row],[E_DCO]]&lt;=0,données_step[[#This Row],[E_DCO]]=""),"",données_step[[#This Row],[D_QTRAI]]*données_step[[#This Row],[E_DCO]]/1000)</f>
        <v/>
      </c>
      <c r="F246" s="523" t="str">
        <f>IF(OR(données_step[[#This Row],[E_COT]]&lt;=0,données_step[[#This Row],[E_COT]]=""),"",données_step[[#This Row],[D_QTRAI]]*données_step[[#This Row],[E_COT]]/1000)</f>
        <v/>
      </c>
      <c r="G246" s="523" t="str">
        <f>IF(OR(données_step[[#This Row],[E_NH4]]&lt;=0,données_step[[#This Row],[E_NH4]]=""),"",données_step[[#This Row],[D_QTRAI]]*données_step[[#This Row],[E_NH4]]/1000)</f>
        <v/>
      </c>
      <c r="H246" s="523" t="str">
        <f>IF(OR(données_step[[#This Row],[E_NTOT]]&lt;=0,données_step[[#This Row],[E_NTOT]]=""),"",données_step[[#This Row],[D_QTRAI]]*données_step[[#This Row],[E_NTOT]]/1000)</f>
        <v/>
      </c>
      <c r="I246" s="523" t="str">
        <f>IF(OR(données_step[[#This Row],[E_NTOT]]&lt;=0,données_step[[#This Row],[E_NTOT]]=""),"",données_step[[#This Row],[D_QTRAI]]*données_step[[#This Row],[E_PTOT]]/1000)</f>
        <v/>
      </c>
      <c r="J246" s="523" t="str">
        <f>IF(OR(données_step[[#This Row],[S_DBO5]]&lt;=0,données_step[[#This Row],[S_DBO5]]=""),"",données_step[[#This Row],[D_QTRAI]]*données_step[[#This Row],[S_DBO5]]/1000)</f>
        <v/>
      </c>
      <c r="K246" s="523" t="str">
        <f>IF(OR(données_step[[#This Row],[S_DCO]]&lt;=0,données_step[[#This Row],[S_DCO]]=""),"",données_step[[#This Row],[D_QTRAI]]*données_step[[#This Row],[S_DCO]]/1000)</f>
        <v/>
      </c>
      <c r="L246" s="523" t="str">
        <f>IF(OR(données_step[[#This Row],[S_COD]]&lt;=0,données_step[[#This Row],[S_COD]]=""),"",données_step[[#This Row],[D_QTRAI]]*données_step[[#This Row],[S_COD]]/1000)</f>
        <v/>
      </c>
      <c r="M246" s="523" t="str">
        <f>IF(OR(données_step[[#This Row],[S_NH4]]&lt;=0,données_step[[#This Row],[S_NH4]]=""),"",données_step[[#This Row],[D_QTRAI]]*données_step[[#This Row],[S_NH4]]/1000)</f>
        <v/>
      </c>
      <c r="N246" s="523" t="str">
        <f>IF(OR(données_step[[#This Row],[S_NO2]]&lt;=0,données_step[[#This Row],[S_NO2]]=""),"",données_step[[#This Row],[D_QTRAI]]*données_step[[#This Row],[S_NO2]]/1000)</f>
        <v/>
      </c>
      <c r="O246" s="523" t="str">
        <f>IF(OR(données_step[[#This Row],[S_NO3]]&lt;=0,données_step[[#This Row],[S_NO3]]=""),"",données_step[[#This Row],[D_QTRAI]]*données_step[[#This Row],[S_NO3]]/1000)</f>
        <v/>
      </c>
      <c r="P246" s="523" t="str">
        <f>IF(OR(données_step[[#This Row],[S_PTOT]]&lt;=0,données_step[[#This Row],[S_PTOT]]=""),"",données_step[[#This Row],[D_QTRAI]]*données_step[[#This Row],[S_PTOT]]/1000)</f>
        <v/>
      </c>
      <c r="Q246" s="523" t="str">
        <f>IF(OR(données_step[[#This Row],[S_MES]]&lt;=0,données_step[[#This Row],[S_MES]]=""),"",données_step[[#This Row],[D_QTRAI]]*données_step[[#This Row],[S_MES]]/1000)</f>
        <v/>
      </c>
      <c r="R246" s="523">
        <f>MAX(données_step[[#This Row],[D_QTRAI]],données_step[[#This Row],[D_QTRAI2]])</f>
        <v>0</v>
      </c>
      <c r="S246" s="523" t="str">
        <f>IF(AND($R246&gt;0,données_step[[#This Row],[E_DCO]]&gt;0),données_step[[#This Row],[E_DCO]],"")</f>
        <v/>
      </c>
      <c r="T246" s="523" t="str">
        <f>IF(S246="","",(1-données_step[[#This Row],[E_DCO]]/$V$7)*100)</f>
        <v/>
      </c>
      <c r="U246" s="523" t="str">
        <f t="shared" si="50"/>
        <v/>
      </c>
      <c r="V246" s="523" t="str">
        <f t="shared" si="51"/>
        <v/>
      </c>
      <c r="W246" s="523" t="str">
        <f t="shared" si="52"/>
        <v/>
      </c>
      <c r="X246" s="523" t="e">
        <f>IF(((100-100/$V$7*données_step[[#This Row],[E_DCO]])/100*QTS)&lt;0,NA(),IF(OR(U246&lt;0,U246=""),NA(),((100-100/$V$7*données_step[[#This Row],[E_DCO]])/100*QTS)))</f>
        <v>#NUM!</v>
      </c>
      <c r="Y246" s="523" t="str">
        <f>IF(AND($R246&gt;0,données_step[[#This Row],[E_COT]]&gt;0),données_step[[#This Row],[E_COT]],"")</f>
        <v/>
      </c>
      <c r="Z246" s="523" t="str">
        <f>IF(Y246="","",(1-données_step[[#This Row],[E_COT]]/$AB$7)*100)</f>
        <v/>
      </c>
      <c r="AA246" s="523" t="str">
        <f t="shared" si="53"/>
        <v/>
      </c>
      <c r="AB246" s="523" t="str">
        <f t="shared" si="54"/>
        <v/>
      </c>
      <c r="AC246" s="523" t="str">
        <f t="shared" si="55"/>
        <v/>
      </c>
      <c r="AD246" s="523" t="e">
        <f>IF(((100-100/$AB$7*données_step[[#This Row],[E_COT]])/100*QTS)&lt;0,NA(),IF(OR(AA246&lt;0,AA246=""),NA(),((100-100/$AB$7*données_step[[#This Row],[E_COT]])/100*QTS)))</f>
        <v>#NUM!</v>
      </c>
      <c r="AE246" s="523" t="str">
        <f>IF(AND($R246&gt;0,données_step[[#This Row],[E_NH4]]&gt;0),données_step[[#This Row],[E_NH4]],"")</f>
        <v/>
      </c>
      <c r="AF246" s="523" t="str">
        <f>IF(AE246="","",(1-données_step[[#This Row],[E_NH4]]/$AH$7)*100)</f>
        <v/>
      </c>
      <c r="AG246" s="523" t="str">
        <f t="shared" si="56"/>
        <v/>
      </c>
      <c r="AH246" s="523" t="str">
        <f t="shared" si="57"/>
        <v/>
      </c>
      <c r="AI246" s="523" t="str">
        <f t="shared" si="58"/>
        <v/>
      </c>
      <c r="AJ246" s="523" t="e">
        <f>IF(((100-100/$AH$7*données_step[[#This Row],[E_NH4]])/100*QTS)&lt;0,NA(),IF(OR(AG246&lt;0,AG246=""),NA(),((100-100/$AH$7*données_step[[#This Row],[E_NH4]])/100*QTS)))</f>
        <v>#NUM!</v>
      </c>
      <c r="AK246" s="523" t="str">
        <f>IF(AND($R246&gt;0,données_step[[#This Row],[E_PTOT]]&gt;0),données_step[[#This Row],[E_PTOT]],"")</f>
        <v/>
      </c>
      <c r="AL246" s="523" t="str">
        <f>IF(AK246="","",(1-données_step[[#This Row],[E_PTOT]]/$AN$7)*100)</f>
        <v/>
      </c>
      <c r="AM246" s="523" t="str">
        <f t="shared" si="59"/>
        <v/>
      </c>
      <c r="AN246" s="523" t="str">
        <f t="shared" si="60"/>
        <v/>
      </c>
      <c r="AO246" s="523" t="str">
        <f t="shared" si="61"/>
        <v/>
      </c>
      <c r="AP246" s="523" t="e">
        <f>IF(((100-100/$AN$7*données_step[[#This Row],[E_PTOT]])/100*QTS)&lt;0,NA(),IF(OR(AM246&lt;0,AM246=""),NA(),((100-100/$AN$7*données_step[[#This Row],[E_PTOT]])/100*QTS)))</f>
        <v>#NUM!</v>
      </c>
      <c r="AQ246" s="524" t="e">
        <f t="shared" si="62"/>
        <v>#NUM!</v>
      </c>
      <c r="AR246" s="524" t="str">
        <f t="shared" si="63"/>
        <v/>
      </c>
      <c r="AY246" s="523" t="str">
        <f>_xlfn.IFNA(IF(données_step[[#This Row],[E_DCO]]&lt;=0,NA(),charge_entree[[#This Row],[ch_E_DCO]]/constanten!$B$8*1000),"")</f>
        <v/>
      </c>
      <c r="AZ246" s="523" t="str">
        <f>_xlfn.IFNA(IF(données_step[[#This Row],[E_NTOT]]&lt;=0,NA(),charge_entree[[#This Row],[ch_E_NTOT]]/constanten!$B$10*1000),"")</f>
        <v/>
      </c>
      <c r="BA246" s="523" t="str">
        <f>_xlfn.IFNA(IF(données_step[[#This Row],[E_NH4]]&lt;=0,NA(),charge_entree[[#This Row],[ch_E_NH4]]/constanten!$B$12*1000),"")</f>
        <v/>
      </c>
      <c r="BB246" s="523" t="str">
        <f>_xlfn.IFNA(IF(données_step[[#This Row],[E_COT]]&lt;=0,NA(),charge_entree[[#This Row],[ch_E_COT]]/constanten!$B$9*1000),"")</f>
        <v/>
      </c>
      <c r="BC246" s="523" t="str">
        <f>IFERROR(_xlfn.IFNA(IF(données_step[[#This Row],[E_PTOT]]&lt;=0,NA(),charge_entree[[#This Row],[ch_E_PTOT]]/constanten!$B$15*1000),""),"")</f>
        <v/>
      </c>
      <c r="BD246" s="535" t="e">
        <f>calculs!E246 * (1-0.4) / (données_step[[#This Row],[X_BA_VOL]]*données_step[[#This Row],[X_BACONC]])</f>
        <v>#VALUE!</v>
      </c>
      <c r="BE246" s="522" t="e">
        <f>(données_step[[#This Row],[X_BA_VOL]]*données_step[[#This Row],[X_BACONC]])/((données_step[[#This Row],[D_QTRAI2]]*données_step[[#This Row],[S_MES]]/1000)+(données_step[[#This Row],[X_BX_Q]]*données_step[[#This Row],[X_BXCONC]]))</f>
        <v>#VALUE!</v>
      </c>
      <c r="BF246" s="890" t="str">
        <f>IFERROR(données_step[[#This Row],[D_QTRAI]]/AY246*1000,"")</f>
        <v/>
      </c>
      <c r="BG246" s="535" t="str">
        <f>IFERROR(1-données_step[[#This Row],[S_DBO5]]/données_step[[#This Row],[E_DBO5]],"")</f>
        <v/>
      </c>
      <c r="BH246" s="536" t="str">
        <f>IFERROR(1-données_step[[#This Row],[S_DCO]]/données_step[[#This Row],[E_DCO]],"")</f>
        <v/>
      </c>
      <c r="BI246" s="535" t="str">
        <f>IFERROR(1-données_step[[#This Row],[S_COD]]/données_step[[#This Row],[E_COT]],"")</f>
        <v/>
      </c>
      <c r="BJ246" s="535" t="str">
        <f>IFERROR(1-données_step[[#This Row],[S_NH4]]/données_step[[#This Row],[E_NTOT]],"")</f>
        <v/>
      </c>
      <c r="BK246" s="535" t="str">
        <f>IFERROR(1-données_step[[#This Row],[S_PTOT]]/données_step[[#This Row],[E_PTOT]],"")</f>
        <v/>
      </c>
      <c r="BL246" s="521" t="str">
        <f>IFERROR(IF(données_step[[#This Row],[E_DCO]]/données_step[[#This Row],[E_DBO5]]=0,NA(),données_step[[#This Row],[E_DCO]]/données_step[[#This Row],[E_DBO5]]),"")</f>
        <v/>
      </c>
      <c r="BM246" s="521" t="str">
        <f>IFERROR(IF(données_step[[#This Row],[E_NH4]]/données_step[[#This Row],[E_NTOT]]=0,NA(),données_step[[#This Row],[E_NH4]]/données_step[[#This Row],[E_NTOT]]),"")</f>
        <v/>
      </c>
      <c r="BN246" s="521" t="str">
        <f>IFERROR(IF(données_step[[#This Row],[E_NTOT]]/données_step[[#This Row],[E_COT]]=0,NA(),données_step[[#This Row],[E_NTOT]]/données_step[[#This Row],[E_COT]]),"")</f>
        <v/>
      </c>
      <c r="BO246" s="521" t="str">
        <f>IFERROR(IF(données_step[[#This Row],[E_PTOT]]/données_step[[#This Row],[E_COT]]=0,NA(),données_step[[#This Row],[E_PTOT]]/données_step[[#This Row],[E_COT]]),"")</f>
        <v/>
      </c>
      <c r="BP246" s="521" t="e">
        <f>IF(données_step[[#This Row],[E_DCO]]/données_step[[#This Row],[E_COT]]=0,NA(),données_step[[#This Row],[E_DCO]]/données_step[[#This Row],[E_COT]])</f>
        <v>#DIV/0!</v>
      </c>
      <c r="BQ246" s="521" t="e">
        <f>IF(données_step[[#This Row],[E_NTOT]]/données_step[[#This Row],[E_DCO]]=0,NA(),données_step[[#This Row],[E_NTOT]]/données_step[[#This Row],[E_DCO]])</f>
        <v>#DIV/0!</v>
      </c>
      <c r="BR246" s="521" t="e">
        <f>IF(données_step[[#This Row],[E_PTOT]]/données_step[[#This Row],[E_DCO]]=0,NA(),données_step[[#This Row],[E_PTOT]]/données_step[[#This Row],[E_DCO]])</f>
        <v>#DIV/0!</v>
      </c>
      <c r="BS246" s="747" t="e">
        <f ca="1">test_NH4_temp(données_step[[#This Row],[S_NH4]],données_step[[#This Row],[Temp_eaux]])</f>
        <v>#NAME?</v>
      </c>
    </row>
    <row r="247" spans="1:71" x14ac:dyDescent="0.2">
      <c r="A247" s="222">
        <f>données_step[[#This Row],[Datum]]</f>
        <v>44798</v>
      </c>
      <c r="B247" s="223"/>
      <c r="C247" s="224">
        <f t="shared" si="64"/>
        <v>5</v>
      </c>
      <c r="D247" s="523" t="str">
        <f>IF(OR(données_step[[#This Row],[E_DBO5]]&lt;=0,données_step[[#This Row],[E_DBO5]]=""),"",données_step[[#This Row],[D_QTRAI]]*données_step[[#This Row],[E_DBO5]]/1000)</f>
        <v/>
      </c>
      <c r="E247" s="523" t="str">
        <f>IF(OR(données_step[[#This Row],[E_DCO]]&lt;=0,données_step[[#This Row],[E_DCO]]=""),"",données_step[[#This Row],[D_QTRAI]]*données_step[[#This Row],[E_DCO]]/1000)</f>
        <v/>
      </c>
      <c r="F247" s="523" t="str">
        <f>IF(OR(données_step[[#This Row],[E_COT]]&lt;=0,données_step[[#This Row],[E_COT]]=""),"",données_step[[#This Row],[D_QTRAI]]*données_step[[#This Row],[E_COT]]/1000)</f>
        <v/>
      </c>
      <c r="G247" s="523" t="str">
        <f>IF(OR(données_step[[#This Row],[E_NH4]]&lt;=0,données_step[[#This Row],[E_NH4]]=""),"",données_step[[#This Row],[D_QTRAI]]*données_step[[#This Row],[E_NH4]]/1000)</f>
        <v/>
      </c>
      <c r="H247" s="523" t="str">
        <f>IF(OR(données_step[[#This Row],[E_NTOT]]&lt;=0,données_step[[#This Row],[E_NTOT]]=""),"",données_step[[#This Row],[D_QTRAI]]*données_step[[#This Row],[E_NTOT]]/1000)</f>
        <v/>
      </c>
      <c r="I247" s="523" t="str">
        <f>IF(OR(données_step[[#This Row],[E_NTOT]]&lt;=0,données_step[[#This Row],[E_NTOT]]=""),"",données_step[[#This Row],[D_QTRAI]]*données_step[[#This Row],[E_PTOT]]/1000)</f>
        <v/>
      </c>
      <c r="J247" s="523" t="str">
        <f>IF(OR(données_step[[#This Row],[S_DBO5]]&lt;=0,données_step[[#This Row],[S_DBO5]]=""),"",données_step[[#This Row],[D_QTRAI]]*données_step[[#This Row],[S_DBO5]]/1000)</f>
        <v/>
      </c>
      <c r="K247" s="523" t="str">
        <f>IF(OR(données_step[[#This Row],[S_DCO]]&lt;=0,données_step[[#This Row],[S_DCO]]=""),"",données_step[[#This Row],[D_QTRAI]]*données_step[[#This Row],[S_DCO]]/1000)</f>
        <v/>
      </c>
      <c r="L247" s="523" t="str">
        <f>IF(OR(données_step[[#This Row],[S_COD]]&lt;=0,données_step[[#This Row],[S_COD]]=""),"",données_step[[#This Row],[D_QTRAI]]*données_step[[#This Row],[S_COD]]/1000)</f>
        <v/>
      </c>
      <c r="M247" s="523" t="str">
        <f>IF(OR(données_step[[#This Row],[S_NH4]]&lt;=0,données_step[[#This Row],[S_NH4]]=""),"",données_step[[#This Row],[D_QTRAI]]*données_step[[#This Row],[S_NH4]]/1000)</f>
        <v/>
      </c>
      <c r="N247" s="523" t="str">
        <f>IF(OR(données_step[[#This Row],[S_NO2]]&lt;=0,données_step[[#This Row],[S_NO2]]=""),"",données_step[[#This Row],[D_QTRAI]]*données_step[[#This Row],[S_NO2]]/1000)</f>
        <v/>
      </c>
      <c r="O247" s="523" t="str">
        <f>IF(OR(données_step[[#This Row],[S_NO3]]&lt;=0,données_step[[#This Row],[S_NO3]]=""),"",données_step[[#This Row],[D_QTRAI]]*données_step[[#This Row],[S_NO3]]/1000)</f>
        <v/>
      </c>
      <c r="P247" s="523" t="str">
        <f>IF(OR(données_step[[#This Row],[S_PTOT]]&lt;=0,données_step[[#This Row],[S_PTOT]]=""),"",données_step[[#This Row],[D_QTRAI]]*données_step[[#This Row],[S_PTOT]]/1000)</f>
        <v/>
      </c>
      <c r="Q247" s="523" t="str">
        <f>IF(OR(données_step[[#This Row],[S_MES]]&lt;=0,données_step[[#This Row],[S_MES]]=""),"",données_step[[#This Row],[D_QTRAI]]*données_step[[#This Row],[S_MES]]/1000)</f>
        <v/>
      </c>
      <c r="R247" s="523">
        <f>MAX(données_step[[#This Row],[D_QTRAI]],données_step[[#This Row],[D_QTRAI2]])</f>
        <v>0</v>
      </c>
      <c r="S247" s="523" t="str">
        <f>IF(AND($R247&gt;0,données_step[[#This Row],[E_DCO]]&gt;0),données_step[[#This Row],[E_DCO]],"")</f>
        <v/>
      </c>
      <c r="T247" s="523" t="str">
        <f>IF(S247="","",(1-données_step[[#This Row],[E_DCO]]/$V$7)*100)</f>
        <v/>
      </c>
      <c r="U247" s="523" t="str">
        <f t="shared" si="50"/>
        <v/>
      </c>
      <c r="V247" s="523" t="str">
        <f t="shared" si="51"/>
        <v/>
      </c>
      <c r="W247" s="523" t="str">
        <f t="shared" si="52"/>
        <v/>
      </c>
      <c r="X247" s="523" t="e">
        <f>IF(((100-100/$V$7*données_step[[#This Row],[E_DCO]])/100*QTS)&lt;0,NA(),IF(OR(U247&lt;0,U247=""),NA(),((100-100/$V$7*données_step[[#This Row],[E_DCO]])/100*QTS)))</f>
        <v>#NUM!</v>
      </c>
      <c r="Y247" s="523" t="str">
        <f>IF(AND($R247&gt;0,données_step[[#This Row],[E_COT]]&gt;0),données_step[[#This Row],[E_COT]],"")</f>
        <v/>
      </c>
      <c r="Z247" s="523" t="str">
        <f>IF(Y247="","",(1-données_step[[#This Row],[E_COT]]/$AB$7)*100)</f>
        <v/>
      </c>
      <c r="AA247" s="523" t="str">
        <f t="shared" si="53"/>
        <v/>
      </c>
      <c r="AB247" s="523" t="str">
        <f t="shared" si="54"/>
        <v/>
      </c>
      <c r="AC247" s="523" t="str">
        <f t="shared" si="55"/>
        <v/>
      </c>
      <c r="AD247" s="523" t="e">
        <f>IF(((100-100/$AB$7*données_step[[#This Row],[E_COT]])/100*QTS)&lt;0,NA(),IF(OR(AA247&lt;0,AA247=""),NA(),((100-100/$AB$7*données_step[[#This Row],[E_COT]])/100*QTS)))</f>
        <v>#NUM!</v>
      </c>
      <c r="AE247" s="523" t="str">
        <f>IF(AND($R247&gt;0,données_step[[#This Row],[E_NH4]]&gt;0),données_step[[#This Row],[E_NH4]],"")</f>
        <v/>
      </c>
      <c r="AF247" s="523" t="str">
        <f>IF(AE247="","",(1-données_step[[#This Row],[E_NH4]]/$AH$7)*100)</f>
        <v/>
      </c>
      <c r="AG247" s="523" t="str">
        <f t="shared" si="56"/>
        <v/>
      </c>
      <c r="AH247" s="523" t="str">
        <f t="shared" si="57"/>
        <v/>
      </c>
      <c r="AI247" s="523" t="str">
        <f t="shared" si="58"/>
        <v/>
      </c>
      <c r="AJ247" s="523" t="e">
        <f>IF(((100-100/$AH$7*données_step[[#This Row],[E_NH4]])/100*QTS)&lt;0,NA(),IF(OR(AG247&lt;0,AG247=""),NA(),((100-100/$AH$7*données_step[[#This Row],[E_NH4]])/100*QTS)))</f>
        <v>#NUM!</v>
      </c>
      <c r="AK247" s="523" t="str">
        <f>IF(AND($R247&gt;0,données_step[[#This Row],[E_PTOT]]&gt;0),données_step[[#This Row],[E_PTOT]],"")</f>
        <v/>
      </c>
      <c r="AL247" s="523" t="str">
        <f>IF(AK247="","",(1-données_step[[#This Row],[E_PTOT]]/$AN$7)*100)</f>
        <v/>
      </c>
      <c r="AM247" s="523" t="str">
        <f t="shared" si="59"/>
        <v/>
      </c>
      <c r="AN247" s="523" t="str">
        <f t="shared" si="60"/>
        <v/>
      </c>
      <c r="AO247" s="523" t="str">
        <f t="shared" si="61"/>
        <v/>
      </c>
      <c r="AP247" s="523" t="e">
        <f>IF(((100-100/$AN$7*données_step[[#This Row],[E_PTOT]])/100*QTS)&lt;0,NA(),IF(OR(AM247&lt;0,AM247=""),NA(),((100-100/$AN$7*données_step[[#This Row],[E_PTOT]])/100*QTS)))</f>
        <v>#NUM!</v>
      </c>
      <c r="AQ247" s="524" t="e">
        <f t="shared" si="62"/>
        <v>#NUM!</v>
      </c>
      <c r="AR247" s="524" t="str">
        <f t="shared" si="63"/>
        <v/>
      </c>
      <c r="AY247" s="523" t="str">
        <f>_xlfn.IFNA(IF(données_step[[#This Row],[E_DCO]]&lt;=0,NA(),charge_entree[[#This Row],[ch_E_DCO]]/constanten!$B$8*1000),"")</f>
        <v/>
      </c>
      <c r="AZ247" s="523" t="str">
        <f>_xlfn.IFNA(IF(données_step[[#This Row],[E_NTOT]]&lt;=0,NA(),charge_entree[[#This Row],[ch_E_NTOT]]/constanten!$B$10*1000),"")</f>
        <v/>
      </c>
      <c r="BA247" s="523" t="str">
        <f>_xlfn.IFNA(IF(données_step[[#This Row],[E_NH4]]&lt;=0,NA(),charge_entree[[#This Row],[ch_E_NH4]]/constanten!$B$12*1000),"")</f>
        <v/>
      </c>
      <c r="BB247" s="523" t="str">
        <f>_xlfn.IFNA(IF(données_step[[#This Row],[E_COT]]&lt;=0,NA(),charge_entree[[#This Row],[ch_E_COT]]/constanten!$B$9*1000),"")</f>
        <v/>
      </c>
      <c r="BC247" s="523" t="str">
        <f>IFERROR(_xlfn.IFNA(IF(données_step[[#This Row],[E_PTOT]]&lt;=0,NA(),charge_entree[[#This Row],[ch_E_PTOT]]/constanten!$B$15*1000),""),"")</f>
        <v/>
      </c>
      <c r="BD247" s="535" t="e">
        <f>calculs!E247 * (1-0.4) / (données_step[[#This Row],[X_BA_VOL]]*données_step[[#This Row],[X_BACONC]])</f>
        <v>#VALUE!</v>
      </c>
      <c r="BE247" s="522" t="e">
        <f>(données_step[[#This Row],[X_BA_VOL]]*données_step[[#This Row],[X_BACONC]])/((données_step[[#This Row],[D_QTRAI2]]*données_step[[#This Row],[S_MES]]/1000)+(données_step[[#This Row],[X_BX_Q]]*données_step[[#This Row],[X_BXCONC]]))</f>
        <v>#VALUE!</v>
      </c>
      <c r="BF247" s="890" t="str">
        <f>IFERROR(données_step[[#This Row],[D_QTRAI]]/AY247*1000,"")</f>
        <v/>
      </c>
      <c r="BG247" s="535" t="str">
        <f>IFERROR(1-données_step[[#This Row],[S_DBO5]]/données_step[[#This Row],[E_DBO5]],"")</f>
        <v/>
      </c>
      <c r="BH247" s="536" t="str">
        <f>IFERROR(1-données_step[[#This Row],[S_DCO]]/données_step[[#This Row],[E_DCO]],"")</f>
        <v/>
      </c>
      <c r="BI247" s="535" t="str">
        <f>IFERROR(1-données_step[[#This Row],[S_COD]]/données_step[[#This Row],[E_COT]],"")</f>
        <v/>
      </c>
      <c r="BJ247" s="535" t="str">
        <f>IFERROR(1-données_step[[#This Row],[S_NH4]]/données_step[[#This Row],[E_NTOT]],"")</f>
        <v/>
      </c>
      <c r="BK247" s="535" t="str">
        <f>IFERROR(1-données_step[[#This Row],[S_PTOT]]/données_step[[#This Row],[E_PTOT]],"")</f>
        <v/>
      </c>
      <c r="BL247" s="521" t="str">
        <f>IFERROR(IF(données_step[[#This Row],[E_DCO]]/données_step[[#This Row],[E_DBO5]]=0,NA(),données_step[[#This Row],[E_DCO]]/données_step[[#This Row],[E_DBO5]]),"")</f>
        <v/>
      </c>
      <c r="BM247" s="521" t="str">
        <f>IFERROR(IF(données_step[[#This Row],[E_NH4]]/données_step[[#This Row],[E_NTOT]]=0,NA(),données_step[[#This Row],[E_NH4]]/données_step[[#This Row],[E_NTOT]]),"")</f>
        <v/>
      </c>
      <c r="BN247" s="521" t="str">
        <f>IFERROR(IF(données_step[[#This Row],[E_NTOT]]/données_step[[#This Row],[E_COT]]=0,NA(),données_step[[#This Row],[E_NTOT]]/données_step[[#This Row],[E_COT]]),"")</f>
        <v/>
      </c>
      <c r="BO247" s="521" t="str">
        <f>IFERROR(IF(données_step[[#This Row],[E_PTOT]]/données_step[[#This Row],[E_COT]]=0,NA(),données_step[[#This Row],[E_PTOT]]/données_step[[#This Row],[E_COT]]),"")</f>
        <v/>
      </c>
      <c r="BP247" s="521" t="e">
        <f>IF(données_step[[#This Row],[E_DCO]]/données_step[[#This Row],[E_COT]]=0,NA(),données_step[[#This Row],[E_DCO]]/données_step[[#This Row],[E_COT]])</f>
        <v>#DIV/0!</v>
      </c>
      <c r="BQ247" s="521" t="e">
        <f>IF(données_step[[#This Row],[E_NTOT]]/données_step[[#This Row],[E_DCO]]=0,NA(),données_step[[#This Row],[E_NTOT]]/données_step[[#This Row],[E_DCO]])</f>
        <v>#DIV/0!</v>
      </c>
      <c r="BR247" s="521" t="e">
        <f>IF(données_step[[#This Row],[E_PTOT]]/données_step[[#This Row],[E_DCO]]=0,NA(),données_step[[#This Row],[E_PTOT]]/données_step[[#This Row],[E_DCO]])</f>
        <v>#DIV/0!</v>
      </c>
      <c r="BS247" s="747" t="e">
        <f ca="1">test_NH4_temp(données_step[[#This Row],[S_NH4]],données_step[[#This Row],[Temp_eaux]])</f>
        <v>#NAME?</v>
      </c>
    </row>
    <row r="248" spans="1:71" x14ac:dyDescent="0.2">
      <c r="A248" s="222">
        <f>données_step[[#This Row],[Datum]]</f>
        <v>44799</v>
      </c>
      <c r="B248" s="223"/>
      <c r="C248" s="224">
        <f t="shared" si="64"/>
        <v>6</v>
      </c>
      <c r="D248" s="523" t="str">
        <f>IF(OR(données_step[[#This Row],[E_DBO5]]&lt;=0,données_step[[#This Row],[E_DBO5]]=""),"",données_step[[#This Row],[D_QTRAI]]*données_step[[#This Row],[E_DBO5]]/1000)</f>
        <v/>
      </c>
      <c r="E248" s="523" t="str">
        <f>IF(OR(données_step[[#This Row],[E_DCO]]&lt;=0,données_step[[#This Row],[E_DCO]]=""),"",données_step[[#This Row],[D_QTRAI]]*données_step[[#This Row],[E_DCO]]/1000)</f>
        <v/>
      </c>
      <c r="F248" s="523" t="str">
        <f>IF(OR(données_step[[#This Row],[E_COT]]&lt;=0,données_step[[#This Row],[E_COT]]=""),"",données_step[[#This Row],[D_QTRAI]]*données_step[[#This Row],[E_COT]]/1000)</f>
        <v/>
      </c>
      <c r="G248" s="523" t="str">
        <f>IF(OR(données_step[[#This Row],[E_NH4]]&lt;=0,données_step[[#This Row],[E_NH4]]=""),"",données_step[[#This Row],[D_QTRAI]]*données_step[[#This Row],[E_NH4]]/1000)</f>
        <v/>
      </c>
      <c r="H248" s="523" t="str">
        <f>IF(OR(données_step[[#This Row],[E_NTOT]]&lt;=0,données_step[[#This Row],[E_NTOT]]=""),"",données_step[[#This Row],[D_QTRAI]]*données_step[[#This Row],[E_NTOT]]/1000)</f>
        <v/>
      </c>
      <c r="I248" s="523" t="str">
        <f>IF(OR(données_step[[#This Row],[E_NTOT]]&lt;=0,données_step[[#This Row],[E_NTOT]]=""),"",données_step[[#This Row],[D_QTRAI]]*données_step[[#This Row],[E_PTOT]]/1000)</f>
        <v/>
      </c>
      <c r="J248" s="523" t="str">
        <f>IF(OR(données_step[[#This Row],[S_DBO5]]&lt;=0,données_step[[#This Row],[S_DBO5]]=""),"",données_step[[#This Row],[D_QTRAI]]*données_step[[#This Row],[S_DBO5]]/1000)</f>
        <v/>
      </c>
      <c r="K248" s="523" t="str">
        <f>IF(OR(données_step[[#This Row],[S_DCO]]&lt;=0,données_step[[#This Row],[S_DCO]]=""),"",données_step[[#This Row],[D_QTRAI]]*données_step[[#This Row],[S_DCO]]/1000)</f>
        <v/>
      </c>
      <c r="L248" s="523" t="str">
        <f>IF(OR(données_step[[#This Row],[S_COD]]&lt;=0,données_step[[#This Row],[S_COD]]=""),"",données_step[[#This Row],[D_QTRAI]]*données_step[[#This Row],[S_COD]]/1000)</f>
        <v/>
      </c>
      <c r="M248" s="523" t="str">
        <f>IF(OR(données_step[[#This Row],[S_NH4]]&lt;=0,données_step[[#This Row],[S_NH4]]=""),"",données_step[[#This Row],[D_QTRAI]]*données_step[[#This Row],[S_NH4]]/1000)</f>
        <v/>
      </c>
      <c r="N248" s="523" t="str">
        <f>IF(OR(données_step[[#This Row],[S_NO2]]&lt;=0,données_step[[#This Row],[S_NO2]]=""),"",données_step[[#This Row],[D_QTRAI]]*données_step[[#This Row],[S_NO2]]/1000)</f>
        <v/>
      </c>
      <c r="O248" s="523" t="str">
        <f>IF(OR(données_step[[#This Row],[S_NO3]]&lt;=0,données_step[[#This Row],[S_NO3]]=""),"",données_step[[#This Row],[D_QTRAI]]*données_step[[#This Row],[S_NO3]]/1000)</f>
        <v/>
      </c>
      <c r="P248" s="523" t="str">
        <f>IF(OR(données_step[[#This Row],[S_PTOT]]&lt;=0,données_step[[#This Row],[S_PTOT]]=""),"",données_step[[#This Row],[D_QTRAI]]*données_step[[#This Row],[S_PTOT]]/1000)</f>
        <v/>
      </c>
      <c r="Q248" s="523" t="str">
        <f>IF(OR(données_step[[#This Row],[S_MES]]&lt;=0,données_step[[#This Row],[S_MES]]=""),"",données_step[[#This Row],[D_QTRAI]]*données_step[[#This Row],[S_MES]]/1000)</f>
        <v/>
      </c>
      <c r="R248" s="523">
        <f>MAX(données_step[[#This Row],[D_QTRAI]],données_step[[#This Row],[D_QTRAI2]])</f>
        <v>0</v>
      </c>
      <c r="S248" s="523" t="str">
        <f>IF(AND($R248&gt;0,données_step[[#This Row],[E_DCO]]&gt;0),données_step[[#This Row],[E_DCO]],"")</f>
        <v/>
      </c>
      <c r="T248" s="523" t="str">
        <f>IF(S248="","",(1-données_step[[#This Row],[E_DCO]]/$V$7)*100)</f>
        <v/>
      </c>
      <c r="U248" s="523" t="str">
        <f t="shared" si="50"/>
        <v/>
      </c>
      <c r="V248" s="523" t="str">
        <f t="shared" si="51"/>
        <v/>
      </c>
      <c r="W248" s="523" t="str">
        <f t="shared" si="52"/>
        <v/>
      </c>
      <c r="X248" s="523" t="e">
        <f>IF(((100-100/$V$7*données_step[[#This Row],[E_DCO]])/100*QTS)&lt;0,NA(),IF(OR(U248&lt;0,U248=""),NA(),((100-100/$V$7*données_step[[#This Row],[E_DCO]])/100*QTS)))</f>
        <v>#NUM!</v>
      </c>
      <c r="Y248" s="523" t="str">
        <f>IF(AND($R248&gt;0,données_step[[#This Row],[E_COT]]&gt;0),données_step[[#This Row],[E_COT]],"")</f>
        <v/>
      </c>
      <c r="Z248" s="523" t="str">
        <f>IF(Y248="","",(1-données_step[[#This Row],[E_COT]]/$AB$7)*100)</f>
        <v/>
      </c>
      <c r="AA248" s="523" t="str">
        <f t="shared" si="53"/>
        <v/>
      </c>
      <c r="AB248" s="523" t="str">
        <f t="shared" si="54"/>
        <v/>
      </c>
      <c r="AC248" s="523" t="str">
        <f t="shared" si="55"/>
        <v/>
      </c>
      <c r="AD248" s="523" t="e">
        <f>IF(((100-100/$AB$7*données_step[[#This Row],[E_COT]])/100*QTS)&lt;0,NA(),IF(OR(AA248&lt;0,AA248=""),NA(),((100-100/$AB$7*données_step[[#This Row],[E_COT]])/100*QTS)))</f>
        <v>#NUM!</v>
      </c>
      <c r="AE248" s="523" t="str">
        <f>IF(AND($R248&gt;0,données_step[[#This Row],[E_NH4]]&gt;0),données_step[[#This Row],[E_NH4]],"")</f>
        <v/>
      </c>
      <c r="AF248" s="523" t="str">
        <f>IF(AE248="","",(1-données_step[[#This Row],[E_NH4]]/$AH$7)*100)</f>
        <v/>
      </c>
      <c r="AG248" s="523" t="str">
        <f t="shared" si="56"/>
        <v/>
      </c>
      <c r="AH248" s="523" t="str">
        <f t="shared" si="57"/>
        <v/>
      </c>
      <c r="AI248" s="523" t="str">
        <f t="shared" si="58"/>
        <v/>
      </c>
      <c r="AJ248" s="523" t="e">
        <f>IF(((100-100/$AH$7*données_step[[#This Row],[E_NH4]])/100*QTS)&lt;0,NA(),IF(OR(AG248&lt;0,AG248=""),NA(),((100-100/$AH$7*données_step[[#This Row],[E_NH4]])/100*QTS)))</f>
        <v>#NUM!</v>
      </c>
      <c r="AK248" s="523" t="str">
        <f>IF(AND($R248&gt;0,données_step[[#This Row],[E_PTOT]]&gt;0),données_step[[#This Row],[E_PTOT]],"")</f>
        <v/>
      </c>
      <c r="AL248" s="523" t="str">
        <f>IF(AK248="","",(1-données_step[[#This Row],[E_PTOT]]/$AN$7)*100)</f>
        <v/>
      </c>
      <c r="AM248" s="523" t="str">
        <f t="shared" si="59"/>
        <v/>
      </c>
      <c r="AN248" s="523" t="str">
        <f t="shared" si="60"/>
        <v/>
      </c>
      <c r="AO248" s="523" t="str">
        <f t="shared" si="61"/>
        <v/>
      </c>
      <c r="AP248" s="523" t="e">
        <f>IF(((100-100/$AN$7*données_step[[#This Row],[E_PTOT]])/100*QTS)&lt;0,NA(),IF(OR(AM248&lt;0,AM248=""),NA(),((100-100/$AN$7*données_step[[#This Row],[E_PTOT]])/100*QTS)))</f>
        <v>#NUM!</v>
      </c>
      <c r="AQ248" s="524" t="e">
        <f t="shared" si="62"/>
        <v>#NUM!</v>
      </c>
      <c r="AR248" s="524" t="str">
        <f t="shared" si="63"/>
        <v/>
      </c>
      <c r="AY248" s="523" t="str">
        <f>_xlfn.IFNA(IF(données_step[[#This Row],[E_DCO]]&lt;=0,NA(),charge_entree[[#This Row],[ch_E_DCO]]/constanten!$B$8*1000),"")</f>
        <v/>
      </c>
      <c r="AZ248" s="523" t="str">
        <f>_xlfn.IFNA(IF(données_step[[#This Row],[E_NTOT]]&lt;=0,NA(),charge_entree[[#This Row],[ch_E_NTOT]]/constanten!$B$10*1000),"")</f>
        <v/>
      </c>
      <c r="BA248" s="523" t="str">
        <f>_xlfn.IFNA(IF(données_step[[#This Row],[E_NH4]]&lt;=0,NA(),charge_entree[[#This Row],[ch_E_NH4]]/constanten!$B$12*1000),"")</f>
        <v/>
      </c>
      <c r="BB248" s="523" t="str">
        <f>_xlfn.IFNA(IF(données_step[[#This Row],[E_COT]]&lt;=0,NA(),charge_entree[[#This Row],[ch_E_COT]]/constanten!$B$9*1000),"")</f>
        <v/>
      </c>
      <c r="BC248" s="523" t="str">
        <f>IFERROR(_xlfn.IFNA(IF(données_step[[#This Row],[E_PTOT]]&lt;=0,NA(),charge_entree[[#This Row],[ch_E_PTOT]]/constanten!$B$15*1000),""),"")</f>
        <v/>
      </c>
      <c r="BD248" s="535" t="e">
        <f>calculs!E248 * (1-0.4) / (données_step[[#This Row],[X_BA_VOL]]*données_step[[#This Row],[X_BACONC]])</f>
        <v>#VALUE!</v>
      </c>
      <c r="BE248" s="522" t="e">
        <f>(données_step[[#This Row],[X_BA_VOL]]*données_step[[#This Row],[X_BACONC]])/((données_step[[#This Row],[D_QTRAI2]]*données_step[[#This Row],[S_MES]]/1000)+(données_step[[#This Row],[X_BX_Q]]*données_step[[#This Row],[X_BXCONC]]))</f>
        <v>#VALUE!</v>
      </c>
      <c r="BF248" s="890" t="str">
        <f>IFERROR(données_step[[#This Row],[D_QTRAI]]/AY248*1000,"")</f>
        <v/>
      </c>
      <c r="BG248" s="535" t="str">
        <f>IFERROR(1-données_step[[#This Row],[S_DBO5]]/données_step[[#This Row],[E_DBO5]],"")</f>
        <v/>
      </c>
      <c r="BH248" s="536" t="str">
        <f>IFERROR(1-données_step[[#This Row],[S_DCO]]/données_step[[#This Row],[E_DCO]],"")</f>
        <v/>
      </c>
      <c r="BI248" s="535" t="str">
        <f>IFERROR(1-données_step[[#This Row],[S_COD]]/données_step[[#This Row],[E_COT]],"")</f>
        <v/>
      </c>
      <c r="BJ248" s="535" t="str">
        <f>IFERROR(1-données_step[[#This Row],[S_NH4]]/données_step[[#This Row],[E_NTOT]],"")</f>
        <v/>
      </c>
      <c r="BK248" s="535" t="str">
        <f>IFERROR(1-données_step[[#This Row],[S_PTOT]]/données_step[[#This Row],[E_PTOT]],"")</f>
        <v/>
      </c>
      <c r="BL248" s="521" t="str">
        <f>IFERROR(IF(données_step[[#This Row],[E_DCO]]/données_step[[#This Row],[E_DBO5]]=0,NA(),données_step[[#This Row],[E_DCO]]/données_step[[#This Row],[E_DBO5]]),"")</f>
        <v/>
      </c>
      <c r="BM248" s="521" t="str">
        <f>IFERROR(IF(données_step[[#This Row],[E_NH4]]/données_step[[#This Row],[E_NTOT]]=0,NA(),données_step[[#This Row],[E_NH4]]/données_step[[#This Row],[E_NTOT]]),"")</f>
        <v/>
      </c>
      <c r="BN248" s="521" t="str">
        <f>IFERROR(IF(données_step[[#This Row],[E_NTOT]]/données_step[[#This Row],[E_COT]]=0,NA(),données_step[[#This Row],[E_NTOT]]/données_step[[#This Row],[E_COT]]),"")</f>
        <v/>
      </c>
      <c r="BO248" s="521" t="str">
        <f>IFERROR(IF(données_step[[#This Row],[E_PTOT]]/données_step[[#This Row],[E_COT]]=0,NA(),données_step[[#This Row],[E_PTOT]]/données_step[[#This Row],[E_COT]]),"")</f>
        <v/>
      </c>
      <c r="BP248" s="521" t="e">
        <f>IF(données_step[[#This Row],[E_DCO]]/données_step[[#This Row],[E_COT]]=0,NA(),données_step[[#This Row],[E_DCO]]/données_step[[#This Row],[E_COT]])</f>
        <v>#DIV/0!</v>
      </c>
      <c r="BQ248" s="521" t="e">
        <f>IF(données_step[[#This Row],[E_NTOT]]/données_step[[#This Row],[E_DCO]]=0,NA(),données_step[[#This Row],[E_NTOT]]/données_step[[#This Row],[E_DCO]])</f>
        <v>#DIV/0!</v>
      </c>
      <c r="BR248" s="521" t="e">
        <f>IF(données_step[[#This Row],[E_PTOT]]/données_step[[#This Row],[E_DCO]]=0,NA(),données_step[[#This Row],[E_PTOT]]/données_step[[#This Row],[E_DCO]])</f>
        <v>#DIV/0!</v>
      </c>
      <c r="BS248" s="747" t="e">
        <f ca="1">test_NH4_temp(données_step[[#This Row],[S_NH4]],données_step[[#This Row],[Temp_eaux]])</f>
        <v>#NAME?</v>
      </c>
    </row>
    <row r="249" spans="1:71" x14ac:dyDescent="0.2">
      <c r="A249" s="222">
        <f>données_step[[#This Row],[Datum]]</f>
        <v>44800</v>
      </c>
      <c r="B249" s="223"/>
      <c r="C249" s="224">
        <f t="shared" si="64"/>
        <v>7</v>
      </c>
      <c r="D249" s="523" t="str">
        <f>IF(OR(données_step[[#This Row],[E_DBO5]]&lt;=0,données_step[[#This Row],[E_DBO5]]=""),"",données_step[[#This Row],[D_QTRAI]]*données_step[[#This Row],[E_DBO5]]/1000)</f>
        <v/>
      </c>
      <c r="E249" s="523" t="str">
        <f>IF(OR(données_step[[#This Row],[E_DCO]]&lt;=0,données_step[[#This Row],[E_DCO]]=""),"",données_step[[#This Row],[D_QTRAI]]*données_step[[#This Row],[E_DCO]]/1000)</f>
        <v/>
      </c>
      <c r="F249" s="523" t="str">
        <f>IF(OR(données_step[[#This Row],[E_COT]]&lt;=0,données_step[[#This Row],[E_COT]]=""),"",données_step[[#This Row],[D_QTRAI]]*données_step[[#This Row],[E_COT]]/1000)</f>
        <v/>
      </c>
      <c r="G249" s="523" t="str">
        <f>IF(OR(données_step[[#This Row],[E_NH4]]&lt;=0,données_step[[#This Row],[E_NH4]]=""),"",données_step[[#This Row],[D_QTRAI]]*données_step[[#This Row],[E_NH4]]/1000)</f>
        <v/>
      </c>
      <c r="H249" s="523" t="str">
        <f>IF(OR(données_step[[#This Row],[E_NTOT]]&lt;=0,données_step[[#This Row],[E_NTOT]]=""),"",données_step[[#This Row],[D_QTRAI]]*données_step[[#This Row],[E_NTOT]]/1000)</f>
        <v/>
      </c>
      <c r="I249" s="523" t="str">
        <f>IF(OR(données_step[[#This Row],[E_NTOT]]&lt;=0,données_step[[#This Row],[E_NTOT]]=""),"",données_step[[#This Row],[D_QTRAI]]*données_step[[#This Row],[E_PTOT]]/1000)</f>
        <v/>
      </c>
      <c r="J249" s="523" t="str">
        <f>IF(OR(données_step[[#This Row],[S_DBO5]]&lt;=0,données_step[[#This Row],[S_DBO5]]=""),"",données_step[[#This Row],[D_QTRAI]]*données_step[[#This Row],[S_DBO5]]/1000)</f>
        <v/>
      </c>
      <c r="K249" s="523" t="str">
        <f>IF(OR(données_step[[#This Row],[S_DCO]]&lt;=0,données_step[[#This Row],[S_DCO]]=""),"",données_step[[#This Row],[D_QTRAI]]*données_step[[#This Row],[S_DCO]]/1000)</f>
        <v/>
      </c>
      <c r="L249" s="523" t="str">
        <f>IF(OR(données_step[[#This Row],[S_COD]]&lt;=0,données_step[[#This Row],[S_COD]]=""),"",données_step[[#This Row],[D_QTRAI]]*données_step[[#This Row],[S_COD]]/1000)</f>
        <v/>
      </c>
      <c r="M249" s="523" t="str">
        <f>IF(OR(données_step[[#This Row],[S_NH4]]&lt;=0,données_step[[#This Row],[S_NH4]]=""),"",données_step[[#This Row],[D_QTRAI]]*données_step[[#This Row],[S_NH4]]/1000)</f>
        <v/>
      </c>
      <c r="N249" s="523" t="str">
        <f>IF(OR(données_step[[#This Row],[S_NO2]]&lt;=0,données_step[[#This Row],[S_NO2]]=""),"",données_step[[#This Row],[D_QTRAI]]*données_step[[#This Row],[S_NO2]]/1000)</f>
        <v/>
      </c>
      <c r="O249" s="523" t="str">
        <f>IF(OR(données_step[[#This Row],[S_NO3]]&lt;=0,données_step[[#This Row],[S_NO3]]=""),"",données_step[[#This Row],[D_QTRAI]]*données_step[[#This Row],[S_NO3]]/1000)</f>
        <v/>
      </c>
      <c r="P249" s="523" t="str">
        <f>IF(OR(données_step[[#This Row],[S_PTOT]]&lt;=0,données_step[[#This Row],[S_PTOT]]=""),"",données_step[[#This Row],[D_QTRAI]]*données_step[[#This Row],[S_PTOT]]/1000)</f>
        <v/>
      </c>
      <c r="Q249" s="523" t="str">
        <f>IF(OR(données_step[[#This Row],[S_MES]]&lt;=0,données_step[[#This Row],[S_MES]]=""),"",données_step[[#This Row],[D_QTRAI]]*données_step[[#This Row],[S_MES]]/1000)</f>
        <v/>
      </c>
      <c r="R249" s="523">
        <f>MAX(données_step[[#This Row],[D_QTRAI]],données_step[[#This Row],[D_QTRAI2]])</f>
        <v>0</v>
      </c>
      <c r="S249" s="523" t="str">
        <f>IF(AND($R249&gt;0,données_step[[#This Row],[E_DCO]]&gt;0),données_step[[#This Row],[E_DCO]],"")</f>
        <v/>
      </c>
      <c r="T249" s="523" t="str">
        <f>IF(S249="","",(1-données_step[[#This Row],[E_DCO]]/$V$7)*100)</f>
        <v/>
      </c>
      <c r="U249" s="523" t="str">
        <f t="shared" si="50"/>
        <v/>
      </c>
      <c r="V249" s="523" t="str">
        <f t="shared" si="51"/>
        <v/>
      </c>
      <c r="W249" s="523" t="str">
        <f t="shared" si="52"/>
        <v/>
      </c>
      <c r="X249" s="523" t="e">
        <f>IF(((100-100/$V$7*données_step[[#This Row],[E_DCO]])/100*QTS)&lt;0,NA(),IF(OR(U249&lt;0,U249=""),NA(),((100-100/$V$7*données_step[[#This Row],[E_DCO]])/100*QTS)))</f>
        <v>#NUM!</v>
      </c>
      <c r="Y249" s="523" t="str">
        <f>IF(AND($R249&gt;0,données_step[[#This Row],[E_COT]]&gt;0),données_step[[#This Row],[E_COT]],"")</f>
        <v/>
      </c>
      <c r="Z249" s="523" t="str">
        <f>IF(Y249="","",(1-données_step[[#This Row],[E_COT]]/$AB$7)*100)</f>
        <v/>
      </c>
      <c r="AA249" s="523" t="str">
        <f t="shared" si="53"/>
        <v/>
      </c>
      <c r="AB249" s="523" t="str">
        <f t="shared" si="54"/>
        <v/>
      </c>
      <c r="AC249" s="523" t="str">
        <f t="shared" si="55"/>
        <v/>
      </c>
      <c r="AD249" s="523" t="e">
        <f>IF(((100-100/$AB$7*données_step[[#This Row],[E_COT]])/100*QTS)&lt;0,NA(),IF(OR(AA249&lt;0,AA249=""),NA(),((100-100/$AB$7*données_step[[#This Row],[E_COT]])/100*QTS)))</f>
        <v>#NUM!</v>
      </c>
      <c r="AE249" s="523" t="str">
        <f>IF(AND($R249&gt;0,données_step[[#This Row],[E_NH4]]&gt;0),données_step[[#This Row],[E_NH4]],"")</f>
        <v/>
      </c>
      <c r="AF249" s="523" t="str">
        <f>IF(AE249="","",(1-données_step[[#This Row],[E_NH4]]/$AH$7)*100)</f>
        <v/>
      </c>
      <c r="AG249" s="523" t="str">
        <f t="shared" si="56"/>
        <v/>
      </c>
      <c r="AH249" s="523" t="str">
        <f t="shared" si="57"/>
        <v/>
      </c>
      <c r="AI249" s="523" t="str">
        <f t="shared" si="58"/>
        <v/>
      </c>
      <c r="AJ249" s="523" t="e">
        <f>IF(((100-100/$AH$7*données_step[[#This Row],[E_NH4]])/100*QTS)&lt;0,NA(),IF(OR(AG249&lt;0,AG249=""),NA(),((100-100/$AH$7*données_step[[#This Row],[E_NH4]])/100*QTS)))</f>
        <v>#NUM!</v>
      </c>
      <c r="AK249" s="523" t="str">
        <f>IF(AND($R249&gt;0,données_step[[#This Row],[E_PTOT]]&gt;0),données_step[[#This Row],[E_PTOT]],"")</f>
        <v/>
      </c>
      <c r="AL249" s="523" t="str">
        <f>IF(AK249="","",(1-données_step[[#This Row],[E_PTOT]]/$AN$7)*100)</f>
        <v/>
      </c>
      <c r="AM249" s="523" t="str">
        <f t="shared" si="59"/>
        <v/>
      </c>
      <c r="AN249" s="523" t="str">
        <f t="shared" si="60"/>
        <v/>
      </c>
      <c r="AO249" s="523" t="str">
        <f t="shared" si="61"/>
        <v/>
      </c>
      <c r="AP249" s="523" t="e">
        <f>IF(((100-100/$AN$7*données_step[[#This Row],[E_PTOT]])/100*QTS)&lt;0,NA(),IF(OR(AM249&lt;0,AM249=""),NA(),((100-100/$AN$7*données_step[[#This Row],[E_PTOT]])/100*QTS)))</f>
        <v>#NUM!</v>
      </c>
      <c r="AQ249" s="524" t="e">
        <f t="shared" si="62"/>
        <v>#NUM!</v>
      </c>
      <c r="AR249" s="524" t="str">
        <f t="shared" si="63"/>
        <v/>
      </c>
      <c r="AY249" s="523" t="str">
        <f>_xlfn.IFNA(IF(données_step[[#This Row],[E_DCO]]&lt;=0,NA(),charge_entree[[#This Row],[ch_E_DCO]]/constanten!$B$8*1000),"")</f>
        <v/>
      </c>
      <c r="AZ249" s="523" t="str">
        <f>_xlfn.IFNA(IF(données_step[[#This Row],[E_NTOT]]&lt;=0,NA(),charge_entree[[#This Row],[ch_E_NTOT]]/constanten!$B$10*1000),"")</f>
        <v/>
      </c>
      <c r="BA249" s="523" t="str">
        <f>_xlfn.IFNA(IF(données_step[[#This Row],[E_NH4]]&lt;=0,NA(),charge_entree[[#This Row],[ch_E_NH4]]/constanten!$B$12*1000),"")</f>
        <v/>
      </c>
      <c r="BB249" s="523" t="str">
        <f>_xlfn.IFNA(IF(données_step[[#This Row],[E_COT]]&lt;=0,NA(),charge_entree[[#This Row],[ch_E_COT]]/constanten!$B$9*1000),"")</f>
        <v/>
      </c>
      <c r="BC249" s="523" t="str">
        <f>IFERROR(_xlfn.IFNA(IF(données_step[[#This Row],[E_PTOT]]&lt;=0,NA(),charge_entree[[#This Row],[ch_E_PTOT]]/constanten!$B$15*1000),""),"")</f>
        <v/>
      </c>
      <c r="BD249" s="535" t="e">
        <f>calculs!E249 * (1-0.4) / (données_step[[#This Row],[X_BA_VOL]]*données_step[[#This Row],[X_BACONC]])</f>
        <v>#VALUE!</v>
      </c>
      <c r="BE249" s="522" t="e">
        <f>(données_step[[#This Row],[X_BA_VOL]]*données_step[[#This Row],[X_BACONC]])/((données_step[[#This Row],[D_QTRAI2]]*données_step[[#This Row],[S_MES]]/1000)+(données_step[[#This Row],[X_BX_Q]]*données_step[[#This Row],[X_BXCONC]]))</f>
        <v>#VALUE!</v>
      </c>
      <c r="BF249" s="890" t="str">
        <f>IFERROR(données_step[[#This Row],[D_QTRAI]]/AY249*1000,"")</f>
        <v/>
      </c>
      <c r="BG249" s="535" t="str">
        <f>IFERROR(1-données_step[[#This Row],[S_DBO5]]/données_step[[#This Row],[E_DBO5]],"")</f>
        <v/>
      </c>
      <c r="BH249" s="536" t="str">
        <f>IFERROR(1-données_step[[#This Row],[S_DCO]]/données_step[[#This Row],[E_DCO]],"")</f>
        <v/>
      </c>
      <c r="BI249" s="535" t="str">
        <f>IFERROR(1-données_step[[#This Row],[S_COD]]/données_step[[#This Row],[E_COT]],"")</f>
        <v/>
      </c>
      <c r="BJ249" s="535" t="str">
        <f>IFERROR(1-données_step[[#This Row],[S_NH4]]/données_step[[#This Row],[E_NTOT]],"")</f>
        <v/>
      </c>
      <c r="BK249" s="535" t="str">
        <f>IFERROR(1-données_step[[#This Row],[S_PTOT]]/données_step[[#This Row],[E_PTOT]],"")</f>
        <v/>
      </c>
      <c r="BL249" s="521" t="str">
        <f>IFERROR(IF(données_step[[#This Row],[E_DCO]]/données_step[[#This Row],[E_DBO5]]=0,NA(),données_step[[#This Row],[E_DCO]]/données_step[[#This Row],[E_DBO5]]),"")</f>
        <v/>
      </c>
      <c r="BM249" s="521" t="str">
        <f>IFERROR(IF(données_step[[#This Row],[E_NH4]]/données_step[[#This Row],[E_NTOT]]=0,NA(),données_step[[#This Row],[E_NH4]]/données_step[[#This Row],[E_NTOT]]),"")</f>
        <v/>
      </c>
      <c r="BN249" s="521" t="str">
        <f>IFERROR(IF(données_step[[#This Row],[E_NTOT]]/données_step[[#This Row],[E_COT]]=0,NA(),données_step[[#This Row],[E_NTOT]]/données_step[[#This Row],[E_COT]]),"")</f>
        <v/>
      </c>
      <c r="BO249" s="521" t="str">
        <f>IFERROR(IF(données_step[[#This Row],[E_PTOT]]/données_step[[#This Row],[E_COT]]=0,NA(),données_step[[#This Row],[E_PTOT]]/données_step[[#This Row],[E_COT]]),"")</f>
        <v/>
      </c>
      <c r="BP249" s="521" t="e">
        <f>IF(données_step[[#This Row],[E_DCO]]/données_step[[#This Row],[E_COT]]=0,NA(),données_step[[#This Row],[E_DCO]]/données_step[[#This Row],[E_COT]])</f>
        <v>#DIV/0!</v>
      </c>
      <c r="BQ249" s="521" t="e">
        <f>IF(données_step[[#This Row],[E_NTOT]]/données_step[[#This Row],[E_DCO]]=0,NA(),données_step[[#This Row],[E_NTOT]]/données_step[[#This Row],[E_DCO]])</f>
        <v>#DIV/0!</v>
      </c>
      <c r="BR249" s="521" t="e">
        <f>IF(données_step[[#This Row],[E_PTOT]]/données_step[[#This Row],[E_DCO]]=0,NA(),données_step[[#This Row],[E_PTOT]]/données_step[[#This Row],[E_DCO]])</f>
        <v>#DIV/0!</v>
      </c>
      <c r="BS249" s="747" t="e">
        <f ca="1">test_NH4_temp(données_step[[#This Row],[S_NH4]],données_step[[#This Row],[Temp_eaux]])</f>
        <v>#NAME?</v>
      </c>
    </row>
    <row r="250" spans="1:71" x14ac:dyDescent="0.2">
      <c r="A250" s="222">
        <f>données_step[[#This Row],[Datum]]</f>
        <v>44801</v>
      </c>
      <c r="B250" s="223"/>
      <c r="C250" s="224">
        <f t="shared" si="64"/>
        <v>1</v>
      </c>
      <c r="D250" s="523" t="str">
        <f>IF(OR(données_step[[#This Row],[E_DBO5]]&lt;=0,données_step[[#This Row],[E_DBO5]]=""),"",données_step[[#This Row],[D_QTRAI]]*données_step[[#This Row],[E_DBO5]]/1000)</f>
        <v/>
      </c>
      <c r="E250" s="523" t="str">
        <f>IF(OR(données_step[[#This Row],[E_DCO]]&lt;=0,données_step[[#This Row],[E_DCO]]=""),"",données_step[[#This Row],[D_QTRAI]]*données_step[[#This Row],[E_DCO]]/1000)</f>
        <v/>
      </c>
      <c r="F250" s="523" t="str">
        <f>IF(OR(données_step[[#This Row],[E_COT]]&lt;=0,données_step[[#This Row],[E_COT]]=""),"",données_step[[#This Row],[D_QTRAI]]*données_step[[#This Row],[E_COT]]/1000)</f>
        <v/>
      </c>
      <c r="G250" s="523" t="str">
        <f>IF(OR(données_step[[#This Row],[E_NH4]]&lt;=0,données_step[[#This Row],[E_NH4]]=""),"",données_step[[#This Row],[D_QTRAI]]*données_step[[#This Row],[E_NH4]]/1000)</f>
        <v/>
      </c>
      <c r="H250" s="523" t="str">
        <f>IF(OR(données_step[[#This Row],[E_NTOT]]&lt;=0,données_step[[#This Row],[E_NTOT]]=""),"",données_step[[#This Row],[D_QTRAI]]*données_step[[#This Row],[E_NTOT]]/1000)</f>
        <v/>
      </c>
      <c r="I250" s="523" t="str">
        <f>IF(OR(données_step[[#This Row],[E_NTOT]]&lt;=0,données_step[[#This Row],[E_NTOT]]=""),"",données_step[[#This Row],[D_QTRAI]]*données_step[[#This Row],[E_PTOT]]/1000)</f>
        <v/>
      </c>
      <c r="J250" s="523" t="str">
        <f>IF(OR(données_step[[#This Row],[S_DBO5]]&lt;=0,données_step[[#This Row],[S_DBO5]]=""),"",données_step[[#This Row],[D_QTRAI]]*données_step[[#This Row],[S_DBO5]]/1000)</f>
        <v/>
      </c>
      <c r="K250" s="523" t="str">
        <f>IF(OR(données_step[[#This Row],[S_DCO]]&lt;=0,données_step[[#This Row],[S_DCO]]=""),"",données_step[[#This Row],[D_QTRAI]]*données_step[[#This Row],[S_DCO]]/1000)</f>
        <v/>
      </c>
      <c r="L250" s="523" t="str">
        <f>IF(OR(données_step[[#This Row],[S_COD]]&lt;=0,données_step[[#This Row],[S_COD]]=""),"",données_step[[#This Row],[D_QTRAI]]*données_step[[#This Row],[S_COD]]/1000)</f>
        <v/>
      </c>
      <c r="M250" s="523" t="str">
        <f>IF(OR(données_step[[#This Row],[S_NH4]]&lt;=0,données_step[[#This Row],[S_NH4]]=""),"",données_step[[#This Row],[D_QTRAI]]*données_step[[#This Row],[S_NH4]]/1000)</f>
        <v/>
      </c>
      <c r="N250" s="523" t="str">
        <f>IF(OR(données_step[[#This Row],[S_NO2]]&lt;=0,données_step[[#This Row],[S_NO2]]=""),"",données_step[[#This Row],[D_QTRAI]]*données_step[[#This Row],[S_NO2]]/1000)</f>
        <v/>
      </c>
      <c r="O250" s="523" t="str">
        <f>IF(OR(données_step[[#This Row],[S_NO3]]&lt;=0,données_step[[#This Row],[S_NO3]]=""),"",données_step[[#This Row],[D_QTRAI]]*données_step[[#This Row],[S_NO3]]/1000)</f>
        <v/>
      </c>
      <c r="P250" s="523" t="str">
        <f>IF(OR(données_step[[#This Row],[S_PTOT]]&lt;=0,données_step[[#This Row],[S_PTOT]]=""),"",données_step[[#This Row],[D_QTRAI]]*données_step[[#This Row],[S_PTOT]]/1000)</f>
        <v/>
      </c>
      <c r="Q250" s="523" t="str">
        <f>IF(OR(données_step[[#This Row],[S_MES]]&lt;=0,données_step[[#This Row],[S_MES]]=""),"",données_step[[#This Row],[D_QTRAI]]*données_step[[#This Row],[S_MES]]/1000)</f>
        <v/>
      </c>
      <c r="R250" s="523">
        <f>MAX(données_step[[#This Row],[D_QTRAI]],données_step[[#This Row],[D_QTRAI2]])</f>
        <v>0</v>
      </c>
      <c r="S250" s="523" t="str">
        <f>IF(AND($R250&gt;0,données_step[[#This Row],[E_DCO]]&gt;0),données_step[[#This Row],[E_DCO]],"")</f>
        <v/>
      </c>
      <c r="T250" s="523" t="str">
        <f>IF(S250="","",(1-données_step[[#This Row],[E_DCO]]/$V$7)*100)</f>
        <v/>
      </c>
      <c r="U250" s="523" t="str">
        <f t="shared" si="50"/>
        <v/>
      </c>
      <c r="V250" s="523" t="str">
        <f t="shared" si="51"/>
        <v/>
      </c>
      <c r="W250" s="523" t="str">
        <f t="shared" si="52"/>
        <v/>
      </c>
      <c r="X250" s="523" t="e">
        <f>IF(((100-100/$V$7*données_step[[#This Row],[E_DCO]])/100*QTS)&lt;0,NA(),IF(OR(U250&lt;0,U250=""),NA(),((100-100/$V$7*données_step[[#This Row],[E_DCO]])/100*QTS)))</f>
        <v>#NUM!</v>
      </c>
      <c r="Y250" s="523" t="str">
        <f>IF(AND($R250&gt;0,données_step[[#This Row],[E_COT]]&gt;0),données_step[[#This Row],[E_COT]],"")</f>
        <v/>
      </c>
      <c r="Z250" s="523" t="str">
        <f>IF(Y250="","",(1-données_step[[#This Row],[E_COT]]/$AB$7)*100)</f>
        <v/>
      </c>
      <c r="AA250" s="523" t="str">
        <f t="shared" si="53"/>
        <v/>
      </c>
      <c r="AB250" s="523" t="str">
        <f t="shared" si="54"/>
        <v/>
      </c>
      <c r="AC250" s="523" t="str">
        <f t="shared" si="55"/>
        <v/>
      </c>
      <c r="AD250" s="523" t="e">
        <f>IF(((100-100/$AB$7*données_step[[#This Row],[E_COT]])/100*QTS)&lt;0,NA(),IF(OR(AA250&lt;0,AA250=""),NA(),((100-100/$AB$7*données_step[[#This Row],[E_COT]])/100*QTS)))</f>
        <v>#NUM!</v>
      </c>
      <c r="AE250" s="523" t="str">
        <f>IF(AND($R250&gt;0,données_step[[#This Row],[E_NH4]]&gt;0),données_step[[#This Row],[E_NH4]],"")</f>
        <v/>
      </c>
      <c r="AF250" s="523" t="str">
        <f>IF(AE250="","",(1-données_step[[#This Row],[E_NH4]]/$AH$7)*100)</f>
        <v/>
      </c>
      <c r="AG250" s="523" t="str">
        <f t="shared" si="56"/>
        <v/>
      </c>
      <c r="AH250" s="523" t="str">
        <f t="shared" si="57"/>
        <v/>
      </c>
      <c r="AI250" s="523" t="str">
        <f t="shared" si="58"/>
        <v/>
      </c>
      <c r="AJ250" s="523" t="e">
        <f>IF(((100-100/$AH$7*données_step[[#This Row],[E_NH4]])/100*QTS)&lt;0,NA(),IF(OR(AG250&lt;0,AG250=""),NA(),((100-100/$AH$7*données_step[[#This Row],[E_NH4]])/100*QTS)))</f>
        <v>#NUM!</v>
      </c>
      <c r="AK250" s="523" t="str">
        <f>IF(AND($R250&gt;0,données_step[[#This Row],[E_PTOT]]&gt;0),données_step[[#This Row],[E_PTOT]],"")</f>
        <v/>
      </c>
      <c r="AL250" s="523" t="str">
        <f>IF(AK250="","",(1-données_step[[#This Row],[E_PTOT]]/$AN$7)*100)</f>
        <v/>
      </c>
      <c r="AM250" s="523" t="str">
        <f t="shared" si="59"/>
        <v/>
      </c>
      <c r="AN250" s="523" t="str">
        <f t="shared" si="60"/>
        <v/>
      </c>
      <c r="AO250" s="523" t="str">
        <f t="shared" si="61"/>
        <v/>
      </c>
      <c r="AP250" s="523" t="e">
        <f>IF(((100-100/$AN$7*données_step[[#This Row],[E_PTOT]])/100*QTS)&lt;0,NA(),IF(OR(AM250&lt;0,AM250=""),NA(),((100-100/$AN$7*données_step[[#This Row],[E_PTOT]])/100*QTS)))</f>
        <v>#NUM!</v>
      </c>
      <c r="AQ250" s="524" t="e">
        <f t="shared" si="62"/>
        <v>#NUM!</v>
      </c>
      <c r="AR250" s="524" t="str">
        <f t="shared" si="63"/>
        <v/>
      </c>
      <c r="AY250" s="523" t="str">
        <f>_xlfn.IFNA(IF(données_step[[#This Row],[E_DCO]]&lt;=0,NA(),charge_entree[[#This Row],[ch_E_DCO]]/constanten!$B$8*1000),"")</f>
        <v/>
      </c>
      <c r="AZ250" s="523" t="str">
        <f>_xlfn.IFNA(IF(données_step[[#This Row],[E_NTOT]]&lt;=0,NA(),charge_entree[[#This Row],[ch_E_NTOT]]/constanten!$B$10*1000),"")</f>
        <v/>
      </c>
      <c r="BA250" s="523" t="str">
        <f>_xlfn.IFNA(IF(données_step[[#This Row],[E_NH4]]&lt;=0,NA(),charge_entree[[#This Row],[ch_E_NH4]]/constanten!$B$12*1000),"")</f>
        <v/>
      </c>
      <c r="BB250" s="523" t="str">
        <f>_xlfn.IFNA(IF(données_step[[#This Row],[E_COT]]&lt;=0,NA(),charge_entree[[#This Row],[ch_E_COT]]/constanten!$B$9*1000),"")</f>
        <v/>
      </c>
      <c r="BC250" s="523" t="str">
        <f>IFERROR(_xlfn.IFNA(IF(données_step[[#This Row],[E_PTOT]]&lt;=0,NA(),charge_entree[[#This Row],[ch_E_PTOT]]/constanten!$B$15*1000),""),"")</f>
        <v/>
      </c>
      <c r="BD250" s="535" t="e">
        <f>calculs!E250 * (1-0.4) / (données_step[[#This Row],[X_BA_VOL]]*données_step[[#This Row],[X_BACONC]])</f>
        <v>#VALUE!</v>
      </c>
      <c r="BE250" s="522" t="e">
        <f>(données_step[[#This Row],[X_BA_VOL]]*données_step[[#This Row],[X_BACONC]])/((données_step[[#This Row],[D_QTRAI2]]*données_step[[#This Row],[S_MES]]/1000)+(données_step[[#This Row],[X_BX_Q]]*données_step[[#This Row],[X_BXCONC]]))</f>
        <v>#VALUE!</v>
      </c>
      <c r="BF250" s="890" t="str">
        <f>IFERROR(données_step[[#This Row],[D_QTRAI]]/AY250*1000,"")</f>
        <v/>
      </c>
      <c r="BG250" s="535" t="str">
        <f>IFERROR(1-données_step[[#This Row],[S_DBO5]]/données_step[[#This Row],[E_DBO5]],"")</f>
        <v/>
      </c>
      <c r="BH250" s="536" t="str">
        <f>IFERROR(1-données_step[[#This Row],[S_DCO]]/données_step[[#This Row],[E_DCO]],"")</f>
        <v/>
      </c>
      <c r="BI250" s="535" t="str">
        <f>IFERROR(1-données_step[[#This Row],[S_COD]]/données_step[[#This Row],[E_COT]],"")</f>
        <v/>
      </c>
      <c r="BJ250" s="535" t="str">
        <f>IFERROR(1-données_step[[#This Row],[S_NH4]]/données_step[[#This Row],[E_NTOT]],"")</f>
        <v/>
      </c>
      <c r="BK250" s="535" t="str">
        <f>IFERROR(1-données_step[[#This Row],[S_PTOT]]/données_step[[#This Row],[E_PTOT]],"")</f>
        <v/>
      </c>
      <c r="BL250" s="521" t="str">
        <f>IFERROR(IF(données_step[[#This Row],[E_DCO]]/données_step[[#This Row],[E_DBO5]]=0,NA(),données_step[[#This Row],[E_DCO]]/données_step[[#This Row],[E_DBO5]]),"")</f>
        <v/>
      </c>
      <c r="BM250" s="521" t="str">
        <f>IFERROR(IF(données_step[[#This Row],[E_NH4]]/données_step[[#This Row],[E_NTOT]]=0,NA(),données_step[[#This Row],[E_NH4]]/données_step[[#This Row],[E_NTOT]]),"")</f>
        <v/>
      </c>
      <c r="BN250" s="521" t="str">
        <f>IFERROR(IF(données_step[[#This Row],[E_NTOT]]/données_step[[#This Row],[E_COT]]=0,NA(),données_step[[#This Row],[E_NTOT]]/données_step[[#This Row],[E_COT]]),"")</f>
        <v/>
      </c>
      <c r="BO250" s="521" t="str">
        <f>IFERROR(IF(données_step[[#This Row],[E_PTOT]]/données_step[[#This Row],[E_COT]]=0,NA(),données_step[[#This Row],[E_PTOT]]/données_step[[#This Row],[E_COT]]),"")</f>
        <v/>
      </c>
      <c r="BP250" s="521" t="e">
        <f>IF(données_step[[#This Row],[E_DCO]]/données_step[[#This Row],[E_COT]]=0,NA(),données_step[[#This Row],[E_DCO]]/données_step[[#This Row],[E_COT]])</f>
        <v>#DIV/0!</v>
      </c>
      <c r="BQ250" s="521" t="e">
        <f>IF(données_step[[#This Row],[E_NTOT]]/données_step[[#This Row],[E_DCO]]=0,NA(),données_step[[#This Row],[E_NTOT]]/données_step[[#This Row],[E_DCO]])</f>
        <v>#DIV/0!</v>
      </c>
      <c r="BR250" s="521" t="e">
        <f>IF(données_step[[#This Row],[E_PTOT]]/données_step[[#This Row],[E_DCO]]=0,NA(),données_step[[#This Row],[E_PTOT]]/données_step[[#This Row],[E_DCO]])</f>
        <v>#DIV/0!</v>
      </c>
      <c r="BS250" s="747" t="e">
        <f ca="1">test_NH4_temp(données_step[[#This Row],[S_NH4]],données_step[[#This Row],[Temp_eaux]])</f>
        <v>#NAME?</v>
      </c>
    </row>
    <row r="251" spans="1:71" x14ac:dyDescent="0.2">
      <c r="A251" s="222">
        <f>données_step[[#This Row],[Datum]]</f>
        <v>44802</v>
      </c>
      <c r="B251" s="223"/>
      <c r="C251" s="224">
        <f t="shared" si="64"/>
        <v>2</v>
      </c>
      <c r="D251" s="523" t="str">
        <f>IF(OR(données_step[[#This Row],[E_DBO5]]&lt;=0,données_step[[#This Row],[E_DBO5]]=""),"",données_step[[#This Row],[D_QTRAI]]*données_step[[#This Row],[E_DBO5]]/1000)</f>
        <v/>
      </c>
      <c r="E251" s="523" t="str">
        <f>IF(OR(données_step[[#This Row],[E_DCO]]&lt;=0,données_step[[#This Row],[E_DCO]]=""),"",données_step[[#This Row],[D_QTRAI]]*données_step[[#This Row],[E_DCO]]/1000)</f>
        <v/>
      </c>
      <c r="F251" s="523" t="str">
        <f>IF(OR(données_step[[#This Row],[E_COT]]&lt;=0,données_step[[#This Row],[E_COT]]=""),"",données_step[[#This Row],[D_QTRAI]]*données_step[[#This Row],[E_COT]]/1000)</f>
        <v/>
      </c>
      <c r="G251" s="523" t="str">
        <f>IF(OR(données_step[[#This Row],[E_NH4]]&lt;=0,données_step[[#This Row],[E_NH4]]=""),"",données_step[[#This Row],[D_QTRAI]]*données_step[[#This Row],[E_NH4]]/1000)</f>
        <v/>
      </c>
      <c r="H251" s="523" t="str">
        <f>IF(OR(données_step[[#This Row],[E_NTOT]]&lt;=0,données_step[[#This Row],[E_NTOT]]=""),"",données_step[[#This Row],[D_QTRAI]]*données_step[[#This Row],[E_NTOT]]/1000)</f>
        <v/>
      </c>
      <c r="I251" s="523" t="str">
        <f>IF(OR(données_step[[#This Row],[E_NTOT]]&lt;=0,données_step[[#This Row],[E_NTOT]]=""),"",données_step[[#This Row],[D_QTRAI]]*données_step[[#This Row],[E_PTOT]]/1000)</f>
        <v/>
      </c>
      <c r="J251" s="523" t="str">
        <f>IF(OR(données_step[[#This Row],[S_DBO5]]&lt;=0,données_step[[#This Row],[S_DBO5]]=""),"",données_step[[#This Row],[D_QTRAI]]*données_step[[#This Row],[S_DBO5]]/1000)</f>
        <v/>
      </c>
      <c r="K251" s="523" t="str">
        <f>IF(OR(données_step[[#This Row],[S_DCO]]&lt;=0,données_step[[#This Row],[S_DCO]]=""),"",données_step[[#This Row],[D_QTRAI]]*données_step[[#This Row],[S_DCO]]/1000)</f>
        <v/>
      </c>
      <c r="L251" s="523" t="str">
        <f>IF(OR(données_step[[#This Row],[S_COD]]&lt;=0,données_step[[#This Row],[S_COD]]=""),"",données_step[[#This Row],[D_QTRAI]]*données_step[[#This Row],[S_COD]]/1000)</f>
        <v/>
      </c>
      <c r="M251" s="523" t="str">
        <f>IF(OR(données_step[[#This Row],[S_NH4]]&lt;=0,données_step[[#This Row],[S_NH4]]=""),"",données_step[[#This Row],[D_QTRAI]]*données_step[[#This Row],[S_NH4]]/1000)</f>
        <v/>
      </c>
      <c r="N251" s="523" t="str">
        <f>IF(OR(données_step[[#This Row],[S_NO2]]&lt;=0,données_step[[#This Row],[S_NO2]]=""),"",données_step[[#This Row],[D_QTRAI]]*données_step[[#This Row],[S_NO2]]/1000)</f>
        <v/>
      </c>
      <c r="O251" s="523" t="str">
        <f>IF(OR(données_step[[#This Row],[S_NO3]]&lt;=0,données_step[[#This Row],[S_NO3]]=""),"",données_step[[#This Row],[D_QTRAI]]*données_step[[#This Row],[S_NO3]]/1000)</f>
        <v/>
      </c>
      <c r="P251" s="523" t="str">
        <f>IF(OR(données_step[[#This Row],[S_PTOT]]&lt;=0,données_step[[#This Row],[S_PTOT]]=""),"",données_step[[#This Row],[D_QTRAI]]*données_step[[#This Row],[S_PTOT]]/1000)</f>
        <v/>
      </c>
      <c r="Q251" s="523" t="str">
        <f>IF(OR(données_step[[#This Row],[S_MES]]&lt;=0,données_step[[#This Row],[S_MES]]=""),"",données_step[[#This Row],[D_QTRAI]]*données_step[[#This Row],[S_MES]]/1000)</f>
        <v/>
      </c>
      <c r="R251" s="523">
        <f>MAX(données_step[[#This Row],[D_QTRAI]],données_step[[#This Row],[D_QTRAI2]])</f>
        <v>0</v>
      </c>
      <c r="S251" s="523" t="str">
        <f>IF(AND($R251&gt;0,données_step[[#This Row],[E_DCO]]&gt;0),données_step[[#This Row],[E_DCO]],"")</f>
        <v/>
      </c>
      <c r="T251" s="523" t="str">
        <f>IF(S251="","",(1-données_step[[#This Row],[E_DCO]]/$V$7)*100)</f>
        <v/>
      </c>
      <c r="U251" s="523" t="str">
        <f t="shared" si="50"/>
        <v/>
      </c>
      <c r="V251" s="523" t="str">
        <f t="shared" si="51"/>
        <v/>
      </c>
      <c r="W251" s="523" t="str">
        <f t="shared" si="52"/>
        <v/>
      </c>
      <c r="X251" s="523" t="e">
        <f>IF(((100-100/$V$7*données_step[[#This Row],[E_DCO]])/100*QTS)&lt;0,NA(),IF(OR(U251&lt;0,U251=""),NA(),((100-100/$V$7*données_step[[#This Row],[E_DCO]])/100*QTS)))</f>
        <v>#NUM!</v>
      </c>
      <c r="Y251" s="523" t="str">
        <f>IF(AND($R251&gt;0,données_step[[#This Row],[E_COT]]&gt;0),données_step[[#This Row],[E_COT]],"")</f>
        <v/>
      </c>
      <c r="Z251" s="523" t="str">
        <f>IF(Y251="","",(1-données_step[[#This Row],[E_COT]]/$AB$7)*100)</f>
        <v/>
      </c>
      <c r="AA251" s="523" t="str">
        <f t="shared" si="53"/>
        <v/>
      </c>
      <c r="AB251" s="523" t="str">
        <f t="shared" si="54"/>
        <v/>
      </c>
      <c r="AC251" s="523" t="str">
        <f t="shared" si="55"/>
        <v/>
      </c>
      <c r="AD251" s="523" t="e">
        <f>IF(((100-100/$AB$7*données_step[[#This Row],[E_COT]])/100*QTS)&lt;0,NA(),IF(OR(AA251&lt;0,AA251=""),NA(),((100-100/$AB$7*données_step[[#This Row],[E_COT]])/100*QTS)))</f>
        <v>#NUM!</v>
      </c>
      <c r="AE251" s="523" t="str">
        <f>IF(AND($R251&gt;0,données_step[[#This Row],[E_NH4]]&gt;0),données_step[[#This Row],[E_NH4]],"")</f>
        <v/>
      </c>
      <c r="AF251" s="523" t="str">
        <f>IF(AE251="","",(1-données_step[[#This Row],[E_NH4]]/$AH$7)*100)</f>
        <v/>
      </c>
      <c r="AG251" s="523" t="str">
        <f t="shared" si="56"/>
        <v/>
      </c>
      <c r="AH251" s="523" t="str">
        <f t="shared" si="57"/>
        <v/>
      </c>
      <c r="AI251" s="523" t="str">
        <f t="shared" si="58"/>
        <v/>
      </c>
      <c r="AJ251" s="523" t="e">
        <f>IF(((100-100/$AH$7*données_step[[#This Row],[E_NH4]])/100*QTS)&lt;0,NA(),IF(OR(AG251&lt;0,AG251=""),NA(),((100-100/$AH$7*données_step[[#This Row],[E_NH4]])/100*QTS)))</f>
        <v>#NUM!</v>
      </c>
      <c r="AK251" s="523" t="str">
        <f>IF(AND($R251&gt;0,données_step[[#This Row],[E_PTOT]]&gt;0),données_step[[#This Row],[E_PTOT]],"")</f>
        <v/>
      </c>
      <c r="AL251" s="523" t="str">
        <f>IF(AK251="","",(1-données_step[[#This Row],[E_PTOT]]/$AN$7)*100)</f>
        <v/>
      </c>
      <c r="AM251" s="523" t="str">
        <f t="shared" si="59"/>
        <v/>
      </c>
      <c r="AN251" s="523" t="str">
        <f t="shared" si="60"/>
        <v/>
      </c>
      <c r="AO251" s="523" t="str">
        <f t="shared" si="61"/>
        <v/>
      </c>
      <c r="AP251" s="523" t="e">
        <f>IF(((100-100/$AN$7*données_step[[#This Row],[E_PTOT]])/100*QTS)&lt;0,NA(),IF(OR(AM251&lt;0,AM251=""),NA(),((100-100/$AN$7*données_step[[#This Row],[E_PTOT]])/100*QTS)))</f>
        <v>#NUM!</v>
      </c>
      <c r="AQ251" s="524" t="e">
        <f t="shared" si="62"/>
        <v>#NUM!</v>
      </c>
      <c r="AR251" s="524" t="str">
        <f t="shared" si="63"/>
        <v/>
      </c>
      <c r="AY251" s="523" t="str">
        <f>_xlfn.IFNA(IF(données_step[[#This Row],[E_DCO]]&lt;=0,NA(),charge_entree[[#This Row],[ch_E_DCO]]/constanten!$B$8*1000),"")</f>
        <v/>
      </c>
      <c r="AZ251" s="523" t="str">
        <f>_xlfn.IFNA(IF(données_step[[#This Row],[E_NTOT]]&lt;=0,NA(),charge_entree[[#This Row],[ch_E_NTOT]]/constanten!$B$10*1000),"")</f>
        <v/>
      </c>
      <c r="BA251" s="523" t="str">
        <f>_xlfn.IFNA(IF(données_step[[#This Row],[E_NH4]]&lt;=0,NA(),charge_entree[[#This Row],[ch_E_NH4]]/constanten!$B$12*1000),"")</f>
        <v/>
      </c>
      <c r="BB251" s="523" t="str">
        <f>_xlfn.IFNA(IF(données_step[[#This Row],[E_COT]]&lt;=0,NA(),charge_entree[[#This Row],[ch_E_COT]]/constanten!$B$9*1000),"")</f>
        <v/>
      </c>
      <c r="BC251" s="523" t="str">
        <f>IFERROR(_xlfn.IFNA(IF(données_step[[#This Row],[E_PTOT]]&lt;=0,NA(),charge_entree[[#This Row],[ch_E_PTOT]]/constanten!$B$15*1000),""),"")</f>
        <v/>
      </c>
      <c r="BD251" s="535" t="e">
        <f>calculs!E251 * (1-0.4) / (données_step[[#This Row],[X_BA_VOL]]*données_step[[#This Row],[X_BACONC]])</f>
        <v>#VALUE!</v>
      </c>
      <c r="BE251" s="522" t="e">
        <f>(données_step[[#This Row],[X_BA_VOL]]*données_step[[#This Row],[X_BACONC]])/((données_step[[#This Row],[D_QTRAI2]]*données_step[[#This Row],[S_MES]]/1000)+(données_step[[#This Row],[X_BX_Q]]*données_step[[#This Row],[X_BXCONC]]))</f>
        <v>#VALUE!</v>
      </c>
      <c r="BF251" s="890" t="str">
        <f>IFERROR(données_step[[#This Row],[D_QTRAI]]/AY251*1000,"")</f>
        <v/>
      </c>
      <c r="BG251" s="535" t="str">
        <f>IFERROR(1-données_step[[#This Row],[S_DBO5]]/données_step[[#This Row],[E_DBO5]],"")</f>
        <v/>
      </c>
      <c r="BH251" s="536" t="str">
        <f>IFERROR(1-données_step[[#This Row],[S_DCO]]/données_step[[#This Row],[E_DCO]],"")</f>
        <v/>
      </c>
      <c r="BI251" s="535" t="str">
        <f>IFERROR(1-données_step[[#This Row],[S_COD]]/données_step[[#This Row],[E_COT]],"")</f>
        <v/>
      </c>
      <c r="BJ251" s="535" t="str">
        <f>IFERROR(1-données_step[[#This Row],[S_NH4]]/données_step[[#This Row],[E_NTOT]],"")</f>
        <v/>
      </c>
      <c r="BK251" s="535" t="str">
        <f>IFERROR(1-données_step[[#This Row],[S_PTOT]]/données_step[[#This Row],[E_PTOT]],"")</f>
        <v/>
      </c>
      <c r="BL251" s="521" t="str">
        <f>IFERROR(IF(données_step[[#This Row],[E_DCO]]/données_step[[#This Row],[E_DBO5]]=0,NA(),données_step[[#This Row],[E_DCO]]/données_step[[#This Row],[E_DBO5]]),"")</f>
        <v/>
      </c>
      <c r="BM251" s="521" t="str">
        <f>IFERROR(IF(données_step[[#This Row],[E_NH4]]/données_step[[#This Row],[E_NTOT]]=0,NA(),données_step[[#This Row],[E_NH4]]/données_step[[#This Row],[E_NTOT]]),"")</f>
        <v/>
      </c>
      <c r="BN251" s="521" t="str">
        <f>IFERROR(IF(données_step[[#This Row],[E_NTOT]]/données_step[[#This Row],[E_COT]]=0,NA(),données_step[[#This Row],[E_NTOT]]/données_step[[#This Row],[E_COT]]),"")</f>
        <v/>
      </c>
      <c r="BO251" s="521" t="str">
        <f>IFERROR(IF(données_step[[#This Row],[E_PTOT]]/données_step[[#This Row],[E_COT]]=0,NA(),données_step[[#This Row],[E_PTOT]]/données_step[[#This Row],[E_COT]]),"")</f>
        <v/>
      </c>
      <c r="BP251" s="521" t="e">
        <f>IF(données_step[[#This Row],[E_DCO]]/données_step[[#This Row],[E_COT]]=0,NA(),données_step[[#This Row],[E_DCO]]/données_step[[#This Row],[E_COT]])</f>
        <v>#DIV/0!</v>
      </c>
      <c r="BQ251" s="521" t="e">
        <f>IF(données_step[[#This Row],[E_NTOT]]/données_step[[#This Row],[E_DCO]]=0,NA(),données_step[[#This Row],[E_NTOT]]/données_step[[#This Row],[E_DCO]])</f>
        <v>#DIV/0!</v>
      </c>
      <c r="BR251" s="521" t="e">
        <f>IF(données_step[[#This Row],[E_PTOT]]/données_step[[#This Row],[E_DCO]]=0,NA(),données_step[[#This Row],[E_PTOT]]/données_step[[#This Row],[E_DCO]])</f>
        <v>#DIV/0!</v>
      </c>
      <c r="BS251" s="747" t="e">
        <f ca="1">test_NH4_temp(données_step[[#This Row],[S_NH4]],données_step[[#This Row],[Temp_eaux]])</f>
        <v>#NAME?</v>
      </c>
    </row>
    <row r="252" spans="1:71" x14ac:dyDescent="0.2">
      <c r="A252" s="222">
        <f>données_step[[#This Row],[Datum]]</f>
        <v>44803</v>
      </c>
      <c r="B252" s="223"/>
      <c r="C252" s="224">
        <f t="shared" si="64"/>
        <v>3</v>
      </c>
      <c r="D252" s="523" t="str">
        <f>IF(OR(données_step[[#This Row],[E_DBO5]]&lt;=0,données_step[[#This Row],[E_DBO5]]=""),"",données_step[[#This Row],[D_QTRAI]]*données_step[[#This Row],[E_DBO5]]/1000)</f>
        <v/>
      </c>
      <c r="E252" s="523" t="str">
        <f>IF(OR(données_step[[#This Row],[E_DCO]]&lt;=0,données_step[[#This Row],[E_DCO]]=""),"",données_step[[#This Row],[D_QTRAI]]*données_step[[#This Row],[E_DCO]]/1000)</f>
        <v/>
      </c>
      <c r="F252" s="523" t="str">
        <f>IF(OR(données_step[[#This Row],[E_COT]]&lt;=0,données_step[[#This Row],[E_COT]]=""),"",données_step[[#This Row],[D_QTRAI]]*données_step[[#This Row],[E_COT]]/1000)</f>
        <v/>
      </c>
      <c r="G252" s="523" t="str">
        <f>IF(OR(données_step[[#This Row],[E_NH4]]&lt;=0,données_step[[#This Row],[E_NH4]]=""),"",données_step[[#This Row],[D_QTRAI]]*données_step[[#This Row],[E_NH4]]/1000)</f>
        <v/>
      </c>
      <c r="H252" s="523" t="str">
        <f>IF(OR(données_step[[#This Row],[E_NTOT]]&lt;=0,données_step[[#This Row],[E_NTOT]]=""),"",données_step[[#This Row],[D_QTRAI]]*données_step[[#This Row],[E_NTOT]]/1000)</f>
        <v/>
      </c>
      <c r="I252" s="523" t="str">
        <f>IF(OR(données_step[[#This Row],[E_NTOT]]&lt;=0,données_step[[#This Row],[E_NTOT]]=""),"",données_step[[#This Row],[D_QTRAI]]*données_step[[#This Row],[E_PTOT]]/1000)</f>
        <v/>
      </c>
      <c r="J252" s="523" t="str">
        <f>IF(OR(données_step[[#This Row],[S_DBO5]]&lt;=0,données_step[[#This Row],[S_DBO5]]=""),"",données_step[[#This Row],[D_QTRAI]]*données_step[[#This Row],[S_DBO5]]/1000)</f>
        <v/>
      </c>
      <c r="K252" s="523" t="str">
        <f>IF(OR(données_step[[#This Row],[S_DCO]]&lt;=0,données_step[[#This Row],[S_DCO]]=""),"",données_step[[#This Row],[D_QTRAI]]*données_step[[#This Row],[S_DCO]]/1000)</f>
        <v/>
      </c>
      <c r="L252" s="523" t="str">
        <f>IF(OR(données_step[[#This Row],[S_COD]]&lt;=0,données_step[[#This Row],[S_COD]]=""),"",données_step[[#This Row],[D_QTRAI]]*données_step[[#This Row],[S_COD]]/1000)</f>
        <v/>
      </c>
      <c r="M252" s="523" t="str">
        <f>IF(OR(données_step[[#This Row],[S_NH4]]&lt;=0,données_step[[#This Row],[S_NH4]]=""),"",données_step[[#This Row],[D_QTRAI]]*données_step[[#This Row],[S_NH4]]/1000)</f>
        <v/>
      </c>
      <c r="N252" s="523" t="str">
        <f>IF(OR(données_step[[#This Row],[S_NO2]]&lt;=0,données_step[[#This Row],[S_NO2]]=""),"",données_step[[#This Row],[D_QTRAI]]*données_step[[#This Row],[S_NO2]]/1000)</f>
        <v/>
      </c>
      <c r="O252" s="523" t="str">
        <f>IF(OR(données_step[[#This Row],[S_NO3]]&lt;=0,données_step[[#This Row],[S_NO3]]=""),"",données_step[[#This Row],[D_QTRAI]]*données_step[[#This Row],[S_NO3]]/1000)</f>
        <v/>
      </c>
      <c r="P252" s="523" t="str">
        <f>IF(OR(données_step[[#This Row],[S_PTOT]]&lt;=0,données_step[[#This Row],[S_PTOT]]=""),"",données_step[[#This Row],[D_QTRAI]]*données_step[[#This Row],[S_PTOT]]/1000)</f>
        <v/>
      </c>
      <c r="Q252" s="523" t="str">
        <f>IF(OR(données_step[[#This Row],[S_MES]]&lt;=0,données_step[[#This Row],[S_MES]]=""),"",données_step[[#This Row],[D_QTRAI]]*données_step[[#This Row],[S_MES]]/1000)</f>
        <v/>
      </c>
      <c r="R252" s="523">
        <f>MAX(données_step[[#This Row],[D_QTRAI]],données_step[[#This Row],[D_QTRAI2]])</f>
        <v>0</v>
      </c>
      <c r="S252" s="523" t="str">
        <f>IF(AND($R252&gt;0,données_step[[#This Row],[E_DCO]]&gt;0),données_step[[#This Row],[E_DCO]],"")</f>
        <v/>
      </c>
      <c r="T252" s="523" t="str">
        <f>IF(S252="","",(1-données_step[[#This Row],[E_DCO]]/$V$7)*100)</f>
        <v/>
      </c>
      <c r="U252" s="523" t="str">
        <f t="shared" si="50"/>
        <v/>
      </c>
      <c r="V252" s="523" t="str">
        <f t="shared" si="51"/>
        <v/>
      </c>
      <c r="W252" s="523" t="str">
        <f t="shared" si="52"/>
        <v/>
      </c>
      <c r="X252" s="523" t="e">
        <f>IF(((100-100/$V$7*données_step[[#This Row],[E_DCO]])/100*QTS)&lt;0,NA(),IF(OR(U252&lt;0,U252=""),NA(),((100-100/$V$7*données_step[[#This Row],[E_DCO]])/100*QTS)))</f>
        <v>#NUM!</v>
      </c>
      <c r="Y252" s="523" t="str">
        <f>IF(AND($R252&gt;0,données_step[[#This Row],[E_COT]]&gt;0),données_step[[#This Row],[E_COT]],"")</f>
        <v/>
      </c>
      <c r="Z252" s="523" t="str">
        <f>IF(Y252="","",(1-données_step[[#This Row],[E_COT]]/$AB$7)*100)</f>
        <v/>
      </c>
      <c r="AA252" s="523" t="str">
        <f t="shared" si="53"/>
        <v/>
      </c>
      <c r="AB252" s="523" t="str">
        <f t="shared" si="54"/>
        <v/>
      </c>
      <c r="AC252" s="523" t="str">
        <f t="shared" si="55"/>
        <v/>
      </c>
      <c r="AD252" s="523" t="e">
        <f>IF(((100-100/$AB$7*données_step[[#This Row],[E_COT]])/100*QTS)&lt;0,NA(),IF(OR(AA252&lt;0,AA252=""),NA(),((100-100/$AB$7*données_step[[#This Row],[E_COT]])/100*QTS)))</f>
        <v>#NUM!</v>
      </c>
      <c r="AE252" s="523" t="str">
        <f>IF(AND($R252&gt;0,données_step[[#This Row],[E_NH4]]&gt;0),données_step[[#This Row],[E_NH4]],"")</f>
        <v/>
      </c>
      <c r="AF252" s="523" t="str">
        <f>IF(AE252="","",(1-données_step[[#This Row],[E_NH4]]/$AH$7)*100)</f>
        <v/>
      </c>
      <c r="AG252" s="523" t="str">
        <f t="shared" si="56"/>
        <v/>
      </c>
      <c r="AH252" s="523" t="str">
        <f t="shared" si="57"/>
        <v/>
      </c>
      <c r="AI252" s="523" t="str">
        <f t="shared" si="58"/>
        <v/>
      </c>
      <c r="AJ252" s="523" t="e">
        <f>IF(((100-100/$AH$7*données_step[[#This Row],[E_NH4]])/100*QTS)&lt;0,NA(),IF(OR(AG252&lt;0,AG252=""),NA(),((100-100/$AH$7*données_step[[#This Row],[E_NH4]])/100*QTS)))</f>
        <v>#NUM!</v>
      </c>
      <c r="AK252" s="523" t="str">
        <f>IF(AND($R252&gt;0,données_step[[#This Row],[E_PTOT]]&gt;0),données_step[[#This Row],[E_PTOT]],"")</f>
        <v/>
      </c>
      <c r="AL252" s="523" t="str">
        <f>IF(AK252="","",(1-données_step[[#This Row],[E_PTOT]]/$AN$7)*100)</f>
        <v/>
      </c>
      <c r="AM252" s="523" t="str">
        <f t="shared" si="59"/>
        <v/>
      </c>
      <c r="AN252" s="523" t="str">
        <f t="shared" si="60"/>
        <v/>
      </c>
      <c r="AO252" s="523" t="str">
        <f t="shared" si="61"/>
        <v/>
      </c>
      <c r="AP252" s="523" t="e">
        <f>IF(((100-100/$AN$7*données_step[[#This Row],[E_PTOT]])/100*QTS)&lt;0,NA(),IF(OR(AM252&lt;0,AM252=""),NA(),((100-100/$AN$7*données_step[[#This Row],[E_PTOT]])/100*QTS)))</f>
        <v>#NUM!</v>
      </c>
      <c r="AQ252" s="524" t="e">
        <f t="shared" si="62"/>
        <v>#NUM!</v>
      </c>
      <c r="AR252" s="524" t="str">
        <f t="shared" si="63"/>
        <v/>
      </c>
      <c r="AY252" s="523" t="str">
        <f>_xlfn.IFNA(IF(données_step[[#This Row],[E_DCO]]&lt;=0,NA(),charge_entree[[#This Row],[ch_E_DCO]]/constanten!$B$8*1000),"")</f>
        <v/>
      </c>
      <c r="AZ252" s="523" t="str">
        <f>_xlfn.IFNA(IF(données_step[[#This Row],[E_NTOT]]&lt;=0,NA(),charge_entree[[#This Row],[ch_E_NTOT]]/constanten!$B$10*1000),"")</f>
        <v/>
      </c>
      <c r="BA252" s="523" t="str">
        <f>_xlfn.IFNA(IF(données_step[[#This Row],[E_NH4]]&lt;=0,NA(),charge_entree[[#This Row],[ch_E_NH4]]/constanten!$B$12*1000),"")</f>
        <v/>
      </c>
      <c r="BB252" s="523" t="str">
        <f>_xlfn.IFNA(IF(données_step[[#This Row],[E_COT]]&lt;=0,NA(),charge_entree[[#This Row],[ch_E_COT]]/constanten!$B$9*1000),"")</f>
        <v/>
      </c>
      <c r="BC252" s="523" t="str">
        <f>IFERROR(_xlfn.IFNA(IF(données_step[[#This Row],[E_PTOT]]&lt;=0,NA(),charge_entree[[#This Row],[ch_E_PTOT]]/constanten!$B$15*1000),""),"")</f>
        <v/>
      </c>
      <c r="BD252" s="535" t="e">
        <f>calculs!E252 * (1-0.4) / (données_step[[#This Row],[X_BA_VOL]]*données_step[[#This Row],[X_BACONC]])</f>
        <v>#VALUE!</v>
      </c>
      <c r="BE252" s="522" t="e">
        <f>(données_step[[#This Row],[X_BA_VOL]]*données_step[[#This Row],[X_BACONC]])/((données_step[[#This Row],[D_QTRAI2]]*données_step[[#This Row],[S_MES]]/1000)+(données_step[[#This Row],[X_BX_Q]]*données_step[[#This Row],[X_BXCONC]]))</f>
        <v>#VALUE!</v>
      </c>
      <c r="BF252" s="890" t="str">
        <f>IFERROR(données_step[[#This Row],[D_QTRAI]]/AY252*1000,"")</f>
        <v/>
      </c>
      <c r="BG252" s="535" t="str">
        <f>IFERROR(1-données_step[[#This Row],[S_DBO5]]/données_step[[#This Row],[E_DBO5]],"")</f>
        <v/>
      </c>
      <c r="BH252" s="536" t="str">
        <f>IFERROR(1-données_step[[#This Row],[S_DCO]]/données_step[[#This Row],[E_DCO]],"")</f>
        <v/>
      </c>
      <c r="BI252" s="535" t="str">
        <f>IFERROR(1-données_step[[#This Row],[S_COD]]/données_step[[#This Row],[E_COT]],"")</f>
        <v/>
      </c>
      <c r="BJ252" s="535" t="str">
        <f>IFERROR(1-données_step[[#This Row],[S_NH4]]/données_step[[#This Row],[E_NTOT]],"")</f>
        <v/>
      </c>
      <c r="BK252" s="535" t="str">
        <f>IFERROR(1-données_step[[#This Row],[S_PTOT]]/données_step[[#This Row],[E_PTOT]],"")</f>
        <v/>
      </c>
      <c r="BL252" s="521" t="str">
        <f>IFERROR(IF(données_step[[#This Row],[E_DCO]]/données_step[[#This Row],[E_DBO5]]=0,NA(),données_step[[#This Row],[E_DCO]]/données_step[[#This Row],[E_DBO5]]),"")</f>
        <v/>
      </c>
      <c r="BM252" s="521" t="str">
        <f>IFERROR(IF(données_step[[#This Row],[E_NH4]]/données_step[[#This Row],[E_NTOT]]=0,NA(),données_step[[#This Row],[E_NH4]]/données_step[[#This Row],[E_NTOT]]),"")</f>
        <v/>
      </c>
      <c r="BN252" s="521" t="str">
        <f>IFERROR(IF(données_step[[#This Row],[E_NTOT]]/données_step[[#This Row],[E_COT]]=0,NA(),données_step[[#This Row],[E_NTOT]]/données_step[[#This Row],[E_COT]]),"")</f>
        <v/>
      </c>
      <c r="BO252" s="521" t="str">
        <f>IFERROR(IF(données_step[[#This Row],[E_PTOT]]/données_step[[#This Row],[E_COT]]=0,NA(),données_step[[#This Row],[E_PTOT]]/données_step[[#This Row],[E_COT]]),"")</f>
        <v/>
      </c>
      <c r="BP252" s="521" t="e">
        <f>IF(données_step[[#This Row],[E_DCO]]/données_step[[#This Row],[E_COT]]=0,NA(),données_step[[#This Row],[E_DCO]]/données_step[[#This Row],[E_COT]])</f>
        <v>#DIV/0!</v>
      </c>
      <c r="BQ252" s="521" t="e">
        <f>IF(données_step[[#This Row],[E_NTOT]]/données_step[[#This Row],[E_DCO]]=0,NA(),données_step[[#This Row],[E_NTOT]]/données_step[[#This Row],[E_DCO]])</f>
        <v>#DIV/0!</v>
      </c>
      <c r="BR252" s="521" t="e">
        <f>IF(données_step[[#This Row],[E_PTOT]]/données_step[[#This Row],[E_DCO]]=0,NA(),données_step[[#This Row],[E_PTOT]]/données_step[[#This Row],[E_DCO]])</f>
        <v>#DIV/0!</v>
      </c>
      <c r="BS252" s="747" t="e">
        <f ca="1">test_NH4_temp(données_step[[#This Row],[S_NH4]],données_step[[#This Row],[Temp_eaux]])</f>
        <v>#NAME?</v>
      </c>
    </row>
    <row r="253" spans="1:71" x14ac:dyDescent="0.2">
      <c r="A253" s="222">
        <f>données_step[[#This Row],[Datum]]</f>
        <v>44804</v>
      </c>
      <c r="B253" s="223"/>
      <c r="C253" s="224">
        <f t="shared" si="64"/>
        <v>4</v>
      </c>
      <c r="D253" s="523" t="str">
        <f>IF(OR(données_step[[#This Row],[E_DBO5]]&lt;=0,données_step[[#This Row],[E_DBO5]]=""),"",données_step[[#This Row],[D_QTRAI]]*données_step[[#This Row],[E_DBO5]]/1000)</f>
        <v/>
      </c>
      <c r="E253" s="523" t="str">
        <f>IF(OR(données_step[[#This Row],[E_DCO]]&lt;=0,données_step[[#This Row],[E_DCO]]=""),"",données_step[[#This Row],[D_QTRAI]]*données_step[[#This Row],[E_DCO]]/1000)</f>
        <v/>
      </c>
      <c r="F253" s="523" t="str">
        <f>IF(OR(données_step[[#This Row],[E_COT]]&lt;=0,données_step[[#This Row],[E_COT]]=""),"",données_step[[#This Row],[D_QTRAI]]*données_step[[#This Row],[E_COT]]/1000)</f>
        <v/>
      </c>
      <c r="G253" s="523" t="str">
        <f>IF(OR(données_step[[#This Row],[E_NH4]]&lt;=0,données_step[[#This Row],[E_NH4]]=""),"",données_step[[#This Row],[D_QTRAI]]*données_step[[#This Row],[E_NH4]]/1000)</f>
        <v/>
      </c>
      <c r="H253" s="523" t="str">
        <f>IF(OR(données_step[[#This Row],[E_NTOT]]&lt;=0,données_step[[#This Row],[E_NTOT]]=""),"",données_step[[#This Row],[D_QTRAI]]*données_step[[#This Row],[E_NTOT]]/1000)</f>
        <v/>
      </c>
      <c r="I253" s="523" t="str">
        <f>IF(OR(données_step[[#This Row],[E_NTOT]]&lt;=0,données_step[[#This Row],[E_NTOT]]=""),"",données_step[[#This Row],[D_QTRAI]]*données_step[[#This Row],[E_PTOT]]/1000)</f>
        <v/>
      </c>
      <c r="J253" s="523" t="str">
        <f>IF(OR(données_step[[#This Row],[S_DBO5]]&lt;=0,données_step[[#This Row],[S_DBO5]]=""),"",données_step[[#This Row],[D_QTRAI]]*données_step[[#This Row],[S_DBO5]]/1000)</f>
        <v/>
      </c>
      <c r="K253" s="523" t="str">
        <f>IF(OR(données_step[[#This Row],[S_DCO]]&lt;=0,données_step[[#This Row],[S_DCO]]=""),"",données_step[[#This Row],[D_QTRAI]]*données_step[[#This Row],[S_DCO]]/1000)</f>
        <v/>
      </c>
      <c r="L253" s="523" t="str">
        <f>IF(OR(données_step[[#This Row],[S_COD]]&lt;=0,données_step[[#This Row],[S_COD]]=""),"",données_step[[#This Row],[D_QTRAI]]*données_step[[#This Row],[S_COD]]/1000)</f>
        <v/>
      </c>
      <c r="M253" s="523" t="str">
        <f>IF(OR(données_step[[#This Row],[S_NH4]]&lt;=0,données_step[[#This Row],[S_NH4]]=""),"",données_step[[#This Row],[D_QTRAI]]*données_step[[#This Row],[S_NH4]]/1000)</f>
        <v/>
      </c>
      <c r="N253" s="523" t="str">
        <f>IF(OR(données_step[[#This Row],[S_NO2]]&lt;=0,données_step[[#This Row],[S_NO2]]=""),"",données_step[[#This Row],[D_QTRAI]]*données_step[[#This Row],[S_NO2]]/1000)</f>
        <v/>
      </c>
      <c r="O253" s="523" t="str">
        <f>IF(OR(données_step[[#This Row],[S_NO3]]&lt;=0,données_step[[#This Row],[S_NO3]]=""),"",données_step[[#This Row],[D_QTRAI]]*données_step[[#This Row],[S_NO3]]/1000)</f>
        <v/>
      </c>
      <c r="P253" s="523" t="str">
        <f>IF(OR(données_step[[#This Row],[S_PTOT]]&lt;=0,données_step[[#This Row],[S_PTOT]]=""),"",données_step[[#This Row],[D_QTRAI]]*données_step[[#This Row],[S_PTOT]]/1000)</f>
        <v/>
      </c>
      <c r="Q253" s="523" t="str">
        <f>IF(OR(données_step[[#This Row],[S_MES]]&lt;=0,données_step[[#This Row],[S_MES]]=""),"",données_step[[#This Row],[D_QTRAI]]*données_step[[#This Row],[S_MES]]/1000)</f>
        <v/>
      </c>
      <c r="R253" s="523">
        <f>MAX(données_step[[#This Row],[D_QTRAI]],données_step[[#This Row],[D_QTRAI2]])</f>
        <v>0</v>
      </c>
      <c r="S253" s="523" t="str">
        <f>IF(AND($R253&gt;0,données_step[[#This Row],[E_DCO]]&gt;0),données_step[[#This Row],[E_DCO]],"")</f>
        <v/>
      </c>
      <c r="T253" s="523" t="str">
        <f>IF(S253="","",(1-données_step[[#This Row],[E_DCO]]/$V$7)*100)</f>
        <v/>
      </c>
      <c r="U253" s="523" t="str">
        <f t="shared" si="50"/>
        <v/>
      </c>
      <c r="V253" s="523" t="str">
        <f t="shared" si="51"/>
        <v/>
      </c>
      <c r="W253" s="523" t="str">
        <f t="shared" si="52"/>
        <v/>
      </c>
      <c r="X253" s="523" t="e">
        <f>IF(((100-100/$V$7*données_step[[#This Row],[E_DCO]])/100*QTS)&lt;0,NA(),IF(OR(U253&lt;0,U253=""),NA(),((100-100/$V$7*données_step[[#This Row],[E_DCO]])/100*QTS)))</f>
        <v>#NUM!</v>
      </c>
      <c r="Y253" s="523" t="str">
        <f>IF(AND($R253&gt;0,données_step[[#This Row],[E_COT]]&gt;0),données_step[[#This Row],[E_COT]],"")</f>
        <v/>
      </c>
      <c r="Z253" s="523" t="str">
        <f>IF(Y253="","",(1-données_step[[#This Row],[E_COT]]/$AB$7)*100)</f>
        <v/>
      </c>
      <c r="AA253" s="523" t="str">
        <f t="shared" si="53"/>
        <v/>
      </c>
      <c r="AB253" s="523" t="str">
        <f t="shared" si="54"/>
        <v/>
      </c>
      <c r="AC253" s="523" t="str">
        <f t="shared" si="55"/>
        <v/>
      </c>
      <c r="AD253" s="523" t="e">
        <f>IF(((100-100/$AB$7*données_step[[#This Row],[E_COT]])/100*QTS)&lt;0,NA(),IF(OR(AA253&lt;0,AA253=""),NA(),((100-100/$AB$7*données_step[[#This Row],[E_COT]])/100*QTS)))</f>
        <v>#NUM!</v>
      </c>
      <c r="AE253" s="523" t="str">
        <f>IF(AND($R253&gt;0,données_step[[#This Row],[E_NH4]]&gt;0),données_step[[#This Row],[E_NH4]],"")</f>
        <v/>
      </c>
      <c r="AF253" s="523" t="str">
        <f>IF(AE253="","",(1-données_step[[#This Row],[E_NH4]]/$AH$7)*100)</f>
        <v/>
      </c>
      <c r="AG253" s="523" t="str">
        <f t="shared" si="56"/>
        <v/>
      </c>
      <c r="AH253" s="523" t="str">
        <f t="shared" si="57"/>
        <v/>
      </c>
      <c r="AI253" s="523" t="str">
        <f t="shared" si="58"/>
        <v/>
      </c>
      <c r="AJ253" s="523" t="e">
        <f>IF(((100-100/$AH$7*données_step[[#This Row],[E_NH4]])/100*QTS)&lt;0,NA(),IF(OR(AG253&lt;0,AG253=""),NA(),((100-100/$AH$7*données_step[[#This Row],[E_NH4]])/100*QTS)))</f>
        <v>#NUM!</v>
      </c>
      <c r="AK253" s="523" t="str">
        <f>IF(AND($R253&gt;0,données_step[[#This Row],[E_PTOT]]&gt;0),données_step[[#This Row],[E_PTOT]],"")</f>
        <v/>
      </c>
      <c r="AL253" s="523" t="str">
        <f>IF(AK253="","",(1-données_step[[#This Row],[E_PTOT]]/$AN$7)*100)</f>
        <v/>
      </c>
      <c r="AM253" s="523" t="str">
        <f t="shared" si="59"/>
        <v/>
      </c>
      <c r="AN253" s="523" t="str">
        <f t="shared" si="60"/>
        <v/>
      </c>
      <c r="AO253" s="523" t="str">
        <f t="shared" si="61"/>
        <v/>
      </c>
      <c r="AP253" s="523" t="e">
        <f>IF(((100-100/$AN$7*données_step[[#This Row],[E_PTOT]])/100*QTS)&lt;0,NA(),IF(OR(AM253&lt;0,AM253=""),NA(),((100-100/$AN$7*données_step[[#This Row],[E_PTOT]])/100*QTS)))</f>
        <v>#NUM!</v>
      </c>
      <c r="AQ253" s="524" t="e">
        <f t="shared" si="62"/>
        <v>#NUM!</v>
      </c>
      <c r="AR253" s="524" t="str">
        <f t="shared" si="63"/>
        <v/>
      </c>
      <c r="AY253" s="523" t="str">
        <f>_xlfn.IFNA(IF(données_step[[#This Row],[E_DCO]]&lt;=0,NA(),charge_entree[[#This Row],[ch_E_DCO]]/constanten!$B$8*1000),"")</f>
        <v/>
      </c>
      <c r="AZ253" s="523" t="str">
        <f>_xlfn.IFNA(IF(données_step[[#This Row],[E_NTOT]]&lt;=0,NA(),charge_entree[[#This Row],[ch_E_NTOT]]/constanten!$B$10*1000),"")</f>
        <v/>
      </c>
      <c r="BA253" s="523" t="str">
        <f>_xlfn.IFNA(IF(données_step[[#This Row],[E_NH4]]&lt;=0,NA(),charge_entree[[#This Row],[ch_E_NH4]]/constanten!$B$12*1000),"")</f>
        <v/>
      </c>
      <c r="BB253" s="523" t="str">
        <f>_xlfn.IFNA(IF(données_step[[#This Row],[E_COT]]&lt;=0,NA(),charge_entree[[#This Row],[ch_E_COT]]/constanten!$B$9*1000),"")</f>
        <v/>
      </c>
      <c r="BC253" s="523" t="str">
        <f>IFERROR(_xlfn.IFNA(IF(données_step[[#This Row],[E_PTOT]]&lt;=0,NA(),charge_entree[[#This Row],[ch_E_PTOT]]/constanten!$B$15*1000),""),"")</f>
        <v/>
      </c>
      <c r="BD253" s="535" t="e">
        <f>calculs!E253 * (1-0.4) / (données_step[[#This Row],[X_BA_VOL]]*données_step[[#This Row],[X_BACONC]])</f>
        <v>#VALUE!</v>
      </c>
      <c r="BE253" s="522" t="e">
        <f>(données_step[[#This Row],[X_BA_VOL]]*données_step[[#This Row],[X_BACONC]])/((données_step[[#This Row],[D_QTRAI2]]*données_step[[#This Row],[S_MES]]/1000)+(données_step[[#This Row],[X_BX_Q]]*données_step[[#This Row],[X_BXCONC]]))</f>
        <v>#VALUE!</v>
      </c>
      <c r="BF253" s="890" t="str">
        <f>IFERROR(données_step[[#This Row],[D_QTRAI]]/AY253*1000,"")</f>
        <v/>
      </c>
      <c r="BG253" s="535" t="str">
        <f>IFERROR(1-données_step[[#This Row],[S_DBO5]]/données_step[[#This Row],[E_DBO5]],"")</f>
        <v/>
      </c>
      <c r="BH253" s="536" t="str">
        <f>IFERROR(1-données_step[[#This Row],[S_DCO]]/données_step[[#This Row],[E_DCO]],"")</f>
        <v/>
      </c>
      <c r="BI253" s="535" t="str">
        <f>IFERROR(1-données_step[[#This Row],[S_COD]]/données_step[[#This Row],[E_COT]],"")</f>
        <v/>
      </c>
      <c r="BJ253" s="535" t="str">
        <f>IFERROR(1-données_step[[#This Row],[S_NH4]]/données_step[[#This Row],[E_NTOT]],"")</f>
        <v/>
      </c>
      <c r="BK253" s="535" t="str">
        <f>IFERROR(1-données_step[[#This Row],[S_PTOT]]/données_step[[#This Row],[E_PTOT]],"")</f>
        <v/>
      </c>
      <c r="BL253" s="521" t="str">
        <f>IFERROR(IF(données_step[[#This Row],[E_DCO]]/données_step[[#This Row],[E_DBO5]]=0,NA(),données_step[[#This Row],[E_DCO]]/données_step[[#This Row],[E_DBO5]]),"")</f>
        <v/>
      </c>
      <c r="BM253" s="521" t="str">
        <f>IFERROR(IF(données_step[[#This Row],[E_NH4]]/données_step[[#This Row],[E_NTOT]]=0,NA(),données_step[[#This Row],[E_NH4]]/données_step[[#This Row],[E_NTOT]]),"")</f>
        <v/>
      </c>
      <c r="BN253" s="521" t="str">
        <f>IFERROR(IF(données_step[[#This Row],[E_NTOT]]/données_step[[#This Row],[E_COT]]=0,NA(),données_step[[#This Row],[E_NTOT]]/données_step[[#This Row],[E_COT]]),"")</f>
        <v/>
      </c>
      <c r="BO253" s="521" t="str">
        <f>IFERROR(IF(données_step[[#This Row],[E_PTOT]]/données_step[[#This Row],[E_COT]]=0,NA(),données_step[[#This Row],[E_PTOT]]/données_step[[#This Row],[E_COT]]),"")</f>
        <v/>
      </c>
      <c r="BP253" s="521" t="e">
        <f>IF(données_step[[#This Row],[E_DCO]]/données_step[[#This Row],[E_COT]]=0,NA(),données_step[[#This Row],[E_DCO]]/données_step[[#This Row],[E_COT]])</f>
        <v>#DIV/0!</v>
      </c>
      <c r="BQ253" s="521" t="e">
        <f>IF(données_step[[#This Row],[E_NTOT]]/données_step[[#This Row],[E_DCO]]=0,NA(),données_step[[#This Row],[E_NTOT]]/données_step[[#This Row],[E_DCO]])</f>
        <v>#DIV/0!</v>
      </c>
      <c r="BR253" s="521" t="e">
        <f>IF(données_step[[#This Row],[E_PTOT]]/données_step[[#This Row],[E_DCO]]=0,NA(),données_step[[#This Row],[E_PTOT]]/données_step[[#This Row],[E_DCO]])</f>
        <v>#DIV/0!</v>
      </c>
      <c r="BS253" s="747" t="e">
        <f ca="1">test_NH4_temp(données_step[[#This Row],[S_NH4]],données_step[[#This Row],[Temp_eaux]])</f>
        <v>#NAME?</v>
      </c>
    </row>
    <row r="254" spans="1:71" x14ac:dyDescent="0.2">
      <c r="A254" s="222">
        <f>données_step[[#This Row],[Datum]]</f>
        <v>44805</v>
      </c>
      <c r="B254" s="223"/>
      <c r="C254" s="224">
        <f t="shared" si="64"/>
        <v>5</v>
      </c>
      <c r="D254" s="523" t="str">
        <f>IF(OR(données_step[[#This Row],[E_DBO5]]&lt;=0,données_step[[#This Row],[E_DBO5]]=""),"",données_step[[#This Row],[D_QTRAI]]*données_step[[#This Row],[E_DBO5]]/1000)</f>
        <v/>
      </c>
      <c r="E254" s="523" t="str">
        <f>IF(OR(données_step[[#This Row],[E_DCO]]&lt;=0,données_step[[#This Row],[E_DCO]]=""),"",données_step[[#This Row],[D_QTRAI]]*données_step[[#This Row],[E_DCO]]/1000)</f>
        <v/>
      </c>
      <c r="F254" s="523" t="str">
        <f>IF(OR(données_step[[#This Row],[E_COT]]&lt;=0,données_step[[#This Row],[E_COT]]=""),"",données_step[[#This Row],[D_QTRAI]]*données_step[[#This Row],[E_COT]]/1000)</f>
        <v/>
      </c>
      <c r="G254" s="523" t="str">
        <f>IF(OR(données_step[[#This Row],[E_NH4]]&lt;=0,données_step[[#This Row],[E_NH4]]=""),"",données_step[[#This Row],[D_QTRAI]]*données_step[[#This Row],[E_NH4]]/1000)</f>
        <v/>
      </c>
      <c r="H254" s="523" t="str">
        <f>IF(OR(données_step[[#This Row],[E_NTOT]]&lt;=0,données_step[[#This Row],[E_NTOT]]=""),"",données_step[[#This Row],[D_QTRAI]]*données_step[[#This Row],[E_NTOT]]/1000)</f>
        <v/>
      </c>
      <c r="I254" s="523" t="str">
        <f>IF(OR(données_step[[#This Row],[E_NTOT]]&lt;=0,données_step[[#This Row],[E_NTOT]]=""),"",données_step[[#This Row],[D_QTRAI]]*données_step[[#This Row],[E_PTOT]]/1000)</f>
        <v/>
      </c>
      <c r="J254" s="523" t="str">
        <f>IF(OR(données_step[[#This Row],[S_DBO5]]&lt;=0,données_step[[#This Row],[S_DBO5]]=""),"",données_step[[#This Row],[D_QTRAI]]*données_step[[#This Row],[S_DBO5]]/1000)</f>
        <v/>
      </c>
      <c r="K254" s="523" t="str">
        <f>IF(OR(données_step[[#This Row],[S_DCO]]&lt;=0,données_step[[#This Row],[S_DCO]]=""),"",données_step[[#This Row],[D_QTRAI]]*données_step[[#This Row],[S_DCO]]/1000)</f>
        <v/>
      </c>
      <c r="L254" s="523" t="str">
        <f>IF(OR(données_step[[#This Row],[S_COD]]&lt;=0,données_step[[#This Row],[S_COD]]=""),"",données_step[[#This Row],[D_QTRAI]]*données_step[[#This Row],[S_COD]]/1000)</f>
        <v/>
      </c>
      <c r="M254" s="523" t="str">
        <f>IF(OR(données_step[[#This Row],[S_NH4]]&lt;=0,données_step[[#This Row],[S_NH4]]=""),"",données_step[[#This Row],[D_QTRAI]]*données_step[[#This Row],[S_NH4]]/1000)</f>
        <v/>
      </c>
      <c r="N254" s="523" t="str">
        <f>IF(OR(données_step[[#This Row],[S_NO2]]&lt;=0,données_step[[#This Row],[S_NO2]]=""),"",données_step[[#This Row],[D_QTRAI]]*données_step[[#This Row],[S_NO2]]/1000)</f>
        <v/>
      </c>
      <c r="O254" s="523" t="str">
        <f>IF(OR(données_step[[#This Row],[S_NO3]]&lt;=0,données_step[[#This Row],[S_NO3]]=""),"",données_step[[#This Row],[D_QTRAI]]*données_step[[#This Row],[S_NO3]]/1000)</f>
        <v/>
      </c>
      <c r="P254" s="523" t="str">
        <f>IF(OR(données_step[[#This Row],[S_PTOT]]&lt;=0,données_step[[#This Row],[S_PTOT]]=""),"",données_step[[#This Row],[D_QTRAI]]*données_step[[#This Row],[S_PTOT]]/1000)</f>
        <v/>
      </c>
      <c r="Q254" s="523" t="str">
        <f>IF(OR(données_step[[#This Row],[S_MES]]&lt;=0,données_step[[#This Row],[S_MES]]=""),"",données_step[[#This Row],[D_QTRAI]]*données_step[[#This Row],[S_MES]]/1000)</f>
        <v/>
      </c>
      <c r="R254" s="523">
        <f>MAX(données_step[[#This Row],[D_QTRAI]],données_step[[#This Row],[D_QTRAI2]])</f>
        <v>0</v>
      </c>
      <c r="S254" s="523" t="str">
        <f>IF(AND($R254&gt;0,données_step[[#This Row],[E_DCO]]&gt;0),données_step[[#This Row],[E_DCO]],"")</f>
        <v/>
      </c>
      <c r="T254" s="523" t="str">
        <f>IF(S254="","",(1-données_step[[#This Row],[E_DCO]]/$V$7)*100)</f>
        <v/>
      </c>
      <c r="U254" s="523" t="str">
        <f t="shared" si="50"/>
        <v/>
      </c>
      <c r="V254" s="523" t="str">
        <f t="shared" si="51"/>
        <v/>
      </c>
      <c r="W254" s="523" t="str">
        <f t="shared" si="52"/>
        <v/>
      </c>
      <c r="X254" s="523" t="e">
        <f>IF(((100-100/$V$7*données_step[[#This Row],[E_DCO]])/100*QTS)&lt;0,NA(),IF(OR(U254&lt;0,U254=""),NA(),((100-100/$V$7*données_step[[#This Row],[E_DCO]])/100*QTS)))</f>
        <v>#NUM!</v>
      </c>
      <c r="Y254" s="523" t="str">
        <f>IF(AND($R254&gt;0,données_step[[#This Row],[E_COT]]&gt;0),données_step[[#This Row],[E_COT]],"")</f>
        <v/>
      </c>
      <c r="Z254" s="523" t="str">
        <f>IF(Y254="","",(1-données_step[[#This Row],[E_COT]]/$AB$7)*100)</f>
        <v/>
      </c>
      <c r="AA254" s="523" t="str">
        <f t="shared" si="53"/>
        <v/>
      </c>
      <c r="AB254" s="523" t="str">
        <f t="shared" si="54"/>
        <v/>
      </c>
      <c r="AC254" s="523" t="str">
        <f t="shared" si="55"/>
        <v/>
      </c>
      <c r="AD254" s="523" t="e">
        <f>IF(((100-100/$AB$7*données_step[[#This Row],[E_COT]])/100*QTS)&lt;0,NA(),IF(OR(AA254&lt;0,AA254=""),NA(),((100-100/$AB$7*données_step[[#This Row],[E_COT]])/100*QTS)))</f>
        <v>#NUM!</v>
      </c>
      <c r="AE254" s="523" t="str">
        <f>IF(AND($R254&gt;0,données_step[[#This Row],[E_NH4]]&gt;0),données_step[[#This Row],[E_NH4]],"")</f>
        <v/>
      </c>
      <c r="AF254" s="523" t="str">
        <f>IF(AE254="","",(1-données_step[[#This Row],[E_NH4]]/$AH$7)*100)</f>
        <v/>
      </c>
      <c r="AG254" s="523" t="str">
        <f t="shared" si="56"/>
        <v/>
      </c>
      <c r="AH254" s="523" t="str">
        <f t="shared" si="57"/>
        <v/>
      </c>
      <c r="AI254" s="523" t="str">
        <f t="shared" si="58"/>
        <v/>
      </c>
      <c r="AJ254" s="523" t="e">
        <f>IF(((100-100/$AH$7*données_step[[#This Row],[E_NH4]])/100*QTS)&lt;0,NA(),IF(OR(AG254&lt;0,AG254=""),NA(),((100-100/$AH$7*données_step[[#This Row],[E_NH4]])/100*QTS)))</f>
        <v>#NUM!</v>
      </c>
      <c r="AK254" s="523" t="str">
        <f>IF(AND($R254&gt;0,données_step[[#This Row],[E_PTOT]]&gt;0),données_step[[#This Row],[E_PTOT]],"")</f>
        <v/>
      </c>
      <c r="AL254" s="523" t="str">
        <f>IF(AK254="","",(1-données_step[[#This Row],[E_PTOT]]/$AN$7)*100)</f>
        <v/>
      </c>
      <c r="AM254" s="523" t="str">
        <f t="shared" si="59"/>
        <v/>
      </c>
      <c r="AN254" s="523" t="str">
        <f t="shared" si="60"/>
        <v/>
      </c>
      <c r="AO254" s="523" t="str">
        <f t="shared" si="61"/>
        <v/>
      </c>
      <c r="AP254" s="523" t="e">
        <f>IF(((100-100/$AN$7*données_step[[#This Row],[E_PTOT]])/100*QTS)&lt;0,NA(),IF(OR(AM254&lt;0,AM254=""),NA(),((100-100/$AN$7*données_step[[#This Row],[E_PTOT]])/100*QTS)))</f>
        <v>#NUM!</v>
      </c>
      <c r="AQ254" s="524" t="e">
        <f t="shared" si="62"/>
        <v>#NUM!</v>
      </c>
      <c r="AR254" s="524" t="str">
        <f t="shared" si="63"/>
        <v/>
      </c>
      <c r="AY254" s="523" t="str">
        <f>_xlfn.IFNA(IF(données_step[[#This Row],[E_DCO]]&lt;=0,NA(),charge_entree[[#This Row],[ch_E_DCO]]/constanten!$B$8*1000),"")</f>
        <v/>
      </c>
      <c r="AZ254" s="523" t="str">
        <f>_xlfn.IFNA(IF(données_step[[#This Row],[E_NTOT]]&lt;=0,NA(),charge_entree[[#This Row],[ch_E_NTOT]]/constanten!$B$10*1000),"")</f>
        <v/>
      </c>
      <c r="BA254" s="523" t="str">
        <f>_xlfn.IFNA(IF(données_step[[#This Row],[E_NH4]]&lt;=0,NA(),charge_entree[[#This Row],[ch_E_NH4]]/constanten!$B$12*1000),"")</f>
        <v/>
      </c>
      <c r="BB254" s="523" t="str">
        <f>_xlfn.IFNA(IF(données_step[[#This Row],[E_COT]]&lt;=0,NA(),charge_entree[[#This Row],[ch_E_COT]]/constanten!$B$9*1000),"")</f>
        <v/>
      </c>
      <c r="BC254" s="523" t="str">
        <f>IFERROR(_xlfn.IFNA(IF(données_step[[#This Row],[E_PTOT]]&lt;=0,NA(),charge_entree[[#This Row],[ch_E_PTOT]]/constanten!$B$15*1000),""),"")</f>
        <v/>
      </c>
      <c r="BD254" s="535" t="e">
        <f>calculs!E254 * (1-0.4) / (données_step[[#This Row],[X_BA_VOL]]*données_step[[#This Row],[X_BACONC]])</f>
        <v>#VALUE!</v>
      </c>
      <c r="BE254" s="522" t="e">
        <f>(données_step[[#This Row],[X_BA_VOL]]*données_step[[#This Row],[X_BACONC]])/((données_step[[#This Row],[D_QTRAI2]]*données_step[[#This Row],[S_MES]]/1000)+(données_step[[#This Row],[X_BX_Q]]*données_step[[#This Row],[X_BXCONC]]))</f>
        <v>#VALUE!</v>
      </c>
      <c r="BF254" s="890" t="str">
        <f>IFERROR(données_step[[#This Row],[D_QTRAI]]/AY254*1000,"")</f>
        <v/>
      </c>
      <c r="BG254" s="535" t="str">
        <f>IFERROR(1-données_step[[#This Row],[S_DBO5]]/données_step[[#This Row],[E_DBO5]],"")</f>
        <v/>
      </c>
      <c r="BH254" s="536" t="str">
        <f>IFERROR(1-données_step[[#This Row],[S_DCO]]/données_step[[#This Row],[E_DCO]],"")</f>
        <v/>
      </c>
      <c r="BI254" s="535" t="str">
        <f>IFERROR(1-données_step[[#This Row],[S_COD]]/données_step[[#This Row],[E_COT]],"")</f>
        <v/>
      </c>
      <c r="BJ254" s="535" t="str">
        <f>IFERROR(1-données_step[[#This Row],[S_NH4]]/données_step[[#This Row],[E_NTOT]],"")</f>
        <v/>
      </c>
      <c r="BK254" s="535" t="str">
        <f>IFERROR(1-données_step[[#This Row],[S_PTOT]]/données_step[[#This Row],[E_PTOT]],"")</f>
        <v/>
      </c>
      <c r="BL254" s="521" t="str">
        <f>IFERROR(IF(données_step[[#This Row],[E_DCO]]/données_step[[#This Row],[E_DBO5]]=0,NA(),données_step[[#This Row],[E_DCO]]/données_step[[#This Row],[E_DBO5]]),"")</f>
        <v/>
      </c>
      <c r="BM254" s="521" t="str">
        <f>IFERROR(IF(données_step[[#This Row],[E_NH4]]/données_step[[#This Row],[E_NTOT]]=0,NA(),données_step[[#This Row],[E_NH4]]/données_step[[#This Row],[E_NTOT]]),"")</f>
        <v/>
      </c>
      <c r="BN254" s="521" t="str">
        <f>IFERROR(IF(données_step[[#This Row],[E_NTOT]]/données_step[[#This Row],[E_COT]]=0,NA(),données_step[[#This Row],[E_NTOT]]/données_step[[#This Row],[E_COT]]),"")</f>
        <v/>
      </c>
      <c r="BO254" s="521" t="str">
        <f>IFERROR(IF(données_step[[#This Row],[E_PTOT]]/données_step[[#This Row],[E_COT]]=0,NA(),données_step[[#This Row],[E_PTOT]]/données_step[[#This Row],[E_COT]]),"")</f>
        <v/>
      </c>
      <c r="BP254" s="521" t="e">
        <f>IF(données_step[[#This Row],[E_DCO]]/données_step[[#This Row],[E_COT]]=0,NA(),données_step[[#This Row],[E_DCO]]/données_step[[#This Row],[E_COT]])</f>
        <v>#DIV/0!</v>
      </c>
      <c r="BQ254" s="521" t="e">
        <f>IF(données_step[[#This Row],[E_NTOT]]/données_step[[#This Row],[E_DCO]]=0,NA(),données_step[[#This Row],[E_NTOT]]/données_step[[#This Row],[E_DCO]])</f>
        <v>#DIV/0!</v>
      </c>
      <c r="BR254" s="521" t="e">
        <f>IF(données_step[[#This Row],[E_PTOT]]/données_step[[#This Row],[E_DCO]]=0,NA(),données_step[[#This Row],[E_PTOT]]/données_step[[#This Row],[E_DCO]])</f>
        <v>#DIV/0!</v>
      </c>
      <c r="BS254" s="747" t="e">
        <f ca="1">test_NH4_temp(données_step[[#This Row],[S_NH4]],données_step[[#This Row],[Temp_eaux]])</f>
        <v>#NAME?</v>
      </c>
    </row>
    <row r="255" spans="1:71" x14ac:dyDescent="0.2">
      <c r="A255" s="222">
        <f>données_step[[#This Row],[Datum]]</f>
        <v>44806</v>
      </c>
      <c r="B255" s="223"/>
      <c r="C255" s="224">
        <f t="shared" si="64"/>
        <v>6</v>
      </c>
      <c r="D255" s="523" t="str">
        <f>IF(OR(données_step[[#This Row],[E_DBO5]]&lt;=0,données_step[[#This Row],[E_DBO5]]=""),"",données_step[[#This Row],[D_QTRAI]]*données_step[[#This Row],[E_DBO5]]/1000)</f>
        <v/>
      </c>
      <c r="E255" s="523" t="str">
        <f>IF(OR(données_step[[#This Row],[E_DCO]]&lt;=0,données_step[[#This Row],[E_DCO]]=""),"",données_step[[#This Row],[D_QTRAI]]*données_step[[#This Row],[E_DCO]]/1000)</f>
        <v/>
      </c>
      <c r="F255" s="523" t="str">
        <f>IF(OR(données_step[[#This Row],[E_COT]]&lt;=0,données_step[[#This Row],[E_COT]]=""),"",données_step[[#This Row],[D_QTRAI]]*données_step[[#This Row],[E_COT]]/1000)</f>
        <v/>
      </c>
      <c r="G255" s="523" t="str">
        <f>IF(OR(données_step[[#This Row],[E_NH4]]&lt;=0,données_step[[#This Row],[E_NH4]]=""),"",données_step[[#This Row],[D_QTRAI]]*données_step[[#This Row],[E_NH4]]/1000)</f>
        <v/>
      </c>
      <c r="H255" s="523" t="str">
        <f>IF(OR(données_step[[#This Row],[E_NTOT]]&lt;=0,données_step[[#This Row],[E_NTOT]]=""),"",données_step[[#This Row],[D_QTRAI]]*données_step[[#This Row],[E_NTOT]]/1000)</f>
        <v/>
      </c>
      <c r="I255" s="523" t="str">
        <f>IF(OR(données_step[[#This Row],[E_NTOT]]&lt;=0,données_step[[#This Row],[E_NTOT]]=""),"",données_step[[#This Row],[D_QTRAI]]*données_step[[#This Row],[E_PTOT]]/1000)</f>
        <v/>
      </c>
      <c r="J255" s="523" t="str">
        <f>IF(OR(données_step[[#This Row],[S_DBO5]]&lt;=0,données_step[[#This Row],[S_DBO5]]=""),"",données_step[[#This Row],[D_QTRAI]]*données_step[[#This Row],[S_DBO5]]/1000)</f>
        <v/>
      </c>
      <c r="K255" s="523" t="str">
        <f>IF(OR(données_step[[#This Row],[S_DCO]]&lt;=0,données_step[[#This Row],[S_DCO]]=""),"",données_step[[#This Row],[D_QTRAI]]*données_step[[#This Row],[S_DCO]]/1000)</f>
        <v/>
      </c>
      <c r="L255" s="523" t="str">
        <f>IF(OR(données_step[[#This Row],[S_COD]]&lt;=0,données_step[[#This Row],[S_COD]]=""),"",données_step[[#This Row],[D_QTRAI]]*données_step[[#This Row],[S_COD]]/1000)</f>
        <v/>
      </c>
      <c r="M255" s="523" t="str">
        <f>IF(OR(données_step[[#This Row],[S_NH4]]&lt;=0,données_step[[#This Row],[S_NH4]]=""),"",données_step[[#This Row],[D_QTRAI]]*données_step[[#This Row],[S_NH4]]/1000)</f>
        <v/>
      </c>
      <c r="N255" s="523" t="str">
        <f>IF(OR(données_step[[#This Row],[S_NO2]]&lt;=0,données_step[[#This Row],[S_NO2]]=""),"",données_step[[#This Row],[D_QTRAI]]*données_step[[#This Row],[S_NO2]]/1000)</f>
        <v/>
      </c>
      <c r="O255" s="523" t="str">
        <f>IF(OR(données_step[[#This Row],[S_NO3]]&lt;=0,données_step[[#This Row],[S_NO3]]=""),"",données_step[[#This Row],[D_QTRAI]]*données_step[[#This Row],[S_NO3]]/1000)</f>
        <v/>
      </c>
      <c r="P255" s="523" t="str">
        <f>IF(OR(données_step[[#This Row],[S_PTOT]]&lt;=0,données_step[[#This Row],[S_PTOT]]=""),"",données_step[[#This Row],[D_QTRAI]]*données_step[[#This Row],[S_PTOT]]/1000)</f>
        <v/>
      </c>
      <c r="Q255" s="523" t="str">
        <f>IF(OR(données_step[[#This Row],[S_MES]]&lt;=0,données_step[[#This Row],[S_MES]]=""),"",données_step[[#This Row],[D_QTRAI]]*données_step[[#This Row],[S_MES]]/1000)</f>
        <v/>
      </c>
      <c r="R255" s="523">
        <f>MAX(données_step[[#This Row],[D_QTRAI]],données_step[[#This Row],[D_QTRAI2]])</f>
        <v>0</v>
      </c>
      <c r="S255" s="523" t="str">
        <f>IF(AND($R255&gt;0,données_step[[#This Row],[E_DCO]]&gt;0),données_step[[#This Row],[E_DCO]],"")</f>
        <v/>
      </c>
      <c r="T255" s="523" t="str">
        <f>IF(S255="","",(1-données_step[[#This Row],[E_DCO]]/$V$7)*100)</f>
        <v/>
      </c>
      <c r="U255" s="523" t="str">
        <f t="shared" si="50"/>
        <v/>
      </c>
      <c r="V255" s="523" t="str">
        <f t="shared" si="51"/>
        <v/>
      </c>
      <c r="W255" s="523" t="str">
        <f t="shared" si="52"/>
        <v/>
      </c>
      <c r="X255" s="523" t="e">
        <f>IF(((100-100/$V$7*données_step[[#This Row],[E_DCO]])/100*QTS)&lt;0,NA(),IF(OR(U255&lt;0,U255=""),NA(),((100-100/$V$7*données_step[[#This Row],[E_DCO]])/100*QTS)))</f>
        <v>#NUM!</v>
      </c>
      <c r="Y255" s="523" t="str">
        <f>IF(AND($R255&gt;0,données_step[[#This Row],[E_COT]]&gt;0),données_step[[#This Row],[E_COT]],"")</f>
        <v/>
      </c>
      <c r="Z255" s="523" t="str">
        <f>IF(Y255="","",(1-données_step[[#This Row],[E_COT]]/$AB$7)*100)</f>
        <v/>
      </c>
      <c r="AA255" s="523" t="str">
        <f t="shared" si="53"/>
        <v/>
      </c>
      <c r="AB255" s="523" t="str">
        <f t="shared" si="54"/>
        <v/>
      </c>
      <c r="AC255" s="523" t="str">
        <f t="shared" si="55"/>
        <v/>
      </c>
      <c r="AD255" s="523" t="e">
        <f>IF(((100-100/$AB$7*données_step[[#This Row],[E_COT]])/100*QTS)&lt;0,NA(),IF(OR(AA255&lt;0,AA255=""),NA(),((100-100/$AB$7*données_step[[#This Row],[E_COT]])/100*QTS)))</f>
        <v>#NUM!</v>
      </c>
      <c r="AE255" s="523" t="str">
        <f>IF(AND($R255&gt;0,données_step[[#This Row],[E_NH4]]&gt;0),données_step[[#This Row],[E_NH4]],"")</f>
        <v/>
      </c>
      <c r="AF255" s="523" t="str">
        <f>IF(AE255="","",(1-données_step[[#This Row],[E_NH4]]/$AH$7)*100)</f>
        <v/>
      </c>
      <c r="AG255" s="523" t="str">
        <f t="shared" si="56"/>
        <v/>
      </c>
      <c r="AH255" s="523" t="str">
        <f t="shared" si="57"/>
        <v/>
      </c>
      <c r="AI255" s="523" t="str">
        <f t="shared" si="58"/>
        <v/>
      </c>
      <c r="AJ255" s="523" t="e">
        <f>IF(((100-100/$AH$7*données_step[[#This Row],[E_NH4]])/100*QTS)&lt;0,NA(),IF(OR(AG255&lt;0,AG255=""),NA(),((100-100/$AH$7*données_step[[#This Row],[E_NH4]])/100*QTS)))</f>
        <v>#NUM!</v>
      </c>
      <c r="AK255" s="523" t="str">
        <f>IF(AND($R255&gt;0,données_step[[#This Row],[E_PTOT]]&gt;0),données_step[[#This Row],[E_PTOT]],"")</f>
        <v/>
      </c>
      <c r="AL255" s="523" t="str">
        <f>IF(AK255="","",(1-données_step[[#This Row],[E_PTOT]]/$AN$7)*100)</f>
        <v/>
      </c>
      <c r="AM255" s="523" t="str">
        <f t="shared" si="59"/>
        <v/>
      </c>
      <c r="AN255" s="523" t="str">
        <f t="shared" si="60"/>
        <v/>
      </c>
      <c r="AO255" s="523" t="str">
        <f t="shared" si="61"/>
        <v/>
      </c>
      <c r="AP255" s="523" t="e">
        <f>IF(((100-100/$AN$7*données_step[[#This Row],[E_PTOT]])/100*QTS)&lt;0,NA(),IF(OR(AM255&lt;0,AM255=""),NA(),((100-100/$AN$7*données_step[[#This Row],[E_PTOT]])/100*QTS)))</f>
        <v>#NUM!</v>
      </c>
      <c r="AQ255" s="524" t="e">
        <f t="shared" si="62"/>
        <v>#NUM!</v>
      </c>
      <c r="AR255" s="524" t="str">
        <f t="shared" si="63"/>
        <v/>
      </c>
      <c r="AY255" s="523" t="str">
        <f>_xlfn.IFNA(IF(données_step[[#This Row],[E_DCO]]&lt;=0,NA(),charge_entree[[#This Row],[ch_E_DCO]]/constanten!$B$8*1000),"")</f>
        <v/>
      </c>
      <c r="AZ255" s="523" t="str">
        <f>_xlfn.IFNA(IF(données_step[[#This Row],[E_NTOT]]&lt;=0,NA(),charge_entree[[#This Row],[ch_E_NTOT]]/constanten!$B$10*1000),"")</f>
        <v/>
      </c>
      <c r="BA255" s="523" t="str">
        <f>_xlfn.IFNA(IF(données_step[[#This Row],[E_NH4]]&lt;=0,NA(),charge_entree[[#This Row],[ch_E_NH4]]/constanten!$B$12*1000),"")</f>
        <v/>
      </c>
      <c r="BB255" s="523" t="str">
        <f>_xlfn.IFNA(IF(données_step[[#This Row],[E_COT]]&lt;=0,NA(),charge_entree[[#This Row],[ch_E_COT]]/constanten!$B$9*1000),"")</f>
        <v/>
      </c>
      <c r="BC255" s="523" t="str">
        <f>IFERROR(_xlfn.IFNA(IF(données_step[[#This Row],[E_PTOT]]&lt;=0,NA(),charge_entree[[#This Row],[ch_E_PTOT]]/constanten!$B$15*1000),""),"")</f>
        <v/>
      </c>
      <c r="BD255" s="535" t="e">
        <f>calculs!E255 * (1-0.4) / (données_step[[#This Row],[X_BA_VOL]]*données_step[[#This Row],[X_BACONC]])</f>
        <v>#VALUE!</v>
      </c>
      <c r="BE255" s="522" t="e">
        <f>(données_step[[#This Row],[X_BA_VOL]]*données_step[[#This Row],[X_BACONC]])/((données_step[[#This Row],[D_QTRAI2]]*données_step[[#This Row],[S_MES]]/1000)+(données_step[[#This Row],[X_BX_Q]]*données_step[[#This Row],[X_BXCONC]]))</f>
        <v>#VALUE!</v>
      </c>
      <c r="BF255" s="890" t="str">
        <f>IFERROR(données_step[[#This Row],[D_QTRAI]]/AY255*1000,"")</f>
        <v/>
      </c>
      <c r="BG255" s="535" t="str">
        <f>IFERROR(1-données_step[[#This Row],[S_DBO5]]/données_step[[#This Row],[E_DBO5]],"")</f>
        <v/>
      </c>
      <c r="BH255" s="536" t="str">
        <f>IFERROR(1-données_step[[#This Row],[S_DCO]]/données_step[[#This Row],[E_DCO]],"")</f>
        <v/>
      </c>
      <c r="BI255" s="535" t="str">
        <f>IFERROR(1-données_step[[#This Row],[S_COD]]/données_step[[#This Row],[E_COT]],"")</f>
        <v/>
      </c>
      <c r="BJ255" s="535" t="str">
        <f>IFERROR(1-données_step[[#This Row],[S_NH4]]/données_step[[#This Row],[E_NTOT]],"")</f>
        <v/>
      </c>
      <c r="BK255" s="535" t="str">
        <f>IFERROR(1-données_step[[#This Row],[S_PTOT]]/données_step[[#This Row],[E_PTOT]],"")</f>
        <v/>
      </c>
      <c r="BL255" s="521" t="str">
        <f>IFERROR(IF(données_step[[#This Row],[E_DCO]]/données_step[[#This Row],[E_DBO5]]=0,NA(),données_step[[#This Row],[E_DCO]]/données_step[[#This Row],[E_DBO5]]),"")</f>
        <v/>
      </c>
      <c r="BM255" s="521" t="str">
        <f>IFERROR(IF(données_step[[#This Row],[E_NH4]]/données_step[[#This Row],[E_NTOT]]=0,NA(),données_step[[#This Row],[E_NH4]]/données_step[[#This Row],[E_NTOT]]),"")</f>
        <v/>
      </c>
      <c r="BN255" s="521" t="str">
        <f>IFERROR(IF(données_step[[#This Row],[E_NTOT]]/données_step[[#This Row],[E_COT]]=0,NA(),données_step[[#This Row],[E_NTOT]]/données_step[[#This Row],[E_COT]]),"")</f>
        <v/>
      </c>
      <c r="BO255" s="521" t="str">
        <f>IFERROR(IF(données_step[[#This Row],[E_PTOT]]/données_step[[#This Row],[E_COT]]=0,NA(),données_step[[#This Row],[E_PTOT]]/données_step[[#This Row],[E_COT]]),"")</f>
        <v/>
      </c>
      <c r="BP255" s="521" t="e">
        <f>IF(données_step[[#This Row],[E_DCO]]/données_step[[#This Row],[E_COT]]=0,NA(),données_step[[#This Row],[E_DCO]]/données_step[[#This Row],[E_COT]])</f>
        <v>#DIV/0!</v>
      </c>
      <c r="BQ255" s="521" t="e">
        <f>IF(données_step[[#This Row],[E_NTOT]]/données_step[[#This Row],[E_DCO]]=0,NA(),données_step[[#This Row],[E_NTOT]]/données_step[[#This Row],[E_DCO]])</f>
        <v>#DIV/0!</v>
      </c>
      <c r="BR255" s="521" t="e">
        <f>IF(données_step[[#This Row],[E_PTOT]]/données_step[[#This Row],[E_DCO]]=0,NA(),données_step[[#This Row],[E_PTOT]]/données_step[[#This Row],[E_DCO]])</f>
        <v>#DIV/0!</v>
      </c>
      <c r="BS255" s="747" t="e">
        <f ca="1">test_NH4_temp(données_step[[#This Row],[S_NH4]],données_step[[#This Row],[Temp_eaux]])</f>
        <v>#NAME?</v>
      </c>
    </row>
    <row r="256" spans="1:71" x14ac:dyDescent="0.2">
      <c r="A256" s="222">
        <f>données_step[[#This Row],[Datum]]</f>
        <v>44807</v>
      </c>
      <c r="B256" s="223"/>
      <c r="C256" s="224">
        <f t="shared" si="64"/>
        <v>7</v>
      </c>
      <c r="D256" s="523" t="str">
        <f>IF(OR(données_step[[#This Row],[E_DBO5]]&lt;=0,données_step[[#This Row],[E_DBO5]]=""),"",données_step[[#This Row],[D_QTRAI]]*données_step[[#This Row],[E_DBO5]]/1000)</f>
        <v/>
      </c>
      <c r="E256" s="523" t="str">
        <f>IF(OR(données_step[[#This Row],[E_DCO]]&lt;=0,données_step[[#This Row],[E_DCO]]=""),"",données_step[[#This Row],[D_QTRAI]]*données_step[[#This Row],[E_DCO]]/1000)</f>
        <v/>
      </c>
      <c r="F256" s="523" t="str">
        <f>IF(OR(données_step[[#This Row],[E_COT]]&lt;=0,données_step[[#This Row],[E_COT]]=""),"",données_step[[#This Row],[D_QTRAI]]*données_step[[#This Row],[E_COT]]/1000)</f>
        <v/>
      </c>
      <c r="G256" s="523" t="str">
        <f>IF(OR(données_step[[#This Row],[E_NH4]]&lt;=0,données_step[[#This Row],[E_NH4]]=""),"",données_step[[#This Row],[D_QTRAI]]*données_step[[#This Row],[E_NH4]]/1000)</f>
        <v/>
      </c>
      <c r="H256" s="523" t="str">
        <f>IF(OR(données_step[[#This Row],[E_NTOT]]&lt;=0,données_step[[#This Row],[E_NTOT]]=""),"",données_step[[#This Row],[D_QTRAI]]*données_step[[#This Row],[E_NTOT]]/1000)</f>
        <v/>
      </c>
      <c r="I256" s="523" t="str">
        <f>IF(OR(données_step[[#This Row],[E_NTOT]]&lt;=0,données_step[[#This Row],[E_NTOT]]=""),"",données_step[[#This Row],[D_QTRAI]]*données_step[[#This Row],[E_PTOT]]/1000)</f>
        <v/>
      </c>
      <c r="J256" s="523" t="str">
        <f>IF(OR(données_step[[#This Row],[S_DBO5]]&lt;=0,données_step[[#This Row],[S_DBO5]]=""),"",données_step[[#This Row],[D_QTRAI]]*données_step[[#This Row],[S_DBO5]]/1000)</f>
        <v/>
      </c>
      <c r="K256" s="523" t="str">
        <f>IF(OR(données_step[[#This Row],[S_DCO]]&lt;=0,données_step[[#This Row],[S_DCO]]=""),"",données_step[[#This Row],[D_QTRAI]]*données_step[[#This Row],[S_DCO]]/1000)</f>
        <v/>
      </c>
      <c r="L256" s="523" t="str">
        <f>IF(OR(données_step[[#This Row],[S_COD]]&lt;=0,données_step[[#This Row],[S_COD]]=""),"",données_step[[#This Row],[D_QTRAI]]*données_step[[#This Row],[S_COD]]/1000)</f>
        <v/>
      </c>
      <c r="M256" s="523" t="str">
        <f>IF(OR(données_step[[#This Row],[S_NH4]]&lt;=0,données_step[[#This Row],[S_NH4]]=""),"",données_step[[#This Row],[D_QTRAI]]*données_step[[#This Row],[S_NH4]]/1000)</f>
        <v/>
      </c>
      <c r="N256" s="523" t="str">
        <f>IF(OR(données_step[[#This Row],[S_NO2]]&lt;=0,données_step[[#This Row],[S_NO2]]=""),"",données_step[[#This Row],[D_QTRAI]]*données_step[[#This Row],[S_NO2]]/1000)</f>
        <v/>
      </c>
      <c r="O256" s="523" t="str">
        <f>IF(OR(données_step[[#This Row],[S_NO3]]&lt;=0,données_step[[#This Row],[S_NO3]]=""),"",données_step[[#This Row],[D_QTRAI]]*données_step[[#This Row],[S_NO3]]/1000)</f>
        <v/>
      </c>
      <c r="P256" s="523" t="str">
        <f>IF(OR(données_step[[#This Row],[S_PTOT]]&lt;=0,données_step[[#This Row],[S_PTOT]]=""),"",données_step[[#This Row],[D_QTRAI]]*données_step[[#This Row],[S_PTOT]]/1000)</f>
        <v/>
      </c>
      <c r="Q256" s="523" t="str">
        <f>IF(OR(données_step[[#This Row],[S_MES]]&lt;=0,données_step[[#This Row],[S_MES]]=""),"",données_step[[#This Row],[D_QTRAI]]*données_step[[#This Row],[S_MES]]/1000)</f>
        <v/>
      </c>
      <c r="R256" s="523">
        <f>MAX(données_step[[#This Row],[D_QTRAI]],données_step[[#This Row],[D_QTRAI2]])</f>
        <v>0</v>
      </c>
      <c r="S256" s="523" t="str">
        <f>IF(AND($R256&gt;0,données_step[[#This Row],[E_DCO]]&gt;0),données_step[[#This Row],[E_DCO]],"")</f>
        <v/>
      </c>
      <c r="T256" s="523" t="str">
        <f>IF(S256="","",(1-données_step[[#This Row],[E_DCO]]/$V$7)*100)</f>
        <v/>
      </c>
      <c r="U256" s="523" t="str">
        <f t="shared" si="50"/>
        <v/>
      </c>
      <c r="V256" s="523" t="str">
        <f t="shared" si="51"/>
        <v/>
      </c>
      <c r="W256" s="523" t="str">
        <f t="shared" si="52"/>
        <v/>
      </c>
      <c r="X256" s="523" t="e">
        <f>IF(((100-100/$V$7*données_step[[#This Row],[E_DCO]])/100*QTS)&lt;0,NA(),IF(OR(U256&lt;0,U256=""),NA(),((100-100/$V$7*données_step[[#This Row],[E_DCO]])/100*QTS)))</f>
        <v>#NUM!</v>
      </c>
      <c r="Y256" s="523" t="str">
        <f>IF(AND($R256&gt;0,données_step[[#This Row],[E_COT]]&gt;0),données_step[[#This Row],[E_COT]],"")</f>
        <v/>
      </c>
      <c r="Z256" s="523" t="str">
        <f>IF(Y256="","",(1-données_step[[#This Row],[E_COT]]/$AB$7)*100)</f>
        <v/>
      </c>
      <c r="AA256" s="523" t="str">
        <f t="shared" si="53"/>
        <v/>
      </c>
      <c r="AB256" s="523" t="str">
        <f t="shared" si="54"/>
        <v/>
      </c>
      <c r="AC256" s="523" t="str">
        <f t="shared" si="55"/>
        <v/>
      </c>
      <c r="AD256" s="523" t="e">
        <f>IF(((100-100/$AB$7*données_step[[#This Row],[E_COT]])/100*QTS)&lt;0,NA(),IF(OR(AA256&lt;0,AA256=""),NA(),((100-100/$AB$7*données_step[[#This Row],[E_COT]])/100*QTS)))</f>
        <v>#NUM!</v>
      </c>
      <c r="AE256" s="523" t="str">
        <f>IF(AND($R256&gt;0,données_step[[#This Row],[E_NH4]]&gt;0),données_step[[#This Row],[E_NH4]],"")</f>
        <v/>
      </c>
      <c r="AF256" s="523" t="str">
        <f>IF(AE256="","",(1-données_step[[#This Row],[E_NH4]]/$AH$7)*100)</f>
        <v/>
      </c>
      <c r="AG256" s="523" t="str">
        <f t="shared" si="56"/>
        <v/>
      </c>
      <c r="AH256" s="523" t="str">
        <f t="shared" si="57"/>
        <v/>
      </c>
      <c r="AI256" s="523" t="str">
        <f t="shared" si="58"/>
        <v/>
      </c>
      <c r="AJ256" s="523" t="e">
        <f>IF(((100-100/$AH$7*données_step[[#This Row],[E_NH4]])/100*QTS)&lt;0,NA(),IF(OR(AG256&lt;0,AG256=""),NA(),((100-100/$AH$7*données_step[[#This Row],[E_NH4]])/100*QTS)))</f>
        <v>#NUM!</v>
      </c>
      <c r="AK256" s="523" t="str">
        <f>IF(AND($R256&gt;0,données_step[[#This Row],[E_PTOT]]&gt;0),données_step[[#This Row],[E_PTOT]],"")</f>
        <v/>
      </c>
      <c r="AL256" s="523" t="str">
        <f>IF(AK256="","",(1-données_step[[#This Row],[E_PTOT]]/$AN$7)*100)</f>
        <v/>
      </c>
      <c r="AM256" s="523" t="str">
        <f t="shared" si="59"/>
        <v/>
      </c>
      <c r="AN256" s="523" t="str">
        <f t="shared" si="60"/>
        <v/>
      </c>
      <c r="AO256" s="523" t="str">
        <f t="shared" si="61"/>
        <v/>
      </c>
      <c r="AP256" s="523" t="e">
        <f>IF(((100-100/$AN$7*données_step[[#This Row],[E_PTOT]])/100*QTS)&lt;0,NA(),IF(OR(AM256&lt;0,AM256=""),NA(),((100-100/$AN$7*données_step[[#This Row],[E_PTOT]])/100*QTS)))</f>
        <v>#NUM!</v>
      </c>
      <c r="AQ256" s="524" t="e">
        <f t="shared" si="62"/>
        <v>#NUM!</v>
      </c>
      <c r="AR256" s="524" t="str">
        <f t="shared" si="63"/>
        <v/>
      </c>
      <c r="AY256" s="523" t="str">
        <f>_xlfn.IFNA(IF(données_step[[#This Row],[E_DCO]]&lt;=0,NA(),charge_entree[[#This Row],[ch_E_DCO]]/constanten!$B$8*1000),"")</f>
        <v/>
      </c>
      <c r="AZ256" s="523" t="str">
        <f>_xlfn.IFNA(IF(données_step[[#This Row],[E_NTOT]]&lt;=0,NA(),charge_entree[[#This Row],[ch_E_NTOT]]/constanten!$B$10*1000),"")</f>
        <v/>
      </c>
      <c r="BA256" s="523" t="str">
        <f>_xlfn.IFNA(IF(données_step[[#This Row],[E_NH4]]&lt;=0,NA(),charge_entree[[#This Row],[ch_E_NH4]]/constanten!$B$12*1000),"")</f>
        <v/>
      </c>
      <c r="BB256" s="523" t="str">
        <f>_xlfn.IFNA(IF(données_step[[#This Row],[E_COT]]&lt;=0,NA(),charge_entree[[#This Row],[ch_E_COT]]/constanten!$B$9*1000),"")</f>
        <v/>
      </c>
      <c r="BC256" s="523" t="str">
        <f>IFERROR(_xlfn.IFNA(IF(données_step[[#This Row],[E_PTOT]]&lt;=0,NA(),charge_entree[[#This Row],[ch_E_PTOT]]/constanten!$B$15*1000),""),"")</f>
        <v/>
      </c>
      <c r="BD256" s="535" t="e">
        <f>calculs!E256 * (1-0.4) / (données_step[[#This Row],[X_BA_VOL]]*données_step[[#This Row],[X_BACONC]])</f>
        <v>#VALUE!</v>
      </c>
      <c r="BE256" s="522" t="e">
        <f>(données_step[[#This Row],[X_BA_VOL]]*données_step[[#This Row],[X_BACONC]])/((données_step[[#This Row],[D_QTRAI2]]*données_step[[#This Row],[S_MES]]/1000)+(données_step[[#This Row],[X_BX_Q]]*données_step[[#This Row],[X_BXCONC]]))</f>
        <v>#VALUE!</v>
      </c>
      <c r="BF256" s="890" t="str">
        <f>IFERROR(données_step[[#This Row],[D_QTRAI]]/AY256*1000,"")</f>
        <v/>
      </c>
      <c r="BG256" s="535" t="str">
        <f>IFERROR(1-données_step[[#This Row],[S_DBO5]]/données_step[[#This Row],[E_DBO5]],"")</f>
        <v/>
      </c>
      <c r="BH256" s="536" t="str">
        <f>IFERROR(1-données_step[[#This Row],[S_DCO]]/données_step[[#This Row],[E_DCO]],"")</f>
        <v/>
      </c>
      <c r="BI256" s="535" t="str">
        <f>IFERROR(1-données_step[[#This Row],[S_COD]]/données_step[[#This Row],[E_COT]],"")</f>
        <v/>
      </c>
      <c r="BJ256" s="535" t="str">
        <f>IFERROR(1-données_step[[#This Row],[S_NH4]]/données_step[[#This Row],[E_NTOT]],"")</f>
        <v/>
      </c>
      <c r="BK256" s="535" t="str">
        <f>IFERROR(1-données_step[[#This Row],[S_PTOT]]/données_step[[#This Row],[E_PTOT]],"")</f>
        <v/>
      </c>
      <c r="BL256" s="521" t="str">
        <f>IFERROR(IF(données_step[[#This Row],[E_DCO]]/données_step[[#This Row],[E_DBO5]]=0,NA(),données_step[[#This Row],[E_DCO]]/données_step[[#This Row],[E_DBO5]]),"")</f>
        <v/>
      </c>
      <c r="BM256" s="521" t="str">
        <f>IFERROR(IF(données_step[[#This Row],[E_NH4]]/données_step[[#This Row],[E_NTOT]]=0,NA(),données_step[[#This Row],[E_NH4]]/données_step[[#This Row],[E_NTOT]]),"")</f>
        <v/>
      </c>
      <c r="BN256" s="521" t="str">
        <f>IFERROR(IF(données_step[[#This Row],[E_NTOT]]/données_step[[#This Row],[E_COT]]=0,NA(),données_step[[#This Row],[E_NTOT]]/données_step[[#This Row],[E_COT]]),"")</f>
        <v/>
      </c>
      <c r="BO256" s="521" t="str">
        <f>IFERROR(IF(données_step[[#This Row],[E_PTOT]]/données_step[[#This Row],[E_COT]]=0,NA(),données_step[[#This Row],[E_PTOT]]/données_step[[#This Row],[E_COT]]),"")</f>
        <v/>
      </c>
      <c r="BP256" s="521" t="e">
        <f>IF(données_step[[#This Row],[E_DCO]]/données_step[[#This Row],[E_COT]]=0,NA(),données_step[[#This Row],[E_DCO]]/données_step[[#This Row],[E_COT]])</f>
        <v>#DIV/0!</v>
      </c>
      <c r="BQ256" s="521" t="e">
        <f>IF(données_step[[#This Row],[E_NTOT]]/données_step[[#This Row],[E_DCO]]=0,NA(),données_step[[#This Row],[E_NTOT]]/données_step[[#This Row],[E_DCO]])</f>
        <v>#DIV/0!</v>
      </c>
      <c r="BR256" s="521" t="e">
        <f>IF(données_step[[#This Row],[E_PTOT]]/données_step[[#This Row],[E_DCO]]=0,NA(),données_step[[#This Row],[E_PTOT]]/données_step[[#This Row],[E_DCO]])</f>
        <v>#DIV/0!</v>
      </c>
      <c r="BS256" s="747" t="e">
        <f ca="1">test_NH4_temp(données_step[[#This Row],[S_NH4]],données_step[[#This Row],[Temp_eaux]])</f>
        <v>#NAME?</v>
      </c>
    </row>
    <row r="257" spans="1:71" x14ac:dyDescent="0.2">
      <c r="A257" s="222">
        <f>données_step[[#This Row],[Datum]]</f>
        <v>44808</v>
      </c>
      <c r="B257" s="223"/>
      <c r="C257" s="224">
        <f t="shared" si="64"/>
        <v>1</v>
      </c>
      <c r="D257" s="523" t="str">
        <f>IF(OR(données_step[[#This Row],[E_DBO5]]&lt;=0,données_step[[#This Row],[E_DBO5]]=""),"",données_step[[#This Row],[D_QTRAI]]*données_step[[#This Row],[E_DBO5]]/1000)</f>
        <v/>
      </c>
      <c r="E257" s="523" t="str">
        <f>IF(OR(données_step[[#This Row],[E_DCO]]&lt;=0,données_step[[#This Row],[E_DCO]]=""),"",données_step[[#This Row],[D_QTRAI]]*données_step[[#This Row],[E_DCO]]/1000)</f>
        <v/>
      </c>
      <c r="F257" s="523" t="str">
        <f>IF(OR(données_step[[#This Row],[E_COT]]&lt;=0,données_step[[#This Row],[E_COT]]=""),"",données_step[[#This Row],[D_QTRAI]]*données_step[[#This Row],[E_COT]]/1000)</f>
        <v/>
      </c>
      <c r="G257" s="523" t="str">
        <f>IF(OR(données_step[[#This Row],[E_NH4]]&lt;=0,données_step[[#This Row],[E_NH4]]=""),"",données_step[[#This Row],[D_QTRAI]]*données_step[[#This Row],[E_NH4]]/1000)</f>
        <v/>
      </c>
      <c r="H257" s="523" t="str">
        <f>IF(OR(données_step[[#This Row],[E_NTOT]]&lt;=0,données_step[[#This Row],[E_NTOT]]=""),"",données_step[[#This Row],[D_QTRAI]]*données_step[[#This Row],[E_NTOT]]/1000)</f>
        <v/>
      </c>
      <c r="I257" s="523" t="str">
        <f>IF(OR(données_step[[#This Row],[E_NTOT]]&lt;=0,données_step[[#This Row],[E_NTOT]]=""),"",données_step[[#This Row],[D_QTRAI]]*données_step[[#This Row],[E_PTOT]]/1000)</f>
        <v/>
      </c>
      <c r="J257" s="523" t="str">
        <f>IF(OR(données_step[[#This Row],[S_DBO5]]&lt;=0,données_step[[#This Row],[S_DBO5]]=""),"",données_step[[#This Row],[D_QTRAI]]*données_step[[#This Row],[S_DBO5]]/1000)</f>
        <v/>
      </c>
      <c r="K257" s="523" t="str">
        <f>IF(OR(données_step[[#This Row],[S_DCO]]&lt;=0,données_step[[#This Row],[S_DCO]]=""),"",données_step[[#This Row],[D_QTRAI]]*données_step[[#This Row],[S_DCO]]/1000)</f>
        <v/>
      </c>
      <c r="L257" s="523" t="str">
        <f>IF(OR(données_step[[#This Row],[S_COD]]&lt;=0,données_step[[#This Row],[S_COD]]=""),"",données_step[[#This Row],[D_QTRAI]]*données_step[[#This Row],[S_COD]]/1000)</f>
        <v/>
      </c>
      <c r="M257" s="523" t="str">
        <f>IF(OR(données_step[[#This Row],[S_NH4]]&lt;=0,données_step[[#This Row],[S_NH4]]=""),"",données_step[[#This Row],[D_QTRAI]]*données_step[[#This Row],[S_NH4]]/1000)</f>
        <v/>
      </c>
      <c r="N257" s="523" t="str">
        <f>IF(OR(données_step[[#This Row],[S_NO2]]&lt;=0,données_step[[#This Row],[S_NO2]]=""),"",données_step[[#This Row],[D_QTRAI]]*données_step[[#This Row],[S_NO2]]/1000)</f>
        <v/>
      </c>
      <c r="O257" s="523" t="str">
        <f>IF(OR(données_step[[#This Row],[S_NO3]]&lt;=0,données_step[[#This Row],[S_NO3]]=""),"",données_step[[#This Row],[D_QTRAI]]*données_step[[#This Row],[S_NO3]]/1000)</f>
        <v/>
      </c>
      <c r="P257" s="523" t="str">
        <f>IF(OR(données_step[[#This Row],[S_PTOT]]&lt;=0,données_step[[#This Row],[S_PTOT]]=""),"",données_step[[#This Row],[D_QTRAI]]*données_step[[#This Row],[S_PTOT]]/1000)</f>
        <v/>
      </c>
      <c r="Q257" s="523" t="str">
        <f>IF(OR(données_step[[#This Row],[S_MES]]&lt;=0,données_step[[#This Row],[S_MES]]=""),"",données_step[[#This Row],[D_QTRAI]]*données_step[[#This Row],[S_MES]]/1000)</f>
        <v/>
      </c>
      <c r="R257" s="523">
        <f>MAX(données_step[[#This Row],[D_QTRAI]],données_step[[#This Row],[D_QTRAI2]])</f>
        <v>0</v>
      </c>
      <c r="S257" s="523" t="str">
        <f>IF(AND($R257&gt;0,données_step[[#This Row],[E_DCO]]&gt;0),données_step[[#This Row],[E_DCO]],"")</f>
        <v/>
      </c>
      <c r="T257" s="523" t="str">
        <f>IF(S257="","",(1-données_step[[#This Row],[E_DCO]]/$V$7)*100)</f>
        <v/>
      </c>
      <c r="U257" s="523" t="str">
        <f t="shared" si="50"/>
        <v/>
      </c>
      <c r="V257" s="523" t="str">
        <f t="shared" si="51"/>
        <v/>
      </c>
      <c r="W257" s="523" t="str">
        <f t="shared" si="52"/>
        <v/>
      </c>
      <c r="X257" s="523" t="e">
        <f>IF(((100-100/$V$7*données_step[[#This Row],[E_DCO]])/100*QTS)&lt;0,NA(),IF(OR(U257&lt;0,U257=""),NA(),((100-100/$V$7*données_step[[#This Row],[E_DCO]])/100*QTS)))</f>
        <v>#NUM!</v>
      </c>
      <c r="Y257" s="523" t="str">
        <f>IF(AND($R257&gt;0,données_step[[#This Row],[E_COT]]&gt;0),données_step[[#This Row],[E_COT]],"")</f>
        <v/>
      </c>
      <c r="Z257" s="523" t="str">
        <f>IF(Y257="","",(1-données_step[[#This Row],[E_COT]]/$AB$7)*100)</f>
        <v/>
      </c>
      <c r="AA257" s="523" t="str">
        <f t="shared" si="53"/>
        <v/>
      </c>
      <c r="AB257" s="523" t="str">
        <f t="shared" si="54"/>
        <v/>
      </c>
      <c r="AC257" s="523" t="str">
        <f t="shared" si="55"/>
        <v/>
      </c>
      <c r="AD257" s="523" t="e">
        <f>IF(((100-100/$AB$7*données_step[[#This Row],[E_COT]])/100*QTS)&lt;0,NA(),IF(OR(AA257&lt;0,AA257=""),NA(),((100-100/$AB$7*données_step[[#This Row],[E_COT]])/100*QTS)))</f>
        <v>#NUM!</v>
      </c>
      <c r="AE257" s="523" t="str">
        <f>IF(AND($R257&gt;0,données_step[[#This Row],[E_NH4]]&gt;0),données_step[[#This Row],[E_NH4]],"")</f>
        <v/>
      </c>
      <c r="AF257" s="523" t="str">
        <f>IF(AE257="","",(1-données_step[[#This Row],[E_NH4]]/$AH$7)*100)</f>
        <v/>
      </c>
      <c r="AG257" s="523" t="str">
        <f t="shared" si="56"/>
        <v/>
      </c>
      <c r="AH257" s="523" t="str">
        <f t="shared" si="57"/>
        <v/>
      </c>
      <c r="AI257" s="523" t="str">
        <f t="shared" si="58"/>
        <v/>
      </c>
      <c r="AJ257" s="523" t="e">
        <f>IF(((100-100/$AH$7*données_step[[#This Row],[E_NH4]])/100*QTS)&lt;0,NA(),IF(OR(AG257&lt;0,AG257=""),NA(),((100-100/$AH$7*données_step[[#This Row],[E_NH4]])/100*QTS)))</f>
        <v>#NUM!</v>
      </c>
      <c r="AK257" s="523" t="str">
        <f>IF(AND($R257&gt;0,données_step[[#This Row],[E_PTOT]]&gt;0),données_step[[#This Row],[E_PTOT]],"")</f>
        <v/>
      </c>
      <c r="AL257" s="523" t="str">
        <f>IF(AK257="","",(1-données_step[[#This Row],[E_PTOT]]/$AN$7)*100)</f>
        <v/>
      </c>
      <c r="AM257" s="523" t="str">
        <f t="shared" si="59"/>
        <v/>
      </c>
      <c r="AN257" s="523" t="str">
        <f t="shared" si="60"/>
        <v/>
      </c>
      <c r="AO257" s="523" t="str">
        <f t="shared" si="61"/>
        <v/>
      </c>
      <c r="AP257" s="523" t="e">
        <f>IF(((100-100/$AN$7*données_step[[#This Row],[E_PTOT]])/100*QTS)&lt;0,NA(),IF(OR(AM257&lt;0,AM257=""),NA(),((100-100/$AN$7*données_step[[#This Row],[E_PTOT]])/100*QTS)))</f>
        <v>#NUM!</v>
      </c>
      <c r="AQ257" s="524" t="e">
        <f t="shared" si="62"/>
        <v>#NUM!</v>
      </c>
      <c r="AR257" s="524" t="str">
        <f t="shared" si="63"/>
        <v/>
      </c>
      <c r="AY257" s="523" t="str">
        <f>_xlfn.IFNA(IF(données_step[[#This Row],[E_DCO]]&lt;=0,NA(),charge_entree[[#This Row],[ch_E_DCO]]/constanten!$B$8*1000),"")</f>
        <v/>
      </c>
      <c r="AZ257" s="523" t="str">
        <f>_xlfn.IFNA(IF(données_step[[#This Row],[E_NTOT]]&lt;=0,NA(),charge_entree[[#This Row],[ch_E_NTOT]]/constanten!$B$10*1000),"")</f>
        <v/>
      </c>
      <c r="BA257" s="523" t="str">
        <f>_xlfn.IFNA(IF(données_step[[#This Row],[E_NH4]]&lt;=0,NA(),charge_entree[[#This Row],[ch_E_NH4]]/constanten!$B$12*1000),"")</f>
        <v/>
      </c>
      <c r="BB257" s="523" t="str">
        <f>_xlfn.IFNA(IF(données_step[[#This Row],[E_COT]]&lt;=0,NA(),charge_entree[[#This Row],[ch_E_COT]]/constanten!$B$9*1000),"")</f>
        <v/>
      </c>
      <c r="BC257" s="523" t="str">
        <f>IFERROR(_xlfn.IFNA(IF(données_step[[#This Row],[E_PTOT]]&lt;=0,NA(),charge_entree[[#This Row],[ch_E_PTOT]]/constanten!$B$15*1000),""),"")</f>
        <v/>
      </c>
      <c r="BD257" s="535" t="e">
        <f>calculs!E257 * (1-0.4) / (données_step[[#This Row],[X_BA_VOL]]*données_step[[#This Row],[X_BACONC]])</f>
        <v>#VALUE!</v>
      </c>
      <c r="BE257" s="522" t="e">
        <f>(données_step[[#This Row],[X_BA_VOL]]*données_step[[#This Row],[X_BACONC]])/((données_step[[#This Row],[D_QTRAI2]]*données_step[[#This Row],[S_MES]]/1000)+(données_step[[#This Row],[X_BX_Q]]*données_step[[#This Row],[X_BXCONC]]))</f>
        <v>#VALUE!</v>
      </c>
      <c r="BF257" s="890" t="str">
        <f>IFERROR(données_step[[#This Row],[D_QTRAI]]/AY257*1000,"")</f>
        <v/>
      </c>
      <c r="BG257" s="535" t="str">
        <f>IFERROR(1-données_step[[#This Row],[S_DBO5]]/données_step[[#This Row],[E_DBO5]],"")</f>
        <v/>
      </c>
      <c r="BH257" s="536" t="str">
        <f>IFERROR(1-données_step[[#This Row],[S_DCO]]/données_step[[#This Row],[E_DCO]],"")</f>
        <v/>
      </c>
      <c r="BI257" s="535" t="str">
        <f>IFERROR(1-données_step[[#This Row],[S_COD]]/données_step[[#This Row],[E_COT]],"")</f>
        <v/>
      </c>
      <c r="BJ257" s="535" t="str">
        <f>IFERROR(1-données_step[[#This Row],[S_NH4]]/données_step[[#This Row],[E_NTOT]],"")</f>
        <v/>
      </c>
      <c r="BK257" s="535" t="str">
        <f>IFERROR(1-données_step[[#This Row],[S_PTOT]]/données_step[[#This Row],[E_PTOT]],"")</f>
        <v/>
      </c>
      <c r="BL257" s="521" t="str">
        <f>IFERROR(IF(données_step[[#This Row],[E_DCO]]/données_step[[#This Row],[E_DBO5]]=0,NA(),données_step[[#This Row],[E_DCO]]/données_step[[#This Row],[E_DBO5]]),"")</f>
        <v/>
      </c>
      <c r="BM257" s="521" t="str">
        <f>IFERROR(IF(données_step[[#This Row],[E_NH4]]/données_step[[#This Row],[E_NTOT]]=0,NA(),données_step[[#This Row],[E_NH4]]/données_step[[#This Row],[E_NTOT]]),"")</f>
        <v/>
      </c>
      <c r="BN257" s="521" t="str">
        <f>IFERROR(IF(données_step[[#This Row],[E_NTOT]]/données_step[[#This Row],[E_COT]]=0,NA(),données_step[[#This Row],[E_NTOT]]/données_step[[#This Row],[E_COT]]),"")</f>
        <v/>
      </c>
      <c r="BO257" s="521" t="str">
        <f>IFERROR(IF(données_step[[#This Row],[E_PTOT]]/données_step[[#This Row],[E_COT]]=0,NA(),données_step[[#This Row],[E_PTOT]]/données_step[[#This Row],[E_COT]]),"")</f>
        <v/>
      </c>
      <c r="BP257" s="521" t="e">
        <f>IF(données_step[[#This Row],[E_DCO]]/données_step[[#This Row],[E_COT]]=0,NA(),données_step[[#This Row],[E_DCO]]/données_step[[#This Row],[E_COT]])</f>
        <v>#DIV/0!</v>
      </c>
      <c r="BQ257" s="521" t="e">
        <f>IF(données_step[[#This Row],[E_NTOT]]/données_step[[#This Row],[E_DCO]]=0,NA(),données_step[[#This Row],[E_NTOT]]/données_step[[#This Row],[E_DCO]])</f>
        <v>#DIV/0!</v>
      </c>
      <c r="BR257" s="521" t="e">
        <f>IF(données_step[[#This Row],[E_PTOT]]/données_step[[#This Row],[E_DCO]]=0,NA(),données_step[[#This Row],[E_PTOT]]/données_step[[#This Row],[E_DCO]])</f>
        <v>#DIV/0!</v>
      </c>
      <c r="BS257" s="747" t="e">
        <f ca="1">test_NH4_temp(données_step[[#This Row],[S_NH4]],données_step[[#This Row],[Temp_eaux]])</f>
        <v>#NAME?</v>
      </c>
    </row>
    <row r="258" spans="1:71" x14ac:dyDescent="0.2">
      <c r="A258" s="222">
        <f>données_step[[#This Row],[Datum]]</f>
        <v>44809</v>
      </c>
      <c r="B258" s="223"/>
      <c r="C258" s="224">
        <f t="shared" si="64"/>
        <v>2</v>
      </c>
      <c r="D258" s="523" t="str">
        <f>IF(OR(données_step[[#This Row],[E_DBO5]]&lt;=0,données_step[[#This Row],[E_DBO5]]=""),"",données_step[[#This Row],[D_QTRAI]]*données_step[[#This Row],[E_DBO5]]/1000)</f>
        <v/>
      </c>
      <c r="E258" s="523" t="str">
        <f>IF(OR(données_step[[#This Row],[E_DCO]]&lt;=0,données_step[[#This Row],[E_DCO]]=""),"",données_step[[#This Row],[D_QTRAI]]*données_step[[#This Row],[E_DCO]]/1000)</f>
        <v/>
      </c>
      <c r="F258" s="523" t="str">
        <f>IF(OR(données_step[[#This Row],[E_COT]]&lt;=0,données_step[[#This Row],[E_COT]]=""),"",données_step[[#This Row],[D_QTRAI]]*données_step[[#This Row],[E_COT]]/1000)</f>
        <v/>
      </c>
      <c r="G258" s="523" t="str">
        <f>IF(OR(données_step[[#This Row],[E_NH4]]&lt;=0,données_step[[#This Row],[E_NH4]]=""),"",données_step[[#This Row],[D_QTRAI]]*données_step[[#This Row],[E_NH4]]/1000)</f>
        <v/>
      </c>
      <c r="H258" s="523" t="str">
        <f>IF(OR(données_step[[#This Row],[E_NTOT]]&lt;=0,données_step[[#This Row],[E_NTOT]]=""),"",données_step[[#This Row],[D_QTRAI]]*données_step[[#This Row],[E_NTOT]]/1000)</f>
        <v/>
      </c>
      <c r="I258" s="523" t="str">
        <f>IF(OR(données_step[[#This Row],[E_NTOT]]&lt;=0,données_step[[#This Row],[E_NTOT]]=""),"",données_step[[#This Row],[D_QTRAI]]*données_step[[#This Row],[E_PTOT]]/1000)</f>
        <v/>
      </c>
      <c r="J258" s="523" t="str">
        <f>IF(OR(données_step[[#This Row],[S_DBO5]]&lt;=0,données_step[[#This Row],[S_DBO5]]=""),"",données_step[[#This Row],[D_QTRAI]]*données_step[[#This Row],[S_DBO5]]/1000)</f>
        <v/>
      </c>
      <c r="K258" s="523" t="str">
        <f>IF(OR(données_step[[#This Row],[S_DCO]]&lt;=0,données_step[[#This Row],[S_DCO]]=""),"",données_step[[#This Row],[D_QTRAI]]*données_step[[#This Row],[S_DCO]]/1000)</f>
        <v/>
      </c>
      <c r="L258" s="523" t="str">
        <f>IF(OR(données_step[[#This Row],[S_COD]]&lt;=0,données_step[[#This Row],[S_COD]]=""),"",données_step[[#This Row],[D_QTRAI]]*données_step[[#This Row],[S_COD]]/1000)</f>
        <v/>
      </c>
      <c r="M258" s="523" t="str">
        <f>IF(OR(données_step[[#This Row],[S_NH4]]&lt;=0,données_step[[#This Row],[S_NH4]]=""),"",données_step[[#This Row],[D_QTRAI]]*données_step[[#This Row],[S_NH4]]/1000)</f>
        <v/>
      </c>
      <c r="N258" s="523" t="str">
        <f>IF(OR(données_step[[#This Row],[S_NO2]]&lt;=0,données_step[[#This Row],[S_NO2]]=""),"",données_step[[#This Row],[D_QTRAI]]*données_step[[#This Row],[S_NO2]]/1000)</f>
        <v/>
      </c>
      <c r="O258" s="523" t="str">
        <f>IF(OR(données_step[[#This Row],[S_NO3]]&lt;=0,données_step[[#This Row],[S_NO3]]=""),"",données_step[[#This Row],[D_QTRAI]]*données_step[[#This Row],[S_NO3]]/1000)</f>
        <v/>
      </c>
      <c r="P258" s="523" t="str">
        <f>IF(OR(données_step[[#This Row],[S_PTOT]]&lt;=0,données_step[[#This Row],[S_PTOT]]=""),"",données_step[[#This Row],[D_QTRAI]]*données_step[[#This Row],[S_PTOT]]/1000)</f>
        <v/>
      </c>
      <c r="Q258" s="523" t="str">
        <f>IF(OR(données_step[[#This Row],[S_MES]]&lt;=0,données_step[[#This Row],[S_MES]]=""),"",données_step[[#This Row],[D_QTRAI]]*données_step[[#This Row],[S_MES]]/1000)</f>
        <v/>
      </c>
      <c r="R258" s="523">
        <f>MAX(données_step[[#This Row],[D_QTRAI]],données_step[[#This Row],[D_QTRAI2]])</f>
        <v>0</v>
      </c>
      <c r="S258" s="523" t="str">
        <f>IF(AND($R258&gt;0,données_step[[#This Row],[E_DCO]]&gt;0),données_step[[#This Row],[E_DCO]],"")</f>
        <v/>
      </c>
      <c r="T258" s="523" t="str">
        <f>IF(S258="","",(1-données_step[[#This Row],[E_DCO]]/$V$7)*100)</f>
        <v/>
      </c>
      <c r="U258" s="523" t="str">
        <f t="shared" si="50"/>
        <v/>
      </c>
      <c r="V258" s="523" t="str">
        <f t="shared" si="51"/>
        <v/>
      </c>
      <c r="W258" s="523" t="str">
        <f t="shared" si="52"/>
        <v/>
      </c>
      <c r="X258" s="523" t="e">
        <f>IF(((100-100/$V$7*données_step[[#This Row],[E_DCO]])/100*QTS)&lt;0,NA(),IF(OR(U258&lt;0,U258=""),NA(),((100-100/$V$7*données_step[[#This Row],[E_DCO]])/100*QTS)))</f>
        <v>#NUM!</v>
      </c>
      <c r="Y258" s="523" t="str">
        <f>IF(AND($R258&gt;0,données_step[[#This Row],[E_COT]]&gt;0),données_step[[#This Row],[E_COT]],"")</f>
        <v/>
      </c>
      <c r="Z258" s="523" t="str">
        <f>IF(Y258="","",(1-données_step[[#This Row],[E_COT]]/$AB$7)*100)</f>
        <v/>
      </c>
      <c r="AA258" s="523" t="str">
        <f t="shared" si="53"/>
        <v/>
      </c>
      <c r="AB258" s="523" t="str">
        <f t="shared" si="54"/>
        <v/>
      </c>
      <c r="AC258" s="523" t="str">
        <f t="shared" si="55"/>
        <v/>
      </c>
      <c r="AD258" s="523" t="e">
        <f>IF(((100-100/$AB$7*données_step[[#This Row],[E_COT]])/100*QTS)&lt;0,NA(),IF(OR(AA258&lt;0,AA258=""),NA(),((100-100/$AB$7*données_step[[#This Row],[E_COT]])/100*QTS)))</f>
        <v>#NUM!</v>
      </c>
      <c r="AE258" s="523" t="str">
        <f>IF(AND($R258&gt;0,données_step[[#This Row],[E_NH4]]&gt;0),données_step[[#This Row],[E_NH4]],"")</f>
        <v/>
      </c>
      <c r="AF258" s="523" t="str">
        <f>IF(AE258="","",(1-données_step[[#This Row],[E_NH4]]/$AH$7)*100)</f>
        <v/>
      </c>
      <c r="AG258" s="523" t="str">
        <f t="shared" si="56"/>
        <v/>
      </c>
      <c r="AH258" s="523" t="str">
        <f t="shared" si="57"/>
        <v/>
      </c>
      <c r="AI258" s="523" t="str">
        <f t="shared" si="58"/>
        <v/>
      </c>
      <c r="AJ258" s="523" t="e">
        <f>IF(((100-100/$AH$7*données_step[[#This Row],[E_NH4]])/100*QTS)&lt;0,NA(),IF(OR(AG258&lt;0,AG258=""),NA(),((100-100/$AH$7*données_step[[#This Row],[E_NH4]])/100*QTS)))</f>
        <v>#NUM!</v>
      </c>
      <c r="AK258" s="523" t="str">
        <f>IF(AND($R258&gt;0,données_step[[#This Row],[E_PTOT]]&gt;0),données_step[[#This Row],[E_PTOT]],"")</f>
        <v/>
      </c>
      <c r="AL258" s="523" t="str">
        <f>IF(AK258="","",(1-données_step[[#This Row],[E_PTOT]]/$AN$7)*100)</f>
        <v/>
      </c>
      <c r="AM258" s="523" t="str">
        <f t="shared" si="59"/>
        <v/>
      </c>
      <c r="AN258" s="523" t="str">
        <f t="shared" si="60"/>
        <v/>
      </c>
      <c r="AO258" s="523" t="str">
        <f t="shared" si="61"/>
        <v/>
      </c>
      <c r="AP258" s="523" t="e">
        <f>IF(((100-100/$AN$7*données_step[[#This Row],[E_PTOT]])/100*QTS)&lt;0,NA(),IF(OR(AM258&lt;0,AM258=""),NA(),((100-100/$AN$7*données_step[[#This Row],[E_PTOT]])/100*QTS)))</f>
        <v>#NUM!</v>
      </c>
      <c r="AQ258" s="524" t="e">
        <f t="shared" si="62"/>
        <v>#NUM!</v>
      </c>
      <c r="AR258" s="524" t="str">
        <f t="shared" si="63"/>
        <v/>
      </c>
      <c r="AY258" s="523" t="str">
        <f>_xlfn.IFNA(IF(données_step[[#This Row],[E_DCO]]&lt;=0,NA(),charge_entree[[#This Row],[ch_E_DCO]]/constanten!$B$8*1000),"")</f>
        <v/>
      </c>
      <c r="AZ258" s="523" t="str">
        <f>_xlfn.IFNA(IF(données_step[[#This Row],[E_NTOT]]&lt;=0,NA(),charge_entree[[#This Row],[ch_E_NTOT]]/constanten!$B$10*1000),"")</f>
        <v/>
      </c>
      <c r="BA258" s="523" t="str">
        <f>_xlfn.IFNA(IF(données_step[[#This Row],[E_NH4]]&lt;=0,NA(),charge_entree[[#This Row],[ch_E_NH4]]/constanten!$B$12*1000),"")</f>
        <v/>
      </c>
      <c r="BB258" s="523" t="str">
        <f>_xlfn.IFNA(IF(données_step[[#This Row],[E_COT]]&lt;=0,NA(),charge_entree[[#This Row],[ch_E_COT]]/constanten!$B$9*1000),"")</f>
        <v/>
      </c>
      <c r="BC258" s="523" t="str">
        <f>IFERROR(_xlfn.IFNA(IF(données_step[[#This Row],[E_PTOT]]&lt;=0,NA(),charge_entree[[#This Row],[ch_E_PTOT]]/constanten!$B$15*1000),""),"")</f>
        <v/>
      </c>
      <c r="BD258" s="535" t="e">
        <f>calculs!E258 * (1-0.4) / (données_step[[#This Row],[X_BA_VOL]]*données_step[[#This Row],[X_BACONC]])</f>
        <v>#VALUE!</v>
      </c>
      <c r="BE258" s="522" t="e">
        <f>(données_step[[#This Row],[X_BA_VOL]]*données_step[[#This Row],[X_BACONC]])/((données_step[[#This Row],[D_QTRAI2]]*données_step[[#This Row],[S_MES]]/1000)+(données_step[[#This Row],[X_BX_Q]]*données_step[[#This Row],[X_BXCONC]]))</f>
        <v>#VALUE!</v>
      </c>
      <c r="BF258" s="890" t="str">
        <f>IFERROR(données_step[[#This Row],[D_QTRAI]]/AY258*1000,"")</f>
        <v/>
      </c>
      <c r="BG258" s="535" t="str">
        <f>IFERROR(1-données_step[[#This Row],[S_DBO5]]/données_step[[#This Row],[E_DBO5]],"")</f>
        <v/>
      </c>
      <c r="BH258" s="536" t="str">
        <f>IFERROR(1-données_step[[#This Row],[S_DCO]]/données_step[[#This Row],[E_DCO]],"")</f>
        <v/>
      </c>
      <c r="BI258" s="535" t="str">
        <f>IFERROR(1-données_step[[#This Row],[S_COD]]/données_step[[#This Row],[E_COT]],"")</f>
        <v/>
      </c>
      <c r="BJ258" s="535" t="str">
        <f>IFERROR(1-données_step[[#This Row],[S_NH4]]/données_step[[#This Row],[E_NTOT]],"")</f>
        <v/>
      </c>
      <c r="BK258" s="535" t="str">
        <f>IFERROR(1-données_step[[#This Row],[S_PTOT]]/données_step[[#This Row],[E_PTOT]],"")</f>
        <v/>
      </c>
      <c r="BL258" s="521" t="str">
        <f>IFERROR(IF(données_step[[#This Row],[E_DCO]]/données_step[[#This Row],[E_DBO5]]=0,NA(),données_step[[#This Row],[E_DCO]]/données_step[[#This Row],[E_DBO5]]),"")</f>
        <v/>
      </c>
      <c r="BM258" s="521" t="str">
        <f>IFERROR(IF(données_step[[#This Row],[E_NH4]]/données_step[[#This Row],[E_NTOT]]=0,NA(),données_step[[#This Row],[E_NH4]]/données_step[[#This Row],[E_NTOT]]),"")</f>
        <v/>
      </c>
      <c r="BN258" s="521" t="str">
        <f>IFERROR(IF(données_step[[#This Row],[E_NTOT]]/données_step[[#This Row],[E_COT]]=0,NA(),données_step[[#This Row],[E_NTOT]]/données_step[[#This Row],[E_COT]]),"")</f>
        <v/>
      </c>
      <c r="BO258" s="521" t="str">
        <f>IFERROR(IF(données_step[[#This Row],[E_PTOT]]/données_step[[#This Row],[E_COT]]=0,NA(),données_step[[#This Row],[E_PTOT]]/données_step[[#This Row],[E_COT]]),"")</f>
        <v/>
      </c>
      <c r="BP258" s="521" t="e">
        <f>IF(données_step[[#This Row],[E_DCO]]/données_step[[#This Row],[E_COT]]=0,NA(),données_step[[#This Row],[E_DCO]]/données_step[[#This Row],[E_COT]])</f>
        <v>#DIV/0!</v>
      </c>
      <c r="BQ258" s="521" t="e">
        <f>IF(données_step[[#This Row],[E_NTOT]]/données_step[[#This Row],[E_DCO]]=0,NA(),données_step[[#This Row],[E_NTOT]]/données_step[[#This Row],[E_DCO]])</f>
        <v>#DIV/0!</v>
      </c>
      <c r="BR258" s="521" t="e">
        <f>IF(données_step[[#This Row],[E_PTOT]]/données_step[[#This Row],[E_DCO]]=0,NA(),données_step[[#This Row],[E_PTOT]]/données_step[[#This Row],[E_DCO]])</f>
        <v>#DIV/0!</v>
      </c>
      <c r="BS258" s="747" t="e">
        <f ca="1">test_NH4_temp(données_step[[#This Row],[S_NH4]],données_step[[#This Row],[Temp_eaux]])</f>
        <v>#NAME?</v>
      </c>
    </row>
    <row r="259" spans="1:71" x14ac:dyDescent="0.2">
      <c r="A259" s="222">
        <f>données_step[[#This Row],[Datum]]</f>
        <v>44810</v>
      </c>
      <c r="B259" s="223"/>
      <c r="C259" s="224">
        <f t="shared" si="64"/>
        <v>3</v>
      </c>
      <c r="D259" s="523" t="str">
        <f>IF(OR(données_step[[#This Row],[E_DBO5]]&lt;=0,données_step[[#This Row],[E_DBO5]]=""),"",données_step[[#This Row],[D_QTRAI]]*données_step[[#This Row],[E_DBO5]]/1000)</f>
        <v/>
      </c>
      <c r="E259" s="523" t="str">
        <f>IF(OR(données_step[[#This Row],[E_DCO]]&lt;=0,données_step[[#This Row],[E_DCO]]=""),"",données_step[[#This Row],[D_QTRAI]]*données_step[[#This Row],[E_DCO]]/1000)</f>
        <v/>
      </c>
      <c r="F259" s="523" t="str">
        <f>IF(OR(données_step[[#This Row],[E_COT]]&lt;=0,données_step[[#This Row],[E_COT]]=""),"",données_step[[#This Row],[D_QTRAI]]*données_step[[#This Row],[E_COT]]/1000)</f>
        <v/>
      </c>
      <c r="G259" s="523" t="str">
        <f>IF(OR(données_step[[#This Row],[E_NH4]]&lt;=0,données_step[[#This Row],[E_NH4]]=""),"",données_step[[#This Row],[D_QTRAI]]*données_step[[#This Row],[E_NH4]]/1000)</f>
        <v/>
      </c>
      <c r="H259" s="523" t="str">
        <f>IF(OR(données_step[[#This Row],[E_NTOT]]&lt;=0,données_step[[#This Row],[E_NTOT]]=""),"",données_step[[#This Row],[D_QTRAI]]*données_step[[#This Row],[E_NTOT]]/1000)</f>
        <v/>
      </c>
      <c r="I259" s="523" t="str">
        <f>IF(OR(données_step[[#This Row],[E_NTOT]]&lt;=0,données_step[[#This Row],[E_NTOT]]=""),"",données_step[[#This Row],[D_QTRAI]]*données_step[[#This Row],[E_PTOT]]/1000)</f>
        <v/>
      </c>
      <c r="J259" s="523" t="str">
        <f>IF(OR(données_step[[#This Row],[S_DBO5]]&lt;=0,données_step[[#This Row],[S_DBO5]]=""),"",données_step[[#This Row],[D_QTRAI]]*données_step[[#This Row],[S_DBO5]]/1000)</f>
        <v/>
      </c>
      <c r="K259" s="523" t="str">
        <f>IF(OR(données_step[[#This Row],[S_DCO]]&lt;=0,données_step[[#This Row],[S_DCO]]=""),"",données_step[[#This Row],[D_QTRAI]]*données_step[[#This Row],[S_DCO]]/1000)</f>
        <v/>
      </c>
      <c r="L259" s="523" t="str">
        <f>IF(OR(données_step[[#This Row],[S_COD]]&lt;=0,données_step[[#This Row],[S_COD]]=""),"",données_step[[#This Row],[D_QTRAI]]*données_step[[#This Row],[S_COD]]/1000)</f>
        <v/>
      </c>
      <c r="M259" s="523" t="str">
        <f>IF(OR(données_step[[#This Row],[S_NH4]]&lt;=0,données_step[[#This Row],[S_NH4]]=""),"",données_step[[#This Row],[D_QTRAI]]*données_step[[#This Row],[S_NH4]]/1000)</f>
        <v/>
      </c>
      <c r="N259" s="523" t="str">
        <f>IF(OR(données_step[[#This Row],[S_NO2]]&lt;=0,données_step[[#This Row],[S_NO2]]=""),"",données_step[[#This Row],[D_QTRAI]]*données_step[[#This Row],[S_NO2]]/1000)</f>
        <v/>
      </c>
      <c r="O259" s="523" t="str">
        <f>IF(OR(données_step[[#This Row],[S_NO3]]&lt;=0,données_step[[#This Row],[S_NO3]]=""),"",données_step[[#This Row],[D_QTRAI]]*données_step[[#This Row],[S_NO3]]/1000)</f>
        <v/>
      </c>
      <c r="P259" s="523" t="str">
        <f>IF(OR(données_step[[#This Row],[S_PTOT]]&lt;=0,données_step[[#This Row],[S_PTOT]]=""),"",données_step[[#This Row],[D_QTRAI]]*données_step[[#This Row],[S_PTOT]]/1000)</f>
        <v/>
      </c>
      <c r="Q259" s="523" t="str">
        <f>IF(OR(données_step[[#This Row],[S_MES]]&lt;=0,données_step[[#This Row],[S_MES]]=""),"",données_step[[#This Row],[D_QTRAI]]*données_step[[#This Row],[S_MES]]/1000)</f>
        <v/>
      </c>
      <c r="R259" s="523">
        <f>MAX(données_step[[#This Row],[D_QTRAI]],données_step[[#This Row],[D_QTRAI2]])</f>
        <v>0</v>
      </c>
      <c r="S259" s="523" t="str">
        <f>IF(AND($R259&gt;0,données_step[[#This Row],[E_DCO]]&gt;0),données_step[[#This Row],[E_DCO]],"")</f>
        <v/>
      </c>
      <c r="T259" s="523" t="str">
        <f>IF(S259="","",(1-données_step[[#This Row],[E_DCO]]/$V$7)*100)</f>
        <v/>
      </c>
      <c r="U259" s="523" t="str">
        <f t="shared" si="50"/>
        <v/>
      </c>
      <c r="V259" s="523" t="str">
        <f t="shared" si="51"/>
        <v/>
      </c>
      <c r="W259" s="523" t="str">
        <f t="shared" si="52"/>
        <v/>
      </c>
      <c r="X259" s="523" t="e">
        <f>IF(((100-100/$V$7*données_step[[#This Row],[E_DCO]])/100*QTS)&lt;0,NA(),IF(OR(U259&lt;0,U259=""),NA(),((100-100/$V$7*données_step[[#This Row],[E_DCO]])/100*QTS)))</f>
        <v>#NUM!</v>
      </c>
      <c r="Y259" s="523" t="str">
        <f>IF(AND($R259&gt;0,données_step[[#This Row],[E_COT]]&gt;0),données_step[[#This Row],[E_COT]],"")</f>
        <v/>
      </c>
      <c r="Z259" s="523" t="str">
        <f>IF(Y259="","",(1-données_step[[#This Row],[E_COT]]/$AB$7)*100)</f>
        <v/>
      </c>
      <c r="AA259" s="523" t="str">
        <f t="shared" si="53"/>
        <v/>
      </c>
      <c r="AB259" s="523" t="str">
        <f t="shared" si="54"/>
        <v/>
      </c>
      <c r="AC259" s="523" t="str">
        <f t="shared" si="55"/>
        <v/>
      </c>
      <c r="AD259" s="523" t="e">
        <f>IF(((100-100/$AB$7*données_step[[#This Row],[E_COT]])/100*QTS)&lt;0,NA(),IF(OR(AA259&lt;0,AA259=""),NA(),((100-100/$AB$7*données_step[[#This Row],[E_COT]])/100*QTS)))</f>
        <v>#NUM!</v>
      </c>
      <c r="AE259" s="523" t="str">
        <f>IF(AND($R259&gt;0,données_step[[#This Row],[E_NH4]]&gt;0),données_step[[#This Row],[E_NH4]],"")</f>
        <v/>
      </c>
      <c r="AF259" s="523" t="str">
        <f>IF(AE259="","",(1-données_step[[#This Row],[E_NH4]]/$AH$7)*100)</f>
        <v/>
      </c>
      <c r="AG259" s="523" t="str">
        <f t="shared" si="56"/>
        <v/>
      </c>
      <c r="AH259" s="523" t="str">
        <f t="shared" si="57"/>
        <v/>
      </c>
      <c r="AI259" s="523" t="str">
        <f t="shared" si="58"/>
        <v/>
      </c>
      <c r="AJ259" s="523" t="e">
        <f>IF(((100-100/$AH$7*données_step[[#This Row],[E_NH4]])/100*QTS)&lt;0,NA(),IF(OR(AG259&lt;0,AG259=""),NA(),((100-100/$AH$7*données_step[[#This Row],[E_NH4]])/100*QTS)))</f>
        <v>#NUM!</v>
      </c>
      <c r="AK259" s="523" t="str">
        <f>IF(AND($R259&gt;0,données_step[[#This Row],[E_PTOT]]&gt;0),données_step[[#This Row],[E_PTOT]],"")</f>
        <v/>
      </c>
      <c r="AL259" s="523" t="str">
        <f>IF(AK259="","",(1-données_step[[#This Row],[E_PTOT]]/$AN$7)*100)</f>
        <v/>
      </c>
      <c r="AM259" s="523" t="str">
        <f t="shared" si="59"/>
        <v/>
      </c>
      <c r="AN259" s="523" t="str">
        <f t="shared" si="60"/>
        <v/>
      </c>
      <c r="AO259" s="523" t="str">
        <f t="shared" si="61"/>
        <v/>
      </c>
      <c r="AP259" s="523" t="e">
        <f>IF(((100-100/$AN$7*données_step[[#This Row],[E_PTOT]])/100*QTS)&lt;0,NA(),IF(OR(AM259&lt;0,AM259=""),NA(),((100-100/$AN$7*données_step[[#This Row],[E_PTOT]])/100*QTS)))</f>
        <v>#NUM!</v>
      </c>
      <c r="AQ259" s="524" t="e">
        <f t="shared" si="62"/>
        <v>#NUM!</v>
      </c>
      <c r="AR259" s="524" t="str">
        <f t="shared" si="63"/>
        <v/>
      </c>
      <c r="AY259" s="523" t="str">
        <f>_xlfn.IFNA(IF(données_step[[#This Row],[E_DCO]]&lt;=0,NA(),charge_entree[[#This Row],[ch_E_DCO]]/constanten!$B$8*1000),"")</f>
        <v/>
      </c>
      <c r="AZ259" s="523" t="str">
        <f>_xlfn.IFNA(IF(données_step[[#This Row],[E_NTOT]]&lt;=0,NA(),charge_entree[[#This Row],[ch_E_NTOT]]/constanten!$B$10*1000),"")</f>
        <v/>
      </c>
      <c r="BA259" s="523" t="str">
        <f>_xlfn.IFNA(IF(données_step[[#This Row],[E_NH4]]&lt;=0,NA(),charge_entree[[#This Row],[ch_E_NH4]]/constanten!$B$12*1000),"")</f>
        <v/>
      </c>
      <c r="BB259" s="523" t="str">
        <f>_xlfn.IFNA(IF(données_step[[#This Row],[E_COT]]&lt;=0,NA(),charge_entree[[#This Row],[ch_E_COT]]/constanten!$B$9*1000),"")</f>
        <v/>
      </c>
      <c r="BC259" s="523" t="str">
        <f>IFERROR(_xlfn.IFNA(IF(données_step[[#This Row],[E_PTOT]]&lt;=0,NA(),charge_entree[[#This Row],[ch_E_PTOT]]/constanten!$B$15*1000),""),"")</f>
        <v/>
      </c>
      <c r="BD259" s="535" t="e">
        <f>calculs!E259 * (1-0.4) / (données_step[[#This Row],[X_BA_VOL]]*données_step[[#This Row],[X_BACONC]])</f>
        <v>#VALUE!</v>
      </c>
      <c r="BE259" s="522" t="e">
        <f>(données_step[[#This Row],[X_BA_VOL]]*données_step[[#This Row],[X_BACONC]])/((données_step[[#This Row],[D_QTRAI2]]*données_step[[#This Row],[S_MES]]/1000)+(données_step[[#This Row],[X_BX_Q]]*données_step[[#This Row],[X_BXCONC]]))</f>
        <v>#VALUE!</v>
      </c>
      <c r="BF259" s="890" t="str">
        <f>IFERROR(données_step[[#This Row],[D_QTRAI]]/AY259*1000,"")</f>
        <v/>
      </c>
      <c r="BG259" s="535" t="str">
        <f>IFERROR(1-données_step[[#This Row],[S_DBO5]]/données_step[[#This Row],[E_DBO5]],"")</f>
        <v/>
      </c>
      <c r="BH259" s="536" t="str">
        <f>IFERROR(1-données_step[[#This Row],[S_DCO]]/données_step[[#This Row],[E_DCO]],"")</f>
        <v/>
      </c>
      <c r="BI259" s="535" t="str">
        <f>IFERROR(1-données_step[[#This Row],[S_COD]]/données_step[[#This Row],[E_COT]],"")</f>
        <v/>
      </c>
      <c r="BJ259" s="535" t="str">
        <f>IFERROR(1-données_step[[#This Row],[S_NH4]]/données_step[[#This Row],[E_NTOT]],"")</f>
        <v/>
      </c>
      <c r="BK259" s="535" t="str">
        <f>IFERROR(1-données_step[[#This Row],[S_PTOT]]/données_step[[#This Row],[E_PTOT]],"")</f>
        <v/>
      </c>
      <c r="BL259" s="521" t="str">
        <f>IFERROR(IF(données_step[[#This Row],[E_DCO]]/données_step[[#This Row],[E_DBO5]]=0,NA(),données_step[[#This Row],[E_DCO]]/données_step[[#This Row],[E_DBO5]]),"")</f>
        <v/>
      </c>
      <c r="BM259" s="521" t="str">
        <f>IFERROR(IF(données_step[[#This Row],[E_NH4]]/données_step[[#This Row],[E_NTOT]]=0,NA(),données_step[[#This Row],[E_NH4]]/données_step[[#This Row],[E_NTOT]]),"")</f>
        <v/>
      </c>
      <c r="BN259" s="521" t="str">
        <f>IFERROR(IF(données_step[[#This Row],[E_NTOT]]/données_step[[#This Row],[E_COT]]=0,NA(),données_step[[#This Row],[E_NTOT]]/données_step[[#This Row],[E_COT]]),"")</f>
        <v/>
      </c>
      <c r="BO259" s="521" t="str">
        <f>IFERROR(IF(données_step[[#This Row],[E_PTOT]]/données_step[[#This Row],[E_COT]]=0,NA(),données_step[[#This Row],[E_PTOT]]/données_step[[#This Row],[E_COT]]),"")</f>
        <v/>
      </c>
      <c r="BP259" s="521" t="e">
        <f>IF(données_step[[#This Row],[E_DCO]]/données_step[[#This Row],[E_COT]]=0,NA(),données_step[[#This Row],[E_DCO]]/données_step[[#This Row],[E_COT]])</f>
        <v>#DIV/0!</v>
      </c>
      <c r="BQ259" s="521" t="e">
        <f>IF(données_step[[#This Row],[E_NTOT]]/données_step[[#This Row],[E_DCO]]=0,NA(),données_step[[#This Row],[E_NTOT]]/données_step[[#This Row],[E_DCO]])</f>
        <v>#DIV/0!</v>
      </c>
      <c r="BR259" s="521" t="e">
        <f>IF(données_step[[#This Row],[E_PTOT]]/données_step[[#This Row],[E_DCO]]=0,NA(),données_step[[#This Row],[E_PTOT]]/données_step[[#This Row],[E_DCO]])</f>
        <v>#DIV/0!</v>
      </c>
      <c r="BS259" s="747" t="e">
        <f ca="1">test_NH4_temp(données_step[[#This Row],[S_NH4]],données_step[[#This Row],[Temp_eaux]])</f>
        <v>#NAME?</v>
      </c>
    </row>
    <row r="260" spans="1:71" x14ac:dyDescent="0.2">
      <c r="A260" s="222">
        <f>données_step[[#This Row],[Datum]]</f>
        <v>44811</v>
      </c>
      <c r="B260" s="223"/>
      <c r="C260" s="224">
        <f t="shared" si="64"/>
        <v>4</v>
      </c>
      <c r="D260" s="523" t="str">
        <f>IF(OR(données_step[[#This Row],[E_DBO5]]&lt;=0,données_step[[#This Row],[E_DBO5]]=""),"",données_step[[#This Row],[D_QTRAI]]*données_step[[#This Row],[E_DBO5]]/1000)</f>
        <v/>
      </c>
      <c r="E260" s="523" t="str">
        <f>IF(OR(données_step[[#This Row],[E_DCO]]&lt;=0,données_step[[#This Row],[E_DCO]]=""),"",données_step[[#This Row],[D_QTRAI]]*données_step[[#This Row],[E_DCO]]/1000)</f>
        <v/>
      </c>
      <c r="F260" s="523" t="str">
        <f>IF(OR(données_step[[#This Row],[E_COT]]&lt;=0,données_step[[#This Row],[E_COT]]=""),"",données_step[[#This Row],[D_QTRAI]]*données_step[[#This Row],[E_COT]]/1000)</f>
        <v/>
      </c>
      <c r="G260" s="523" t="str">
        <f>IF(OR(données_step[[#This Row],[E_NH4]]&lt;=0,données_step[[#This Row],[E_NH4]]=""),"",données_step[[#This Row],[D_QTRAI]]*données_step[[#This Row],[E_NH4]]/1000)</f>
        <v/>
      </c>
      <c r="H260" s="523" t="str">
        <f>IF(OR(données_step[[#This Row],[E_NTOT]]&lt;=0,données_step[[#This Row],[E_NTOT]]=""),"",données_step[[#This Row],[D_QTRAI]]*données_step[[#This Row],[E_NTOT]]/1000)</f>
        <v/>
      </c>
      <c r="I260" s="523" t="str">
        <f>IF(OR(données_step[[#This Row],[E_NTOT]]&lt;=0,données_step[[#This Row],[E_NTOT]]=""),"",données_step[[#This Row],[D_QTRAI]]*données_step[[#This Row],[E_PTOT]]/1000)</f>
        <v/>
      </c>
      <c r="J260" s="523" t="str">
        <f>IF(OR(données_step[[#This Row],[S_DBO5]]&lt;=0,données_step[[#This Row],[S_DBO5]]=""),"",données_step[[#This Row],[D_QTRAI]]*données_step[[#This Row],[S_DBO5]]/1000)</f>
        <v/>
      </c>
      <c r="K260" s="523" t="str">
        <f>IF(OR(données_step[[#This Row],[S_DCO]]&lt;=0,données_step[[#This Row],[S_DCO]]=""),"",données_step[[#This Row],[D_QTRAI]]*données_step[[#This Row],[S_DCO]]/1000)</f>
        <v/>
      </c>
      <c r="L260" s="523" t="str">
        <f>IF(OR(données_step[[#This Row],[S_COD]]&lt;=0,données_step[[#This Row],[S_COD]]=""),"",données_step[[#This Row],[D_QTRAI]]*données_step[[#This Row],[S_COD]]/1000)</f>
        <v/>
      </c>
      <c r="M260" s="523" t="str">
        <f>IF(OR(données_step[[#This Row],[S_NH4]]&lt;=0,données_step[[#This Row],[S_NH4]]=""),"",données_step[[#This Row],[D_QTRAI]]*données_step[[#This Row],[S_NH4]]/1000)</f>
        <v/>
      </c>
      <c r="N260" s="523" t="str">
        <f>IF(OR(données_step[[#This Row],[S_NO2]]&lt;=0,données_step[[#This Row],[S_NO2]]=""),"",données_step[[#This Row],[D_QTRAI]]*données_step[[#This Row],[S_NO2]]/1000)</f>
        <v/>
      </c>
      <c r="O260" s="523" t="str">
        <f>IF(OR(données_step[[#This Row],[S_NO3]]&lt;=0,données_step[[#This Row],[S_NO3]]=""),"",données_step[[#This Row],[D_QTRAI]]*données_step[[#This Row],[S_NO3]]/1000)</f>
        <v/>
      </c>
      <c r="P260" s="523" t="str">
        <f>IF(OR(données_step[[#This Row],[S_PTOT]]&lt;=0,données_step[[#This Row],[S_PTOT]]=""),"",données_step[[#This Row],[D_QTRAI]]*données_step[[#This Row],[S_PTOT]]/1000)</f>
        <v/>
      </c>
      <c r="Q260" s="523" t="str">
        <f>IF(OR(données_step[[#This Row],[S_MES]]&lt;=0,données_step[[#This Row],[S_MES]]=""),"",données_step[[#This Row],[D_QTRAI]]*données_step[[#This Row],[S_MES]]/1000)</f>
        <v/>
      </c>
      <c r="R260" s="523">
        <f>MAX(données_step[[#This Row],[D_QTRAI]],données_step[[#This Row],[D_QTRAI2]])</f>
        <v>0</v>
      </c>
      <c r="S260" s="523" t="str">
        <f>IF(AND($R260&gt;0,données_step[[#This Row],[E_DCO]]&gt;0),données_step[[#This Row],[E_DCO]],"")</f>
        <v/>
      </c>
      <c r="T260" s="523" t="str">
        <f>IF(S260="","",(1-données_step[[#This Row],[E_DCO]]/$V$7)*100)</f>
        <v/>
      </c>
      <c r="U260" s="523" t="str">
        <f t="shared" si="50"/>
        <v/>
      </c>
      <c r="V260" s="523" t="str">
        <f t="shared" si="51"/>
        <v/>
      </c>
      <c r="W260" s="523" t="str">
        <f t="shared" si="52"/>
        <v/>
      </c>
      <c r="X260" s="523" t="e">
        <f>IF(((100-100/$V$7*données_step[[#This Row],[E_DCO]])/100*QTS)&lt;0,NA(),IF(OR(U260&lt;0,U260=""),NA(),((100-100/$V$7*données_step[[#This Row],[E_DCO]])/100*QTS)))</f>
        <v>#NUM!</v>
      </c>
      <c r="Y260" s="523" t="str">
        <f>IF(AND($R260&gt;0,données_step[[#This Row],[E_COT]]&gt;0),données_step[[#This Row],[E_COT]],"")</f>
        <v/>
      </c>
      <c r="Z260" s="523" t="str">
        <f>IF(Y260="","",(1-données_step[[#This Row],[E_COT]]/$AB$7)*100)</f>
        <v/>
      </c>
      <c r="AA260" s="523" t="str">
        <f t="shared" si="53"/>
        <v/>
      </c>
      <c r="AB260" s="523" t="str">
        <f t="shared" si="54"/>
        <v/>
      </c>
      <c r="AC260" s="523" t="str">
        <f t="shared" si="55"/>
        <v/>
      </c>
      <c r="AD260" s="523" t="e">
        <f>IF(((100-100/$AB$7*données_step[[#This Row],[E_COT]])/100*QTS)&lt;0,NA(),IF(OR(AA260&lt;0,AA260=""),NA(),((100-100/$AB$7*données_step[[#This Row],[E_COT]])/100*QTS)))</f>
        <v>#NUM!</v>
      </c>
      <c r="AE260" s="523" t="str">
        <f>IF(AND($R260&gt;0,données_step[[#This Row],[E_NH4]]&gt;0),données_step[[#This Row],[E_NH4]],"")</f>
        <v/>
      </c>
      <c r="AF260" s="523" t="str">
        <f>IF(AE260="","",(1-données_step[[#This Row],[E_NH4]]/$AH$7)*100)</f>
        <v/>
      </c>
      <c r="AG260" s="523" t="str">
        <f t="shared" si="56"/>
        <v/>
      </c>
      <c r="AH260" s="523" t="str">
        <f t="shared" si="57"/>
        <v/>
      </c>
      <c r="AI260" s="523" t="str">
        <f t="shared" si="58"/>
        <v/>
      </c>
      <c r="AJ260" s="523" t="e">
        <f>IF(((100-100/$AH$7*données_step[[#This Row],[E_NH4]])/100*QTS)&lt;0,NA(),IF(OR(AG260&lt;0,AG260=""),NA(),((100-100/$AH$7*données_step[[#This Row],[E_NH4]])/100*QTS)))</f>
        <v>#NUM!</v>
      </c>
      <c r="AK260" s="523" t="str">
        <f>IF(AND($R260&gt;0,données_step[[#This Row],[E_PTOT]]&gt;0),données_step[[#This Row],[E_PTOT]],"")</f>
        <v/>
      </c>
      <c r="AL260" s="523" t="str">
        <f>IF(AK260="","",(1-données_step[[#This Row],[E_PTOT]]/$AN$7)*100)</f>
        <v/>
      </c>
      <c r="AM260" s="523" t="str">
        <f t="shared" si="59"/>
        <v/>
      </c>
      <c r="AN260" s="523" t="str">
        <f t="shared" si="60"/>
        <v/>
      </c>
      <c r="AO260" s="523" t="str">
        <f t="shared" si="61"/>
        <v/>
      </c>
      <c r="AP260" s="523" t="e">
        <f>IF(((100-100/$AN$7*données_step[[#This Row],[E_PTOT]])/100*QTS)&lt;0,NA(),IF(OR(AM260&lt;0,AM260=""),NA(),((100-100/$AN$7*données_step[[#This Row],[E_PTOT]])/100*QTS)))</f>
        <v>#NUM!</v>
      </c>
      <c r="AQ260" s="524" t="e">
        <f t="shared" si="62"/>
        <v>#NUM!</v>
      </c>
      <c r="AR260" s="524" t="str">
        <f t="shared" si="63"/>
        <v/>
      </c>
      <c r="AY260" s="523" t="str">
        <f>_xlfn.IFNA(IF(données_step[[#This Row],[E_DCO]]&lt;=0,NA(),charge_entree[[#This Row],[ch_E_DCO]]/constanten!$B$8*1000),"")</f>
        <v/>
      </c>
      <c r="AZ260" s="523" t="str">
        <f>_xlfn.IFNA(IF(données_step[[#This Row],[E_NTOT]]&lt;=0,NA(),charge_entree[[#This Row],[ch_E_NTOT]]/constanten!$B$10*1000),"")</f>
        <v/>
      </c>
      <c r="BA260" s="523" t="str">
        <f>_xlfn.IFNA(IF(données_step[[#This Row],[E_NH4]]&lt;=0,NA(),charge_entree[[#This Row],[ch_E_NH4]]/constanten!$B$12*1000),"")</f>
        <v/>
      </c>
      <c r="BB260" s="523" t="str">
        <f>_xlfn.IFNA(IF(données_step[[#This Row],[E_COT]]&lt;=0,NA(),charge_entree[[#This Row],[ch_E_COT]]/constanten!$B$9*1000),"")</f>
        <v/>
      </c>
      <c r="BC260" s="523" t="str">
        <f>IFERROR(_xlfn.IFNA(IF(données_step[[#This Row],[E_PTOT]]&lt;=0,NA(),charge_entree[[#This Row],[ch_E_PTOT]]/constanten!$B$15*1000),""),"")</f>
        <v/>
      </c>
      <c r="BD260" s="535" t="e">
        <f>calculs!E260 * (1-0.4) / (données_step[[#This Row],[X_BA_VOL]]*données_step[[#This Row],[X_BACONC]])</f>
        <v>#VALUE!</v>
      </c>
      <c r="BE260" s="522" t="e">
        <f>(données_step[[#This Row],[X_BA_VOL]]*données_step[[#This Row],[X_BACONC]])/((données_step[[#This Row],[D_QTRAI2]]*données_step[[#This Row],[S_MES]]/1000)+(données_step[[#This Row],[X_BX_Q]]*données_step[[#This Row],[X_BXCONC]]))</f>
        <v>#VALUE!</v>
      </c>
      <c r="BF260" s="890" t="str">
        <f>IFERROR(données_step[[#This Row],[D_QTRAI]]/AY260*1000,"")</f>
        <v/>
      </c>
      <c r="BG260" s="535" t="str">
        <f>IFERROR(1-données_step[[#This Row],[S_DBO5]]/données_step[[#This Row],[E_DBO5]],"")</f>
        <v/>
      </c>
      <c r="BH260" s="536" t="str">
        <f>IFERROR(1-données_step[[#This Row],[S_DCO]]/données_step[[#This Row],[E_DCO]],"")</f>
        <v/>
      </c>
      <c r="BI260" s="535" t="str">
        <f>IFERROR(1-données_step[[#This Row],[S_COD]]/données_step[[#This Row],[E_COT]],"")</f>
        <v/>
      </c>
      <c r="BJ260" s="535" t="str">
        <f>IFERROR(1-données_step[[#This Row],[S_NH4]]/données_step[[#This Row],[E_NTOT]],"")</f>
        <v/>
      </c>
      <c r="BK260" s="535" t="str">
        <f>IFERROR(1-données_step[[#This Row],[S_PTOT]]/données_step[[#This Row],[E_PTOT]],"")</f>
        <v/>
      </c>
      <c r="BL260" s="521" t="str">
        <f>IFERROR(IF(données_step[[#This Row],[E_DCO]]/données_step[[#This Row],[E_DBO5]]=0,NA(),données_step[[#This Row],[E_DCO]]/données_step[[#This Row],[E_DBO5]]),"")</f>
        <v/>
      </c>
      <c r="BM260" s="521" t="str">
        <f>IFERROR(IF(données_step[[#This Row],[E_NH4]]/données_step[[#This Row],[E_NTOT]]=0,NA(),données_step[[#This Row],[E_NH4]]/données_step[[#This Row],[E_NTOT]]),"")</f>
        <v/>
      </c>
      <c r="BN260" s="521" t="str">
        <f>IFERROR(IF(données_step[[#This Row],[E_NTOT]]/données_step[[#This Row],[E_COT]]=0,NA(),données_step[[#This Row],[E_NTOT]]/données_step[[#This Row],[E_COT]]),"")</f>
        <v/>
      </c>
      <c r="BO260" s="521" t="str">
        <f>IFERROR(IF(données_step[[#This Row],[E_PTOT]]/données_step[[#This Row],[E_COT]]=0,NA(),données_step[[#This Row],[E_PTOT]]/données_step[[#This Row],[E_COT]]),"")</f>
        <v/>
      </c>
      <c r="BP260" s="521" t="e">
        <f>IF(données_step[[#This Row],[E_DCO]]/données_step[[#This Row],[E_COT]]=0,NA(),données_step[[#This Row],[E_DCO]]/données_step[[#This Row],[E_COT]])</f>
        <v>#DIV/0!</v>
      </c>
      <c r="BQ260" s="521" t="e">
        <f>IF(données_step[[#This Row],[E_NTOT]]/données_step[[#This Row],[E_DCO]]=0,NA(),données_step[[#This Row],[E_NTOT]]/données_step[[#This Row],[E_DCO]])</f>
        <v>#DIV/0!</v>
      </c>
      <c r="BR260" s="521" t="e">
        <f>IF(données_step[[#This Row],[E_PTOT]]/données_step[[#This Row],[E_DCO]]=0,NA(),données_step[[#This Row],[E_PTOT]]/données_step[[#This Row],[E_DCO]])</f>
        <v>#DIV/0!</v>
      </c>
      <c r="BS260" s="747" t="e">
        <f ca="1">test_NH4_temp(données_step[[#This Row],[S_NH4]],données_step[[#This Row],[Temp_eaux]])</f>
        <v>#NAME?</v>
      </c>
    </row>
    <row r="261" spans="1:71" x14ac:dyDescent="0.2">
      <c r="A261" s="222">
        <f>données_step[[#This Row],[Datum]]</f>
        <v>44812</v>
      </c>
      <c r="B261" s="223"/>
      <c r="C261" s="224">
        <f t="shared" si="64"/>
        <v>5</v>
      </c>
      <c r="D261" s="523" t="str">
        <f>IF(OR(données_step[[#This Row],[E_DBO5]]&lt;=0,données_step[[#This Row],[E_DBO5]]=""),"",données_step[[#This Row],[D_QTRAI]]*données_step[[#This Row],[E_DBO5]]/1000)</f>
        <v/>
      </c>
      <c r="E261" s="523" t="str">
        <f>IF(OR(données_step[[#This Row],[E_DCO]]&lt;=0,données_step[[#This Row],[E_DCO]]=""),"",données_step[[#This Row],[D_QTRAI]]*données_step[[#This Row],[E_DCO]]/1000)</f>
        <v/>
      </c>
      <c r="F261" s="523" t="str">
        <f>IF(OR(données_step[[#This Row],[E_COT]]&lt;=0,données_step[[#This Row],[E_COT]]=""),"",données_step[[#This Row],[D_QTRAI]]*données_step[[#This Row],[E_COT]]/1000)</f>
        <v/>
      </c>
      <c r="G261" s="523" t="str">
        <f>IF(OR(données_step[[#This Row],[E_NH4]]&lt;=0,données_step[[#This Row],[E_NH4]]=""),"",données_step[[#This Row],[D_QTRAI]]*données_step[[#This Row],[E_NH4]]/1000)</f>
        <v/>
      </c>
      <c r="H261" s="523" t="str">
        <f>IF(OR(données_step[[#This Row],[E_NTOT]]&lt;=0,données_step[[#This Row],[E_NTOT]]=""),"",données_step[[#This Row],[D_QTRAI]]*données_step[[#This Row],[E_NTOT]]/1000)</f>
        <v/>
      </c>
      <c r="I261" s="523" t="str">
        <f>IF(OR(données_step[[#This Row],[E_NTOT]]&lt;=0,données_step[[#This Row],[E_NTOT]]=""),"",données_step[[#This Row],[D_QTRAI]]*données_step[[#This Row],[E_PTOT]]/1000)</f>
        <v/>
      </c>
      <c r="J261" s="523" t="str">
        <f>IF(OR(données_step[[#This Row],[S_DBO5]]&lt;=0,données_step[[#This Row],[S_DBO5]]=""),"",données_step[[#This Row],[D_QTRAI]]*données_step[[#This Row],[S_DBO5]]/1000)</f>
        <v/>
      </c>
      <c r="K261" s="523" t="str">
        <f>IF(OR(données_step[[#This Row],[S_DCO]]&lt;=0,données_step[[#This Row],[S_DCO]]=""),"",données_step[[#This Row],[D_QTRAI]]*données_step[[#This Row],[S_DCO]]/1000)</f>
        <v/>
      </c>
      <c r="L261" s="523" t="str">
        <f>IF(OR(données_step[[#This Row],[S_COD]]&lt;=0,données_step[[#This Row],[S_COD]]=""),"",données_step[[#This Row],[D_QTRAI]]*données_step[[#This Row],[S_COD]]/1000)</f>
        <v/>
      </c>
      <c r="M261" s="523" t="str">
        <f>IF(OR(données_step[[#This Row],[S_NH4]]&lt;=0,données_step[[#This Row],[S_NH4]]=""),"",données_step[[#This Row],[D_QTRAI]]*données_step[[#This Row],[S_NH4]]/1000)</f>
        <v/>
      </c>
      <c r="N261" s="523" t="str">
        <f>IF(OR(données_step[[#This Row],[S_NO2]]&lt;=0,données_step[[#This Row],[S_NO2]]=""),"",données_step[[#This Row],[D_QTRAI]]*données_step[[#This Row],[S_NO2]]/1000)</f>
        <v/>
      </c>
      <c r="O261" s="523" t="str">
        <f>IF(OR(données_step[[#This Row],[S_NO3]]&lt;=0,données_step[[#This Row],[S_NO3]]=""),"",données_step[[#This Row],[D_QTRAI]]*données_step[[#This Row],[S_NO3]]/1000)</f>
        <v/>
      </c>
      <c r="P261" s="523" t="str">
        <f>IF(OR(données_step[[#This Row],[S_PTOT]]&lt;=0,données_step[[#This Row],[S_PTOT]]=""),"",données_step[[#This Row],[D_QTRAI]]*données_step[[#This Row],[S_PTOT]]/1000)</f>
        <v/>
      </c>
      <c r="Q261" s="523" t="str">
        <f>IF(OR(données_step[[#This Row],[S_MES]]&lt;=0,données_step[[#This Row],[S_MES]]=""),"",données_step[[#This Row],[D_QTRAI]]*données_step[[#This Row],[S_MES]]/1000)</f>
        <v/>
      </c>
      <c r="R261" s="523">
        <f>MAX(données_step[[#This Row],[D_QTRAI]],données_step[[#This Row],[D_QTRAI2]])</f>
        <v>0</v>
      </c>
      <c r="S261" s="523" t="str">
        <f>IF(AND($R261&gt;0,données_step[[#This Row],[E_DCO]]&gt;0),données_step[[#This Row],[E_DCO]],"")</f>
        <v/>
      </c>
      <c r="T261" s="523" t="str">
        <f>IF(S261="","",(1-données_step[[#This Row],[E_DCO]]/$V$7)*100)</f>
        <v/>
      </c>
      <c r="U261" s="523" t="str">
        <f t="shared" si="50"/>
        <v/>
      </c>
      <c r="V261" s="523" t="str">
        <f t="shared" si="51"/>
        <v/>
      </c>
      <c r="W261" s="523" t="str">
        <f t="shared" si="52"/>
        <v/>
      </c>
      <c r="X261" s="523" t="e">
        <f>IF(((100-100/$V$7*données_step[[#This Row],[E_DCO]])/100*QTS)&lt;0,NA(),IF(OR(U261&lt;0,U261=""),NA(),((100-100/$V$7*données_step[[#This Row],[E_DCO]])/100*QTS)))</f>
        <v>#NUM!</v>
      </c>
      <c r="Y261" s="523" t="str">
        <f>IF(AND($R261&gt;0,données_step[[#This Row],[E_COT]]&gt;0),données_step[[#This Row],[E_COT]],"")</f>
        <v/>
      </c>
      <c r="Z261" s="523" t="str">
        <f>IF(Y261="","",(1-données_step[[#This Row],[E_COT]]/$AB$7)*100)</f>
        <v/>
      </c>
      <c r="AA261" s="523" t="str">
        <f t="shared" si="53"/>
        <v/>
      </c>
      <c r="AB261" s="523" t="str">
        <f t="shared" si="54"/>
        <v/>
      </c>
      <c r="AC261" s="523" t="str">
        <f t="shared" si="55"/>
        <v/>
      </c>
      <c r="AD261" s="523" t="e">
        <f>IF(((100-100/$AB$7*données_step[[#This Row],[E_COT]])/100*QTS)&lt;0,NA(),IF(OR(AA261&lt;0,AA261=""),NA(),((100-100/$AB$7*données_step[[#This Row],[E_COT]])/100*QTS)))</f>
        <v>#NUM!</v>
      </c>
      <c r="AE261" s="523" t="str">
        <f>IF(AND($R261&gt;0,données_step[[#This Row],[E_NH4]]&gt;0),données_step[[#This Row],[E_NH4]],"")</f>
        <v/>
      </c>
      <c r="AF261" s="523" t="str">
        <f>IF(AE261="","",(1-données_step[[#This Row],[E_NH4]]/$AH$7)*100)</f>
        <v/>
      </c>
      <c r="AG261" s="523" t="str">
        <f t="shared" si="56"/>
        <v/>
      </c>
      <c r="AH261" s="523" t="str">
        <f t="shared" si="57"/>
        <v/>
      </c>
      <c r="AI261" s="523" t="str">
        <f t="shared" si="58"/>
        <v/>
      </c>
      <c r="AJ261" s="523" t="e">
        <f>IF(((100-100/$AH$7*données_step[[#This Row],[E_NH4]])/100*QTS)&lt;0,NA(),IF(OR(AG261&lt;0,AG261=""),NA(),((100-100/$AH$7*données_step[[#This Row],[E_NH4]])/100*QTS)))</f>
        <v>#NUM!</v>
      </c>
      <c r="AK261" s="523" t="str">
        <f>IF(AND($R261&gt;0,données_step[[#This Row],[E_PTOT]]&gt;0),données_step[[#This Row],[E_PTOT]],"")</f>
        <v/>
      </c>
      <c r="AL261" s="523" t="str">
        <f>IF(AK261="","",(1-données_step[[#This Row],[E_PTOT]]/$AN$7)*100)</f>
        <v/>
      </c>
      <c r="AM261" s="523" t="str">
        <f t="shared" si="59"/>
        <v/>
      </c>
      <c r="AN261" s="523" t="str">
        <f t="shared" si="60"/>
        <v/>
      </c>
      <c r="AO261" s="523" t="str">
        <f t="shared" si="61"/>
        <v/>
      </c>
      <c r="AP261" s="523" t="e">
        <f>IF(((100-100/$AN$7*données_step[[#This Row],[E_PTOT]])/100*QTS)&lt;0,NA(),IF(OR(AM261&lt;0,AM261=""),NA(),((100-100/$AN$7*données_step[[#This Row],[E_PTOT]])/100*QTS)))</f>
        <v>#NUM!</v>
      </c>
      <c r="AQ261" s="524" t="e">
        <f t="shared" si="62"/>
        <v>#NUM!</v>
      </c>
      <c r="AR261" s="524" t="str">
        <f t="shared" si="63"/>
        <v/>
      </c>
      <c r="AY261" s="523" t="str">
        <f>_xlfn.IFNA(IF(données_step[[#This Row],[E_DCO]]&lt;=0,NA(),charge_entree[[#This Row],[ch_E_DCO]]/constanten!$B$8*1000),"")</f>
        <v/>
      </c>
      <c r="AZ261" s="523" t="str">
        <f>_xlfn.IFNA(IF(données_step[[#This Row],[E_NTOT]]&lt;=0,NA(),charge_entree[[#This Row],[ch_E_NTOT]]/constanten!$B$10*1000),"")</f>
        <v/>
      </c>
      <c r="BA261" s="523" t="str">
        <f>_xlfn.IFNA(IF(données_step[[#This Row],[E_NH4]]&lt;=0,NA(),charge_entree[[#This Row],[ch_E_NH4]]/constanten!$B$12*1000),"")</f>
        <v/>
      </c>
      <c r="BB261" s="523" t="str">
        <f>_xlfn.IFNA(IF(données_step[[#This Row],[E_COT]]&lt;=0,NA(),charge_entree[[#This Row],[ch_E_COT]]/constanten!$B$9*1000),"")</f>
        <v/>
      </c>
      <c r="BC261" s="523" t="str">
        <f>IFERROR(_xlfn.IFNA(IF(données_step[[#This Row],[E_PTOT]]&lt;=0,NA(),charge_entree[[#This Row],[ch_E_PTOT]]/constanten!$B$15*1000),""),"")</f>
        <v/>
      </c>
      <c r="BD261" s="535" t="e">
        <f>calculs!E261 * (1-0.4) / (données_step[[#This Row],[X_BA_VOL]]*données_step[[#This Row],[X_BACONC]])</f>
        <v>#VALUE!</v>
      </c>
      <c r="BE261" s="522" t="e">
        <f>(données_step[[#This Row],[X_BA_VOL]]*données_step[[#This Row],[X_BACONC]])/((données_step[[#This Row],[D_QTRAI2]]*données_step[[#This Row],[S_MES]]/1000)+(données_step[[#This Row],[X_BX_Q]]*données_step[[#This Row],[X_BXCONC]]))</f>
        <v>#VALUE!</v>
      </c>
      <c r="BF261" s="890" t="str">
        <f>IFERROR(données_step[[#This Row],[D_QTRAI]]/AY261*1000,"")</f>
        <v/>
      </c>
      <c r="BG261" s="535" t="str">
        <f>IFERROR(1-données_step[[#This Row],[S_DBO5]]/données_step[[#This Row],[E_DBO5]],"")</f>
        <v/>
      </c>
      <c r="BH261" s="536" t="str">
        <f>IFERROR(1-données_step[[#This Row],[S_DCO]]/données_step[[#This Row],[E_DCO]],"")</f>
        <v/>
      </c>
      <c r="BI261" s="535" t="str">
        <f>IFERROR(1-données_step[[#This Row],[S_COD]]/données_step[[#This Row],[E_COT]],"")</f>
        <v/>
      </c>
      <c r="BJ261" s="535" t="str">
        <f>IFERROR(1-données_step[[#This Row],[S_NH4]]/données_step[[#This Row],[E_NTOT]],"")</f>
        <v/>
      </c>
      <c r="BK261" s="535" t="str">
        <f>IFERROR(1-données_step[[#This Row],[S_PTOT]]/données_step[[#This Row],[E_PTOT]],"")</f>
        <v/>
      </c>
      <c r="BL261" s="521" t="str">
        <f>IFERROR(IF(données_step[[#This Row],[E_DCO]]/données_step[[#This Row],[E_DBO5]]=0,NA(),données_step[[#This Row],[E_DCO]]/données_step[[#This Row],[E_DBO5]]),"")</f>
        <v/>
      </c>
      <c r="BM261" s="521" t="str">
        <f>IFERROR(IF(données_step[[#This Row],[E_NH4]]/données_step[[#This Row],[E_NTOT]]=0,NA(),données_step[[#This Row],[E_NH4]]/données_step[[#This Row],[E_NTOT]]),"")</f>
        <v/>
      </c>
      <c r="BN261" s="521" t="str">
        <f>IFERROR(IF(données_step[[#This Row],[E_NTOT]]/données_step[[#This Row],[E_COT]]=0,NA(),données_step[[#This Row],[E_NTOT]]/données_step[[#This Row],[E_COT]]),"")</f>
        <v/>
      </c>
      <c r="BO261" s="521" t="str">
        <f>IFERROR(IF(données_step[[#This Row],[E_PTOT]]/données_step[[#This Row],[E_COT]]=0,NA(),données_step[[#This Row],[E_PTOT]]/données_step[[#This Row],[E_COT]]),"")</f>
        <v/>
      </c>
      <c r="BP261" s="521" t="e">
        <f>IF(données_step[[#This Row],[E_DCO]]/données_step[[#This Row],[E_COT]]=0,NA(),données_step[[#This Row],[E_DCO]]/données_step[[#This Row],[E_COT]])</f>
        <v>#DIV/0!</v>
      </c>
      <c r="BQ261" s="521" t="e">
        <f>IF(données_step[[#This Row],[E_NTOT]]/données_step[[#This Row],[E_DCO]]=0,NA(),données_step[[#This Row],[E_NTOT]]/données_step[[#This Row],[E_DCO]])</f>
        <v>#DIV/0!</v>
      </c>
      <c r="BR261" s="521" t="e">
        <f>IF(données_step[[#This Row],[E_PTOT]]/données_step[[#This Row],[E_DCO]]=0,NA(),données_step[[#This Row],[E_PTOT]]/données_step[[#This Row],[E_DCO]])</f>
        <v>#DIV/0!</v>
      </c>
      <c r="BS261" s="747" t="e">
        <f ca="1">test_NH4_temp(données_step[[#This Row],[S_NH4]],données_step[[#This Row],[Temp_eaux]])</f>
        <v>#NAME?</v>
      </c>
    </row>
    <row r="262" spans="1:71" x14ac:dyDescent="0.2">
      <c r="A262" s="222">
        <f>données_step[[#This Row],[Datum]]</f>
        <v>44813</v>
      </c>
      <c r="B262" s="223"/>
      <c r="C262" s="224">
        <f t="shared" si="64"/>
        <v>6</v>
      </c>
      <c r="D262" s="523" t="str">
        <f>IF(OR(données_step[[#This Row],[E_DBO5]]&lt;=0,données_step[[#This Row],[E_DBO5]]=""),"",données_step[[#This Row],[D_QTRAI]]*données_step[[#This Row],[E_DBO5]]/1000)</f>
        <v/>
      </c>
      <c r="E262" s="523" t="str">
        <f>IF(OR(données_step[[#This Row],[E_DCO]]&lt;=0,données_step[[#This Row],[E_DCO]]=""),"",données_step[[#This Row],[D_QTRAI]]*données_step[[#This Row],[E_DCO]]/1000)</f>
        <v/>
      </c>
      <c r="F262" s="523" t="str">
        <f>IF(OR(données_step[[#This Row],[E_COT]]&lt;=0,données_step[[#This Row],[E_COT]]=""),"",données_step[[#This Row],[D_QTRAI]]*données_step[[#This Row],[E_COT]]/1000)</f>
        <v/>
      </c>
      <c r="G262" s="523" t="str">
        <f>IF(OR(données_step[[#This Row],[E_NH4]]&lt;=0,données_step[[#This Row],[E_NH4]]=""),"",données_step[[#This Row],[D_QTRAI]]*données_step[[#This Row],[E_NH4]]/1000)</f>
        <v/>
      </c>
      <c r="H262" s="523" t="str">
        <f>IF(OR(données_step[[#This Row],[E_NTOT]]&lt;=0,données_step[[#This Row],[E_NTOT]]=""),"",données_step[[#This Row],[D_QTRAI]]*données_step[[#This Row],[E_NTOT]]/1000)</f>
        <v/>
      </c>
      <c r="I262" s="523" t="str">
        <f>IF(OR(données_step[[#This Row],[E_NTOT]]&lt;=0,données_step[[#This Row],[E_NTOT]]=""),"",données_step[[#This Row],[D_QTRAI]]*données_step[[#This Row],[E_PTOT]]/1000)</f>
        <v/>
      </c>
      <c r="J262" s="523" t="str">
        <f>IF(OR(données_step[[#This Row],[S_DBO5]]&lt;=0,données_step[[#This Row],[S_DBO5]]=""),"",données_step[[#This Row],[D_QTRAI]]*données_step[[#This Row],[S_DBO5]]/1000)</f>
        <v/>
      </c>
      <c r="K262" s="523" t="str">
        <f>IF(OR(données_step[[#This Row],[S_DCO]]&lt;=0,données_step[[#This Row],[S_DCO]]=""),"",données_step[[#This Row],[D_QTRAI]]*données_step[[#This Row],[S_DCO]]/1000)</f>
        <v/>
      </c>
      <c r="L262" s="523" t="str">
        <f>IF(OR(données_step[[#This Row],[S_COD]]&lt;=0,données_step[[#This Row],[S_COD]]=""),"",données_step[[#This Row],[D_QTRAI]]*données_step[[#This Row],[S_COD]]/1000)</f>
        <v/>
      </c>
      <c r="M262" s="523" t="str">
        <f>IF(OR(données_step[[#This Row],[S_NH4]]&lt;=0,données_step[[#This Row],[S_NH4]]=""),"",données_step[[#This Row],[D_QTRAI]]*données_step[[#This Row],[S_NH4]]/1000)</f>
        <v/>
      </c>
      <c r="N262" s="523" t="str">
        <f>IF(OR(données_step[[#This Row],[S_NO2]]&lt;=0,données_step[[#This Row],[S_NO2]]=""),"",données_step[[#This Row],[D_QTRAI]]*données_step[[#This Row],[S_NO2]]/1000)</f>
        <v/>
      </c>
      <c r="O262" s="523" t="str">
        <f>IF(OR(données_step[[#This Row],[S_NO3]]&lt;=0,données_step[[#This Row],[S_NO3]]=""),"",données_step[[#This Row],[D_QTRAI]]*données_step[[#This Row],[S_NO3]]/1000)</f>
        <v/>
      </c>
      <c r="P262" s="523" t="str">
        <f>IF(OR(données_step[[#This Row],[S_PTOT]]&lt;=0,données_step[[#This Row],[S_PTOT]]=""),"",données_step[[#This Row],[D_QTRAI]]*données_step[[#This Row],[S_PTOT]]/1000)</f>
        <v/>
      </c>
      <c r="Q262" s="523" t="str">
        <f>IF(OR(données_step[[#This Row],[S_MES]]&lt;=0,données_step[[#This Row],[S_MES]]=""),"",données_step[[#This Row],[D_QTRAI]]*données_step[[#This Row],[S_MES]]/1000)</f>
        <v/>
      </c>
      <c r="R262" s="523">
        <f>MAX(données_step[[#This Row],[D_QTRAI]],données_step[[#This Row],[D_QTRAI2]])</f>
        <v>0</v>
      </c>
      <c r="S262" s="523" t="str">
        <f>IF(AND($R262&gt;0,données_step[[#This Row],[E_DCO]]&gt;0),données_step[[#This Row],[E_DCO]],"")</f>
        <v/>
      </c>
      <c r="T262" s="523" t="str">
        <f>IF(S262="","",(1-données_step[[#This Row],[E_DCO]]/$V$7)*100)</f>
        <v/>
      </c>
      <c r="U262" s="523" t="str">
        <f t="shared" si="50"/>
        <v/>
      </c>
      <c r="V262" s="523" t="str">
        <f t="shared" si="51"/>
        <v/>
      </c>
      <c r="W262" s="523" t="str">
        <f t="shared" si="52"/>
        <v/>
      </c>
      <c r="X262" s="523" t="e">
        <f>IF(((100-100/$V$7*données_step[[#This Row],[E_DCO]])/100*QTS)&lt;0,NA(),IF(OR(U262&lt;0,U262=""),NA(),((100-100/$V$7*données_step[[#This Row],[E_DCO]])/100*QTS)))</f>
        <v>#NUM!</v>
      </c>
      <c r="Y262" s="523" t="str">
        <f>IF(AND($R262&gt;0,données_step[[#This Row],[E_COT]]&gt;0),données_step[[#This Row],[E_COT]],"")</f>
        <v/>
      </c>
      <c r="Z262" s="523" t="str">
        <f>IF(Y262="","",(1-données_step[[#This Row],[E_COT]]/$AB$7)*100)</f>
        <v/>
      </c>
      <c r="AA262" s="523" t="str">
        <f t="shared" si="53"/>
        <v/>
      </c>
      <c r="AB262" s="523" t="str">
        <f t="shared" si="54"/>
        <v/>
      </c>
      <c r="AC262" s="523" t="str">
        <f t="shared" si="55"/>
        <v/>
      </c>
      <c r="AD262" s="523" t="e">
        <f>IF(((100-100/$AB$7*données_step[[#This Row],[E_COT]])/100*QTS)&lt;0,NA(),IF(OR(AA262&lt;0,AA262=""),NA(),((100-100/$AB$7*données_step[[#This Row],[E_COT]])/100*QTS)))</f>
        <v>#NUM!</v>
      </c>
      <c r="AE262" s="523" t="str">
        <f>IF(AND($R262&gt;0,données_step[[#This Row],[E_NH4]]&gt;0),données_step[[#This Row],[E_NH4]],"")</f>
        <v/>
      </c>
      <c r="AF262" s="523" t="str">
        <f>IF(AE262="","",(1-données_step[[#This Row],[E_NH4]]/$AH$7)*100)</f>
        <v/>
      </c>
      <c r="AG262" s="523" t="str">
        <f t="shared" si="56"/>
        <v/>
      </c>
      <c r="AH262" s="523" t="str">
        <f t="shared" si="57"/>
        <v/>
      </c>
      <c r="AI262" s="523" t="str">
        <f t="shared" si="58"/>
        <v/>
      </c>
      <c r="AJ262" s="523" t="e">
        <f>IF(((100-100/$AH$7*données_step[[#This Row],[E_NH4]])/100*QTS)&lt;0,NA(),IF(OR(AG262&lt;0,AG262=""),NA(),((100-100/$AH$7*données_step[[#This Row],[E_NH4]])/100*QTS)))</f>
        <v>#NUM!</v>
      </c>
      <c r="AK262" s="523" t="str">
        <f>IF(AND($R262&gt;0,données_step[[#This Row],[E_PTOT]]&gt;0),données_step[[#This Row],[E_PTOT]],"")</f>
        <v/>
      </c>
      <c r="AL262" s="523" t="str">
        <f>IF(AK262="","",(1-données_step[[#This Row],[E_PTOT]]/$AN$7)*100)</f>
        <v/>
      </c>
      <c r="AM262" s="523" t="str">
        <f t="shared" si="59"/>
        <v/>
      </c>
      <c r="AN262" s="523" t="str">
        <f t="shared" si="60"/>
        <v/>
      </c>
      <c r="AO262" s="523" t="str">
        <f t="shared" si="61"/>
        <v/>
      </c>
      <c r="AP262" s="523" t="e">
        <f>IF(((100-100/$AN$7*données_step[[#This Row],[E_PTOT]])/100*QTS)&lt;0,NA(),IF(OR(AM262&lt;0,AM262=""),NA(),((100-100/$AN$7*données_step[[#This Row],[E_PTOT]])/100*QTS)))</f>
        <v>#NUM!</v>
      </c>
      <c r="AQ262" s="524" t="e">
        <f t="shared" si="62"/>
        <v>#NUM!</v>
      </c>
      <c r="AR262" s="524" t="str">
        <f t="shared" si="63"/>
        <v/>
      </c>
      <c r="AY262" s="523" t="str">
        <f>_xlfn.IFNA(IF(données_step[[#This Row],[E_DCO]]&lt;=0,NA(),charge_entree[[#This Row],[ch_E_DCO]]/constanten!$B$8*1000),"")</f>
        <v/>
      </c>
      <c r="AZ262" s="523" t="str">
        <f>_xlfn.IFNA(IF(données_step[[#This Row],[E_NTOT]]&lt;=0,NA(),charge_entree[[#This Row],[ch_E_NTOT]]/constanten!$B$10*1000),"")</f>
        <v/>
      </c>
      <c r="BA262" s="523" t="str">
        <f>_xlfn.IFNA(IF(données_step[[#This Row],[E_NH4]]&lt;=0,NA(),charge_entree[[#This Row],[ch_E_NH4]]/constanten!$B$12*1000),"")</f>
        <v/>
      </c>
      <c r="BB262" s="523" t="str">
        <f>_xlfn.IFNA(IF(données_step[[#This Row],[E_COT]]&lt;=0,NA(),charge_entree[[#This Row],[ch_E_COT]]/constanten!$B$9*1000),"")</f>
        <v/>
      </c>
      <c r="BC262" s="523" t="str">
        <f>IFERROR(_xlfn.IFNA(IF(données_step[[#This Row],[E_PTOT]]&lt;=0,NA(),charge_entree[[#This Row],[ch_E_PTOT]]/constanten!$B$15*1000),""),"")</f>
        <v/>
      </c>
      <c r="BD262" s="535" t="e">
        <f>calculs!E262 * (1-0.4) / (données_step[[#This Row],[X_BA_VOL]]*données_step[[#This Row],[X_BACONC]])</f>
        <v>#VALUE!</v>
      </c>
      <c r="BE262" s="522" t="e">
        <f>(données_step[[#This Row],[X_BA_VOL]]*données_step[[#This Row],[X_BACONC]])/((données_step[[#This Row],[D_QTRAI2]]*données_step[[#This Row],[S_MES]]/1000)+(données_step[[#This Row],[X_BX_Q]]*données_step[[#This Row],[X_BXCONC]]))</f>
        <v>#VALUE!</v>
      </c>
      <c r="BF262" s="890" t="str">
        <f>IFERROR(données_step[[#This Row],[D_QTRAI]]/AY262*1000,"")</f>
        <v/>
      </c>
      <c r="BG262" s="535" t="str">
        <f>IFERROR(1-données_step[[#This Row],[S_DBO5]]/données_step[[#This Row],[E_DBO5]],"")</f>
        <v/>
      </c>
      <c r="BH262" s="536" t="str">
        <f>IFERROR(1-données_step[[#This Row],[S_DCO]]/données_step[[#This Row],[E_DCO]],"")</f>
        <v/>
      </c>
      <c r="BI262" s="535" t="str">
        <f>IFERROR(1-données_step[[#This Row],[S_COD]]/données_step[[#This Row],[E_COT]],"")</f>
        <v/>
      </c>
      <c r="BJ262" s="535" t="str">
        <f>IFERROR(1-données_step[[#This Row],[S_NH4]]/données_step[[#This Row],[E_NTOT]],"")</f>
        <v/>
      </c>
      <c r="BK262" s="535" t="str">
        <f>IFERROR(1-données_step[[#This Row],[S_PTOT]]/données_step[[#This Row],[E_PTOT]],"")</f>
        <v/>
      </c>
      <c r="BL262" s="521" t="str">
        <f>IFERROR(IF(données_step[[#This Row],[E_DCO]]/données_step[[#This Row],[E_DBO5]]=0,NA(),données_step[[#This Row],[E_DCO]]/données_step[[#This Row],[E_DBO5]]),"")</f>
        <v/>
      </c>
      <c r="BM262" s="521" t="str">
        <f>IFERROR(IF(données_step[[#This Row],[E_NH4]]/données_step[[#This Row],[E_NTOT]]=0,NA(),données_step[[#This Row],[E_NH4]]/données_step[[#This Row],[E_NTOT]]),"")</f>
        <v/>
      </c>
      <c r="BN262" s="521" t="str">
        <f>IFERROR(IF(données_step[[#This Row],[E_NTOT]]/données_step[[#This Row],[E_COT]]=0,NA(),données_step[[#This Row],[E_NTOT]]/données_step[[#This Row],[E_COT]]),"")</f>
        <v/>
      </c>
      <c r="BO262" s="521" t="str">
        <f>IFERROR(IF(données_step[[#This Row],[E_PTOT]]/données_step[[#This Row],[E_COT]]=0,NA(),données_step[[#This Row],[E_PTOT]]/données_step[[#This Row],[E_COT]]),"")</f>
        <v/>
      </c>
      <c r="BP262" s="521" t="e">
        <f>IF(données_step[[#This Row],[E_DCO]]/données_step[[#This Row],[E_COT]]=0,NA(),données_step[[#This Row],[E_DCO]]/données_step[[#This Row],[E_COT]])</f>
        <v>#DIV/0!</v>
      </c>
      <c r="BQ262" s="521" t="e">
        <f>IF(données_step[[#This Row],[E_NTOT]]/données_step[[#This Row],[E_DCO]]=0,NA(),données_step[[#This Row],[E_NTOT]]/données_step[[#This Row],[E_DCO]])</f>
        <v>#DIV/0!</v>
      </c>
      <c r="BR262" s="521" t="e">
        <f>IF(données_step[[#This Row],[E_PTOT]]/données_step[[#This Row],[E_DCO]]=0,NA(),données_step[[#This Row],[E_PTOT]]/données_step[[#This Row],[E_DCO]])</f>
        <v>#DIV/0!</v>
      </c>
      <c r="BS262" s="747" t="e">
        <f ca="1">test_NH4_temp(données_step[[#This Row],[S_NH4]],données_step[[#This Row],[Temp_eaux]])</f>
        <v>#NAME?</v>
      </c>
    </row>
    <row r="263" spans="1:71" x14ac:dyDescent="0.2">
      <c r="A263" s="222">
        <f>données_step[[#This Row],[Datum]]</f>
        <v>44814</v>
      </c>
      <c r="B263" s="223"/>
      <c r="C263" s="224">
        <f t="shared" si="64"/>
        <v>7</v>
      </c>
      <c r="D263" s="523" t="str">
        <f>IF(OR(données_step[[#This Row],[E_DBO5]]&lt;=0,données_step[[#This Row],[E_DBO5]]=""),"",données_step[[#This Row],[D_QTRAI]]*données_step[[#This Row],[E_DBO5]]/1000)</f>
        <v/>
      </c>
      <c r="E263" s="523" t="str">
        <f>IF(OR(données_step[[#This Row],[E_DCO]]&lt;=0,données_step[[#This Row],[E_DCO]]=""),"",données_step[[#This Row],[D_QTRAI]]*données_step[[#This Row],[E_DCO]]/1000)</f>
        <v/>
      </c>
      <c r="F263" s="523" t="str">
        <f>IF(OR(données_step[[#This Row],[E_COT]]&lt;=0,données_step[[#This Row],[E_COT]]=""),"",données_step[[#This Row],[D_QTRAI]]*données_step[[#This Row],[E_COT]]/1000)</f>
        <v/>
      </c>
      <c r="G263" s="523" t="str">
        <f>IF(OR(données_step[[#This Row],[E_NH4]]&lt;=0,données_step[[#This Row],[E_NH4]]=""),"",données_step[[#This Row],[D_QTRAI]]*données_step[[#This Row],[E_NH4]]/1000)</f>
        <v/>
      </c>
      <c r="H263" s="523" t="str">
        <f>IF(OR(données_step[[#This Row],[E_NTOT]]&lt;=0,données_step[[#This Row],[E_NTOT]]=""),"",données_step[[#This Row],[D_QTRAI]]*données_step[[#This Row],[E_NTOT]]/1000)</f>
        <v/>
      </c>
      <c r="I263" s="523" t="str">
        <f>IF(OR(données_step[[#This Row],[E_NTOT]]&lt;=0,données_step[[#This Row],[E_NTOT]]=""),"",données_step[[#This Row],[D_QTRAI]]*données_step[[#This Row],[E_PTOT]]/1000)</f>
        <v/>
      </c>
      <c r="J263" s="523" t="str">
        <f>IF(OR(données_step[[#This Row],[S_DBO5]]&lt;=0,données_step[[#This Row],[S_DBO5]]=""),"",données_step[[#This Row],[D_QTRAI]]*données_step[[#This Row],[S_DBO5]]/1000)</f>
        <v/>
      </c>
      <c r="K263" s="523" t="str">
        <f>IF(OR(données_step[[#This Row],[S_DCO]]&lt;=0,données_step[[#This Row],[S_DCO]]=""),"",données_step[[#This Row],[D_QTRAI]]*données_step[[#This Row],[S_DCO]]/1000)</f>
        <v/>
      </c>
      <c r="L263" s="523" t="str">
        <f>IF(OR(données_step[[#This Row],[S_COD]]&lt;=0,données_step[[#This Row],[S_COD]]=""),"",données_step[[#This Row],[D_QTRAI]]*données_step[[#This Row],[S_COD]]/1000)</f>
        <v/>
      </c>
      <c r="M263" s="523" t="str">
        <f>IF(OR(données_step[[#This Row],[S_NH4]]&lt;=0,données_step[[#This Row],[S_NH4]]=""),"",données_step[[#This Row],[D_QTRAI]]*données_step[[#This Row],[S_NH4]]/1000)</f>
        <v/>
      </c>
      <c r="N263" s="523" t="str">
        <f>IF(OR(données_step[[#This Row],[S_NO2]]&lt;=0,données_step[[#This Row],[S_NO2]]=""),"",données_step[[#This Row],[D_QTRAI]]*données_step[[#This Row],[S_NO2]]/1000)</f>
        <v/>
      </c>
      <c r="O263" s="523" t="str">
        <f>IF(OR(données_step[[#This Row],[S_NO3]]&lt;=0,données_step[[#This Row],[S_NO3]]=""),"",données_step[[#This Row],[D_QTRAI]]*données_step[[#This Row],[S_NO3]]/1000)</f>
        <v/>
      </c>
      <c r="P263" s="523" t="str">
        <f>IF(OR(données_step[[#This Row],[S_PTOT]]&lt;=0,données_step[[#This Row],[S_PTOT]]=""),"",données_step[[#This Row],[D_QTRAI]]*données_step[[#This Row],[S_PTOT]]/1000)</f>
        <v/>
      </c>
      <c r="Q263" s="523" t="str">
        <f>IF(OR(données_step[[#This Row],[S_MES]]&lt;=0,données_step[[#This Row],[S_MES]]=""),"",données_step[[#This Row],[D_QTRAI]]*données_step[[#This Row],[S_MES]]/1000)</f>
        <v/>
      </c>
      <c r="R263" s="523">
        <f>MAX(données_step[[#This Row],[D_QTRAI]],données_step[[#This Row],[D_QTRAI2]])</f>
        <v>0</v>
      </c>
      <c r="S263" s="523" t="str">
        <f>IF(AND($R263&gt;0,données_step[[#This Row],[E_DCO]]&gt;0),données_step[[#This Row],[E_DCO]],"")</f>
        <v/>
      </c>
      <c r="T263" s="523" t="str">
        <f>IF(S263="","",(1-données_step[[#This Row],[E_DCO]]/$V$7)*100)</f>
        <v/>
      </c>
      <c r="U263" s="523" t="str">
        <f t="shared" si="50"/>
        <v/>
      </c>
      <c r="V263" s="523" t="str">
        <f t="shared" si="51"/>
        <v/>
      </c>
      <c r="W263" s="523" t="str">
        <f t="shared" si="52"/>
        <v/>
      </c>
      <c r="X263" s="523" t="e">
        <f>IF(((100-100/$V$7*données_step[[#This Row],[E_DCO]])/100*QTS)&lt;0,NA(),IF(OR(U263&lt;0,U263=""),NA(),((100-100/$V$7*données_step[[#This Row],[E_DCO]])/100*QTS)))</f>
        <v>#NUM!</v>
      </c>
      <c r="Y263" s="523" t="str">
        <f>IF(AND($R263&gt;0,données_step[[#This Row],[E_COT]]&gt;0),données_step[[#This Row],[E_COT]],"")</f>
        <v/>
      </c>
      <c r="Z263" s="523" t="str">
        <f>IF(Y263="","",(1-données_step[[#This Row],[E_COT]]/$AB$7)*100)</f>
        <v/>
      </c>
      <c r="AA263" s="523" t="str">
        <f t="shared" si="53"/>
        <v/>
      </c>
      <c r="AB263" s="523" t="str">
        <f t="shared" si="54"/>
        <v/>
      </c>
      <c r="AC263" s="523" t="str">
        <f t="shared" si="55"/>
        <v/>
      </c>
      <c r="AD263" s="523" t="e">
        <f>IF(((100-100/$AB$7*données_step[[#This Row],[E_COT]])/100*QTS)&lt;0,NA(),IF(OR(AA263&lt;0,AA263=""),NA(),((100-100/$AB$7*données_step[[#This Row],[E_COT]])/100*QTS)))</f>
        <v>#NUM!</v>
      </c>
      <c r="AE263" s="523" t="str">
        <f>IF(AND($R263&gt;0,données_step[[#This Row],[E_NH4]]&gt;0),données_step[[#This Row],[E_NH4]],"")</f>
        <v/>
      </c>
      <c r="AF263" s="523" t="str">
        <f>IF(AE263="","",(1-données_step[[#This Row],[E_NH4]]/$AH$7)*100)</f>
        <v/>
      </c>
      <c r="AG263" s="523" t="str">
        <f t="shared" si="56"/>
        <v/>
      </c>
      <c r="AH263" s="523" t="str">
        <f t="shared" si="57"/>
        <v/>
      </c>
      <c r="AI263" s="523" t="str">
        <f t="shared" si="58"/>
        <v/>
      </c>
      <c r="AJ263" s="523" t="e">
        <f>IF(((100-100/$AH$7*données_step[[#This Row],[E_NH4]])/100*QTS)&lt;0,NA(),IF(OR(AG263&lt;0,AG263=""),NA(),((100-100/$AH$7*données_step[[#This Row],[E_NH4]])/100*QTS)))</f>
        <v>#NUM!</v>
      </c>
      <c r="AK263" s="523" t="str">
        <f>IF(AND($R263&gt;0,données_step[[#This Row],[E_PTOT]]&gt;0),données_step[[#This Row],[E_PTOT]],"")</f>
        <v/>
      </c>
      <c r="AL263" s="523" t="str">
        <f>IF(AK263="","",(1-données_step[[#This Row],[E_PTOT]]/$AN$7)*100)</f>
        <v/>
      </c>
      <c r="AM263" s="523" t="str">
        <f t="shared" si="59"/>
        <v/>
      </c>
      <c r="AN263" s="523" t="str">
        <f t="shared" si="60"/>
        <v/>
      </c>
      <c r="AO263" s="523" t="str">
        <f t="shared" si="61"/>
        <v/>
      </c>
      <c r="AP263" s="523" t="e">
        <f>IF(((100-100/$AN$7*données_step[[#This Row],[E_PTOT]])/100*QTS)&lt;0,NA(),IF(OR(AM263&lt;0,AM263=""),NA(),((100-100/$AN$7*données_step[[#This Row],[E_PTOT]])/100*QTS)))</f>
        <v>#NUM!</v>
      </c>
      <c r="AQ263" s="524" t="e">
        <f t="shared" si="62"/>
        <v>#NUM!</v>
      </c>
      <c r="AR263" s="524" t="str">
        <f t="shared" si="63"/>
        <v/>
      </c>
      <c r="AY263" s="523" t="str">
        <f>_xlfn.IFNA(IF(données_step[[#This Row],[E_DCO]]&lt;=0,NA(),charge_entree[[#This Row],[ch_E_DCO]]/constanten!$B$8*1000),"")</f>
        <v/>
      </c>
      <c r="AZ263" s="523" t="str">
        <f>_xlfn.IFNA(IF(données_step[[#This Row],[E_NTOT]]&lt;=0,NA(),charge_entree[[#This Row],[ch_E_NTOT]]/constanten!$B$10*1000),"")</f>
        <v/>
      </c>
      <c r="BA263" s="523" t="str">
        <f>_xlfn.IFNA(IF(données_step[[#This Row],[E_NH4]]&lt;=0,NA(),charge_entree[[#This Row],[ch_E_NH4]]/constanten!$B$12*1000),"")</f>
        <v/>
      </c>
      <c r="BB263" s="523" t="str">
        <f>_xlfn.IFNA(IF(données_step[[#This Row],[E_COT]]&lt;=0,NA(),charge_entree[[#This Row],[ch_E_COT]]/constanten!$B$9*1000),"")</f>
        <v/>
      </c>
      <c r="BC263" s="523" t="str">
        <f>IFERROR(_xlfn.IFNA(IF(données_step[[#This Row],[E_PTOT]]&lt;=0,NA(),charge_entree[[#This Row],[ch_E_PTOT]]/constanten!$B$15*1000),""),"")</f>
        <v/>
      </c>
      <c r="BD263" s="535" t="e">
        <f>calculs!E263 * (1-0.4) / (données_step[[#This Row],[X_BA_VOL]]*données_step[[#This Row],[X_BACONC]])</f>
        <v>#VALUE!</v>
      </c>
      <c r="BE263" s="522" t="e">
        <f>(données_step[[#This Row],[X_BA_VOL]]*données_step[[#This Row],[X_BACONC]])/((données_step[[#This Row],[D_QTRAI2]]*données_step[[#This Row],[S_MES]]/1000)+(données_step[[#This Row],[X_BX_Q]]*données_step[[#This Row],[X_BXCONC]]))</f>
        <v>#VALUE!</v>
      </c>
      <c r="BF263" s="890" t="str">
        <f>IFERROR(données_step[[#This Row],[D_QTRAI]]/AY263*1000,"")</f>
        <v/>
      </c>
      <c r="BG263" s="535" t="str">
        <f>IFERROR(1-données_step[[#This Row],[S_DBO5]]/données_step[[#This Row],[E_DBO5]],"")</f>
        <v/>
      </c>
      <c r="BH263" s="536" t="str">
        <f>IFERROR(1-données_step[[#This Row],[S_DCO]]/données_step[[#This Row],[E_DCO]],"")</f>
        <v/>
      </c>
      <c r="BI263" s="535" t="str">
        <f>IFERROR(1-données_step[[#This Row],[S_COD]]/données_step[[#This Row],[E_COT]],"")</f>
        <v/>
      </c>
      <c r="BJ263" s="535" t="str">
        <f>IFERROR(1-données_step[[#This Row],[S_NH4]]/données_step[[#This Row],[E_NTOT]],"")</f>
        <v/>
      </c>
      <c r="BK263" s="535" t="str">
        <f>IFERROR(1-données_step[[#This Row],[S_PTOT]]/données_step[[#This Row],[E_PTOT]],"")</f>
        <v/>
      </c>
      <c r="BL263" s="521" t="str">
        <f>IFERROR(IF(données_step[[#This Row],[E_DCO]]/données_step[[#This Row],[E_DBO5]]=0,NA(),données_step[[#This Row],[E_DCO]]/données_step[[#This Row],[E_DBO5]]),"")</f>
        <v/>
      </c>
      <c r="BM263" s="521" t="str">
        <f>IFERROR(IF(données_step[[#This Row],[E_NH4]]/données_step[[#This Row],[E_NTOT]]=0,NA(),données_step[[#This Row],[E_NH4]]/données_step[[#This Row],[E_NTOT]]),"")</f>
        <v/>
      </c>
      <c r="BN263" s="521" t="str">
        <f>IFERROR(IF(données_step[[#This Row],[E_NTOT]]/données_step[[#This Row],[E_COT]]=0,NA(),données_step[[#This Row],[E_NTOT]]/données_step[[#This Row],[E_COT]]),"")</f>
        <v/>
      </c>
      <c r="BO263" s="521" t="str">
        <f>IFERROR(IF(données_step[[#This Row],[E_PTOT]]/données_step[[#This Row],[E_COT]]=0,NA(),données_step[[#This Row],[E_PTOT]]/données_step[[#This Row],[E_COT]]),"")</f>
        <v/>
      </c>
      <c r="BP263" s="521" t="e">
        <f>IF(données_step[[#This Row],[E_DCO]]/données_step[[#This Row],[E_COT]]=0,NA(),données_step[[#This Row],[E_DCO]]/données_step[[#This Row],[E_COT]])</f>
        <v>#DIV/0!</v>
      </c>
      <c r="BQ263" s="521" t="e">
        <f>IF(données_step[[#This Row],[E_NTOT]]/données_step[[#This Row],[E_DCO]]=0,NA(),données_step[[#This Row],[E_NTOT]]/données_step[[#This Row],[E_DCO]])</f>
        <v>#DIV/0!</v>
      </c>
      <c r="BR263" s="521" t="e">
        <f>IF(données_step[[#This Row],[E_PTOT]]/données_step[[#This Row],[E_DCO]]=0,NA(),données_step[[#This Row],[E_PTOT]]/données_step[[#This Row],[E_DCO]])</f>
        <v>#DIV/0!</v>
      </c>
      <c r="BS263" s="747" t="e">
        <f ca="1">test_NH4_temp(données_step[[#This Row],[S_NH4]],données_step[[#This Row],[Temp_eaux]])</f>
        <v>#NAME?</v>
      </c>
    </row>
    <row r="264" spans="1:71" x14ac:dyDescent="0.2">
      <c r="A264" s="222">
        <f>données_step[[#This Row],[Datum]]</f>
        <v>44815</v>
      </c>
      <c r="B264" s="223"/>
      <c r="C264" s="224">
        <f t="shared" si="64"/>
        <v>1</v>
      </c>
      <c r="D264" s="523" t="str">
        <f>IF(OR(données_step[[#This Row],[E_DBO5]]&lt;=0,données_step[[#This Row],[E_DBO5]]=""),"",données_step[[#This Row],[D_QTRAI]]*données_step[[#This Row],[E_DBO5]]/1000)</f>
        <v/>
      </c>
      <c r="E264" s="523" t="str">
        <f>IF(OR(données_step[[#This Row],[E_DCO]]&lt;=0,données_step[[#This Row],[E_DCO]]=""),"",données_step[[#This Row],[D_QTRAI]]*données_step[[#This Row],[E_DCO]]/1000)</f>
        <v/>
      </c>
      <c r="F264" s="523" t="str">
        <f>IF(OR(données_step[[#This Row],[E_COT]]&lt;=0,données_step[[#This Row],[E_COT]]=""),"",données_step[[#This Row],[D_QTRAI]]*données_step[[#This Row],[E_COT]]/1000)</f>
        <v/>
      </c>
      <c r="G264" s="523" t="str">
        <f>IF(OR(données_step[[#This Row],[E_NH4]]&lt;=0,données_step[[#This Row],[E_NH4]]=""),"",données_step[[#This Row],[D_QTRAI]]*données_step[[#This Row],[E_NH4]]/1000)</f>
        <v/>
      </c>
      <c r="H264" s="523" t="str">
        <f>IF(OR(données_step[[#This Row],[E_NTOT]]&lt;=0,données_step[[#This Row],[E_NTOT]]=""),"",données_step[[#This Row],[D_QTRAI]]*données_step[[#This Row],[E_NTOT]]/1000)</f>
        <v/>
      </c>
      <c r="I264" s="523" t="str">
        <f>IF(OR(données_step[[#This Row],[E_NTOT]]&lt;=0,données_step[[#This Row],[E_NTOT]]=""),"",données_step[[#This Row],[D_QTRAI]]*données_step[[#This Row],[E_PTOT]]/1000)</f>
        <v/>
      </c>
      <c r="J264" s="523" t="str">
        <f>IF(OR(données_step[[#This Row],[S_DBO5]]&lt;=0,données_step[[#This Row],[S_DBO5]]=""),"",données_step[[#This Row],[D_QTRAI]]*données_step[[#This Row],[S_DBO5]]/1000)</f>
        <v/>
      </c>
      <c r="K264" s="523" t="str">
        <f>IF(OR(données_step[[#This Row],[S_DCO]]&lt;=0,données_step[[#This Row],[S_DCO]]=""),"",données_step[[#This Row],[D_QTRAI]]*données_step[[#This Row],[S_DCO]]/1000)</f>
        <v/>
      </c>
      <c r="L264" s="523" t="str">
        <f>IF(OR(données_step[[#This Row],[S_COD]]&lt;=0,données_step[[#This Row],[S_COD]]=""),"",données_step[[#This Row],[D_QTRAI]]*données_step[[#This Row],[S_COD]]/1000)</f>
        <v/>
      </c>
      <c r="M264" s="523" t="str">
        <f>IF(OR(données_step[[#This Row],[S_NH4]]&lt;=0,données_step[[#This Row],[S_NH4]]=""),"",données_step[[#This Row],[D_QTRAI]]*données_step[[#This Row],[S_NH4]]/1000)</f>
        <v/>
      </c>
      <c r="N264" s="523" t="str">
        <f>IF(OR(données_step[[#This Row],[S_NO2]]&lt;=0,données_step[[#This Row],[S_NO2]]=""),"",données_step[[#This Row],[D_QTRAI]]*données_step[[#This Row],[S_NO2]]/1000)</f>
        <v/>
      </c>
      <c r="O264" s="523" t="str">
        <f>IF(OR(données_step[[#This Row],[S_NO3]]&lt;=0,données_step[[#This Row],[S_NO3]]=""),"",données_step[[#This Row],[D_QTRAI]]*données_step[[#This Row],[S_NO3]]/1000)</f>
        <v/>
      </c>
      <c r="P264" s="523" t="str">
        <f>IF(OR(données_step[[#This Row],[S_PTOT]]&lt;=0,données_step[[#This Row],[S_PTOT]]=""),"",données_step[[#This Row],[D_QTRAI]]*données_step[[#This Row],[S_PTOT]]/1000)</f>
        <v/>
      </c>
      <c r="Q264" s="523" t="str">
        <f>IF(OR(données_step[[#This Row],[S_MES]]&lt;=0,données_step[[#This Row],[S_MES]]=""),"",données_step[[#This Row],[D_QTRAI]]*données_step[[#This Row],[S_MES]]/1000)</f>
        <v/>
      </c>
      <c r="R264" s="523">
        <f>MAX(données_step[[#This Row],[D_QTRAI]],données_step[[#This Row],[D_QTRAI2]])</f>
        <v>0</v>
      </c>
      <c r="S264" s="523" t="str">
        <f>IF(AND($R264&gt;0,données_step[[#This Row],[E_DCO]]&gt;0),données_step[[#This Row],[E_DCO]],"")</f>
        <v/>
      </c>
      <c r="T264" s="523" t="str">
        <f>IF(S264="","",(1-données_step[[#This Row],[E_DCO]]/$V$7)*100)</f>
        <v/>
      </c>
      <c r="U264" s="523" t="str">
        <f t="shared" si="50"/>
        <v/>
      </c>
      <c r="V264" s="523" t="str">
        <f t="shared" si="51"/>
        <v/>
      </c>
      <c r="W264" s="523" t="str">
        <f t="shared" si="52"/>
        <v/>
      </c>
      <c r="X264" s="523" t="e">
        <f>IF(((100-100/$V$7*données_step[[#This Row],[E_DCO]])/100*QTS)&lt;0,NA(),IF(OR(U264&lt;0,U264=""),NA(),((100-100/$V$7*données_step[[#This Row],[E_DCO]])/100*QTS)))</f>
        <v>#NUM!</v>
      </c>
      <c r="Y264" s="523" t="str">
        <f>IF(AND($R264&gt;0,données_step[[#This Row],[E_COT]]&gt;0),données_step[[#This Row],[E_COT]],"")</f>
        <v/>
      </c>
      <c r="Z264" s="523" t="str">
        <f>IF(Y264="","",(1-données_step[[#This Row],[E_COT]]/$AB$7)*100)</f>
        <v/>
      </c>
      <c r="AA264" s="523" t="str">
        <f t="shared" si="53"/>
        <v/>
      </c>
      <c r="AB264" s="523" t="str">
        <f t="shared" si="54"/>
        <v/>
      </c>
      <c r="AC264" s="523" t="str">
        <f t="shared" si="55"/>
        <v/>
      </c>
      <c r="AD264" s="523" t="e">
        <f>IF(((100-100/$AB$7*données_step[[#This Row],[E_COT]])/100*QTS)&lt;0,NA(),IF(OR(AA264&lt;0,AA264=""),NA(),((100-100/$AB$7*données_step[[#This Row],[E_COT]])/100*QTS)))</f>
        <v>#NUM!</v>
      </c>
      <c r="AE264" s="523" t="str">
        <f>IF(AND($R264&gt;0,données_step[[#This Row],[E_NH4]]&gt;0),données_step[[#This Row],[E_NH4]],"")</f>
        <v/>
      </c>
      <c r="AF264" s="523" t="str">
        <f>IF(AE264="","",(1-données_step[[#This Row],[E_NH4]]/$AH$7)*100)</f>
        <v/>
      </c>
      <c r="AG264" s="523" t="str">
        <f t="shared" si="56"/>
        <v/>
      </c>
      <c r="AH264" s="523" t="str">
        <f t="shared" si="57"/>
        <v/>
      </c>
      <c r="AI264" s="523" t="str">
        <f t="shared" si="58"/>
        <v/>
      </c>
      <c r="AJ264" s="523" t="e">
        <f>IF(((100-100/$AH$7*données_step[[#This Row],[E_NH4]])/100*QTS)&lt;0,NA(),IF(OR(AG264&lt;0,AG264=""),NA(),((100-100/$AH$7*données_step[[#This Row],[E_NH4]])/100*QTS)))</f>
        <v>#NUM!</v>
      </c>
      <c r="AK264" s="523" t="str">
        <f>IF(AND($R264&gt;0,données_step[[#This Row],[E_PTOT]]&gt;0),données_step[[#This Row],[E_PTOT]],"")</f>
        <v/>
      </c>
      <c r="AL264" s="523" t="str">
        <f>IF(AK264="","",(1-données_step[[#This Row],[E_PTOT]]/$AN$7)*100)</f>
        <v/>
      </c>
      <c r="AM264" s="523" t="str">
        <f t="shared" si="59"/>
        <v/>
      </c>
      <c r="AN264" s="523" t="str">
        <f t="shared" si="60"/>
        <v/>
      </c>
      <c r="AO264" s="523" t="str">
        <f t="shared" si="61"/>
        <v/>
      </c>
      <c r="AP264" s="523" t="e">
        <f>IF(((100-100/$AN$7*données_step[[#This Row],[E_PTOT]])/100*QTS)&lt;0,NA(),IF(OR(AM264&lt;0,AM264=""),NA(),((100-100/$AN$7*données_step[[#This Row],[E_PTOT]])/100*QTS)))</f>
        <v>#NUM!</v>
      </c>
      <c r="AQ264" s="524" t="e">
        <f t="shared" si="62"/>
        <v>#NUM!</v>
      </c>
      <c r="AR264" s="524" t="str">
        <f t="shared" si="63"/>
        <v/>
      </c>
      <c r="AY264" s="523" t="str">
        <f>_xlfn.IFNA(IF(données_step[[#This Row],[E_DCO]]&lt;=0,NA(),charge_entree[[#This Row],[ch_E_DCO]]/constanten!$B$8*1000),"")</f>
        <v/>
      </c>
      <c r="AZ264" s="523" t="str">
        <f>_xlfn.IFNA(IF(données_step[[#This Row],[E_NTOT]]&lt;=0,NA(),charge_entree[[#This Row],[ch_E_NTOT]]/constanten!$B$10*1000),"")</f>
        <v/>
      </c>
      <c r="BA264" s="523" t="str">
        <f>_xlfn.IFNA(IF(données_step[[#This Row],[E_NH4]]&lt;=0,NA(),charge_entree[[#This Row],[ch_E_NH4]]/constanten!$B$12*1000),"")</f>
        <v/>
      </c>
      <c r="BB264" s="523" t="str">
        <f>_xlfn.IFNA(IF(données_step[[#This Row],[E_COT]]&lt;=0,NA(),charge_entree[[#This Row],[ch_E_COT]]/constanten!$B$9*1000),"")</f>
        <v/>
      </c>
      <c r="BC264" s="523" t="str">
        <f>IFERROR(_xlfn.IFNA(IF(données_step[[#This Row],[E_PTOT]]&lt;=0,NA(),charge_entree[[#This Row],[ch_E_PTOT]]/constanten!$B$15*1000),""),"")</f>
        <v/>
      </c>
      <c r="BD264" s="535" t="e">
        <f>calculs!E264 * (1-0.4) / (données_step[[#This Row],[X_BA_VOL]]*données_step[[#This Row],[X_BACONC]])</f>
        <v>#VALUE!</v>
      </c>
      <c r="BE264" s="522" t="e">
        <f>(données_step[[#This Row],[X_BA_VOL]]*données_step[[#This Row],[X_BACONC]])/((données_step[[#This Row],[D_QTRAI2]]*données_step[[#This Row],[S_MES]]/1000)+(données_step[[#This Row],[X_BX_Q]]*données_step[[#This Row],[X_BXCONC]]))</f>
        <v>#VALUE!</v>
      </c>
      <c r="BF264" s="890" t="str">
        <f>IFERROR(données_step[[#This Row],[D_QTRAI]]/AY264*1000,"")</f>
        <v/>
      </c>
      <c r="BG264" s="535" t="str">
        <f>IFERROR(1-données_step[[#This Row],[S_DBO5]]/données_step[[#This Row],[E_DBO5]],"")</f>
        <v/>
      </c>
      <c r="BH264" s="536" t="str">
        <f>IFERROR(1-données_step[[#This Row],[S_DCO]]/données_step[[#This Row],[E_DCO]],"")</f>
        <v/>
      </c>
      <c r="BI264" s="535" t="str">
        <f>IFERROR(1-données_step[[#This Row],[S_COD]]/données_step[[#This Row],[E_COT]],"")</f>
        <v/>
      </c>
      <c r="BJ264" s="535" t="str">
        <f>IFERROR(1-données_step[[#This Row],[S_NH4]]/données_step[[#This Row],[E_NTOT]],"")</f>
        <v/>
      </c>
      <c r="BK264" s="535" t="str">
        <f>IFERROR(1-données_step[[#This Row],[S_PTOT]]/données_step[[#This Row],[E_PTOT]],"")</f>
        <v/>
      </c>
      <c r="BL264" s="521" t="str">
        <f>IFERROR(IF(données_step[[#This Row],[E_DCO]]/données_step[[#This Row],[E_DBO5]]=0,NA(),données_step[[#This Row],[E_DCO]]/données_step[[#This Row],[E_DBO5]]),"")</f>
        <v/>
      </c>
      <c r="BM264" s="521" t="str">
        <f>IFERROR(IF(données_step[[#This Row],[E_NH4]]/données_step[[#This Row],[E_NTOT]]=0,NA(),données_step[[#This Row],[E_NH4]]/données_step[[#This Row],[E_NTOT]]),"")</f>
        <v/>
      </c>
      <c r="BN264" s="521" t="str">
        <f>IFERROR(IF(données_step[[#This Row],[E_NTOT]]/données_step[[#This Row],[E_COT]]=0,NA(),données_step[[#This Row],[E_NTOT]]/données_step[[#This Row],[E_COT]]),"")</f>
        <v/>
      </c>
      <c r="BO264" s="521" t="str">
        <f>IFERROR(IF(données_step[[#This Row],[E_PTOT]]/données_step[[#This Row],[E_COT]]=0,NA(),données_step[[#This Row],[E_PTOT]]/données_step[[#This Row],[E_COT]]),"")</f>
        <v/>
      </c>
      <c r="BP264" s="521" t="e">
        <f>IF(données_step[[#This Row],[E_DCO]]/données_step[[#This Row],[E_COT]]=0,NA(),données_step[[#This Row],[E_DCO]]/données_step[[#This Row],[E_COT]])</f>
        <v>#DIV/0!</v>
      </c>
      <c r="BQ264" s="521" t="e">
        <f>IF(données_step[[#This Row],[E_NTOT]]/données_step[[#This Row],[E_DCO]]=0,NA(),données_step[[#This Row],[E_NTOT]]/données_step[[#This Row],[E_DCO]])</f>
        <v>#DIV/0!</v>
      </c>
      <c r="BR264" s="521" t="e">
        <f>IF(données_step[[#This Row],[E_PTOT]]/données_step[[#This Row],[E_DCO]]=0,NA(),données_step[[#This Row],[E_PTOT]]/données_step[[#This Row],[E_DCO]])</f>
        <v>#DIV/0!</v>
      </c>
      <c r="BS264" s="747" t="e">
        <f ca="1">test_NH4_temp(données_step[[#This Row],[S_NH4]],données_step[[#This Row],[Temp_eaux]])</f>
        <v>#NAME?</v>
      </c>
    </row>
    <row r="265" spans="1:71" x14ac:dyDescent="0.2">
      <c r="A265" s="222">
        <f>données_step[[#This Row],[Datum]]</f>
        <v>44816</v>
      </c>
      <c r="B265" s="223"/>
      <c r="C265" s="224">
        <f t="shared" si="64"/>
        <v>2</v>
      </c>
      <c r="D265" s="523" t="str">
        <f>IF(OR(données_step[[#This Row],[E_DBO5]]&lt;=0,données_step[[#This Row],[E_DBO5]]=""),"",données_step[[#This Row],[D_QTRAI]]*données_step[[#This Row],[E_DBO5]]/1000)</f>
        <v/>
      </c>
      <c r="E265" s="523" t="str">
        <f>IF(OR(données_step[[#This Row],[E_DCO]]&lt;=0,données_step[[#This Row],[E_DCO]]=""),"",données_step[[#This Row],[D_QTRAI]]*données_step[[#This Row],[E_DCO]]/1000)</f>
        <v/>
      </c>
      <c r="F265" s="523" t="str">
        <f>IF(OR(données_step[[#This Row],[E_COT]]&lt;=0,données_step[[#This Row],[E_COT]]=""),"",données_step[[#This Row],[D_QTRAI]]*données_step[[#This Row],[E_COT]]/1000)</f>
        <v/>
      </c>
      <c r="G265" s="523" t="str">
        <f>IF(OR(données_step[[#This Row],[E_NH4]]&lt;=0,données_step[[#This Row],[E_NH4]]=""),"",données_step[[#This Row],[D_QTRAI]]*données_step[[#This Row],[E_NH4]]/1000)</f>
        <v/>
      </c>
      <c r="H265" s="523" t="str">
        <f>IF(OR(données_step[[#This Row],[E_NTOT]]&lt;=0,données_step[[#This Row],[E_NTOT]]=""),"",données_step[[#This Row],[D_QTRAI]]*données_step[[#This Row],[E_NTOT]]/1000)</f>
        <v/>
      </c>
      <c r="I265" s="523" t="str">
        <f>IF(OR(données_step[[#This Row],[E_NTOT]]&lt;=0,données_step[[#This Row],[E_NTOT]]=""),"",données_step[[#This Row],[D_QTRAI]]*données_step[[#This Row],[E_PTOT]]/1000)</f>
        <v/>
      </c>
      <c r="J265" s="523" t="str">
        <f>IF(OR(données_step[[#This Row],[S_DBO5]]&lt;=0,données_step[[#This Row],[S_DBO5]]=""),"",données_step[[#This Row],[D_QTRAI]]*données_step[[#This Row],[S_DBO5]]/1000)</f>
        <v/>
      </c>
      <c r="K265" s="523" t="str">
        <f>IF(OR(données_step[[#This Row],[S_DCO]]&lt;=0,données_step[[#This Row],[S_DCO]]=""),"",données_step[[#This Row],[D_QTRAI]]*données_step[[#This Row],[S_DCO]]/1000)</f>
        <v/>
      </c>
      <c r="L265" s="523" t="str">
        <f>IF(OR(données_step[[#This Row],[S_COD]]&lt;=0,données_step[[#This Row],[S_COD]]=""),"",données_step[[#This Row],[D_QTRAI]]*données_step[[#This Row],[S_COD]]/1000)</f>
        <v/>
      </c>
      <c r="M265" s="523" t="str">
        <f>IF(OR(données_step[[#This Row],[S_NH4]]&lt;=0,données_step[[#This Row],[S_NH4]]=""),"",données_step[[#This Row],[D_QTRAI]]*données_step[[#This Row],[S_NH4]]/1000)</f>
        <v/>
      </c>
      <c r="N265" s="523" t="str">
        <f>IF(OR(données_step[[#This Row],[S_NO2]]&lt;=0,données_step[[#This Row],[S_NO2]]=""),"",données_step[[#This Row],[D_QTRAI]]*données_step[[#This Row],[S_NO2]]/1000)</f>
        <v/>
      </c>
      <c r="O265" s="523" t="str">
        <f>IF(OR(données_step[[#This Row],[S_NO3]]&lt;=0,données_step[[#This Row],[S_NO3]]=""),"",données_step[[#This Row],[D_QTRAI]]*données_step[[#This Row],[S_NO3]]/1000)</f>
        <v/>
      </c>
      <c r="P265" s="523" t="str">
        <f>IF(OR(données_step[[#This Row],[S_PTOT]]&lt;=0,données_step[[#This Row],[S_PTOT]]=""),"",données_step[[#This Row],[D_QTRAI]]*données_step[[#This Row],[S_PTOT]]/1000)</f>
        <v/>
      </c>
      <c r="Q265" s="523" t="str">
        <f>IF(OR(données_step[[#This Row],[S_MES]]&lt;=0,données_step[[#This Row],[S_MES]]=""),"",données_step[[#This Row],[D_QTRAI]]*données_step[[#This Row],[S_MES]]/1000)</f>
        <v/>
      </c>
      <c r="R265" s="523">
        <f>MAX(données_step[[#This Row],[D_QTRAI]],données_step[[#This Row],[D_QTRAI2]])</f>
        <v>0</v>
      </c>
      <c r="S265" s="523" t="str">
        <f>IF(AND($R265&gt;0,données_step[[#This Row],[E_DCO]]&gt;0),données_step[[#This Row],[E_DCO]],"")</f>
        <v/>
      </c>
      <c r="T265" s="523" t="str">
        <f>IF(S265="","",(1-données_step[[#This Row],[E_DCO]]/$V$7)*100)</f>
        <v/>
      </c>
      <c r="U265" s="523" t="str">
        <f t="shared" si="50"/>
        <v/>
      </c>
      <c r="V265" s="523" t="str">
        <f t="shared" si="51"/>
        <v/>
      </c>
      <c r="W265" s="523" t="str">
        <f t="shared" si="52"/>
        <v/>
      </c>
      <c r="X265" s="523" t="e">
        <f>IF(((100-100/$V$7*données_step[[#This Row],[E_DCO]])/100*QTS)&lt;0,NA(),IF(OR(U265&lt;0,U265=""),NA(),((100-100/$V$7*données_step[[#This Row],[E_DCO]])/100*QTS)))</f>
        <v>#NUM!</v>
      </c>
      <c r="Y265" s="523" t="str">
        <f>IF(AND($R265&gt;0,données_step[[#This Row],[E_COT]]&gt;0),données_step[[#This Row],[E_COT]],"")</f>
        <v/>
      </c>
      <c r="Z265" s="523" t="str">
        <f>IF(Y265="","",(1-données_step[[#This Row],[E_COT]]/$AB$7)*100)</f>
        <v/>
      </c>
      <c r="AA265" s="523" t="str">
        <f t="shared" si="53"/>
        <v/>
      </c>
      <c r="AB265" s="523" t="str">
        <f t="shared" si="54"/>
        <v/>
      </c>
      <c r="AC265" s="523" t="str">
        <f t="shared" si="55"/>
        <v/>
      </c>
      <c r="AD265" s="523" t="e">
        <f>IF(((100-100/$AB$7*données_step[[#This Row],[E_COT]])/100*QTS)&lt;0,NA(),IF(OR(AA265&lt;0,AA265=""),NA(),((100-100/$AB$7*données_step[[#This Row],[E_COT]])/100*QTS)))</f>
        <v>#NUM!</v>
      </c>
      <c r="AE265" s="523" t="str">
        <f>IF(AND($R265&gt;0,données_step[[#This Row],[E_NH4]]&gt;0),données_step[[#This Row],[E_NH4]],"")</f>
        <v/>
      </c>
      <c r="AF265" s="523" t="str">
        <f>IF(AE265="","",(1-données_step[[#This Row],[E_NH4]]/$AH$7)*100)</f>
        <v/>
      </c>
      <c r="AG265" s="523" t="str">
        <f t="shared" si="56"/>
        <v/>
      </c>
      <c r="AH265" s="523" t="str">
        <f t="shared" si="57"/>
        <v/>
      </c>
      <c r="AI265" s="523" t="str">
        <f t="shared" si="58"/>
        <v/>
      </c>
      <c r="AJ265" s="523" t="e">
        <f>IF(((100-100/$AH$7*données_step[[#This Row],[E_NH4]])/100*QTS)&lt;0,NA(),IF(OR(AG265&lt;0,AG265=""),NA(),((100-100/$AH$7*données_step[[#This Row],[E_NH4]])/100*QTS)))</f>
        <v>#NUM!</v>
      </c>
      <c r="AK265" s="523" t="str">
        <f>IF(AND($R265&gt;0,données_step[[#This Row],[E_PTOT]]&gt;0),données_step[[#This Row],[E_PTOT]],"")</f>
        <v/>
      </c>
      <c r="AL265" s="523" t="str">
        <f>IF(AK265="","",(1-données_step[[#This Row],[E_PTOT]]/$AN$7)*100)</f>
        <v/>
      </c>
      <c r="AM265" s="523" t="str">
        <f t="shared" si="59"/>
        <v/>
      </c>
      <c r="AN265" s="523" t="str">
        <f t="shared" si="60"/>
        <v/>
      </c>
      <c r="AO265" s="523" t="str">
        <f t="shared" si="61"/>
        <v/>
      </c>
      <c r="AP265" s="523" t="e">
        <f>IF(((100-100/$AN$7*données_step[[#This Row],[E_PTOT]])/100*QTS)&lt;0,NA(),IF(OR(AM265&lt;0,AM265=""),NA(),((100-100/$AN$7*données_step[[#This Row],[E_PTOT]])/100*QTS)))</f>
        <v>#NUM!</v>
      </c>
      <c r="AQ265" s="524" t="e">
        <f t="shared" si="62"/>
        <v>#NUM!</v>
      </c>
      <c r="AR265" s="524" t="str">
        <f t="shared" si="63"/>
        <v/>
      </c>
      <c r="AY265" s="523" t="str">
        <f>_xlfn.IFNA(IF(données_step[[#This Row],[E_DCO]]&lt;=0,NA(),charge_entree[[#This Row],[ch_E_DCO]]/constanten!$B$8*1000),"")</f>
        <v/>
      </c>
      <c r="AZ265" s="523" t="str">
        <f>_xlfn.IFNA(IF(données_step[[#This Row],[E_NTOT]]&lt;=0,NA(),charge_entree[[#This Row],[ch_E_NTOT]]/constanten!$B$10*1000),"")</f>
        <v/>
      </c>
      <c r="BA265" s="523" t="str">
        <f>_xlfn.IFNA(IF(données_step[[#This Row],[E_NH4]]&lt;=0,NA(),charge_entree[[#This Row],[ch_E_NH4]]/constanten!$B$12*1000),"")</f>
        <v/>
      </c>
      <c r="BB265" s="523" t="str">
        <f>_xlfn.IFNA(IF(données_step[[#This Row],[E_COT]]&lt;=0,NA(),charge_entree[[#This Row],[ch_E_COT]]/constanten!$B$9*1000),"")</f>
        <v/>
      </c>
      <c r="BC265" s="523" t="str">
        <f>IFERROR(_xlfn.IFNA(IF(données_step[[#This Row],[E_PTOT]]&lt;=0,NA(),charge_entree[[#This Row],[ch_E_PTOT]]/constanten!$B$15*1000),""),"")</f>
        <v/>
      </c>
      <c r="BD265" s="535" t="e">
        <f>calculs!E265 * (1-0.4) / (données_step[[#This Row],[X_BA_VOL]]*données_step[[#This Row],[X_BACONC]])</f>
        <v>#VALUE!</v>
      </c>
      <c r="BE265" s="522" t="e">
        <f>(données_step[[#This Row],[X_BA_VOL]]*données_step[[#This Row],[X_BACONC]])/((données_step[[#This Row],[D_QTRAI2]]*données_step[[#This Row],[S_MES]]/1000)+(données_step[[#This Row],[X_BX_Q]]*données_step[[#This Row],[X_BXCONC]]))</f>
        <v>#VALUE!</v>
      </c>
      <c r="BF265" s="890" t="str">
        <f>IFERROR(données_step[[#This Row],[D_QTRAI]]/AY265*1000,"")</f>
        <v/>
      </c>
      <c r="BG265" s="535" t="str">
        <f>IFERROR(1-données_step[[#This Row],[S_DBO5]]/données_step[[#This Row],[E_DBO5]],"")</f>
        <v/>
      </c>
      <c r="BH265" s="536" t="str">
        <f>IFERROR(1-données_step[[#This Row],[S_DCO]]/données_step[[#This Row],[E_DCO]],"")</f>
        <v/>
      </c>
      <c r="BI265" s="535" t="str">
        <f>IFERROR(1-données_step[[#This Row],[S_COD]]/données_step[[#This Row],[E_COT]],"")</f>
        <v/>
      </c>
      <c r="BJ265" s="535" t="str">
        <f>IFERROR(1-données_step[[#This Row],[S_NH4]]/données_step[[#This Row],[E_NTOT]],"")</f>
        <v/>
      </c>
      <c r="BK265" s="535" t="str">
        <f>IFERROR(1-données_step[[#This Row],[S_PTOT]]/données_step[[#This Row],[E_PTOT]],"")</f>
        <v/>
      </c>
      <c r="BL265" s="521" t="str">
        <f>IFERROR(IF(données_step[[#This Row],[E_DCO]]/données_step[[#This Row],[E_DBO5]]=0,NA(),données_step[[#This Row],[E_DCO]]/données_step[[#This Row],[E_DBO5]]),"")</f>
        <v/>
      </c>
      <c r="BM265" s="521" t="str">
        <f>IFERROR(IF(données_step[[#This Row],[E_NH4]]/données_step[[#This Row],[E_NTOT]]=0,NA(),données_step[[#This Row],[E_NH4]]/données_step[[#This Row],[E_NTOT]]),"")</f>
        <v/>
      </c>
      <c r="BN265" s="521" t="str">
        <f>IFERROR(IF(données_step[[#This Row],[E_NTOT]]/données_step[[#This Row],[E_COT]]=0,NA(),données_step[[#This Row],[E_NTOT]]/données_step[[#This Row],[E_COT]]),"")</f>
        <v/>
      </c>
      <c r="BO265" s="521" t="str">
        <f>IFERROR(IF(données_step[[#This Row],[E_PTOT]]/données_step[[#This Row],[E_COT]]=0,NA(),données_step[[#This Row],[E_PTOT]]/données_step[[#This Row],[E_COT]]),"")</f>
        <v/>
      </c>
      <c r="BP265" s="521" t="e">
        <f>IF(données_step[[#This Row],[E_DCO]]/données_step[[#This Row],[E_COT]]=0,NA(),données_step[[#This Row],[E_DCO]]/données_step[[#This Row],[E_COT]])</f>
        <v>#DIV/0!</v>
      </c>
      <c r="BQ265" s="521" t="e">
        <f>IF(données_step[[#This Row],[E_NTOT]]/données_step[[#This Row],[E_DCO]]=0,NA(),données_step[[#This Row],[E_NTOT]]/données_step[[#This Row],[E_DCO]])</f>
        <v>#DIV/0!</v>
      </c>
      <c r="BR265" s="521" t="e">
        <f>IF(données_step[[#This Row],[E_PTOT]]/données_step[[#This Row],[E_DCO]]=0,NA(),données_step[[#This Row],[E_PTOT]]/données_step[[#This Row],[E_DCO]])</f>
        <v>#DIV/0!</v>
      </c>
      <c r="BS265" s="747" t="e">
        <f ca="1">test_NH4_temp(données_step[[#This Row],[S_NH4]],données_step[[#This Row],[Temp_eaux]])</f>
        <v>#NAME?</v>
      </c>
    </row>
    <row r="266" spans="1:71" x14ac:dyDescent="0.2">
      <c r="A266" s="222">
        <f>données_step[[#This Row],[Datum]]</f>
        <v>44817</v>
      </c>
      <c r="B266" s="223"/>
      <c r="C266" s="224">
        <f t="shared" si="64"/>
        <v>3</v>
      </c>
      <c r="D266" s="523" t="str">
        <f>IF(OR(données_step[[#This Row],[E_DBO5]]&lt;=0,données_step[[#This Row],[E_DBO5]]=""),"",données_step[[#This Row],[D_QTRAI]]*données_step[[#This Row],[E_DBO5]]/1000)</f>
        <v/>
      </c>
      <c r="E266" s="523" t="str">
        <f>IF(OR(données_step[[#This Row],[E_DCO]]&lt;=0,données_step[[#This Row],[E_DCO]]=""),"",données_step[[#This Row],[D_QTRAI]]*données_step[[#This Row],[E_DCO]]/1000)</f>
        <v/>
      </c>
      <c r="F266" s="523" t="str">
        <f>IF(OR(données_step[[#This Row],[E_COT]]&lt;=0,données_step[[#This Row],[E_COT]]=""),"",données_step[[#This Row],[D_QTRAI]]*données_step[[#This Row],[E_COT]]/1000)</f>
        <v/>
      </c>
      <c r="G266" s="523" t="str">
        <f>IF(OR(données_step[[#This Row],[E_NH4]]&lt;=0,données_step[[#This Row],[E_NH4]]=""),"",données_step[[#This Row],[D_QTRAI]]*données_step[[#This Row],[E_NH4]]/1000)</f>
        <v/>
      </c>
      <c r="H266" s="523" t="str">
        <f>IF(OR(données_step[[#This Row],[E_NTOT]]&lt;=0,données_step[[#This Row],[E_NTOT]]=""),"",données_step[[#This Row],[D_QTRAI]]*données_step[[#This Row],[E_NTOT]]/1000)</f>
        <v/>
      </c>
      <c r="I266" s="523" t="str">
        <f>IF(OR(données_step[[#This Row],[E_NTOT]]&lt;=0,données_step[[#This Row],[E_NTOT]]=""),"",données_step[[#This Row],[D_QTRAI]]*données_step[[#This Row],[E_PTOT]]/1000)</f>
        <v/>
      </c>
      <c r="J266" s="523" t="str">
        <f>IF(OR(données_step[[#This Row],[S_DBO5]]&lt;=0,données_step[[#This Row],[S_DBO5]]=""),"",données_step[[#This Row],[D_QTRAI]]*données_step[[#This Row],[S_DBO5]]/1000)</f>
        <v/>
      </c>
      <c r="K266" s="523" t="str">
        <f>IF(OR(données_step[[#This Row],[S_DCO]]&lt;=0,données_step[[#This Row],[S_DCO]]=""),"",données_step[[#This Row],[D_QTRAI]]*données_step[[#This Row],[S_DCO]]/1000)</f>
        <v/>
      </c>
      <c r="L266" s="523" t="str">
        <f>IF(OR(données_step[[#This Row],[S_COD]]&lt;=0,données_step[[#This Row],[S_COD]]=""),"",données_step[[#This Row],[D_QTRAI]]*données_step[[#This Row],[S_COD]]/1000)</f>
        <v/>
      </c>
      <c r="M266" s="523" t="str">
        <f>IF(OR(données_step[[#This Row],[S_NH4]]&lt;=0,données_step[[#This Row],[S_NH4]]=""),"",données_step[[#This Row],[D_QTRAI]]*données_step[[#This Row],[S_NH4]]/1000)</f>
        <v/>
      </c>
      <c r="N266" s="523" t="str">
        <f>IF(OR(données_step[[#This Row],[S_NO2]]&lt;=0,données_step[[#This Row],[S_NO2]]=""),"",données_step[[#This Row],[D_QTRAI]]*données_step[[#This Row],[S_NO2]]/1000)</f>
        <v/>
      </c>
      <c r="O266" s="523" t="str">
        <f>IF(OR(données_step[[#This Row],[S_NO3]]&lt;=0,données_step[[#This Row],[S_NO3]]=""),"",données_step[[#This Row],[D_QTRAI]]*données_step[[#This Row],[S_NO3]]/1000)</f>
        <v/>
      </c>
      <c r="P266" s="523" t="str">
        <f>IF(OR(données_step[[#This Row],[S_PTOT]]&lt;=0,données_step[[#This Row],[S_PTOT]]=""),"",données_step[[#This Row],[D_QTRAI]]*données_step[[#This Row],[S_PTOT]]/1000)</f>
        <v/>
      </c>
      <c r="Q266" s="523" t="str">
        <f>IF(OR(données_step[[#This Row],[S_MES]]&lt;=0,données_step[[#This Row],[S_MES]]=""),"",données_step[[#This Row],[D_QTRAI]]*données_step[[#This Row],[S_MES]]/1000)</f>
        <v/>
      </c>
      <c r="R266" s="523">
        <f>MAX(données_step[[#This Row],[D_QTRAI]],données_step[[#This Row],[D_QTRAI2]])</f>
        <v>0</v>
      </c>
      <c r="S266" s="523" t="str">
        <f>IF(AND($R266&gt;0,données_step[[#This Row],[E_DCO]]&gt;0),données_step[[#This Row],[E_DCO]],"")</f>
        <v/>
      </c>
      <c r="T266" s="523" t="str">
        <f>IF(S266="","",(1-données_step[[#This Row],[E_DCO]]/$V$7)*100)</f>
        <v/>
      </c>
      <c r="U266" s="523" t="str">
        <f t="shared" si="50"/>
        <v/>
      </c>
      <c r="V266" s="523" t="str">
        <f t="shared" si="51"/>
        <v/>
      </c>
      <c r="W266" s="523" t="str">
        <f t="shared" si="52"/>
        <v/>
      </c>
      <c r="X266" s="523" t="e">
        <f>IF(((100-100/$V$7*données_step[[#This Row],[E_DCO]])/100*QTS)&lt;0,NA(),IF(OR(U266&lt;0,U266=""),NA(),((100-100/$V$7*données_step[[#This Row],[E_DCO]])/100*QTS)))</f>
        <v>#NUM!</v>
      </c>
      <c r="Y266" s="523" t="str">
        <f>IF(AND($R266&gt;0,données_step[[#This Row],[E_COT]]&gt;0),données_step[[#This Row],[E_COT]],"")</f>
        <v/>
      </c>
      <c r="Z266" s="523" t="str">
        <f>IF(Y266="","",(1-données_step[[#This Row],[E_COT]]/$AB$7)*100)</f>
        <v/>
      </c>
      <c r="AA266" s="523" t="str">
        <f t="shared" si="53"/>
        <v/>
      </c>
      <c r="AB266" s="523" t="str">
        <f t="shared" si="54"/>
        <v/>
      </c>
      <c r="AC266" s="523" t="str">
        <f t="shared" si="55"/>
        <v/>
      </c>
      <c r="AD266" s="523" t="e">
        <f>IF(((100-100/$AB$7*données_step[[#This Row],[E_COT]])/100*QTS)&lt;0,NA(),IF(OR(AA266&lt;0,AA266=""),NA(),((100-100/$AB$7*données_step[[#This Row],[E_COT]])/100*QTS)))</f>
        <v>#NUM!</v>
      </c>
      <c r="AE266" s="523" t="str">
        <f>IF(AND($R266&gt;0,données_step[[#This Row],[E_NH4]]&gt;0),données_step[[#This Row],[E_NH4]],"")</f>
        <v/>
      </c>
      <c r="AF266" s="523" t="str">
        <f>IF(AE266="","",(1-données_step[[#This Row],[E_NH4]]/$AH$7)*100)</f>
        <v/>
      </c>
      <c r="AG266" s="523" t="str">
        <f t="shared" si="56"/>
        <v/>
      </c>
      <c r="AH266" s="523" t="str">
        <f t="shared" si="57"/>
        <v/>
      </c>
      <c r="AI266" s="523" t="str">
        <f t="shared" si="58"/>
        <v/>
      </c>
      <c r="AJ266" s="523" t="e">
        <f>IF(((100-100/$AH$7*données_step[[#This Row],[E_NH4]])/100*QTS)&lt;0,NA(),IF(OR(AG266&lt;0,AG266=""),NA(),((100-100/$AH$7*données_step[[#This Row],[E_NH4]])/100*QTS)))</f>
        <v>#NUM!</v>
      </c>
      <c r="AK266" s="523" t="str">
        <f>IF(AND($R266&gt;0,données_step[[#This Row],[E_PTOT]]&gt;0),données_step[[#This Row],[E_PTOT]],"")</f>
        <v/>
      </c>
      <c r="AL266" s="523" t="str">
        <f>IF(AK266="","",(1-données_step[[#This Row],[E_PTOT]]/$AN$7)*100)</f>
        <v/>
      </c>
      <c r="AM266" s="523" t="str">
        <f t="shared" si="59"/>
        <v/>
      </c>
      <c r="AN266" s="523" t="str">
        <f t="shared" si="60"/>
        <v/>
      </c>
      <c r="AO266" s="523" t="str">
        <f t="shared" si="61"/>
        <v/>
      </c>
      <c r="AP266" s="523" t="e">
        <f>IF(((100-100/$AN$7*données_step[[#This Row],[E_PTOT]])/100*QTS)&lt;0,NA(),IF(OR(AM266&lt;0,AM266=""),NA(),((100-100/$AN$7*données_step[[#This Row],[E_PTOT]])/100*QTS)))</f>
        <v>#NUM!</v>
      </c>
      <c r="AQ266" s="524" t="e">
        <f t="shared" si="62"/>
        <v>#NUM!</v>
      </c>
      <c r="AR266" s="524" t="str">
        <f t="shared" si="63"/>
        <v/>
      </c>
      <c r="AY266" s="523" t="str">
        <f>_xlfn.IFNA(IF(données_step[[#This Row],[E_DCO]]&lt;=0,NA(),charge_entree[[#This Row],[ch_E_DCO]]/constanten!$B$8*1000),"")</f>
        <v/>
      </c>
      <c r="AZ266" s="523" t="str">
        <f>_xlfn.IFNA(IF(données_step[[#This Row],[E_NTOT]]&lt;=0,NA(),charge_entree[[#This Row],[ch_E_NTOT]]/constanten!$B$10*1000),"")</f>
        <v/>
      </c>
      <c r="BA266" s="523" t="str">
        <f>_xlfn.IFNA(IF(données_step[[#This Row],[E_NH4]]&lt;=0,NA(),charge_entree[[#This Row],[ch_E_NH4]]/constanten!$B$12*1000),"")</f>
        <v/>
      </c>
      <c r="BB266" s="523" t="str">
        <f>_xlfn.IFNA(IF(données_step[[#This Row],[E_COT]]&lt;=0,NA(),charge_entree[[#This Row],[ch_E_COT]]/constanten!$B$9*1000),"")</f>
        <v/>
      </c>
      <c r="BC266" s="523" t="str">
        <f>IFERROR(_xlfn.IFNA(IF(données_step[[#This Row],[E_PTOT]]&lt;=0,NA(),charge_entree[[#This Row],[ch_E_PTOT]]/constanten!$B$15*1000),""),"")</f>
        <v/>
      </c>
      <c r="BD266" s="535" t="e">
        <f>calculs!E266 * (1-0.4) / (données_step[[#This Row],[X_BA_VOL]]*données_step[[#This Row],[X_BACONC]])</f>
        <v>#VALUE!</v>
      </c>
      <c r="BE266" s="522" t="e">
        <f>(données_step[[#This Row],[X_BA_VOL]]*données_step[[#This Row],[X_BACONC]])/((données_step[[#This Row],[D_QTRAI2]]*données_step[[#This Row],[S_MES]]/1000)+(données_step[[#This Row],[X_BX_Q]]*données_step[[#This Row],[X_BXCONC]]))</f>
        <v>#VALUE!</v>
      </c>
      <c r="BF266" s="890" t="str">
        <f>IFERROR(données_step[[#This Row],[D_QTRAI]]/AY266*1000,"")</f>
        <v/>
      </c>
      <c r="BG266" s="535" t="str">
        <f>IFERROR(1-données_step[[#This Row],[S_DBO5]]/données_step[[#This Row],[E_DBO5]],"")</f>
        <v/>
      </c>
      <c r="BH266" s="536" t="str">
        <f>IFERROR(1-données_step[[#This Row],[S_DCO]]/données_step[[#This Row],[E_DCO]],"")</f>
        <v/>
      </c>
      <c r="BI266" s="535" t="str">
        <f>IFERROR(1-données_step[[#This Row],[S_COD]]/données_step[[#This Row],[E_COT]],"")</f>
        <v/>
      </c>
      <c r="BJ266" s="535" t="str">
        <f>IFERROR(1-données_step[[#This Row],[S_NH4]]/données_step[[#This Row],[E_NTOT]],"")</f>
        <v/>
      </c>
      <c r="BK266" s="535" t="str">
        <f>IFERROR(1-données_step[[#This Row],[S_PTOT]]/données_step[[#This Row],[E_PTOT]],"")</f>
        <v/>
      </c>
      <c r="BL266" s="521" t="str">
        <f>IFERROR(IF(données_step[[#This Row],[E_DCO]]/données_step[[#This Row],[E_DBO5]]=0,NA(),données_step[[#This Row],[E_DCO]]/données_step[[#This Row],[E_DBO5]]),"")</f>
        <v/>
      </c>
      <c r="BM266" s="521" t="str">
        <f>IFERROR(IF(données_step[[#This Row],[E_NH4]]/données_step[[#This Row],[E_NTOT]]=0,NA(),données_step[[#This Row],[E_NH4]]/données_step[[#This Row],[E_NTOT]]),"")</f>
        <v/>
      </c>
      <c r="BN266" s="521" t="str">
        <f>IFERROR(IF(données_step[[#This Row],[E_NTOT]]/données_step[[#This Row],[E_COT]]=0,NA(),données_step[[#This Row],[E_NTOT]]/données_step[[#This Row],[E_COT]]),"")</f>
        <v/>
      </c>
      <c r="BO266" s="521" t="str">
        <f>IFERROR(IF(données_step[[#This Row],[E_PTOT]]/données_step[[#This Row],[E_COT]]=0,NA(),données_step[[#This Row],[E_PTOT]]/données_step[[#This Row],[E_COT]]),"")</f>
        <v/>
      </c>
      <c r="BP266" s="521" t="e">
        <f>IF(données_step[[#This Row],[E_DCO]]/données_step[[#This Row],[E_COT]]=0,NA(),données_step[[#This Row],[E_DCO]]/données_step[[#This Row],[E_COT]])</f>
        <v>#DIV/0!</v>
      </c>
      <c r="BQ266" s="521" t="e">
        <f>IF(données_step[[#This Row],[E_NTOT]]/données_step[[#This Row],[E_DCO]]=0,NA(),données_step[[#This Row],[E_NTOT]]/données_step[[#This Row],[E_DCO]])</f>
        <v>#DIV/0!</v>
      </c>
      <c r="BR266" s="521" t="e">
        <f>IF(données_step[[#This Row],[E_PTOT]]/données_step[[#This Row],[E_DCO]]=0,NA(),données_step[[#This Row],[E_PTOT]]/données_step[[#This Row],[E_DCO]])</f>
        <v>#DIV/0!</v>
      </c>
      <c r="BS266" s="747" t="e">
        <f ca="1">test_NH4_temp(données_step[[#This Row],[S_NH4]],données_step[[#This Row],[Temp_eaux]])</f>
        <v>#NAME?</v>
      </c>
    </row>
    <row r="267" spans="1:71" x14ac:dyDescent="0.2">
      <c r="A267" s="222">
        <f>données_step[[#This Row],[Datum]]</f>
        <v>44818</v>
      </c>
      <c r="B267" s="223"/>
      <c r="C267" s="224">
        <f t="shared" si="64"/>
        <v>4</v>
      </c>
      <c r="D267" s="523" t="str">
        <f>IF(OR(données_step[[#This Row],[E_DBO5]]&lt;=0,données_step[[#This Row],[E_DBO5]]=""),"",données_step[[#This Row],[D_QTRAI]]*données_step[[#This Row],[E_DBO5]]/1000)</f>
        <v/>
      </c>
      <c r="E267" s="523" t="str">
        <f>IF(OR(données_step[[#This Row],[E_DCO]]&lt;=0,données_step[[#This Row],[E_DCO]]=""),"",données_step[[#This Row],[D_QTRAI]]*données_step[[#This Row],[E_DCO]]/1000)</f>
        <v/>
      </c>
      <c r="F267" s="523" t="str">
        <f>IF(OR(données_step[[#This Row],[E_COT]]&lt;=0,données_step[[#This Row],[E_COT]]=""),"",données_step[[#This Row],[D_QTRAI]]*données_step[[#This Row],[E_COT]]/1000)</f>
        <v/>
      </c>
      <c r="G267" s="523" t="str">
        <f>IF(OR(données_step[[#This Row],[E_NH4]]&lt;=0,données_step[[#This Row],[E_NH4]]=""),"",données_step[[#This Row],[D_QTRAI]]*données_step[[#This Row],[E_NH4]]/1000)</f>
        <v/>
      </c>
      <c r="H267" s="523" t="str">
        <f>IF(OR(données_step[[#This Row],[E_NTOT]]&lt;=0,données_step[[#This Row],[E_NTOT]]=""),"",données_step[[#This Row],[D_QTRAI]]*données_step[[#This Row],[E_NTOT]]/1000)</f>
        <v/>
      </c>
      <c r="I267" s="523" t="str">
        <f>IF(OR(données_step[[#This Row],[E_NTOT]]&lt;=0,données_step[[#This Row],[E_NTOT]]=""),"",données_step[[#This Row],[D_QTRAI]]*données_step[[#This Row],[E_PTOT]]/1000)</f>
        <v/>
      </c>
      <c r="J267" s="523" t="str">
        <f>IF(OR(données_step[[#This Row],[S_DBO5]]&lt;=0,données_step[[#This Row],[S_DBO5]]=""),"",données_step[[#This Row],[D_QTRAI]]*données_step[[#This Row],[S_DBO5]]/1000)</f>
        <v/>
      </c>
      <c r="K267" s="523" t="str">
        <f>IF(OR(données_step[[#This Row],[S_DCO]]&lt;=0,données_step[[#This Row],[S_DCO]]=""),"",données_step[[#This Row],[D_QTRAI]]*données_step[[#This Row],[S_DCO]]/1000)</f>
        <v/>
      </c>
      <c r="L267" s="523" t="str">
        <f>IF(OR(données_step[[#This Row],[S_COD]]&lt;=0,données_step[[#This Row],[S_COD]]=""),"",données_step[[#This Row],[D_QTRAI]]*données_step[[#This Row],[S_COD]]/1000)</f>
        <v/>
      </c>
      <c r="M267" s="523" t="str">
        <f>IF(OR(données_step[[#This Row],[S_NH4]]&lt;=0,données_step[[#This Row],[S_NH4]]=""),"",données_step[[#This Row],[D_QTRAI]]*données_step[[#This Row],[S_NH4]]/1000)</f>
        <v/>
      </c>
      <c r="N267" s="523" t="str">
        <f>IF(OR(données_step[[#This Row],[S_NO2]]&lt;=0,données_step[[#This Row],[S_NO2]]=""),"",données_step[[#This Row],[D_QTRAI]]*données_step[[#This Row],[S_NO2]]/1000)</f>
        <v/>
      </c>
      <c r="O267" s="523" t="str">
        <f>IF(OR(données_step[[#This Row],[S_NO3]]&lt;=0,données_step[[#This Row],[S_NO3]]=""),"",données_step[[#This Row],[D_QTRAI]]*données_step[[#This Row],[S_NO3]]/1000)</f>
        <v/>
      </c>
      <c r="P267" s="523" t="str">
        <f>IF(OR(données_step[[#This Row],[S_PTOT]]&lt;=0,données_step[[#This Row],[S_PTOT]]=""),"",données_step[[#This Row],[D_QTRAI]]*données_step[[#This Row],[S_PTOT]]/1000)</f>
        <v/>
      </c>
      <c r="Q267" s="523" t="str">
        <f>IF(OR(données_step[[#This Row],[S_MES]]&lt;=0,données_step[[#This Row],[S_MES]]=""),"",données_step[[#This Row],[D_QTRAI]]*données_step[[#This Row],[S_MES]]/1000)</f>
        <v/>
      </c>
      <c r="R267" s="523">
        <f>MAX(données_step[[#This Row],[D_QTRAI]],données_step[[#This Row],[D_QTRAI2]])</f>
        <v>0</v>
      </c>
      <c r="S267" s="523" t="str">
        <f>IF(AND($R267&gt;0,données_step[[#This Row],[E_DCO]]&gt;0),données_step[[#This Row],[E_DCO]],"")</f>
        <v/>
      </c>
      <c r="T267" s="523" t="str">
        <f>IF(S267="","",(1-données_step[[#This Row],[E_DCO]]/$V$7)*100)</f>
        <v/>
      </c>
      <c r="U267" s="523" t="str">
        <f t="shared" si="50"/>
        <v/>
      </c>
      <c r="V267" s="523" t="str">
        <f t="shared" si="51"/>
        <v/>
      </c>
      <c r="W267" s="523" t="str">
        <f t="shared" si="52"/>
        <v/>
      </c>
      <c r="X267" s="523" t="e">
        <f>IF(((100-100/$V$7*données_step[[#This Row],[E_DCO]])/100*QTS)&lt;0,NA(),IF(OR(U267&lt;0,U267=""),NA(),((100-100/$V$7*données_step[[#This Row],[E_DCO]])/100*QTS)))</f>
        <v>#NUM!</v>
      </c>
      <c r="Y267" s="523" t="str">
        <f>IF(AND($R267&gt;0,données_step[[#This Row],[E_COT]]&gt;0),données_step[[#This Row],[E_COT]],"")</f>
        <v/>
      </c>
      <c r="Z267" s="523" t="str">
        <f>IF(Y267="","",(1-données_step[[#This Row],[E_COT]]/$AB$7)*100)</f>
        <v/>
      </c>
      <c r="AA267" s="523" t="str">
        <f t="shared" si="53"/>
        <v/>
      </c>
      <c r="AB267" s="523" t="str">
        <f t="shared" si="54"/>
        <v/>
      </c>
      <c r="AC267" s="523" t="str">
        <f t="shared" si="55"/>
        <v/>
      </c>
      <c r="AD267" s="523" t="e">
        <f>IF(((100-100/$AB$7*données_step[[#This Row],[E_COT]])/100*QTS)&lt;0,NA(),IF(OR(AA267&lt;0,AA267=""),NA(),((100-100/$AB$7*données_step[[#This Row],[E_COT]])/100*QTS)))</f>
        <v>#NUM!</v>
      </c>
      <c r="AE267" s="523" t="str">
        <f>IF(AND($R267&gt;0,données_step[[#This Row],[E_NH4]]&gt;0),données_step[[#This Row],[E_NH4]],"")</f>
        <v/>
      </c>
      <c r="AF267" s="523" t="str">
        <f>IF(AE267="","",(1-données_step[[#This Row],[E_NH4]]/$AH$7)*100)</f>
        <v/>
      </c>
      <c r="AG267" s="523" t="str">
        <f t="shared" si="56"/>
        <v/>
      </c>
      <c r="AH267" s="523" t="str">
        <f t="shared" si="57"/>
        <v/>
      </c>
      <c r="AI267" s="523" t="str">
        <f t="shared" si="58"/>
        <v/>
      </c>
      <c r="AJ267" s="523" t="e">
        <f>IF(((100-100/$AH$7*données_step[[#This Row],[E_NH4]])/100*QTS)&lt;0,NA(),IF(OR(AG267&lt;0,AG267=""),NA(),((100-100/$AH$7*données_step[[#This Row],[E_NH4]])/100*QTS)))</f>
        <v>#NUM!</v>
      </c>
      <c r="AK267" s="523" t="str">
        <f>IF(AND($R267&gt;0,données_step[[#This Row],[E_PTOT]]&gt;0),données_step[[#This Row],[E_PTOT]],"")</f>
        <v/>
      </c>
      <c r="AL267" s="523" t="str">
        <f>IF(AK267="","",(1-données_step[[#This Row],[E_PTOT]]/$AN$7)*100)</f>
        <v/>
      </c>
      <c r="AM267" s="523" t="str">
        <f t="shared" si="59"/>
        <v/>
      </c>
      <c r="AN267" s="523" t="str">
        <f t="shared" si="60"/>
        <v/>
      </c>
      <c r="AO267" s="523" t="str">
        <f t="shared" si="61"/>
        <v/>
      </c>
      <c r="AP267" s="523" t="e">
        <f>IF(((100-100/$AN$7*données_step[[#This Row],[E_PTOT]])/100*QTS)&lt;0,NA(),IF(OR(AM267&lt;0,AM267=""),NA(),((100-100/$AN$7*données_step[[#This Row],[E_PTOT]])/100*QTS)))</f>
        <v>#NUM!</v>
      </c>
      <c r="AQ267" s="524" t="e">
        <f t="shared" si="62"/>
        <v>#NUM!</v>
      </c>
      <c r="AR267" s="524" t="str">
        <f t="shared" si="63"/>
        <v/>
      </c>
      <c r="AY267" s="523" t="str">
        <f>_xlfn.IFNA(IF(données_step[[#This Row],[E_DCO]]&lt;=0,NA(),charge_entree[[#This Row],[ch_E_DCO]]/constanten!$B$8*1000),"")</f>
        <v/>
      </c>
      <c r="AZ267" s="523" t="str">
        <f>_xlfn.IFNA(IF(données_step[[#This Row],[E_NTOT]]&lt;=0,NA(),charge_entree[[#This Row],[ch_E_NTOT]]/constanten!$B$10*1000),"")</f>
        <v/>
      </c>
      <c r="BA267" s="523" t="str">
        <f>_xlfn.IFNA(IF(données_step[[#This Row],[E_NH4]]&lt;=0,NA(),charge_entree[[#This Row],[ch_E_NH4]]/constanten!$B$12*1000),"")</f>
        <v/>
      </c>
      <c r="BB267" s="523" t="str">
        <f>_xlfn.IFNA(IF(données_step[[#This Row],[E_COT]]&lt;=0,NA(),charge_entree[[#This Row],[ch_E_COT]]/constanten!$B$9*1000),"")</f>
        <v/>
      </c>
      <c r="BC267" s="523" t="str">
        <f>IFERROR(_xlfn.IFNA(IF(données_step[[#This Row],[E_PTOT]]&lt;=0,NA(),charge_entree[[#This Row],[ch_E_PTOT]]/constanten!$B$15*1000),""),"")</f>
        <v/>
      </c>
      <c r="BD267" s="535" t="e">
        <f>calculs!E267 * (1-0.4) / (données_step[[#This Row],[X_BA_VOL]]*données_step[[#This Row],[X_BACONC]])</f>
        <v>#VALUE!</v>
      </c>
      <c r="BE267" s="522" t="e">
        <f>(données_step[[#This Row],[X_BA_VOL]]*données_step[[#This Row],[X_BACONC]])/((données_step[[#This Row],[D_QTRAI2]]*données_step[[#This Row],[S_MES]]/1000)+(données_step[[#This Row],[X_BX_Q]]*données_step[[#This Row],[X_BXCONC]]))</f>
        <v>#VALUE!</v>
      </c>
      <c r="BF267" s="890" t="str">
        <f>IFERROR(données_step[[#This Row],[D_QTRAI]]/AY267*1000,"")</f>
        <v/>
      </c>
      <c r="BG267" s="535" t="str">
        <f>IFERROR(1-données_step[[#This Row],[S_DBO5]]/données_step[[#This Row],[E_DBO5]],"")</f>
        <v/>
      </c>
      <c r="BH267" s="536" t="str">
        <f>IFERROR(1-données_step[[#This Row],[S_DCO]]/données_step[[#This Row],[E_DCO]],"")</f>
        <v/>
      </c>
      <c r="BI267" s="535" t="str">
        <f>IFERROR(1-données_step[[#This Row],[S_COD]]/données_step[[#This Row],[E_COT]],"")</f>
        <v/>
      </c>
      <c r="BJ267" s="535" t="str">
        <f>IFERROR(1-données_step[[#This Row],[S_NH4]]/données_step[[#This Row],[E_NTOT]],"")</f>
        <v/>
      </c>
      <c r="BK267" s="535" t="str">
        <f>IFERROR(1-données_step[[#This Row],[S_PTOT]]/données_step[[#This Row],[E_PTOT]],"")</f>
        <v/>
      </c>
      <c r="BL267" s="521" t="str">
        <f>IFERROR(IF(données_step[[#This Row],[E_DCO]]/données_step[[#This Row],[E_DBO5]]=0,NA(),données_step[[#This Row],[E_DCO]]/données_step[[#This Row],[E_DBO5]]),"")</f>
        <v/>
      </c>
      <c r="BM267" s="521" t="str">
        <f>IFERROR(IF(données_step[[#This Row],[E_NH4]]/données_step[[#This Row],[E_NTOT]]=0,NA(),données_step[[#This Row],[E_NH4]]/données_step[[#This Row],[E_NTOT]]),"")</f>
        <v/>
      </c>
      <c r="BN267" s="521" t="str">
        <f>IFERROR(IF(données_step[[#This Row],[E_NTOT]]/données_step[[#This Row],[E_COT]]=0,NA(),données_step[[#This Row],[E_NTOT]]/données_step[[#This Row],[E_COT]]),"")</f>
        <v/>
      </c>
      <c r="BO267" s="521" t="str">
        <f>IFERROR(IF(données_step[[#This Row],[E_PTOT]]/données_step[[#This Row],[E_COT]]=0,NA(),données_step[[#This Row],[E_PTOT]]/données_step[[#This Row],[E_COT]]),"")</f>
        <v/>
      </c>
      <c r="BP267" s="521" t="e">
        <f>IF(données_step[[#This Row],[E_DCO]]/données_step[[#This Row],[E_COT]]=0,NA(),données_step[[#This Row],[E_DCO]]/données_step[[#This Row],[E_COT]])</f>
        <v>#DIV/0!</v>
      </c>
      <c r="BQ267" s="521" t="e">
        <f>IF(données_step[[#This Row],[E_NTOT]]/données_step[[#This Row],[E_DCO]]=0,NA(),données_step[[#This Row],[E_NTOT]]/données_step[[#This Row],[E_DCO]])</f>
        <v>#DIV/0!</v>
      </c>
      <c r="BR267" s="521" t="e">
        <f>IF(données_step[[#This Row],[E_PTOT]]/données_step[[#This Row],[E_DCO]]=0,NA(),données_step[[#This Row],[E_PTOT]]/données_step[[#This Row],[E_DCO]])</f>
        <v>#DIV/0!</v>
      </c>
      <c r="BS267" s="747" t="e">
        <f ca="1">test_NH4_temp(données_step[[#This Row],[S_NH4]],données_step[[#This Row],[Temp_eaux]])</f>
        <v>#NAME?</v>
      </c>
    </row>
    <row r="268" spans="1:71" x14ac:dyDescent="0.2">
      <c r="A268" s="222">
        <f>données_step[[#This Row],[Datum]]</f>
        <v>44819</v>
      </c>
      <c r="B268" s="223"/>
      <c r="C268" s="224">
        <f t="shared" si="64"/>
        <v>5</v>
      </c>
      <c r="D268" s="523" t="str">
        <f>IF(OR(données_step[[#This Row],[E_DBO5]]&lt;=0,données_step[[#This Row],[E_DBO5]]=""),"",données_step[[#This Row],[D_QTRAI]]*données_step[[#This Row],[E_DBO5]]/1000)</f>
        <v/>
      </c>
      <c r="E268" s="523" t="str">
        <f>IF(OR(données_step[[#This Row],[E_DCO]]&lt;=0,données_step[[#This Row],[E_DCO]]=""),"",données_step[[#This Row],[D_QTRAI]]*données_step[[#This Row],[E_DCO]]/1000)</f>
        <v/>
      </c>
      <c r="F268" s="523" t="str">
        <f>IF(OR(données_step[[#This Row],[E_COT]]&lt;=0,données_step[[#This Row],[E_COT]]=""),"",données_step[[#This Row],[D_QTRAI]]*données_step[[#This Row],[E_COT]]/1000)</f>
        <v/>
      </c>
      <c r="G268" s="523" t="str">
        <f>IF(OR(données_step[[#This Row],[E_NH4]]&lt;=0,données_step[[#This Row],[E_NH4]]=""),"",données_step[[#This Row],[D_QTRAI]]*données_step[[#This Row],[E_NH4]]/1000)</f>
        <v/>
      </c>
      <c r="H268" s="523" t="str">
        <f>IF(OR(données_step[[#This Row],[E_NTOT]]&lt;=0,données_step[[#This Row],[E_NTOT]]=""),"",données_step[[#This Row],[D_QTRAI]]*données_step[[#This Row],[E_NTOT]]/1000)</f>
        <v/>
      </c>
      <c r="I268" s="523" t="str">
        <f>IF(OR(données_step[[#This Row],[E_NTOT]]&lt;=0,données_step[[#This Row],[E_NTOT]]=""),"",données_step[[#This Row],[D_QTRAI]]*données_step[[#This Row],[E_PTOT]]/1000)</f>
        <v/>
      </c>
      <c r="J268" s="523" t="str">
        <f>IF(OR(données_step[[#This Row],[S_DBO5]]&lt;=0,données_step[[#This Row],[S_DBO5]]=""),"",données_step[[#This Row],[D_QTRAI]]*données_step[[#This Row],[S_DBO5]]/1000)</f>
        <v/>
      </c>
      <c r="K268" s="523" t="str">
        <f>IF(OR(données_step[[#This Row],[S_DCO]]&lt;=0,données_step[[#This Row],[S_DCO]]=""),"",données_step[[#This Row],[D_QTRAI]]*données_step[[#This Row],[S_DCO]]/1000)</f>
        <v/>
      </c>
      <c r="L268" s="523" t="str">
        <f>IF(OR(données_step[[#This Row],[S_COD]]&lt;=0,données_step[[#This Row],[S_COD]]=""),"",données_step[[#This Row],[D_QTRAI]]*données_step[[#This Row],[S_COD]]/1000)</f>
        <v/>
      </c>
      <c r="M268" s="523" t="str">
        <f>IF(OR(données_step[[#This Row],[S_NH4]]&lt;=0,données_step[[#This Row],[S_NH4]]=""),"",données_step[[#This Row],[D_QTRAI]]*données_step[[#This Row],[S_NH4]]/1000)</f>
        <v/>
      </c>
      <c r="N268" s="523" t="str">
        <f>IF(OR(données_step[[#This Row],[S_NO2]]&lt;=0,données_step[[#This Row],[S_NO2]]=""),"",données_step[[#This Row],[D_QTRAI]]*données_step[[#This Row],[S_NO2]]/1000)</f>
        <v/>
      </c>
      <c r="O268" s="523" t="str">
        <f>IF(OR(données_step[[#This Row],[S_NO3]]&lt;=0,données_step[[#This Row],[S_NO3]]=""),"",données_step[[#This Row],[D_QTRAI]]*données_step[[#This Row],[S_NO3]]/1000)</f>
        <v/>
      </c>
      <c r="P268" s="523" t="str">
        <f>IF(OR(données_step[[#This Row],[S_PTOT]]&lt;=0,données_step[[#This Row],[S_PTOT]]=""),"",données_step[[#This Row],[D_QTRAI]]*données_step[[#This Row],[S_PTOT]]/1000)</f>
        <v/>
      </c>
      <c r="Q268" s="523" t="str">
        <f>IF(OR(données_step[[#This Row],[S_MES]]&lt;=0,données_step[[#This Row],[S_MES]]=""),"",données_step[[#This Row],[D_QTRAI]]*données_step[[#This Row],[S_MES]]/1000)</f>
        <v/>
      </c>
      <c r="R268" s="523">
        <f>MAX(données_step[[#This Row],[D_QTRAI]],données_step[[#This Row],[D_QTRAI2]])</f>
        <v>0</v>
      </c>
      <c r="S268" s="523" t="str">
        <f>IF(AND($R268&gt;0,données_step[[#This Row],[E_DCO]]&gt;0),données_step[[#This Row],[E_DCO]],"")</f>
        <v/>
      </c>
      <c r="T268" s="523" t="str">
        <f>IF(S268="","",(1-données_step[[#This Row],[E_DCO]]/$V$7)*100)</f>
        <v/>
      </c>
      <c r="U268" s="523" t="str">
        <f t="shared" ref="U268:U331" si="65">IF(OR(T268="",T268&lt;0),"",T268)</f>
        <v/>
      </c>
      <c r="V268" s="523" t="str">
        <f t="shared" ref="V268:V331" si="66">IF(T268="","",T268*$R268/8640)</f>
        <v/>
      </c>
      <c r="W268" s="523" t="str">
        <f t="shared" ref="W268:W331" si="67">V268</f>
        <v/>
      </c>
      <c r="X268" s="523" t="e">
        <f>IF(((100-100/$V$7*données_step[[#This Row],[E_DCO]])/100*QTS)&lt;0,NA(),IF(OR(U268&lt;0,U268=""),NA(),((100-100/$V$7*données_step[[#This Row],[E_DCO]])/100*QTS)))</f>
        <v>#NUM!</v>
      </c>
      <c r="Y268" s="523" t="str">
        <f>IF(AND($R268&gt;0,données_step[[#This Row],[E_COT]]&gt;0),données_step[[#This Row],[E_COT]],"")</f>
        <v/>
      </c>
      <c r="Z268" s="523" t="str">
        <f>IF(Y268="","",(1-données_step[[#This Row],[E_COT]]/$AB$7)*100)</f>
        <v/>
      </c>
      <c r="AA268" s="523" t="str">
        <f t="shared" ref="AA268:AA331" si="68">IF(OR(Z268="",Z268&lt;0),"",Z268)</f>
        <v/>
      </c>
      <c r="AB268" s="523" t="str">
        <f t="shared" ref="AB268:AB331" si="69">IF(Z268="","",Z268*$R268/8640)</f>
        <v/>
      </c>
      <c r="AC268" s="523" t="str">
        <f t="shared" ref="AC268:AC331" si="70">AB268</f>
        <v/>
      </c>
      <c r="AD268" s="523" t="e">
        <f>IF(((100-100/$AB$7*données_step[[#This Row],[E_COT]])/100*QTS)&lt;0,NA(),IF(OR(AA268&lt;0,AA268=""),NA(),((100-100/$AB$7*données_step[[#This Row],[E_COT]])/100*QTS)))</f>
        <v>#NUM!</v>
      </c>
      <c r="AE268" s="523" t="str">
        <f>IF(AND($R268&gt;0,données_step[[#This Row],[E_NH4]]&gt;0),données_step[[#This Row],[E_NH4]],"")</f>
        <v/>
      </c>
      <c r="AF268" s="523" t="str">
        <f>IF(AE268="","",(1-données_step[[#This Row],[E_NH4]]/$AH$7)*100)</f>
        <v/>
      </c>
      <c r="AG268" s="523" t="str">
        <f t="shared" ref="AG268:AG331" si="71">IF(OR(AF268="",AF268&lt;0),"",AF268)</f>
        <v/>
      </c>
      <c r="AH268" s="523" t="str">
        <f t="shared" ref="AH268:AH331" si="72">IF(AF268="","",AF268*$R268/8640)</f>
        <v/>
      </c>
      <c r="AI268" s="523" t="str">
        <f t="shared" ref="AI268:AI331" si="73">AH268</f>
        <v/>
      </c>
      <c r="AJ268" s="523" t="e">
        <f>IF(((100-100/$AH$7*données_step[[#This Row],[E_NH4]])/100*QTS)&lt;0,NA(),IF(OR(AG268&lt;0,AG268=""),NA(),((100-100/$AH$7*données_step[[#This Row],[E_NH4]])/100*QTS)))</f>
        <v>#NUM!</v>
      </c>
      <c r="AK268" s="523" t="str">
        <f>IF(AND($R268&gt;0,données_step[[#This Row],[E_PTOT]]&gt;0),données_step[[#This Row],[E_PTOT]],"")</f>
        <v/>
      </c>
      <c r="AL268" s="523" t="str">
        <f>IF(AK268="","",(1-données_step[[#This Row],[E_PTOT]]/$AN$7)*100)</f>
        <v/>
      </c>
      <c r="AM268" s="523" t="str">
        <f t="shared" ref="AM268:AM331" si="74">IF(OR(AL268="",AL268&lt;0),"",AL268)</f>
        <v/>
      </c>
      <c r="AN268" s="523" t="str">
        <f t="shared" ref="AN268:AN331" si="75">IF(AL268="","",AL268*$R268/8640)</f>
        <v/>
      </c>
      <c r="AO268" s="523" t="str">
        <f t="shared" ref="AO268:AO331" si="76">AN268</f>
        <v/>
      </c>
      <c r="AP268" s="523" t="e">
        <f>IF(((100-100/$AN$7*données_step[[#This Row],[E_PTOT]])/100*QTS)&lt;0,NA(),IF(OR(AM268&lt;0,AM268=""),NA(),((100-100/$AN$7*données_step[[#This Row],[E_PTOT]])/100*QTS)))</f>
        <v>#NUM!</v>
      </c>
      <c r="AQ268" s="524" t="e">
        <f t="shared" ref="AQ268:AQ331" si="77">_xlfn.IFNA(AVERAGE(X268,AD268,AJ268,AP268),"")</f>
        <v>#NUM!</v>
      </c>
      <c r="AR268" s="524" t="str">
        <f t="shared" ref="AR268:AR331" si="78">IFERROR(AVERAGE(U268,AA268,AG268,AM268),"")</f>
        <v/>
      </c>
      <c r="AY268" s="523" t="str">
        <f>_xlfn.IFNA(IF(données_step[[#This Row],[E_DCO]]&lt;=0,NA(),charge_entree[[#This Row],[ch_E_DCO]]/constanten!$B$8*1000),"")</f>
        <v/>
      </c>
      <c r="AZ268" s="523" t="str">
        <f>_xlfn.IFNA(IF(données_step[[#This Row],[E_NTOT]]&lt;=0,NA(),charge_entree[[#This Row],[ch_E_NTOT]]/constanten!$B$10*1000),"")</f>
        <v/>
      </c>
      <c r="BA268" s="523" t="str">
        <f>_xlfn.IFNA(IF(données_step[[#This Row],[E_NH4]]&lt;=0,NA(),charge_entree[[#This Row],[ch_E_NH4]]/constanten!$B$12*1000),"")</f>
        <v/>
      </c>
      <c r="BB268" s="523" t="str">
        <f>_xlfn.IFNA(IF(données_step[[#This Row],[E_COT]]&lt;=0,NA(),charge_entree[[#This Row],[ch_E_COT]]/constanten!$B$9*1000),"")</f>
        <v/>
      </c>
      <c r="BC268" s="523" t="str">
        <f>IFERROR(_xlfn.IFNA(IF(données_step[[#This Row],[E_PTOT]]&lt;=0,NA(),charge_entree[[#This Row],[ch_E_PTOT]]/constanten!$B$15*1000),""),"")</f>
        <v/>
      </c>
      <c r="BD268" s="535" t="e">
        <f>calculs!E268 * (1-0.4) / (données_step[[#This Row],[X_BA_VOL]]*données_step[[#This Row],[X_BACONC]])</f>
        <v>#VALUE!</v>
      </c>
      <c r="BE268" s="522" t="e">
        <f>(données_step[[#This Row],[X_BA_VOL]]*données_step[[#This Row],[X_BACONC]])/((données_step[[#This Row],[D_QTRAI2]]*données_step[[#This Row],[S_MES]]/1000)+(données_step[[#This Row],[X_BX_Q]]*données_step[[#This Row],[X_BXCONC]]))</f>
        <v>#VALUE!</v>
      </c>
      <c r="BF268" s="890" t="str">
        <f>IFERROR(données_step[[#This Row],[D_QTRAI]]/AY268*1000,"")</f>
        <v/>
      </c>
      <c r="BG268" s="535" t="str">
        <f>IFERROR(1-données_step[[#This Row],[S_DBO5]]/données_step[[#This Row],[E_DBO5]],"")</f>
        <v/>
      </c>
      <c r="BH268" s="536" t="str">
        <f>IFERROR(1-données_step[[#This Row],[S_DCO]]/données_step[[#This Row],[E_DCO]],"")</f>
        <v/>
      </c>
      <c r="BI268" s="535" t="str">
        <f>IFERROR(1-données_step[[#This Row],[S_COD]]/données_step[[#This Row],[E_COT]],"")</f>
        <v/>
      </c>
      <c r="BJ268" s="535" t="str">
        <f>IFERROR(1-données_step[[#This Row],[S_NH4]]/données_step[[#This Row],[E_NTOT]],"")</f>
        <v/>
      </c>
      <c r="BK268" s="535" t="str">
        <f>IFERROR(1-données_step[[#This Row],[S_PTOT]]/données_step[[#This Row],[E_PTOT]],"")</f>
        <v/>
      </c>
      <c r="BL268" s="521" t="str">
        <f>IFERROR(IF(données_step[[#This Row],[E_DCO]]/données_step[[#This Row],[E_DBO5]]=0,NA(),données_step[[#This Row],[E_DCO]]/données_step[[#This Row],[E_DBO5]]),"")</f>
        <v/>
      </c>
      <c r="BM268" s="521" t="str">
        <f>IFERROR(IF(données_step[[#This Row],[E_NH4]]/données_step[[#This Row],[E_NTOT]]=0,NA(),données_step[[#This Row],[E_NH4]]/données_step[[#This Row],[E_NTOT]]),"")</f>
        <v/>
      </c>
      <c r="BN268" s="521" t="str">
        <f>IFERROR(IF(données_step[[#This Row],[E_NTOT]]/données_step[[#This Row],[E_COT]]=0,NA(),données_step[[#This Row],[E_NTOT]]/données_step[[#This Row],[E_COT]]),"")</f>
        <v/>
      </c>
      <c r="BO268" s="521" t="str">
        <f>IFERROR(IF(données_step[[#This Row],[E_PTOT]]/données_step[[#This Row],[E_COT]]=0,NA(),données_step[[#This Row],[E_PTOT]]/données_step[[#This Row],[E_COT]]),"")</f>
        <v/>
      </c>
      <c r="BP268" s="521" t="e">
        <f>IF(données_step[[#This Row],[E_DCO]]/données_step[[#This Row],[E_COT]]=0,NA(),données_step[[#This Row],[E_DCO]]/données_step[[#This Row],[E_COT]])</f>
        <v>#DIV/0!</v>
      </c>
      <c r="BQ268" s="521" t="e">
        <f>IF(données_step[[#This Row],[E_NTOT]]/données_step[[#This Row],[E_DCO]]=0,NA(),données_step[[#This Row],[E_NTOT]]/données_step[[#This Row],[E_DCO]])</f>
        <v>#DIV/0!</v>
      </c>
      <c r="BR268" s="521" t="e">
        <f>IF(données_step[[#This Row],[E_PTOT]]/données_step[[#This Row],[E_DCO]]=0,NA(),données_step[[#This Row],[E_PTOT]]/données_step[[#This Row],[E_DCO]])</f>
        <v>#DIV/0!</v>
      </c>
      <c r="BS268" s="747" t="e">
        <f ca="1">test_NH4_temp(données_step[[#This Row],[S_NH4]],données_step[[#This Row],[Temp_eaux]])</f>
        <v>#NAME?</v>
      </c>
    </row>
    <row r="269" spans="1:71" x14ac:dyDescent="0.2">
      <c r="A269" s="222">
        <f>données_step[[#This Row],[Datum]]</f>
        <v>44820</v>
      </c>
      <c r="B269" s="223"/>
      <c r="C269" s="224">
        <f t="shared" si="64"/>
        <v>6</v>
      </c>
      <c r="D269" s="523" t="str">
        <f>IF(OR(données_step[[#This Row],[E_DBO5]]&lt;=0,données_step[[#This Row],[E_DBO5]]=""),"",données_step[[#This Row],[D_QTRAI]]*données_step[[#This Row],[E_DBO5]]/1000)</f>
        <v/>
      </c>
      <c r="E269" s="523" t="str">
        <f>IF(OR(données_step[[#This Row],[E_DCO]]&lt;=0,données_step[[#This Row],[E_DCO]]=""),"",données_step[[#This Row],[D_QTRAI]]*données_step[[#This Row],[E_DCO]]/1000)</f>
        <v/>
      </c>
      <c r="F269" s="523" t="str">
        <f>IF(OR(données_step[[#This Row],[E_COT]]&lt;=0,données_step[[#This Row],[E_COT]]=""),"",données_step[[#This Row],[D_QTRAI]]*données_step[[#This Row],[E_COT]]/1000)</f>
        <v/>
      </c>
      <c r="G269" s="523" t="str">
        <f>IF(OR(données_step[[#This Row],[E_NH4]]&lt;=0,données_step[[#This Row],[E_NH4]]=""),"",données_step[[#This Row],[D_QTRAI]]*données_step[[#This Row],[E_NH4]]/1000)</f>
        <v/>
      </c>
      <c r="H269" s="523" t="str">
        <f>IF(OR(données_step[[#This Row],[E_NTOT]]&lt;=0,données_step[[#This Row],[E_NTOT]]=""),"",données_step[[#This Row],[D_QTRAI]]*données_step[[#This Row],[E_NTOT]]/1000)</f>
        <v/>
      </c>
      <c r="I269" s="523" t="str">
        <f>IF(OR(données_step[[#This Row],[E_NTOT]]&lt;=0,données_step[[#This Row],[E_NTOT]]=""),"",données_step[[#This Row],[D_QTRAI]]*données_step[[#This Row],[E_PTOT]]/1000)</f>
        <v/>
      </c>
      <c r="J269" s="523" t="str">
        <f>IF(OR(données_step[[#This Row],[S_DBO5]]&lt;=0,données_step[[#This Row],[S_DBO5]]=""),"",données_step[[#This Row],[D_QTRAI]]*données_step[[#This Row],[S_DBO5]]/1000)</f>
        <v/>
      </c>
      <c r="K269" s="523" t="str">
        <f>IF(OR(données_step[[#This Row],[S_DCO]]&lt;=0,données_step[[#This Row],[S_DCO]]=""),"",données_step[[#This Row],[D_QTRAI]]*données_step[[#This Row],[S_DCO]]/1000)</f>
        <v/>
      </c>
      <c r="L269" s="523" t="str">
        <f>IF(OR(données_step[[#This Row],[S_COD]]&lt;=0,données_step[[#This Row],[S_COD]]=""),"",données_step[[#This Row],[D_QTRAI]]*données_step[[#This Row],[S_COD]]/1000)</f>
        <v/>
      </c>
      <c r="M269" s="523" t="str">
        <f>IF(OR(données_step[[#This Row],[S_NH4]]&lt;=0,données_step[[#This Row],[S_NH4]]=""),"",données_step[[#This Row],[D_QTRAI]]*données_step[[#This Row],[S_NH4]]/1000)</f>
        <v/>
      </c>
      <c r="N269" s="523" t="str">
        <f>IF(OR(données_step[[#This Row],[S_NO2]]&lt;=0,données_step[[#This Row],[S_NO2]]=""),"",données_step[[#This Row],[D_QTRAI]]*données_step[[#This Row],[S_NO2]]/1000)</f>
        <v/>
      </c>
      <c r="O269" s="523" t="str">
        <f>IF(OR(données_step[[#This Row],[S_NO3]]&lt;=0,données_step[[#This Row],[S_NO3]]=""),"",données_step[[#This Row],[D_QTRAI]]*données_step[[#This Row],[S_NO3]]/1000)</f>
        <v/>
      </c>
      <c r="P269" s="523" t="str">
        <f>IF(OR(données_step[[#This Row],[S_PTOT]]&lt;=0,données_step[[#This Row],[S_PTOT]]=""),"",données_step[[#This Row],[D_QTRAI]]*données_step[[#This Row],[S_PTOT]]/1000)</f>
        <v/>
      </c>
      <c r="Q269" s="523" t="str">
        <f>IF(OR(données_step[[#This Row],[S_MES]]&lt;=0,données_step[[#This Row],[S_MES]]=""),"",données_step[[#This Row],[D_QTRAI]]*données_step[[#This Row],[S_MES]]/1000)</f>
        <v/>
      </c>
      <c r="R269" s="523">
        <f>MAX(données_step[[#This Row],[D_QTRAI]],données_step[[#This Row],[D_QTRAI2]])</f>
        <v>0</v>
      </c>
      <c r="S269" s="523" t="str">
        <f>IF(AND($R269&gt;0,données_step[[#This Row],[E_DCO]]&gt;0),données_step[[#This Row],[E_DCO]],"")</f>
        <v/>
      </c>
      <c r="T269" s="523" t="str">
        <f>IF(S269="","",(1-données_step[[#This Row],[E_DCO]]/$V$7)*100)</f>
        <v/>
      </c>
      <c r="U269" s="523" t="str">
        <f t="shared" si="65"/>
        <v/>
      </c>
      <c r="V269" s="523" t="str">
        <f t="shared" si="66"/>
        <v/>
      </c>
      <c r="W269" s="523" t="str">
        <f t="shared" si="67"/>
        <v/>
      </c>
      <c r="X269" s="523" t="e">
        <f>IF(((100-100/$V$7*données_step[[#This Row],[E_DCO]])/100*QTS)&lt;0,NA(),IF(OR(U269&lt;0,U269=""),NA(),((100-100/$V$7*données_step[[#This Row],[E_DCO]])/100*QTS)))</f>
        <v>#NUM!</v>
      </c>
      <c r="Y269" s="523" t="str">
        <f>IF(AND($R269&gt;0,données_step[[#This Row],[E_COT]]&gt;0),données_step[[#This Row],[E_COT]],"")</f>
        <v/>
      </c>
      <c r="Z269" s="523" t="str">
        <f>IF(Y269="","",(1-données_step[[#This Row],[E_COT]]/$AB$7)*100)</f>
        <v/>
      </c>
      <c r="AA269" s="523" t="str">
        <f t="shared" si="68"/>
        <v/>
      </c>
      <c r="AB269" s="523" t="str">
        <f t="shared" si="69"/>
        <v/>
      </c>
      <c r="AC269" s="523" t="str">
        <f t="shared" si="70"/>
        <v/>
      </c>
      <c r="AD269" s="523" t="e">
        <f>IF(((100-100/$AB$7*données_step[[#This Row],[E_COT]])/100*QTS)&lt;0,NA(),IF(OR(AA269&lt;0,AA269=""),NA(),((100-100/$AB$7*données_step[[#This Row],[E_COT]])/100*QTS)))</f>
        <v>#NUM!</v>
      </c>
      <c r="AE269" s="523" t="str">
        <f>IF(AND($R269&gt;0,données_step[[#This Row],[E_NH4]]&gt;0),données_step[[#This Row],[E_NH4]],"")</f>
        <v/>
      </c>
      <c r="AF269" s="523" t="str">
        <f>IF(AE269="","",(1-données_step[[#This Row],[E_NH4]]/$AH$7)*100)</f>
        <v/>
      </c>
      <c r="AG269" s="523" t="str">
        <f t="shared" si="71"/>
        <v/>
      </c>
      <c r="AH269" s="523" t="str">
        <f t="shared" si="72"/>
        <v/>
      </c>
      <c r="AI269" s="523" t="str">
        <f t="shared" si="73"/>
        <v/>
      </c>
      <c r="AJ269" s="523" t="e">
        <f>IF(((100-100/$AH$7*données_step[[#This Row],[E_NH4]])/100*QTS)&lt;0,NA(),IF(OR(AG269&lt;0,AG269=""),NA(),((100-100/$AH$7*données_step[[#This Row],[E_NH4]])/100*QTS)))</f>
        <v>#NUM!</v>
      </c>
      <c r="AK269" s="523" t="str">
        <f>IF(AND($R269&gt;0,données_step[[#This Row],[E_PTOT]]&gt;0),données_step[[#This Row],[E_PTOT]],"")</f>
        <v/>
      </c>
      <c r="AL269" s="523" t="str">
        <f>IF(AK269="","",(1-données_step[[#This Row],[E_PTOT]]/$AN$7)*100)</f>
        <v/>
      </c>
      <c r="AM269" s="523" t="str">
        <f t="shared" si="74"/>
        <v/>
      </c>
      <c r="AN269" s="523" t="str">
        <f t="shared" si="75"/>
        <v/>
      </c>
      <c r="AO269" s="523" t="str">
        <f t="shared" si="76"/>
        <v/>
      </c>
      <c r="AP269" s="523" t="e">
        <f>IF(((100-100/$AN$7*données_step[[#This Row],[E_PTOT]])/100*QTS)&lt;0,NA(),IF(OR(AM269&lt;0,AM269=""),NA(),((100-100/$AN$7*données_step[[#This Row],[E_PTOT]])/100*QTS)))</f>
        <v>#NUM!</v>
      </c>
      <c r="AQ269" s="524" t="e">
        <f t="shared" si="77"/>
        <v>#NUM!</v>
      </c>
      <c r="AR269" s="524" t="str">
        <f t="shared" si="78"/>
        <v/>
      </c>
      <c r="AY269" s="523" t="str">
        <f>_xlfn.IFNA(IF(données_step[[#This Row],[E_DCO]]&lt;=0,NA(),charge_entree[[#This Row],[ch_E_DCO]]/constanten!$B$8*1000),"")</f>
        <v/>
      </c>
      <c r="AZ269" s="523" t="str">
        <f>_xlfn.IFNA(IF(données_step[[#This Row],[E_NTOT]]&lt;=0,NA(),charge_entree[[#This Row],[ch_E_NTOT]]/constanten!$B$10*1000),"")</f>
        <v/>
      </c>
      <c r="BA269" s="523" t="str">
        <f>_xlfn.IFNA(IF(données_step[[#This Row],[E_NH4]]&lt;=0,NA(),charge_entree[[#This Row],[ch_E_NH4]]/constanten!$B$12*1000),"")</f>
        <v/>
      </c>
      <c r="BB269" s="523" t="str">
        <f>_xlfn.IFNA(IF(données_step[[#This Row],[E_COT]]&lt;=0,NA(),charge_entree[[#This Row],[ch_E_COT]]/constanten!$B$9*1000),"")</f>
        <v/>
      </c>
      <c r="BC269" s="523" t="str">
        <f>IFERROR(_xlfn.IFNA(IF(données_step[[#This Row],[E_PTOT]]&lt;=0,NA(),charge_entree[[#This Row],[ch_E_PTOT]]/constanten!$B$15*1000),""),"")</f>
        <v/>
      </c>
      <c r="BD269" s="535" t="e">
        <f>calculs!E269 * (1-0.4) / (données_step[[#This Row],[X_BA_VOL]]*données_step[[#This Row],[X_BACONC]])</f>
        <v>#VALUE!</v>
      </c>
      <c r="BE269" s="522" t="e">
        <f>(données_step[[#This Row],[X_BA_VOL]]*données_step[[#This Row],[X_BACONC]])/((données_step[[#This Row],[D_QTRAI2]]*données_step[[#This Row],[S_MES]]/1000)+(données_step[[#This Row],[X_BX_Q]]*données_step[[#This Row],[X_BXCONC]]))</f>
        <v>#VALUE!</v>
      </c>
      <c r="BF269" s="890" t="str">
        <f>IFERROR(données_step[[#This Row],[D_QTRAI]]/AY269*1000,"")</f>
        <v/>
      </c>
      <c r="BG269" s="535" t="str">
        <f>IFERROR(1-données_step[[#This Row],[S_DBO5]]/données_step[[#This Row],[E_DBO5]],"")</f>
        <v/>
      </c>
      <c r="BH269" s="536" t="str">
        <f>IFERROR(1-données_step[[#This Row],[S_DCO]]/données_step[[#This Row],[E_DCO]],"")</f>
        <v/>
      </c>
      <c r="BI269" s="535" t="str">
        <f>IFERROR(1-données_step[[#This Row],[S_COD]]/données_step[[#This Row],[E_COT]],"")</f>
        <v/>
      </c>
      <c r="BJ269" s="535" t="str">
        <f>IFERROR(1-données_step[[#This Row],[S_NH4]]/données_step[[#This Row],[E_NTOT]],"")</f>
        <v/>
      </c>
      <c r="BK269" s="535" t="str">
        <f>IFERROR(1-données_step[[#This Row],[S_PTOT]]/données_step[[#This Row],[E_PTOT]],"")</f>
        <v/>
      </c>
      <c r="BL269" s="521" t="str">
        <f>IFERROR(IF(données_step[[#This Row],[E_DCO]]/données_step[[#This Row],[E_DBO5]]=0,NA(),données_step[[#This Row],[E_DCO]]/données_step[[#This Row],[E_DBO5]]),"")</f>
        <v/>
      </c>
      <c r="BM269" s="521" t="str">
        <f>IFERROR(IF(données_step[[#This Row],[E_NH4]]/données_step[[#This Row],[E_NTOT]]=0,NA(),données_step[[#This Row],[E_NH4]]/données_step[[#This Row],[E_NTOT]]),"")</f>
        <v/>
      </c>
      <c r="BN269" s="521" t="str">
        <f>IFERROR(IF(données_step[[#This Row],[E_NTOT]]/données_step[[#This Row],[E_COT]]=0,NA(),données_step[[#This Row],[E_NTOT]]/données_step[[#This Row],[E_COT]]),"")</f>
        <v/>
      </c>
      <c r="BO269" s="521" t="str">
        <f>IFERROR(IF(données_step[[#This Row],[E_PTOT]]/données_step[[#This Row],[E_COT]]=0,NA(),données_step[[#This Row],[E_PTOT]]/données_step[[#This Row],[E_COT]]),"")</f>
        <v/>
      </c>
      <c r="BP269" s="521" t="e">
        <f>IF(données_step[[#This Row],[E_DCO]]/données_step[[#This Row],[E_COT]]=0,NA(),données_step[[#This Row],[E_DCO]]/données_step[[#This Row],[E_COT]])</f>
        <v>#DIV/0!</v>
      </c>
      <c r="BQ269" s="521" t="e">
        <f>IF(données_step[[#This Row],[E_NTOT]]/données_step[[#This Row],[E_DCO]]=0,NA(),données_step[[#This Row],[E_NTOT]]/données_step[[#This Row],[E_DCO]])</f>
        <v>#DIV/0!</v>
      </c>
      <c r="BR269" s="521" t="e">
        <f>IF(données_step[[#This Row],[E_PTOT]]/données_step[[#This Row],[E_DCO]]=0,NA(),données_step[[#This Row],[E_PTOT]]/données_step[[#This Row],[E_DCO]])</f>
        <v>#DIV/0!</v>
      </c>
      <c r="BS269" s="747" t="e">
        <f ca="1">test_NH4_temp(données_step[[#This Row],[S_NH4]],données_step[[#This Row],[Temp_eaux]])</f>
        <v>#NAME?</v>
      </c>
    </row>
    <row r="270" spans="1:71" x14ac:dyDescent="0.2">
      <c r="A270" s="222">
        <f>données_step[[#This Row],[Datum]]</f>
        <v>44821</v>
      </c>
      <c r="B270" s="223"/>
      <c r="C270" s="224">
        <f t="shared" si="64"/>
        <v>7</v>
      </c>
      <c r="D270" s="523" t="str">
        <f>IF(OR(données_step[[#This Row],[E_DBO5]]&lt;=0,données_step[[#This Row],[E_DBO5]]=""),"",données_step[[#This Row],[D_QTRAI]]*données_step[[#This Row],[E_DBO5]]/1000)</f>
        <v/>
      </c>
      <c r="E270" s="523" t="str">
        <f>IF(OR(données_step[[#This Row],[E_DCO]]&lt;=0,données_step[[#This Row],[E_DCO]]=""),"",données_step[[#This Row],[D_QTRAI]]*données_step[[#This Row],[E_DCO]]/1000)</f>
        <v/>
      </c>
      <c r="F270" s="523" t="str">
        <f>IF(OR(données_step[[#This Row],[E_COT]]&lt;=0,données_step[[#This Row],[E_COT]]=""),"",données_step[[#This Row],[D_QTRAI]]*données_step[[#This Row],[E_COT]]/1000)</f>
        <v/>
      </c>
      <c r="G270" s="523" t="str">
        <f>IF(OR(données_step[[#This Row],[E_NH4]]&lt;=0,données_step[[#This Row],[E_NH4]]=""),"",données_step[[#This Row],[D_QTRAI]]*données_step[[#This Row],[E_NH4]]/1000)</f>
        <v/>
      </c>
      <c r="H270" s="523" t="str">
        <f>IF(OR(données_step[[#This Row],[E_NTOT]]&lt;=0,données_step[[#This Row],[E_NTOT]]=""),"",données_step[[#This Row],[D_QTRAI]]*données_step[[#This Row],[E_NTOT]]/1000)</f>
        <v/>
      </c>
      <c r="I270" s="523" t="str">
        <f>IF(OR(données_step[[#This Row],[E_NTOT]]&lt;=0,données_step[[#This Row],[E_NTOT]]=""),"",données_step[[#This Row],[D_QTRAI]]*données_step[[#This Row],[E_PTOT]]/1000)</f>
        <v/>
      </c>
      <c r="J270" s="523" t="str">
        <f>IF(OR(données_step[[#This Row],[S_DBO5]]&lt;=0,données_step[[#This Row],[S_DBO5]]=""),"",données_step[[#This Row],[D_QTRAI]]*données_step[[#This Row],[S_DBO5]]/1000)</f>
        <v/>
      </c>
      <c r="K270" s="523" t="str">
        <f>IF(OR(données_step[[#This Row],[S_DCO]]&lt;=0,données_step[[#This Row],[S_DCO]]=""),"",données_step[[#This Row],[D_QTRAI]]*données_step[[#This Row],[S_DCO]]/1000)</f>
        <v/>
      </c>
      <c r="L270" s="523" t="str">
        <f>IF(OR(données_step[[#This Row],[S_COD]]&lt;=0,données_step[[#This Row],[S_COD]]=""),"",données_step[[#This Row],[D_QTRAI]]*données_step[[#This Row],[S_COD]]/1000)</f>
        <v/>
      </c>
      <c r="M270" s="523" t="str">
        <f>IF(OR(données_step[[#This Row],[S_NH4]]&lt;=0,données_step[[#This Row],[S_NH4]]=""),"",données_step[[#This Row],[D_QTRAI]]*données_step[[#This Row],[S_NH4]]/1000)</f>
        <v/>
      </c>
      <c r="N270" s="523" t="str">
        <f>IF(OR(données_step[[#This Row],[S_NO2]]&lt;=0,données_step[[#This Row],[S_NO2]]=""),"",données_step[[#This Row],[D_QTRAI]]*données_step[[#This Row],[S_NO2]]/1000)</f>
        <v/>
      </c>
      <c r="O270" s="523" t="str">
        <f>IF(OR(données_step[[#This Row],[S_NO3]]&lt;=0,données_step[[#This Row],[S_NO3]]=""),"",données_step[[#This Row],[D_QTRAI]]*données_step[[#This Row],[S_NO3]]/1000)</f>
        <v/>
      </c>
      <c r="P270" s="523" t="str">
        <f>IF(OR(données_step[[#This Row],[S_PTOT]]&lt;=0,données_step[[#This Row],[S_PTOT]]=""),"",données_step[[#This Row],[D_QTRAI]]*données_step[[#This Row],[S_PTOT]]/1000)</f>
        <v/>
      </c>
      <c r="Q270" s="523" t="str">
        <f>IF(OR(données_step[[#This Row],[S_MES]]&lt;=0,données_step[[#This Row],[S_MES]]=""),"",données_step[[#This Row],[D_QTRAI]]*données_step[[#This Row],[S_MES]]/1000)</f>
        <v/>
      </c>
      <c r="R270" s="523">
        <f>MAX(données_step[[#This Row],[D_QTRAI]],données_step[[#This Row],[D_QTRAI2]])</f>
        <v>0</v>
      </c>
      <c r="S270" s="523" t="str">
        <f>IF(AND($R270&gt;0,données_step[[#This Row],[E_DCO]]&gt;0),données_step[[#This Row],[E_DCO]],"")</f>
        <v/>
      </c>
      <c r="T270" s="523" t="str">
        <f>IF(S270="","",(1-données_step[[#This Row],[E_DCO]]/$V$7)*100)</f>
        <v/>
      </c>
      <c r="U270" s="523" t="str">
        <f t="shared" si="65"/>
        <v/>
      </c>
      <c r="V270" s="523" t="str">
        <f t="shared" si="66"/>
        <v/>
      </c>
      <c r="W270" s="523" t="str">
        <f t="shared" si="67"/>
        <v/>
      </c>
      <c r="X270" s="523" t="e">
        <f>IF(((100-100/$V$7*données_step[[#This Row],[E_DCO]])/100*QTS)&lt;0,NA(),IF(OR(U270&lt;0,U270=""),NA(),((100-100/$V$7*données_step[[#This Row],[E_DCO]])/100*QTS)))</f>
        <v>#NUM!</v>
      </c>
      <c r="Y270" s="523" t="str">
        <f>IF(AND($R270&gt;0,données_step[[#This Row],[E_COT]]&gt;0),données_step[[#This Row],[E_COT]],"")</f>
        <v/>
      </c>
      <c r="Z270" s="523" t="str">
        <f>IF(Y270="","",(1-données_step[[#This Row],[E_COT]]/$AB$7)*100)</f>
        <v/>
      </c>
      <c r="AA270" s="523" t="str">
        <f t="shared" si="68"/>
        <v/>
      </c>
      <c r="AB270" s="523" t="str">
        <f t="shared" si="69"/>
        <v/>
      </c>
      <c r="AC270" s="523" t="str">
        <f t="shared" si="70"/>
        <v/>
      </c>
      <c r="AD270" s="523" t="e">
        <f>IF(((100-100/$AB$7*données_step[[#This Row],[E_COT]])/100*QTS)&lt;0,NA(),IF(OR(AA270&lt;0,AA270=""),NA(),((100-100/$AB$7*données_step[[#This Row],[E_COT]])/100*QTS)))</f>
        <v>#NUM!</v>
      </c>
      <c r="AE270" s="523" t="str">
        <f>IF(AND($R270&gt;0,données_step[[#This Row],[E_NH4]]&gt;0),données_step[[#This Row],[E_NH4]],"")</f>
        <v/>
      </c>
      <c r="AF270" s="523" t="str">
        <f>IF(AE270="","",(1-données_step[[#This Row],[E_NH4]]/$AH$7)*100)</f>
        <v/>
      </c>
      <c r="AG270" s="523" t="str">
        <f t="shared" si="71"/>
        <v/>
      </c>
      <c r="AH270" s="523" t="str">
        <f t="shared" si="72"/>
        <v/>
      </c>
      <c r="AI270" s="523" t="str">
        <f t="shared" si="73"/>
        <v/>
      </c>
      <c r="AJ270" s="523" t="e">
        <f>IF(((100-100/$AH$7*données_step[[#This Row],[E_NH4]])/100*QTS)&lt;0,NA(),IF(OR(AG270&lt;0,AG270=""),NA(),((100-100/$AH$7*données_step[[#This Row],[E_NH4]])/100*QTS)))</f>
        <v>#NUM!</v>
      </c>
      <c r="AK270" s="523" t="str">
        <f>IF(AND($R270&gt;0,données_step[[#This Row],[E_PTOT]]&gt;0),données_step[[#This Row],[E_PTOT]],"")</f>
        <v/>
      </c>
      <c r="AL270" s="523" t="str">
        <f>IF(AK270="","",(1-données_step[[#This Row],[E_PTOT]]/$AN$7)*100)</f>
        <v/>
      </c>
      <c r="AM270" s="523" t="str">
        <f t="shared" si="74"/>
        <v/>
      </c>
      <c r="AN270" s="523" t="str">
        <f t="shared" si="75"/>
        <v/>
      </c>
      <c r="AO270" s="523" t="str">
        <f t="shared" si="76"/>
        <v/>
      </c>
      <c r="AP270" s="523" t="e">
        <f>IF(((100-100/$AN$7*données_step[[#This Row],[E_PTOT]])/100*QTS)&lt;0,NA(),IF(OR(AM270&lt;0,AM270=""),NA(),((100-100/$AN$7*données_step[[#This Row],[E_PTOT]])/100*QTS)))</f>
        <v>#NUM!</v>
      </c>
      <c r="AQ270" s="524" t="e">
        <f t="shared" si="77"/>
        <v>#NUM!</v>
      </c>
      <c r="AR270" s="524" t="str">
        <f t="shared" si="78"/>
        <v/>
      </c>
      <c r="AY270" s="523" t="str">
        <f>_xlfn.IFNA(IF(données_step[[#This Row],[E_DCO]]&lt;=0,NA(),charge_entree[[#This Row],[ch_E_DCO]]/constanten!$B$8*1000),"")</f>
        <v/>
      </c>
      <c r="AZ270" s="523" t="str">
        <f>_xlfn.IFNA(IF(données_step[[#This Row],[E_NTOT]]&lt;=0,NA(),charge_entree[[#This Row],[ch_E_NTOT]]/constanten!$B$10*1000),"")</f>
        <v/>
      </c>
      <c r="BA270" s="523" t="str">
        <f>_xlfn.IFNA(IF(données_step[[#This Row],[E_NH4]]&lt;=0,NA(),charge_entree[[#This Row],[ch_E_NH4]]/constanten!$B$12*1000),"")</f>
        <v/>
      </c>
      <c r="BB270" s="523" t="str">
        <f>_xlfn.IFNA(IF(données_step[[#This Row],[E_COT]]&lt;=0,NA(),charge_entree[[#This Row],[ch_E_COT]]/constanten!$B$9*1000),"")</f>
        <v/>
      </c>
      <c r="BC270" s="523" t="str">
        <f>IFERROR(_xlfn.IFNA(IF(données_step[[#This Row],[E_PTOT]]&lt;=0,NA(),charge_entree[[#This Row],[ch_E_PTOT]]/constanten!$B$15*1000),""),"")</f>
        <v/>
      </c>
      <c r="BD270" s="535" t="e">
        <f>calculs!E270 * (1-0.4) / (données_step[[#This Row],[X_BA_VOL]]*données_step[[#This Row],[X_BACONC]])</f>
        <v>#VALUE!</v>
      </c>
      <c r="BE270" s="522" t="e">
        <f>(données_step[[#This Row],[X_BA_VOL]]*données_step[[#This Row],[X_BACONC]])/((données_step[[#This Row],[D_QTRAI2]]*données_step[[#This Row],[S_MES]]/1000)+(données_step[[#This Row],[X_BX_Q]]*données_step[[#This Row],[X_BXCONC]]))</f>
        <v>#VALUE!</v>
      </c>
      <c r="BF270" s="890" t="str">
        <f>IFERROR(données_step[[#This Row],[D_QTRAI]]/AY270*1000,"")</f>
        <v/>
      </c>
      <c r="BG270" s="535" t="str">
        <f>IFERROR(1-données_step[[#This Row],[S_DBO5]]/données_step[[#This Row],[E_DBO5]],"")</f>
        <v/>
      </c>
      <c r="BH270" s="536" t="str">
        <f>IFERROR(1-données_step[[#This Row],[S_DCO]]/données_step[[#This Row],[E_DCO]],"")</f>
        <v/>
      </c>
      <c r="BI270" s="535" t="str">
        <f>IFERROR(1-données_step[[#This Row],[S_COD]]/données_step[[#This Row],[E_COT]],"")</f>
        <v/>
      </c>
      <c r="BJ270" s="535" t="str">
        <f>IFERROR(1-données_step[[#This Row],[S_NH4]]/données_step[[#This Row],[E_NTOT]],"")</f>
        <v/>
      </c>
      <c r="BK270" s="535" t="str">
        <f>IFERROR(1-données_step[[#This Row],[S_PTOT]]/données_step[[#This Row],[E_PTOT]],"")</f>
        <v/>
      </c>
      <c r="BL270" s="521" t="str">
        <f>IFERROR(IF(données_step[[#This Row],[E_DCO]]/données_step[[#This Row],[E_DBO5]]=0,NA(),données_step[[#This Row],[E_DCO]]/données_step[[#This Row],[E_DBO5]]),"")</f>
        <v/>
      </c>
      <c r="BM270" s="521" t="str">
        <f>IFERROR(IF(données_step[[#This Row],[E_NH4]]/données_step[[#This Row],[E_NTOT]]=0,NA(),données_step[[#This Row],[E_NH4]]/données_step[[#This Row],[E_NTOT]]),"")</f>
        <v/>
      </c>
      <c r="BN270" s="521" t="str">
        <f>IFERROR(IF(données_step[[#This Row],[E_NTOT]]/données_step[[#This Row],[E_COT]]=0,NA(),données_step[[#This Row],[E_NTOT]]/données_step[[#This Row],[E_COT]]),"")</f>
        <v/>
      </c>
      <c r="BO270" s="521" t="str">
        <f>IFERROR(IF(données_step[[#This Row],[E_PTOT]]/données_step[[#This Row],[E_COT]]=0,NA(),données_step[[#This Row],[E_PTOT]]/données_step[[#This Row],[E_COT]]),"")</f>
        <v/>
      </c>
      <c r="BP270" s="521" t="e">
        <f>IF(données_step[[#This Row],[E_DCO]]/données_step[[#This Row],[E_COT]]=0,NA(),données_step[[#This Row],[E_DCO]]/données_step[[#This Row],[E_COT]])</f>
        <v>#DIV/0!</v>
      </c>
      <c r="BQ270" s="521" t="e">
        <f>IF(données_step[[#This Row],[E_NTOT]]/données_step[[#This Row],[E_DCO]]=0,NA(),données_step[[#This Row],[E_NTOT]]/données_step[[#This Row],[E_DCO]])</f>
        <v>#DIV/0!</v>
      </c>
      <c r="BR270" s="521" t="e">
        <f>IF(données_step[[#This Row],[E_PTOT]]/données_step[[#This Row],[E_DCO]]=0,NA(),données_step[[#This Row],[E_PTOT]]/données_step[[#This Row],[E_DCO]])</f>
        <v>#DIV/0!</v>
      </c>
      <c r="BS270" s="747" t="e">
        <f ca="1">test_NH4_temp(données_step[[#This Row],[S_NH4]],données_step[[#This Row],[Temp_eaux]])</f>
        <v>#NAME?</v>
      </c>
    </row>
    <row r="271" spans="1:71" x14ac:dyDescent="0.2">
      <c r="A271" s="222">
        <f>données_step[[#This Row],[Datum]]</f>
        <v>44822</v>
      </c>
      <c r="B271" s="223"/>
      <c r="C271" s="224">
        <f t="shared" si="64"/>
        <v>1</v>
      </c>
      <c r="D271" s="523" t="str">
        <f>IF(OR(données_step[[#This Row],[E_DBO5]]&lt;=0,données_step[[#This Row],[E_DBO5]]=""),"",données_step[[#This Row],[D_QTRAI]]*données_step[[#This Row],[E_DBO5]]/1000)</f>
        <v/>
      </c>
      <c r="E271" s="523" t="str">
        <f>IF(OR(données_step[[#This Row],[E_DCO]]&lt;=0,données_step[[#This Row],[E_DCO]]=""),"",données_step[[#This Row],[D_QTRAI]]*données_step[[#This Row],[E_DCO]]/1000)</f>
        <v/>
      </c>
      <c r="F271" s="523" t="str">
        <f>IF(OR(données_step[[#This Row],[E_COT]]&lt;=0,données_step[[#This Row],[E_COT]]=""),"",données_step[[#This Row],[D_QTRAI]]*données_step[[#This Row],[E_COT]]/1000)</f>
        <v/>
      </c>
      <c r="G271" s="523" t="str">
        <f>IF(OR(données_step[[#This Row],[E_NH4]]&lt;=0,données_step[[#This Row],[E_NH4]]=""),"",données_step[[#This Row],[D_QTRAI]]*données_step[[#This Row],[E_NH4]]/1000)</f>
        <v/>
      </c>
      <c r="H271" s="523" t="str">
        <f>IF(OR(données_step[[#This Row],[E_NTOT]]&lt;=0,données_step[[#This Row],[E_NTOT]]=""),"",données_step[[#This Row],[D_QTRAI]]*données_step[[#This Row],[E_NTOT]]/1000)</f>
        <v/>
      </c>
      <c r="I271" s="523" t="str">
        <f>IF(OR(données_step[[#This Row],[E_NTOT]]&lt;=0,données_step[[#This Row],[E_NTOT]]=""),"",données_step[[#This Row],[D_QTRAI]]*données_step[[#This Row],[E_PTOT]]/1000)</f>
        <v/>
      </c>
      <c r="J271" s="523" t="str">
        <f>IF(OR(données_step[[#This Row],[S_DBO5]]&lt;=0,données_step[[#This Row],[S_DBO5]]=""),"",données_step[[#This Row],[D_QTRAI]]*données_step[[#This Row],[S_DBO5]]/1000)</f>
        <v/>
      </c>
      <c r="K271" s="523" t="str">
        <f>IF(OR(données_step[[#This Row],[S_DCO]]&lt;=0,données_step[[#This Row],[S_DCO]]=""),"",données_step[[#This Row],[D_QTRAI]]*données_step[[#This Row],[S_DCO]]/1000)</f>
        <v/>
      </c>
      <c r="L271" s="523" t="str">
        <f>IF(OR(données_step[[#This Row],[S_COD]]&lt;=0,données_step[[#This Row],[S_COD]]=""),"",données_step[[#This Row],[D_QTRAI]]*données_step[[#This Row],[S_COD]]/1000)</f>
        <v/>
      </c>
      <c r="M271" s="523" t="str">
        <f>IF(OR(données_step[[#This Row],[S_NH4]]&lt;=0,données_step[[#This Row],[S_NH4]]=""),"",données_step[[#This Row],[D_QTRAI]]*données_step[[#This Row],[S_NH4]]/1000)</f>
        <v/>
      </c>
      <c r="N271" s="523" t="str">
        <f>IF(OR(données_step[[#This Row],[S_NO2]]&lt;=0,données_step[[#This Row],[S_NO2]]=""),"",données_step[[#This Row],[D_QTRAI]]*données_step[[#This Row],[S_NO2]]/1000)</f>
        <v/>
      </c>
      <c r="O271" s="523" t="str">
        <f>IF(OR(données_step[[#This Row],[S_NO3]]&lt;=0,données_step[[#This Row],[S_NO3]]=""),"",données_step[[#This Row],[D_QTRAI]]*données_step[[#This Row],[S_NO3]]/1000)</f>
        <v/>
      </c>
      <c r="P271" s="523" t="str">
        <f>IF(OR(données_step[[#This Row],[S_PTOT]]&lt;=0,données_step[[#This Row],[S_PTOT]]=""),"",données_step[[#This Row],[D_QTRAI]]*données_step[[#This Row],[S_PTOT]]/1000)</f>
        <v/>
      </c>
      <c r="Q271" s="523" t="str">
        <f>IF(OR(données_step[[#This Row],[S_MES]]&lt;=0,données_step[[#This Row],[S_MES]]=""),"",données_step[[#This Row],[D_QTRAI]]*données_step[[#This Row],[S_MES]]/1000)</f>
        <v/>
      </c>
      <c r="R271" s="523">
        <f>MAX(données_step[[#This Row],[D_QTRAI]],données_step[[#This Row],[D_QTRAI2]])</f>
        <v>0</v>
      </c>
      <c r="S271" s="523" t="str">
        <f>IF(AND($R271&gt;0,données_step[[#This Row],[E_DCO]]&gt;0),données_step[[#This Row],[E_DCO]],"")</f>
        <v/>
      </c>
      <c r="T271" s="523" t="str">
        <f>IF(S271="","",(1-données_step[[#This Row],[E_DCO]]/$V$7)*100)</f>
        <v/>
      </c>
      <c r="U271" s="523" t="str">
        <f t="shared" si="65"/>
        <v/>
      </c>
      <c r="V271" s="523" t="str">
        <f t="shared" si="66"/>
        <v/>
      </c>
      <c r="W271" s="523" t="str">
        <f t="shared" si="67"/>
        <v/>
      </c>
      <c r="X271" s="523" t="e">
        <f>IF(((100-100/$V$7*données_step[[#This Row],[E_DCO]])/100*QTS)&lt;0,NA(),IF(OR(U271&lt;0,U271=""),NA(),((100-100/$V$7*données_step[[#This Row],[E_DCO]])/100*QTS)))</f>
        <v>#NUM!</v>
      </c>
      <c r="Y271" s="523" t="str">
        <f>IF(AND($R271&gt;0,données_step[[#This Row],[E_COT]]&gt;0),données_step[[#This Row],[E_COT]],"")</f>
        <v/>
      </c>
      <c r="Z271" s="523" t="str">
        <f>IF(Y271="","",(1-données_step[[#This Row],[E_COT]]/$AB$7)*100)</f>
        <v/>
      </c>
      <c r="AA271" s="523" t="str">
        <f t="shared" si="68"/>
        <v/>
      </c>
      <c r="AB271" s="523" t="str">
        <f t="shared" si="69"/>
        <v/>
      </c>
      <c r="AC271" s="523" t="str">
        <f t="shared" si="70"/>
        <v/>
      </c>
      <c r="AD271" s="523" t="e">
        <f>IF(((100-100/$AB$7*données_step[[#This Row],[E_COT]])/100*QTS)&lt;0,NA(),IF(OR(AA271&lt;0,AA271=""),NA(),((100-100/$AB$7*données_step[[#This Row],[E_COT]])/100*QTS)))</f>
        <v>#NUM!</v>
      </c>
      <c r="AE271" s="523" t="str">
        <f>IF(AND($R271&gt;0,données_step[[#This Row],[E_NH4]]&gt;0),données_step[[#This Row],[E_NH4]],"")</f>
        <v/>
      </c>
      <c r="AF271" s="523" t="str">
        <f>IF(AE271="","",(1-données_step[[#This Row],[E_NH4]]/$AH$7)*100)</f>
        <v/>
      </c>
      <c r="AG271" s="523" t="str">
        <f t="shared" si="71"/>
        <v/>
      </c>
      <c r="AH271" s="523" t="str">
        <f t="shared" si="72"/>
        <v/>
      </c>
      <c r="AI271" s="523" t="str">
        <f t="shared" si="73"/>
        <v/>
      </c>
      <c r="AJ271" s="523" t="e">
        <f>IF(((100-100/$AH$7*données_step[[#This Row],[E_NH4]])/100*QTS)&lt;0,NA(),IF(OR(AG271&lt;0,AG271=""),NA(),((100-100/$AH$7*données_step[[#This Row],[E_NH4]])/100*QTS)))</f>
        <v>#NUM!</v>
      </c>
      <c r="AK271" s="523" t="str">
        <f>IF(AND($R271&gt;0,données_step[[#This Row],[E_PTOT]]&gt;0),données_step[[#This Row],[E_PTOT]],"")</f>
        <v/>
      </c>
      <c r="AL271" s="523" t="str">
        <f>IF(AK271="","",(1-données_step[[#This Row],[E_PTOT]]/$AN$7)*100)</f>
        <v/>
      </c>
      <c r="AM271" s="523" t="str">
        <f t="shared" si="74"/>
        <v/>
      </c>
      <c r="AN271" s="523" t="str">
        <f t="shared" si="75"/>
        <v/>
      </c>
      <c r="AO271" s="523" t="str">
        <f t="shared" si="76"/>
        <v/>
      </c>
      <c r="AP271" s="523" t="e">
        <f>IF(((100-100/$AN$7*données_step[[#This Row],[E_PTOT]])/100*QTS)&lt;0,NA(),IF(OR(AM271&lt;0,AM271=""),NA(),((100-100/$AN$7*données_step[[#This Row],[E_PTOT]])/100*QTS)))</f>
        <v>#NUM!</v>
      </c>
      <c r="AQ271" s="524" t="e">
        <f t="shared" si="77"/>
        <v>#NUM!</v>
      </c>
      <c r="AR271" s="524" t="str">
        <f t="shared" si="78"/>
        <v/>
      </c>
      <c r="AY271" s="523" t="str">
        <f>_xlfn.IFNA(IF(données_step[[#This Row],[E_DCO]]&lt;=0,NA(),charge_entree[[#This Row],[ch_E_DCO]]/constanten!$B$8*1000),"")</f>
        <v/>
      </c>
      <c r="AZ271" s="523" t="str">
        <f>_xlfn.IFNA(IF(données_step[[#This Row],[E_NTOT]]&lt;=0,NA(),charge_entree[[#This Row],[ch_E_NTOT]]/constanten!$B$10*1000),"")</f>
        <v/>
      </c>
      <c r="BA271" s="523" t="str">
        <f>_xlfn.IFNA(IF(données_step[[#This Row],[E_NH4]]&lt;=0,NA(),charge_entree[[#This Row],[ch_E_NH4]]/constanten!$B$12*1000),"")</f>
        <v/>
      </c>
      <c r="BB271" s="523" t="str">
        <f>_xlfn.IFNA(IF(données_step[[#This Row],[E_COT]]&lt;=0,NA(),charge_entree[[#This Row],[ch_E_COT]]/constanten!$B$9*1000),"")</f>
        <v/>
      </c>
      <c r="BC271" s="523" t="str">
        <f>IFERROR(_xlfn.IFNA(IF(données_step[[#This Row],[E_PTOT]]&lt;=0,NA(),charge_entree[[#This Row],[ch_E_PTOT]]/constanten!$B$15*1000),""),"")</f>
        <v/>
      </c>
      <c r="BD271" s="535" t="e">
        <f>calculs!E271 * (1-0.4) / (données_step[[#This Row],[X_BA_VOL]]*données_step[[#This Row],[X_BACONC]])</f>
        <v>#VALUE!</v>
      </c>
      <c r="BE271" s="522" t="e">
        <f>(données_step[[#This Row],[X_BA_VOL]]*données_step[[#This Row],[X_BACONC]])/((données_step[[#This Row],[D_QTRAI2]]*données_step[[#This Row],[S_MES]]/1000)+(données_step[[#This Row],[X_BX_Q]]*données_step[[#This Row],[X_BXCONC]]))</f>
        <v>#VALUE!</v>
      </c>
      <c r="BF271" s="890" t="str">
        <f>IFERROR(données_step[[#This Row],[D_QTRAI]]/AY271*1000,"")</f>
        <v/>
      </c>
      <c r="BG271" s="535" t="str">
        <f>IFERROR(1-données_step[[#This Row],[S_DBO5]]/données_step[[#This Row],[E_DBO5]],"")</f>
        <v/>
      </c>
      <c r="BH271" s="536" t="str">
        <f>IFERROR(1-données_step[[#This Row],[S_DCO]]/données_step[[#This Row],[E_DCO]],"")</f>
        <v/>
      </c>
      <c r="BI271" s="535" t="str">
        <f>IFERROR(1-données_step[[#This Row],[S_COD]]/données_step[[#This Row],[E_COT]],"")</f>
        <v/>
      </c>
      <c r="BJ271" s="535" t="str">
        <f>IFERROR(1-données_step[[#This Row],[S_NH4]]/données_step[[#This Row],[E_NTOT]],"")</f>
        <v/>
      </c>
      <c r="BK271" s="535" t="str">
        <f>IFERROR(1-données_step[[#This Row],[S_PTOT]]/données_step[[#This Row],[E_PTOT]],"")</f>
        <v/>
      </c>
      <c r="BL271" s="521" t="str">
        <f>IFERROR(IF(données_step[[#This Row],[E_DCO]]/données_step[[#This Row],[E_DBO5]]=0,NA(),données_step[[#This Row],[E_DCO]]/données_step[[#This Row],[E_DBO5]]),"")</f>
        <v/>
      </c>
      <c r="BM271" s="521" t="str">
        <f>IFERROR(IF(données_step[[#This Row],[E_NH4]]/données_step[[#This Row],[E_NTOT]]=0,NA(),données_step[[#This Row],[E_NH4]]/données_step[[#This Row],[E_NTOT]]),"")</f>
        <v/>
      </c>
      <c r="BN271" s="521" t="str">
        <f>IFERROR(IF(données_step[[#This Row],[E_NTOT]]/données_step[[#This Row],[E_COT]]=0,NA(),données_step[[#This Row],[E_NTOT]]/données_step[[#This Row],[E_COT]]),"")</f>
        <v/>
      </c>
      <c r="BO271" s="521" t="str">
        <f>IFERROR(IF(données_step[[#This Row],[E_PTOT]]/données_step[[#This Row],[E_COT]]=0,NA(),données_step[[#This Row],[E_PTOT]]/données_step[[#This Row],[E_COT]]),"")</f>
        <v/>
      </c>
      <c r="BP271" s="521" t="e">
        <f>IF(données_step[[#This Row],[E_DCO]]/données_step[[#This Row],[E_COT]]=0,NA(),données_step[[#This Row],[E_DCO]]/données_step[[#This Row],[E_COT]])</f>
        <v>#DIV/0!</v>
      </c>
      <c r="BQ271" s="521" t="e">
        <f>IF(données_step[[#This Row],[E_NTOT]]/données_step[[#This Row],[E_DCO]]=0,NA(),données_step[[#This Row],[E_NTOT]]/données_step[[#This Row],[E_DCO]])</f>
        <v>#DIV/0!</v>
      </c>
      <c r="BR271" s="521" t="e">
        <f>IF(données_step[[#This Row],[E_PTOT]]/données_step[[#This Row],[E_DCO]]=0,NA(),données_step[[#This Row],[E_PTOT]]/données_step[[#This Row],[E_DCO]])</f>
        <v>#DIV/0!</v>
      </c>
      <c r="BS271" s="747" t="e">
        <f ca="1">test_NH4_temp(données_step[[#This Row],[S_NH4]],données_step[[#This Row],[Temp_eaux]])</f>
        <v>#NAME?</v>
      </c>
    </row>
    <row r="272" spans="1:71" x14ac:dyDescent="0.2">
      <c r="A272" s="222">
        <f>données_step[[#This Row],[Datum]]</f>
        <v>44823</v>
      </c>
      <c r="B272" s="223"/>
      <c r="C272" s="224">
        <f t="shared" si="64"/>
        <v>2</v>
      </c>
      <c r="D272" s="523" t="str">
        <f>IF(OR(données_step[[#This Row],[E_DBO5]]&lt;=0,données_step[[#This Row],[E_DBO5]]=""),"",données_step[[#This Row],[D_QTRAI]]*données_step[[#This Row],[E_DBO5]]/1000)</f>
        <v/>
      </c>
      <c r="E272" s="523" t="str">
        <f>IF(OR(données_step[[#This Row],[E_DCO]]&lt;=0,données_step[[#This Row],[E_DCO]]=""),"",données_step[[#This Row],[D_QTRAI]]*données_step[[#This Row],[E_DCO]]/1000)</f>
        <v/>
      </c>
      <c r="F272" s="523" t="str">
        <f>IF(OR(données_step[[#This Row],[E_COT]]&lt;=0,données_step[[#This Row],[E_COT]]=""),"",données_step[[#This Row],[D_QTRAI]]*données_step[[#This Row],[E_COT]]/1000)</f>
        <v/>
      </c>
      <c r="G272" s="523" t="str">
        <f>IF(OR(données_step[[#This Row],[E_NH4]]&lt;=0,données_step[[#This Row],[E_NH4]]=""),"",données_step[[#This Row],[D_QTRAI]]*données_step[[#This Row],[E_NH4]]/1000)</f>
        <v/>
      </c>
      <c r="H272" s="523" t="str">
        <f>IF(OR(données_step[[#This Row],[E_NTOT]]&lt;=0,données_step[[#This Row],[E_NTOT]]=""),"",données_step[[#This Row],[D_QTRAI]]*données_step[[#This Row],[E_NTOT]]/1000)</f>
        <v/>
      </c>
      <c r="I272" s="523" t="str">
        <f>IF(OR(données_step[[#This Row],[E_NTOT]]&lt;=0,données_step[[#This Row],[E_NTOT]]=""),"",données_step[[#This Row],[D_QTRAI]]*données_step[[#This Row],[E_PTOT]]/1000)</f>
        <v/>
      </c>
      <c r="J272" s="523" t="str">
        <f>IF(OR(données_step[[#This Row],[S_DBO5]]&lt;=0,données_step[[#This Row],[S_DBO5]]=""),"",données_step[[#This Row],[D_QTRAI]]*données_step[[#This Row],[S_DBO5]]/1000)</f>
        <v/>
      </c>
      <c r="K272" s="523" t="str">
        <f>IF(OR(données_step[[#This Row],[S_DCO]]&lt;=0,données_step[[#This Row],[S_DCO]]=""),"",données_step[[#This Row],[D_QTRAI]]*données_step[[#This Row],[S_DCO]]/1000)</f>
        <v/>
      </c>
      <c r="L272" s="523" t="str">
        <f>IF(OR(données_step[[#This Row],[S_COD]]&lt;=0,données_step[[#This Row],[S_COD]]=""),"",données_step[[#This Row],[D_QTRAI]]*données_step[[#This Row],[S_COD]]/1000)</f>
        <v/>
      </c>
      <c r="M272" s="523" t="str">
        <f>IF(OR(données_step[[#This Row],[S_NH4]]&lt;=0,données_step[[#This Row],[S_NH4]]=""),"",données_step[[#This Row],[D_QTRAI]]*données_step[[#This Row],[S_NH4]]/1000)</f>
        <v/>
      </c>
      <c r="N272" s="523" t="str">
        <f>IF(OR(données_step[[#This Row],[S_NO2]]&lt;=0,données_step[[#This Row],[S_NO2]]=""),"",données_step[[#This Row],[D_QTRAI]]*données_step[[#This Row],[S_NO2]]/1000)</f>
        <v/>
      </c>
      <c r="O272" s="523" t="str">
        <f>IF(OR(données_step[[#This Row],[S_NO3]]&lt;=0,données_step[[#This Row],[S_NO3]]=""),"",données_step[[#This Row],[D_QTRAI]]*données_step[[#This Row],[S_NO3]]/1000)</f>
        <v/>
      </c>
      <c r="P272" s="523" t="str">
        <f>IF(OR(données_step[[#This Row],[S_PTOT]]&lt;=0,données_step[[#This Row],[S_PTOT]]=""),"",données_step[[#This Row],[D_QTRAI]]*données_step[[#This Row],[S_PTOT]]/1000)</f>
        <v/>
      </c>
      <c r="Q272" s="523" t="str">
        <f>IF(OR(données_step[[#This Row],[S_MES]]&lt;=0,données_step[[#This Row],[S_MES]]=""),"",données_step[[#This Row],[D_QTRAI]]*données_step[[#This Row],[S_MES]]/1000)</f>
        <v/>
      </c>
      <c r="R272" s="523">
        <f>MAX(données_step[[#This Row],[D_QTRAI]],données_step[[#This Row],[D_QTRAI2]])</f>
        <v>0</v>
      </c>
      <c r="S272" s="523" t="str">
        <f>IF(AND($R272&gt;0,données_step[[#This Row],[E_DCO]]&gt;0),données_step[[#This Row],[E_DCO]],"")</f>
        <v/>
      </c>
      <c r="T272" s="523" t="str">
        <f>IF(S272="","",(1-données_step[[#This Row],[E_DCO]]/$V$7)*100)</f>
        <v/>
      </c>
      <c r="U272" s="523" t="str">
        <f t="shared" si="65"/>
        <v/>
      </c>
      <c r="V272" s="523" t="str">
        <f t="shared" si="66"/>
        <v/>
      </c>
      <c r="W272" s="523" t="str">
        <f t="shared" si="67"/>
        <v/>
      </c>
      <c r="X272" s="523" t="e">
        <f>IF(((100-100/$V$7*données_step[[#This Row],[E_DCO]])/100*QTS)&lt;0,NA(),IF(OR(U272&lt;0,U272=""),NA(),((100-100/$V$7*données_step[[#This Row],[E_DCO]])/100*QTS)))</f>
        <v>#NUM!</v>
      </c>
      <c r="Y272" s="523" t="str">
        <f>IF(AND($R272&gt;0,données_step[[#This Row],[E_COT]]&gt;0),données_step[[#This Row],[E_COT]],"")</f>
        <v/>
      </c>
      <c r="Z272" s="523" t="str">
        <f>IF(Y272="","",(1-données_step[[#This Row],[E_COT]]/$AB$7)*100)</f>
        <v/>
      </c>
      <c r="AA272" s="523" t="str">
        <f t="shared" si="68"/>
        <v/>
      </c>
      <c r="AB272" s="523" t="str">
        <f t="shared" si="69"/>
        <v/>
      </c>
      <c r="AC272" s="523" t="str">
        <f t="shared" si="70"/>
        <v/>
      </c>
      <c r="AD272" s="523" t="e">
        <f>IF(((100-100/$AB$7*données_step[[#This Row],[E_COT]])/100*QTS)&lt;0,NA(),IF(OR(AA272&lt;0,AA272=""),NA(),((100-100/$AB$7*données_step[[#This Row],[E_COT]])/100*QTS)))</f>
        <v>#NUM!</v>
      </c>
      <c r="AE272" s="523" t="str">
        <f>IF(AND($R272&gt;0,données_step[[#This Row],[E_NH4]]&gt;0),données_step[[#This Row],[E_NH4]],"")</f>
        <v/>
      </c>
      <c r="AF272" s="523" t="str">
        <f>IF(AE272="","",(1-données_step[[#This Row],[E_NH4]]/$AH$7)*100)</f>
        <v/>
      </c>
      <c r="AG272" s="523" t="str">
        <f t="shared" si="71"/>
        <v/>
      </c>
      <c r="AH272" s="523" t="str">
        <f t="shared" si="72"/>
        <v/>
      </c>
      <c r="AI272" s="523" t="str">
        <f t="shared" si="73"/>
        <v/>
      </c>
      <c r="AJ272" s="523" t="e">
        <f>IF(((100-100/$AH$7*données_step[[#This Row],[E_NH4]])/100*QTS)&lt;0,NA(),IF(OR(AG272&lt;0,AG272=""),NA(),((100-100/$AH$7*données_step[[#This Row],[E_NH4]])/100*QTS)))</f>
        <v>#NUM!</v>
      </c>
      <c r="AK272" s="523" t="str">
        <f>IF(AND($R272&gt;0,données_step[[#This Row],[E_PTOT]]&gt;0),données_step[[#This Row],[E_PTOT]],"")</f>
        <v/>
      </c>
      <c r="AL272" s="523" t="str">
        <f>IF(AK272="","",(1-données_step[[#This Row],[E_PTOT]]/$AN$7)*100)</f>
        <v/>
      </c>
      <c r="AM272" s="523" t="str">
        <f t="shared" si="74"/>
        <v/>
      </c>
      <c r="AN272" s="523" t="str">
        <f t="shared" si="75"/>
        <v/>
      </c>
      <c r="AO272" s="523" t="str">
        <f t="shared" si="76"/>
        <v/>
      </c>
      <c r="AP272" s="523" t="e">
        <f>IF(((100-100/$AN$7*données_step[[#This Row],[E_PTOT]])/100*QTS)&lt;0,NA(),IF(OR(AM272&lt;0,AM272=""),NA(),((100-100/$AN$7*données_step[[#This Row],[E_PTOT]])/100*QTS)))</f>
        <v>#NUM!</v>
      </c>
      <c r="AQ272" s="524" t="e">
        <f t="shared" si="77"/>
        <v>#NUM!</v>
      </c>
      <c r="AR272" s="524" t="str">
        <f t="shared" si="78"/>
        <v/>
      </c>
      <c r="AY272" s="523" t="str">
        <f>_xlfn.IFNA(IF(données_step[[#This Row],[E_DCO]]&lt;=0,NA(),charge_entree[[#This Row],[ch_E_DCO]]/constanten!$B$8*1000),"")</f>
        <v/>
      </c>
      <c r="AZ272" s="523" t="str">
        <f>_xlfn.IFNA(IF(données_step[[#This Row],[E_NTOT]]&lt;=0,NA(),charge_entree[[#This Row],[ch_E_NTOT]]/constanten!$B$10*1000),"")</f>
        <v/>
      </c>
      <c r="BA272" s="523" t="str">
        <f>_xlfn.IFNA(IF(données_step[[#This Row],[E_NH4]]&lt;=0,NA(),charge_entree[[#This Row],[ch_E_NH4]]/constanten!$B$12*1000),"")</f>
        <v/>
      </c>
      <c r="BB272" s="523" t="str">
        <f>_xlfn.IFNA(IF(données_step[[#This Row],[E_COT]]&lt;=0,NA(),charge_entree[[#This Row],[ch_E_COT]]/constanten!$B$9*1000),"")</f>
        <v/>
      </c>
      <c r="BC272" s="523" t="str">
        <f>IFERROR(_xlfn.IFNA(IF(données_step[[#This Row],[E_PTOT]]&lt;=0,NA(),charge_entree[[#This Row],[ch_E_PTOT]]/constanten!$B$15*1000),""),"")</f>
        <v/>
      </c>
      <c r="BD272" s="535" t="e">
        <f>calculs!E272 * (1-0.4) / (données_step[[#This Row],[X_BA_VOL]]*données_step[[#This Row],[X_BACONC]])</f>
        <v>#VALUE!</v>
      </c>
      <c r="BE272" s="522" t="e">
        <f>(données_step[[#This Row],[X_BA_VOL]]*données_step[[#This Row],[X_BACONC]])/((données_step[[#This Row],[D_QTRAI2]]*données_step[[#This Row],[S_MES]]/1000)+(données_step[[#This Row],[X_BX_Q]]*données_step[[#This Row],[X_BXCONC]]))</f>
        <v>#VALUE!</v>
      </c>
      <c r="BF272" s="890" t="str">
        <f>IFERROR(données_step[[#This Row],[D_QTRAI]]/AY272*1000,"")</f>
        <v/>
      </c>
      <c r="BG272" s="535" t="str">
        <f>IFERROR(1-données_step[[#This Row],[S_DBO5]]/données_step[[#This Row],[E_DBO5]],"")</f>
        <v/>
      </c>
      <c r="BH272" s="536" t="str">
        <f>IFERROR(1-données_step[[#This Row],[S_DCO]]/données_step[[#This Row],[E_DCO]],"")</f>
        <v/>
      </c>
      <c r="BI272" s="535" t="str">
        <f>IFERROR(1-données_step[[#This Row],[S_COD]]/données_step[[#This Row],[E_COT]],"")</f>
        <v/>
      </c>
      <c r="BJ272" s="535" t="str">
        <f>IFERROR(1-données_step[[#This Row],[S_NH4]]/données_step[[#This Row],[E_NTOT]],"")</f>
        <v/>
      </c>
      <c r="BK272" s="535" t="str">
        <f>IFERROR(1-données_step[[#This Row],[S_PTOT]]/données_step[[#This Row],[E_PTOT]],"")</f>
        <v/>
      </c>
      <c r="BL272" s="521" t="str">
        <f>IFERROR(IF(données_step[[#This Row],[E_DCO]]/données_step[[#This Row],[E_DBO5]]=0,NA(),données_step[[#This Row],[E_DCO]]/données_step[[#This Row],[E_DBO5]]),"")</f>
        <v/>
      </c>
      <c r="BM272" s="521" t="str">
        <f>IFERROR(IF(données_step[[#This Row],[E_NH4]]/données_step[[#This Row],[E_NTOT]]=0,NA(),données_step[[#This Row],[E_NH4]]/données_step[[#This Row],[E_NTOT]]),"")</f>
        <v/>
      </c>
      <c r="BN272" s="521" t="str">
        <f>IFERROR(IF(données_step[[#This Row],[E_NTOT]]/données_step[[#This Row],[E_COT]]=0,NA(),données_step[[#This Row],[E_NTOT]]/données_step[[#This Row],[E_COT]]),"")</f>
        <v/>
      </c>
      <c r="BO272" s="521" t="str">
        <f>IFERROR(IF(données_step[[#This Row],[E_PTOT]]/données_step[[#This Row],[E_COT]]=0,NA(),données_step[[#This Row],[E_PTOT]]/données_step[[#This Row],[E_COT]]),"")</f>
        <v/>
      </c>
      <c r="BP272" s="521" t="e">
        <f>IF(données_step[[#This Row],[E_DCO]]/données_step[[#This Row],[E_COT]]=0,NA(),données_step[[#This Row],[E_DCO]]/données_step[[#This Row],[E_COT]])</f>
        <v>#DIV/0!</v>
      </c>
      <c r="BQ272" s="521" t="e">
        <f>IF(données_step[[#This Row],[E_NTOT]]/données_step[[#This Row],[E_DCO]]=0,NA(),données_step[[#This Row],[E_NTOT]]/données_step[[#This Row],[E_DCO]])</f>
        <v>#DIV/0!</v>
      </c>
      <c r="BR272" s="521" t="e">
        <f>IF(données_step[[#This Row],[E_PTOT]]/données_step[[#This Row],[E_DCO]]=0,NA(),données_step[[#This Row],[E_PTOT]]/données_step[[#This Row],[E_DCO]])</f>
        <v>#DIV/0!</v>
      </c>
      <c r="BS272" s="747" t="e">
        <f ca="1">test_NH4_temp(données_step[[#This Row],[S_NH4]],données_step[[#This Row],[Temp_eaux]])</f>
        <v>#NAME?</v>
      </c>
    </row>
    <row r="273" spans="1:71" x14ac:dyDescent="0.2">
      <c r="A273" s="222">
        <f>données_step[[#This Row],[Datum]]</f>
        <v>44824</v>
      </c>
      <c r="B273" s="223"/>
      <c r="C273" s="224">
        <f t="shared" si="64"/>
        <v>3</v>
      </c>
      <c r="D273" s="523" t="str">
        <f>IF(OR(données_step[[#This Row],[E_DBO5]]&lt;=0,données_step[[#This Row],[E_DBO5]]=""),"",données_step[[#This Row],[D_QTRAI]]*données_step[[#This Row],[E_DBO5]]/1000)</f>
        <v/>
      </c>
      <c r="E273" s="523" t="str">
        <f>IF(OR(données_step[[#This Row],[E_DCO]]&lt;=0,données_step[[#This Row],[E_DCO]]=""),"",données_step[[#This Row],[D_QTRAI]]*données_step[[#This Row],[E_DCO]]/1000)</f>
        <v/>
      </c>
      <c r="F273" s="523" t="str">
        <f>IF(OR(données_step[[#This Row],[E_COT]]&lt;=0,données_step[[#This Row],[E_COT]]=""),"",données_step[[#This Row],[D_QTRAI]]*données_step[[#This Row],[E_COT]]/1000)</f>
        <v/>
      </c>
      <c r="G273" s="523" t="str">
        <f>IF(OR(données_step[[#This Row],[E_NH4]]&lt;=0,données_step[[#This Row],[E_NH4]]=""),"",données_step[[#This Row],[D_QTRAI]]*données_step[[#This Row],[E_NH4]]/1000)</f>
        <v/>
      </c>
      <c r="H273" s="523" t="str">
        <f>IF(OR(données_step[[#This Row],[E_NTOT]]&lt;=0,données_step[[#This Row],[E_NTOT]]=""),"",données_step[[#This Row],[D_QTRAI]]*données_step[[#This Row],[E_NTOT]]/1000)</f>
        <v/>
      </c>
      <c r="I273" s="523" t="str">
        <f>IF(OR(données_step[[#This Row],[E_NTOT]]&lt;=0,données_step[[#This Row],[E_NTOT]]=""),"",données_step[[#This Row],[D_QTRAI]]*données_step[[#This Row],[E_PTOT]]/1000)</f>
        <v/>
      </c>
      <c r="J273" s="523" t="str">
        <f>IF(OR(données_step[[#This Row],[S_DBO5]]&lt;=0,données_step[[#This Row],[S_DBO5]]=""),"",données_step[[#This Row],[D_QTRAI]]*données_step[[#This Row],[S_DBO5]]/1000)</f>
        <v/>
      </c>
      <c r="K273" s="523" t="str">
        <f>IF(OR(données_step[[#This Row],[S_DCO]]&lt;=0,données_step[[#This Row],[S_DCO]]=""),"",données_step[[#This Row],[D_QTRAI]]*données_step[[#This Row],[S_DCO]]/1000)</f>
        <v/>
      </c>
      <c r="L273" s="523" t="str">
        <f>IF(OR(données_step[[#This Row],[S_COD]]&lt;=0,données_step[[#This Row],[S_COD]]=""),"",données_step[[#This Row],[D_QTRAI]]*données_step[[#This Row],[S_COD]]/1000)</f>
        <v/>
      </c>
      <c r="M273" s="523" t="str">
        <f>IF(OR(données_step[[#This Row],[S_NH4]]&lt;=0,données_step[[#This Row],[S_NH4]]=""),"",données_step[[#This Row],[D_QTRAI]]*données_step[[#This Row],[S_NH4]]/1000)</f>
        <v/>
      </c>
      <c r="N273" s="523" t="str">
        <f>IF(OR(données_step[[#This Row],[S_NO2]]&lt;=0,données_step[[#This Row],[S_NO2]]=""),"",données_step[[#This Row],[D_QTRAI]]*données_step[[#This Row],[S_NO2]]/1000)</f>
        <v/>
      </c>
      <c r="O273" s="523" t="str">
        <f>IF(OR(données_step[[#This Row],[S_NO3]]&lt;=0,données_step[[#This Row],[S_NO3]]=""),"",données_step[[#This Row],[D_QTRAI]]*données_step[[#This Row],[S_NO3]]/1000)</f>
        <v/>
      </c>
      <c r="P273" s="523" t="str">
        <f>IF(OR(données_step[[#This Row],[S_PTOT]]&lt;=0,données_step[[#This Row],[S_PTOT]]=""),"",données_step[[#This Row],[D_QTRAI]]*données_step[[#This Row],[S_PTOT]]/1000)</f>
        <v/>
      </c>
      <c r="Q273" s="523" t="str">
        <f>IF(OR(données_step[[#This Row],[S_MES]]&lt;=0,données_step[[#This Row],[S_MES]]=""),"",données_step[[#This Row],[D_QTRAI]]*données_step[[#This Row],[S_MES]]/1000)</f>
        <v/>
      </c>
      <c r="R273" s="523">
        <f>MAX(données_step[[#This Row],[D_QTRAI]],données_step[[#This Row],[D_QTRAI2]])</f>
        <v>0</v>
      </c>
      <c r="S273" s="523" t="str">
        <f>IF(AND($R273&gt;0,données_step[[#This Row],[E_DCO]]&gt;0),données_step[[#This Row],[E_DCO]],"")</f>
        <v/>
      </c>
      <c r="T273" s="523" t="str">
        <f>IF(S273="","",(1-données_step[[#This Row],[E_DCO]]/$V$7)*100)</f>
        <v/>
      </c>
      <c r="U273" s="523" t="str">
        <f t="shared" si="65"/>
        <v/>
      </c>
      <c r="V273" s="523" t="str">
        <f t="shared" si="66"/>
        <v/>
      </c>
      <c r="W273" s="523" t="str">
        <f t="shared" si="67"/>
        <v/>
      </c>
      <c r="X273" s="523" t="e">
        <f>IF(((100-100/$V$7*données_step[[#This Row],[E_DCO]])/100*QTS)&lt;0,NA(),IF(OR(U273&lt;0,U273=""),NA(),((100-100/$V$7*données_step[[#This Row],[E_DCO]])/100*QTS)))</f>
        <v>#NUM!</v>
      </c>
      <c r="Y273" s="523" t="str">
        <f>IF(AND($R273&gt;0,données_step[[#This Row],[E_COT]]&gt;0),données_step[[#This Row],[E_COT]],"")</f>
        <v/>
      </c>
      <c r="Z273" s="523" t="str">
        <f>IF(Y273="","",(1-données_step[[#This Row],[E_COT]]/$AB$7)*100)</f>
        <v/>
      </c>
      <c r="AA273" s="523" t="str">
        <f t="shared" si="68"/>
        <v/>
      </c>
      <c r="AB273" s="523" t="str">
        <f t="shared" si="69"/>
        <v/>
      </c>
      <c r="AC273" s="523" t="str">
        <f t="shared" si="70"/>
        <v/>
      </c>
      <c r="AD273" s="523" t="e">
        <f>IF(((100-100/$AB$7*données_step[[#This Row],[E_COT]])/100*QTS)&lt;0,NA(),IF(OR(AA273&lt;0,AA273=""),NA(),((100-100/$AB$7*données_step[[#This Row],[E_COT]])/100*QTS)))</f>
        <v>#NUM!</v>
      </c>
      <c r="AE273" s="523" t="str">
        <f>IF(AND($R273&gt;0,données_step[[#This Row],[E_NH4]]&gt;0),données_step[[#This Row],[E_NH4]],"")</f>
        <v/>
      </c>
      <c r="AF273" s="523" t="str">
        <f>IF(AE273="","",(1-données_step[[#This Row],[E_NH4]]/$AH$7)*100)</f>
        <v/>
      </c>
      <c r="AG273" s="523" t="str">
        <f t="shared" si="71"/>
        <v/>
      </c>
      <c r="AH273" s="523" t="str">
        <f t="shared" si="72"/>
        <v/>
      </c>
      <c r="AI273" s="523" t="str">
        <f t="shared" si="73"/>
        <v/>
      </c>
      <c r="AJ273" s="523" t="e">
        <f>IF(((100-100/$AH$7*données_step[[#This Row],[E_NH4]])/100*QTS)&lt;0,NA(),IF(OR(AG273&lt;0,AG273=""),NA(),((100-100/$AH$7*données_step[[#This Row],[E_NH4]])/100*QTS)))</f>
        <v>#NUM!</v>
      </c>
      <c r="AK273" s="523" t="str">
        <f>IF(AND($R273&gt;0,données_step[[#This Row],[E_PTOT]]&gt;0),données_step[[#This Row],[E_PTOT]],"")</f>
        <v/>
      </c>
      <c r="AL273" s="523" t="str">
        <f>IF(AK273="","",(1-données_step[[#This Row],[E_PTOT]]/$AN$7)*100)</f>
        <v/>
      </c>
      <c r="AM273" s="523" t="str">
        <f t="shared" si="74"/>
        <v/>
      </c>
      <c r="AN273" s="523" t="str">
        <f t="shared" si="75"/>
        <v/>
      </c>
      <c r="AO273" s="523" t="str">
        <f t="shared" si="76"/>
        <v/>
      </c>
      <c r="AP273" s="523" t="e">
        <f>IF(((100-100/$AN$7*données_step[[#This Row],[E_PTOT]])/100*QTS)&lt;0,NA(),IF(OR(AM273&lt;0,AM273=""),NA(),((100-100/$AN$7*données_step[[#This Row],[E_PTOT]])/100*QTS)))</f>
        <v>#NUM!</v>
      </c>
      <c r="AQ273" s="524" t="e">
        <f t="shared" si="77"/>
        <v>#NUM!</v>
      </c>
      <c r="AR273" s="524" t="str">
        <f t="shared" si="78"/>
        <v/>
      </c>
      <c r="AY273" s="523" t="str">
        <f>_xlfn.IFNA(IF(données_step[[#This Row],[E_DCO]]&lt;=0,NA(),charge_entree[[#This Row],[ch_E_DCO]]/constanten!$B$8*1000),"")</f>
        <v/>
      </c>
      <c r="AZ273" s="523" t="str">
        <f>_xlfn.IFNA(IF(données_step[[#This Row],[E_NTOT]]&lt;=0,NA(),charge_entree[[#This Row],[ch_E_NTOT]]/constanten!$B$10*1000),"")</f>
        <v/>
      </c>
      <c r="BA273" s="523" t="str">
        <f>_xlfn.IFNA(IF(données_step[[#This Row],[E_NH4]]&lt;=0,NA(),charge_entree[[#This Row],[ch_E_NH4]]/constanten!$B$12*1000),"")</f>
        <v/>
      </c>
      <c r="BB273" s="523" t="str">
        <f>_xlfn.IFNA(IF(données_step[[#This Row],[E_COT]]&lt;=0,NA(),charge_entree[[#This Row],[ch_E_COT]]/constanten!$B$9*1000),"")</f>
        <v/>
      </c>
      <c r="BC273" s="523" t="str">
        <f>IFERROR(_xlfn.IFNA(IF(données_step[[#This Row],[E_PTOT]]&lt;=0,NA(),charge_entree[[#This Row],[ch_E_PTOT]]/constanten!$B$15*1000),""),"")</f>
        <v/>
      </c>
      <c r="BD273" s="535" t="e">
        <f>calculs!E273 * (1-0.4) / (données_step[[#This Row],[X_BA_VOL]]*données_step[[#This Row],[X_BACONC]])</f>
        <v>#VALUE!</v>
      </c>
      <c r="BE273" s="522" t="e">
        <f>(données_step[[#This Row],[X_BA_VOL]]*données_step[[#This Row],[X_BACONC]])/((données_step[[#This Row],[D_QTRAI2]]*données_step[[#This Row],[S_MES]]/1000)+(données_step[[#This Row],[X_BX_Q]]*données_step[[#This Row],[X_BXCONC]]))</f>
        <v>#VALUE!</v>
      </c>
      <c r="BF273" s="890" t="str">
        <f>IFERROR(données_step[[#This Row],[D_QTRAI]]/AY273*1000,"")</f>
        <v/>
      </c>
      <c r="BG273" s="535" t="str">
        <f>IFERROR(1-données_step[[#This Row],[S_DBO5]]/données_step[[#This Row],[E_DBO5]],"")</f>
        <v/>
      </c>
      <c r="BH273" s="536" t="str">
        <f>IFERROR(1-données_step[[#This Row],[S_DCO]]/données_step[[#This Row],[E_DCO]],"")</f>
        <v/>
      </c>
      <c r="BI273" s="535" t="str">
        <f>IFERROR(1-données_step[[#This Row],[S_COD]]/données_step[[#This Row],[E_COT]],"")</f>
        <v/>
      </c>
      <c r="BJ273" s="535" t="str">
        <f>IFERROR(1-données_step[[#This Row],[S_NH4]]/données_step[[#This Row],[E_NTOT]],"")</f>
        <v/>
      </c>
      <c r="BK273" s="535" t="str">
        <f>IFERROR(1-données_step[[#This Row],[S_PTOT]]/données_step[[#This Row],[E_PTOT]],"")</f>
        <v/>
      </c>
      <c r="BL273" s="521" t="str">
        <f>IFERROR(IF(données_step[[#This Row],[E_DCO]]/données_step[[#This Row],[E_DBO5]]=0,NA(),données_step[[#This Row],[E_DCO]]/données_step[[#This Row],[E_DBO5]]),"")</f>
        <v/>
      </c>
      <c r="BM273" s="521" t="str">
        <f>IFERROR(IF(données_step[[#This Row],[E_NH4]]/données_step[[#This Row],[E_NTOT]]=0,NA(),données_step[[#This Row],[E_NH4]]/données_step[[#This Row],[E_NTOT]]),"")</f>
        <v/>
      </c>
      <c r="BN273" s="521" t="str">
        <f>IFERROR(IF(données_step[[#This Row],[E_NTOT]]/données_step[[#This Row],[E_COT]]=0,NA(),données_step[[#This Row],[E_NTOT]]/données_step[[#This Row],[E_COT]]),"")</f>
        <v/>
      </c>
      <c r="BO273" s="521" t="str">
        <f>IFERROR(IF(données_step[[#This Row],[E_PTOT]]/données_step[[#This Row],[E_COT]]=0,NA(),données_step[[#This Row],[E_PTOT]]/données_step[[#This Row],[E_COT]]),"")</f>
        <v/>
      </c>
      <c r="BP273" s="521" t="e">
        <f>IF(données_step[[#This Row],[E_DCO]]/données_step[[#This Row],[E_COT]]=0,NA(),données_step[[#This Row],[E_DCO]]/données_step[[#This Row],[E_COT]])</f>
        <v>#DIV/0!</v>
      </c>
      <c r="BQ273" s="521" t="e">
        <f>IF(données_step[[#This Row],[E_NTOT]]/données_step[[#This Row],[E_DCO]]=0,NA(),données_step[[#This Row],[E_NTOT]]/données_step[[#This Row],[E_DCO]])</f>
        <v>#DIV/0!</v>
      </c>
      <c r="BR273" s="521" t="e">
        <f>IF(données_step[[#This Row],[E_PTOT]]/données_step[[#This Row],[E_DCO]]=0,NA(),données_step[[#This Row],[E_PTOT]]/données_step[[#This Row],[E_DCO]])</f>
        <v>#DIV/0!</v>
      </c>
      <c r="BS273" s="747" t="e">
        <f ca="1">test_NH4_temp(données_step[[#This Row],[S_NH4]],données_step[[#This Row],[Temp_eaux]])</f>
        <v>#NAME?</v>
      </c>
    </row>
    <row r="274" spans="1:71" x14ac:dyDescent="0.2">
      <c r="A274" s="222">
        <f>données_step[[#This Row],[Datum]]</f>
        <v>44825</v>
      </c>
      <c r="B274" s="223"/>
      <c r="C274" s="224">
        <f t="shared" si="64"/>
        <v>4</v>
      </c>
      <c r="D274" s="523" t="str">
        <f>IF(OR(données_step[[#This Row],[E_DBO5]]&lt;=0,données_step[[#This Row],[E_DBO5]]=""),"",données_step[[#This Row],[D_QTRAI]]*données_step[[#This Row],[E_DBO5]]/1000)</f>
        <v/>
      </c>
      <c r="E274" s="523" t="str">
        <f>IF(OR(données_step[[#This Row],[E_DCO]]&lt;=0,données_step[[#This Row],[E_DCO]]=""),"",données_step[[#This Row],[D_QTRAI]]*données_step[[#This Row],[E_DCO]]/1000)</f>
        <v/>
      </c>
      <c r="F274" s="523" t="str">
        <f>IF(OR(données_step[[#This Row],[E_COT]]&lt;=0,données_step[[#This Row],[E_COT]]=""),"",données_step[[#This Row],[D_QTRAI]]*données_step[[#This Row],[E_COT]]/1000)</f>
        <v/>
      </c>
      <c r="G274" s="523" t="str">
        <f>IF(OR(données_step[[#This Row],[E_NH4]]&lt;=0,données_step[[#This Row],[E_NH4]]=""),"",données_step[[#This Row],[D_QTRAI]]*données_step[[#This Row],[E_NH4]]/1000)</f>
        <v/>
      </c>
      <c r="H274" s="523" t="str">
        <f>IF(OR(données_step[[#This Row],[E_NTOT]]&lt;=0,données_step[[#This Row],[E_NTOT]]=""),"",données_step[[#This Row],[D_QTRAI]]*données_step[[#This Row],[E_NTOT]]/1000)</f>
        <v/>
      </c>
      <c r="I274" s="523" t="str">
        <f>IF(OR(données_step[[#This Row],[E_NTOT]]&lt;=0,données_step[[#This Row],[E_NTOT]]=""),"",données_step[[#This Row],[D_QTRAI]]*données_step[[#This Row],[E_PTOT]]/1000)</f>
        <v/>
      </c>
      <c r="J274" s="523" t="str">
        <f>IF(OR(données_step[[#This Row],[S_DBO5]]&lt;=0,données_step[[#This Row],[S_DBO5]]=""),"",données_step[[#This Row],[D_QTRAI]]*données_step[[#This Row],[S_DBO5]]/1000)</f>
        <v/>
      </c>
      <c r="K274" s="523" t="str">
        <f>IF(OR(données_step[[#This Row],[S_DCO]]&lt;=0,données_step[[#This Row],[S_DCO]]=""),"",données_step[[#This Row],[D_QTRAI]]*données_step[[#This Row],[S_DCO]]/1000)</f>
        <v/>
      </c>
      <c r="L274" s="523" t="str">
        <f>IF(OR(données_step[[#This Row],[S_COD]]&lt;=0,données_step[[#This Row],[S_COD]]=""),"",données_step[[#This Row],[D_QTRAI]]*données_step[[#This Row],[S_COD]]/1000)</f>
        <v/>
      </c>
      <c r="M274" s="523" t="str">
        <f>IF(OR(données_step[[#This Row],[S_NH4]]&lt;=0,données_step[[#This Row],[S_NH4]]=""),"",données_step[[#This Row],[D_QTRAI]]*données_step[[#This Row],[S_NH4]]/1000)</f>
        <v/>
      </c>
      <c r="N274" s="523" t="str">
        <f>IF(OR(données_step[[#This Row],[S_NO2]]&lt;=0,données_step[[#This Row],[S_NO2]]=""),"",données_step[[#This Row],[D_QTRAI]]*données_step[[#This Row],[S_NO2]]/1000)</f>
        <v/>
      </c>
      <c r="O274" s="523" t="str">
        <f>IF(OR(données_step[[#This Row],[S_NO3]]&lt;=0,données_step[[#This Row],[S_NO3]]=""),"",données_step[[#This Row],[D_QTRAI]]*données_step[[#This Row],[S_NO3]]/1000)</f>
        <v/>
      </c>
      <c r="P274" s="523" t="str">
        <f>IF(OR(données_step[[#This Row],[S_PTOT]]&lt;=0,données_step[[#This Row],[S_PTOT]]=""),"",données_step[[#This Row],[D_QTRAI]]*données_step[[#This Row],[S_PTOT]]/1000)</f>
        <v/>
      </c>
      <c r="Q274" s="523" t="str">
        <f>IF(OR(données_step[[#This Row],[S_MES]]&lt;=0,données_step[[#This Row],[S_MES]]=""),"",données_step[[#This Row],[D_QTRAI]]*données_step[[#This Row],[S_MES]]/1000)</f>
        <v/>
      </c>
      <c r="R274" s="523">
        <f>MAX(données_step[[#This Row],[D_QTRAI]],données_step[[#This Row],[D_QTRAI2]])</f>
        <v>0</v>
      </c>
      <c r="S274" s="523" t="str">
        <f>IF(AND($R274&gt;0,données_step[[#This Row],[E_DCO]]&gt;0),données_step[[#This Row],[E_DCO]],"")</f>
        <v/>
      </c>
      <c r="T274" s="523" t="str">
        <f>IF(S274="","",(1-données_step[[#This Row],[E_DCO]]/$V$7)*100)</f>
        <v/>
      </c>
      <c r="U274" s="523" t="str">
        <f t="shared" si="65"/>
        <v/>
      </c>
      <c r="V274" s="523" t="str">
        <f t="shared" si="66"/>
        <v/>
      </c>
      <c r="W274" s="523" t="str">
        <f t="shared" si="67"/>
        <v/>
      </c>
      <c r="X274" s="523" t="e">
        <f>IF(((100-100/$V$7*données_step[[#This Row],[E_DCO]])/100*QTS)&lt;0,NA(),IF(OR(U274&lt;0,U274=""),NA(),((100-100/$V$7*données_step[[#This Row],[E_DCO]])/100*QTS)))</f>
        <v>#NUM!</v>
      </c>
      <c r="Y274" s="523" t="str">
        <f>IF(AND($R274&gt;0,données_step[[#This Row],[E_COT]]&gt;0),données_step[[#This Row],[E_COT]],"")</f>
        <v/>
      </c>
      <c r="Z274" s="523" t="str">
        <f>IF(Y274="","",(1-données_step[[#This Row],[E_COT]]/$AB$7)*100)</f>
        <v/>
      </c>
      <c r="AA274" s="523" t="str">
        <f t="shared" si="68"/>
        <v/>
      </c>
      <c r="AB274" s="523" t="str">
        <f t="shared" si="69"/>
        <v/>
      </c>
      <c r="AC274" s="523" t="str">
        <f t="shared" si="70"/>
        <v/>
      </c>
      <c r="AD274" s="523" t="e">
        <f>IF(((100-100/$AB$7*données_step[[#This Row],[E_COT]])/100*QTS)&lt;0,NA(),IF(OR(AA274&lt;0,AA274=""),NA(),((100-100/$AB$7*données_step[[#This Row],[E_COT]])/100*QTS)))</f>
        <v>#NUM!</v>
      </c>
      <c r="AE274" s="523" t="str">
        <f>IF(AND($R274&gt;0,données_step[[#This Row],[E_NH4]]&gt;0),données_step[[#This Row],[E_NH4]],"")</f>
        <v/>
      </c>
      <c r="AF274" s="523" t="str">
        <f>IF(AE274="","",(1-données_step[[#This Row],[E_NH4]]/$AH$7)*100)</f>
        <v/>
      </c>
      <c r="AG274" s="523" t="str">
        <f t="shared" si="71"/>
        <v/>
      </c>
      <c r="AH274" s="523" t="str">
        <f t="shared" si="72"/>
        <v/>
      </c>
      <c r="AI274" s="523" t="str">
        <f t="shared" si="73"/>
        <v/>
      </c>
      <c r="AJ274" s="523" t="e">
        <f>IF(((100-100/$AH$7*données_step[[#This Row],[E_NH4]])/100*QTS)&lt;0,NA(),IF(OR(AG274&lt;0,AG274=""),NA(),((100-100/$AH$7*données_step[[#This Row],[E_NH4]])/100*QTS)))</f>
        <v>#NUM!</v>
      </c>
      <c r="AK274" s="523" t="str">
        <f>IF(AND($R274&gt;0,données_step[[#This Row],[E_PTOT]]&gt;0),données_step[[#This Row],[E_PTOT]],"")</f>
        <v/>
      </c>
      <c r="AL274" s="523" t="str">
        <f>IF(AK274="","",(1-données_step[[#This Row],[E_PTOT]]/$AN$7)*100)</f>
        <v/>
      </c>
      <c r="AM274" s="523" t="str">
        <f t="shared" si="74"/>
        <v/>
      </c>
      <c r="AN274" s="523" t="str">
        <f t="shared" si="75"/>
        <v/>
      </c>
      <c r="AO274" s="523" t="str">
        <f t="shared" si="76"/>
        <v/>
      </c>
      <c r="AP274" s="523" t="e">
        <f>IF(((100-100/$AN$7*données_step[[#This Row],[E_PTOT]])/100*QTS)&lt;0,NA(),IF(OR(AM274&lt;0,AM274=""),NA(),((100-100/$AN$7*données_step[[#This Row],[E_PTOT]])/100*QTS)))</f>
        <v>#NUM!</v>
      </c>
      <c r="AQ274" s="524" t="e">
        <f t="shared" si="77"/>
        <v>#NUM!</v>
      </c>
      <c r="AR274" s="524" t="str">
        <f t="shared" si="78"/>
        <v/>
      </c>
      <c r="AY274" s="523" t="str">
        <f>_xlfn.IFNA(IF(données_step[[#This Row],[E_DCO]]&lt;=0,NA(),charge_entree[[#This Row],[ch_E_DCO]]/constanten!$B$8*1000),"")</f>
        <v/>
      </c>
      <c r="AZ274" s="523" t="str">
        <f>_xlfn.IFNA(IF(données_step[[#This Row],[E_NTOT]]&lt;=0,NA(),charge_entree[[#This Row],[ch_E_NTOT]]/constanten!$B$10*1000),"")</f>
        <v/>
      </c>
      <c r="BA274" s="523" t="str">
        <f>_xlfn.IFNA(IF(données_step[[#This Row],[E_NH4]]&lt;=0,NA(),charge_entree[[#This Row],[ch_E_NH4]]/constanten!$B$12*1000),"")</f>
        <v/>
      </c>
      <c r="BB274" s="523" t="str">
        <f>_xlfn.IFNA(IF(données_step[[#This Row],[E_COT]]&lt;=0,NA(),charge_entree[[#This Row],[ch_E_COT]]/constanten!$B$9*1000),"")</f>
        <v/>
      </c>
      <c r="BC274" s="523" t="str">
        <f>IFERROR(_xlfn.IFNA(IF(données_step[[#This Row],[E_PTOT]]&lt;=0,NA(),charge_entree[[#This Row],[ch_E_PTOT]]/constanten!$B$15*1000),""),"")</f>
        <v/>
      </c>
      <c r="BD274" s="535" t="e">
        <f>calculs!E274 * (1-0.4) / (données_step[[#This Row],[X_BA_VOL]]*données_step[[#This Row],[X_BACONC]])</f>
        <v>#VALUE!</v>
      </c>
      <c r="BE274" s="522" t="e">
        <f>(données_step[[#This Row],[X_BA_VOL]]*données_step[[#This Row],[X_BACONC]])/((données_step[[#This Row],[D_QTRAI2]]*données_step[[#This Row],[S_MES]]/1000)+(données_step[[#This Row],[X_BX_Q]]*données_step[[#This Row],[X_BXCONC]]))</f>
        <v>#VALUE!</v>
      </c>
      <c r="BF274" s="890" t="str">
        <f>IFERROR(données_step[[#This Row],[D_QTRAI]]/AY274*1000,"")</f>
        <v/>
      </c>
      <c r="BG274" s="535" t="str">
        <f>IFERROR(1-données_step[[#This Row],[S_DBO5]]/données_step[[#This Row],[E_DBO5]],"")</f>
        <v/>
      </c>
      <c r="BH274" s="536" t="str">
        <f>IFERROR(1-données_step[[#This Row],[S_DCO]]/données_step[[#This Row],[E_DCO]],"")</f>
        <v/>
      </c>
      <c r="BI274" s="535" t="str">
        <f>IFERROR(1-données_step[[#This Row],[S_COD]]/données_step[[#This Row],[E_COT]],"")</f>
        <v/>
      </c>
      <c r="BJ274" s="535" t="str">
        <f>IFERROR(1-données_step[[#This Row],[S_NH4]]/données_step[[#This Row],[E_NTOT]],"")</f>
        <v/>
      </c>
      <c r="BK274" s="535" t="str">
        <f>IFERROR(1-données_step[[#This Row],[S_PTOT]]/données_step[[#This Row],[E_PTOT]],"")</f>
        <v/>
      </c>
      <c r="BL274" s="521" t="str">
        <f>IFERROR(IF(données_step[[#This Row],[E_DCO]]/données_step[[#This Row],[E_DBO5]]=0,NA(),données_step[[#This Row],[E_DCO]]/données_step[[#This Row],[E_DBO5]]),"")</f>
        <v/>
      </c>
      <c r="BM274" s="521" t="str">
        <f>IFERROR(IF(données_step[[#This Row],[E_NH4]]/données_step[[#This Row],[E_NTOT]]=0,NA(),données_step[[#This Row],[E_NH4]]/données_step[[#This Row],[E_NTOT]]),"")</f>
        <v/>
      </c>
      <c r="BN274" s="521" t="str">
        <f>IFERROR(IF(données_step[[#This Row],[E_NTOT]]/données_step[[#This Row],[E_COT]]=0,NA(),données_step[[#This Row],[E_NTOT]]/données_step[[#This Row],[E_COT]]),"")</f>
        <v/>
      </c>
      <c r="BO274" s="521" t="str">
        <f>IFERROR(IF(données_step[[#This Row],[E_PTOT]]/données_step[[#This Row],[E_COT]]=0,NA(),données_step[[#This Row],[E_PTOT]]/données_step[[#This Row],[E_COT]]),"")</f>
        <v/>
      </c>
      <c r="BP274" s="521" t="e">
        <f>IF(données_step[[#This Row],[E_DCO]]/données_step[[#This Row],[E_COT]]=0,NA(),données_step[[#This Row],[E_DCO]]/données_step[[#This Row],[E_COT]])</f>
        <v>#DIV/0!</v>
      </c>
      <c r="BQ274" s="521" t="e">
        <f>IF(données_step[[#This Row],[E_NTOT]]/données_step[[#This Row],[E_DCO]]=0,NA(),données_step[[#This Row],[E_NTOT]]/données_step[[#This Row],[E_DCO]])</f>
        <v>#DIV/0!</v>
      </c>
      <c r="BR274" s="521" t="e">
        <f>IF(données_step[[#This Row],[E_PTOT]]/données_step[[#This Row],[E_DCO]]=0,NA(),données_step[[#This Row],[E_PTOT]]/données_step[[#This Row],[E_DCO]])</f>
        <v>#DIV/0!</v>
      </c>
      <c r="BS274" s="747" t="e">
        <f ca="1">test_NH4_temp(données_step[[#This Row],[S_NH4]],données_step[[#This Row],[Temp_eaux]])</f>
        <v>#NAME?</v>
      </c>
    </row>
    <row r="275" spans="1:71" x14ac:dyDescent="0.2">
      <c r="A275" s="222">
        <f>données_step[[#This Row],[Datum]]</f>
        <v>44826</v>
      </c>
      <c r="B275" s="223"/>
      <c r="C275" s="224">
        <f t="shared" si="64"/>
        <v>5</v>
      </c>
      <c r="D275" s="523" t="str">
        <f>IF(OR(données_step[[#This Row],[E_DBO5]]&lt;=0,données_step[[#This Row],[E_DBO5]]=""),"",données_step[[#This Row],[D_QTRAI]]*données_step[[#This Row],[E_DBO5]]/1000)</f>
        <v/>
      </c>
      <c r="E275" s="523" t="str">
        <f>IF(OR(données_step[[#This Row],[E_DCO]]&lt;=0,données_step[[#This Row],[E_DCO]]=""),"",données_step[[#This Row],[D_QTRAI]]*données_step[[#This Row],[E_DCO]]/1000)</f>
        <v/>
      </c>
      <c r="F275" s="523" t="str">
        <f>IF(OR(données_step[[#This Row],[E_COT]]&lt;=0,données_step[[#This Row],[E_COT]]=""),"",données_step[[#This Row],[D_QTRAI]]*données_step[[#This Row],[E_COT]]/1000)</f>
        <v/>
      </c>
      <c r="G275" s="523" t="str">
        <f>IF(OR(données_step[[#This Row],[E_NH4]]&lt;=0,données_step[[#This Row],[E_NH4]]=""),"",données_step[[#This Row],[D_QTRAI]]*données_step[[#This Row],[E_NH4]]/1000)</f>
        <v/>
      </c>
      <c r="H275" s="523" t="str">
        <f>IF(OR(données_step[[#This Row],[E_NTOT]]&lt;=0,données_step[[#This Row],[E_NTOT]]=""),"",données_step[[#This Row],[D_QTRAI]]*données_step[[#This Row],[E_NTOT]]/1000)</f>
        <v/>
      </c>
      <c r="I275" s="523" t="str">
        <f>IF(OR(données_step[[#This Row],[E_NTOT]]&lt;=0,données_step[[#This Row],[E_NTOT]]=""),"",données_step[[#This Row],[D_QTRAI]]*données_step[[#This Row],[E_PTOT]]/1000)</f>
        <v/>
      </c>
      <c r="J275" s="523" t="str">
        <f>IF(OR(données_step[[#This Row],[S_DBO5]]&lt;=0,données_step[[#This Row],[S_DBO5]]=""),"",données_step[[#This Row],[D_QTRAI]]*données_step[[#This Row],[S_DBO5]]/1000)</f>
        <v/>
      </c>
      <c r="K275" s="523" t="str">
        <f>IF(OR(données_step[[#This Row],[S_DCO]]&lt;=0,données_step[[#This Row],[S_DCO]]=""),"",données_step[[#This Row],[D_QTRAI]]*données_step[[#This Row],[S_DCO]]/1000)</f>
        <v/>
      </c>
      <c r="L275" s="523" t="str">
        <f>IF(OR(données_step[[#This Row],[S_COD]]&lt;=0,données_step[[#This Row],[S_COD]]=""),"",données_step[[#This Row],[D_QTRAI]]*données_step[[#This Row],[S_COD]]/1000)</f>
        <v/>
      </c>
      <c r="M275" s="523" t="str">
        <f>IF(OR(données_step[[#This Row],[S_NH4]]&lt;=0,données_step[[#This Row],[S_NH4]]=""),"",données_step[[#This Row],[D_QTRAI]]*données_step[[#This Row],[S_NH4]]/1000)</f>
        <v/>
      </c>
      <c r="N275" s="523" t="str">
        <f>IF(OR(données_step[[#This Row],[S_NO2]]&lt;=0,données_step[[#This Row],[S_NO2]]=""),"",données_step[[#This Row],[D_QTRAI]]*données_step[[#This Row],[S_NO2]]/1000)</f>
        <v/>
      </c>
      <c r="O275" s="523" t="str">
        <f>IF(OR(données_step[[#This Row],[S_NO3]]&lt;=0,données_step[[#This Row],[S_NO3]]=""),"",données_step[[#This Row],[D_QTRAI]]*données_step[[#This Row],[S_NO3]]/1000)</f>
        <v/>
      </c>
      <c r="P275" s="523" t="str">
        <f>IF(OR(données_step[[#This Row],[S_PTOT]]&lt;=0,données_step[[#This Row],[S_PTOT]]=""),"",données_step[[#This Row],[D_QTRAI]]*données_step[[#This Row],[S_PTOT]]/1000)</f>
        <v/>
      </c>
      <c r="Q275" s="523" t="str">
        <f>IF(OR(données_step[[#This Row],[S_MES]]&lt;=0,données_step[[#This Row],[S_MES]]=""),"",données_step[[#This Row],[D_QTRAI]]*données_step[[#This Row],[S_MES]]/1000)</f>
        <v/>
      </c>
      <c r="R275" s="523">
        <f>MAX(données_step[[#This Row],[D_QTRAI]],données_step[[#This Row],[D_QTRAI2]])</f>
        <v>0</v>
      </c>
      <c r="S275" s="523" t="str">
        <f>IF(AND($R275&gt;0,données_step[[#This Row],[E_DCO]]&gt;0),données_step[[#This Row],[E_DCO]],"")</f>
        <v/>
      </c>
      <c r="T275" s="523" t="str">
        <f>IF(S275="","",(1-données_step[[#This Row],[E_DCO]]/$V$7)*100)</f>
        <v/>
      </c>
      <c r="U275" s="523" t="str">
        <f t="shared" si="65"/>
        <v/>
      </c>
      <c r="V275" s="523" t="str">
        <f t="shared" si="66"/>
        <v/>
      </c>
      <c r="W275" s="523" t="str">
        <f t="shared" si="67"/>
        <v/>
      </c>
      <c r="X275" s="523" t="e">
        <f>IF(((100-100/$V$7*données_step[[#This Row],[E_DCO]])/100*QTS)&lt;0,NA(),IF(OR(U275&lt;0,U275=""),NA(),((100-100/$V$7*données_step[[#This Row],[E_DCO]])/100*QTS)))</f>
        <v>#NUM!</v>
      </c>
      <c r="Y275" s="523" t="str">
        <f>IF(AND($R275&gt;0,données_step[[#This Row],[E_COT]]&gt;0),données_step[[#This Row],[E_COT]],"")</f>
        <v/>
      </c>
      <c r="Z275" s="523" t="str">
        <f>IF(Y275="","",(1-données_step[[#This Row],[E_COT]]/$AB$7)*100)</f>
        <v/>
      </c>
      <c r="AA275" s="523" t="str">
        <f t="shared" si="68"/>
        <v/>
      </c>
      <c r="AB275" s="523" t="str">
        <f t="shared" si="69"/>
        <v/>
      </c>
      <c r="AC275" s="523" t="str">
        <f t="shared" si="70"/>
        <v/>
      </c>
      <c r="AD275" s="523" t="e">
        <f>IF(((100-100/$AB$7*données_step[[#This Row],[E_COT]])/100*QTS)&lt;0,NA(),IF(OR(AA275&lt;0,AA275=""),NA(),((100-100/$AB$7*données_step[[#This Row],[E_COT]])/100*QTS)))</f>
        <v>#NUM!</v>
      </c>
      <c r="AE275" s="523" t="str">
        <f>IF(AND($R275&gt;0,données_step[[#This Row],[E_NH4]]&gt;0),données_step[[#This Row],[E_NH4]],"")</f>
        <v/>
      </c>
      <c r="AF275" s="523" t="str">
        <f>IF(AE275="","",(1-données_step[[#This Row],[E_NH4]]/$AH$7)*100)</f>
        <v/>
      </c>
      <c r="AG275" s="523" t="str">
        <f t="shared" si="71"/>
        <v/>
      </c>
      <c r="AH275" s="523" t="str">
        <f t="shared" si="72"/>
        <v/>
      </c>
      <c r="AI275" s="523" t="str">
        <f t="shared" si="73"/>
        <v/>
      </c>
      <c r="AJ275" s="523" t="e">
        <f>IF(((100-100/$AH$7*données_step[[#This Row],[E_NH4]])/100*QTS)&lt;0,NA(),IF(OR(AG275&lt;0,AG275=""),NA(),((100-100/$AH$7*données_step[[#This Row],[E_NH4]])/100*QTS)))</f>
        <v>#NUM!</v>
      </c>
      <c r="AK275" s="523" t="str">
        <f>IF(AND($R275&gt;0,données_step[[#This Row],[E_PTOT]]&gt;0),données_step[[#This Row],[E_PTOT]],"")</f>
        <v/>
      </c>
      <c r="AL275" s="523" t="str">
        <f>IF(AK275="","",(1-données_step[[#This Row],[E_PTOT]]/$AN$7)*100)</f>
        <v/>
      </c>
      <c r="AM275" s="523" t="str">
        <f t="shared" si="74"/>
        <v/>
      </c>
      <c r="AN275" s="523" t="str">
        <f t="shared" si="75"/>
        <v/>
      </c>
      <c r="AO275" s="523" t="str">
        <f t="shared" si="76"/>
        <v/>
      </c>
      <c r="AP275" s="523" t="e">
        <f>IF(((100-100/$AN$7*données_step[[#This Row],[E_PTOT]])/100*QTS)&lt;0,NA(),IF(OR(AM275&lt;0,AM275=""),NA(),((100-100/$AN$7*données_step[[#This Row],[E_PTOT]])/100*QTS)))</f>
        <v>#NUM!</v>
      </c>
      <c r="AQ275" s="524" t="e">
        <f t="shared" si="77"/>
        <v>#NUM!</v>
      </c>
      <c r="AR275" s="524" t="str">
        <f t="shared" si="78"/>
        <v/>
      </c>
      <c r="AY275" s="523" t="str">
        <f>_xlfn.IFNA(IF(données_step[[#This Row],[E_DCO]]&lt;=0,NA(),charge_entree[[#This Row],[ch_E_DCO]]/constanten!$B$8*1000),"")</f>
        <v/>
      </c>
      <c r="AZ275" s="523" t="str">
        <f>_xlfn.IFNA(IF(données_step[[#This Row],[E_NTOT]]&lt;=0,NA(),charge_entree[[#This Row],[ch_E_NTOT]]/constanten!$B$10*1000),"")</f>
        <v/>
      </c>
      <c r="BA275" s="523" t="str">
        <f>_xlfn.IFNA(IF(données_step[[#This Row],[E_NH4]]&lt;=0,NA(),charge_entree[[#This Row],[ch_E_NH4]]/constanten!$B$12*1000),"")</f>
        <v/>
      </c>
      <c r="BB275" s="523" t="str">
        <f>_xlfn.IFNA(IF(données_step[[#This Row],[E_COT]]&lt;=0,NA(),charge_entree[[#This Row],[ch_E_COT]]/constanten!$B$9*1000),"")</f>
        <v/>
      </c>
      <c r="BC275" s="523" t="str">
        <f>IFERROR(_xlfn.IFNA(IF(données_step[[#This Row],[E_PTOT]]&lt;=0,NA(),charge_entree[[#This Row],[ch_E_PTOT]]/constanten!$B$15*1000),""),"")</f>
        <v/>
      </c>
      <c r="BD275" s="535" t="e">
        <f>calculs!E275 * (1-0.4) / (données_step[[#This Row],[X_BA_VOL]]*données_step[[#This Row],[X_BACONC]])</f>
        <v>#VALUE!</v>
      </c>
      <c r="BE275" s="522" t="e">
        <f>(données_step[[#This Row],[X_BA_VOL]]*données_step[[#This Row],[X_BACONC]])/((données_step[[#This Row],[D_QTRAI2]]*données_step[[#This Row],[S_MES]]/1000)+(données_step[[#This Row],[X_BX_Q]]*données_step[[#This Row],[X_BXCONC]]))</f>
        <v>#VALUE!</v>
      </c>
      <c r="BF275" s="890" t="str">
        <f>IFERROR(données_step[[#This Row],[D_QTRAI]]/AY275*1000,"")</f>
        <v/>
      </c>
      <c r="BG275" s="535" t="str">
        <f>IFERROR(1-données_step[[#This Row],[S_DBO5]]/données_step[[#This Row],[E_DBO5]],"")</f>
        <v/>
      </c>
      <c r="BH275" s="536" t="str">
        <f>IFERROR(1-données_step[[#This Row],[S_DCO]]/données_step[[#This Row],[E_DCO]],"")</f>
        <v/>
      </c>
      <c r="BI275" s="535" t="str">
        <f>IFERROR(1-données_step[[#This Row],[S_COD]]/données_step[[#This Row],[E_COT]],"")</f>
        <v/>
      </c>
      <c r="BJ275" s="535" t="str">
        <f>IFERROR(1-données_step[[#This Row],[S_NH4]]/données_step[[#This Row],[E_NTOT]],"")</f>
        <v/>
      </c>
      <c r="BK275" s="535" t="str">
        <f>IFERROR(1-données_step[[#This Row],[S_PTOT]]/données_step[[#This Row],[E_PTOT]],"")</f>
        <v/>
      </c>
      <c r="BL275" s="521" t="str">
        <f>IFERROR(IF(données_step[[#This Row],[E_DCO]]/données_step[[#This Row],[E_DBO5]]=0,NA(),données_step[[#This Row],[E_DCO]]/données_step[[#This Row],[E_DBO5]]),"")</f>
        <v/>
      </c>
      <c r="BM275" s="521" t="str">
        <f>IFERROR(IF(données_step[[#This Row],[E_NH4]]/données_step[[#This Row],[E_NTOT]]=0,NA(),données_step[[#This Row],[E_NH4]]/données_step[[#This Row],[E_NTOT]]),"")</f>
        <v/>
      </c>
      <c r="BN275" s="521" t="str">
        <f>IFERROR(IF(données_step[[#This Row],[E_NTOT]]/données_step[[#This Row],[E_COT]]=0,NA(),données_step[[#This Row],[E_NTOT]]/données_step[[#This Row],[E_COT]]),"")</f>
        <v/>
      </c>
      <c r="BO275" s="521" t="str">
        <f>IFERROR(IF(données_step[[#This Row],[E_PTOT]]/données_step[[#This Row],[E_COT]]=0,NA(),données_step[[#This Row],[E_PTOT]]/données_step[[#This Row],[E_COT]]),"")</f>
        <v/>
      </c>
      <c r="BP275" s="521" t="e">
        <f>IF(données_step[[#This Row],[E_DCO]]/données_step[[#This Row],[E_COT]]=0,NA(),données_step[[#This Row],[E_DCO]]/données_step[[#This Row],[E_COT]])</f>
        <v>#DIV/0!</v>
      </c>
      <c r="BQ275" s="521" t="e">
        <f>IF(données_step[[#This Row],[E_NTOT]]/données_step[[#This Row],[E_DCO]]=0,NA(),données_step[[#This Row],[E_NTOT]]/données_step[[#This Row],[E_DCO]])</f>
        <v>#DIV/0!</v>
      </c>
      <c r="BR275" s="521" t="e">
        <f>IF(données_step[[#This Row],[E_PTOT]]/données_step[[#This Row],[E_DCO]]=0,NA(),données_step[[#This Row],[E_PTOT]]/données_step[[#This Row],[E_DCO]])</f>
        <v>#DIV/0!</v>
      </c>
      <c r="BS275" s="747" t="e">
        <f ca="1">test_NH4_temp(données_step[[#This Row],[S_NH4]],données_step[[#This Row],[Temp_eaux]])</f>
        <v>#NAME?</v>
      </c>
    </row>
    <row r="276" spans="1:71" x14ac:dyDescent="0.2">
      <c r="A276" s="222">
        <f>données_step[[#This Row],[Datum]]</f>
        <v>44827</v>
      </c>
      <c r="B276" s="223"/>
      <c r="C276" s="224">
        <f t="shared" si="64"/>
        <v>6</v>
      </c>
      <c r="D276" s="523" t="str">
        <f>IF(OR(données_step[[#This Row],[E_DBO5]]&lt;=0,données_step[[#This Row],[E_DBO5]]=""),"",données_step[[#This Row],[D_QTRAI]]*données_step[[#This Row],[E_DBO5]]/1000)</f>
        <v/>
      </c>
      <c r="E276" s="523" t="str">
        <f>IF(OR(données_step[[#This Row],[E_DCO]]&lt;=0,données_step[[#This Row],[E_DCO]]=""),"",données_step[[#This Row],[D_QTRAI]]*données_step[[#This Row],[E_DCO]]/1000)</f>
        <v/>
      </c>
      <c r="F276" s="523" t="str">
        <f>IF(OR(données_step[[#This Row],[E_COT]]&lt;=0,données_step[[#This Row],[E_COT]]=""),"",données_step[[#This Row],[D_QTRAI]]*données_step[[#This Row],[E_COT]]/1000)</f>
        <v/>
      </c>
      <c r="G276" s="523" t="str">
        <f>IF(OR(données_step[[#This Row],[E_NH4]]&lt;=0,données_step[[#This Row],[E_NH4]]=""),"",données_step[[#This Row],[D_QTRAI]]*données_step[[#This Row],[E_NH4]]/1000)</f>
        <v/>
      </c>
      <c r="H276" s="523" t="str">
        <f>IF(OR(données_step[[#This Row],[E_NTOT]]&lt;=0,données_step[[#This Row],[E_NTOT]]=""),"",données_step[[#This Row],[D_QTRAI]]*données_step[[#This Row],[E_NTOT]]/1000)</f>
        <v/>
      </c>
      <c r="I276" s="523" t="str">
        <f>IF(OR(données_step[[#This Row],[E_NTOT]]&lt;=0,données_step[[#This Row],[E_NTOT]]=""),"",données_step[[#This Row],[D_QTRAI]]*données_step[[#This Row],[E_PTOT]]/1000)</f>
        <v/>
      </c>
      <c r="J276" s="523" t="str">
        <f>IF(OR(données_step[[#This Row],[S_DBO5]]&lt;=0,données_step[[#This Row],[S_DBO5]]=""),"",données_step[[#This Row],[D_QTRAI]]*données_step[[#This Row],[S_DBO5]]/1000)</f>
        <v/>
      </c>
      <c r="K276" s="523" t="str">
        <f>IF(OR(données_step[[#This Row],[S_DCO]]&lt;=0,données_step[[#This Row],[S_DCO]]=""),"",données_step[[#This Row],[D_QTRAI]]*données_step[[#This Row],[S_DCO]]/1000)</f>
        <v/>
      </c>
      <c r="L276" s="523" t="str">
        <f>IF(OR(données_step[[#This Row],[S_COD]]&lt;=0,données_step[[#This Row],[S_COD]]=""),"",données_step[[#This Row],[D_QTRAI]]*données_step[[#This Row],[S_COD]]/1000)</f>
        <v/>
      </c>
      <c r="M276" s="523" t="str">
        <f>IF(OR(données_step[[#This Row],[S_NH4]]&lt;=0,données_step[[#This Row],[S_NH4]]=""),"",données_step[[#This Row],[D_QTRAI]]*données_step[[#This Row],[S_NH4]]/1000)</f>
        <v/>
      </c>
      <c r="N276" s="523" t="str">
        <f>IF(OR(données_step[[#This Row],[S_NO2]]&lt;=0,données_step[[#This Row],[S_NO2]]=""),"",données_step[[#This Row],[D_QTRAI]]*données_step[[#This Row],[S_NO2]]/1000)</f>
        <v/>
      </c>
      <c r="O276" s="523" t="str">
        <f>IF(OR(données_step[[#This Row],[S_NO3]]&lt;=0,données_step[[#This Row],[S_NO3]]=""),"",données_step[[#This Row],[D_QTRAI]]*données_step[[#This Row],[S_NO3]]/1000)</f>
        <v/>
      </c>
      <c r="P276" s="523" t="str">
        <f>IF(OR(données_step[[#This Row],[S_PTOT]]&lt;=0,données_step[[#This Row],[S_PTOT]]=""),"",données_step[[#This Row],[D_QTRAI]]*données_step[[#This Row],[S_PTOT]]/1000)</f>
        <v/>
      </c>
      <c r="Q276" s="523" t="str">
        <f>IF(OR(données_step[[#This Row],[S_MES]]&lt;=0,données_step[[#This Row],[S_MES]]=""),"",données_step[[#This Row],[D_QTRAI]]*données_step[[#This Row],[S_MES]]/1000)</f>
        <v/>
      </c>
      <c r="R276" s="523">
        <f>MAX(données_step[[#This Row],[D_QTRAI]],données_step[[#This Row],[D_QTRAI2]])</f>
        <v>0</v>
      </c>
      <c r="S276" s="523" t="str">
        <f>IF(AND($R276&gt;0,données_step[[#This Row],[E_DCO]]&gt;0),données_step[[#This Row],[E_DCO]],"")</f>
        <v/>
      </c>
      <c r="T276" s="523" t="str">
        <f>IF(S276="","",(1-données_step[[#This Row],[E_DCO]]/$V$7)*100)</f>
        <v/>
      </c>
      <c r="U276" s="523" t="str">
        <f t="shared" si="65"/>
        <v/>
      </c>
      <c r="V276" s="523" t="str">
        <f t="shared" si="66"/>
        <v/>
      </c>
      <c r="W276" s="523" t="str">
        <f t="shared" si="67"/>
        <v/>
      </c>
      <c r="X276" s="523" t="e">
        <f>IF(((100-100/$V$7*données_step[[#This Row],[E_DCO]])/100*QTS)&lt;0,NA(),IF(OR(U276&lt;0,U276=""),NA(),((100-100/$V$7*données_step[[#This Row],[E_DCO]])/100*QTS)))</f>
        <v>#NUM!</v>
      </c>
      <c r="Y276" s="523" t="str">
        <f>IF(AND($R276&gt;0,données_step[[#This Row],[E_COT]]&gt;0),données_step[[#This Row],[E_COT]],"")</f>
        <v/>
      </c>
      <c r="Z276" s="523" t="str">
        <f>IF(Y276="","",(1-données_step[[#This Row],[E_COT]]/$AB$7)*100)</f>
        <v/>
      </c>
      <c r="AA276" s="523" t="str">
        <f t="shared" si="68"/>
        <v/>
      </c>
      <c r="AB276" s="523" t="str">
        <f t="shared" si="69"/>
        <v/>
      </c>
      <c r="AC276" s="523" t="str">
        <f t="shared" si="70"/>
        <v/>
      </c>
      <c r="AD276" s="523" t="e">
        <f>IF(((100-100/$AB$7*données_step[[#This Row],[E_COT]])/100*QTS)&lt;0,NA(),IF(OR(AA276&lt;0,AA276=""),NA(),((100-100/$AB$7*données_step[[#This Row],[E_COT]])/100*QTS)))</f>
        <v>#NUM!</v>
      </c>
      <c r="AE276" s="523" t="str">
        <f>IF(AND($R276&gt;0,données_step[[#This Row],[E_NH4]]&gt;0),données_step[[#This Row],[E_NH4]],"")</f>
        <v/>
      </c>
      <c r="AF276" s="523" t="str">
        <f>IF(AE276="","",(1-données_step[[#This Row],[E_NH4]]/$AH$7)*100)</f>
        <v/>
      </c>
      <c r="AG276" s="523" t="str">
        <f t="shared" si="71"/>
        <v/>
      </c>
      <c r="AH276" s="523" t="str">
        <f t="shared" si="72"/>
        <v/>
      </c>
      <c r="AI276" s="523" t="str">
        <f t="shared" si="73"/>
        <v/>
      </c>
      <c r="AJ276" s="523" t="e">
        <f>IF(((100-100/$AH$7*données_step[[#This Row],[E_NH4]])/100*QTS)&lt;0,NA(),IF(OR(AG276&lt;0,AG276=""),NA(),((100-100/$AH$7*données_step[[#This Row],[E_NH4]])/100*QTS)))</f>
        <v>#NUM!</v>
      </c>
      <c r="AK276" s="523" t="str">
        <f>IF(AND($R276&gt;0,données_step[[#This Row],[E_PTOT]]&gt;0),données_step[[#This Row],[E_PTOT]],"")</f>
        <v/>
      </c>
      <c r="AL276" s="523" t="str">
        <f>IF(AK276="","",(1-données_step[[#This Row],[E_PTOT]]/$AN$7)*100)</f>
        <v/>
      </c>
      <c r="AM276" s="523" t="str">
        <f t="shared" si="74"/>
        <v/>
      </c>
      <c r="AN276" s="523" t="str">
        <f t="shared" si="75"/>
        <v/>
      </c>
      <c r="AO276" s="523" t="str">
        <f t="shared" si="76"/>
        <v/>
      </c>
      <c r="AP276" s="523" t="e">
        <f>IF(((100-100/$AN$7*données_step[[#This Row],[E_PTOT]])/100*QTS)&lt;0,NA(),IF(OR(AM276&lt;0,AM276=""),NA(),((100-100/$AN$7*données_step[[#This Row],[E_PTOT]])/100*QTS)))</f>
        <v>#NUM!</v>
      </c>
      <c r="AQ276" s="524" t="e">
        <f t="shared" si="77"/>
        <v>#NUM!</v>
      </c>
      <c r="AR276" s="524" t="str">
        <f t="shared" si="78"/>
        <v/>
      </c>
      <c r="AY276" s="523" t="str">
        <f>_xlfn.IFNA(IF(données_step[[#This Row],[E_DCO]]&lt;=0,NA(),charge_entree[[#This Row],[ch_E_DCO]]/constanten!$B$8*1000),"")</f>
        <v/>
      </c>
      <c r="AZ276" s="523" t="str">
        <f>_xlfn.IFNA(IF(données_step[[#This Row],[E_NTOT]]&lt;=0,NA(),charge_entree[[#This Row],[ch_E_NTOT]]/constanten!$B$10*1000),"")</f>
        <v/>
      </c>
      <c r="BA276" s="523" t="str">
        <f>_xlfn.IFNA(IF(données_step[[#This Row],[E_NH4]]&lt;=0,NA(),charge_entree[[#This Row],[ch_E_NH4]]/constanten!$B$12*1000),"")</f>
        <v/>
      </c>
      <c r="BB276" s="523" t="str">
        <f>_xlfn.IFNA(IF(données_step[[#This Row],[E_COT]]&lt;=0,NA(),charge_entree[[#This Row],[ch_E_COT]]/constanten!$B$9*1000),"")</f>
        <v/>
      </c>
      <c r="BC276" s="523" t="str">
        <f>IFERROR(_xlfn.IFNA(IF(données_step[[#This Row],[E_PTOT]]&lt;=0,NA(),charge_entree[[#This Row],[ch_E_PTOT]]/constanten!$B$15*1000),""),"")</f>
        <v/>
      </c>
      <c r="BD276" s="535" t="e">
        <f>calculs!E276 * (1-0.4) / (données_step[[#This Row],[X_BA_VOL]]*données_step[[#This Row],[X_BACONC]])</f>
        <v>#VALUE!</v>
      </c>
      <c r="BE276" s="522" t="e">
        <f>(données_step[[#This Row],[X_BA_VOL]]*données_step[[#This Row],[X_BACONC]])/((données_step[[#This Row],[D_QTRAI2]]*données_step[[#This Row],[S_MES]]/1000)+(données_step[[#This Row],[X_BX_Q]]*données_step[[#This Row],[X_BXCONC]]))</f>
        <v>#VALUE!</v>
      </c>
      <c r="BF276" s="890" t="str">
        <f>IFERROR(données_step[[#This Row],[D_QTRAI]]/AY276*1000,"")</f>
        <v/>
      </c>
      <c r="BG276" s="535" t="str">
        <f>IFERROR(1-données_step[[#This Row],[S_DBO5]]/données_step[[#This Row],[E_DBO5]],"")</f>
        <v/>
      </c>
      <c r="BH276" s="536" t="str">
        <f>IFERROR(1-données_step[[#This Row],[S_DCO]]/données_step[[#This Row],[E_DCO]],"")</f>
        <v/>
      </c>
      <c r="BI276" s="535" t="str">
        <f>IFERROR(1-données_step[[#This Row],[S_COD]]/données_step[[#This Row],[E_COT]],"")</f>
        <v/>
      </c>
      <c r="BJ276" s="535" t="str">
        <f>IFERROR(1-données_step[[#This Row],[S_NH4]]/données_step[[#This Row],[E_NTOT]],"")</f>
        <v/>
      </c>
      <c r="BK276" s="535" t="str">
        <f>IFERROR(1-données_step[[#This Row],[S_PTOT]]/données_step[[#This Row],[E_PTOT]],"")</f>
        <v/>
      </c>
      <c r="BL276" s="521" t="str">
        <f>IFERROR(IF(données_step[[#This Row],[E_DCO]]/données_step[[#This Row],[E_DBO5]]=0,NA(),données_step[[#This Row],[E_DCO]]/données_step[[#This Row],[E_DBO5]]),"")</f>
        <v/>
      </c>
      <c r="BM276" s="521" t="str">
        <f>IFERROR(IF(données_step[[#This Row],[E_NH4]]/données_step[[#This Row],[E_NTOT]]=0,NA(),données_step[[#This Row],[E_NH4]]/données_step[[#This Row],[E_NTOT]]),"")</f>
        <v/>
      </c>
      <c r="BN276" s="521" t="str">
        <f>IFERROR(IF(données_step[[#This Row],[E_NTOT]]/données_step[[#This Row],[E_COT]]=0,NA(),données_step[[#This Row],[E_NTOT]]/données_step[[#This Row],[E_COT]]),"")</f>
        <v/>
      </c>
      <c r="BO276" s="521" t="str">
        <f>IFERROR(IF(données_step[[#This Row],[E_PTOT]]/données_step[[#This Row],[E_COT]]=0,NA(),données_step[[#This Row],[E_PTOT]]/données_step[[#This Row],[E_COT]]),"")</f>
        <v/>
      </c>
      <c r="BP276" s="521" t="e">
        <f>IF(données_step[[#This Row],[E_DCO]]/données_step[[#This Row],[E_COT]]=0,NA(),données_step[[#This Row],[E_DCO]]/données_step[[#This Row],[E_COT]])</f>
        <v>#DIV/0!</v>
      </c>
      <c r="BQ276" s="521" t="e">
        <f>IF(données_step[[#This Row],[E_NTOT]]/données_step[[#This Row],[E_DCO]]=0,NA(),données_step[[#This Row],[E_NTOT]]/données_step[[#This Row],[E_DCO]])</f>
        <v>#DIV/0!</v>
      </c>
      <c r="BR276" s="521" t="e">
        <f>IF(données_step[[#This Row],[E_PTOT]]/données_step[[#This Row],[E_DCO]]=0,NA(),données_step[[#This Row],[E_PTOT]]/données_step[[#This Row],[E_DCO]])</f>
        <v>#DIV/0!</v>
      </c>
      <c r="BS276" s="747" t="e">
        <f ca="1">test_NH4_temp(données_step[[#This Row],[S_NH4]],données_step[[#This Row],[Temp_eaux]])</f>
        <v>#NAME?</v>
      </c>
    </row>
    <row r="277" spans="1:71" x14ac:dyDescent="0.2">
      <c r="A277" s="222">
        <f>données_step[[#This Row],[Datum]]</f>
        <v>44828</v>
      </c>
      <c r="B277" s="223"/>
      <c r="C277" s="224">
        <f t="shared" si="64"/>
        <v>7</v>
      </c>
      <c r="D277" s="523" t="str">
        <f>IF(OR(données_step[[#This Row],[E_DBO5]]&lt;=0,données_step[[#This Row],[E_DBO5]]=""),"",données_step[[#This Row],[D_QTRAI]]*données_step[[#This Row],[E_DBO5]]/1000)</f>
        <v/>
      </c>
      <c r="E277" s="523" t="str">
        <f>IF(OR(données_step[[#This Row],[E_DCO]]&lt;=0,données_step[[#This Row],[E_DCO]]=""),"",données_step[[#This Row],[D_QTRAI]]*données_step[[#This Row],[E_DCO]]/1000)</f>
        <v/>
      </c>
      <c r="F277" s="523" t="str">
        <f>IF(OR(données_step[[#This Row],[E_COT]]&lt;=0,données_step[[#This Row],[E_COT]]=""),"",données_step[[#This Row],[D_QTRAI]]*données_step[[#This Row],[E_COT]]/1000)</f>
        <v/>
      </c>
      <c r="G277" s="523" t="str">
        <f>IF(OR(données_step[[#This Row],[E_NH4]]&lt;=0,données_step[[#This Row],[E_NH4]]=""),"",données_step[[#This Row],[D_QTRAI]]*données_step[[#This Row],[E_NH4]]/1000)</f>
        <v/>
      </c>
      <c r="H277" s="523" t="str">
        <f>IF(OR(données_step[[#This Row],[E_NTOT]]&lt;=0,données_step[[#This Row],[E_NTOT]]=""),"",données_step[[#This Row],[D_QTRAI]]*données_step[[#This Row],[E_NTOT]]/1000)</f>
        <v/>
      </c>
      <c r="I277" s="523" t="str">
        <f>IF(OR(données_step[[#This Row],[E_NTOT]]&lt;=0,données_step[[#This Row],[E_NTOT]]=""),"",données_step[[#This Row],[D_QTRAI]]*données_step[[#This Row],[E_PTOT]]/1000)</f>
        <v/>
      </c>
      <c r="J277" s="523" t="str">
        <f>IF(OR(données_step[[#This Row],[S_DBO5]]&lt;=0,données_step[[#This Row],[S_DBO5]]=""),"",données_step[[#This Row],[D_QTRAI]]*données_step[[#This Row],[S_DBO5]]/1000)</f>
        <v/>
      </c>
      <c r="K277" s="523" t="str">
        <f>IF(OR(données_step[[#This Row],[S_DCO]]&lt;=0,données_step[[#This Row],[S_DCO]]=""),"",données_step[[#This Row],[D_QTRAI]]*données_step[[#This Row],[S_DCO]]/1000)</f>
        <v/>
      </c>
      <c r="L277" s="523" t="str">
        <f>IF(OR(données_step[[#This Row],[S_COD]]&lt;=0,données_step[[#This Row],[S_COD]]=""),"",données_step[[#This Row],[D_QTRAI]]*données_step[[#This Row],[S_COD]]/1000)</f>
        <v/>
      </c>
      <c r="M277" s="523" t="str">
        <f>IF(OR(données_step[[#This Row],[S_NH4]]&lt;=0,données_step[[#This Row],[S_NH4]]=""),"",données_step[[#This Row],[D_QTRAI]]*données_step[[#This Row],[S_NH4]]/1000)</f>
        <v/>
      </c>
      <c r="N277" s="523" t="str">
        <f>IF(OR(données_step[[#This Row],[S_NO2]]&lt;=0,données_step[[#This Row],[S_NO2]]=""),"",données_step[[#This Row],[D_QTRAI]]*données_step[[#This Row],[S_NO2]]/1000)</f>
        <v/>
      </c>
      <c r="O277" s="523" t="str">
        <f>IF(OR(données_step[[#This Row],[S_NO3]]&lt;=0,données_step[[#This Row],[S_NO3]]=""),"",données_step[[#This Row],[D_QTRAI]]*données_step[[#This Row],[S_NO3]]/1000)</f>
        <v/>
      </c>
      <c r="P277" s="523" t="str">
        <f>IF(OR(données_step[[#This Row],[S_PTOT]]&lt;=0,données_step[[#This Row],[S_PTOT]]=""),"",données_step[[#This Row],[D_QTRAI]]*données_step[[#This Row],[S_PTOT]]/1000)</f>
        <v/>
      </c>
      <c r="Q277" s="523" t="str">
        <f>IF(OR(données_step[[#This Row],[S_MES]]&lt;=0,données_step[[#This Row],[S_MES]]=""),"",données_step[[#This Row],[D_QTRAI]]*données_step[[#This Row],[S_MES]]/1000)</f>
        <v/>
      </c>
      <c r="R277" s="523">
        <f>MAX(données_step[[#This Row],[D_QTRAI]],données_step[[#This Row],[D_QTRAI2]])</f>
        <v>0</v>
      </c>
      <c r="S277" s="523" t="str">
        <f>IF(AND($R277&gt;0,données_step[[#This Row],[E_DCO]]&gt;0),données_step[[#This Row],[E_DCO]],"")</f>
        <v/>
      </c>
      <c r="T277" s="523" t="str">
        <f>IF(S277="","",(1-données_step[[#This Row],[E_DCO]]/$V$7)*100)</f>
        <v/>
      </c>
      <c r="U277" s="523" t="str">
        <f t="shared" si="65"/>
        <v/>
      </c>
      <c r="V277" s="523" t="str">
        <f t="shared" si="66"/>
        <v/>
      </c>
      <c r="W277" s="523" t="str">
        <f t="shared" si="67"/>
        <v/>
      </c>
      <c r="X277" s="523" t="e">
        <f>IF(((100-100/$V$7*données_step[[#This Row],[E_DCO]])/100*QTS)&lt;0,NA(),IF(OR(U277&lt;0,U277=""),NA(),((100-100/$V$7*données_step[[#This Row],[E_DCO]])/100*QTS)))</f>
        <v>#NUM!</v>
      </c>
      <c r="Y277" s="523" t="str">
        <f>IF(AND($R277&gt;0,données_step[[#This Row],[E_COT]]&gt;0),données_step[[#This Row],[E_COT]],"")</f>
        <v/>
      </c>
      <c r="Z277" s="523" t="str">
        <f>IF(Y277="","",(1-données_step[[#This Row],[E_COT]]/$AB$7)*100)</f>
        <v/>
      </c>
      <c r="AA277" s="523" t="str">
        <f t="shared" si="68"/>
        <v/>
      </c>
      <c r="AB277" s="523" t="str">
        <f t="shared" si="69"/>
        <v/>
      </c>
      <c r="AC277" s="523" t="str">
        <f t="shared" si="70"/>
        <v/>
      </c>
      <c r="AD277" s="523" t="e">
        <f>IF(((100-100/$AB$7*données_step[[#This Row],[E_COT]])/100*QTS)&lt;0,NA(),IF(OR(AA277&lt;0,AA277=""),NA(),((100-100/$AB$7*données_step[[#This Row],[E_COT]])/100*QTS)))</f>
        <v>#NUM!</v>
      </c>
      <c r="AE277" s="523" t="str">
        <f>IF(AND($R277&gt;0,données_step[[#This Row],[E_NH4]]&gt;0),données_step[[#This Row],[E_NH4]],"")</f>
        <v/>
      </c>
      <c r="AF277" s="523" t="str">
        <f>IF(AE277="","",(1-données_step[[#This Row],[E_NH4]]/$AH$7)*100)</f>
        <v/>
      </c>
      <c r="AG277" s="523" t="str">
        <f t="shared" si="71"/>
        <v/>
      </c>
      <c r="AH277" s="523" t="str">
        <f t="shared" si="72"/>
        <v/>
      </c>
      <c r="AI277" s="523" t="str">
        <f t="shared" si="73"/>
        <v/>
      </c>
      <c r="AJ277" s="523" t="e">
        <f>IF(((100-100/$AH$7*données_step[[#This Row],[E_NH4]])/100*QTS)&lt;0,NA(),IF(OR(AG277&lt;0,AG277=""),NA(),((100-100/$AH$7*données_step[[#This Row],[E_NH4]])/100*QTS)))</f>
        <v>#NUM!</v>
      </c>
      <c r="AK277" s="523" t="str">
        <f>IF(AND($R277&gt;0,données_step[[#This Row],[E_PTOT]]&gt;0),données_step[[#This Row],[E_PTOT]],"")</f>
        <v/>
      </c>
      <c r="AL277" s="523" t="str">
        <f>IF(AK277="","",(1-données_step[[#This Row],[E_PTOT]]/$AN$7)*100)</f>
        <v/>
      </c>
      <c r="AM277" s="523" t="str">
        <f t="shared" si="74"/>
        <v/>
      </c>
      <c r="AN277" s="523" t="str">
        <f t="shared" si="75"/>
        <v/>
      </c>
      <c r="AO277" s="523" t="str">
        <f t="shared" si="76"/>
        <v/>
      </c>
      <c r="AP277" s="523" t="e">
        <f>IF(((100-100/$AN$7*données_step[[#This Row],[E_PTOT]])/100*QTS)&lt;0,NA(),IF(OR(AM277&lt;0,AM277=""),NA(),((100-100/$AN$7*données_step[[#This Row],[E_PTOT]])/100*QTS)))</f>
        <v>#NUM!</v>
      </c>
      <c r="AQ277" s="524" t="e">
        <f t="shared" si="77"/>
        <v>#NUM!</v>
      </c>
      <c r="AR277" s="524" t="str">
        <f t="shared" si="78"/>
        <v/>
      </c>
      <c r="AY277" s="523" t="str">
        <f>_xlfn.IFNA(IF(données_step[[#This Row],[E_DCO]]&lt;=0,NA(),charge_entree[[#This Row],[ch_E_DCO]]/constanten!$B$8*1000),"")</f>
        <v/>
      </c>
      <c r="AZ277" s="523" t="str">
        <f>_xlfn.IFNA(IF(données_step[[#This Row],[E_NTOT]]&lt;=0,NA(),charge_entree[[#This Row],[ch_E_NTOT]]/constanten!$B$10*1000),"")</f>
        <v/>
      </c>
      <c r="BA277" s="523" t="str">
        <f>_xlfn.IFNA(IF(données_step[[#This Row],[E_NH4]]&lt;=0,NA(),charge_entree[[#This Row],[ch_E_NH4]]/constanten!$B$12*1000),"")</f>
        <v/>
      </c>
      <c r="BB277" s="523" t="str">
        <f>_xlfn.IFNA(IF(données_step[[#This Row],[E_COT]]&lt;=0,NA(),charge_entree[[#This Row],[ch_E_COT]]/constanten!$B$9*1000),"")</f>
        <v/>
      </c>
      <c r="BC277" s="523" t="str">
        <f>IFERROR(_xlfn.IFNA(IF(données_step[[#This Row],[E_PTOT]]&lt;=0,NA(),charge_entree[[#This Row],[ch_E_PTOT]]/constanten!$B$15*1000),""),"")</f>
        <v/>
      </c>
      <c r="BD277" s="535" t="e">
        <f>calculs!E277 * (1-0.4) / (données_step[[#This Row],[X_BA_VOL]]*données_step[[#This Row],[X_BACONC]])</f>
        <v>#VALUE!</v>
      </c>
      <c r="BE277" s="522" t="e">
        <f>(données_step[[#This Row],[X_BA_VOL]]*données_step[[#This Row],[X_BACONC]])/((données_step[[#This Row],[D_QTRAI2]]*données_step[[#This Row],[S_MES]]/1000)+(données_step[[#This Row],[X_BX_Q]]*données_step[[#This Row],[X_BXCONC]]))</f>
        <v>#VALUE!</v>
      </c>
      <c r="BF277" s="890" t="str">
        <f>IFERROR(données_step[[#This Row],[D_QTRAI]]/AY277*1000,"")</f>
        <v/>
      </c>
      <c r="BG277" s="535" t="str">
        <f>IFERROR(1-données_step[[#This Row],[S_DBO5]]/données_step[[#This Row],[E_DBO5]],"")</f>
        <v/>
      </c>
      <c r="BH277" s="536" t="str">
        <f>IFERROR(1-données_step[[#This Row],[S_DCO]]/données_step[[#This Row],[E_DCO]],"")</f>
        <v/>
      </c>
      <c r="BI277" s="535" t="str">
        <f>IFERROR(1-données_step[[#This Row],[S_COD]]/données_step[[#This Row],[E_COT]],"")</f>
        <v/>
      </c>
      <c r="BJ277" s="535" t="str">
        <f>IFERROR(1-données_step[[#This Row],[S_NH4]]/données_step[[#This Row],[E_NTOT]],"")</f>
        <v/>
      </c>
      <c r="BK277" s="535" t="str">
        <f>IFERROR(1-données_step[[#This Row],[S_PTOT]]/données_step[[#This Row],[E_PTOT]],"")</f>
        <v/>
      </c>
      <c r="BL277" s="521" t="str">
        <f>IFERROR(IF(données_step[[#This Row],[E_DCO]]/données_step[[#This Row],[E_DBO5]]=0,NA(),données_step[[#This Row],[E_DCO]]/données_step[[#This Row],[E_DBO5]]),"")</f>
        <v/>
      </c>
      <c r="BM277" s="521" t="str">
        <f>IFERROR(IF(données_step[[#This Row],[E_NH4]]/données_step[[#This Row],[E_NTOT]]=0,NA(),données_step[[#This Row],[E_NH4]]/données_step[[#This Row],[E_NTOT]]),"")</f>
        <v/>
      </c>
      <c r="BN277" s="521" t="str">
        <f>IFERROR(IF(données_step[[#This Row],[E_NTOT]]/données_step[[#This Row],[E_COT]]=0,NA(),données_step[[#This Row],[E_NTOT]]/données_step[[#This Row],[E_COT]]),"")</f>
        <v/>
      </c>
      <c r="BO277" s="521" t="str">
        <f>IFERROR(IF(données_step[[#This Row],[E_PTOT]]/données_step[[#This Row],[E_COT]]=0,NA(),données_step[[#This Row],[E_PTOT]]/données_step[[#This Row],[E_COT]]),"")</f>
        <v/>
      </c>
      <c r="BP277" s="521" t="e">
        <f>IF(données_step[[#This Row],[E_DCO]]/données_step[[#This Row],[E_COT]]=0,NA(),données_step[[#This Row],[E_DCO]]/données_step[[#This Row],[E_COT]])</f>
        <v>#DIV/0!</v>
      </c>
      <c r="BQ277" s="521" t="e">
        <f>IF(données_step[[#This Row],[E_NTOT]]/données_step[[#This Row],[E_DCO]]=0,NA(),données_step[[#This Row],[E_NTOT]]/données_step[[#This Row],[E_DCO]])</f>
        <v>#DIV/0!</v>
      </c>
      <c r="BR277" s="521" t="e">
        <f>IF(données_step[[#This Row],[E_PTOT]]/données_step[[#This Row],[E_DCO]]=0,NA(),données_step[[#This Row],[E_PTOT]]/données_step[[#This Row],[E_DCO]])</f>
        <v>#DIV/0!</v>
      </c>
      <c r="BS277" s="747" t="e">
        <f ca="1">test_NH4_temp(données_step[[#This Row],[S_NH4]],données_step[[#This Row],[Temp_eaux]])</f>
        <v>#NAME?</v>
      </c>
    </row>
    <row r="278" spans="1:71" x14ac:dyDescent="0.2">
      <c r="A278" s="222">
        <f>données_step[[#This Row],[Datum]]</f>
        <v>44829</v>
      </c>
      <c r="B278" s="223"/>
      <c r="C278" s="224">
        <f t="shared" si="64"/>
        <v>1</v>
      </c>
      <c r="D278" s="523" t="str">
        <f>IF(OR(données_step[[#This Row],[E_DBO5]]&lt;=0,données_step[[#This Row],[E_DBO5]]=""),"",données_step[[#This Row],[D_QTRAI]]*données_step[[#This Row],[E_DBO5]]/1000)</f>
        <v/>
      </c>
      <c r="E278" s="523" t="str">
        <f>IF(OR(données_step[[#This Row],[E_DCO]]&lt;=0,données_step[[#This Row],[E_DCO]]=""),"",données_step[[#This Row],[D_QTRAI]]*données_step[[#This Row],[E_DCO]]/1000)</f>
        <v/>
      </c>
      <c r="F278" s="523" t="str">
        <f>IF(OR(données_step[[#This Row],[E_COT]]&lt;=0,données_step[[#This Row],[E_COT]]=""),"",données_step[[#This Row],[D_QTRAI]]*données_step[[#This Row],[E_COT]]/1000)</f>
        <v/>
      </c>
      <c r="G278" s="523" t="str">
        <f>IF(OR(données_step[[#This Row],[E_NH4]]&lt;=0,données_step[[#This Row],[E_NH4]]=""),"",données_step[[#This Row],[D_QTRAI]]*données_step[[#This Row],[E_NH4]]/1000)</f>
        <v/>
      </c>
      <c r="H278" s="523" t="str">
        <f>IF(OR(données_step[[#This Row],[E_NTOT]]&lt;=0,données_step[[#This Row],[E_NTOT]]=""),"",données_step[[#This Row],[D_QTRAI]]*données_step[[#This Row],[E_NTOT]]/1000)</f>
        <v/>
      </c>
      <c r="I278" s="523" t="str">
        <f>IF(OR(données_step[[#This Row],[E_NTOT]]&lt;=0,données_step[[#This Row],[E_NTOT]]=""),"",données_step[[#This Row],[D_QTRAI]]*données_step[[#This Row],[E_PTOT]]/1000)</f>
        <v/>
      </c>
      <c r="J278" s="523" t="str">
        <f>IF(OR(données_step[[#This Row],[S_DBO5]]&lt;=0,données_step[[#This Row],[S_DBO5]]=""),"",données_step[[#This Row],[D_QTRAI]]*données_step[[#This Row],[S_DBO5]]/1000)</f>
        <v/>
      </c>
      <c r="K278" s="523" t="str">
        <f>IF(OR(données_step[[#This Row],[S_DCO]]&lt;=0,données_step[[#This Row],[S_DCO]]=""),"",données_step[[#This Row],[D_QTRAI]]*données_step[[#This Row],[S_DCO]]/1000)</f>
        <v/>
      </c>
      <c r="L278" s="523" t="str">
        <f>IF(OR(données_step[[#This Row],[S_COD]]&lt;=0,données_step[[#This Row],[S_COD]]=""),"",données_step[[#This Row],[D_QTRAI]]*données_step[[#This Row],[S_COD]]/1000)</f>
        <v/>
      </c>
      <c r="M278" s="523" t="str">
        <f>IF(OR(données_step[[#This Row],[S_NH4]]&lt;=0,données_step[[#This Row],[S_NH4]]=""),"",données_step[[#This Row],[D_QTRAI]]*données_step[[#This Row],[S_NH4]]/1000)</f>
        <v/>
      </c>
      <c r="N278" s="523" t="str">
        <f>IF(OR(données_step[[#This Row],[S_NO2]]&lt;=0,données_step[[#This Row],[S_NO2]]=""),"",données_step[[#This Row],[D_QTRAI]]*données_step[[#This Row],[S_NO2]]/1000)</f>
        <v/>
      </c>
      <c r="O278" s="523" t="str">
        <f>IF(OR(données_step[[#This Row],[S_NO3]]&lt;=0,données_step[[#This Row],[S_NO3]]=""),"",données_step[[#This Row],[D_QTRAI]]*données_step[[#This Row],[S_NO3]]/1000)</f>
        <v/>
      </c>
      <c r="P278" s="523" t="str">
        <f>IF(OR(données_step[[#This Row],[S_PTOT]]&lt;=0,données_step[[#This Row],[S_PTOT]]=""),"",données_step[[#This Row],[D_QTRAI]]*données_step[[#This Row],[S_PTOT]]/1000)</f>
        <v/>
      </c>
      <c r="Q278" s="523" t="str">
        <f>IF(OR(données_step[[#This Row],[S_MES]]&lt;=0,données_step[[#This Row],[S_MES]]=""),"",données_step[[#This Row],[D_QTRAI]]*données_step[[#This Row],[S_MES]]/1000)</f>
        <v/>
      </c>
      <c r="R278" s="523">
        <f>MAX(données_step[[#This Row],[D_QTRAI]],données_step[[#This Row],[D_QTRAI2]])</f>
        <v>0</v>
      </c>
      <c r="S278" s="523" t="str">
        <f>IF(AND($R278&gt;0,données_step[[#This Row],[E_DCO]]&gt;0),données_step[[#This Row],[E_DCO]],"")</f>
        <v/>
      </c>
      <c r="T278" s="523" t="str">
        <f>IF(S278="","",(1-données_step[[#This Row],[E_DCO]]/$V$7)*100)</f>
        <v/>
      </c>
      <c r="U278" s="523" t="str">
        <f t="shared" si="65"/>
        <v/>
      </c>
      <c r="V278" s="523" t="str">
        <f t="shared" si="66"/>
        <v/>
      </c>
      <c r="W278" s="523" t="str">
        <f t="shared" si="67"/>
        <v/>
      </c>
      <c r="X278" s="523" t="e">
        <f>IF(((100-100/$V$7*données_step[[#This Row],[E_DCO]])/100*QTS)&lt;0,NA(),IF(OR(U278&lt;0,U278=""),NA(),((100-100/$V$7*données_step[[#This Row],[E_DCO]])/100*QTS)))</f>
        <v>#NUM!</v>
      </c>
      <c r="Y278" s="523" t="str">
        <f>IF(AND($R278&gt;0,données_step[[#This Row],[E_COT]]&gt;0),données_step[[#This Row],[E_COT]],"")</f>
        <v/>
      </c>
      <c r="Z278" s="523" t="str">
        <f>IF(Y278="","",(1-données_step[[#This Row],[E_COT]]/$AB$7)*100)</f>
        <v/>
      </c>
      <c r="AA278" s="523" t="str">
        <f t="shared" si="68"/>
        <v/>
      </c>
      <c r="AB278" s="523" t="str">
        <f t="shared" si="69"/>
        <v/>
      </c>
      <c r="AC278" s="523" t="str">
        <f t="shared" si="70"/>
        <v/>
      </c>
      <c r="AD278" s="523" t="e">
        <f>IF(((100-100/$AB$7*données_step[[#This Row],[E_COT]])/100*QTS)&lt;0,NA(),IF(OR(AA278&lt;0,AA278=""),NA(),((100-100/$AB$7*données_step[[#This Row],[E_COT]])/100*QTS)))</f>
        <v>#NUM!</v>
      </c>
      <c r="AE278" s="523" t="str">
        <f>IF(AND($R278&gt;0,données_step[[#This Row],[E_NH4]]&gt;0),données_step[[#This Row],[E_NH4]],"")</f>
        <v/>
      </c>
      <c r="AF278" s="523" t="str">
        <f>IF(AE278="","",(1-données_step[[#This Row],[E_NH4]]/$AH$7)*100)</f>
        <v/>
      </c>
      <c r="AG278" s="523" t="str">
        <f t="shared" si="71"/>
        <v/>
      </c>
      <c r="AH278" s="523" t="str">
        <f t="shared" si="72"/>
        <v/>
      </c>
      <c r="AI278" s="523" t="str">
        <f t="shared" si="73"/>
        <v/>
      </c>
      <c r="AJ278" s="523" t="e">
        <f>IF(((100-100/$AH$7*données_step[[#This Row],[E_NH4]])/100*QTS)&lt;0,NA(),IF(OR(AG278&lt;0,AG278=""),NA(),((100-100/$AH$7*données_step[[#This Row],[E_NH4]])/100*QTS)))</f>
        <v>#NUM!</v>
      </c>
      <c r="AK278" s="523" t="str">
        <f>IF(AND($R278&gt;0,données_step[[#This Row],[E_PTOT]]&gt;0),données_step[[#This Row],[E_PTOT]],"")</f>
        <v/>
      </c>
      <c r="AL278" s="523" t="str">
        <f>IF(AK278="","",(1-données_step[[#This Row],[E_PTOT]]/$AN$7)*100)</f>
        <v/>
      </c>
      <c r="AM278" s="523" t="str">
        <f t="shared" si="74"/>
        <v/>
      </c>
      <c r="AN278" s="523" t="str">
        <f t="shared" si="75"/>
        <v/>
      </c>
      <c r="AO278" s="523" t="str">
        <f t="shared" si="76"/>
        <v/>
      </c>
      <c r="AP278" s="523" t="e">
        <f>IF(((100-100/$AN$7*données_step[[#This Row],[E_PTOT]])/100*QTS)&lt;0,NA(),IF(OR(AM278&lt;0,AM278=""),NA(),((100-100/$AN$7*données_step[[#This Row],[E_PTOT]])/100*QTS)))</f>
        <v>#NUM!</v>
      </c>
      <c r="AQ278" s="524" t="e">
        <f t="shared" si="77"/>
        <v>#NUM!</v>
      </c>
      <c r="AR278" s="524" t="str">
        <f t="shared" si="78"/>
        <v/>
      </c>
      <c r="AY278" s="523" t="str">
        <f>_xlfn.IFNA(IF(données_step[[#This Row],[E_DCO]]&lt;=0,NA(),charge_entree[[#This Row],[ch_E_DCO]]/constanten!$B$8*1000),"")</f>
        <v/>
      </c>
      <c r="AZ278" s="523" t="str">
        <f>_xlfn.IFNA(IF(données_step[[#This Row],[E_NTOT]]&lt;=0,NA(),charge_entree[[#This Row],[ch_E_NTOT]]/constanten!$B$10*1000),"")</f>
        <v/>
      </c>
      <c r="BA278" s="523" t="str">
        <f>_xlfn.IFNA(IF(données_step[[#This Row],[E_NH4]]&lt;=0,NA(),charge_entree[[#This Row],[ch_E_NH4]]/constanten!$B$12*1000),"")</f>
        <v/>
      </c>
      <c r="BB278" s="523" t="str">
        <f>_xlfn.IFNA(IF(données_step[[#This Row],[E_COT]]&lt;=0,NA(),charge_entree[[#This Row],[ch_E_COT]]/constanten!$B$9*1000),"")</f>
        <v/>
      </c>
      <c r="BC278" s="523" t="str">
        <f>IFERROR(_xlfn.IFNA(IF(données_step[[#This Row],[E_PTOT]]&lt;=0,NA(),charge_entree[[#This Row],[ch_E_PTOT]]/constanten!$B$15*1000),""),"")</f>
        <v/>
      </c>
      <c r="BD278" s="535" t="e">
        <f>calculs!E278 * (1-0.4) / (données_step[[#This Row],[X_BA_VOL]]*données_step[[#This Row],[X_BACONC]])</f>
        <v>#VALUE!</v>
      </c>
      <c r="BE278" s="522" t="e">
        <f>(données_step[[#This Row],[X_BA_VOL]]*données_step[[#This Row],[X_BACONC]])/((données_step[[#This Row],[D_QTRAI2]]*données_step[[#This Row],[S_MES]]/1000)+(données_step[[#This Row],[X_BX_Q]]*données_step[[#This Row],[X_BXCONC]]))</f>
        <v>#VALUE!</v>
      </c>
      <c r="BF278" s="890" t="str">
        <f>IFERROR(données_step[[#This Row],[D_QTRAI]]/AY278*1000,"")</f>
        <v/>
      </c>
      <c r="BG278" s="535" t="str">
        <f>IFERROR(1-données_step[[#This Row],[S_DBO5]]/données_step[[#This Row],[E_DBO5]],"")</f>
        <v/>
      </c>
      <c r="BH278" s="536" t="str">
        <f>IFERROR(1-données_step[[#This Row],[S_DCO]]/données_step[[#This Row],[E_DCO]],"")</f>
        <v/>
      </c>
      <c r="BI278" s="535" t="str">
        <f>IFERROR(1-données_step[[#This Row],[S_COD]]/données_step[[#This Row],[E_COT]],"")</f>
        <v/>
      </c>
      <c r="BJ278" s="535" t="str">
        <f>IFERROR(1-données_step[[#This Row],[S_NH4]]/données_step[[#This Row],[E_NTOT]],"")</f>
        <v/>
      </c>
      <c r="BK278" s="535" t="str">
        <f>IFERROR(1-données_step[[#This Row],[S_PTOT]]/données_step[[#This Row],[E_PTOT]],"")</f>
        <v/>
      </c>
      <c r="BL278" s="521" t="str">
        <f>IFERROR(IF(données_step[[#This Row],[E_DCO]]/données_step[[#This Row],[E_DBO5]]=0,NA(),données_step[[#This Row],[E_DCO]]/données_step[[#This Row],[E_DBO5]]),"")</f>
        <v/>
      </c>
      <c r="BM278" s="521" t="str">
        <f>IFERROR(IF(données_step[[#This Row],[E_NH4]]/données_step[[#This Row],[E_NTOT]]=0,NA(),données_step[[#This Row],[E_NH4]]/données_step[[#This Row],[E_NTOT]]),"")</f>
        <v/>
      </c>
      <c r="BN278" s="521" t="str">
        <f>IFERROR(IF(données_step[[#This Row],[E_NTOT]]/données_step[[#This Row],[E_COT]]=0,NA(),données_step[[#This Row],[E_NTOT]]/données_step[[#This Row],[E_COT]]),"")</f>
        <v/>
      </c>
      <c r="BO278" s="521" t="str">
        <f>IFERROR(IF(données_step[[#This Row],[E_PTOT]]/données_step[[#This Row],[E_COT]]=0,NA(),données_step[[#This Row],[E_PTOT]]/données_step[[#This Row],[E_COT]]),"")</f>
        <v/>
      </c>
      <c r="BP278" s="521" t="e">
        <f>IF(données_step[[#This Row],[E_DCO]]/données_step[[#This Row],[E_COT]]=0,NA(),données_step[[#This Row],[E_DCO]]/données_step[[#This Row],[E_COT]])</f>
        <v>#DIV/0!</v>
      </c>
      <c r="BQ278" s="521" t="e">
        <f>IF(données_step[[#This Row],[E_NTOT]]/données_step[[#This Row],[E_DCO]]=0,NA(),données_step[[#This Row],[E_NTOT]]/données_step[[#This Row],[E_DCO]])</f>
        <v>#DIV/0!</v>
      </c>
      <c r="BR278" s="521" t="e">
        <f>IF(données_step[[#This Row],[E_PTOT]]/données_step[[#This Row],[E_DCO]]=0,NA(),données_step[[#This Row],[E_PTOT]]/données_step[[#This Row],[E_DCO]])</f>
        <v>#DIV/0!</v>
      </c>
      <c r="BS278" s="747" t="e">
        <f ca="1">test_NH4_temp(données_step[[#This Row],[S_NH4]],données_step[[#This Row],[Temp_eaux]])</f>
        <v>#NAME?</v>
      </c>
    </row>
    <row r="279" spans="1:71" x14ac:dyDescent="0.2">
      <c r="A279" s="222">
        <f>données_step[[#This Row],[Datum]]</f>
        <v>44830</v>
      </c>
      <c r="B279" s="223"/>
      <c r="C279" s="224">
        <f t="shared" si="64"/>
        <v>2</v>
      </c>
      <c r="D279" s="523" t="str">
        <f>IF(OR(données_step[[#This Row],[E_DBO5]]&lt;=0,données_step[[#This Row],[E_DBO5]]=""),"",données_step[[#This Row],[D_QTRAI]]*données_step[[#This Row],[E_DBO5]]/1000)</f>
        <v/>
      </c>
      <c r="E279" s="523" t="str">
        <f>IF(OR(données_step[[#This Row],[E_DCO]]&lt;=0,données_step[[#This Row],[E_DCO]]=""),"",données_step[[#This Row],[D_QTRAI]]*données_step[[#This Row],[E_DCO]]/1000)</f>
        <v/>
      </c>
      <c r="F279" s="523" t="str">
        <f>IF(OR(données_step[[#This Row],[E_COT]]&lt;=0,données_step[[#This Row],[E_COT]]=""),"",données_step[[#This Row],[D_QTRAI]]*données_step[[#This Row],[E_COT]]/1000)</f>
        <v/>
      </c>
      <c r="G279" s="523" t="str">
        <f>IF(OR(données_step[[#This Row],[E_NH4]]&lt;=0,données_step[[#This Row],[E_NH4]]=""),"",données_step[[#This Row],[D_QTRAI]]*données_step[[#This Row],[E_NH4]]/1000)</f>
        <v/>
      </c>
      <c r="H279" s="523" t="str">
        <f>IF(OR(données_step[[#This Row],[E_NTOT]]&lt;=0,données_step[[#This Row],[E_NTOT]]=""),"",données_step[[#This Row],[D_QTRAI]]*données_step[[#This Row],[E_NTOT]]/1000)</f>
        <v/>
      </c>
      <c r="I279" s="523" t="str">
        <f>IF(OR(données_step[[#This Row],[E_NTOT]]&lt;=0,données_step[[#This Row],[E_NTOT]]=""),"",données_step[[#This Row],[D_QTRAI]]*données_step[[#This Row],[E_PTOT]]/1000)</f>
        <v/>
      </c>
      <c r="J279" s="523" t="str">
        <f>IF(OR(données_step[[#This Row],[S_DBO5]]&lt;=0,données_step[[#This Row],[S_DBO5]]=""),"",données_step[[#This Row],[D_QTRAI]]*données_step[[#This Row],[S_DBO5]]/1000)</f>
        <v/>
      </c>
      <c r="K279" s="523" t="str">
        <f>IF(OR(données_step[[#This Row],[S_DCO]]&lt;=0,données_step[[#This Row],[S_DCO]]=""),"",données_step[[#This Row],[D_QTRAI]]*données_step[[#This Row],[S_DCO]]/1000)</f>
        <v/>
      </c>
      <c r="L279" s="523" t="str">
        <f>IF(OR(données_step[[#This Row],[S_COD]]&lt;=0,données_step[[#This Row],[S_COD]]=""),"",données_step[[#This Row],[D_QTRAI]]*données_step[[#This Row],[S_COD]]/1000)</f>
        <v/>
      </c>
      <c r="M279" s="523" t="str">
        <f>IF(OR(données_step[[#This Row],[S_NH4]]&lt;=0,données_step[[#This Row],[S_NH4]]=""),"",données_step[[#This Row],[D_QTRAI]]*données_step[[#This Row],[S_NH4]]/1000)</f>
        <v/>
      </c>
      <c r="N279" s="523" t="str">
        <f>IF(OR(données_step[[#This Row],[S_NO2]]&lt;=0,données_step[[#This Row],[S_NO2]]=""),"",données_step[[#This Row],[D_QTRAI]]*données_step[[#This Row],[S_NO2]]/1000)</f>
        <v/>
      </c>
      <c r="O279" s="523" t="str">
        <f>IF(OR(données_step[[#This Row],[S_NO3]]&lt;=0,données_step[[#This Row],[S_NO3]]=""),"",données_step[[#This Row],[D_QTRAI]]*données_step[[#This Row],[S_NO3]]/1000)</f>
        <v/>
      </c>
      <c r="P279" s="523" t="str">
        <f>IF(OR(données_step[[#This Row],[S_PTOT]]&lt;=0,données_step[[#This Row],[S_PTOT]]=""),"",données_step[[#This Row],[D_QTRAI]]*données_step[[#This Row],[S_PTOT]]/1000)</f>
        <v/>
      </c>
      <c r="Q279" s="523" t="str">
        <f>IF(OR(données_step[[#This Row],[S_MES]]&lt;=0,données_step[[#This Row],[S_MES]]=""),"",données_step[[#This Row],[D_QTRAI]]*données_step[[#This Row],[S_MES]]/1000)</f>
        <v/>
      </c>
      <c r="R279" s="523">
        <f>MAX(données_step[[#This Row],[D_QTRAI]],données_step[[#This Row],[D_QTRAI2]])</f>
        <v>0</v>
      </c>
      <c r="S279" s="523" t="str">
        <f>IF(AND($R279&gt;0,données_step[[#This Row],[E_DCO]]&gt;0),données_step[[#This Row],[E_DCO]],"")</f>
        <v/>
      </c>
      <c r="T279" s="523" t="str">
        <f>IF(S279="","",(1-données_step[[#This Row],[E_DCO]]/$V$7)*100)</f>
        <v/>
      </c>
      <c r="U279" s="523" t="str">
        <f t="shared" si="65"/>
        <v/>
      </c>
      <c r="V279" s="523" t="str">
        <f t="shared" si="66"/>
        <v/>
      </c>
      <c r="W279" s="523" t="str">
        <f t="shared" si="67"/>
        <v/>
      </c>
      <c r="X279" s="523" t="e">
        <f>IF(((100-100/$V$7*données_step[[#This Row],[E_DCO]])/100*QTS)&lt;0,NA(),IF(OR(U279&lt;0,U279=""),NA(),((100-100/$V$7*données_step[[#This Row],[E_DCO]])/100*QTS)))</f>
        <v>#NUM!</v>
      </c>
      <c r="Y279" s="523" t="str">
        <f>IF(AND($R279&gt;0,données_step[[#This Row],[E_COT]]&gt;0),données_step[[#This Row],[E_COT]],"")</f>
        <v/>
      </c>
      <c r="Z279" s="523" t="str">
        <f>IF(Y279="","",(1-données_step[[#This Row],[E_COT]]/$AB$7)*100)</f>
        <v/>
      </c>
      <c r="AA279" s="523" t="str">
        <f t="shared" si="68"/>
        <v/>
      </c>
      <c r="AB279" s="523" t="str">
        <f t="shared" si="69"/>
        <v/>
      </c>
      <c r="AC279" s="523" t="str">
        <f t="shared" si="70"/>
        <v/>
      </c>
      <c r="AD279" s="523" t="e">
        <f>IF(((100-100/$AB$7*données_step[[#This Row],[E_COT]])/100*QTS)&lt;0,NA(),IF(OR(AA279&lt;0,AA279=""),NA(),((100-100/$AB$7*données_step[[#This Row],[E_COT]])/100*QTS)))</f>
        <v>#NUM!</v>
      </c>
      <c r="AE279" s="523" t="str">
        <f>IF(AND($R279&gt;0,données_step[[#This Row],[E_NH4]]&gt;0),données_step[[#This Row],[E_NH4]],"")</f>
        <v/>
      </c>
      <c r="AF279" s="523" t="str">
        <f>IF(AE279="","",(1-données_step[[#This Row],[E_NH4]]/$AH$7)*100)</f>
        <v/>
      </c>
      <c r="AG279" s="523" t="str">
        <f t="shared" si="71"/>
        <v/>
      </c>
      <c r="AH279" s="523" t="str">
        <f t="shared" si="72"/>
        <v/>
      </c>
      <c r="AI279" s="523" t="str">
        <f t="shared" si="73"/>
        <v/>
      </c>
      <c r="AJ279" s="523" t="e">
        <f>IF(((100-100/$AH$7*données_step[[#This Row],[E_NH4]])/100*QTS)&lt;0,NA(),IF(OR(AG279&lt;0,AG279=""),NA(),((100-100/$AH$7*données_step[[#This Row],[E_NH4]])/100*QTS)))</f>
        <v>#NUM!</v>
      </c>
      <c r="AK279" s="523" t="str">
        <f>IF(AND($R279&gt;0,données_step[[#This Row],[E_PTOT]]&gt;0),données_step[[#This Row],[E_PTOT]],"")</f>
        <v/>
      </c>
      <c r="AL279" s="523" t="str">
        <f>IF(AK279="","",(1-données_step[[#This Row],[E_PTOT]]/$AN$7)*100)</f>
        <v/>
      </c>
      <c r="AM279" s="523" t="str">
        <f t="shared" si="74"/>
        <v/>
      </c>
      <c r="AN279" s="523" t="str">
        <f t="shared" si="75"/>
        <v/>
      </c>
      <c r="AO279" s="523" t="str">
        <f t="shared" si="76"/>
        <v/>
      </c>
      <c r="AP279" s="523" t="e">
        <f>IF(((100-100/$AN$7*données_step[[#This Row],[E_PTOT]])/100*QTS)&lt;0,NA(),IF(OR(AM279&lt;0,AM279=""),NA(),((100-100/$AN$7*données_step[[#This Row],[E_PTOT]])/100*QTS)))</f>
        <v>#NUM!</v>
      </c>
      <c r="AQ279" s="524" t="e">
        <f t="shared" si="77"/>
        <v>#NUM!</v>
      </c>
      <c r="AR279" s="524" t="str">
        <f t="shared" si="78"/>
        <v/>
      </c>
      <c r="AY279" s="523" t="str">
        <f>_xlfn.IFNA(IF(données_step[[#This Row],[E_DCO]]&lt;=0,NA(),charge_entree[[#This Row],[ch_E_DCO]]/constanten!$B$8*1000),"")</f>
        <v/>
      </c>
      <c r="AZ279" s="523" t="str">
        <f>_xlfn.IFNA(IF(données_step[[#This Row],[E_NTOT]]&lt;=0,NA(),charge_entree[[#This Row],[ch_E_NTOT]]/constanten!$B$10*1000),"")</f>
        <v/>
      </c>
      <c r="BA279" s="523" t="str">
        <f>_xlfn.IFNA(IF(données_step[[#This Row],[E_NH4]]&lt;=0,NA(),charge_entree[[#This Row],[ch_E_NH4]]/constanten!$B$12*1000),"")</f>
        <v/>
      </c>
      <c r="BB279" s="523" t="str">
        <f>_xlfn.IFNA(IF(données_step[[#This Row],[E_COT]]&lt;=0,NA(),charge_entree[[#This Row],[ch_E_COT]]/constanten!$B$9*1000),"")</f>
        <v/>
      </c>
      <c r="BC279" s="523" t="str">
        <f>IFERROR(_xlfn.IFNA(IF(données_step[[#This Row],[E_PTOT]]&lt;=0,NA(),charge_entree[[#This Row],[ch_E_PTOT]]/constanten!$B$15*1000),""),"")</f>
        <v/>
      </c>
      <c r="BD279" s="535" t="e">
        <f>calculs!E279 * (1-0.4) / (données_step[[#This Row],[X_BA_VOL]]*données_step[[#This Row],[X_BACONC]])</f>
        <v>#VALUE!</v>
      </c>
      <c r="BE279" s="522" t="e">
        <f>(données_step[[#This Row],[X_BA_VOL]]*données_step[[#This Row],[X_BACONC]])/((données_step[[#This Row],[D_QTRAI2]]*données_step[[#This Row],[S_MES]]/1000)+(données_step[[#This Row],[X_BX_Q]]*données_step[[#This Row],[X_BXCONC]]))</f>
        <v>#VALUE!</v>
      </c>
      <c r="BF279" s="890" t="str">
        <f>IFERROR(données_step[[#This Row],[D_QTRAI]]/AY279*1000,"")</f>
        <v/>
      </c>
      <c r="BG279" s="535" t="str">
        <f>IFERROR(1-données_step[[#This Row],[S_DBO5]]/données_step[[#This Row],[E_DBO5]],"")</f>
        <v/>
      </c>
      <c r="BH279" s="536" t="str">
        <f>IFERROR(1-données_step[[#This Row],[S_DCO]]/données_step[[#This Row],[E_DCO]],"")</f>
        <v/>
      </c>
      <c r="BI279" s="535" t="str">
        <f>IFERROR(1-données_step[[#This Row],[S_COD]]/données_step[[#This Row],[E_COT]],"")</f>
        <v/>
      </c>
      <c r="BJ279" s="535" t="str">
        <f>IFERROR(1-données_step[[#This Row],[S_NH4]]/données_step[[#This Row],[E_NTOT]],"")</f>
        <v/>
      </c>
      <c r="BK279" s="535" t="str">
        <f>IFERROR(1-données_step[[#This Row],[S_PTOT]]/données_step[[#This Row],[E_PTOT]],"")</f>
        <v/>
      </c>
      <c r="BL279" s="521" t="str">
        <f>IFERROR(IF(données_step[[#This Row],[E_DCO]]/données_step[[#This Row],[E_DBO5]]=0,NA(),données_step[[#This Row],[E_DCO]]/données_step[[#This Row],[E_DBO5]]),"")</f>
        <v/>
      </c>
      <c r="BM279" s="521" t="str">
        <f>IFERROR(IF(données_step[[#This Row],[E_NH4]]/données_step[[#This Row],[E_NTOT]]=0,NA(),données_step[[#This Row],[E_NH4]]/données_step[[#This Row],[E_NTOT]]),"")</f>
        <v/>
      </c>
      <c r="BN279" s="521" t="str">
        <f>IFERROR(IF(données_step[[#This Row],[E_NTOT]]/données_step[[#This Row],[E_COT]]=0,NA(),données_step[[#This Row],[E_NTOT]]/données_step[[#This Row],[E_COT]]),"")</f>
        <v/>
      </c>
      <c r="BO279" s="521" t="str">
        <f>IFERROR(IF(données_step[[#This Row],[E_PTOT]]/données_step[[#This Row],[E_COT]]=0,NA(),données_step[[#This Row],[E_PTOT]]/données_step[[#This Row],[E_COT]]),"")</f>
        <v/>
      </c>
      <c r="BP279" s="521" t="e">
        <f>IF(données_step[[#This Row],[E_DCO]]/données_step[[#This Row],[E_COT]]=0,NA(),données_step[[#This Row],[E_DCO]]/données_step[[#This Row],[E_COT]])</f>
        <v>#DIV/0!</v>
      </c>
      <c r="BQ279" s="521" t="e">
        <f>IF(données_step[[#This Row],[E_NTOT]]/données_step[[#This Row],[E_DCO]]=0,NA(),données_step[[#This Row],[E_NTOT]]/données_step[[#This Row],[E_DCO]])</f>
        <v>#DIV/0!</v>
      </c>
      <c r="BR279" s="521" t="e">
        <f>IF(données_step[[#This Row],[E_PTOT]]/données_step[[#This Row],[E_DCO]]=0,NA(),données_step[[#This Row],[E_PTOT]]/données_step[[#This Row],[E_DCO]])</f>
        <v>#DIV/0!</v>
      </c>
      <c r="BS279" s="747" t="e">
        <f ca="1">test_NH4_temp(données_step[[#This Row],[S_NH4]],données_step[[#This Row],[Temp_eaux]])</f>
        <v>#NAME?</v>
      </c>
    </row>
    <row r="280" spans="1:71" x14ac:dyDescent="0.2">
      <c r="A280" s="222">
        <f>données_step[[#This Row],[Datum]]</f>
        <v>44831</v>
      </c>
      <c r="B280" s="223"/>
      <c r="C280" s="224">
        <f t="shared" si="64"/>
        <v>3</v>
      </c>
      <c r="D280" s="523" t="str">
        <f>IF(OR(données_step[[#This Row],[E_DBO5]]&lt;=0,données_step[[#This Row],[E_DBO5]]=""),"",données_step[[#This Row],[D_QTRAI]]*données_step[[#This Row],[E_DBO5]]/1000)</f>
        <v/>
      </c>
      <c r="E280" s="523" t="str">
        <f>IF(OR(données_step[[#This Row],[E_DCO]]&lt;=0,données_step[[#This Row],[E_DCO]]=""),"",données_step[[#This Row],[D_QTRAI]]*données_step[[#This Row],[E_DCO]]/1000)</f>
        <v/>
      </c>
      <c r="F280" s="523" t="str">
        <f>IF(OR(données_step[[#This Row],[E_COT]]&lt;=0,données_step[[#This Row],[E_COT]]=""),"",données_step[[#This Row],[D_QTRAI]]*données_step[[#This Row],[E_COT]]/1000)</f>
        <v/>
      </c>
      <c r="G280" s="523" t="str">
        <f>IF(OR(données_step[[#This Row],[E_NH4]]&lt;=0,données_step[[#This Row],[E_NH4]]=""),"",données_step[[#This Row],[D_QTRAI]]*données_step[[#This Row],[E_NH4]]/1000)</f>
        <v/>
      </c>
      <c r="H280" s="523" t="str">
        <f>IF(OR(données_step[[#This Row],[E_NTOT]]&lt;=0,données_step[[#This Row],[E_NTOT]]=""),"",données_step[[#This Row],[D_QTRAI]]*données_step[[#This Row],[E_NTOT]]/1000)</f>
        <v/>
      </c>
      <c r="I280" s="523" t="str">
        <f>IF(OR(données_step[[#This Row],[E_NTOT]]&lt;=0,données_step[[#This Row],[E_NTOT]]=""),"",données_step[[#This Row],[D_QTRAI]]*données_step[[#This Row],[E_PTOT]]/1000)</f>
        <v/>
      </c>
      <c r="J280" s="523" t="str">
        <f>IF(OR(données_step[[#This Row],[S_DBO5]]&lt;=0,données_step[[#This Row],[S_DBO5]]=""),"",données_step[[#This Row],[D_QTRAI]]*données_step[[#This Row],[S_DBO5]]/1000)</f>
        <v/>
      </c>
      <c r="K280" s="523" t="str">
        <f>IF(OR(données_step[[#This Row],[S_DCO]]&lt;=0,données_step[[#This Row],[S_DCO]]=""),"",données_step[[#This Row],[D_QTRAI]]*données_step[[#This Row],[S_DCO]]/1000)</f>
        <v/>
      </c>
      <c r="L280" s="523" t="str">
        <f>IF(OR(données_step[[#This Row],[S_COD]]&lt;=0,données_step[[#This Row],[S_COD]]=""),"",données_step[[#This Row],[D_QTRAI]]*données_step[[#This Row],[S_COD]]/1000)</f>
        <v/>
      </c>
      <c r="M280" s="523" t="str">
        <f>IF(OR(données_step[[#This Row],[S_NH4]]&lt;=0,données_step[[#This Row],[S_NH4]]=""),"",données_step[[#This Row],[D_QTRAI]]*données_step[[#This Row],[S_NH4]]/1000)</f>
        <v/>
      </c>
      <c r="N280" s="523" t="str">
        <f>IF(OR(données_step[[#This Row],[S_NO2]]&lt;=0,données_step[[#This Row],[S_NO2]]=""),"",données_step[[#This Row],[D_QTRAI]]*données_step[[#This Row],[S_NO2]]/1000)</f>
        <v/>
      </c>
      <c r="O280" s="523" t="str">
        <f>IF(OR(données_step[[#This Row],[S_NO3]]&lt;=0,données_step[[#This Row],[S_NO3]]=""),"",données_step[[#This Row],[D_QTRAI]]*données_step[[#This Row],[S_NO3]]/1000)</f>
        <v/>
      </c>
      <c r="P280" s="523" t="str">
        <f>IF(OR(données_step[[#This Row],[S_PTOT]]&lt;=0,données_step[[#This Row],[S_PTOT]]=""),"",données_step[[#This Row],[D_QTRAI]]*données_step[[#This Row],[S_PTOT]]/1000)</f>
        <v/>
      </c>
      <c r="Q280" s="523" t="str">
        <f>IF(OR(données_step[[#This Row],[S_MES]]&lt;=0,données_step[[#This Row],[S_MES]]=""),"",données_step[[#This Row],[D_QTRAI]]*données_step[[#This Row],[S_MES]]/1000)</f>
        <v/>
      </c>
      <c r="R280" s="523">
        <f>MAX(données_step[[#This Row],[D_QTRAI]],données_step[[#This Row],[D_QTRAI2]])</f>
        <v>0</v>
      </c>
      <c r="S280" s="523" t="str">
        <f>IF(AND($R280&gt;0,données_step[[#This Row],[E_DCO]]&gt;0),données_step[[#This Row],[E_DCO]],"")</f>
        <v/>
      </c>
      <c r="T280" s="523" t="str">
        <f>IF(S280="","",(1-données_step[[#This Row],[E_DCO]]/$V$7)*100)</f>
        <v/>
      </c>
      <c r="U280" s="523" t="str">
        <f t="shared" si="65"/>
        <v/>
      </c>
      <c r="V280" s="523" t="str">
        <f t="shared" si="66"/>
        <v/>
      </c>
      <c r="W280" s="523" t="str">
        <f t="shared" si="67"/>
        <v/>
      </c>
      <c r="X280" s="523" t="e">
        <f>IF(((100-100/$V$7*données_step[[#This Row],[E_DCO]])/100*QTS)&lt;0,NA(),IF(OR(U280&lt;0,U280=""),NA(),((100-100/$V$7*données_step[[#This Row],[E_DCO]])/100*QTS)))</f>
        <v>#NUM!</v>
      </c>
      <c r="Y280" s="523" t="str">
        <f>IF(AND($R280&gt;0,données_step[[#This Row],[E_COT]]&gt;0),données_step[[#This Row],[E_COT]],"")</f>
        <v/>
      </c>
      <c r="Z280" s="523" t="str">
        <f>IF(Y280="","",(1-données_step[[#This Row],[E_COT]]/$AB$7)*100)</f>
        <v/>
      </c>
      <c r="AA280" s="523" t="str">
        <f t="shared" si="68"/>
        <v/>
      </c>
      <c r="AB280" s="523" t="str">
        <f t="shared" si="69"/>
        <v/>
      </c>
      <c r="AC280" s="523" t="str">
        <f t="shared" si="70"/>
        <v/>
      </c>
      <c r="AD280" s="523" t="e">
        <f>IF(((100-100/$AB$7*données_step[[#This Row],[E_COT]])/100*QTS)&lt;0,NA(),IF(OR(AA280&lt;0,AA280=""),NA(),((100-100/$AB$7*données_step[[#This Row],[E_COT]])/100*QTS)))</f>
        <v>#NUM!</v>
      </c>
      <c r="AE280" s="523" t="str">
        <f>IF(AND($R280&gt;0,données_step[[#This Row],[E_NH4]]&gt;0),données_step[[#This Row],[E_NH4]],"")</f>
        <v/>
      </c>
      <c r="AF280" s="523" t="str">
        <f>IF(AE280="","",(1-données_step[[#This Row],[E_NH4]]/$AH$7)*100)</f>
        <v/>
      </c>
      <c r="AG280" s="523" t="str">
        <f t="shared" si="71"/>
        <v/>
      </c>
      <c r="AH280" s="523" t="str">
        <f t="shared" si="72"/>
        <v/>
      </c>
      <c r="AI280" s="523" t="str">
        <f t="shared" si="73"/>
        <v/>
      </c>
      <c r="AJ280" s="523" t="e">
        <f>IF(((100-100/$AH$7*données_step[[#This Row],[E_NH4]])/100*QTS)&lt;0,NA(),IF(OR(AG280&lt;0,AG280=""),NA(),((100-100/$AH$7*données_step[[#This Row],[E_NH4]])/100*QTS)))</f>
        <v>#NUM!</v>
      </c>
      <c r="AK280" s="523" t="str">
        <f>IF(AND($R280&gt;0,données_step[[#This Row],[E_PTOT]]&gt;0),données_step[[#This Row],[E_PTOT]],"")</f>
        <v/>
      </c>
      <c r="AL280" s="523" t="str">
        <f>IF(AK280="","",(1-données_step[[#This Row],[E_PTOT]]/$AN$7)*100)</f>
        <v/>
      </c>
      <c r="AM280" s="523" t="str">
        <f t="shared" si="74"/>
        <v/>
      </c>
      <c r="AN280" s="523" t="str">
        <f t="shared" si="75"/>
        <v/>
      </c>
      <c r="AO280" s="523" t="str">
        <f t="shared" si="76"/>
        <v/>
      </c>
      <c r="AP280" s="523" t="e">
        <f>IF(((100-100/$AN$7*données_step[[#This Row],[E_PTOT]])/100*QTS)&lt;0,NA(),IF(OR(AM280&lt;0,AM280=""),NA(),((100-100/$AN$7*données_step[[#This Row],[E_PTOT]])/100*QTS)))</f>
        <v>#NUM!</v>
      </c>
      <c r="AQ280" s="524" t="e">
        <f t="shared" si="77"/>
        <v>#NUM!</v>
      </c>
      <c r="AR280" s="524" t="str">
        <f t="shared" si="78"/>
        <v/>
      </c>
      <c r="AY280" s="523" t="str">
        <f>_xlfn.IFNA(IF(données_step[[#This Row],[E_DCO]]&lt;=0,NA(),charge_entree[[#This Row],[ch_E_DCO]]/constanten!$B$8*1000),"")</f>
        <v/>
      </c>
      <c r="AZ280" s="523" t="str">
        <f>_xlfn.IFNA(IF(données_step[[#This Row],[E_NTOT]]&lt;=0,NA(),charge_entree[[#This Row],[ch_E_NTOT]]/constanten!$B$10*1000),"")</f>
        <v/>
      </c>
      <c r="BA280" s="523" t="str">
        <f>_xlfn.IFNA(IF(données_step[[#This Row],[E_NH4]]&lt;=0,NA(),charge_entree[[#This Row],[ch_E_NH4]]/constanten!$B$12*1000),"")</f>
        <v/>
      </c>
      <c r="BB280" s="523" t="str">
        <f>_xlfn.IFNA(IF(données_step[[#This Row],[E_COT]]&lt;=0,NA(),charge_entree[[#This Row],[ch_E_COT]]/constanten!$B$9*1000),"")</f>
        <v/>
      </c>
      <c r="BC280" s="523" t="str">
        <f>IFERROR(_xlfn.IFNA(IF(données_step[[#This Row],[E_PTOT]]&lt;=0,NA(),charge_entree[[#This Row],[ch_E_PTOT]]/constanten!$B$15*1000),""),"")</f>
        <v/>
      </c>
      <c r="BD280" s="535" t="e">
        <f>calculs!E280 * (1-0.4) / (données_step[[#This Row],[X_BA_VOL]]*données_step[[#This Row],[X_BACONC]])</f>
        <v>#VALUE!</v>
      </c>
      <c r="BE280" s="522" t="e">
        <f>(données_step[[#This Row],[X_BA_VOL]]*données_step[[#This Row],[X_BACONC]])/((données_step[[#This Row],[D_QTRAI2]]*données_step[[#This Row],[S_MES]]/1000)+(données_step[[#This Row],[X_BX_Q]]*données_step[[#This Row],[X_BXCONC]]))</f>
        <v>#VALUE!</v>
      </c>
      <c r="BF280" s="890" t="str">
        <f>IFERROR(données_step[[#This Row],[D_QTRAI]]/AY280*1000,"")</f>
        <v/>
      </c>
      <c r="BG280" s="535" t="str">
        <f>IFERROR(1-données_step[[#This Row],[S_DBO5]]/données_step[[#This Row],[E_DBO5]],"")</f>
        <v/>
      </c>
      <c r="BH280" s="536" t="str">
        <f>IFERROR(1-données_step[[#This Row],[S_DCO]]/données_step[[#This Row],[E_DCO]],"")</f>
        <v/>
      </c>
      <c r="BI280" s="535" t="str">
        <f>IFERROR(1-données_step[[#This Row],[S_COD]]/données_step[[#This Row],[E_COT]],"")</f>
        <v/>
      </c>
      <c r="BJ280" s="535" t="str">
        <f>IFERROR(1-données_step[[#This Row],[S_NH4]]/données_step[[#This Row],[E_NTOT]],"")</f>
        <v/>
      </c>
      <c r="BK280" s="535" t="str">
        <f>IFERROR(1-données_step[[#This Row],[S_PTOT]]/données_step[[#This Row],[E_PTOT]],"")</f>
        <v/>
      </c>
      <c r="BL280" s="521" t="str">
        <f>IFERROR(IF(données_step[[#This Row],[E_DCO]]/données_step[[#This Row],[E_DBO5]]=0,NA(),données_step[[#This Row],[E_DCO]]/données_step[[#This Row],[E_DBO5]]),"")</f>
        <v/>
      </c>
      <c r="BM280" s="521" t="str">
        <f>IFERROR(IF(données_step[[#This Row],[E_NH4]]/données_step[[#This Row],[E_NTOT]]=0,NA(),données_step[[#This Row],[E_NH4]]/données_step[[#This Row],[E_NTOT]]),"")</f>
        <v/>
      </c>
      <c r="BN280" s="521" t="str">
        <f>IFERROR(IF(données_step[[#This Row],[E_NTOT]]/données_step[[#This Row],[E_COT]]=0,NA(),données_step[[#This Row],[E_NTOT]]/données_step[[#This Row],[E_COT]]),"")</f>
        <v/>
      </c>
      <c r="BO280" s="521" t="str">
        <f>IFERROR(IF(données_step[[#This Row],[E_PTOT]]/données_step[[#This Row],[E_COT]]=0,NA(),données_step[[#This Row],[E_PTOT]]/données_step[[#This Row],[E_COT]]),"")</f>
        <v/>
      </c>
      <c r="BP280" s="521" t="e">
        <f>IF(données_step[[#This Row],[E_DCO]]/données_step[[#This Row],[E_COT]]=0,NA(),données_step[[#This Row],[E_DCO]]/données_step[[#This Row],[E_COT]])</f>
        <v>#DIV/0!</v>
      </c>
      <c r="BQ280" s="521" t="e">
        <f>IF(données_step[[#This Row],[E_NTOT]]/données_step[[#This Row],[E_DCO]]=0,NA(),données_step[[#This Row],[E_NTOT]]/données_step[[#This Row],[E_DCO]])</f>
        <v>#DIV/0!</v>
      </c>
      <c r="BR280" s="521" t="e">
        <f>IF(données_step[[#This Row],[E_PTOT]]/données_step[[#This Row],[E_DCO]]=0,NA(),données_step[[#This Row],[E_PTOT]]/données_step[[#This Row],[E_DCO]])</f>
        <v>#DIV/0!</v>
      </c>
      <c r="BS280" s="747" t="e">
        <f ca="1">test_NH4_temp(données_step[[#This Row],[S_NH4]],données_step[[#This Row],[Temp_eaux]])</f>
        <v>#NAME?</v>
      </c>
    </row>
    <row r="281" spans="1:71" x14ac:dyDescent="0.2">
      <c r="A281" s="222">
        <f>données_step[[#This Row],[Datum]]</f>
        <v>44832</v>
      </c>
      <c r="B281" s="223"/>
      <c r="C281" s="224">
        <f t="shared" si="64"/>
        <v>4</v>
      </c>
      <c r="D281" s="523" t="str">
        <f>IF(OR(données_step[[#This Row],[E_DBO5]]&lt;=0,données_step[[#This Row],[E_DBO5]]=""),"",données_step[[#This Row],[D_QTRAI]]*données_step[[#This Row],[E_DBO5]]/1000)</f>
        <v/>
      </c>
      <c r="E281" s="523" t="str">
        <f>IF(OR(données_step[[#This Row],[E_DCO]]&lt;=0,données_step[[#This Row],[E_DCO]]=""),"",données_step[[#This Row],[D_QTRAI]]*données_step[[#This Row],[E_DCO]]/1000)</f>
        <v/>
      </c>
      <c r="F281" s="523" t="str">
        <f>IF(OR(données_step[[#This Row],[E_COT]]&lt;=0,données_step[[#This Row],[E_COT]]=""),"",données_step[[#This Row],[D_QTRAI]]*données_step[[#This Row],[E_COT]]/1000)</f>
        <v/>
      </c>
      <c r="G281" s="523" t="str">
        <f>IF(OR(données_step[[#This Row],[E_NH4]]&lt;=0,données_step[[#This Row],[E_NH4]]=""),"",données_step[[#This Row],[D_QTRAI]]*données_step[[#This Row],[E_NH4]]/1000)</f>
        <v/>
      </c>
      <c r="H281" s="523" t="str">
        <f>IF(OR(données_step[[#This Row],[E_NTOT]]&lt;=0,données_step[[#This Row],[E_NTOT]]=""),"",données_step[[#This Row],[D_QTRAI]]*données_step[[#This Row],[E_NTOT]]/1000)</f>
        <v/>
      </c>
      <c r="I281" s="523" t="str">
        <f>IF(OR(données_step[[#This Row],[E_NTOT]]&lt;=0,données_step[[#This Row],[E_NTOT]]=""),"",données_step[[#This Row],[D_QTRAI]]*données_step[[#This Row],[E_PTOT]]/1000)</f>
        <v/>
      </c>
      <c r="J281" s="523" t="str">
        <f>IF(OR(données_step[[#This Row],[S_DBO5]]&lt;=0,données_step[[#This Row],[S_DBO5]]=""),"",données_step[[#This Row],[D_QTRAI]]*données_step[[#This Row],[S_DBO5]]/1000)</f>
        <v/>
      </c>
      <c r="K281" s="523" t="str">
        <f>IF(OR(données_step[[#This Row],[S_DCO]]&lt;=0,données_step[[#This Row],[S_DCO]]=""),"",données_step[[#This Row],[D_QTRAI]]*données_step[[#This Row],[S_DCO]]/1000)</f>
        <v/>
      </c>
      <c r="L281" s="523" t="str">
        <f>IF(OR(données_step[[#This Row],[S_COD]]&lt;=0,données_step[[#This Row],[S_COD]]=""),"",données_step[[#This Row],[D_QTRAI]]*données_step[[#This Row],[S_COD]]/1000)</f>
        <v/>
      </c>
      <c r="M281" s="523" t="str">
        <f>IF(OR(données_step[[#This Row],[S_NH4]]&lt;=0,données_step[[#This Row],[S_NH4]]=""),"",données_step[[#This Row],[D_QTRAI]]*données_step[[#This Row],[S_NH4]]/1000)</f>
        <v/>
      </c>
      <c r="N281" s="523" t="str">
        <f>IF(OR(données_step[[#This Row],[S_NO2]]&lt;=0,données_step[[#This Row],[S_NO2]]=""),"",données_step[[#This Row],[D_QTRAI]]*données_step[[#This Row],[S_NO2]]/1000)</f>
        <v/>
      </c>
      <c r="O281" s="523" t="str">
        <f>IF(OR(données_step[[#This Row],[S_NO3]]&lt;=0,données_step[[#This Row],[S_NO3]]=""),"",données_step[[#This Row],[D_QTRAI]]*données_step[[#This Row],[S_NO3]]/1000)</f>
        <v/>
      </c>
      <c r="P281" s="523" t="str">
        <f>IF(OR(données_step[[#This Row],[S_PTOT]]&lt;=0,données_step[[#This Row],[S_PTOT]]=""),"",données_step[[#This Row],[D_QTRAI]]*données_step[[#This Row],[S_PTOT]]/1000)</f>
        <v/>
      </c>
      <c r="Q281" s="523" t="str">
        <f>IF(OR(données_step[[#This Row],[S_MES]]&lt;=0,données_step[[#This Row],[S_MES]]=""),"",données_step[[#This Row],[D_QTRAI]]*données_step[[#This Row],[S_MES]]/1000)</f>
        <v/>
      </c>
      <c r="R281" s="523">
        <f>MAX(données_step[[#This Row],[D_QTRAI]],données_step[[#This Row],[D_QTRAI2]])</f>
        <v>0</v>
      </c>
      <c r="S281" s="523" t="str">
        <f>IF(AND($R281&gt;0,données_step[[#This Row],[E_DCO]]&gt;0),données_step[[#This Row],[E_DCO]],"")</f>
        <v/>
      </c>
      <c r="T281" s="523" t="str">
        <f>IF(S281="","",(1-données_step[[#This Row],[E_DCO]]/$V$7)*100)</f>
        <v/>
      </c>
      <c r="U281" s="523" t="str">
        <f t="shared" si="65"/>
        <v/>
      </c>
      <c r="V281" s="523" t="str">
        <f t="shared" si="66"/>
        <v/>
      </c>
      <c r="W281" s="523" t="str">
        <f t="shared" si="67"/>
        <v/>
      </c>
      <c r="X281" s="523" t="e">
        <f>IF(((100-100/$V$7*données_step[[#This Row],[E_DCO]])/100*QTS)&lt;0,NA(),IF(OR(U281&lt;0,U281=""),NA(),((100-100/$V$7*données_step[[#This Row],[E_DCO]])/100*QTS)))</f>
        <v>#NUM!</v>
      </c>
      <c r="Y281" s="523" t="str">
        <f>IF(AND($R281&gt;0,données_step[[#This Row],[E_COT]]&gt;0),données_step[[#This Row],[E_COT]],"")</f>
        <v/>
      </c>
      <c r="Z281" s="523" t="str">
        <f>IF(Y281="","",(1-données_step[[#This Row],[E_COT]]/$AB$7)*100)</f>
        <v/>
      </c>
      <c r="AA281" s="523" t="str">
        <f t="shared" si="68"/>
        <v/>
      </c>
      <c r="AB281" s="523" t="str">
        <f t="shared" si="69"/>
        <v/>
      </c>
      <c r="AC281" s="523" t="str">
        <f t="shared" si="70"/>
        <v/>
      </c>
      <c r="AD281" s="523" t="e">
        <f>IF(((100-100/$AB$7*données_step[[#This Row],[E_COT]])/100*QTS)&lt;0,NA(),IF(OR(AA281&lt;0,AA281=""),NA(),((100-100/$AB$7*données_step[[#This Row],[E_COT]])/100*QTS)))</f>
        <v>#NUM!</v>
      </c>
      <c r="AE281" s="523" t="str">
        <f>IF(AND($R281&gt;0,données_step[[#This Row],[E_NH4]]&gt;0),données_step[[#This Row],[E_NH4]],"")</f>
        <v/>
      </c>
      <c r="AF281" s="523" t="str">
        <f>IF(AE281="","",(1-données_step[[#This Row],[E_NH4]]/$AH$7)*100)</f>
        <v/>
      </c>
      <c r="AG281" s="523" t="str">
        <f t="shared" si="71"/>
        <v/>
      </c>
      <c r="AH281" s="523" t="str">
        <f t="shared" si="72"/>
        <v/>
      </c>
      <c r="AI281" s="523" t="str">
        <f t="shared" si="73"/>
        <v/>
      </c>
      <c r="AJ281" s="523" t="e">
        <f>IF(((100-100/$AH$7*données_step[[#This Row],[E_NH4]])/100*QTS)&lt;0,NA(),IF(OR(AG281&lt;0,AG281=""),NA(),((100-100/$AH$7*données_step[[#This Row],[E_NH4]])/100*QTS)))</f>
        <v>#NUM!</v>
      </c>
      <c r="AK281" s="523" t="str">
        <f>IF(AND($R281&gt;0,données_step[[#This Row],[E_PTOT]]&gt;0),données_step[[#This Row],[E_PTOT]],"")</f>
        <v/>
      </c>
      <c r="AL281" s="523" t="str">
        <f>IF(AK281="","",(1-données_step[[#This Row],[E_PTOT]]/$AN$7)*100)</f>
        <v/>
      </c>
      <c r="AM281" s="523" t="str">
        <f t="shared" si="74"/>
        <v/>
      </c>
      <c r="AN281" s="523" t="str">
        <f t="shared" si="75"/>
        <v/>
      </c>
      <c r="AO281" s="523" t="str">
        <f t="shared" si="76"/>
        <v/>
      </c>
      <c r="AP281" s="523" t="e">
        <f>IF(((100-100/$AN$7*données_step[[#This Row],[E_PTOT]])/100*QTS)&lt;0,NA(),IF(OR(AM281&lt;0,AM281=""),NA(),((100-100/$AN$7*données_step[[#This Row],[E_PTOT]])/100*QTS)))</f>
        <v>#NUM!</v>
      </c>
      <c r="AQ281" s="524" t="e">
        <f t="shared" si="77"/>
        <v>#NUM!</v>
      </c>
      <c r="AR281" s="524" t="str">
        <f t="shared" si="78"/>
        <v/>
      </c>
      <c r="AY281" s="523" t="str">
        <f>_xlfn.IFNA(IF(données_step[[#This Row],[E_DCO]]&lt;=0,NA(),charge_entree[[#This Row],[ch_E_DCO]]/constanten!$B$8*1000),"")</f>
        <v/>
      </c>
      <c r="AZ281" s="523" t="str">
        <f>_xlfn.IFNA(IF(données_step[[#This Row],[E_NTOT]]&lt;=0,NA(),charge_entree[[#This Row],[ch_E_NTOT]]/constanten!$B$10*1000),"")</f>
        <v/>
      </c>
      <c r="BA281" s="523" t="str">
        <f>_xlfn.IFNA(IF(données_step[[#This Row],[E_NH4]]&lt;=0,NA(),charge_entree[[#This Row],[ch_E_NH4]]/constanten!$B$12*1000),"")</f>
        <v/>
      </c>
      <c r="BB281" s="523" t="str">
        <f>_xlfn.IFNA(IF(données_step[[#This Row],[E_COT]]&lt;=0,NA(),charge_entree[[#This Row],[ch_E_COT]]/constanten!$B$9*1000),"")</f>
        <v/>
      </c>
      <c r="BC281" s="523" t="str">
        <f>IFERROR(_xlfn.IFNA(IF(données_step[[#This Row],[E_PTOT]]&lt;=0,NA(),charge_entree[[#This Row],[ch_E_PTOT]]/constanten!$B$15*1000),""),"")</f>
        <v/>
      </c>
      <c r="BD281" s="535" t="e">
        <f>calculs!E281 * (1-0.4) / (données_step[[#This Row],[X_BA_VOL]]*données_step[[#This Row],[X_BACONC]])</f>
        <v>#VALUE!</v>
      </c>
      <c r="BE281" s="522" t="e">
        <f>(données_step[[#This Row],[X_BA_VOL]]*données_step[[#This Row],[X_BACONC]])/((données_step[[#This Row],[D_QTRAI2]]*données_step[[#This Row],[S_MES]]/1000)+(données_step[[#This Row],[X_BX_Q]]*données_step[[#This Row],[X_BXCONC]]))</f>
        <v>#VALUE!</v>
      </c>
      <c r="BF281" s="890" t="str">
        <f>IFERROR(données_step[[#This Row],[D_QTRAI]]/AY281*1000,"")</f>
        <v/>
      </c>
      <c r="BG281" s="535" t="str">
        <f>IFERROR(1-données_step[[#This Row],[S_DBO5]]/données_step[[#This Row],[E_DBO5]],"")</f>
        <v/>
      </c>
      <c r="BH281" s="536" t="str">
        <f>IFERROR(1-données_step[[#This Row],[S_DCO]]/données_step[[#This Row],[E_DCO]],"")</f>
        <v/>
      </c>
      <c r="BI281" s="535" t="str">
        <f>IFERROR(1-données_step[[#This Row],[S_COD]]/données_step[[#This Row],[E_COT]],"")</f>
        <v/>
      </c>
      <c r="BJ281" s="535" t="str">
        <f>IFERROR(1-données_step[[#This Row],[S_NH4]]/données_step[[#This Row],[E_NTOT]],"")</f>
        <v/>
      </c>
      <c r="BK281" s="535" t="str">
        <f>IFERROR(1-données_step[[#This Row],[S_PTOT]]/données_step[[#This Row],[E_PTOT]],"")</f>
        <v/>
      </c>
      <c r="BL281" s="521" t="str">
        <f>IFERROR(IF(données_step[[#This Row],[E_DCO]]/données_step[[#This Row],[E_DBO5]]=0,NA(),données_step[[#This Row],[E_DCO]]/données_step[[#This Row],[E_DBO5]]),"")</f>
        <v/>
      </c>
      <c r="BM281" s="521" t="str">
        <f>IFERROR(IF(données_step[[#This Row],[E_NH4]]/données_step[[#This Row],[E_NTOT]]=0,NA(),données_step[[#This Row],[E_NH4]]/données_step[[#This Row],[E_NTOT]]),"")</f>
        <v/>
      </c>
      <c r="BN281" s="521" t="str">
        <f>IFERROR(IF(données_step[[#This Row],[E_NTOT]]/données_step[[#This Row],[E_COT]]=0,NA(),données_step[[#This Row],[E_NTOT]]/données_step[[#This Row],[E_COT]]),"")</f>
        <v/>
      </c>
      <c r="BO281" s="521" t="str">
        <f>IFERROR(IF(données_step[[#This Row],[E_PTOT]]/données_step[[#This Row],[E_COT]]=0,NA(),données_step[[#This Row],[E_PTOT]]/données_step[[#This Row],[E_COT]]),"")</f>
        <v/>
      </c>
      <c r="BP281" s="521" t="e">
        <f>IF(données_step[[#This Row],[E_DCO]]/données_step[[#This Row],[E_COT]]=0,NA(),données_step[[#This Row],[E_DCO]]/données_step[[#This Row],[E_COT]])</f>
        <v>#DIV/0!</v>
      </c>
      <c r="BQ281" s="521" t="e">
        <f>IF(données_step[[#This Row],[E_NTOT]]/données_step[[#This Row],[E_DCO]]=0,NA(),données_step[[#This Row],[E_NTOT]]/données_step[[#This Row],[E_DCO]])</f>
        <v>#DIV/0!</v>
      </c>
      <c r="BR281" s="521" t="e">
        <f>IF(données_step[[#This Row],[E_PTOT]]/données_step[[#This Row],[E_DCO]]=0,NA(),données_step[[#This Row],[E_PTOT]]/données_step[[#This Row],[E_DCO]])</f>
        <v>#DIV/0!</v>
      </c>
      <c r="BS281" s="747" t="e">
        <f ca="1">test_NH4_temp(données_step[[#This Row],[S_NH4]],données_step[[#This Row],[Temp_eaux]])</f>
        <v>#NAME?</v>
      </c>
    </row>
    <row r="282" spans="1:71" x14ac:dyDescent="0.2">
      <c r="A282" s="222">
        <f>données_step[[#This Row],[Datum]]</f>
        <v>44833</v>
      </c>
      <c r="B282" s="223"/>
      <c r="C282" s="224">
        <f t="shared" si="64"/>
        <v>5</v>
      </c>
      <c r="D282" s="523" t="str">
        <f>IF(OR(données_step[[#This Row],[E_DBO5]]&lt;=0,données_step[[#This Row],[E_DBO5]]=""),"",données_step[[#This Row],[D_QTRAI]]*données_step[[#This Row],[E_DBO5]]/1000)</f>
        <v/>
      </c>
      <c r="E282" s="523" t="str">
        <f>IF(OR(données_step[[#This Row],[E_DCO]]&lt;=0,données_step[[#This Row],[E_DCO]]=""),"",données_step[[#This Row],[D_QTRAI]]*données_step[[#This Row],[E_DCO]]/1000)</f>
        <v/>
      </c>
      <c r="F282" s="523" t="str">
        <f>IF(OR(données_step[[#This Row],[E_COT]]&lt;=0,données_step[[#This Row],[E_COT]]=""),"",données_step[[#This Row],[D_QTRAI]]*données_step[[#This Row],[E_COT]]/1000)</f>
        <v/>
      </c>
      <c r="G282" s="523" t="str">
        <f>IF(OR(données_step[[#This Row],[E_NH4]]&lt;=0,données_step[[#This Row],[E_NH4]]=""),"",données_step[[#This Row],[D_QTRAI]]*données_step[[#This Row],[E_NH4]]/1000)</f>
        <v/>
      </c>
      <c r="H282" s="523" t="str">
        <f>IF(OR(données_step[[#This Row],[E_NTOT]]&lt;=0,données_step[[#This Row],[E_NTOT]]=""),"",données_step[[#This Row],[D_QTRAI]]*données_step[[#This Row],[E_NTOT]]/1000)</f>
        <v/>
      </c>
      <c r="I282" s="523" t="str">
        <f>IF(OR(données_step[[#This Row],[E_NTOT]]&lt;=0,données_step[[#This Row],[E_NTOT]]=""),"",données_step[[#This Row],[D_QTRAI]]*données_step[[#This Row],[E_PTOT]]/1000)</f>
        <v/>
      </c>
      <c r="J282" s="523" t="str">
        <f>IF(OR(données_step[[#This Row],[S_DBO5]]&lt;=0,données_step[[#This Row],[S_DBO5]]=""),"",données_step[[#This Row],[D_QTRAI]]*données_step[[#This Row],[S_DBO5]]/1000)</f>
        <v/>
      </c>
      <c r="K282" s="523" t="str">
        <f>IF(OR(données_step[[#This Row],[S_DCO]]&lt;=0,données_step[[#This Row],[S_DCO]]=""),"",données_step[[#This Row],[D_QTRAI]]*données_step[[#This Row],[S_DCO]]/1000)</f>
        <v/>
      </c>
      <c r="L282" s="523" t="str">
        <f>IF(OR(données_step[[#This Row],[S_COD]]&lt;=0,données_step[[#This Row],[S_COD]]=""),"",données_step[[#This Row],[D_QTRAI]]*données_step[[#This Row],[S_COD]]/1000)</f>
        <v/>
      </c>
      <c r="M282" s="523" t="str">
        <f>IF(OR(données_step[[#This Row],[S_NH4]]&lt;=0,données_step[[#This Row],[S_NH4]]=""),"",données_step[[#This Row],[D_QTRAI]]*données_step[[#This Row],[S_NH4]]/1000)</f>
        <v/>
      </c>
      <c r="N282" s="523" t="str">
        <f>IF(OR(données_step[[#This Row],[S_NO2]]&lt;=0,données_step[[#This Row],[S_NO2]]=""),"",données_step[[#This Row],[D_QTRAI]]*données_step[[#This Row],[S_NO2]]/1000)</f>
        <v/>
      </c>
      <c r="O282" s="523" t="str">
        <f>IF(OR(données_step[[#This Row],[S_NO3]]&lt;=0,données_step[[#This Row],[S_NO3]]=""),"",données_step[[#This Row],[D_QTRAI]]*données_step[[#This Row],[S_NO3]]/1000)</f>
        <v/>
      </c>
      <c r="P282" s="523" t="str">
        <f>IF(OR(données_step[[#This Row],[S_PTOT]]&lt;=0,données_step[[#This Row],[S_PTOT]]=""),"",données_step[[#This Row],[D_QTRAI]]*données_step[[#This Row],[S_PTOT]]/1000)</f>
        <v/>
      </c>
      <c r="Q282" s="523" t="str">
        <f>IF(OR(données_step[[#This Row],[S_MES]]&lt;=0,données_step[[#This Row],[S_MES]]=""),"",données_step[[#This Row],[D_QTRAI]]*données_step[[#This Row],[S_MES]]/1000)</f>
        <v/>
      </c>
      <c r="R282" s="523">
        <f>MAX(données_step[[#This Row],[D_QTRAI]],données_step[[#This Row],[D_QTRAI2]])</f>
        <v>0</v>
      </c>
      <c r="S282" s="523" t="str">
        <f>IF(AND($R282&gt;0,données_step[[#This Row],[E_DCO]]&gt;0),données_step[[#This Row],[E_DCO]],"")</f>
        <v/>
      </c>
      <c r="T282" s="523" t="str">
        <f>IF(S282="","",(1-données_step[[#This Row],[E_DCO]]/$V$7)*100)</f>
        <v/>
      </c>
      <c r="U282" s="523" t="str">
        <f t="shared" si="65"/>
        <v/>
      </c>
      <c r="V282" s="523" t="str">
        <f t="shared" si="66"/>
        <v/>
      </c>
      <c r="W282" s="523" t="str">
        <f t="shared" si="67"/>
        <v/>
      </c>
      <c r="X282" s="523" t="e">
        <f>IF(((100-100/$V$7*données_step[[#This Row],[E_DCO]])/100*QTS)&lt;0,NA(),IF(OR(U282&lt;0,U282=""),NA(),((100-100/$V$7*données_step[[#This Row],[E_DCO]])/100*QTS)))</f>
        <v>#NUM!</v>
      </c>
      <c r="Y282" s="523" t="str">
        <f>IF(AND($R282&gt;0,données_step[[#This Row],[E_COT]]&gt;0),données_step[[#This Row],[E_COT]],"")</f>
        <v/>
      </c>
      <c r="Z282" s="523" t="str">
        <f>IF(Y282="","",(1-données_step[[#This Row],[E_COT]]/$AB$7)*100)</f>
        <v/>
      </c>
      <c r="AA282" s="523" t="str">
        <f t="shared" si="68"/>
        <v/>
      </c>
      <c r="AB282" s="523" t="str">
        <f t="shared" si="69"/>
        <v/>
      </c>
      <c r="AC282" s="523" t="str">
        <f t="shared" si="70"/>
        <v/>
      </c>
      <c r="AD282" s="523" t="e">
        <f>IF(((100-100/$AB$7*données_step[[#This Row],[E_COT]])/100*QTS)&lt;0,NA(),IF(OR(AA282&lt;0,AA282=""),NA(),((100-100/$AB$7*données_step[[#This Row],[E_COT]])/100*QTS)))</f>
        <v>#NUM!</v>
      </c>
      <c r="AE282" s="523" t="str">
        <f>IF(AND($R282&gt;0,données_step[[#This Row],[E_NH4]]&gt;0),données_step[[#This Row],[E_NH4]],"")</f>
        <v/>
      </c>
      <c r="AF282" s="523" t="str">
        <f>IF(AE282="","",(1-données_step[[#This Row],[E_NH4]]/$AH$7)*100)</f>
        <v/>
      </c>
      <c r="AG282" s="523" t="str">
        <f t="shared" si="71"/>
        <v/>
      </c>
      <c r="AH282" s="523" t="str">
        <f t="shared" si="72"/>
        <v/>
      </c>
      <c r="AI282" s="523" t="str">
        <f t="shared" si="73"/>
        <v/>
      </c>
      <c r="AJ282" s="523" t="e">
        <f>IF(((100-100/$AH$7*données_step[[#This Row],[E_NH4]])/100*QTS)&lt;0,NA(),IF(OR(AG282&lt;0,AG282=""),NA(),((100-100/$AH$7*données_step[[#This Row],[E_NH4]])/100*QTS)))</f>
        <v>#NUM!</v>
      </c>
      <c r="AK282" s="523" t="str">
        <f>IF(AND($R282&gt;0,données_step[[#This Row],[E_PTOT]]&gt;0),données_step[[#This Row],[E_PTOT]],"")</f>
        <v/>
      </c>
      <c r="AL282" s="523" t="str">
        <f>IF(AK282="","",(1-données_step[[#This Row],[E_PTOT]]/$AN$7)*100)</f>
        <v/>
      </c>
      <c r="AM282" s="523" t="str">
        <f t="shared" si="74"/>
        <v/>
      </c>
      <c r="AN282" s="523" t="str">
        <f t="shared" si="75"/>
        <v/>
      </c>
      <c r="AO282" s="523" t="str">
        <f t="shared" si="76"/>
        <v/>
      </c>
      <c r="AP282" s="523" t="e">
        <f>IF(((100-100/$AN$7*données_step[[#This Row],[E_PTOT]])/100*QTS)&lt;0,NA(),IF(OR(AM282&lt;0,AM282=""),NA(),((100-100/$AN$7*données_step[[#This Row],[E_PTOT]])/100*QTS)))</f>
        <v>#NUM!</v>
      </c>
      <c r="AQ282" s="524" t="e">
        <f t="shared" si="77"/>
        <v>#NUM!</v>
      </c>
      <c r="AR282" s="524" t="str">
        <f t="shared" si="78"/>
        <v/>
      </c>
      <c r="AY282" s="523" t="str">
        <f>_xlfn.IFNA(IF(données_step[[#This Row],[E_DCO]]&lt;=0,NA(),charge_entree[[#This Row],[ch_E_DCO]]/constanten!$B$8*1000),"")</f>
        <v/>
      </c>
      <c r="AZ282" s="523" t="str">
        <f>_xlfn.IFNA(IF(données_step[[#This Row],[E_NTOT]]&lt;=0,NA(),charge_entree[[#This Row],[ch_E_NTOT]]/constanten!$B$10*1000),"")</f>
        <v/>
      </c>
      <c r="BA282" s="523" t="str">
        <f>_xlfn.IFNA(IF(données_step[[#This Row],[E_NH4]]&lt;=0,NA(),charge_entree[[#This Row],[ch_E_NH4]]/constanten!$B$12*1000),"")</f>
        <v/>
      </c>
      <c r="BB282" s="523" t="str">
        <f>_xlfn.IFNA(IF(données_step[[#This Row],[E_COT]]&lt;=0,NA(),charge_entree[[#This Row],[ch_E_COT]]/constanten!$B$9*1000),"")</f>
        <v/>
      </c>
      <c r="BC282" s="523" t="str">
        <f>IFERROR(_xlfn.IFNA(IF(données_step[[#This Row],[E_PTOT]]&lt;=0,NA(),charge_entree[[#This Row],[ch_E_PTOT]]/constanten!$B$15*1000),""),"")</f>
        <v/>
      </c>
      <c r="BD282" s="535" t="e">
        <f>calculs!E282 * (1-0.4) / (données_step[[#This Row],[X_BA_VOL]]*données_step[[#This Row],[X_BACONC]])</f>
        <v>#VALUE!</v>
      </c>
      <c r="BE282" s="522" t="e">
        <f>(données_step[[#This Row],[X_BA_VOL]]*données_step[[#This Row],[X_BACONC]])/((données_step[[#This Row],[D_QTRAI2]]*données_step[[#This Row],[S_MES]]/1000)+(données_step[[#This Row],[X_BX_Q]]*données_step[[#This Row],[X_BXCONC]]))</f>
        <v>#VALUE!</v>
      </c>
      <c r="BF282" s="890" t="str">
        <f>IFERROR(données_step[[#This Row],[D_QTRAI]]/AY282*1000,"")</f>
        <v/>
      </c>
      <c r="BG282" s="535" t="str">
        <f>IFERROR(1-données_step[[#This Row],[S_DBO5]]/données_step[[#This Row],[E_DBO5]],"")</f>
        <v/>
      </c>
      <c r="BH282" s="536" t="str">
        <f>IFERROR(1-données_step[[#This Row],[S_DCO]]/données_step[[#This Row],[E_DCO]],"")</f>
        <v/>
      </c>
      <c r="BI282" s="535" t="str">
        <f>IFERROR(1-données_step[[#This Row],[S_COD]]/données_step[[#This Row],[E_COT]],"")</f>
        <v/>
      </c>
      <c r="BJ282" s="535" t="str">
        <f>IFERROR(1-données_step[[#This Row],[S_NH4]]/données_step[[#This Row],[E_NTOT]],"")</f>
        <v/>
      </c>
      <c r="BK282" s="535" t="str">
        <f>IFERROR(1-données_step[[#This Row],[S_PTOT]]/données_step[[#This Row],[E_PTOT]],"")</f>
        <v/>
      </c>
      <c r="BL282" s="521" t="str">
        <f>IFERROR(IF(données_step[[#This Row],[E_DCO]]/données_step[[#This Row],[E_DBO5]]=0,NA(),données_step[[#This Row],[E_DCO]]/données_step[[#This Row],[E_DBO5]]),"")</f>
        <v/>
      </c>
      <c r="BM282" s="521" t="str">
        <f>IFERROR(IF(données_step[[#This Row],[E_NH4]]/données_step[[#This Row],[E_NTOT]]=0,NA(),données_step[[#This Row],[E_NH4]]/données_step[[#This Row],[E_NTOT]]),"")</f>
        <v/>
      </c>
      <c r="BN282" s="521" t="str">
        <f>IFERROR(IF(données_step[[#This Row],[E_NTOT]]/données_step[[#This Row],[E_COT]]=0,NA(),données_step[[#This Row],[E_NTOT]]/données_step[[#This Row],[E_COT]]),"")</f>
        <v/>
      </c>
      <c r="BO282" s="521" t="str">
        <f>IFERROR(IF(données_step[[#This Row],[E_PTOT]]/données_step[[#This Row],[E_COT]]=0,NA(),données_step[[#This Row],[E_PTOT]]/données_step[[#This Row],[E_COT]]),"")</f>
        <v/>
      </c>
      <c r="BP282" s="521" t="e">
        <f>IF(données_step[[#This Row],[E_DCO]]/données_step[[#This Row],[E_COT]]=0,NA(),données_step[[#This Row],[E_DCO]]/données_step[[#This Row],[E_COT]])</f>
        <v>#DIV/0!</v>
      </c>
      <c r="BQ282" s="521" t="e">
        <f>IF(données_step[[#This Row],[E_NTOT]]/données_step[[#This Row],[E_DCO]]=0,NA(),données_step[[#This Row],[E_NTOT]]/données_step[[#This Row],[E_DCO]])</f>
        <v>#DIV/0!</v>
      </c>
      <c r="BR282" s="521" t="e">
        <f>IF(données_step[[#This Row],[E_PTOT]]/données_step[[#This Row],[E_DCO]]=0,NA(),données_step[[#This Row],[E_PTOT]]/données_step[[#This Row],[E_DCO]])</f>
        <v>#DIV/0!</v>
      </c>
      <c r="BS282" s="747" t="e">
        <f ca="1">test_NH4_temp(données_step[[#This Row],[S_NH4]],données_step[[#This Row],[Temp_eaux]])</f>
        <v>#NAME?</v>
      </c>
    </row>
    <row r="283" spans="1:71" x14ac:dyDescent="0.2">
      <c r="A283" s="222">
        <f>données_step[[#This Row],[Datum]]</f>
        <v>44834</v>
      </c>
      <c r="B283" s="223"/>
      <c r="C283" s="224">
        <f t="shared" si="64"/>
        <v>6</v>
      </c>
      <c r="D283" s="523" t="str">
        <f>IF(OR(données_step[[#This Row],[E_DBO5]]&lt;=0,données_step[[#This Row],[E_DBO5]]=""),"",données_step[[#This Row],[D_QTRAI]]*données_step[[#This Row],[E_DBO5]]/1000)</f>
        <v/>
      </c>
      <c r="E283" s="523" t="str">
        <f>IF(OR(données_step[[#This Row],[E_DCO]]&lt;=0,données_step[[#This Row],[E_DCO]]=""),"",données_step[[#This Row],[D_QTRAI]]*données_step[[#This Row],[E_DCO]]/1000)</f>
        <v/>
      </c>
      <c r="F283" s="523" t="str">
        <f>IF(OR(données_step[[#This Row],[E_COT]]&lt;=0,données_step[[#This Row],[E_COT]]=""),"",données_step[[#This Row],[D_QTRAI]]*données_step[[#This Row],[E_COT]]/1000)</f>
        <v/>
      </c>
      <c r="G283" s="523" t="str">
        <f>IF(OR(données_step[[#This Row],[E_NH4]]&lt;=0,données_step[[#This Row],[E_NH4]]=""),"",données_step[[#This Row],[D_QTRAI]]*données_step[[#This Row],[E_NH4]]/1000)</f>
        <v/>
      </c>
      <c r="H283" s="523" t="str">
        <f>IF(OR(données_step[[#This Row],[E_NTOT]]&lt;=0,données_step[[#This Row],[E_NTOT]]=""),"",données_step[[#This Row],[D_QTRAI]]*données_step[[#This Row],[E_NTOT]]/1000)</f>
        <v/>
      </c>
      <c r="I283" s="523" t="str">
        <f>IF(OR(données_step[[#This Row],[E_NTOT]]&lt;=0,données_step[[#This Row],[E_NTOT]]=""),"",données_step[[#This Row],[D_QTRAI]]*données_step[[#This Row],[E_PTOT]]/1000)</f>
        <v/>
      </c>
      <c r="J283" s="523" t="str">
        <f>IF(OR(données_step[[#This Row],[S_DBO5]]&lt;=0,données_step[[#This Row],[S_DBO5]]=""),"",données_step[[#This Row],[D_QTRAI]]*données_step[[#This Row],[S_DBO5]]/1000)</f>
        <v/>
      </c>
      <c r="K283" s="523" t="str">
        <f>IF(OR(données_step[[#This Row],[S_DCO]]&lt;=0,données_step[[#This Row],[S_DCO]]=""),"",données_step[[#This Row],[D_QTRAI]]*données_step[[#This Row],[S_DCO]]/1000)</f>
        <v/>
      </c>
      <c r="L283" s="523" t="str">
        <f>IF(OR(données_step[[#This Row],[S_COD]]&lt;=0,données_step[[#This Row],[S_COD]]=""),"",données_step[[#This Row],[D_QTRAI]]*données_step[[#This Row],[S_COD]]/1000)</f>
        <v/>
      </c>
      <c r="M283" s="523" t="str">
        <f>IF(OR(données_step[[#This Row],[S_NH4]]&lt;=0,données_step[[#This Row],[S_NH4]]=""),"",données_step[[#This Row],[D_QTRAI]]*données_step[[#This Row],[S_NH4]]/1000)</f>
        <v/>
      </c>
      <c r="N283" s="523" t="str">
        <f>IF(OR(données_step[[#This Row],[S_NO2]]&lt;=0,données_step[[#This Row],[S_NO2]]=""),"",données_step[[#This Row],[D_QTRAI]]*données_step[[#This Row],[S_NO2]]/1000)</f>
        <v/>
      </c>
      <c r="O283" s="523" t="str">
        <f>IF(OR(données_step[[#This Row],[S_NO3]]&lt;=0,données_step[[#This Row],[S_NO3]]=""),"",données_step[[#This Row],[D_QTRAI]]*données_step[[#This Row],[S_NO3]]/1000)</f>
        <v/>
      </c>
      <c r="P283" s="523" t="str">
        <f>IF(OR(données_step[[#This Row],[S_PTOT]]&lt;=0,données_step[[#This Row],[S_PTOT]]=""),"",données_step[[#This Row],[D_QTRAI]]*données_step[[#This Row],[S_PTOT]]/1000)</f>
        <v/>
      </c>
      <c r="Q283" s="523" t="str">
        <f>IF(OR(données_step[[#This Row],[S_MES]]&lt;=0,données_step[[#This Row],[S_MES]]=""),"",données_step[[#This Row],[D_QTRAI]]*données_step[[#This Row],[S_MES]]/1000)</f>
        <v/>
      </c>
      <c r="R283" s="523">
        <f>MAX(données_step[[#This Row],[D_QTRAI]],données_step[[#This Row],[D_QTRAI2]])</f>
        <v>0</v>
      </c>
      <c r="S283" s="523" t="str">
        <f>IF(AND($R283&gt;0,données_step[[#This Row],[E_DCO]]&gt;0),données_step[[#This Row],[E_DCO]],"")</f>
        <v/>
      </c>
      <c r="T283" s="523" t="str">
        <f>IF(S283="","",(1-données_step[[#This Row],[E_DCO]]/$V$7)*100)</f>
        <v/>
      </c>
      <c r="U283" s="523" t="str">
        <f t="shared" si="65"/>
        <v/>
      </c>
      <c r="V283" s="523" t="str">
        <f t="shared" si="66"/>
        <v/>
      </c>
      <c r="W283" s="523" t="str">
        <f t="shared" si="67"/>
        <v/>
      </c>
      <c r="X283" s="523" t="e">
        <f>IF(((100-100/$V$7*données_step[[#This Row],[E_DCO]])/100*QTS)&lt;0,NA(),IF(OR(U283&lt;0,U283=""),NA(),((100-100/$V$7*données_step[[#This Row],[E_DCO]])/100*QTS)))</f>
        <v>#NUM!</v>
      </c>
      <c r="Y283" s="523" t="str">
        <f>IF(AND($R283&gt;0,données_step[[#This Row],[E_COT]]&gt;0),données_step[[#This Row],[E_COT]],"")</f>
        <v/>
      </c>
      <c r="Z283" s="523" t="str">
        <f>IF(Y283="","",(1-données_step[[#This Row],[E_COT]]/$AB$7)*100)</f>
        <v/>
      </c>
      <c r="AA283" s="523" t="str">
        <f t="shared" si="68"/>
        <v/>
      </c>
      <c r="AB283" s="523" t="str">
        <f t="shared" si="69"/>
        <v/>
      </c>
      <c r="AC283" s="523" t="str">
        <f t="shared" si="70"/>
        <v/>
      </c>
      <c r="AD283" s="523" t="e">
        <f>IF(((100-100/$AB$7*données_step[[#This Row],[E_COT]])/100*QTS)&lt;0,NA(),IF(OR(AA283&lt;0,AA283=""),NA(),((100-100/$AB$7*données_step[[#This Row],[E_COT]])/100*QTS)))</f>
        <v>#NUM!</v>
      </c>
      <c r="AE283" s="523" t="str">
        <f>IF(AND($R283&gt;0,données_step[[#This Row],[E_NH4]]&gt;0),données_step[[#This Row],[E_NH4]],"")</f>
        <v/>
      </c>
      <c r="AF283" s="523" t="str">
        <f>IF(AE283="","",(1-données_step[[#This Row],[E_NH4]]/$AH$7)*100)</f>
        <v/>
      </c>
      <c r="AG283" s="523" t="str">
        <f t="shared" si="71"/>
        <v/>
      </c>
      <c r="AH283" s="523" t="str">
        <f t="shared" si="72"/>
        <v/>
      </c>
      <c r="AI283" s="523" t="str">
        <f t="shared" si="73"/>
        <v/>
      </c>
      <c r="AJ283" s="523" t="e">
        <f>IF(((100-100/$AH$7*données_step[[#This Row],[E_NH4]])/100*QTS)&lt;0,NA(),IF(OR(AG283&lt;0,AG283=""),NA(),((100-100/$AH$7*données_step[[#This Row],[E_NH4]])/100*QTS)))</f>
        <v>#NUM!</v>
      </c>
      <c r="AK283" s="523" t="str">
        <f>IF(AND($R283&gt;0,données_step[[#This Row],[E_PTOT]]&gt;0),données_step[[#This Row],[E_PTOT]],"")</f>
        <v/>
      </c>
      <c r="AL283" s="523" t="str">
        <f>IF(AK283="","",(1-données_step[[#This Row],[E_PTOT]]/$AN$7)*100)</f>
        <v/>
      </c>
      <c r="AM283" s="523" t="str">
        <f t="shared" si="74"/>
        <v/>
      </c>
      <c r="AN283" s="523" t="str">
        <f t="shared" si="75"/>
        <v/>
      </c>
      <c r="AO283" s="523" t="str">
        <f t="shared" si="76"/>
        <v/>
      </c>
      <c r="AP283" s="523" t="e">
        <f>IF(((100-100/$AN$7*données_step[[#This Row],[E_PTOT]])/100*QTS)&lt;0,NA(),IF(OR(AM283&lt;0,AM283=""),NA(),((100-100/$AN$7*données_step[[#This Row],[E_PTOT]])/100*QTS)))</f>
        <v>#NUM!</v>
      </c>
      <c r="AQ283" s="524" t="e">
        <f t="shared" si="77"/>
        <v>#NUM!</v>
      </c>
      <c r="AR283" s="524" t="str">
        <f t="shared" si="78"/>
        <v/>
      </c>
      <c r="AY283" s="523" t="str">
        <f>_xlfn.IFNA(IF(données_step[[#This Row],[E_DCO]]&lt;=0,NA(),charge_entree[[#This Row],[ch_E_DCO]]/constanten!$B$8*1000),"")</f>
        <v/>
      </c>
      <c r="AZ283" s="523" t="str">
        <f>_xlfn.IFNA(IF(données_step[[#This Row],[E_NTOT]]&lt;=0,NA(),charge_entree[[#This Row],[ch_E_NTOT]]/constanten!$B$10*1000),"")</f>
        <v/>
      </c>
      <c r="BA283" s="523" t="str">
        <f>_xlfn.IFNA(IF(données_step[[#This Row],[E_NH4]]&lt;=0,NA(),charge_entree[[#This Row],[ch_E_NH4]]/constanten!$B$12*1000),"")</f>
        <v/>
      </c>
      <c r="BB283" s="523" t="str">
        <f>_xlfn.IFNA(IF(données_step[[#This Row],[E_COT]]&lt;=0,NA(),charge_entree[[#This Row],[ch_E_COT]]/constanten!$B$9*1000),"")</f>
        <v/>
      </c>
      <c r="BC283" s="523" t="str">
        <f>IFERROR(_xlfn.IFNA(IF(données_step[[#This Row],[E_PTOT]]&lt;=0,NA(),charge_entree[[#This Row],[ch_E_PTOT]]/constanten!$B$15*1000),""),"")</f>
        <v/>
      </c>
      <c r="BD283" s="535" t="e">
        <f>calculs!E283 * (1-0.4) / (données_step[[#This Row],[X_BA_VOL]]*données_step[[#This Row],[X_BACONC]])</f>
        <v>#VALUE!</v>
      </c>
      <c r="BE283" s="522" t="e">
        <f>(données_step[[#This Row],[X_BA_VOL]]*données_step[[#This Row],[X_BACONC]])/((données_step[[#This Row],[D_QTRAI2]]*données_step[[#This Row],[S_MES]]/1000)+(données_step[[#This Row],[X_BX_Q]]*données_step[[#This Row],[X_BXCONC]]))</f>
        <v>#VALUE!</v>
      </c>
      <c r="BF283" s="890" t="str">
        <f>IFERROR(données_step[[#This Row],[D_QTRAI]]/AY283*1000,"")</f>
        <v/>
      </c>
      <c r="BG283" s="535" t="str">
        <f>IFERROR(1-données_step[[#This Row],[S_DBO5]]/données_step[[#This Row],[E_DBO5]],"")</f>
        <v/>
      </c>
      <c r="BH283" s="536" t="str">
        <f>IFERROR(1-données_step[[#This Row],[S_DCO]]/données_step[[#This Row],[E_DCO]],"")</f>
        <v/>
      </c>
      <c r="BI283" s="535" t="str">
        <f>IFERROR(1-données_step[[#This Row],[S_COD]]/données_step[[#This Row],[E_COT]],"")</f>
        <v/>
      </c>
      <c r="BJ283" s="535" t="str">
        <f>IFERROR(1-données_step[[#This Row],[S_NH4]]/données_step[[#This Row],[E_NTOT]],"")</f>
        <v/>
      </c>
      <c r="BK283" s="535" t="str">
        <f>IFERROR(1-données_step[[#This Row],[S_PTOT]]/données_step[[#This Row],[E_PTOT]],"")</f>
        <v/>
      </c>
      <c r="BL283" s="521" t="str">
        <f>IFERROR(IF(données_step[[#This Row],[E_DCO]]/données_step[[#This Row],[E_DBO5]]=0,NA(),données_step[[#This Row],[E_DCO]]/données_step[[#This Row],[E_DBO5]]),"")</f>
        <v/>
      </c>
      <c r="BM283" s="521" t="str">
        <f>IFERROR(IF(données_step[[#This Row],[E_NH4]]/données_step[[#This Row],[E_NTOT]]=0,NA(),données_step[[#This Row],[E_NH4]]/données_step[[#This Row],[E_NTOT]]),"")</f>
        <v/>
      </c>
      <c r="BN283" s="521" t="str">
        <f>IFERROR(IF(données_step[[#This Row],[E_NTOT]]/données_step[[#This Row],[E_COT]]=0,NA(),données_step[[#This Row],[E_NTOT]]/données_step[[#This Row],[E_COT]]),"")</f>
        <v/>
      </c>
      <c r="BO283" s="521" t="str">
        <f>IFERROR(IF(données_step[[#This Row],[E_PTOT]]/données_step[[#This Row],[E_COT]]=0,NA(),données_step[[#This Row],[E_PTOT]]/données_step[[#This Row],[E_COT]]),"")</f>
        <v/>
      </c>
      <c r="BP283" s="521" t="e">
        <f>IF(données_step[[#This Row],[E_DCO]]/données_step[[#This Row],[E_COT]]=0,NA(),données_step[[#This Row],[E_DCO]]/données_step[[#This Row],[E_COT]])</f>
        <v>#DIV/0!</v>
      </c>
      <c r="BQ283" s="521" t="e">
        <f>IF(données_step[[#This Row],[E_NTOT]]/données_step[[#This Row],[E_DCO]]=0,NA(),données_step[[#This Row],[E_NTOT]]/données_step[[#This Row],[E_DCO]])</f>
        <v>#DIV/0!</v>
      </c>
      <c r="BR283" s="521" t="e">
        <f>IF(données_step[[#This Row],[E_PTOT]]/données_step[[#This Row],[E_DCO]]=0,NA(),données_step[[#This Row],[E_PTOT]]/données_step[[#This Row],[E_DCO]])</f>
        <v>#DIV/0!</v>
      </c>
      <c r="BS283" s="747" t="e">
        <f ca="1">test_NH4_temp(données_step[[#This Row],[S_NH4]],données_step[[#This Row],[Temp_eaux]])</f>
        <v>#NAME?</v>
      </c>
    </row>
    <row r="284" spans="1:71" x14ac:dyDescent="0.2">
      <c r="A284" s="222">
        <f>données_step[[#This Row],[Datum]]</f>
        <v>44835</v>
      </c>
      <c r="B284" s="223"/>
      <c r="C284" s="224">
        <f t="shared" si="64"/>
        <v>7</v>
      </c>
      <c r="D284" s="523" t="str">
        <f>IF(OR(données_step[[#This Row],[E_DBO5]]&lt;=0,données_step[[#This Row],[E_DBO5]]=""),"",données_step[[#This Row],[D_QTRAI]]*données_step[[#This Row],[E_DBO5]]/1000)</f>
        <v/>
      </c>
      <c r="E284" s="523" t="str">
        <f>IF(OR(données_step[[#This Row],[E_DCO]]&lt;=0,données_step[[#This Row],[E_DCO]]=""),"",données_step[[#This Row],[D_QTRAI]]*données_step[[#This Row],[E_DCO]]/1000)</f>
        <v/>
      </c>
      <c r="F284" s="523" t="str">
        <f>IF(OR(données_step[[#This Row],[E_COT]]&lt;=0,données_step[[#This Row],[E_COT]]=""),"",données_step[[#This Row],[D_QTRAI]]*données_step[[#This Row],[E_COT]]/1000)</f>
        <v/>
      </c>
      <c r="G284" s="523" t="str">
        <f>IF(OR(données_step[[#This Row],[E_NH4]]&lt;=0,données_step[[#This Row],[E_NH4]]=""),"",données_step[[#This Row],[D_QTRAI]]*données_step[[#This Row],[E_NH4]]/1000)</f>
        <v/>
      </c>
      <c r="H284" s="523" t="str">
        <f>IF(OR(données_step[[#This Row],[E_NTOT]]&lt;=0,données_step[[#This Row],[E_NTOT]]=""),"",données_step[[#This Row],[D_QTRAI]]*données_step[[#This Row],[E_NTOT]]/1000)</f>
        <v/>
      </c>
      <c r="I284" s="523" t="str">
        <f>IF(OR(données_step[[#This Row],[E_NTOT]]&lt;=0,données_step[[#This Row],[E_NTOT]]=""),"",données_step[[#This Row],[D_QTRAI]]*données_step[[#This Row],[E_PTOT]]/1000)</f>
        <v/>
      </c>
      <c r="J284" s="523" t="str">
        <f>IF(OR(données_step[[#This Row],[S_DBO5]]&lt;=0,données_step[[#This Row],[S_DBO5]]=""),"",données_step[[#This Row],[D_QTRAI]]*données_step[[#This Row],[S_DBO5]]/1000)</f>
        <v/>
      </c>
      <c r="K284" s="523" t="str">
        <f>IF(OR(données_step[[#This Row],[S_DCO]]&lt;=0,données_step[[#This Row],[S_DCO]]=""),"",données_step[[#This Row],[D_QTRAI]]*données_step[[#This Row],[S_DCO]]/1000)</f>
        <v/>
      </c>
      <c r="L284" s="523" t="str">
        <f>IF(OR(données_step[[#This Row],[S_COD]]&lt;=0,données_step[[#This Row],[S_COD]]=""),"",données_step[[#This Row],[D_QTRAI]]*données_step[[#This Row],[S_COD]]/1000)</f>
        <v/>
      </c>
      <c r="M284" s="523" t="str">
        <f>IF(OR(données_step[[#This Row],[S_NH4]]&lt;=0,données_step[[#This Row],[S_NH4]]=""),"",données_step[[#This Row],[D_QTRAI]]*données_step[[#This Row],[S_NH4]]/1000)</f>
        <v/>
      </c>
      <c r="N284" s="523" t="str">
        <f>IF(OR(données_step[[#This Row],[S_NO2]]&lt;=0,données_step[[#This Row],[S_NO2]]=""),"",données_step[[#This Row],[D_QTRAI]]*données_step[[#This Row],[S_NO2]]/1000)</f>
        <v/>
      </c>
      <c r="O284" s="523" t="str">
        <f>IF(OR(données_step[[#This Row],[S_NO3]]&lt;=0,données_step[[#This Row],[S_NO3]]=""),"",données_step[[#This Row],[D_QTRAI]]*données_step[[#This Row],[S_NO3]]/1000)</f>
        <v/>
      </c>
      <c r="P284" s="523" t="str">
        <f>IF(OR(données_step[[#This Row],[S_PTOT]]&lt;=0,données_step[[#This Row],[S_PTOT]]=""),"",données_step[[#This Row],[D_QTRAI]]*données_step[[#This Row],[S_PTOT]]/1000)</f>
        <v/>
      </c>
      <c r="Q284" s="523" t="str">
        <f>IF(OR(données_step[[#This Row],[S_MES]]&lt;=0,données_step[[#This Row],[S_MES]]=""),"",données_step[[#This Row],[D_QTRAI]]*données_step[[#This Row],[S_MES]]/1000)</f>
        <v/>
      </c>
      <c r="R284" s="523">
        <f>MAX(données_step[[#This Row],[D_QTRAI]],données_step[[#This Row],[D_QTRAI2]])</f>
        <v>0</v>
      </c>
      <c r="S284" s="523" t="str">
        <f>IF(AND($R284&gt;0,données_step[[#This Row],[E_DCO]]&gt;0),données_step[[#This Row],[E_DCO]],"")</f>
        <v/>
      </c>
      <c r="T284" s="523" t="str">
        <f>IF(S284="","",(1-données_step[[#This Row],[E_DCO]]/$V$7)*100)</f>
        <v/>
      </c>
      <c r="U284" s="523" t="str">
        <f t="shared" si="65"/>
        <v/>
      </c>
      <c r="V284" s="523" t="str">
        <f t="shared" si="66"/>
        <v/>
      </c>
      <c r="W284" s="523" t="str">
        <f t="shared" si="67"/>
        <v/>
      </c>
      <c r="X284" s="523" t="e">
        <f>IF(((100-100/$V$7*données_step[[#This Row],[E_DCO]])/100*QTS)&lt;0,NA(),IF(OR(U284&lt;0,U284=""),NA(),((100-100/$V$7*données_step[[#This Row],[E_DCO]])/100*QTS)))</f>
        <v>#NUM!</v>
      </c>
      <c r="Y284" s="523" t="str">
        <f>IF(AND($R284&gt;0,données_step[[#This Row],[E_COT]]&gt;0),données_step[[#This Row],[E_COT]],"")</f>
        <v/>
      </c>
      <c r="Z284" s="523" t="str">
        <f>IF(Y284="","",(1-données_step[[#This Row],[E_COT]]/$AB$7)*100)</f>
        <v/>
      </c>
      <c r="AA284" s="523" t="str">
        <f t="shared" si="68"/>
        <v/>
      </c>
      <c r="AB284" s="523" t="str">
        <f t="shared" si="69"/>
        <v/>
      </c>
      <c r="AC284" s="523" t="str">
        <f t="shared" si="70"/>
        <v/>
      </c>
      <c r="AD284" s="523" t="e">
        <f>IF(((100-100/$AB$7*données_step[[#This Row],[E_COT]])/100*QTS)&lt;0,NA(),IF(OR(AA284&lt;0,AA284=""),NA(),((100-100/$AB$7*données_step[[#This Row],[E_COT]])/100*QTS)))</f>
        <v>#NUM!</v>
      </c>
      <c r="AE284" s="523" t="str">
        <f>IF(AND($R284&gt;0,données_step[[#This Row],[E_NH4]]&gt;0),données_step[[#This Row],[E_NH4]],"")</f>
        <v/>
      </c>
      <c r="AF284" s="523" t="str">
        <f>IF(AE284="","",(1-données_step[[#This Row],[E_NH4]]/$AH$7)*100)</f>
        <v/>
      </c>
      <c r="AG284" s="523" t="str">
        <f t="shared" si="71"/>
        <v/>
      </c>
      <c r="AH284" s="523" t="str">
        <f t="shared" si="72"/>
        <v/>
      </c>
      <c r="AI284" s="523" t="str">
        <f t="shared" si="73"/>
        <v/>
      </c>
      <c r="AJ284" s="523" t="e">
        <f>IF(((100-100/$AH$7*données_step[[#This Row],[E_NH4]])/100*QTS)&lt;0,NA(),IF(OR(AG284&lt;0,AG284=""),NA(),((100-100/$AH$7*données_step[[#This Row],[E_NH4]])/100*QTS)))</f>
        <v>#NUM!</v>
      </c>
      <c r="AK284" s="523" t="str">
        <f>IF(AND($R284&gt;0,données_step[[#This Row],[E_PTOT]]&gt;0),données_step[[#This Row],[E_PTOT]],"")</f>
        <v/>
      </c>
      <c r="AL284" s="523" t="str">
        <f>IF(AK284="","",(1-données_step[[#This Row],[E_PTOT]]/$AN$7)*100)</f>
        <v/>
      </c>
      <c r="AM284" s="523" t="str">
        <f t="shared" si="74"/>
        <v/>
      </c>
      <c r="AN284" s="523" t="str">
        <f t="shared" si="75"/>
        <v/>
      </c>
      <c r="AO284" s="523" t="str">
        <f t="shared" si="76"/>
        <v/>
      </c>
      <c r="AP284" s="523" t="e">
        <f>IF(((100-100/$AN$7*données_step[[#This Row],[E_PTOT]])/100*QTS)&lt;0,NA(),IF(OR(AM284&lt;0,AM284=""),NA(),((100-100/$AN$7*données_step[[#This Row],[E_PTOT]])/100*QTS)))</f>
        <v>#NUM!</v>
      </c>
      <c r="AQ284" s="524" t="e">
        <f t="shared" si="77"/>
        <v>#NUM!</v>
      </c>
      <c r="AR284" s="524" t="str">
        <f t="shared" si="78"/>
        <v/>
      </c>
      <c r="AY284" s="523" t="str">
        <f>_xlfn.IFNA(IF(données_step[[#This Row],[E_DCO]]&lt;=0,NA(),charge_entree[[#This Row],[ch_E_DCO]]/constanten!$B$8*1000),"")</f>
        <v/>
      </c>
      <c r="AZ284" s="523" t="str">
        <f>_xlfn.IFNA(IF(données_step[[#This Row],[E_NTOT]]&lt;=0,NA(),charge_entree[[#This Row],[ch_E_NTOT]]/constanten!$B$10*1000),"")</f>
        <v/>
      </c>
      <c r="BA284" s="523" t="str">
        <f>_xlfn.IFNA(IF(données_step[[#This Row],[E_NH4]]&lt;=0,NA(),charge_entree[[#This Row],[ch_E_NH4]]/constanten!$B$12*1000),"")</f>
        <v/>
      </c>
      <c r="BB284" s="523" t="str">
        <f>_xlfn.IFNA(IF(données_step[[#This Row],[E_COT]]&lt;=0,NA(),charge_entree[[#This Row],[ch_E_COT]]/constanten!$B$9*1000),"")</f>
        <v/>
      </c>
      <c r="BC284" s="523" t="str">
        <f>IFERROR(_xlfn.IFNA(IF(données_step[[#This Row],[E_PTOT]]&lt;=0,NA(),charge_entree[[#This Row],[ch_E_PTOT]]/constanten!$B$15*1000),""),"")</f>
        <v/>
      </c>
      <c r="BD284" s="535" t="e">
        <f>calculs!E284 * (1-0.4) / (données_step[[#This Row],[X_BA_VOL]]*données_step[[#This Row],[X_BACONC]])</f>
        <v>#VALUE!</v>
      </c>
      <c r="BE284" s="522" t="e">
        <f>(données_step[[#This Row],[X_BA_VOL]]*données_step[[#This Row],[X_BACONC]])/((données_step[[#This Row],[D_QTRAI2]]*données_step[[#This Row],[S_MES]]/1000)+(données_step[[#This Row],[X_BX_Q]]*données_step[[#This Row],[X_BXCONC]]))</f>
        <v>#VALUE!</v>
      </c>
      <c r="BF284" s="890" t="str">
        <f>IFERROR(données_step[[#This Row],[D_QTRAI]]/AY284*1000,"")</f>
        <v/>
      </c>
      <c r="BG284" s="535" t="str">
        <f>IFERROR(1-données_step[[#This Row],[S_DBO5]]/données_step[[#This Row],[E_DBO5]],"")</f>
        <v/>
      </c>
      <c r="BH284" s="536" t="str">
        <f>IFERROR(1-données_step[[#This Row],[S_DCO]]/données_step[[#This Row],[E_DCO]],"")</f>
        <v/>
      </c>
      <c r="BI284" s="535" t="str">
        <f>IFERROR(1-données_step[[#This Row],[S_COD]]/données_step[[#This Row],[E_COT]],"")</f>
        <v/>
      </c>
      <c r="BJ284" s="535" t="str">
        <f>IFERROR(1-données_step[[#This Row],[S_NH4]]/données_step[[#This Row],[E_NTOT]],"")</f>
        <v/>
      </c>
      <c r="BK284" s="535" t="str">
        <f>IFERROR(1-données_step[[#This Row],[S_PTOT]]/données_step[[#This Row],[E_PTOT]],"")</f>
        <v/>
      </c>
      <c r="BL284" s="521" t="str">
        <f>IFERROR(IF(données_step[[#This Row],[E_DCO]]/données_step[[#This Row],[E_DBO5]]=0,NA(),données_step[[#This Row],[E_DCO]]/données_step[[#This Row],[E_DBO5]]),"")</f>
        <v/>
      </c>
      <c r="BM284" s="521" t="str">
        <f>IFERROR(IF(données_step[[#This Row],[E_NH4]]/données_step[[#This Row],[E_NTOT]]=0,NA(),données_step[[#This Row],[E_NH4]]/données_step[[#This Row],[E_NTOT]]),"")</f>
        <v/>
      </c>
      <c r="BN284" s="521" t="str">
        <f>IFERROR(IF(données_step[[#This Row],[E_NTOT]]/données_step[[#This Row],[E_COT]]=0,NA(),données_step[[#This Row],[E_NTOT]]/données_step[[#This Row],[E_COT]]),"")</f>
        <v/>
      </c>
      <c r="BO284" s="521" t="str">
        <f>IFERROR(IF(données_step[[#This Row],[E_PTOT]]/données_step[[#This Row],[E_COT]]=0,NA(),données_step[[#This Row],[E_PTOT]]/données_step[[#This Row],[E_COT]]),"")</f>
        <v/>
      </c>
      <c r="BP284" s="521" t="e">
        <f>IF(données_step[[#This Row],[E_DCO]]/données_step[[#This Row],[E_COT]]=0,NA(),données_step[[#This Row],[E_DCO]]/données_step[[#This Row],[E_COT]])</f>
        <v>#DIV/0!</v>
      </c>
      <c r="BQ284" s="521" t="e">
        <f>IF(données_step[[#This Row],[E_NTOT]]/données_step[[#This Row],[E_DCO]]=0,NA(),données_step[[#This Row],[E_NTOT]]/données_step[[#This Row],[E_DCO]])</f>
        <v>#DIV/0!</v>
      </c>
      <c r="BR284" s="521" t="e">
        <f>IF(données_step[[#This Row],[E_PTOT]]/données_step[[#This Row],[E_DCO]]=0,NA(),données_step[[#This Row],[E_PTOT]]/données_step[[#This Row],[E_DCO]])</f>
        <v>#DIV/0!</v>
      </c>
      <c r="BS284" s="747" t="e">
        <f ca="1">test_NH4_temp(données_step[[#This Row],[S_NH4]],données_step[[#This Row],[Temp_eaux]])</f>
        <v>#NAME?</v>
      </c>
    </row>
    <row r="285" spans="1:71" x14ac:dyDescent="0.2">
      <c r="A285" s="222">
        <f>données_step[[#This Row],[Datum]]</f>
        <v>44836</v>
      </c>
      <c r="B285" s="223"/>
      <c r="C285" s="224">
        <f t="shared" si="64"/>
        <v>1</v>
      </c>
      <c r="D285" s="523" t="str">
        <f>IF(OR(données_step[[#This Row],[E_DBO5]]&lt;=0,données_step[[#This Row],[E_DBO5]]=""),"",données_step[[#This Row],[D_QTRAI]]*données_step[[#This Row],[E_DBO5]]/1000)</f>
        <v/>
      </c>
      <c r="E285" s="523" t="str">
        <f>IF(OR(données_step[[#This Row],[E_DCO]]&lt;=0,données_step[[#This Row],[E_DCO]]=""),"",données_step[[#This Row],[D_QTRAI]]*données_step[[#This Row],[E_DCO]]/1000)</f>
        <v/>
      </c>
      <c r="F285" s="523" t="str">
        <f>IF(OR(données_step[[#This Row],[E_COT]]&lt;=0,données_step[[#This Row],[E_COT]]=""),"",données_step[[#This Row],[D_QTRAI]]*données_step[[#This Row],[E_COT]]/1000)</f>
        <v/>
      </c>
      <c r="G285" s="523" t="str">
        <f>IF(OR(données_step[[#This Row],[E_NH4]]&lt;=0,données_step[[#This Row],[E_NH4]]=""),"",données_step[[#This Row],[D_QTRAI]]*données_step[[#This Row],[E_NH4]]/1000)</f>
        <v/>
      </c>
      <c r="H285" s="523" t="str">
        <f>IF(OR(données_step[[#This Row],[E_NTOT]]&lt;=0,données_step[[#This Row],[E_NTOT]]=""),"",données_step[[#This Row],[D_QTRAI]]*données_step[[#This Row],[E_NTOT]]/1000)</f>
        <v/>
      </c>
      <c r="I285" s="523" t="str">
        <f>IF(OR(données_step[[#This Row],[E_NTOT]]&lt;=0,données_step[[#This Row],[E_NTOT]]=""),"",données_step[[#This Row],[D_QTRAI]]*données_step[[#This Row],[E_PTOT]]/1000)</f>
        <v/>
      </c>
      <c r="J285" s="523" t="str">
        <f>IF(OR(données_step[[#This Row],[S_DBO5]]&lt;=0,données_step[[#This Row],[S_DBO5]]=""),"",données_step[[#This Row],[D_QTRAI]]*données_step[[#This Row],[S_DBO5]]/1000)</f>
        <v/>
      </c>
      <c r="K285" s="523" t="str">
        <f>IF(OR(données_step[[#This Row],[S_DCO]]&lt;=0,données_step[[#This Row],[S_DCO]]=""),"",données_step[[#This Row],[D_QTRAI]]*données_step[[#This Row],[S_DCO]]/1000)</f>
        <v/>
      </c>
      <c r="L285" s="523" t="str">
        <f>IF(OR(données_step[[#This Row],[S_COD]]&lt;=0,données_step[[#This Row],[S_COD]]=""),"",données_step[[#This Row],[D_QTRAI]]*données_step[[#This Row],[S_COD]]/1000)</f>
        <v/>
      </c>
      <c r="M285" s="523" t="str">
        <f>IF(OR(données_step[[#This Row],[S_NH4]]&lt;=0,données_step[[#This Row],[S_NH4]]=""),"",données_step[[#This Row],[D_QTRAI]]*données_step[[#This Row],[S_NH4]]/1000)</f>
        <v/>
      </c>
      <c r="N285" s="523" t="str">
        <f>IF(OR(données_step[[#This Row],[S_NO2]]&lt;=0,données_step[[#This Row],[S_NO2]]=""),"",données_step[[#This Row],[D_QTRAI]]*données_step[[#This Row],[S_NO2]]/1000)</f>
        <v/>
      </c>
      <c r="O285" s="523" t="str">
        <f>IF(OR(données_step[[#This Row],[S_NO3]]&lt;=0,données_step[[#This Row],[S_NO3]]=""),"",données_step[[#This Row],[D_QTRAI]]*données_step[[#This Row],[S_NO3]]/1000)</f>
        <v/>
      </c>
      <c r="P285" s="523" t="str">
        <f>IF(OR(données_step[[#This Row],[S_PTOT]]&lt;=0,données_step[[#This Row],[S_PTOT]]=""),"",données_step[[#This Row],[D_QTRAI]]*données_step[[#This Row],[S_PTOT]]/1000)</f>
        <v/>
      </c>
      <c r="Q285" s="523" t="str">
        <f>IF(OR(données_step[[#This Row],[S_MES]]&lt;=0,données_step[[#This Row],[S_MES]]=""),"",données_step[[#This Row],[D_QTRAI]]*données_step[[#This Row],[S_MES]]/1000)</f>
        <v/>
      </c>
      <c r="R285" s="523">
        <f>MAX(données_step[[#This Row],[D_QTRAI]],données_step[[#This Row],[D_QTRAI2]])</f>
        <v>0</v>
      </c>
      <c r="S285" s="523" t="str">
        <f>IF(AND($R285&gt;0,données_step[[#This Row],[E_DCO]]&gt;0),données_step[[#This Row],[E_DCO]],"")</f>
        <v/>
      </c>
      <c r="T285" s="523" t="str">
        <f>IF(S285="","",(1-données_step[[#This Row],[E_DCO]]/$V$7)*100)</f>
        <v/>
      </c>
      <c r="U285" s="523" t="str">
        <f t="shared" si="65"/>
        <v/>
      </c>
      <c r="V285" s="523" t="str">
        <f t="shared" si="66"/>
        <v/>
      </c>
      <c r="W285" s="523" t="str">
        <f t="shared" si="67"/>
        <v/>
      </c>
      <c r="X285" s="523" t="e">
        <f>IF(((100-100/$V$7*données_step[[#This Row],[E_DCO]])/100*QTS)&lt;0,NA(),IF(OR(U285&lt;0,U285=""),NA(),((100-100/$V$7*données_step[[#This Row],[E_DCO]])/100*QTS)))</f>
        <v>#NUM!</v>
      </c>
      <c r="Y285" s="523" t="str">
        <f>IF(AND($R285&gt;0,données_step[[#This Row],[E_COT]]&gt;0),données_step[[#This Row],[E_COT]],"")</f>
        <v/>
      </c>
      <c r="Z285" s="523" t="str">
        <f>IF(Y285="","",(1-données_step[[#This Row],[E_COT]]/$AB$7)*100)</f>
        <v/>
      </c>
      <c r="AA285" s="523" t="str">
        <f t="shared" si="68"/>
        <v/>
      </c>
      <c r="AB285" s="523" t="str">
        <f t="shared" si="69"/>
        <v/>
      </c>
      <c r="AC285" s="523" t="str">
        <f t="shared" si="70"/>
        <v/>
      </c>
      <c r="AD285" s="523" t="e">
        <f>IF(((100-100/$AB$7*données_step[[#This Row],[E_COT]])/100*QTS)&lt;0,NA(),IF(OR(AA285&lt;0,AA285=""),NA(),((100-100/$AB$7*données_step[[#This Row],[E_COT]])/100*QTS)))</f>
        <v>#NUM!</v>
      </c>
      <c r="AE285" s="523" t="str">
        <f>IF(AND($R285&gt;0,données_step[[#This Row],[E_NH4]]&gt;0),données_step[[#This Row],[E_NH4]],"")</f>
        <v/>
      </c>
      <c r="AF285" s="523" t="str">
        <f>IF(AE285="","",(1-données_step[[#This Row],[E_NH4]]/$AH$7)*100)</f>
        <v/>
      </c>
      <c r="AG285" s="523" t="str">
        <f t="shared" si="71"/>
        <v/>
      </c>
      <c r="AH285" s="523" t="str">
        <f t="shared" si="72"/>
        <v/>
      </c>
      <c r="AI285" s="523" t="str">
        <f t="shared" si="73"/>
        <v/>
      </c>
      <c r="AJ285" s="523" t="e">
        <f>IF(((100-100/$AH$7*données_step[[#This Row],[E_NH4]])/100*QTS)&lt;0,NA(),IF(OR(AG285&lt;0,AG285=""),NA(),((100-100/$AH$7*données_step[[#This Row],[E_NH4]])/100*QTS)))</f>
        <v>#NUM!</v>
      </c>
      <c r="AK285" s="523" t="str">
        <f>IF(AND($R285&gt;0,données_step[[#This Row],[E_PTOT]]&gt;0),données_step[[#This Row],[E_PTOT]],"")</f>
        <v/>
      </c>
      <c r="AL285" s="523" t="str">
        <f>IF(AK285="","",(1-données_step[[#This Row],[E_PTOT]]/$AN$7)*100)</f>
        <v/>
      </c>
      <c r="AM285" s="523" t="str">
        <f t="shared" si="74"/>
        <v/>
      </c>
      <c r="AN285" s="523" t="str">
        <f t="shared" si="75"/>
        <v/>
      </c>
      <c r="AO285" s="523" t="str">
        <f t="shared" si="76"/>
        <v/>
      </c>
      <c r="AP285" s="523" t="e">
        <f>IF(((100-100/$AN$7*données_step[[#This Row],[E_PTOT]])/100*QTS)&lt;0,NA(),IF(OR(AM285&lt;0,AM285=""),NA(),((100-100/$AN$7*données_step[[#This Row],[E_PTOT]])/100*QTS)))</f>
        <v>#NUM!</v>
      </c>
      <c r="AQ285" s="524" t="e">
        <f t="shared" si="77"/>
        <v>#NUM!</v>
      </c>
      <c r="AR285" s="524" t="str">
        <f t="shared" si="78"/>
        <v/>
      </c>
      <c r="AY285" s="523" t="str">
        <f>_xlfn.IFNA(IF(données_step[[#This Row],[E_DCO]]&lt;=0,NA(),charge_entree[[#This Row],[ch_E_DCO]]/constanten!$B$8*1000),"")</f>
        <v/>
      </c>
      <c r="AZ285" s="523" t="str">
        <f>_xlfn.IFNA(IF(données_step[[#This Row],[E_NTOT]]&lt;=0,NA(),charge_entree[[#This Row],[ch_E_NTOT]]/constanten!$B$10*1000),"")</f>
        <v/>
      </c>
      <c r="BA285" s="523" t="str">
        <f>_xlfn.IFNA(IF(données_step[[#This Row],[E_NH4]]&lt;=0,NA(),charge_entree[[#This Row],[ch_E_NH4]]/constanten!$B$12*1000),"")</f>
        <v/>
      </c>
      <c r="BB285" s="523" t="str">
        <f>_xlfn.IFNA(IF(données_step[[#This Row],[E_COT]]&lt;=0,NA(),charge_entree[[#This Row],[ch_E_COT]]/constanten!$B$9*1000),"")</f>
        <v/>
      </c>
      <c r="BC285" s="523" t="str">
        <f>IFERROR(_xlfn.IFNA(IF(données_step[[#This Row],[E_PTOT]]&lt;=0,NA(),charge_entree[[#This Row],[ch_E_PTOT]]/constanten!$B$15*1000),""),"")</f>
        <v/>
      </c>
      <c r="BD285" s="535" t="e">
        <f>calculs!E285 * (1-0.4) / (données_step[[#This Row],[X_BA_VOL]]*données_step[[#This Row],[X_BACONC]])</f>
        <v>#VALUE!</v>
      </c>
      <c r="BE285" s="522" t="e">
        <f>(données_step[[#This Row],[X_BA_VOL]]*données_step[[#This Row],[X_BACONC]])/((données_step[[#This Row],[D_QTRAI2]]*données_step[[#This Row],[S_MES]]/1000)+(données_step[[#This Row],[X_BX_Q]]*données_step[[#This Row],[X_BXCONC]]))</f>
        <v>#VALUE!</v>
      </c>
      <c r="BF285" s="890" t="str">
        <f>IFERROR(données_step[[#This Row],[D_QTRAI]]/AY285*1000,"")</f>
        <v/>
      </c>
      <c r="BG285" s="535" t="str">
        <f>IFERROR(1-données_step[[#This Row],[S_DBO5]]/données_step[[#This Row],[E_DBO5]],"")</f>
        <v/>
      </c>
      <c r="BH285" s="536" t="str">
        <f>IFERROR(1-données_step[[#This Row],[S_DCO]]/données_step[[#This Row],[E_DCO]],"")</f>
        <v/>
      </c>
      <c r="BI285" s="535" t="str">
        <f>IFERROR(1-données_step[[#This Row],[S_COD]]/données_step[[#This Row],[E_COT]],"")</f>
        <v/>
      </c>
      <c r="BJ285" s="535" t="str">
        <f>IFERROR(1-données_step[[#This Row],[S_NH4]]/données_step[[#This Row],[E_NTOT]],"")</f>
        <v/>
      </c>
      <c r="BK285" s="535" t="str">
        <f>IFERROR(1-données_step[[#This Row],[S_PTOT]]/données_step[[#This Row],[E_PTOT]],"")</f>
        <v/>
      </c>
      <c r="BL285" s="521" t="str">
        <f>IFERROR(IF(données_step[[#This Row],[E_DCO]]/données_step[[#This Row],[E_DBO5]]=0,NA(),données_step[[#This Row],[E_DCO]]/données_step[[#This Row],[E_DBO5]]),"")</f>
        <v/>
      </c>
      <c r="BM285" s="521" t="str">
        <f>IFERROR(IF(données_step[[#This Row],[E_NH4]]/données_step[[#This Row],[E_NTOT]]=0,NA(),données_step[[#This Row],[E_NH4]]/données_step[[#This Row],[E_NTOT]]),"")</f>
        <v/>
      </c>
      <c r="BN285" s="521" t="str">
        <f>IFERROR(IF(données_step[[#This Row],[E_NTOT]]/données_step[[#This Row],[E_COT]]=0,NA(),données_step[[#This Row],[E_NTOT]]/données_step[[#This Row],[E_COT]]),"")</f>
        <v/>
      </c>
      <c r="BO285" s="521" t="str">
        <f>IFERROR(IF(données_step[[#This Row],[E_PTOT]]/données_step[[#This Row],[E_COT]]=0,NA(),données_step[[#This Row],[E_PTOT]]/données_step[[#This Row],[E_COT]]),"")</f>
        <v/>
      </c>
      <c r="BP285" s="521" t="e">
        <f>IF(données_step[[#This Row],[E_DCO]]/données_step[[#This Row],[E_COT]]=0,NA(),données_step[[#This Row],[E_DCO]]/données_step[[#This Row],[E_COT]])</f>
        <v>#DIV/0!</v>
      </c>
      <c r="BQ285" s="521" t="e">
        <f>IF(données_step[[#This Row],[E_NTOT]]/données_step[[#This Row],[E_DCO]]=0,NA(),données_step[[#This Row],[E_NTOT]]/données_step[[#This Row],[E_DCO]])</f>
        <v>#DIV/0!</v>
      </c>
      <c r="BR285" s="521" t="e">
        <f>IF(données_step[[#This Row],[E_PTOT]]/données_step[[#This Row],[E_DCO]]=0,NA(),données_step[[#This Row],[E_PTOT]]/données_step[[#This Row],[E_DCO]])</f>
        <v>#DIV/0!</v>
      </c>
      <c r="BS285" s="747" t="e">
        <f ca="1">test_NH4_temp(données_step[[#This Row],[S_NH4]],données_step[[#This Row],[Temp_eaux]])</f>
        <v>#NAME?</v>
      </c>
    </row>
    <row r="286" spans="1:71" x14ac:dyDescent="0.2">
      <c r="A286" s="222">
        <f>données_step[[#This Row],[Datum]]</f>
        <v>44837</v>
      </c>
      <c r="B286" s="223"/>
      <c r="C286" s="224">
        <f t="shared" si="64"/>
        <v>2</v>
      </c>
      <c r="D286" s="523" t="str">
        <f>IF(OR(données_step[[#This Row],[E_DBO5]]&lt;=0,données_step[[#This Row],[E_DBO5]]=""),"",données_step[[#This Row],[D_QTRAI]]*données_step[[#This Row],[E_DBO5]]/1000)</f>
        <v/>
      </c>
      <c r="E286" s="523" t="str">
        <f>IF(OR(données_step[[#This Row],[E_DCO]]&lt;=0,données_step[[#This Row],[E_DCO]]=""),"",données_step[[#This Row],[D_QTRAI]]*données_step[[#This Row],[E_DCO]]/1000)</f>
        <v/>
      </c>
      <c r="F286" s="523" t="str">
        <f>IF(OR(données_step[[#This Row],[E_COT]]&lt;=0,données_step[[#This Row],[E_COT]]=""),"",données_step[[#This Row],[D_QTRAI]]*données_step[[#This Row],[E_COT]]/1000)</f>
        <v/>
      </c>
      <c r="G286" s="523" t="str">
        <f>IF(OR(données_step[[#This Row],[E_NH4]]&lt;=0,données_step[[#This Row],[E_NH4]]=""),"",données_step[[#This Row],[D_QTRAI]]*données_step[[#This Row],[E_NH4]]/1000)</f>
        <v/>
      </c>
      <c r="H286" s="523" t="str">
        <f>IF(OR(données_step[[#This Row],[E_NTOT]]&lt;=0,données_step[[#This Row],[E_NTOT]]=""),"",données_step[[#This Row],[D_QTRAI]]*données_step[[#This Row],[E_NTOT]]/1000)</f>
        <v/>
      </c>
      <c r="I286" s="523" t="str">
        <f>IF(OR(données_step[[#This Row],[E_NTOT]]&lt;=0,données_step[[#This Row],[E_NTOT]]=""),"",données_step[[#This Row],[D_QTRAI]]*données_step[[#This Row],[E_PTOT]]/1000)</f>
        <v/>
      </c>
      <c r="J286" s="523" t="str">
        <f>IF(OR(données_step[[#This Row],[S_DBO5]]&lt;=0,données_step[[#This Row],[S_DBO5]]=""),"",données_step[[#This Row],[D_QTRAI]]*données_step[[#This Row],[S_DBO5]]/1000)</f>
        <v/>
      </c>
      <c r="K286" s="523" t="str">
        <f>IF(OR(données_step[[#This Row],[S_DCO]]&lt;=0,données_step[[#This Row],[S_DCO]]=""),"",données_step[[#This Row],[D_QTRAI]]*données_step[[#This Row],[S_DCO]]/1000)</f>
        <v/>
      </c>
      <c r="L286" s="523" t="str">
        <f>IF(OR(données_step[[#This Row],[S_COD]]&lt;=0,données_step[[#This Row],[S_COD]]=""),"",données_step[[#This Row],[D_QTRAI]]*données_step[[#This Row],[S_COD]]/1000)</f>
        <v/>
      </c>
      <c r="M286" s="523" t="str">
        <f>IF(OR(données_step[[#This Row],[S_NH4]]&lt;=0,données_step[[#This Row],[S_NH4]]=""),"",données_step[[#This Row],[D_QTRAI]]*données_step[[#This Row],[S_NH4]]/1000)</f>
        <v/>
      </c>
      <c r="N286" s="523" t="str">
        <f>IF(OR(données_step[[#This Row],[S_NO2]]&lt;=0,données_step[[#This Row],[S_NO2]]=""),"",données_step[[#This Row],[D_QTRAI]]*données_step[[#This Row],[S_NO2]]/1000)</f>
        <v/>
      </c>
      <c r="O286" s="523" t="str">
        <f>IF(OR(données_step[[#This Row],[S_NO3]]&lt;=0,données_step[[#This Row],[S_NO3]]=""),"",données_step[[#This Row],[D_QTRAI]]*données_step[[#This Row],[S_NO3]]/1000)</f>
        <v/>
      </c>
      <c r="P286" s="523" t="str">
        <f>IF(OR(données_step[[#This Row],[S_PTOT]]&lt;=0,données_step[[#This Row],[S_PTOT]]=""),"",données_step[[#This Row],[D_QTRAI]]*données_step[[#This Row],[S_PTOT]]/1000)</f>
        <v/>
      </c>
      <c r="Q286" s="523" t="str">
        <f>IF(OR(données_step[[#This Row],[S_MES]]&lt;=0,données_step[[#This Row],[S_MES]]=""),"",données_step[[#This Row],[D_QTRAI]]*données_step[[#This Row],[S_MES]]/1000)</f>
        <v/>
      </c>
      <c r="R286" s="523">
        <f>MAX(données_step[[#This Row],[D_QTRAI]],données_step[[#This Row],[D_QTRAI2]])</f>
        <v>0</v>
      </c>
      <c r="S286" s="523" t="str">
        <f>IF(AND($R286&gt;0,données_step[[#This Row],[E_DCO]]&gt;0),données_step[[#This Row],[E_DCO]],"")</f>
        <v/>
      </c>
      <c r="T286" s="523" t="str">
        <f>IF(S286="","",(1-données_step[[#This Row],[E_DCO]]/$V$7)*100)</f>
        <v/>
      </c>
      <c r="U286" s="523" t="str">
        <f t="shared" si="65"/>
        <v/>
      </c>
      <c r="V286" s="523" t="str">
        <f t="shared" si="66"/>
        <v/>
      </c>
      <c r="W286" s="523" t="str">
        <f t="shared" si="67"/>
        <v/>
      </c>
      <c r="X286" s="523" t="e">
        <f>IF(((100-100/$V$7*données_step[[#This Row],[E_DCO]])/100*QTS)&lt;0,NA(),IF(OR(U286&lt;0,U286=""),NA(),((100-100/$V$7*données_step[[#This Row],[E_DCO]])/100*QTS)))</f>
        <v>#NUM!</v>
      </c>
      <c r="Y286" s="523" t="str">
        <f>IF(AND($R286&gt;0,données_step[[#This Row],[E_COT]]&gt;0),données_step[[#This Row],[E_COT]],"")</f>
        <v/>
      </c>
      <c r="Z286" s="523" t="str">
        <f>IF(Y286="","",(1-données_step[[#This Row],[E_COT]]/$AB$7)*100)</f>
        <v/>
      </c>
      <c r="AA286" s="523" t="str">
        <f t="shared" si="68"/>
        <v/>
      </c>
      <c r="AB286" s="523" t="str">
        <f t="shared" si="69"/>
        <v/>
      </c>
      <c r="AC286" s="523" t="str">
        <f t="shared" si="70"/>
        <v/>
      </c>
      <c r="AD286" s="523" t="e">
        <f>IF(((100-100/$AB$7*données_step[[#This Row],[E_COT]])/100*QTS)&lt;0,NA(),IF(OR(AA286&lt;0,AA286=""),NA(),((100-100/$AB$7*données_step[[#This Row],[E_COT]])/100*QTS)))</f>
        <v>#NUM!</v>
      </c>
      <c r="AE286" s="523" t="str">
        <f>IF(AND($R286&gt;0,données_step[[#This Row],[E_NH4]]&gt;0),données_step[[#This Row],[E_NH4]],"")</f>
        <v/>
      </c>
      <c r="AF286" s="523" t="str">
        <f>IF(AE286="","",(1-données_step[[#This Row],[E_NH4]]/$AH$7)*100)</f>
        <v/>
      </c>
      <c r="AG286" s="523" t="str">
        <f t="shared" si="71"/>
        <v/>
      </c>
      <c r="AH286" s="523" t="str">
        <f t="shared" si="72"/>
        <v/>
      </c>
      <c r="AI286" s="523" t="str">
        <f t="shared" si="73"/>
        <v/>
      </c>
      <c r="AJ286" s="523" t="e">
        <f>IF(((100-100/$AH$7*données_step[[#This Row],[E_NH4]])/100*QTS)&lt;0,NA(),IF(OR(AG286&lt;0,AG286=""),NA(),((100-100/$AH$7*données_step[[#This Row],[E_NH4]])/100*QTS)))</f>
        <v>#NUM!</v>
      </c>
      <c r="AK286" s="523" t="str">
        <f>IF(AND($R286&gt;0,données_step[[#This Row],[E_PTOT]]&gt;0),données_step[[#This Row],[E_PTOT]],"")</f>
        <v/>
      </c>
      <c r="AL286" s="523" t="str">
        <f>IF(AK286="","",(1-données_step[[#This Row],[E_PTOT]]/$AN$7)*100)</f>
        <v/>
      </c>
      <c r="AM286" s="523" t="str">
        <f t="shared" si="74"/>
        <v/>
      </c>
      <c r="AN286" s="523" t="str">
        <f t="shared" si="75"/>
        <v/>
      </c>
      <c r="AO286" s="523" t="str">
        <f t="shared" si="76"/>
        <v/>
      </c>
      <c r="AP286" s="523" t="e">
        <f>IF(((100-100/$AN$7*données_step[[#This Row],[E_PTOT]])/100*QTS)&lt;0,NA(),IF(OR(AM286&lt;0,AM286=""),NA(),((100-100/$AN$7*données_step[[#This Row],[E_PTOT]])/100*QTS)))</f>
        <v>#NUM!</v>
      </c>
      <c r="AQ286" s="524" t="e">
        <f t="shared" si="77"/>
        <v>#NUM!</v>
      </c>
      <c r="AR286" s="524" t="str">
        <f t="shared" si="78"/>
        <v/>
      </c>
      <c r="AY286" s="523" t="str">
        <f>_xlfn.IFNA(IF(données_step[[#This Row],[E_DCO]]&lt;=0,NA(),charge_entree[[#This Row],[ch_E_DCO]]/constanten!$B$8*1000),"")</f>
        <v/>
      </c>
      <c r="AZ286" s="523" t="str">
        <f>_xlfn.IFNA(IF(données_step[[#This Row],[E_NTOT]]&lt;=0,NA(),charge_entree[[#This Row],[ch_E_NTOT]]/constanten!$B$10*1000),"")</f>
        <v/>
      </c>
      <c r="BA286" s="523" t="str">
        <f>_xlfn.IFNA(IF(données_step[[#This Row],[E_NH4]]&lt;=0,NA(),charge_entree[[#This Row],[ch_E_NH4]]/constanten!$B$12*1000),"")</f>
        <v/>
      </c>
      <c r="BB286" s="523" t="str">
        <f>_xlfn.IFNA(IF(données_step[[#This Row],[E_COT]]&lt;=0,NA(),charge_entree[[#This Row],[ch_E_COT]]/constanten!$B$9*1000),"")</f>
        <v/>
      </c>
      <c r="BC286" s="523" t="str">
        <f>IFERROR(_xlfn.IFNA(IF(données_step[[#This Row],[E_PTOT]]&lt;=0,NA(),charge_entree[[#This Row],[ch_E_PTOT]]/constanten!$B$15*1000),""),"")</f>
        <v/>
      </c>
      <c r="BD286" s="535" t="e">
        <f>calculs!E286 * (1-0.4) / (données_step[[#This Row],[X_BA_VOL]]*données_step[[#This Row],[X_BACONC]])</f>
        <v>#VALUE!</v>
      </c>
      <c r="BE286" s="522" t="e">
        <f>(données_step[[#This Row],[X_BA_VOL]]*données_step[[#This Row],[X_BACONC]])/((données_step[[#This Row],[D_QTRAI2]]*données_step[[#This Row],[S_MES]]/1000)+(données_step[[#This Row],[X_BX_Q]]*données_step[[#This Row],[X_BXCONC]]))</f>
        <v>#VALUE!</v>
      </c>
      <c r="BF286" s="890" t="str">
        <f>IFERROR(données_step[[#This Row],[D_QTRAI]]/AY286*1000,"")</f>
        <v/>
      </c>
      <c r="BG286" s="535" t="str">
        <f>IFERROR(1-données_step[[#This Row],[S_DBO5]]/données_step[[#This Row],[E_DBO5]],"")</f>
        <v/>
      </c>
      <c r="BH286" s="536" t="str">
        <f>IFERROR(1-données_step[[#This Row],[S_DCO]]/données_step[[#This Row],[E_DCO]],"")</f>
        <v/>
      </c>
      <c r="BI286" s="535" t="str">
        <f>IFERROR(1-données_step[[#This Row],[S_COD]]/données_step[[#This Row],[E_COT]],"")</f>
        <v/>
      </c>
      <c r="BJ286" s="535" t="str">
        <f>IFERROR(1-données_step[[#This Row],[S_NH4]]/données_step[[#This Row],[E_NTOT]],"")</f>
        <v/>
      </c>
      <c r="BK286" s="535" t="str">
        <f>IFERROR(1-données_step[[#This Row],[S_PTOT]]/données_step[[#This Row],[E_PTOT]],"")</f>
        <v/>
      </c>
      <c r="BL286" s="521" t="str">
        <f>IFERROR(IF(données_step[[#This Row],[E_DCO]]/données_step[[#This Row],[E_DBO5]]=0,NA(),données_step[[#This Row],[E_DCO]]/données_step[[#This Row],[E_DBO5]]),"")</f>
        <v/>
      </c>
      <c r="BM286" s="521" t="str">
        <f>IFERROR(IF(données_step[[#This Row],[E_NH4]]/données_step[[#This Row],[E_NTOT]]=0,NA(),données_step[[#This Row],[E_NH4]]/données_step[[#This Row],[E_NTOT]]),"")</f>
        <v/>
      </c>
      <c r="BN286" s="521" t="str">
        <f>IFERROR(IF(données_step[[#This Row],[E_NTOT]]/données_step[[#This Row],[E_COT]]=0,NA(),données_step[[#This Row],[E_NTOT]]/données_step[[#This Row],[E_COT]]),"")</f>
        <v/>
      </c>
      <c r="BO286" s="521" t="str">
        <f>IFERROR(IF(données_step[[#This Row],[E_PTOT]]/données_step[[#This Row],[E_COT]]=0,NA(),données_step[[#This Row],[E_PTOT]]/données_step[[#This Row],[E_COT]]),"")</f>
        <v/>
      </c>
      <c r="BP286" s="521" t="e">
        <f>IF(données_step[[#This Row],[E_DCO]]/données_step[[#This Row],[E_COT]]=0,NA(),données_step[[#This Row],[E_DCO]]/données_step[[#This Row],[E_COT]])</f>
        <v>#DIV/0!</v>
      </c>
      <c r="BQ286" s="521" t="e">
        <f>IF(données_step[[#This Row],[E_NTOT]]/données_step[[#This Row],[E_DCO]]=0,NA(),données_step[[#This Row],[E_NTOT]]/données_step[[#This Row],[E_DCO]])</f>
        <v>#DIV/0!</v>
      </c>
      <c r="BR286" s="521" t="e">
        <f>IF(données_step[[#This Row],[E_PTOT]]/données_step[[#This Row],[E_DCO]]=0,NA(),données_step[[#This Row],[E_PTOT]]/données_step[[#This Row],[E_DCO]])</f>
        <v>#DIV/0!</v>
      </c>
      <c r="BS286" s="747" t="e">
        <f ca="1">test_NH4_temp(données_step[[#This Row],[S_NH4]],données_step[[#This Row],[Temp_eaux]])</f>
        <v>#NAME?</v>
      </c>
    </row>
    <row r="287" spans="1:71" x14ac:dyDescent="0.2">
      <c r="A287" s="222">
        <f>données_step[[#This Row],[Datum]]</f>
        <v>44838</v>
      </c>
      <c r="B287" s="223"/>
      <c r="C287" s="224">
        <f t="shared" si="64"/>
        <v>3</v>
      </c>
      <c r="D287" s="523" t="str">
        <f>IF(OR(données_step[[#This Row],[E_DBO5]]&lt;=0,données_step[[#This Row],[E_DBO5]]=""),"",données_step[[#This Row],[D_QTRAI]]*données_step[[#This Row],[E_DBO5]]/1000)</f>
        <v/>
      </c>
      <c r="E287" s="523" t="str">
        <f>IF(OR(données_step[[#This Row],[E_DCO]]&lt;=0,données_step[[#This Row],[E_DCO]]=""),"",données_step[[#This Row],[D_QTRAI]]*données_step[[#This Row],[E_DCO]]/1000)</f>
        <v/>
      </c>
      <c r="F287" s="523" t="str">
        <f>IF(OR(données_step[[#This Row],[E_COT]]&lt;=0,données_step[[#This Row],[E_COT]]=""),"",données_step[[#This Row],[D_QTRAI]]*données_step[[#This Row],[E_COT]]/1000)</f>
        <v/>
      </c>
      <c r="G287" s="523" t="str">
        <f>IF(OR(données_step[[#This Row],[E_NH4]]&lt;=0,données_step[[#This Row],[E_NH4]]=""),"",données_step[[#This Row],[D_QTRAI]]*données_step[[#This Row],[E_NH4]]/1000)</f>
        <v/>
      </c>
      <c r="H287" s="523" t="str">
        <f>IF(OR(données_step[[#This Row],[E_NTOT]]&lt;=0,données_step[[#This Row],[E_NTOT]]=""),"",données_step[[#This Row],[D_QTRAI]]*données_step[[#This Row],[E_NTOT]]/1000)</f>
        <v/>
      </c>
      <c r="I287" s="523" t="str">
        <f>IF(OR(données_step[[#This Row],[E_NTOT]]&lt;=0,données_step[[#This Row],[E_NTOT]]=""),"",données_step[[#This Row],[D_QTRAI]]*données_step[[#This Row],[E_PTOT]]/1000)</f>
        <v/>
      </c>
      <c r="J287" s="523" t="str">
        <f>IF(OR(données_step[[#This Row],[S_DBO5]]&lt;=0,données_step[[#This Row],[S_DBO5]]=""),"",données_step[[#This Row],[D_QTRAI]]*données_step[[#This Row],[S_DBO5]]/1000)</f>
        <v/>
      </c>
      <c r="K287" s="523" t="str">
        <f>IF(OR(données_step[[#This Row],[S_DCO]]&lt;=0,données_step[[#This Row],[S_DCO]]=""),"",données_step[[#This Row],[D_QTRAI]]*données_step[[#This Row],[S_DCO]]/1000)</f>
        <v/>
      </c>
      <c r="L287" s="523" t="str">
        <f>IF(OR(données_step[[#This Row],[S_COD]]&lt;=0,données_step[[#This Row],[S_COD]]=""),"",données_step[[#This Row],[D_QTRAI]]*données_step[[#This Row],[S_COD]]/1000)</f>
        <v/>
      </c>
      <c r="M287" s="523" t="str">
        <f>IF(OR(données_step[[#This Row],[S_NH4]]&lt;=0,données_step[[#This Row],[S_NH4]]=""),"",données_step[[#This Row],[D_QTRAI]]*données_step[[#This Row],[S_NH4]]/1000)</f>
        <v/>
      </c>
      <c r="N287" s="523" t="str">
        <f>IF(OR(données_step[[#This Row],[S_NO2]]&lt;=0,données_step[[#This Row],[S_NO2]]=""),"",données_step[[#This Row],[D_QTRAI]]*données_step[[#This Row],[S_NO2]]/1000)</f>
        <v/>
      </c>
      <c r="O287" s="523" t="str">
        <f>IF(OR(données_step[[#This Row],[S_NO3]]&lt;=0,données_step[[#This Row],[S_NO3]]=""),"",données_step[[#This Row],[D_QTRAI]]*données_step[[#This Row],[S_NO3]]/1000)</f>
        <v/>
      </c>
      <c r="P287" s="523" t="str">
        <f>IF(OR(données_step[[#This Row],[S_PTOT]]&lt;=0,données_step[[#This Row],[S_PTOT]]=""),"",données_step[[#This Row],[D_QTRAI]]*données_step[[#This Row],[S_PTOT]]/1000)</f>
        <v/>
      </c>
      <c r="Q287" s="523" t="str">
        <f>IF(OR(données_step[[#This Row],[S_MES]]&lt;=0,données_step[[#This Row],[S_MES]]=""),"",données_step[[#This Row],[D_QTRAI]]*données_step[[#This Row],[S_MES]]/1000)</f>
        <v/>
      </c>
      <c r="R287" s="523">
        <f>MAX(données_step[[#This Row],[D_QTRAI]],données_step[[#This Row],[D_QTRAI2]])</f>
        <v>0</v>
      </c>
      <c r="S287" s="523" t="str">
        <f>IF(AND($R287&gt;0,données_step[[#This Row],[E_DCO]]&gt;0),données_step[[#This Row],[E_DCO]],"")</f>
        <v/>
      </c>
      <c r="T287" s="523" t="str">
        <f>IF(S287="","",(1-données_step[[#This Row],[E_DCO]]/$V$7)*100)</f>
        <v/>
      </c>
      <c r="U287" s="523" t="str">
        <f t="shared" si="65"/>
        <v/>
      </c>
      <c r="V287" s="523" t="str">
        <f t="shared" si="66"/>
        <v/>
      </c>
      <c r="W287" s="523" t="str">
        <f t="shared" si="67"/>
        <v/>
      </c>
      <c r="X287" s="523" t="e">
        <f>IF(((100-100/$V$7*données_step[[#This Row],[E_DCO]])/100*QTS)&lt;0,NA(),IF(OR(U287&lt;0,U287=""),NA(),((100-100/$V$7*données_step[[#This Row],[E_DCO]])/100*QTS)))</f>
        <v>#NUM!</v>
      </c>
      <c r="Y287" s="523" t="str">
        <f>IF(AND($R287&gt;0,données_step[[#This Row],[E_COT]]&gt;0),données_step[[#This Row],[E_COT]],"")</f>
        <v/>
      </c>
      <c r="Z287" s="523" t="str">
        <f>IF(Y287="","",(1-données_step[[#This Row],[E_COT]]/$AB$7)*100)</f>
        <v/>
      </c>
      <c r="AA287" s="523" t="str">
        <f t="shared" si="68"/>
        <v/>
      </c>
      <c r="AB287" s="523" t="str">
        <f t="shared" si="69"/>
        <v/>
      </c>
      <c r="AC287" s="523" t="str">
        <f t="shared" si="70"/>
        <v/>
      </c>
      <c r="AD287" s="523" t="e">
        <f>IF(((100-100/$AB$7*données_step[[#This Row],[E_COT]])/100*QTS)&lt;0,NA(),IF(OR(AA287&lt;0,AA287=""),NA(),((100-100/$AB$7*données_step[[#This Row],[E_COT]])/100*QTS)))</f>
        <v>#NUM!</v>
      </c>
      <c r="AE287" s="523" t="str">
        <f>IF(AND($R287&gt;0,données_step[[#This Row],[E_NH4]]&gt;0),données_step[[#This Row],[E_NH4]],"")</f>
        <v/>
      </c>
      <c r="AF287" s="523" t="str">
        <f>IF(AE287="","",(1-données_step[[#This Row],[E_NH4]]/$AH$7)*100)</f>
        <v/>
      </c>
      <c r="AG287" s="523" t="str">
        <f t="shared" si="71"/>
        <v/>
      </c>
      <c r="AH287" s="523" t="str">
        <f t="shared" si="72"/>
        <v/>
      </c>
      <c r="AI287" s="523" t="str">
        <f t="shared" si="73"/>
        <v/>
      </c>
      <c r="AJ287" s="523" t="e">
        <f>IF(((100-100/$AH$7*données_step[[#This Row],[E_NH4]])/100*QTS)&lt;0,NA(),IF(OR(AG287&lt;0,AG287=""),NA(),((100-100/$AH$7*données_step[[#This Row],[E_NH4]])/100*QTS)))</f>
        <v>#NUM!</v>
      </c>
      <c r="AK287" s="523" t="str">
        <f>IF(AND($R287&gt;0,données_step[[#This Row],[E_PTOT]]&gt;0),données_step[[#This Row],[E_PTOT]],"")</f>
        <v/>
      </c>
      <c r="AL287" s="523" t="str">
        <f>IF(AK287="","",(1-données_step[[#This Row],[E_PTOT]]/$AN$7)*100)</f>
        <v/>
      </c>
      <c r="AM287" s="523" t="str">
        <f t="shared" si="74"/>
        <v/>
      </c>
      <c r="AN287" s="523" t="str">
        <f t="shared" si="75"/>
        <v/>
      </c>
      <c r="AO287" s="523" t="str">
        <f t="shared" si="76"/>
        <v/>
      </c>
      <c r="AP287" s="523" t="e">
        <f>IF(((100-100/$AN$7*données_step[[#This Row],[E_PTOT]])/100*QTS)&lt;0,NA(),IF(OR(AM287&lt;0,AM287=""),NA(),((100-100/$AN$7*données_step[[#This Row],[E_PTOT]])/100*QTS)))</f>
        <v>#NUM!</v>
      </c>
      <c r="AQ287" s="524" t="e">
        <f t="shared" si="77"/>
        <v>#NUM!</v>
      </c>
      <c r="AR287" s="524" t="str">
        <f t="shared" si="78"/>
        <v/>
      </c>
      <c r="AY287" s="523" t="str">
        <f>_xlfn.IFNA(IF(données_step[[#This Row],[E_DCO]]&lt;=0,NA(),charge_entree[[#This Row],[ch_E_DCO]]/constanten!$B$8*1000),"")</f>
        <v/>
      </c>
      <c r="AZ287" s="523" t="str">
        <f>_xlfn.IFNA(IF(données_step[[#This Row],[E_NTOT]]&lt;=0,NA(),charge_entree[[#This Row],[ch_E_NTOT]]/constanten!$B$10*1000),"")</f>
        <v/>
      </c>
      <c r="BA287" s="523" t="str">
        <f>_xlfn.IFNA(IF(données_step[[#This Row],[E_NH4]]&lt;=0,NA(),charge_entree[[#This Row],[ch_E_NH4]]/constanten!$B$12*1000),"")</f>
        <v/>
      </c>
      <c r="BB287" s="523" t="str">
        <f>_xlfn.IFNA(IF(données_step[[#This Row],[E_COT]]&lt;=0,NA(),charge_entree[[#This Row],[ch_E_COT]]/constanten!$B$9*1000),"")</f>
        <v/>
      </c>
      <c r="BC287" s="523" t="str">
        <f>IFERROR(_xlfn.IFNA(IF(données_step[[#This Row],[E_PTOT]]&lt;=0,NA(),charge_entree[[#This Row],[ch_E_PTOT]]/constanten!$B$15*1000),""),"")</f>
        <v/>
      </c>
      <c r="BD287" s="535" t="e">
        <f>calculs!E287 * (1-0.4) / (données_step[[#This Row],[X_BA_VOL]]*données_step[[#This Row],[X_BACONC]])</f>
        <v>#VALUE!</v>
      </c>
      <c r="BE287" s="522" t="e">
        <f>(données_step[[#This Row],[X_BA_VOL]]*données_step[[#This Row],[X_BACONC]])/((données_step[[#This Row],[D_QTRAI2]]*données_step[[#This Row],[S_MES]]/1000)+(données_step[[#This Row],[X_BX_Q]]*données_step[[#This Row],[X_BXCONC]]))</f>
        <v>#VALUE!</v>
      </c>
      <c r="BF287" s="890" t="str">
        <f>IFERROR(données_step[[#This Row],[D_QTRAI]]/AY287*1000,"")</f>
        <v/>
      </c>
      <c r="BG287" s="535" t="str">
        <f>IFERROR(1-données_step[[#This Row],[S_DBO5]]/données_step[[#This Row],[E_DBO5]],"")</f>
        <v/>
      </c>
      <c r="BH287" s="536" t="str">
        <f>IFERROR(1-données_step[[#This Row],[S_DCO]]/données_step[[#This Row],[E_DCO]],"")</f>
        <v/>
      </c>
      <c r="BI287" s="535" t="str">
        <f>IFERROR(1-données_step[[#This Row],[S_COD]]/données_step[[#This Row],[E_COT]],"")</f>
        <v/>
      </c>
      <c r="BJ287" s="535" t="str">
        <f>IFERROR(1-données_step[[#This Row],[S_NH4]]/données_step[[#This Row],[E_NTOT]],"")</f>
        <v/>
      </c>
      <c r="BK287" s="535" t="str">
        <f>IFERROR(1-données_step[[#This Row],[S_PTOT]]/données_step[[#This Row],[E_PTOT]],"")</f>
        <v/>
      </c>
      <c r="BL287" s="521" t="str">
        <f>IFERROR(IF(données_step[[#This Row],[E_DCO]]/données_step[[#This Row],[E_DBO5]]=0,NA(),données_step[[#This Row],[E_DCO]]/données_step[[#This Row],[E_DBO5]]),"")</f>
        <v/>
      </c>
      <c r="BM287" s="521" t="str">
        <f>IFERROR(IF(données_step[[#This Row],[E_NH4]]/données_step[[#This Row],[E_NTOT]]=0,NA(),données_step[[#This Row],[E_NH4]]/données_step[[#This Row],[E_NTOT]]),"")</f>
        <v/>
      </c>
      <c r="BN287" s="521" t="str">
        <f>IFERROR(IF(données_step[[#This Row],[E_NTOT]]/données_step[[#This Row],[E_COT]]=0,NA(),données_step[[#This Row],[E_NTOT]]/données_step[[#This Row],[E_COT]]),"")</f>
        <v/>
      </c>
      <c r="BO287" s="521" t="str">
        <f>IFERROR(IF(données_step[[#This Row],[E_PTOT]]/données_step[[#This Row],[E_COT]]=0,NA(),données_step[[#This Row],[E_PTOT]]/données_step[[#This Row],[E_COT]]),"")</f>
        <v/>
      </c>
      <c r="BP287" s="521" t="e">
        <f>IF(données_step[[#This Row],[E_DCO]]/données_step[[#This Row],[E_COT]]=0,NA(),données_step[[#This Row],[E_DCO]]/données_step[[#This Row],[E_COT]])</f>
        <v>#DIV/0!</v>
      </c>
      <c r="BQ287" s="521" t="e">
        <f>IF(données_step[[#This Row],[E_NTOT]]/données_step[[#This Row],[E_DCO]]=0,NA(),données_step[[#This Row],[E_NTOT]]/données_step[[#This Row],[E_DCO]])</f>
        <v>#DIV/0!</v>
      </c>
      <c r="BR287" s="521" t="e">
        <f>IF(données_step[[#This Row],[E_PTOT]]/données_step[[#This Row],[E_DCO]]=0,NA(),données_step[[#This Row],[E_PTOT]]/données_step[[#This Row],[E_DCO]])</f>
        <v>#DIV/0!</v>
      </c>
      <c r="BS287" s="747" t="e">
        <f ca="1">test_NH4_temp(données_step[[#This Row],[S_NH4]],données_step[[#This Row],[Temp_eaux]])</f>
        <v>#NAME?</v>
      </c>
    </row>
    <row r="288" spans="1:71" x14ac:dyDescent="0.2">
      <c r="A288" s="222">
        <f>données_step[[#This Row],[Datum]]</f>
        <v>44839</v>
      </c>
      <c r="B288" s="223"/>
      <c r="C288" s="224">
        <f t="shared" ref="C288:C351" si="79">WEEKDAY(A288)</f>
        <v>4</v>
      </c>
      <c r="D288" s="523" t="str">
        <f>IF(OR(données_step[[#This Row],[E_DBO5]]&lt;=0,données_step[[#This Row],[E_DBO5]]=""),"",données_step[[#This Row],[D_QTRAI]]*données_step[[#This Row],[E_DBO5]]/1000)</f>
        <v/>
      </c>
      <c r="E288" s="523" t="str">
        <f>IF(OR(données_step[[#This Row],[E_DCO]]&lt;=0,données_step[[#This Row],[E_DCO]]=""),"",données_step[[#This Row],[D_QTRAI]]*données_step[[#This Row],[E_DCO]]/1000)</f>
        <v/>
      </c>
      <c r="F288" s="523" t="str">
        <f>IF(OR(données_step[[#This Row],[E_COT]]&lt;=0,données_step[[#This Row],[E_COT]]=""),"",données_step[[#This Row],[D_QTRAI]]*données_step[[#This Row],[E_COT]]/1000)</f>
        <v/>
      </c>
      <c r="G288" s="523" t="str">
        <f>IF(OR(données_step[[#This Row],[E_NH4]]&lt;=0,données_step[[#This Row],[E_NH4]]=""),"",données_step[[#This Row],[D_QTRAI]]*données_step[[#This Row],[E_NH4]]/1000)</f>
        <v/>
      </c>
      <c r="H288" s="523" t="str">
        <f>IF(OR(données_step[[#This Row],[E_NTOT]]&lt;=0,données_step[[#This Row],[E_NTOT]]=""),"",données_step[[#This Row],[D_QTRAI]]*données_step[[#This Row],[E_NTOT]]/1000)</f>
        <v/>
      </c>
      <c r="I288" s="523" t="str">
        <f>IF(OR(données_step[[#This Row],[E_NTOT]]&lt;=0,données_step[[#This Row],[E_NTOT]]=""),"",données_step[[#This Row],[D_QTRAI]]*données_step[[#This Row],[E_PTOT]]/1000)</f>
        <v/>
      </c>
      <c r="J288" s="523" t="str">
        <f>IF(OR(données_step[[#This Row],[S_DBO5]]&lt;=0,données_step[[#This Row],[S_DBO5]]=""),"",données_step[[#This Row],[D_QTRAI]]*données_step[[#This Row],[S_DBO5]]/1000)</f>
        <v/>
      </c>
      <c r="K288" s="523" t="str">
        <f>IF(OR(données_step[[#This Row],[S_DCO]]&lt;=0,données_step[[#This Row],[S_DCO]]=""),"",données_step[[#This Row],[D_QTRAI]]*données_step[[#This Row],[S_DCO]]/1000)</f>
        <v/>
      </c>
      <c r="L288" s="523" t="str">
        <f>IF(OR(données_step[[#This Row],[S_COD]]&lt;=0,données_step[[#This Row],[S_COD]]=""),"",données_step[[#This Row],[D_QTRAI]]*données_step[[#This Row],[S_COD]]/1000)</f>
        <v/>
      </c>
      <c r="M288" s="523" t="str">
        <f>IF(OR(données_step[[#This Row],[S_NH4]]&lt;=0,données_step[[#This Row],[S_NH4]]=""),"",données_step[[#This Row],[D_QTRAI]]*données_step[[#This Row],[S_NH4]]/1000)</f>
        <v/>
      </c>
      <c r="N288" s="523" t="str">
        <f>IF(OR(données_step[[#This Row],[S_NO2]]&lt;=0,données_step[[#This Row],[S_NO2]]=""),"",données_step[[#This Row],[D_QTRAI]]*données_step[[#This Row],[S_NO2]]/1000)</f>
        <v/>
      </c>
      <c r="O288" s="523" t="str">
        <f>IF(OR(données_step[[#This Row],[S_NO3]]&lt;=0,données_step[[#This Row],[S_NO3]]=""),"",données_step[[#This Row],[D_QTRAI]]*données_step[[#This Row],[S_NO3]]/1000)</f>
        <v/>
      </c>
      <c r="P288" s="523" t="str">
        <f>IF(OR(données_step[[#This Row],[S_PTOT]]&lt;=0,données_step[[#This Row],[S_PTOT]]=""),"",données_step[[#This Row],[D_QTRAI]]*données_step[[#This Row],[S_PTOT]]/1000)</f>
        <v/>
      </c>
      <c r="Q288" s="523" t="str">
        <f>IF(OR(données_step[[#This Row],[S_MES]]&lt;=0,données_step[[#This Row],[S_MES]]=""),"",données_step[[#This Row],[D_QTRAI]]*données_step[[#This Row],[S_MES]]/1000)</f>
        <v/>
      </c>
      <c r="R288" s="523">
        <f>MAX(données_step[[#This Row],[D_QTRAI]],données_step[[#This Row],[D_QTRAI2]])</f>
        <v>0</v>
      </c>
      <c r="S288" s="523" t="str">
        <f>IF(AND($R288&gt;0,données_step[[#This Row],[E_DCO]]&gt;0),données_step[[#This Row],[E_DCO]],"")</f>
        <v/>
      </c>
      <c r="T288" s="523" t="str">
        <f>IF(S288="","",(1-données_step[[#This Row],[E_DCO]]/$V$7)*100)</f>
        <v/>
      </c>
      <c r="U288" s="523" t="str">
        <f t="shared" si="65"/>
        <v/>
      </c>
      <c r="V288" s="523" t="str">
        <f t="shared" si="66"/>
        <v/>
      </c>
      <c r="W288" s="523" t="str">
        <f t="shared" si="67"/>
        <v/>
      </c>
      <c r="X288" s="523" t="e">
        <f>IF(((100-100/$V$7*données_step[[#This Row],[E_DCO]])/100*QTS)&lt;0,NA(),IF(OR(U288&lt;0,U288=""),NA(),((100-100/$V$7*données_step[[#This Row],[E_DCO]])/100*QTS)))</f>
        <v>#NUM!</v>
      </c>
      <c r="Y288" s="523" t="str">
        <f>IF(AND($R288&gt;0,données_step[[#This Row],[E_COT]]&gt;0),données_step[[#This Row],[E_COT]],"")</f>
        <v/>
      </c>
      <c r="Z288" s="523" t="str">
        <f>IF(Y288="","",(1-données_step[[#This Row],[E_COT]]/$AB$7)*100)</f>
        <v/>
      </c>
      <c r="AA288" s="523" t="str">
        <f t="shared" si="68"/>
        <v/>
      </c>
      <c r="AB288" s="523" t="str">
        <f t="shared" si="69"/>
        <v/>
      </c>
      <c r="AC288" s="523" t="str">
        <f t="shared" si="70"/>
        <v/>
      </c>
      <c r="AD288" s="523" t="e">
        <f>IF(((100-100/$AB$7*données_step[[#This Row],[E_COT]])/100*QTS)&lt;0,NA(),IF(OR(AA288&lt;0,AA288=""),NA(),((100-100/$AB$7*données_step[[#This Row],[E_COT]])/100*QTS)))</f>
        <v>#NUM!</v>
      </c>
      <c r="AE288" s="523" t="str">
        <f>IF(AND($R288&gt;0,données_step[[#This Row],[E_NH4]]&gt;0),données_step[[#This Row],[E_NH4]],"")</f>
        <v/>
      </c>
      <c r="AF288" s="523" t="str">
        <f>IF(AE288="","",(1-données_step[[#This Row],[E_NH4]]/$AH$7)*100)</f>
        <v/>
      </c>
      <c r="AG288" s="523" t="str">
        <f t="shared" si="71"/>
        <v/>
      </c>
      <c r="AH288" s="523" t="str">
        <f t="shared" si="72"/>
        <v/>
      </c>
      <c r="AI288" s="523" t="str">
        <f t="shared" si="73"/>
        <v/>
      </c>
      <c r="AJ288" s="523" t="e">
        <f>IF(((100-100/$AH$7*données_step[[#This Row],[E_NH4]])/100*QTS)&lt;0,NA(),IF(OR(AG288&lt;0,AG288=""),NA(),((100-100/$AH$7*données_step[[#This Row],[E_NH4]])/100*QTS)))</f>
        <v>#NUM!</v>
      </c>
      <c r="AK288" s="523" t="str">
        <f>IF(AND($R288&gt;0,données_step[[#This Row],[E_PTOT]]&gt;0),données_step[[#This Row],[E_PTOT]],"")</f>
        <v/>
      </c>
      <c r="AL288" s="523" t="str">
        <f>IF(AK288="","",(1-données_step[[#This Row],[E_PTOT]]/$AN$7)*100)</f>
        <v/>
      </c>
      <c r="AM288" s="523" t="str">
        <f t="shared" si="74"/>
        <v/>
      </c>
      <c r="AN288" s="523" t="str">
        <f t="shared" si="75"/>
        <v/>
      </c>
      <c r="AO288" s="523" t="str">
        <f t="shared" si="76"/>
        <v/>
      </c>
      <c r="AP288" s="523" t="e">
        <f>IF(((100-100/$AN$7*données_step[[#This Row],[E_PTOT]])/100*QTS)&lt;0,NA(),IF(OR(AM288&lt;0,AM288=""),NA(),((100-100/$AN$7*données_step[[#This Row],[E_PTOT]])/100*QTS)))</f>
        <v>#NUM!</v>
      </c>
      <c r="AQ288" s="524" t="e">
        <f t="shared" si="77"/>
        <v>#NUM!</v>
      </c>
      <c r="AR288" s="524" t="str">
        <f t="shared" si="78"/>
        <v/>
      </c>
      <c r="AY288" s="523" t="str">
        <f>_xlfn.IFNA(IF(données_step[[#This Row],[E_DCO]]&lt;=0,NA(),charge_entree[[#This Row],[ch_E_DCO]]/constanten!$B$8*1000),"")</f>
        <v/>
      </c>
      <c r="AZ288" s="523" t="str">
        <f>_xlfn.IFNA(IF(données_step[[#This Row],[E_NTOT]]&lt;=0,NA(),charge_entree[[#This Row],[ch_E_NTOT]]/constanten!$B$10*1000),"")</f>
        <v/>
      </c>
      <c r="BA288" s="523" t="str">
        <f>_xlfn.IFNA(IF(données_step[[#This Row],[E_NH4]]&lt;=0,NA(),charge_entree[[#This Row],[ch_E_NH4]]/constanten!$B$12*1000),"")</f>
        <v/>
      </c>
      <c r="BB288" s="523" t="str">
        <f>_xlfn.IFNA(IF(données_step[[#This Row],[E_COT]]&lt;=0,NA(),charge_entree[[#This Row],[ch_E_COT]]/constanten!$B$9*1000),"")</f>
        <v/>
      </c>
      <c r="BC288" s="523" t="str">
        <f>IFERROR(_xlfn.IFNA(IF(données_step[[#This Row],[E_PTOT]]&lt;=0,NA(),charge_entree[[#This Row],[ch_E_PTOT]]/constanten!$B$15*1000),""),"")</f>
        <v/>
      </c>
      <c r="BD288" s="535" t="e">
        <f>calculs!E288 * (1-0.4) / (données_step[[#This Row],[X_BA_VOL]]*données_step[[#This Row],[X_BACONC]])</f>
        <v>#VALUE!</v>
      </c>
      <c r="BE288" s="522" t="e">
        <f>(données_step[[#This Row],[X_BA_VOL]]*données_step[[#This Row],[X_BACONC]])/((données_step[[#This Row],[D_QTRAI2]]*données_step[[#This Row],[S_MES]]/1000)+(données_step[[#This Row],[X_BX_Q]]*données_step[[#This Row],[X_BXCONC]]))</f>
        <v>#VALUE!</v>
      </c>
      <c r="BF288" s="890" t="str">
        <f>IFERROR(données_step[[#This Row],[D_QTRAI]]/AY288*1000,"")</f>
        <v/>
      </c>
      <c r="BG288" s="535" t="str">
        <f>IFERROR(1-données_step[[#This Row],[S_DBO5]]/données_step[[#This Row],[E_DBO5]],"")</f>
        <v/>
      </c>
      <c r="BH288" s="536" t="str">
        <f>IFERROR(1-données_step[[#This Row],[S_DCO]]/données_step[[#This Row],[E_DCO]],"")</f>
        <v/>
      </c>
      <c r="BI288" s="535" t="str">
        <f>IFERROR(1-données_step[[#This Row],[S_COD]]/données_step[[#This Row],[E_COT]],"")</f>
        <v/>
      </c>
      <c r="BJ288" s="535" t="str">
        <f>IFERROR(1-données_step[[#This Row],[S_NH4]]/données_step[[#This Row],[E_NTOT]],"")</f>
        <v/>
      </c>
      <c r="BK288" s="535" t="str">
        <f>IFERROR(1-données_step[[#This Row],[S_PTOT]]/données_step[[#This Row],[E_PTOT]],"")</f>
        <v/>
      </c>
      <c r="BL288" s="521" t="str">
        <f>IFERROR(IF(données_step[[#This Row],[E_DCO]]/données_step[[#This Row],[E_DBO5]]=0,NA(),données_step[[#This Row],[E_DCO]]/données_step[[#This Row],[E_DBO5]]),"")</f>
        <v/>
      </c>
      <c r="BM288" s="521" t="str">
        <f>IFERROR(IF(données_step[[#This Row],[E_NH4]]/données_step[[#This Row],[E_NTOT]]=0,NA(),données_step[[#This Row],[E_NH4]]/données_step[[#This Row],[E_NTOT]]),"")</f>
        <v/>
      </c>
      <c r="BN288" s="521" t="str">
        <f>IFERROR(IF(données_step[[#This Row],[E_NTOT]]/données_step[[#This Row],[E_COT]]=0,NA(),données_step[[#This Row],[E_NTOT]]/données_step[[#This Row],[E_COT]]),"")</f>
        <v/>
      </c>
      <c r="BO288" s="521" t="str">
        <f>IFERROR(IF(données_step[[#This Row],[E_PTOT]]/données_step[[#This Row],[E_COT]]=0,NA(),données_step[[#This Row],[E_PTOT]]/données_step[[#This Row],[E_COT]]),"")</f>
        <v/>
      </c>
      <c r="BP288" s="521" t="e">
        <f>IF(données_step[[#This Row],[E_DCO]]/données_step[[#This Row],[E_COT]]=0,NA(),données_step[[#This Row],[E_DCO]]/données_step[[#This Row],[E_COT]])</f>
        <v>#DIV/0!</v>
      </c>
      <c r="BQ288" s="521" t="e">
        <f>IF(données_step[[#This Row],[E_NTOT]]/données_step[[#This Row],[E_DCO]]=0,NA(),données_step[[#This Row],[E_NTOT]]/données_step[[#This Row],[E_DCO]])</f>
        <v>#DIV/0!</v>
      </c>
      <c r="BR288" s="521" t="e">
        <f>IF(données_step[[#This Row],[E_PTOT]]/données_step[[#This Row],[E_DCO]]=0,NA(),données_step[[#This Row],[E_PTOT]]/données_step[[#This Row],[E_DCO]])</f>
        <v>#DIV/0!</v>
      </c>
      <c r="BS288" s="747" t="e">
        <f ca="1">test_NH4_temp(données_step[[#This Row],[S_NH4]],données_step[[#This Row],[Temp_eaux]])</f>
        <v>#NAME?</v>
      </c>
    </row>
    <row r="289" spans="1:71" x14ac:dyDescent="0.2">
      <c r="A289" s="222">
        <f>données_step[[#This Row],[Datum]]</f>
        <v>44840</v>
      </c>
      <c r="B289" s="223"/>
      <c r="C289" s="224">
        <f t="shared" si="79"/>
        <v>5</v>
      </c>
      <c r="D289" s="523" t="str">
        <f>IF(OR(données_step[[#This Row],[E_DBO5]]&lt;=0,données_step[[#This Row],[E_DBO5]]=""),"",données_step[[#This Row],[D_QTRAI]]*données_step[[#This Row],[E_DBO5]]/1000)</f>
        <v/>
      </c>
      <c r="E289" s="523" t="str">
        <f>IF(OR(données_step[[#This Row],[E_DCO]]&lt;=0,données_step[[#This Row],[E_DCO]]=""),"",données_step[[#This Row],[D_QTRAI]]*données_step[[#This Row],[E_DCO]]/1000)</f>
        <v/>
      </c>
      <c r="F289" s="523" t="str">
        <f>IF(OR(données_step[[#This Row],[E_COT]]&lt;=0,données_step[[#This Row],[E_COT]]=""),"",données_step[[#This Row],[D_QTRAI]]*données_step[[#This Row],[E_COT]]/1000)</f>
        <v/>
      </c>
      <c r="G289" s="523" t="str">
        <f>IF(OR(données_step[[#This Row],[E_NH4]]&lt;=0,données_step[[#This Row],[E_NH4]]=""),"",données_step[[#This Row],[D_QTRAI]]*données_step[[#This Row],[E_NH4]]/1000)</f>
        <v/>
      </c>
      <c r="H289" s="523" t="str">
        <f>IF(OR(données_step[[#This Row],[E_NTOT]]&lt;=0,données_step[[#This Row],[E_NTOT]]=""),"",données_step[[#This Row],[D_QTRAI]]*données_step[[#This Row],[E_NTOT]]/1000)</f>
        <v/>
      </c>
      <c r="I289" s="523" t="str">
        <f>IF(OR(données_step[[#This Row],[E_NTOT]]&lt;=0,données_step[[#This Row],[E_NTOT]]=""),"",données_step[[#This Row],[D_QTRAI]]*données_step[[#This Row],[E_PTOT]]/1000)</f>
        <v/>
      </c>
      <c r="J289" s="523" t="str">
        <f>IF(OR(données_step[[#This Row],[S_DBO5]]&lt;=0,données_step[[#This Row],[S_DBO5]]=""),"",données_step[[#This Row],[D_QTRAI]]*données_step[[#This Row],[S_DBO5]]/1000)</f>
        <v/>
      </c>
      <c r="K289" s="523" t="str">
        <f>IF(OR(données_step[[#This Row],[S_DCO]]&lt;=0,données_step[[#This Row],[S_DCO]]=""),"",données_step[[#This Row],[D_QTRAI]]*données_step[[#This Row],[S_DCO]]/1000)</f>
        <v/>
      </c>
      <c r="L289" s="523" t="str">
        <f>IF(OR(données_step[[#This Row],[S_COD]]&lt;=0,données_step[[#This Row],[S_COD]]=""),"",données_step[[#This Row],[D_QTRAI]]*données_step[[#This Row],[S_COD]]/1000)</f>
        <v/>
      </c>
      <c r="M289" s="523" t="str">
        <f>IF(OR(données_step[[#This Row],[S_NH4]]&lt;=0,données_step[[#This Row],[S_NH4]]=""),"",données_step[[#This Row],[D_QTRAI]]*données_step[[#This Row],[S_NH4]]/1000)</f>
        <v/>
      </c>
      <c r="N289" s="523" t="str">
        <f>IF(OR(données_step[[#This Row],[S_NO2]]&lt;=0,données_step[[#This Row],[S_NO2]]=""),"",données_step[[#This Row],[D_QTRAI]]*données_step[[#This Row],[S_NO2]]/1000)</f>
        <v/>
      </c>
      <c r="O289" s="523" t="str">
        <f>IF(OR(données_step[[#This Row],[S_NO3]]&lt;=0,données_step[[#This Row],[S_NO3]]=""),"",données_step[[#This Row],[D_QTRAI]]*données_step[[#This Row],[S_NO3]]/1000)</f>
        <v/>
      </c>
      <c r="P289" s="523" t="str">
        <f>IF(OR(données_step[[#This Row],[S_PTOT]]&lt;=0,données_step[[#This Row],[S_PTOT]]=""),"",données_step[[#This Row],[D_QTRAI]]*données_step[[#This Row],[S_PTOT]]/1000)</f>
        <v/>
      </c>
      <c r="Q289" s="523" t="str">
        <f>IF(OR(données_step[[#This Row],[S_MES]]&lt;=0,données_step[[#This Row],[S_MES]]=""),"",données_step[[#This Row],[D_QTRAI]]*données_step[[#This Row],[S_MES]]/1000)</f>
        <v/>
      </c>
      <c r="R289" s="523">
        <f>MAX(données_step[[#This Row],[D_QTRAI]],données_step[[#This Row],[D_QTRAI2]])</f>
        <v>0</v>
      </c>
      <c r="S289" s="523" t="str">
        <f>IF(AND($R289&gt;0,données_step[[#This Row],[E_DCO]]&gt;0),données_step[[#This Row],[E_DCO]],"")</f>
        <v/>
      </c>
      <c r="T289" s="523" t="str">
        <f>IF(S289="","",(1-données_step[[#This Row],[E_DCO]]/$V$7)*100)</f>
        <v/>
      </c>
      <c r="U289" s="523" t="str">
        <f t="shared" si="65"/>
        <v/>
      </c>
      <c r="V289" s="523" t="str">
        <f t="shared" si="66"/>
        <v/>
      </c>
      <c r="W289" s="523" t="str">
        <f t="shared" si="67"/>
        <v/>
      </c>
      <c r="X289" s="523" t="e">
        <f>IF(((100-100/$V$7*données_step[[#This Row],[E_DCO]])/100*QTS)&lt;0,NA(),IF(OR(U289&lt;0,U289=""),NA(),((100-100/$V$7*données_step[[#This Row],[E_DCO]])/100*QTS)))</f>
        <v>#NUM!</v>
      </c>
      <c r="Y289" s="523" t="str">
        <f>IF(AND($R289&gt;0,données_step[[#This Row],[E_COT]]&gt;0),données_step[[#This Row],[E_COT]],"")</f>
        <v/>
      </c>
      <c r="Z289" s="523" t="str">
        <f>IF(Y289="","",(1-données_step[[#This Row],[E_COT]]/$AB$7)*100)</f>
        <v/>
      </c>
      <c r="AA289" s="523" t="str">
        <f t="shared" si="68"/>
        <v/>
      </c>
      <c r="AB289" s="523" t="str">
        <f t="shared" si="69"/>
        <v/>
      </c>
      <c r="AC289" s="523" t="str">
        <f t="shared" si="70"/>
        <v/>
      </c>
      <c r="AD289" s="523" t="e">
        <f>IF(((100-100/$AB$7*données_step[[#This Row],[E_COT]])/100*QTS)&lt;0,NA(),IF(OR(AA289&lt;0,AA289=""),NA(),((100-100/$AB$7*données_step[[#This Row],[E_COT]])/100*QTS)))</f>
        <v>#NUM!</v>
      </c>
      <c r="AE289" s="523" t="str">
        <f>IF(AND($R289&gt;0,données_step[[#This Row],[E_NH4]]&gt;0),données_step[[#This Row],[E_NH4]],"")</f>
        <v/>
      </c>
      <c r="AF289" s="523" t="str">
        <f>IF(AE289="","",(1-données_step[[#This Row],[E_NH4]]/$AH$7)*100)</f>
        <v/>
      </c>
      <c r="AG289" s="523" t="str">
        <f t="shared" si="71"/>
        <v/>
      </c>
      <c r="AH289" s="523" t="str">
        <f t="shared" si="72"/>
        <v/>
      </c>
      <c r="AI289" s="523" t="str">
        <f t="shared" si="73"/>
        <v/>
      </c>
      <c r="AJ289" s="523" t="e">
        <f>IF(((100-100/$AH$7*données_step[[#This Row],[E_NH4]])/100*QTS)&lt;0,NA(),IF(OR(AG289&lt;0,AG289=""),NA(),((100-100/$AH$7*données_step[[#This Row],[E_NH4]])/100*QTS)))</f>
        <v>#NUM!</v>
      </c>
      <c r="AK289" s="523" t="str">
        <f>IF(AND($R289&gt;0,données_step[[#This Row],[E_PTOT]]&gt;0),données_step[[#This Row],[E_PTOT]],"")</f>
        <v/>
      </c>
      <c r="AL289" s="523" t="str">
        <f>IF(AK289="","",(1-données_step[[#This Row],[E_PTOT]]/$AN$7)*100)</f>
        <v/>
      </c>
      <c r="AM289" s="523" t="str">
        <f t="shared" si="74"/>
        <v/>
      </c>
      <c r="AN289" s="523" t="str">
        <f t="shared" si="75"/>
        <v/>
      </c>
      <c r="AO289" s="523" t="str">
        <f t="shared" si="76"/>
        <v/>
      </c>
      <c r="AP289" s="523" t="e">
        <f>IF(((100-100/$AN$7*données_step[[#This Row],[E_PTOT]])/100*QTS)&lt;0,NA(),IF(OR(AM289&lt;0,AM289=""),NA(),((100-100/$AN$7*données_step[[#This Row],[E_PTOT]])/100*QTS)))</f>
        <v>#NUM!</v>
      </c>
      <c r="AQ289" s="524" t="e">
        <f t="shared" si="77"/>
        <v>#NUM!</v>
      </c>
      <c r="AR289" s="524" t="str">
        <f t="shared" si="78"/>
        <v/>
      </c>
      <c r="AY289" s="523" t="str">
        <f>_xlfn.IFNA(IF(données_step[[#This Row],[E_DCO]]&lt;=0,NA(),charge_entree[[#This Row],[ch_E_DCO]]/constanten!$B$8*1000),"")</f>
        <v/>
      </c>
      <c r="AZ289" s="523" t="str">
        <f>_xlfn.IFNA(IF(données_step[[#This Row],[E_NTOT]]&lt;=0,NA(),charge_entree[[#This Row],[ch_E_NTOT]]/constanten!$B$10*1000),"")</f>
        <v/>
      </c>
      <c r="BA289" s="523" t="str">
        <f>_xlfn.IFNA(IF(données_step[[#This Row],[E_NH4]]&lt;=0,NA(),charge_entree[[#This Row],[ch_E_NH4]]/constanten!$B$12*1000),"")</f>
        <v/>
      </c>
      <c r="BB289" s="523" t="str">
        <f>_xlfn.IFNA(IF(données_step[[#This Row],[E_COT]]&lt;=0,NA(),charge_entree[[#This Row],[ch_E_COT]]/constanten!$B$9*1000),"")</f>
        <v/>
      </c>
      <c r="BC289" s="523" t="str">
        <f>IFERROR(_xlfn.IFNA(IF(données_step[[#This Row],[E_PTOT]]&lt;=0,NA(),charge_entree[[#This Row],[ch_E_PTOT]]/constanten!$B$15*1000),""),"")</f>
        <v/>
      </c>
      <c r="BD289" s="535" t="e">
        <f>calculs!E289 * (1-0.4) / (données_step[[#This Row],[X_BA_VOL]]*données_step[[#This Row],[X_BACONC]])</f>
        <v>#VALUE!</v>
      </c>
      <c r="BE289" s="522" t="e">
        <f>(données_step[[#This Row],[X_BA_VOL]]*données_step[[#This Row],[X_BACONC]])/((données_step[[#This Row],[D_QTRAI2]]*données_step[[#This Row],[S_MES]]/1000)+(données_step[[#This Row],[X_BX_Q]]*données_step[[#This Row],[X_BXCONC]]))</f>
        <v>#VALUE!</v>
      </c>
      <c r="BF289" s="890" t="str">
        <f>IFERROR(données_step[[#This Row],[D_QTRAI]]/AY289*1000,"")</f>
        <v/>
      </c>
      <c r="BG289" s="535" t="str">
        <f>IFERROR(1-données_step[[#This Row],[S_DBO5]]/données_step[[#This Row],[E_DBO5]],"")</f>
        <v/>
      </c>
      <c r="BH289" s="536" t="str">
        <f>IFERROR(1-données_step[[#This Row],[S_DCO]]/données_step[[#This Row],[E_DCO]],"")</f>
        <v/>
      </c>
      <c r="BI289" s="535" t="str">
        <f>IFERROR(1-données_step[[#This Row],[S_COD]]/données_step[[#This Row],[E_COT]],"")</f>
        <v/>
      </c>
      <c r="BJ289" s="535" t="str">
        <f>IFERROR(1-données_step[[#This Row],[S_NH4]]/données_step[[#This Row],[E_NTOT]],"")</f>
        <v/>
      </c>
      <c r="BK289" s="535" t="str">
        <f>IFERROR(1-données_step[[#This Row],[S_PTOT]]/données_step[[#This Row],[E_PTOT]],"")</f>
        <v/>
      </c>
      <c r="BL289" s="521" t="str">
        <f>IFERROR(IF(données_step[[#This Row],[E_DCO]]/données_step[[#This Row],[E_DBO5]]=0,NA(),données_step[[#This Row],[E_DCO]]/données_step[[#This Row],[E_DBO5]]),"")</f>
        <v/>
      </c>
      <c r="BM289" s="521" t="str">
        <f>IFERROR(IF(données_step[[#This Row],[E_NH4]]/données_step[[#This Row],[E_NTOT]]=0,NA(),données_step[[#This Row],[E_NH4]]/données_step[[#This Row],[E_NTOT]]),"")</f>
        <v/>
      </c>
      <c r="BN289" s="521" t="str">
        <f>IFERROR(IF(données_step[[#This Row],[E_NTOT]]/données_step[[#This Row],[E_COT]]=0,NA(),données_step[[#This Row],[E_NTOT]]/données_step[[#This Row],[E_COT]]),"")</f>
        <v/>
      </c>
      <c r="BO289" s="521" t="str">
        <f>IFERROR(IF(données_step[[#This Row],[E_PTOT]]/données_step[[#This Row],[E_COT]]=0,NA(),données_step[[#This Row],[E_PTOT]]/données_step[[#This Row],[E_COT]]),"")</f>
        <v/>
      </c>
      <c r="BP289" s="521" t="e">
        <f>IF(données_step[[#This Row],[E_DCO]]/données_step[[#This Row],[E_COT]]=0,NA(),données_step[[#This Row],[E_DCO]]/données_step[[#This Row],[E_COT]])</f>
        <v>#DIV/0!</v>
      </c>
      <c r="BQ289" s="521" t="e">
        <f>IF(données_step[[#This Row],[E_NTOT]]/données_step[[#This Row],[E_DCO]]=0,NA(),données_step[[#This Row],[E_NTOT]]/données_step[[#This Row],[E_DCO]])</f>
        <v>#DIV/0!</v>
      </c>
      <c r="BR289" s="521" t="e">
        <f>IF(données_step[[#This Row],[E_PTOT]]/données_step[[#This Row],[E_DCO]]=0,NA(),données_step[[#This Row],[E_PTOT]]/données_step[[#This Row],[E_DCO]])</f>
        <v>#DIV/0!</v>
      </c>
      <c r="BS289" s="747" t="e">
        <f ca="1">test_NH4_temp(données_step[[#This Row],[S_NH4]],données_step[[#This Row],[Temp_eaux]])</f>
        <v>#NAME?</v>
      </c>
    </row>
    <row r="290" spans="1:71" x14ac:dyDescent="0.2">
      <c r="A290" s="222">
        <f>données_step[[#This Row],[Datum]]</f>
        <v>44841</v>
      </c>
      <c r="B290" s="223"/>
      <c r="C290" s="224">
        <f t="shared" si="79"/>
        <v>6</v>
      </c>
      <c r="D290" s="523" t="str">
        <f>IF(OR(données_step[[#This Row],[E_DBO5]]&lt;=0,données_step[[#This Row],[E_DBO5]]=""),"",données_step[[#This Row],[D_QTRAI]]*données_step[[#This Row],[E_DBO5]]/1000)</f>
        <v/>
      </c>
      <c r="E290" s="523" t="str">
        <f>IF(OR(données_step[[#This Row],[E_DCO]]&lt;=0,données_step[[#This Row],[E_DCO]]=""),"",données_step[[#This Row],[D_QTRAI]]*données_step[[#This Row],[E_DCO]]/1000)</f>
        <v/>
      </c>
      <c r="F290" s="523" t="str">
        <f>IF(OR(données_step[[#This Row],[E_COT]]&lt;=0,données_step[[#This Row],[E_COT]]=""),"",données_step[[#This Row],[D_QTRAI]]*données_step[[#This Row],[E_COT]]/1000)</f>
        <v/>
      </c>
      <c r="G290" s="523" t="str">
        <f>IF(OR(données_step[[#This Row],[E_NH4]]&lt;=0,données_step[[#This Row],[E_NH4]]=""),"",données_step[[#This Row],[D_QTRAI]]*données_step[[#This Row],[E_NH4]]/1000)</f>
        <v/>
      </c>
      <c r="H290" s="523" t="str">
        <f>IF(OR(données_step[[#This Row],[E_NTOT]]&lt;=0,données_step[[#This Row],[E_NTOT]]=""),"",données_step[[#This Row],[D_QTRAI]]*données_step[[#This Row],[E_NTOT]]/1000)</f>
        <v/>
      </c>
      <c r="I290" s="523" t="str">
        <f>IF(OR(données_step[[#This Row],[E_NTOT]]&lt;=0,données_step[[#This Row],[E_NTOT]]=""),"",données_step[[#This Row],[D_QTRAI]]*données_step[[#This Row],[E_PTOT]]/1000)</f>
        <v/>
      </c>
      <c r="J290" s="523" t="str">
        <f>IF(OR(données_step[[#This Row],[S_DBO5]]&lt;=0,données_step[[#This Row],[S_DBO5]]=""),"",données_step[[#This Row],[D_QTRAI]]*données_step[[#This Row],[S_DBO5]]/1000)</f>
        <v/>
      </c>
      <c r="K290" s="523" t="str">
        <f>IF(OR(données_step[[#This Row],[S_DCO]]&lt;=0,données_step[[#This Row],[S_DCO]]=""),"",données_step[[#This Row],[D_QTRAI]]*données_step[[#This Row],[S_DCO]]/1000)</f>
        <v/>
      </c>
      <c r="L290" s="523" t="str">
        <f>IF(OR(données_step[[#This Row],[S_COD]]&lt;=0,données_step[[#This Row],[S_COD]]=""),"",données_step[[#This Row],[D_QTRAI]]*données_step[[#This Row],[S_COD]]/1000)</f>
        <v/>
      </c>
      <c r="M290" s="523" t="str">
        <f>IF(OR(données_step[[#This Row],[S_NH4]]&lt;=0,données_step[[#This Row],[S_NH4]]=""),"",données_step[[#This Row],[D_QTRAI]]*données_step[[#This Row],[S_NH4]]/1000)</f>
        <v/>
      </c>
      <c r="N290" s="523" t="str">
        <f>IF(OR(données_step[[#This Row],[S_NO2]]&lt;=0,données_step[[#This Row],[S_NO2]]=""),"",données_step[[#This Row],[D_QTRAI]]*données_step[[#This Row],[S_NO2]]/1000)</f>
        <v/>
      </c>
      <c r="O290" s="523" t="str">
        <f>IF(OR(données_step[[#This Row],[S_NO3]]&lt;=0,données_step[[#This Row],[S_NO3]]=""),"",données_step[[#This Row],[D_QTRAI]]*données_step[[#This Row],[S_NO3]]/1000)</f>
        <v/>
      </c>
      <c r="P290" s="523" t="str">
        <f>IF(OR(données_step[[#This Row],[S_PTOT]]&lt;=0,données_step[[#This Row],[S_PTOT]]=""),"",données_step[[#This Row],[D_QTRAI]]*données_step[[#This Row],[S_PTOT]]/1000)</f>
        <v/>
      </c>
      <c r="Q290" s="523" t="str">
        <f>IF(OR(données_step[[#This Row],[S_MES]]&lt;=0,données_step[[#This Row],[S_MES]]=""),"",données_step[[#This Row],[D_QTRAI]]*données_step[[#This Row],[S_MES]]/1000)</f>
        <v/>
      </c>
      <c r="R290" s="523">
        <f>MAX(données_step[[#This Row],[D_QTRAI]],données_step[[#This Row],[D_QTRAI2]])</f>
        <v>0</v>
      </c>
      <c r="S290" s="523" t="str">
        <f>IF(AND($R290&gt;0,données_step[[#This Row],[E_DCO]]&gt;0),données_step[[#This Row],[E_DCO]],"")</f>
        <v/>
      </c>
      <c r="T290" s="523" t="str">
        <f>IF(S290="","",(1-données_step[[#This Row],[E_DCO]]/$V$7)*100)</f>
        <v/>
      </c>
      <c r="U290" s="523" t="str">
        <f t="shared" si="65"/>
        <v/>
      </c>
      <c r="V290" s="523" t="str">
        <f t="shared" si="66"/>
        <v/>
      </c>
      <c r="W290" s="523" t="str">
        <f t="shared" si="67"/>
        <v/>
      </c>
      <c r="X290" s="523" t="e">
        <f>IF(((100-100/$V$7*données_step[[#This Row],[E_DCO]])/100*QTS)&lt;0,NA(),IF(OR(U290&lt;0,U290=""),NA(),((100-100/$V$7*données_step[[#This Row],[E_DCO]])/100*QTS)))</f>
        <v>#NUM!</v>
      </c>
      <c r="Y290" s="523" t="str">
        <f>IF(AND($R290&gt;0,données_step[[#This Row],[E_COT]]&gt;0),données_step[[#This Row],[E_COT]],"")</f>
        <v/>
      </c>
      <c r="Z290" s="523" t="str">
        <f>IF(Y290="","",(1-données_step[[#This Row],[E_COT]]/$AB$7)*100)</f>
        <v/>
      </c>
      <c r="AA290" s="523" t="str">
        <f t="shared" si="68"/>
        <v/>
      </c>
      <c r="AB290" s="523" t="str">
        <f t="shared" si="69"/>
        <v/>
      </c>
      <c r="AC290" s="523" t="str">
        <f t="shared" si="70"/>
        <v/>
      </c>
      <c r="AD290" s="523" t="e">
        <f>IF(((100-100/$AB$7*données_step[[#This Row],[E_COT]])/100*QTS)&lt;0,NA(),IF(OR(AA290&lt;0,AA290=""),NA(),((100-100/$AB$7*données_step[[#This Row],[E_COT]])/100*QTS)))</f>
        <v>#NUM!</v>
      </c>
      <c r="AE290" s="523" t="str">
        <f>IF(AND($R290&gt;0,données_step[[#This Row],[E_NH4]]&gt;0),données_step[[#This Row],[E_NH4]],"")</f>
        <v/>
      </c>
      <c r="AF290" s="523" t="str">
        <f>IF(AE290="","",(1-données_step[[#This Row],[E_NH4]]/$AH$7)*100)</f>
        <v/>
      </c>
      <c r="AG290" s="523" t="str">
        <f t="shared" si="71"/>
        <v/>
      </c>
      <c r="AH290" s="523" t="str">
        <f t="shared" si="72"/>
        <v/>
      </c>
      <c r="AI290" s="523" t="str">
        <f t="shared" si="73"/>
        <v/>
      </c>
      <c r="AJ290" s="523" t="e">
        <f>IF(((100-100/$AH$7*données_step[[#This Row],[E_NH4]])/100*QTS)&lt;0,NA(),IF(OR(AG290&lt;0,AG290=""),NA(),((100-100/$AH$7*données_step[[#This Row],[E_NH4]])/100*QTS)))</f>
        <v>#NUM!</v>
      </c>
      <c r="AK290" s="523" t="str">
        <f>IF(AND($R290&gt;0,données_step[[#This Row],[E_PTOT]]&gt;0),données_step[[#This Row],[E_PTOT]],"")</f>
        <v/>
      </c>
      <c r="AL290" s="523" t="str">
        <f>IF(AK290="","",(1-données_step[[#This Row],[E_PTOT]]/$AN$7)*100)</f>
        <v/>
      </c>
      <c r="AM290" s="523" t="str">
        <f t="shared" si="74"/>
        <v/>
      </c>
      <c r="AN290" s="523" t="str">
        <f t="shared" si="75"/>
        <v/>
      </c>
      <c r="AO290" s="523" t="str">
        <f t="shared" si="76"/>
        <v/>
      </c>
      <c r="AP290" s="523" t="e">
        <f>IF(((100-100/$AN$7*données_step[[#This Row],[E_PTOT]])/100*QTS)&lt;0,NA(),IF(OR(AM290&lt;0,AM290=""),NA(),((100-100/$AN$7*données_step[[#This Row],[E_PTOT]])/100*QTS)))</f>
        <v>#NUM!</v>
      </c>
      <c r="AQ290" s="524" t="e">
        <f t="shared" si="77"/>
        <v>#NUM!</v>
      </c>
      <c r="AR290" s="524" t="str">
        <f t="shared" si="78"/>
        <v/>
      </c>
      <c r="AY290" s="523" t="str">
        <f>_xlfn.IFNA(IF(données_step[[#This Row],[E_DCO]]&lt;=0,NA(),charge_entree[[#This Row],[ch_E_DCO]]/constanten!$B$8*1000),"")</f>
        <v/>
      </c>
      <c r="AZ290" s="523" t="str">
        <f>_xlfn.IFNA(IF(données_step[[#This Row],[E_NTOT]]&lt;=0,NA(),charge_entree[[#This Row],[ch_E_NTOT]]/constanten!$B$10*1000),"")</f>
        <v/>
      </c>
      <c r="BA290" s="523" t="str">
        <f>_xlfn.IFNA(IF(données_step[[#This Row],[E_NH4]]&lt;=0,NA(),charge_entree[[#This Row],[ch_E_NH4]]/constanten!$B$12*1000),"")</f>
        <v/>
      </c>
      <c r="BB290" s="523" t="str">
        <f>_xlfn.IFNA(IF(données_step[[#This Row],[E_COT]]&lt;=0,NA(),charge_entree[[#This Row],[ch_E_COT]]/constanten!$B$9*1000),"")</f>
        <v/>
      </c>
      <c r="BC290" s="523" t="str">
        <f>IFERROR(_xlfn.IFNA(IF(données_step[[#This Row],[E_PTOT]]&lt;=0,NA(),charge_entree[[#This Row],[ch_E_PTOT]]/constanten!$B$15*1000),""),"")</f>
        <v/>
      </c>
      <c r="BD290" s="535" t="e">
        <f>calculs!E290 * (1-0.4) / (données_step[[#This Row],[X_BA_VOL]]*données_step[[#This Row],[X_BACONC]])</f>
        <v>#VALUE!</v>
      </c>
      <c r="BE290" s="522" t="e">
        <f>(données_step[[#This Row],[X_BA_VOL]]*données_step[[#This Row],[X_BACONC]])/((données_step[[#This Row],[D_QTRAI2]]*données_step[[#This Row],[S_MES]]/1000)+(données_step[[#This Row],[X_BX_Q]]*données_step[[#This Row],[X_BXCONC]]))</f>
        <v>#VALUE!</v>
      </c>
      <c r="BF290" s="890" t="str">
        <f>IFERROR(données_step[[#This Row],[D_QTRAI]]/AY290*1000,"")</f>
        <v/>
      </c>
      <c r="BG290" s="535" t="str">
        <f>IFERROR(1-données_step[[#This Row],[S_DBO5]]/données_step[[#This Row],[E_DBO5]],"")</f>
        <v/>
      </c>
      <c r="BH290" s="536" t="str">
        <f>IFERROR(1-données_step[[#This Row],[S_DCO]]/données_step[[#This Row],[E_DCO]],"")</f>
        <v/>
      </c>
      <c r="BI290" s="535" t="str">
        <f>IFERROR(1-données_step[[#This Row],[S_COD]]/données_step[[#This Row],[E_COT]],"")</f>
        <v/>
      </c>
      <c r="BJ290" s="535" t="str">
        <f>IFERROR(1-données_step[[#This Row],[S_NH4]]/données_step[[#This Row],[E_NTOT]],"")</f>
        <v/>
      </c>
      <c r="BK290" s="535" t="str">
        <f>IFERROR(1-données_step[[#This Row],[S_PTOT]]/données_step[[#This Row],[E_PTOT]],"")</f>
        <v/>
      </c>
      <c r="BL290" s="521" t="str">
        <f>IFERROR(IF(données_step[[#This Row],[E_DCO]]/données_step[[#This Row],[E_DBO5]]=0,NA(),données_step[[#This Row],[E_DCO]]/données_step[[#This Row],[E_DBO5]]),"")</f>
        <v/>
      </c>
      <c r="BM290" s="521" t="str">
        <f>IFERROR(IF(données_step[[#This Row],[E_NH4]]/données_step[[#This Row],[E_NTOT]]=0,NA(),données_step[[#This Row],[E_NH4]]/données_step[[#This Row],[E_NTOT]]),"")</f>
        <v/>
      </c>
      <c r="BN290" s="521" t="str">
        <f>IFERROR(IF(données_step[[#This Row],[E_NTOT]]/données_step[[#This Row],[E_COT]]=0,NA(),données_step[[#This Row],[E_NTOT]]/données_step[[#This Row],[E_COT]]),"")</f>
        <v/>
      </c>
      <c r="BO290" s="521" t="str">
        <f>IFERROR(IF(données_step[[#This Row],[E_PTOT]]/données_step[[#This Row],[E_COT]]=0,NA(),données_step[[#This Row],[E_PTOT]]/données_step[[#This Row],[E_COT]]),"")</f>
        <v/>
      </c>
      <c r="BP290" s="521" t="e">
        <f>IF(données_step[[#This Row],[E_DCO]]/données_step[[#This Row],[E_COT]]=0,NA(),données_step[[#This Row],[E_DCO]]/données_step[[#This Row],[E_COT]])</f>
        <v>#DIV/0!</v>
      </c>
      <c r="BQ290" s="521" t="e">
        <f>IF(données_step[[#This Row],[E_NTOT]]/données_step[[#This Row],[E_DCO]]=0,NA(),données_step[[#This Row],[E_NTOT]]/données_step[[#This Row],[E_DCO]])</f>
        <v>#DIV/0!</v>
      </c>
      <c r="BR290" s="521" t="e">
        <f>IF(données_step[[#This Row],[E_PTOT]]/données_step[[#This Row],[E_DCO]]=0,NA(),données_step[[#This Row],[E_PTOT]]/données_step[[#This Row],[E_DCO]])</f>
        <v>#DIV/0!</v>
      </c>
      <c r="BS290" s="747" t="e">
        <f ca="1">test_NH4_temp(données_step[[#This Row],[S_NH4]],données_step[[#This Row],[Temp_eaux]])</f>
        <v>#NAME?</v>
      </c>
    </row>
    <row r="291" spans="1:71" x14ac:dyDescent="0.2">
      <c r="A291" s="222">
        <f>données_step[[#This Row],[Datum]]</f>
        <v>44842</v>
      </c>
      <c r="B291" s="223"/>
      <c r="C291" s="224">
        <f t="shared" si="79"/>
        <v>7</v>
      </c>
      <c r="D291" s="523" t="str">
        <f>IF(OR(données_step[[#This Row],[E_DBO5]]&lt;=0,données_step[[#This Row],[E_DBO5]]=""),"",données_step[[#This Row],[D_QTRAI]]*données_step[[#This Row],[E_DBO5]]/1000)</f>
        <v/>
      </c>
      <c r="E291" s="523" t="str">
        <f>IF(OR(données_step[[#This Row],[E_DCO]]&lt;=0,données_step[[#This Row],[E_DCO]]=""),"",données_step[[#This Row],[D_QTRAI]]*données_step[[#This Row],[E_DCO]]/1000)</f>
        <v/>
      </c>
      <c r="F291" s="523" t="str">
        <f>IF(OR(données_step[[#This Row],[E_COT]]&lt;=0,données_step[[#This Row],[E_COT]]=""),"",données_step[[#This Row],[D_QTRAI]]*données_step[[#This Row],[E_COT]]/1000)</f>
        <v/>
      </c>
      <c r="G291" s="523" t="str">
        <f>IF(OR(données_step[[#This Row],[E_NH4]]&lt;=0,données_step[[#This Row],[E_NH4]]=""),"",données_step[[#This Row],[D_QTRAI]]*données_step[[#This Row],[E_NH4]]/1000)</f>
        <v/>
      </c>
      <c r="H291" s="523" t="str">
        <f>IF(OR(données_step[[#This Row],[E_NTOT]]&lt;=0,données_step[[#This Row],[E_NTOT]]=""),"",données_step[[#This Row],[D_QTRAI]]*données_step[[#This Row],[E_NTOT]]/1000)</f>
        <v/>
      </c>
      <c r="I291" s="523" t="str">
        <f>IF(OR(données_step[[#This Row],[E_NTOT]]&lt;=0,données_step[[#This Row],[E_NTOT]]=""),"",données_step[[#This Row],[D_QTRAI]]*données_step[[#This Row],[E_PTOT]]/1000)</f>
        <v/>
      </c>
      <c r="J291" s="523" t="str">
        <f>IF(OR(données_step[[#This Row],[S_DBO5]]&lt;=0,données_step[[#This Row],[S_DBO5]]=""),"",données_step[[#This Row],[D_QTRAI]]*données_step[[#This Row],[S_DBO5]]/1000)</f>
        <v/>
      </c>
      <c r="K291" s="523" t="str">
        <f>IF(OR(données_step[[#This Row],[S_DCO]]&lt;=0,données_step[[#This Row],[S_DCO]]=""),"",données_step[[#This Row],[D_QTRAI]]*données_step[[#This Row],[S_DCO]]/1000)</f>
        <v/>
      </c>
      <c r="L291" s="523" t="str">
        <f>IF(OR(données_step[[#This Row],[S_COD]]&lt;=0,données_step[[#This Row],[S_COD]]=""),"",données_step[[#This Row],[D_QTRAI]]*données_step[[#This Row],[S_COD]]/1000)</f>
        <v/>
      </c>
      <c r="M291" s="523" t="str">
        <f>IF(OR(données_step[[#This Row],[S_NH4]]&lt;=0,données_step[[#This Row],[S_NH4]]=""),"",données_step[[#This Row],[D_QTRAI]]*données_step[[#This Row],[S_NH4]]/1000)</f>
        <v/>
      </c>
      <c r="N291" s="523" t="str">
        <f>IF(OR(données_step[[#This Row],[S_NO2]]&lt;=0,données_step[[#This Row],[S_NO2]]=""),"",données_step[[#This Row],[D_QTRAI]]*données_step[[#This Row],[S_NO2]]/1000)</f>
        <v/>
      </c>
      <c r="O291" s="523" t="str">
        <f>IF(OR(données_step[[#This Row],[S_NO3]]&lt;=0,données_step[[#This Row],[S_NO3]]=""),"",données_step[[#This Row],[D_QTRAI]]*données_step[[#This Row],[S_NO3]]/1000)</f>
        <v/>
      </c>
      <c r="P291" s="523" t="str">
        <f>IF(OR(données_step[[#This Row],[S_PTOT]]&lt;=0,données_step[[#This Row],[S_PTOT]]=""),"",données_step[[#This Row],[D_QTRAI]]*données_step[[#This Row],[S_PTOT]]/1000)</f>
        <v/>
      </c>
      <c r="Q291" s="523" t="str">
        <f>IF(OR(données_step[[#This Row],[S_MES]]&lt;=0,données_step[[#This Row],[S_MES]]=""),"",données_step[[#This Row],[D_QTRAI]]*données_step[[#This Row],[S_MES]]/1000)</f>
        <v/>
      </c>
      <c r="R291" s="523">
        <f>MAX(données_step[[#This Row],[D_QTRAI]],données_step[[#This Row],[D_QTRAI2]])</f>
        <v>0</v>
      </c>
      <c r="S291" s="523" t="str">
        <f>IF(AND($R291&gt;0,données_step[[#This Row],[E_DCO]]&gt;0),données_step[[#This Row],[E_DCO]],"")</f>
        <v/>
      </c>
      <c r="T291" s="523" t="str">
        <f>IF(S291="","",(1-données_step[[#This Row],[E_DCO]]/$V$7)*100)</f>
        <v/>
      </c>
      <c r="U291" s="523" t="str">
        <f t="shared" si="65"/>
        <v/>
      </c>
      <c r="V291" s="523" t="str">
        <f t="shared" si="66"/>
        <v/>
      </c>
      <c r="W291" s="523" t="str">
        <f t="shared" si="67"/>
        <v/>
      </c>
      <c r="X291" s="523" t="e">
        <f>IF(((100-100/$V$7*données_step[[#This Row],[E_DCO]])/100*QTS)&lt;0,NA(),IF(OR(U291&lt;0,U291=""),NA(),((100-100/$V$7*données_step[[#This Row],[E_DCO]])/100*QTS)))</f>
        <v>#NUM!</v>
      </c>
      <c r="Y291" s="523" t="str">
        <f>IF(AND($R291&gt;0,données_step[[#This Row],[E_COT]]&gt;0),données_step[[#This Row],[E_COT]],"")</f>
        <v/>
      </c>
      <c r="Z291" s="523" t="str">
        <f>IF(Y291="","",(1-données_step[[#This Row],[E_COT]]/$AB$7)*100)</f>
        <v/>
      </c>
      <c r="AA291" s="523" t="str">
        <f t="shared" si="68"/>
        <v/>
      </c>
      <c r="AB291" s="523" t="str">
        <f t="shared" si="69"/>
        <v/>
      </c>
      <c r="AC291" s="523" t="str">
        <f t="shared" si="70"/>
        <v/>
      </c>
      <c r="AD291" s="523" t="e">
        <f>IF(((100-100/$AB$7*données_step[[#This Row],[E_COT]])/100*QTS)&lt;0,NA(),IF(OR(AA291&lt;0,AA291=""),NA(),((100-100/$AB$7*données_step[[#This Row],[E_COT]])/100*QTS)))</f>
        <v>#NUM!</v>
      </c>
      <c r="AE291" s="523" t="str">
        <f>IF(AND($R291&gt;0,données_step[[#This Row],[E_NH4]]&gt;0),données_step[[#This Row],[E_NH4]],"")</f>
        <v/>
      </c>
      <c r="AF291" s="523" t="str">
        <f>IF(AE291="","",(1-données_step[[#This Row],[E_NH4]]/$AH$7)*100)</f>
        <v/>
      </c>
      <c r="AG291" s="523" t="str">
        <f t="shared" si="71"/>
        <v/>
      </c>
      <c r="AH291" s="523" t="str">
        <f t="shared" si="72"/>
        <v/>
      </c>
      <c r="AI291" s="523" t="str">
        <f t="shared" si="73"/>
        <v/>
      </c>
      <c r="AJ291" s="523" t="e">
        <f>IF(((100-100/$AH$7*données_step[[#This Row],[E_NH4]])/100*QTS)&lt;0,NA(),IF(OR(AG291&lt;0,AG291=""),NA(),((100-100/$AH$7*données_step[[#This Row],[E_NH4]])/100*QTS)))</f>
        <v>#NUM!</v>
      </c>
      <c r="AK291" s="523" t="str">
        <f>IF(AND($R291&gt;0,données_step[[#This Row],[E_PTOT]]&gt;0),données_step[[#This Row],[E_PTOT]],"")</f>
        <v/>
      </c>
      <c r="AL291" s="523" t="str">
        <f>IF(AK291="","",(1-données_step[[#This Row],[E_PTOT]]/$AN$7)*100)</f>
        <v/>
      </c>
      <c r="AM291" s="523" t="str">
        <f t="shared" si="74"/>
        <v/>
      </c>
      <c r="AN291" s="523" t="str">
        <f t="shared" si="75"/>
        <v/>
      </c>
      <c r="AO291" s="523" t="str">
        <f t="shared" si="76"/>
        <v/>
      </c>
      <c r="AP291" s="523" t="e">
        <f>IF(((100-100/$AN$7*données_step[[#This Row],[E_PTOT]])/100*QTS)&lt;0,NA(),IF(OR(AM291&lt;0,AM291=""),NA(),((100-100/$AN$7*données_step[[#This Row],[E_PTOT]])/100*QTS)))</f>
        <v>#NUM!</v>
      </c>
      <c r="AQ291" s="524" t="e">
        <f t="shared" si="77"/>
        <v>#NUM!</v>
      </c>
      <c r="AR291" s="524" t="str">
        <f t="shared" si="78"/>
        <v/>
      </c>
      <c r="AY291" s="523" t="str">
        <f>_xlfn.IFNA(IF(données_step[[#This Row],[E_DCO]]&lt;=0,NA(),charge_entree[[#This Row],[ch_E_DCO]]/constanten!$B$8*1000),"")</f>
        <v/>
      </c>
      <c r="AZ291" s="523" t="str">
        <f>_xlfn.IFNA(IF(données_step[[#This Row],[E_NTOT]]&lt;=0,NA(),charge_entree[[#This Row],[ch_E_NTOT]]/constanten!$B$10*1000),"")</f>
        <v/>
      </c>
      <c r="BA291" s="523" t="str">
        <f>_xlfn.IFNA(IF(données_step[[#This Row],[E_NH4]]&lt;=0,NA(),charge_entree[[#This Row],[ch_E_NH4]]/constanten!$B$12*1000),"")</f>
        <v/>
      </c>
      <c r="BB291" s="523" t="str">
        <f>_xlfn.IFNA(IF(données_step[[#This Row],[E_COT]]&lt;=0,NA(),charge_entree[[#This Row],[ch_E_COT]]/constanten!$B$9*1000),"")</f>
        <v/>
      </c>
      <c r="BC291" s="523" t="str">
        <f>IFERROR(_xlfn.IFNA(IF(données_step[[#This Row],[E_PTOT]]&lt;=0,NA(),charge_entree[[#This Row],[ch_E_PTOT]]/constanten!$B$15*1000),""),"")</f>
        <v/>
      </c>
      <c r="BD291" s="535" t="e">
        <f>calculs!E291 * (1-0.4) / (données_step[[#This Row],[X_BA_VOL]]*données_step[[#This Row],[X_BACONC]])</f>
        <v>#VALUE!</v>
      </c>
      <c r="BE291" s="522" t="e">
        <f>(données_step[[#This Row],[X_BA_VOL]]*données_step[[#This Row],[X_BACONC]])/((données_step[[#This Row],[D_QTRAI2]]*données_step[[#This Row],[S_MES]]/1000)+(données_step[[#This Row],[X_BX_Q]]*données_step[[#This Row],[X_BXCONC]]))</f>
        <v>#VALUE!</v>
      </c>
      <c r="BF291" s="890" t="str">
        <f>IFERROR(données_step[[#This Row],[D_QTRAI]]/AY291*1000,"")</f>
        <v/>
      </c>
      <c r="BG291" s="535" t="str">
        <f>IFERROR(1-données_step[[#This Row],[S_DBO5]]/données_step[[#This Row],[E_DBO5]],"")</f>
        <v/>
      </c>
      <c r="BH291" s="536" t="str">
        <f>IFERROR(1-données_step[[#This Row],[S_DCO]]/données_step[[#This Row],[E_DCO]],"")</f>
        <v/>
      </c>
      <c r="BI291" s="535" t="str">
        <f>IFERROR(1-données_step[[#This Row],[S_COD]]/données_step[[#This Row],[E_COT]],"")</f>
        <v/>
      </c>
      <c r="BJ291" s="535" t="str">
        <f>IFERROR(1-données_step[[#This Row],[S_NH4]]/données_step[[#This Row],[E_NTOT]],"")</f>
        <v/>
      </c>
      <c r="BK291" s="535" t="str">
        <f>IFERROR(1-données_step[[#This Row],[S_PTOT]]/données_step[[#This Row],[E_PTOT]],"")</f>
        <v/>
      </c>
      <c r="BL291" s="521" t="str">
        <f>IFERROR(IF(données_step[[#This Row],[E_DCO]]/données_step[[#This Row],[E_DBO5]]=0,NA(),données_step[[#This Row],[E_DCO]]/données_step[[#This Row],[E_DBO5]]),"")</f>
        <v/>
      </c>
      <c r="BM291" s="521" t="str">
        <f>IFERROR(IF(données_step[[#This Row],[E_NH4]]/données_step[[#This Row],[E_NTOT]]=0,NA(),données_step[[#This Row],[E_NH4]]/données_step[[#This Row],[E_NTOT]]),"")</f>
        <v/>
      </c>
      <c r="BN291" s="521" t="str">
        <f>IFERROR(IF(données_step[[#This Row],[E_NTOT]]/données_step[[#This Row],[E_COT]]=0,NA(),données_step[[#This Row],[E_NTOT]]/données_step[[#This Row],[E_COT]]),"")</f>
        <v/>
      </c>
      <c r="BO291" s="521" t="str">
        <f>IFERROR(IF(données_step[[#This Row],[E_PTOT]]/données_step[[#This Row],[E_COT]]=0,NA(),données_step[[#This Row],[E_PTOT]]/données_step[[#This Row],[E_COT]]),"")</f>
        <v/>
      </c>
      <c r="BP291" s="521" t="e">
        <f>IF(données_step[[#This Row],[E_DCO]]/données_step[[#This Row],[E_COT]]=0,NA(),données_step[[#This Row],[E_DCO]]/données_step[[#This Row],[E_COT]])</f>
        <v>#DIV/0!</v>
      </c>
      <c r="BQ291" s="521" t="e">
        <f>IF(données_step[[#This Row],[E_NTOT]]/données_step[[#This Row],[E_DCO]]=0,NA(),données_step[[#This Row],[E_NTOT]]/données_step[[#This Row],[E_DCO]])</f>
        <v>#DIV/0!</v>
      </c>
      <c r="BR291" s="521" t="e">
        <f>IF(données_step[[#This Row],[E_PTOT]]/données_step[[#This Row],[E_DCO]]=0,NA(),données_step[[#This Row],[E_PTOT]]/données_step[[#This Row],[E_DCO]])</f>
        <v>#DIV/0!</v>
      </c>
      <c r="BS291" s="747" t="e">
        <f ca="1">test_NH4_temp(données_step[[#This Row],[S_NH4]],données_step[[#This Row],[Temp_eaux]])</f>
        <v>#NAME?</v>
      </c>
    </row>
    <row r="292" spans="1:71" x14ac:dyDescent="0.2">
      <c r="A292" s="222">
        <f>données_step[[#This Row],[Datum]]</f>
        <v>44843</v>
      </c>
      <c r="B292" s="223"/>
      <c r="C292" s="224">
        <f t="shared" si="79"/>
        <v>1</v>
      </c>
      <c r="D292" s="523" t="str">
        <f>IF(OR(données_step[[#This Row],[E_DBO5]]&lt;=0,données_step[[#This Row],[E_DBO5]]=""),"",données_step[[#This Row],[D_QTRAI]]*données_step[[#This Row],[E_DBO5]]/1000)</f>
        <v/>
      </c>
      <c r="E292" s="523" t="str">
        <f>IF(OR(données_step[[#This Row],[E_DCO]]&lt;=0,données_step[[#This Row],[E_DCO]]=""),"",données_step[[#This Row],[D_QTRAI]]*données_step[[#This Row],[E_DCO]]/1000)</f>
        <v/>
      </c>
      <c r="F292" s="523" t="str">
        <f>IF(OR(données_step[[#This Row],[E_COT]]&lt;=0,données_step[[#This Row],[E_COT]]=""),"",données_step[[#This Row],[D_QTRAI]]*données_step[[#This Row],[E_COT]]/1000)</f>
        <v/>
      </c>
      <c r="G292" s="523" t="str">
        <f>IF(OR(données_step[[#This Row],[E_NH4]]&lt;=0,données_step[[#This Row],[E_NH4]]=""),"",données_step[[#This Row],[D_QTRAI]]*données_step[[#This Row],[E_NH4]]/1000)</f>
        <v/>
      </c>
      <c r="H292" s="523" t="str">
        <f>IF(OR(données_step[[#This Row],[E_NTOT]]&lt;=0,données_step[[#This Row],[E_NTOT]]=""),"",données_step[[#This Row],[D_QTRAI]]*données_step[[#This Row],[E_NTOT]]/1000)</f>
        <v/>
      </c>
      <c r="I292" s="523" t="str">
        <f>IF(OR(données_step[[#This Row],[E_NTOT]]&lt;=0,données_step[[#This Row],[E_NTOT]]=""),"",données_step[[#This Row],[D_QTRAI]]*données_step[[#This Row],[E_PTOT]]/1000)</f>
        <v/>
      </c>
      <c r="J292" s="523" t="str">
        <f>IF(OR(données_step[[#This Row],[S_DBO5]]&lt;=0,données_step[[#This Row],[S_DBO5]]=""),"",données_step[[#This Row],[D_QTRAI]]*données_step[[#This Row],[S_DBO5]]/1000)</f>
        <v/>
      </c>
      <c r="K292" s="523" t="str">
        <f>IF(OR(données_step[[#This Row],[S_DCO]]&lt;=0,données_step[[#This Row],[S_DCO]]=""),"",données_step[[#This Row],[D_QTRAI]]*données_step[[#This Row],[S_DCO]]/1000)</f>
        <v/>
      </c>
      <c r="L292" s="523" t="str">
        <f>IF(OR(données_step[[#This Row],[S_COD]]&lt;=0,données_step[[#This Row],[S_COD]]=""),"",données_step[[#This Row],[D_QTRAI]]*données_step[[#This Row],[S_COD]]/1000)</f>
        <v/>
      </c>
      <c r="M292" s="523" t="str">
        <f>IF(OR(données_step[[#This Row],[S_NH4]]&lt;=0,données_step[[#This Row],[S_NH4]]=""),"",données_step[[#This Row],[D_QTRAI]]*données_step[[#This Row],[S_NH4]]/1000)</f>
        <v/>
      </c>
      <c r="N292" s="523" t="str">
        <f>IF(OR(données_step[[#This Row],[S_NO2]]&lt;=0,données_step[[#This Row],[S_NO2]]=""),"",données_step[[#This Row],[D_QTRAI]]*données_step[[#This Row],[S_NO2]]/1000)</f>
        <v/>
      </c>
      <c r="O292" s="523" t="str">
        <f>IF(OR(données_step[[#This Row],[S_NO3]]&lt;=0,données_step[[#This Row],[S_NO3]]=""),"",données_step[[#This Row],[D_QTRAI]]*données_step[[#This Row],[S_NO3]]/1000)</f>
        <v/>
      </c>
      <c r="P292" s="523" t="str">
        <f>IF(OR(données_step[[#This Row],[S_PTOT]]&lt;=0,données_step[[#This Row],[S_PTOT]]=""),"",données_step[[#This Row],[D_QTRAI]]*données_step[[#This Row],[S_PTOT]]/1000)</f>
        <v/>
      </c>
      <c r="Q292" s="523" t="str">
        <f>IF(OR(données_step[[#This Row],[S_MES]]&lt;=0,données_step[[#This Row],[S_MES]]=""),"",données_step[[#This Row],[D_QTRAI]]*données_step[[#This Row],[S_MES]]/1000)</f>
        <v/>
      </c>
      <c r="R292" s="523">
        <f>MAX(données_step[[#This Row],[D_QTRAI]],données_step[[#This Row],[D_QTRAI2]])</f>
        <v>0</v>
      </c>
      <c r="S292" s="523" t="str">
        <f>IF(AND($R292&gt;0,données_step[[#This Row],[E_DCO]]&gt;0),données_step[[#This Row],[E_DCO]],"")</f>
        <v/>
      </c>
      <c r="T292" s="523" t="str">
        <f>IF(S292="","",(1-données_step[[#This Row],[E_DCO]]/$V$7)*100)</f>
        <v/>
      </c>
      <c r="U292" s="523" t="str">
        <f t="shared" si="65"/>
        <v/>
      </c>
      <c r="V292" s="523" t="str">
        <f t="shared" si="66"/>
        <v/>
      </c>
      <c r="W292" s="523" t="str">
        <f t="shared" si="67"/>
        <v/>
      </c>
      <c r="X292" s="523" t="e">
        <f>IF(((100-100/$V$7*données_step[[#This Row],[E_DCO]])/100*QTS)&lt;0,NA(),IF(OR(U292&lt;0,U292=""),NA(),((100-100/$V$7*données_step[[#This Row],[E_DCO]])/100*QTS)))</f>
        <v>#NUM!</v>
      </c>
      <c r="Y292" s="523" t="str">
        <f>IF(AND($R292&gt;0,données_step[[#This Row],[E_COT]]&gt;0),données_step[[#This Row],[E_COT]],"")</f>
        <v/>
      </c>
      <c r="Z292" s="523" t="str">
        <f>IF(Y292="","",(1-données_step[[#This Row],[E_COT]]/$AB$7)*100)</f>
        <v/>
      </c>
      <c r="AA292" s="523" t="str">
        <f t="shared" si="68"/>
        <v/>
      </c>
      <c r="AB292" s="523" t="str">
        <f t="shared" si="69"/>
        <v/>
      </c>
      <c r="AC292" s="523" t="str">
        <f t="shared" si="70"/>
        <v/>
      </c>
      <c r="AD292" s="523" t="e">
        <f>IF(((100-100/$AB$7*données_step[[#This Row],[E_COT]])/100*QTS)&lt;0,NA(),IF(OR(AA292&lt;0,AA292=""),NA(),((100-100/$AB$7*données_step[[#This Row],[E_COT]])/100*QTS)))</f>
        <v>#NUM!</v>
      </c>
      <c r="AE292" s="523" t="str">
        <f>IF(AND($R292&gt;0,données_step[[#This Row],[E_NH4]]&gt;0),données_step[[#This Row],[E_NH4]],"")</f>
        <v/>
      </c>
      <c r="AF292" s="523" t="str">
        <f>IF(AE292="","",(1-données_step[[#This Row],[E_NH4]]/$AH$7)*100)</f>
        <v/>
      </c>
      <c r="AG292" s="523" t="str">
        <f t="shared" si="71"/>
        <v/>
      </c>
      <c r="AH292" s="523" t="str">
        <f t="shared" si="72"/>
        <v/>
      </c>
      <c r="AI292" s="523" t="str">
        <f t="shared" si="73"/>
        <v/>
      </c>
      <c r="AJ292" s="523" t="e">
        <f>IF(((100-100/$AH$7*données_step[[#This Row],[E_NH4]])/100*QTS)&lt;0,NA(),IF(OR(AG292&lt;0,AG292=""),NA(),((100-100/$AH$7*données_step[[#This Row],[E_NH4]])/100*QTS)))</f>
        <v>#NUM!</v>
      </c>
      <c r="AK292" s="523" t="str">
        <f>IF(AND($R292&gt;0,données_step[[#This Row],[E_PTOT]]&gt;0),données_step[[#This Row],[E_PTOT]],"")</f>
        <v/>
      </c>
      <c r="AL292" s="523" t="str">
        <f>IF(AK292="","",(1-données_step[[#This Row],[E_PTOT]]/$AN$7)*100)</f>
        <v/>
      </c>
      <c r="AM292" s="523" t="str">
        <f t="shared" si="74"/>
        <v/>
      </c>
      <c r="AN292" s="523" t="str">
        <f t="shared" si="75"/>
        <v/>
      </c>
      <c r="AO292" s="523" t="str">
        <f t="shared" si="76"/>
        <v/>
      </c>
      <c r="AP292" s="523" t="e">
        <f>IF(((100-100/$AN$7*données_step[[#This Row],[E_PTOT]])/100*QTS)&lt;0,NA(),IF(OR(AM292&lt;0,AM292=""),NA(),((100-100/$AN$7*données_step[[#This Row],[E_PTOT]])/100*QTS)))</f>
        <v>#NUM!</v>
      </c>
      <c r="AQ292" s="524" t="e">
        <f t="shared" si="77"/>
        <v>#NUM!</v>
      </c>
      <c r="AR292" s="524" t="str">
        <f t="shared" si="78"/>
        <v/>
      </c>
      <c r="AY292" s="523" t="str">
        <f>_xlfn.IFNA(IF(données_step[[#This Row],[E_DCO]]&lt;=0,NA(),charge_entree[[#This Row],[ch_E_DCO]]/constanten!$B$8*1000),"")</f>
        <v/>
      </c>
      <c r="AZ292" s="523" t="str">
        <f>_xlfn.IFNA(IF(données_step[[#This Row],[E_NTOT]]&lt;=0,NA(),charge_entree[[#This Row],[ch_E_NTOT]]/constanten!$B$10*1000),"")</f>
        <v/>
      </c>
      <c r="BA292" s="523" t="str">
        <f>_xlfn.IFNA(IF(données_step[[#This Row],[E_NH4]]&lt;=0,NA(),charge_entree[[#This Row],[ch_E_NH4]]/constanten!$B$12*1000),"")</f>
        <v/>
      </c>
      <c r="BB292" s="523" t="str">
        <f>_xlfn.IFNA(IF(données_step[[#This Row],[E_COT]]&lt;=0,NA(),charge_entree[[#This Row],[ch_E_COT]]/constanten!$B$9*1000),"")</f>
        <v/>
      </c>
      <c r="BC292" s="523" t="str">
        <f>IFERROR(_xlfn.IFNA(IF(données_step[[#This Row],[E_PTOT]]&lt;=0,NA(),charge_entree[[#This Row],[ch_E_PTOT]]/constanten!$B$15*1000),""),"")</f>
        <v/>
      </c>
      <c r="BD292" s="535" t="e">
        <f>calculs!E292 * (1-0.4) / (données_step[[#This Row],[X_BA_VOL]]*données_step[[#This Row],[X_BACONC]])</f>
        <v>#VALUE!</v>
      </c>
      <c r="BE292" s="522" t="e">
        <f>(données_step[[#This Row],[X_BA_VOL]]*données_step[[#This Row],[X_BACONC]])/((données_step[[#This Row],[D_QTRAI2]]*données_step[[#This Row],[S_MES]]/1000)+(données_step[[#This Row],[X_BX_Q]]*données_step[[#This Row],[X_BXCONC]]))</f>
        <v>#VALUE!</v>
      </c>
      <c r="BF292" s="890" t="str">
        <f>IFERROR(données_step[[#This Row],[D_QTRAI]]/AY292*1000,"")</f>
        <v/>
      </c>
      <c r="BG292" s="535" t="str">
        <f>IFERROR(1-données_step[[#This Row],[S_DBO5]]/données_step[[#This Row],[E_DBO5]],"")</f>
        <v/>
      </c>
      <c r="BH292" s="536" t="str">
        <f>IFERROR(1-données_step[[#This Row],[S_DCO]]/données_step[[#This Row],[E_DCO]],"")</f>
        <v/>
      </c>
      <c r="BI292" s="535" t="str">
        <f>IFERROR(1-données_step[[#This Row],[S_COD]]/données_step[[#This Row],[E_COT]],"")</f>
        <v/>
      </c>
      <c r="BJ292" s="535" t="str">
        <f>IFERROR(1-données_step[[#This Row],[S_NH4]]/données_step[[#This Row],[E_NTOT]],"")</f>
        <v/>
      </c>
      <c r="BK292" s="535" t="str">
        <f>IFERROR(1-données_step[[#This Row],[S_PTOT]]/données_step[[#This Row],[E_PTOT]],"")</f>
        <v/>
      </c>
      <c r="BL292" s="521" t="str">
        <f>IFERROR(IF(données_step[[#This Row],[E_DCO]]/données_step[[#This Row],[E_DBO5]]=0,NA(),données_step[[#This Row],[E_DCO]]/données_step[[#This Row],[E_DBO5]]),"")</f>
        <v/>
      </c>
      <c r="BM292" s="521" t="str">
        <f>IFERROR(IF(données_step[[#This Row],[E_NH4]]/données_step[[#This Row],[E_NTOT]]=0,NA(),données_step[[#This Row],[E_NH4]]/données_step[[#This Row],[E_NTOT]]),"")</f>
        <v/>
      </c>
      <c r="BN292" s="521" t="str">
        <f>IFERROR(IF(données_step[[#This Row],[E_NTOT]]/données_step[[#This Row],[E_COT]]=0,NA(),données_step[[#This Row],[E_NTOT]]/données_step[[#This Row],[E_COT]]),"")</f>
        <v/>
      </c>
      <c r="BO292" s="521" t="str">
        <f>IFERROR(IF(données_step[[#This Row],[E_PTOT]]/données_step[[#This Row],[E_COT]]=0,NA(),données_step[[#This Row],[E_PTOT]]/données_step[[#This Row],[E_COT]]),"")</f>
        <v/>
      </c>
      <c r="BP292" s="521" t="e">
        <f>IF(données_step[[#This Row],[E_DCO]]/données_step[[#This Row],[E_COT]]=0,NA(),données_step[[#This Row],[E_DCO]]/données_step[[#This Row],[E_COT]])</f>
        <v>#DIV/0!</v>
      </c>
      <c r="BQ292" s="521" t="e">
        <f>IF(données_step[[#This Row],[E_NTOT]]/données_step[[#This Row],[E_DCO]]=0,NA(),données_step[[#This Row],[E_NTOT]]/données_step[[#This Row],[E_DCO]])</f>
        <v>#DIV/0!</v>
      </c>
      <c r="BR292" s="521" t="e">
        <f>IF(données_step[[#This Row],[E_PTOT]]/données_step[[#This Row],[E_DCO]]=0,NA(),données_step[[#This Row],[E_PTOT]]/données_step[[#This Row],[E_DCO]])</f>
        <v>#DIV/0!</v>
      </c>
      <c r="BS292" s="747" t="e">
        <f ca="1">test_NH4_temp(données_step[[#This Row],[S_NH4]],données_step[[#This Row],[Temp_eaux]])</f>
        <v>#NAME?</v>
      </c>
    </row>
    <row r="293" spans="1:71" x14ac:dyDescent="0.2">
      <c r="A293" s="222">
        <f>données_step[[#This Row],[Datum]]</f>
        <v>44844</v>
      </c>
      <c r="B293" s="223"/>
      <c r="C293" s="224">
        <f t="shared" si="79"/>
        <v>2</v>
      </c>
      <c r="D293" s="523" t="str">
        <f>IF(OR(données_step[[#This Row],[E_DBO5]]&lt;=0,données_step[[#This Row],[E_DBO5]]=""),"",données_step[[#This Row],[D_QTRAI]]*données_step[[#This Row],[E_DBO5]]/1000)</f>
        <v/>
      </c>
      <c r="E293" s="523" t="str">
        <f>IF(OR(données_step[[#This Row],[E_DCO]]&lt;=0,données_step[[#This Row],[E_DCO]]=""),"",données_step[[#This Row],[D_QTRAI]]*données_step[[#This Row],[E_DCO]]/1000)</f>
        <v/>
      </c>
      <c r="F293" s="523" t="str">
        <f>IF(OR(données_step[[#This Row],[E_COT]]&lt;=0,données_step[[#This Row],[E_COT]]=""),"",données_step[[#This Row],[D_QTRAI]]*données_step[[#This Row],[E_COT]]/1000)</f>
        <v/>
      </c>
      <c r="G293" s="523" t="str">
        <f>IF(OR(données_step[[#This Row],[E_NH4]]&lt;=0,données_step[[#This Row],[E_NH4]]=""),"",données_step[[#This Row],[D_QTRAI]]*données_step[[#This Row],[E_NH4]]/1000)</f>
        <v/>
      </c>
      <c r="H293" s="523" t="str">
        <f>IF(OR(données_step[[#This Row],[E_NTOT]]&lt;=0,données_step[[#This Row],[E_NTOT]]=""),"",données_step[[#This Row],[D_QTRAI]]*données_step[[#This Row],[E_NTOT]]/1000)</f>
        <v/>
      </c>
      <c r="I293" s="523" t="str">
        <f>IF(OR(données_step[[#This Row],[E_NTOT]]&lt;=0,données_step[[#This Row],[E_NTOT]]=""),"",données_step[[#This Row],[D_QTRAI]]*données_step[[#This Row],[E_PTOT]]/1000)</f>
        <v/>
      </c>
      <c r="J293" s="523" t="str">
        <f>IF(OR(données_step[[#This Row],[S_DBO5]]&lt;=0,données_step[[#This Row],[S_DBO5]]=""),"",données_step[[#This Row],[D_QTRAI]]*données_step[[#This Row],[S_DBO5]]/1000)</f>
        <v/>
      </c>
      <c r="K293" s="523" t="str">
        <f>IF(OR(données_step[[#This Row],[S_DCO]]&lt;=0,données_step[[#This Row],[S_DCO]]=""),"",données_step[[#This Row],[D_QTRAI]]*données_step[[#This Row],[S_DCO]]/1000)</f>
        <v/>
      </c>
      <c r="L293" s="523" t="str">
        <f>IF(OR(données_step[[#This Row],[S_COD]]&lt;=0,données_step[[#This Row],[S_COD]]=""),"",données_step[[#This Row],[D_QTRAI]]*données_step[[#This Row],[S_COD]]/1000)</f>
        <v/>
      </c>
      <c r="M293" s="523" t="str">
        <f>IF(OR(données_step[[#This Row],[S_NH4]]&lt;=0,données_step[[#This Row],[S_NH4]]=""),"",données_step[[#This Row],[D_QTRAI]]*données_step[[#This Row],[S_NH4]]/1000)</f>
        <v/>
      </c>
      <c r="N293" s="523" t="str">
        <f>IF(OR(données_step[[#This Row],[S_NO2]]&lt;=0,données_step[[#This Row],[S_NO2]]=""),"",données_step[[#This Row],[D_QTRAI]]*données_step[[#This Row],[S_NO2]]/1000)</f>
        <v/>
      </c>
      <c r="O293" s="523" t="str">
        <f>IF(OR(données_step[[#This Row],[S_NO3]]&lt;=0,données_step[[#This Row],[S_NO3]]=""),"",données_step[[#This Row],[D_QTRAI]]*données_step[[#This Row],[S_NO3]]/1000)</f>
        <v/>
      </c>
      <c r="P293" s="523" t="str">
        <f>IF(OR(données_step[[#This Row],[S_PTOT]]&lt;=0,données_step[[#This Row],[S_PTOT]]=""),"",données_step[[#This Row],[D_QTRAI]]*données_step[[#This Row],[S_PTOT]]/1000)</f>
        <v/>
      </c>
      <c r="Q293" s="523" t="str">
        <f>IF(OR(données_step[[#This Row],[S_MES]]&lt;=0,données_step[[#This Row],[S_MES]]=""),"",données_step[[#This Row],[D_QTRAI]]*données_step[[#This Row],[S_MES]]/1000)</f>
        <v/>
      </c>
      <c r="R293" s="523">
        <f>MAX(données_step[[#This Row],[D_QTRAI]],données_step[[#This Row],[D_QTRAI2]])</f>
        <v>0</v>
      </c>
      <c r="S293" s="523" t="str">
        <f>IF(AND($R293&gt;0,données_step[[#This Row],[E_DCO]]&gt;0),données_step[[#This Row],[E_DCO]],"")</f>
        <v/>
      </c>
      <c r="T293" s="523" t="str">
        <f>IF(S293="","",(1-données_step[[#This Row],[E_DCO]]/$V$7)*100)</f>
        <v/>
      </c>
      <c r="U293" s="523" t="str">
        <f t="shared" si="65"/>
        <v/>
      </c>
      <c r="V293" s="523" t="str">
        <f t="shared" si="66"/>
        <v/>
      </c>
      <c r="W293" s="523" t="str">
        <f t="shared" si="67"/>
        <v/>
      </c>
      <c r="X293" s="523" t="e">
        <f>IF(((100-100/$V$7*données_step[[#This Row],[E_DCO]])/100*QTS)&lt;0,NA(),IF(OR(U293&lt;0,U293=""),NA(),((100-100/$V$7*données_step[[#This Row],[E_DCO]])/100*QTS)))</f>
        <v>#NUM!</v>
      </c>
      <c r="Y293" s="523" t="str">
        <f>IF(AND($R293&gt;0,données_step[[#This Row],[E_COT]]&gt;0),données_step[[#This Row],[E_COT]],"")</f>
        <v/>
      </c>
      <c r="Z293" s="523" t="str">
        <f>IF(Y293="","",(1-données_step[[#This Row],[E_COT]]/$AB$7)*100)</f>
        <v/>
      </c>
      <c r="AA293" s="523" t="str">
        <f t="shared" si="68"/>
        <v/>
      </c>
      <c r="AB293" s="523" t="str">
        <f t="shared" si="69"/>
        <v/>
      </c>
      <c r="AC293" s="523" t="str">
        <f t="shared" si="70"/>
        <v/>
      </c>
      <c r="AD293" s="523" t="e">
        <f>IF(((100-100/$AB$7*données_step[[#This Row],[E_COT]])/100*QTS)&lt;0,NA(),IF(OR(AA293&lt;0,AA293=""),NA(),((100-100/$AB$7*données_step[[#This Row],[E_COT]])/100*QTS)))</f>
        <v>#NUM!</v>
      </c>
      <c r="AE293" s="523" t="str">
        <f>IF(AND($R293&gt;0,données_step[[#This Row],[E_NH4]]&gt;0),données_step[[#This Row],[E_NH4]],"")</f>
        <v/>
      </c>
      <c r="AF293" s="523" t="str">
        <f>IF(AE293="","",(1-données_step[[#This Row],[E_NH4]]/$AH$7)*100)</f>
        <v/>
      </c>
      <c r="AG293" s="523" t="str">
        <f t="shared" si="71"/>
        <v/>
      </c>
      <c r="AH293" s="523" t="str">
        <f t="shared" si="72"/>
        <v/>
      </c>
      <c r="AI293" s="523" t="str">
        <f t="shared" si="73"/>
        <v/>
      </c>
      <c r="AJ293" s="523" t="e">
        <f>IF(((100-100/$AH$7*données_step[[#This Row],[E_NH4]])/100*QTS)&lt;0,NA(),IF(OR(AG293&lt;0,AG293=""),NA(),((100-100/$AH$7*données_step[[#This Row],[E_NH4]])/100*QTS)))</f>
        <v>#NUM!</v>
      </c>
      <c r="AK293" s="523" t="str">
        <f>IF(AND($R293&gt;0,données_step[[#This Row],[E_PTOT]]&gt;0),données_step[[#This Row],[E_PTOT]],"")</f>
        <v/>
      </c>
      <c r="AL293" s="523" t="str">
        <f>IF(AK293="","",(1-données_step[[#This Row],[E_PTOT]]/$AN$7)*100)</f>
        <v/>
      </c>
      <c r="AM293" s="523" t="str">
        <f t="shared" si="74"/>
        <v/>
      </c>
      <c r="AN293" s="523" t="str">
        <f t="shared" si="75"/>
        <v/>
      </c>
      <c r="AO293" s="523" t="str">
        <f t="shared" si="76"/>
        <v/>
      </c>
      <c r="AP293" s="523" t="e">
        <f>IF(((100-100/$AN$7*données_step[[#This Row],[E_PTOT]])/100*QTS)&lt;0,NA(),IF(OR(AM293&lt;0,AM293=""),NA(),((100-100/$AN$7*données_step[[#This Row],[E_PTOT]])/100*QTS)))</f>
        <v>#NUM!</v>
      </c>
      <c r="AQ293" s="524" t="e">
        <f t="shared" si="77"/>
        <v>#NUM!</v>
      </c>
      <c r="AR293" s="524" t="str">
        <f t="shared" si="78"/>
        <v/>
      </c>
      <c r="AY293" s="523" t="str">
        <f>_xlfn.IFNA(IF(données_step[[#This Row],[E_DCO]]&lt;=0,NA(),charge_entree[[#This Row],[ch_E_DCO]]/constanten!$B$8*1000),"")</f>
        <v/>
      </c>
      <c r="AZ293" s="523" t="str">
        <f>_xlfn.IFNA(IF(données_step[[#This Row],[E_NTOT]]&lt;=0,NA(),charge_entree[[#This Row],[ch_E_NTOT]]/constanten!$B$10*1000),"")</f>
        <v/>
      </c>
      <c r="BA293" s="523" t="str">
        <f>_xlfn.IFNA(IF(données_step[[#This Row],[E_NH4]]&lt;=0,NA(),charge_entree[[#This Row],[ch_E_NH4]]/constanten!$B$12*1000),"")</f>
        <v/>
      </c>
      <c r="BB293" s="523" t="str">
        <f>_xlfn.IFNA(IF(données_step[[#This Row],[E_COT]]&lt;=0,NA(),charge_entree[[#This Row],[ch_E_COT]]/constanten!$B$9*1000),"")</f>
        <v/>
      </c>
      <c r="BC293" s="523" t="str">
        <f>IFERROR(_xlfn.IFNA(IF(données_step[[#This Row],[E_PTOT]]&lt;=0,NA(),charge_entree[[#This Row],[ch_E_PTOT]]/constanten!$B$15*1000),""),"")</f>
        <v/>
      </c>
      <c r="BD293" s="535" t="e">
        <f>calculs!E293 * (1-0.4) / (données_step[[#This Row],[X_BA_VOL]]*données_step[[#This Row],[X_BACONC]])</f>
        <v>#VALUE!</v>
      </c>
      <c r="BE293" s="522" t="e">
        <f>(données_step[[#This Row],[X_BA_VOL]]*données_step[[#This Row],[X_BACONC]])/((données_step[[#This Row],[D_QTRAI2]]*données_step[[#This Row],[S_MES]]/1000)+(données_step[[#This Row],[X_BX_Q]]*données_step[[#This Row],[X_BXCONC]]))</f>
        <v>#VALUE!</v>
      </c>
      <c r="BF293" s="890" t="str">
        <f>IFERROR(données_step[[#This Row],[D_QTRAI]]/AY293*1000,"")</f>
        <v/>
      </c>
      <c r="BG293" s="535" t="str">
        <f>IFERROR(1-données_step[[#This Row],[S_DBO5]]/données_step[[#This Row],[E_DBO5]],"")</f>
        <v/>
      </c>
      <c r="BH293" s="536" t="str">
        <f>IFERROR(1-données_step[[#This Row],[S_DCO]]/données_step[[#This Row],[E_DCO]],"")</f>
        <v/>
      </c>
      <c r="BI293" s="535" t="str">
        <f>IFERROR(1-données_step[[#This Row],[S_COD]]/données_step[[#This Row],[E_COT]],"")</f>
        <v/>
      </c>
      <c r="BJ293" s="535" t="str">
        <f>IFERROR(1-données_step[[#This Row],[S_NH4]]/données_step[[#This Row],[E_NTOT]],"")</f>
        <v/>
      </c>
      <c r="BK293" s="535" t="str">
        <f>IFERROR(1-données_step[[#This Row],[S_PTOT]]/données_step[[#This Row],[E_PTOT]],"")</f>
        <v/>
      </c>
      <c r="BL293" s="521" t="str">
        <f>IFERROR(IF(données_step[[#This Row],[E_DCO]]/données_step[[#This Row],[E_DBO5]]=0,NA(),données_step[[#This Row],[E_DCO]]/données_step[[#This Row],[E_DBO5]]),"")</f>
        <v/>
      </c>
      <c r="BM293" s="521" t="str">
        <f>IFERROR(IF(données_step[[#This Row],[E_NH4]]/données_step[[#This Row],[E_NTOT]]=0,NA(),données_step[[#This Row],[E_NH4]]/données_step[[#This Row],[E_NTOT]]),"")</f>
        <v/>
      </c>
      <c r="BN293" s="521" t="str">
        <f>IFERROR(IF(données_step[[#This Row],[E_NTOT]]/données_step[[#This Row],[E_COT]]=0,NA(),données_step[[#This Row],[E_NTOT]]/données_step[[#This Row],[E_COT]]),"")</f>
        <v/>
      </c>
      <c r="BO293" s="521" t="str">
        <f>IFERROR(IF(données_step[[#This Row],[E_PTOT]]/données_step[[#This Row],[E_COT]]=0,NA(),données_step[[#This Row],[E_PTOT]]/données_step[[#This Row],[E_COT]]),"")</f>
        <v/>
      </c>
      <c r="BP293" s="521" t="e">
        <f>IF(données_step[[#This Row],[E_DCO]]/données_step[[#This Row],[E_COT]]=0,NA(),données_step[[#This Row],[E_DCO]]/données_step[[#This Row],[E_COT]])</f>
        <v>#DIV/0!</v>
      </c>
      <c r="BQ293" s="521" t="e">
        <f>IF(données_step[[#This Row],[E_NTOT]]/données_step[[#This Row],[E_DCO]]=0,NA(),données_step[[#This Row],[E_NTOT]]/données_step[[#This Row],[E_DCO]])</f>
        <v>#DIV/0!</v>
      </c>
      <c r="BR293" s="521" t="e">
        <f>IF(données_step[[#This Row],[E_PTOT]]/données_step[[#This Row],[E_DCO]]=0,NA(),données_step[[#This Row],[E_PTOT]]/données_step[[#This Row],[E_DCO]])</f>
        <v>#DIV/0!</v>
      </c>
      <c r="BS293" s="747" t="e">
        <f ca="1">test_NH4_temp(données_step[[#This Row],[S_NH4]],données_step[[#This Row],[Temp_eaux]])</f>
        <v>#NAME?</v>
      </c>
    </row>
    <row r="294" spans="1:71" x14ac:dyDescent="0.2">
      <c r="A294" s="222">
        <f>données_step[[#This Row],[Datum]]</f>
        <v>44845</v>
      </c>
      <c r="B294" s="223"/>
      <c r="C294" s="224">
        <f t="shared" si="79"/>
        <v>3</v>
      </c>
      <c r="D294" s="523" t="str">
        <f>IF(OR(données_step[[#This Row],[E_DBO5]]&lt;=0,données_step[[#This Row],[E_DBO5]]=""),"",données_step[[#This Row],[D_QTRAI]]*données_step[[#This Row],[E_DBO5]]/1000)</f>
        <v/>
      </c>
      <c r="E294" s="523" t="str">
        <f>IF(OR(données_step[[#This Row],[E_DCO]]&lt;=0,données_step[[#This Row],[E_DCO]]=""),"",données_step[[#This Row],[D_QTRAI]]*données_step[[#This Row],[E_DCO]]/1000)</f>
        <v/>
      </c>
      <c r="F294" s="523" t="str">
        <f>IF(OR(données_step[[#This Row],[E_COT]]&lt;=0,données_step[[#This Row],[E_COT]]=""),"",données_step[[#This Row],[D_QTRAI]]*données_step[[#This Row],[E_COT]]/1000)</f>
        <v/>
      </c>
      <c r="G294" s="523" t="str">
        <f>IF(OR(données_step[[#This Row],[E_NH4]]&lt;=0,données_step[[#This Row],[E_NH4]]=""),"",données_step[[#This Row],[D_QTRAI]]*données_step[[#This Row],[E_NH4]]/1000)</f>
        <v/>
      </c>
      <c r="H294" s="523" t="str">
        <f>IF(OR(données_step[[#This Row],[E_NTOT]]&lt;=0,données_step[[#This Row],[E_NTOT]]=""),"",données_step[[#This Row],[D_QTRAI]]*données_step[[#This Row],[E_NTOT]]/1000)</f>
        <v/>
      </c>
      <c r="I294" s="523" t="str">
        <f>IF(OR(données_step[[#This Row],[E_NTOT]]&lt;=0,données_step[[#This Row],[E_NTOT]]=""),"",données_step[[#This Row],[D_QTRAI]]*données_step[[#This Row],[E_PTOT]]/1000)</f>
        <v/>
      </c>
      <c r="J294" s="523" t="str">
        <f>IF(OR(données_step[[#This Row],[S_DBO5]]&lt;=0,données_step[[#This Row],[S_DBO5]]=""),"",données_step[[#This Row],[D_QTRAI]]*données_step[[#This Row],[S_DBO5]]/1000)</f>
        <v/>
      </c>
      <c r="K294" s="523" t="str">
        <f>IF(OR(données_step[[#This Row],[S_DCO]]&lt;=0,données_step[[#This Row],[S_DCO]]=""),"",données_step[[#This Row],[D_QTRAI]]*données_step[[#This Row],[S_DCO]]/1000)</f>
        <v/>
      </c>
      <c r="L294" s="523" t="str">
        <f>IF(OR(données_step[[#This Row],[S_COD]]&lt;=0,données_step[[#This Row],[S_COD]]=""),"",données_step[[#This Row],[D_QTRAI]]*données_step[[#This Row],[S_COD]]/1000)</f>
        <v/>
      </c>
      <c r="M294" s="523" t="str">
        <f>IF(OR(données_step[[#This Row],[S_NH4]]&lt;=0,données_step[[#This Row],[S_NH4]]=""),"",données_step[[#This Row],[D_QTRAI]]*données_step[[#This Row],[S_NH4]]/1000)</f>
        <v/>
      </c>
      <c r="N294" s="523" t="str">
        <f>IF(OR(données_step[[#This Row],[S_NO2]]&lt;=0,données_step[[#This Row],[S_NO2]]=""),"",données_step[[#This Row],[D_QTRAI]]*données_step[[#This Row],[S_NO2]]/1000)</f>
        <v/>
      </c>
      <c r="O294" s="523" t="str">
        <f>IF(OR(données_step[[#This Row],[S_NO3]]&lt;=0,données_step[[#This Row],[S_NO3]]=""),"",données_step[[#This Row],[D_QTRAI]]*données_step[[#This Row],[S_NO3]]/1000)</f>
        <v/>
      </c>
      <c r="P294" s="523" t="str">
        <f>IF(OR(données_step[[#This Row],[S_PTOT]]&lt;=0,données_step[[#This Row],[S_PTOT]]=""),"",données_step[[#This Row],[D_QTRAI]]*données_step[[#This Row],[S_PTOT]]/1000)</f>
        <v/>
      </c>
      <c r="Q294" s="523" t="str">
        <f>IF(OR(données_step[[#This Row],[S_MES]]&lt;=0,données_step[[#This Row],[S_MES]]=""),"",données_step[[#This Row],[D_QTRAI]]*données_step[[#This Row],[S_MES]]/1000)</f>
        <v/>
      </c>
      <c r="R294" s="523">
        <f>MAX(données_step[[#This Row],[D_QTRAI]],données_step[[#This Row],[D_QTRAI2]])</f>
        <v>0</v>
      </c>
      <c r="S294" s="523" t="str">
        <f>IF(AND($R294&gt;0,données_step[[#This Row],[E_DCO]]&gt;0),données_step[[#This Row],[E_DCO]],"")</f>
        <v/>
      </c>
      <c r="T294" s="523" t="str">
        <f>IF(S294="","",(1-données_step[[#This Row],[E_DCO]]/$V$7)*100)</f>
        <v/>
      </c>
      <c r="U294" s="523" t="str">
        <f t="shared" si="65"/>
        <v/>
      </c>
      <c r="V294" s="523" t="str">
        <f t="shared" si="66"/>
        <v/>
      </c>
      <c r="W294" s="523" t="str">
        <f t="shared" si="67"/>
        <v/>
      </c>
      <c r="X294" s="523" t="e">
        <f>IF(((100-100/$V$7*données_step[[#This Row],[E_DCO]])/100*QTS)&lt;0,NA(),IF(OR(U294&lt;0,U294=""),NA(),((100-100/$V$7*données_step[[#This Row],[E_DCO]])/100*QTS)))</f>
        <v>#NUM!</v>
      </c>
      <c r="Y294" s="523" t="str">
        <f>IF(AND($R294&gt;0,données_step[[#This Row],[E_COT]]&gt;0),données_step[[#This Row],[E_COT]],"")</f>
        <v/>
      </c>
      <c r="Z294" s="523" t="str">
        <f>IF(Y294="","",(1-données_step[[#This Row],[E_COT]]/$AB$7)*100)</f>
        <v/>
      </c>
      <c r="AA294" s="523" t="str">
        <f t="shared" si="68"/>
        <v/>
      </c>
      <c r="AB294" s="523" t="str">
        <f t="shared" si="69"/>
        <v/>
      </c>
      <c r="AC294" s="523" t="str">
        <f t="shared" si="70"/>
        <v/>
      </c>
      <c r="AD294" s="523" t="e">
        <f>IF(((100-100/$AB$7*données_step[[#This Row],[E_COT]])/100*QTS)&lt;0,NA(),IF(OR(AA294&lt;0,AA294=""),NA(),((100-100/$AB$7*données_step[[#This Row],[E_COT]])/100*QTS)))</f>
        <v>#NUM!</v>
      </c>
      <c r="AE294" s="523" t="str">
        <f>IF(AND($R294&gt;0,données_step[[#This Row],[E_NH4]]&gt;0),données_step[[#This Row],[E_NH4]],"")</f>
        <v/>
      </c>
      <c r="AF294" s="523" t="str">
        <f>IF(AE294="","",(1-données_step[[#This Row],[E_NH4]]/$AH$7)*100)</f>
        <v/>
      </c>
      <c r="AG294" s="523" t="str">
        <f t="shared" si="71"/>
        <v/>
      </c>
      <c r="AH294" s="523" t="str">
        <f t="shared" si="72"/>
        <v/>
      </c>
      <c r="AI294" s="523" t="str">
        <f t="shared" si="73"/>
        <v/>
      </c>
      <c r="AJ294" s="523" t="e">
        <f>IF(((100-100/$AH$7*données_step[[#This Row],[E_NH4]])/100*QTS)&lt;0,NA(),IF(OR(AG294&lt;0,AG294=""),NA(),((100-100/$AH$7*données_step[[#This Row],[E_NH4]])/100*QTS)))</f>
        <v>#NUM!</v>
      </c>
      <c r="AK294" s="523" t="str">
        <f>IF(AND($R294&gt;0,données_step[[#This Row],[E_PTOT]]&gt;0),données_step[[#This Row],[E_PTOT]],"")</f>
        <v/>
      </c>
      <c r="AL294" s="523" t="str">
        <f>IF(AK294="","",(1-données_step[[#This Row],[E_PTOT]]/$AN$7)*100)</f>
        <v/>
      </c>
      <c r="AM294" s="523" t="str">
        <f t="shared" si="74"/>
        <v/>
      </c>
      <c r="AN294" s="523" t="str">
        <f t="shared" si="75"/>
        <v/>
      </c>
      <c r="AO294" s="523" t="str">
        <f t="shared" si="76"/>
        <v/>
      </c>
      <c r="AP294" s="523" t="e">
        <f>IF(((100-100/$AN$7*données_step[[#This Row],[E_PTOT]])/100*QTS)&lt;0,NA(),IF(OR(AM294&lt;0,AM294=""),NA(),((100-100/$AN$7*données_step[[#This Row],[E_PTOT]])/100*QTS)))</f>
        <v>#NUM!</v>
      </c>
      <c r="AQ294" s="524" t="e">
        <f t="shared" si="77"/>
        <v>#NUM!</v>
      </c>
      <c r="AR294" s="524" t="str">
        <f t="shared" si="78"/>
        <v/>
      </c>
      <c r="AY294" s="523" t="str">
        <f>_xlfn.IFNA(IF(données_step[[#This Row],[E_DCO]]&lt;=0,NA(),charge_entree[[#This Row],[ch_E_DCO]]/constanten!$B$8*1000),"")</f>
        <v/>
      </c>
      <c r="AZ294" s="523" t="str">
        <f>_xlfn.IFNA(IF(données_step[[#This Row],[E_NTOT]]&lt;=0,NA(),charge_entree[[#This Row],[ch_E_NTOT]]/constanten!$B$10*1000),"")</f>
        <v/>
      </c>
      <c r="BA294" s="523" t="str">
        <f>_xlfn.IFNA(IF(données_step[[#This Row],[E_NH4]]&lt;=0,NA(),charge_entree[[#This Row],[ch_E_NH4]]/constanten!$B$12*1000),"")</f>
        <v/>
      </c>
      <c r="BB294" s="523" t="str">
        <f>_xlfn.IFNA(IF(données_step[[#This Row],[E_COT]]&lt;=0,NA(),charge_entree[[#This Row],[ch_E_COT]]/constanten!$B$9*1000),"")</f>
        <v/>
      </c>
      <c r="BC294" s="523" t="str">
        <f>IFERROR(_xlfn.IFNA(IF(données_step[[#This Row],[E_PTOT]]&lt;=0,NA(),charge_entree[[#This Row],[ch_E_PTOT]]/constanten!$B$15*1000),""),"")</f>
        <v/>
      </c>
      <c r="BD294" s="535" t="e">
        <f>calculs!E294 * (1-0.4) / (données_step[[#This Row],[X_BA_VOL]]*données_step[[#This Row],[X_BACONC]])</f>
        <v>#VALUE!</v>
      </c>
      <c r="BE294" s="522" t="e">
        <f>(données_step[[#This Row],[X_BA_VOL]]*données_step[[#This Row],[X_BACONC]])/((données_step[[#This Row],[D_QTRAI2]]*données_step[[#This Row],[S_MES]]/1000)+(données_step[[#This Row],[X_BX_Q]]*données_step[[#This Row],[X_BXCONC]]))</f>
        <v>#VALUE!</v>
      </c>
      <c r="BF294" s="890" t="str">
        <f>IFERROR(données_step[[#This Row],[D_QTRAI]]/AY294*1000,"")</f>
        <v/>
      </c>
      <c r="BG294" s="535" t="str">
        <f>IFERROR(1-données_step[[#This Row],[S_DBO5]]/données_step[[#This Row],[E_DBO5]],"")</f>
        <v/>
      </c>
      <c r="BH294" s="536" t="str">
        <f>IFERROR(1-données_step[[#This Row],[S_DCO]]/données_step[[#This Row],[E_DCO]],"")</f>
        <v/>
      </c>
      <c r="BI294" s="535" t="str">
        <f>IFERROR(1-données_step[[#This Row],[S_COD]]/données_step[[#This Row],[E_COT]],"")</f>
        <v/>
      </c>
      <c r="BJ294" s="535" t="str">
        <f>IFERROR(1-données_step[[#This Row],[S_NH4]]/données_step[[#This Row],[E_NTOT]],"")</f>
        <v/>
      </c>
      <c r="BK294" s="535" t="str">
        <f>IFERROR(1-données_step[[#This Row],[S_PTOT]]/données_step[[#This Row],[E_PTOT]],"")</f>
        <v/>
      </c>
      <c r="BL294" s="521" t="str">
        <f>IFERROR(IF(données_step[[#This Row],[E_DCO]]/données_step[[#This Row],[E_DBO5]]=0,NA(),données_step[[#This Row],[E_DCO]]/données_step[[#This Row],[E_DBO5]]),"")</f>
        <v/>
      </c>
      <c r="BM294" s="521" t="str">
        <f>IFERROR(IF(données_step[[#This Row],[E_NH4]]/données_step[[#This Row],[E_NTOT]]=0,NA(),données_step[[#This Row],[E_NH4]]/données_step[[#This Row],[E_NTOT]]),"")</f>
        <v/>
      </c>
      <c r="BN294" s="521" t="str">
        <f>IFERROR(IF(données_step[[#This Row],[E_NTOT]]/données_step[[#This Row],[E_COT]]=0,NA(),données_step[[#This Row],[E_NTOT]]/données_step[[#This Row],[E_COT]]),"")</f>
        <v/>
      </c>
      <c r="BO294" s="521" t="str">
        <f>IFERROR(IF(données_step[[#This Row],[E_PTOT]]/données_step[[#This Row],[E_COT]]=0,NA(),données_step[[#This Row],[E_PTOT]]/données_step[[#This Row],[E_COT]]),"")</f>
        <v/>
      </c>
      <c r="BP294" s="521" t="e">
        <f>IF(données_step[[#This Row],[E_DCO]]/données_step[[#This Row],[E_COT]]=0,NA(),données_step[[#This Row],[E_DCO]]/données_step[[#This Row],[E_COT]])</f>
        <v>#DIV/0!</v>
      </c>
      <c r="BQ294" s="521" t="e">
        <f>IF(données_step[[#This Row],[E_NTOT]]/données_step[[#This Row],[E_DCO]]=0,NA(),données_step[[#This Row],[E_NTOT]]/données_step[[#This Row],[E_DCO]])</f>
        <v>#DIV/0!</v>
      </c>
      <c r="BR294" s="521" t="e">
        <f>IF(données_step[[#This Row],[E_PTOT]]/données_step[[#This Row],[E_DCO]]=0,NA(),données_step[[#This Row],[E_PTOT]]/données_step[[#This Row],[E_DCO]])</f>
        <v>#DIV/0!</v>
      </c>
      <c r="BS294" s="747" t="e">
        <f ca="1">test_NH4_temp(données_step[[#This Row],[S_NH4]],données_step[[#This Row],[Temp_eaux]])</f>
        <v>#NAME?</v>
      </c>
    </row>
    <row r="295" spans="1:71" x14ac:dyDescent="0.2">
      <c r="A295" s="222">
        <f>données_step[[#This Row],[Datum]]</f>
        <v>44846</v>
      </c>
      <c r="B295" s="223"/>
      <c r="C295" s="224">
        <f t="shared" si="79"/>
        <v>4</v>
      </c>
      <c r="D295" s="523" t="str">
        <f>IF(OR(données_step[[#This Row],[E_DBO5]]&lt;=0,données_step[[#This Row],[E_DBO5]]=""),"",données_step[[#This Row],[D_QTRAI]]*données_step[[#This Row],[E_DBO5]]/1000)</f>
        <v/>
      </c>
      <c r="E295" s="523" t="str">
        <f>IF(OR(données_step[[#This Row],[E_DCO]]&lt;=0,données_step[[#This Row],[E_DCO]]=""),"",données_step[[#This Row],[D_QTRAI]]*données_step[[#This Row],[E_DCO]]/1000)</f>
        <v/>
      </c>
      <c r="F295" s="523" t="str">
        <f>IF(OR(données_step[[#This Row],[E_COT]]&lt;=0,données_step[[#This Row],[E_COT]]=""),"",données_step[[#This Row],[D_QTRAI]]*données_step[[#This Row],[E_COT]]/1000)</f>
        <v/>
      </c>
      <c r="G295" s="523" t="str">
        <f>IF(OR(données_step[[#This Row],[E_NH4]]&lt;=0,données_step[[#This Row],[E_NH4]]=""),"",données_step[[#This Row],[D_QTRAI]]*données_step[[#This Row],[E_NH4]]/1000)</f>
        <v/>
      </c>
      <c r="H295" s="523" t="str">
        <f>IF(OR(données_step[[#This Row],[E_NTOT]]&lt;=0,données_step[[#This Row],[E_NTOT]]=""),"",données_step[[#This Row],[D_QTRAI]]*données_step[[#This Row],[E_NTOT]]/1000)</f>
        <v/>
      </c>
      <c r="I295" s="523" t="str">
        <f>IF(OR(données_step[[#This Row],[E_NTOT]]&lt;=0,données_step[[#This Row],[E_NTOT]]=""),"",données_step[[#This Row],[D_QTRAI]]*données_step[[#This Row],[E_PTOT]]/1000)</f>
        <v/>
      </c>
      <c r="J295" s="523" t="str">
        <f>IF(OR(données_step[[#This Row],[S_DBO5]]&lt;=0,données_step[[#This Row],[S_DBO5]]=""),"",données_step[[#This Row],[D_QTRAI]]*données_step[[#This Row],[S_DBO5]]/1000)</f>
        <v/>
      </c>
      <c r="K295" s="523" t="str">
        <f>IF(OR(données_step[[#This Row],[S_DCO]]&lt;=0,données_step[[#This Row],[S_DCO]]=""),"",données_step[[#This Row],[D_QTRAI]]*données_step[[#This Row],[S_DCO]]/1000)</f>
        <v/>
      </c>
      <c r="L295" s="523" t="str">
        <f>IF(OR(données_step[[#This Row],[S_COD]]&lt;=0,données_step[[#This Row],[S_COD]]=""),"",données_step[[#This Row],[D_QTRAI]]*données_step[[#This Row],[S_COD]]/1000)</f>
        <v/>
      </c>
      <c r="M295" s="523" t="str">
        <f>IF(OR(données_step[[#This Row],[S_NH4]]&lt;=0,données_step[[#This Row],[S_NH4]]=""),"",données_step[[#This Row],[D_QTRAI]]*données_step[[#This Row],[S_NH4]]/1000)</f>
        <v/>
      </c>
      <c r="N295" s="523" t="str">
        <f>IF(OR(données_step[[#This Row],[S_NO2]]&lt;=0,données_step[[#This Row],[S_NO2]]=""),"",données_step[[#This Row],[D_QTRAI]]*données_step[[#This Row],[S_NO2]]/1000)</f>
        <v/>
      </c>
      <c r="O295" s="523" t="str">
        <f>IF(OR(données_step[[#This Row],[S_NO3]]&lt;=0,données_step[[#This Row],[S_NO3]]=""),"",données_step[[#This Row],[D_QTRAI]]*données_step[[#This Row],[S_NO3]]/1000)</f>
        <v/>
      </c>
      <c r="P295" s="523" t="str">
        <f>IF(OR(données_step[[#This Row],[S_PTOT]]&lt;=0,données_step[[#This Row],[S_PTOT]]=""),"",données_step[[#This Row],[D_QTRAI]]*données_step[[#This Row],[S_PTOT]]/1000)</f>
        <v/>
      </c>
      <c r="Q295" s="523" t="str">
        <f>IF(OR(données_step[[#This Row],[S_MES]]&lt;=0,données_step[[#This Row],[S_MES]]=""),"",données_step[[#This Row],[D_QTRAI]]*données_step[[#This Row],[S_MES]]/1000)</f>
        <v/>
      </c>
      <c r="R295" s="523">
        <f>MAX(données_step[[#This Row],[D_QTRAI]],données_step[[#This Row],[D_QTRAI2]])</f>
        <v>0</v>
      </c>
      <c r="S295" s="523" t="str">
        <f>IF(AND($R295&gt;0,données_step[[#This Row],[E_DCO]]&gt;0),données_step[[#This Row],[E_DCO]],"")</f>
        <v/>
      </c>
      <c r="T295" s="523" t="str">
        <f>IF(S295="","",(1-données_step[[#This Row],[E_DCO]]/$V$7)*100)</f>
        <v/>
      </c>
      <c r="U295" s="523" t="str">
        <f t="shared" si="65"/>
        <v/>
      </c>
      <c r="V295" s="523" t="str">
        <f t="shared" si="66"/>
        <v/>
      </c>
      <c r="W295" s="523" t="str">
        <f t="shared" si="67"/>
        <v/>
      </c>
      <c r="X295" s="523" t="e">
        <f>IF(((100-100/$V$7*données_step[[#This Row],[E_DCO]])/100*QTS)&lt;0,NA(),IF(OR(U295&lt;0,U295=""),NA(),((100-100/$V$7*données_step[[#This Row],[E_DCO]])/100*QTS)))</f>
        <v>#NUM!</v>
      </c>
      <c r="Y295" s="523" t="str">
        <f>IF(AND($R295&gt;0,données_step[[#This Row],[E_COT]]&gt;0),données_step[[#This Row],[E_COT]],"")</f>
        <v/>
      </c>
      <c r="Z295" s="523" t="str">
        <f>IF(Y295="","",(1-données_step[[#This Row],[E_COT]]/$AB$7)*100)</f>
        <v/>
      </c>
      <c r="AA295" s="523" t="str">
        <f t="shared" si="68"/>
        <v/>
      </c>
      <c r="AB295" s="523" t="str">
        <f t="shared" si="69"/>
        <v/>
      </c>
      <c r="AC295" s="523" t="str">
        <f t="shared" si="70"/>
        <v/>
      </c>
      <c r="AD295" s="523" t="e">
        <f>IF(((100-100/$AB$7*données_step[[#This Row],[E_COT]])/100*QTS)&lt;0,NA(),IF(OR(AA295&lt;0,AA295=""),NA(),((100-100/$AB$7*données_step[[#This Row],[E_COT]])/100*QTS)))</f>
        <v>#NUM!</v>
      </c>
      <c r="AE295" s="523" t="str">
        <f>IF(AND($R295&gt;0,données_step[[#This Row],[E_NH4]]&gt;0),données_step[[#This Row],[E_NH4]],"")</f>
        <v/>
      </c>
      <c r="AF295" s="523" t="str">
        <f>IF(AE295="","",(1-données_step[[#This Row],[E_NH4]]/$AH$7)*100)</f>
        <v/>
      </c>
      <c r="AG295" s="523" t="str">
        <f t="shared" si="71"/>
        <v/>
      </c>
      <c r="AH295" s="523" t="str">
        <f t="shared" si="72"/>
        <v/>
      </c>
      <c r="AI295" s="523" t="str">
        <f t="shared" si="73"/>
        <v/>
      </c>
      <c r="AJ295" s="523" t="e">
        <f>IF(((100-100/$AH$7*données_step[[#This Row],[E_NH4]])/100*QTS)&lt;0,NA(),IF(OR(AG295&lt;0,AG295=""),NA(),((100-100/$AH$7*données_step[[#This Row],[E_NH4]])/100*QTS)))</f>
        <v>#NUM!</v>
      </c>
      <c r="AK295" s="523" t="str">
        <f>IF(AND($R295&gt;0,données_step[[#This Row],[E_PTOT]]&gt;0),données_step[[#This Row],[E_PTOT]],"")</f>
        <v/>
      </c>
      <c r="AL295" s="523" t="str">
        <f>IF(AK295="","",(1-données_step[[#This Row],[E_PTOT]]/$AN$7)*100)</f>
        <v/>
      </c>
      <c r="AM295" s="523" t="str">
        <f t="shared" si="74"/>
        <v/>
      </c>
      <c r="AN295" s="523" t="str">
        <f t="shared" si="75"/>
        <v/>
      </c>
      <c r="AO295" s="523" t="str">
        <f t="shared" si="76"/>
        <v/>
      </c>
      <c r="AP295" s="523" t="e">
        <f>IF(((100-100/$AN$7*données_step[[#This Row],[E_PTOT]])/100*QTS)&lt;0,NA(),IF(OR(AM295&lt;0,AM295=""),NA(),((100-100/$AN$7*données_step[[#This Row],[E_PTOT]])/100*QTS)))</f>
        <v>#NUM!</v>
      </c>
      <c r="AQ295" s="524" t="e">
        <f t="shared" si="77"/>
        <v>#NUM!</v>
      </c>
      <c r="AR295" s="524" t="str">
        <f t="shared" si="78"/>
        <v/>
      </c>
      <c r="AY295" s="523" t="str">
        <f>_xlfn.IFNA(IF(données_step[[#This Row],[E_DCO]]&lt;=0,NA(),charge_entree[[#This Row],[ch_E_DCO]]/constanten!$B$8*1000),"")</f>
        <v/>
      </c>
      <c r="AZ295" s="523" t="str">
        <f>_xlfn.IFNA(IF(données_step[[#This Row],[E_NTOT]]&lt;=0,NA(),charge_entree[[#This Row],[ch_E_NTOT]]/constanten!$B$10*1000),"")</f>
        <v/>
      </c>
      <c r="BA295" s="523" t="str">
        <f>_xlfn.IFNA(IF(données_step[[#This Row],[E_NH4]]&lt;=0,NA(),charge_entree[[#This Row],[ch_E_NH4]]/constanten!$B$12*1000),"")</f>
        <v/>
      </c>
      <c r="BB295" s="523" t="str">
        <f>_xlfn.IFNA(IF(données_step[[#This Row],[E_COT]]&lt;=0,NA(),charge_entree[[#This Row],[ch_E_COT]]/constanten!$B$9*1000),"")</f>
        <v/>
      </c>
      <c r="BC295" s="523" t="str">
        <f>IFERROR(_xlfn.IFNA(IF(données_step[[#This Row],[E_PTOT]]&lt;=0,NA(),charge_entree[[#This Row],[ch_E_PTOT]]/constanten!$B$15*1000),""),"")</f>
        <v/>
      </c>
      <c r="BD295" s="535" t="e">
        <f>calculs!E295 * (1-0.4) / (données_step[[#This Row],[X_BA_VOL]]*données_step[[#This Row],[X_BACONC]])</f>
        <v>#VALUE!</v>
      </c>
      <c r="BE295" s="522" t="e">
        <f>(données_step[[#This Row],[X_BA_VOL]]*données_step[[#This Row],[X_BACONC]])/((données_step[[#This Row],[D_QTRAI2]]*données_step[[#This Row],[S_MES]]/1000)+(données_step[[#This Row],[X_BX_Q]]*données_step[[#This Row],[X_BXCONC]]))</f>
        <v>#VALUE!</v>
      </c>
      <c r="BF295" s="890" t="str">
        <f>IFERROR(données_step[[#This Row],[D_QTRAI]]/AY295*1000,"")</f>
        <v/>
      </c>
      <c r="BG295" s="535" t="str">
        <f>IFERROR(1-données_step[[#This Row],[S_DBO5]]/données_step[[#This Row],[E_DBO5]],"")</f>
        <v/>
      </c>
      <c r="BH295" s="536" t="str">
        <f>IFERROR(1-données_step[[#This Row],[S_DCO]]/données_step[[#This Row],[E_DCO]],"")</f>
        <v/>
      </c>
      <c r="BI295" s="535" t="str">
        <f>IFERROR(1-données_step[[#This Row],[S_COD]]/données_step[[#This Row],[E_COT]],"")</f>
        <v/>
      </c>
      <c r="BJ295" s="535" t="str">
        <f>IFERROR(1-données_step[[#This Row],[S_NH4]]/données_step[[#This Row],[E_NTOT]],"")</f>
        <v/>
      </c>
      <c r="BK295" s="535" t="str">
        <f>IFERROR(1-données_step[[#This Row],[S_PTOT]]/données_step[[#This Row],[E_PTOT]],"")</f>
        <v/>
      </c>
      <c r="BL295" s="521" t="str">
        <f>IFERROR(IF(données_step[[#This Row],[E_DCO]]/données_step[[#This Row],[E_DBO5]]=0,NA(),données_step[[#This Row],[E_DCO]]/données_step[[#This Row],[E_DBO5]]),"")</f>
        <v/>
      </c>
      <c r="BM295" s="521" t="str">
        <f>IFERROR(IF(données_step[[#This Row],[E_NH4]]/données_step[[#This Row],[E_NTOT]]=0,NA(),données_step[[#This Row],[E_NH4]]/données_step[[#This Row],[E_NTOT]]),"")</f>
        <v/>
      </c>
      <c r="BN295" s="521" t="str">
        <f>IFERROR(IF(données_step[[#This Row],[E_NTOT]]/données_step[[#This Row],[E_COT]]=0,NA(),données_step[[#This Row],[E_NTOT]]/données_step[[#This Row],[E_COT]]),"")</f>
        <v/>
      </c>
      <c r="BO295" s="521" t="str">
        <f>IFERROR(IF(données_step[[#This Row],[E_PTOT]]/données_step[[#This Row],[E_COT]]=0,NA(),données_step[[#This Row],[E_PTOT]]/données_step[[#This Row],[E_COT]]),"")</f>
        <v/>
      </c>
      <c r="BP295" s="521" t="e">
        <f>IF(données_step[[#This Row],[E_DCO]]/données_step[[#This Row],[E_COT]]=0,NA(),données_step[[#This Row],[E_DCO]]/données_step[[#This Row],[E_COT]])</f>
        <v>#DIV/0!</v>
      </c>
      <c r="BQ295" s="521" t="e">
        <f>IF(données_step[[#This Row],[E_NTOT]]/données_step[[#This Row],[E_DCO]]=0,NA(),données_step[[#This Row],[E_NTOT]]/données_step[[#This Row],[E_DCO]])</f>
        <v>#DIV/0!</v>
      </c>
      <c r="BR295" s="521" t="e">
        <f>IF(données_step[[#This Row],[E_PTOT]]/données_step[[#This Row],[E_DCO]]=0,NA(),données_step[[#This Row],[E_PTOT]]/données_step[[#This Row],[E_DCO]])</f>
        <v>#DIV/0!</v>
      </c>
      <c r="BS295" s="747" t="e">
        <f ca="1">test_NH4_temp(données_step[[#This Row],[S_NH4]],données_step[[#This Row],[Temp_eaux]])</f>
        <v>#NAME?</v>
      </c>
    </row>
    <row r="296" spans="1:71" x14ac:dyDescent="0.2">
      <c r="A296" s="222">
        <f>données_step[[#This Row],[Datum]]</f>
        <v>44847</v>
      </c>
      <c r="B296" s="223"/>
      <c r="C296" s="224">
        <f t="shared" si="79"/>
        <v>5</v>
      </c>
      <c r="D296" s="523" t="str">
        <f>IF(OR(données_step[[#This Row],[E_DBO5]]&lt;=0,données_step[[#This Row],[E_DBO5]]=""),"",données_step[[#This Row],[D_QTRAI]]*données_step[[#This Row],[E_DBO5]]/1000)</f>
        <v/>
      </c>
      <c r="E296" s="523" t="str">
        <f>IF(OR(données_step[[#This Row],[E_DCO]]&lt;=0,données_step[[#This Row],[E_DCO]]=""),"",données_step[[#This Row],[D_QTRAI]]*données_step[[#This Row],[E_DCO]]/1000)</f>
        <v/>
      </c>
      <c r="F296" s="523" t="str">
        <f>IF(OR(données_step[[#This Row],[E_COT]]&lt;=0,données_step[[#This Row],[E_COT]]=""),"",données_step[[#This Row],[D_QTRAI]]*données_step[[#This Row],[E_COT]]/1000)</f>
        <v/>
      </c>
      <c r="G296" s="523" t="str">
        <f>IF(OR(données_step[[#This Row],[E_NH4]]&lt;=0,données_step[[#This Row],[E_NH4]]=""),"",données_step[[#This Row],[D_QTRAI]]*données_step[[#This Row],[E_NH4]]/1000)</f>
        <v/>
      </c>
      <c r="H296" s="523" t="str">
        <f>IF(OR(données_step[[#This Row],[E_NTOT]]&lt;=0,données_step[[#This Row],[E_NTOT]]=""),"",données_step[[#This Row],[D_QTRAI]]*données_step[[#This Row],[E_NTOT]]/1000)</f>
        <v/>
      </c>
      <c r="I296" s="523" t="str">
        <f>IF(OR(données_step[[#This Row],[E_NTOT]]&lt;=0,données_step[[#This Row],[E_NTOT]]=""),"",données_step[[#This Row],[D_QTRAI]]*données_step[[#This Row],[E_PTOT]]/1000)</f>
        <v/>
      </c>
      <c r="J296" s="523" t="str">
        <f>IF(OR(données_step[[#This Row],[S_DBO5]]&lt;=0,données_step[[#This Row],[S_DBO5]]=""),"",données_step[[#This Row],[D_QTRAI]]*données_step[[#This Row],[S_DBO5]]/1000)</f>
        <v/>
      </c>
      <c r="K296" s="523" t="str">
        <f>IF(OR(données_step[[#This Row],[S_DCO]]&lt;=0,données_step[[#This Row],[S_DCO]]=""),"",données_step[[#This Row],[D_QTRAI]]*données_step[[#This Row],[S_DCO]]/1000)</f>
        <v/>
      </c>
      <c r="L296" s="523" t="str">
        <f>IF(OR(données_step[[#This Row],[S_COD]]&lt;=0,données_step[[#This Row],[S_COD]]=""),"",données_step[[#This Row],[D_QTRAI]]*données_step[[#This Row],[S_COD]]/1000)</f>
        <v/>
      </c>
      <c r="M296" s="523" t="str">
        <f>IF(OR(données_step[[#This Row],[S_NH4]]&lt;=0,données_step[[#This Row],[S_NH4]]=""),"",données_step[[#This Row],[D_QTRAI]]*données_step[[#This Row],[S_NH4]]/1000)</f>
        <v/>
      </c>
      <c r="N296" s="523" t="str">
        <f>IF(OR(données_step[[#This Row],[S_NO2]]&lt;=0,données_step[[#This Row],[S_NO2]]=""),"",données_step[[#This Row],[D_QTRAI]]*données_step[[#This Row],[S_NO2]]/1000)</f>
        <v/>
      </c>
      <c r="O296" s="523" t="str">
        <f>IF(OR(données_step[[#This Row],[S_NO3]]&lt;=0,données_step[[#This Row],[S_NO3]]=""),"",données_step[[#This Row],[D_QTRAI]]*données_step[[#This Row],[S_NO3]]/1000)</f>
        <v/>
      </c>
      <c r="P296" s="523" t="str">
        <f>IF(OR(données_step[[#This Row],[S_PTOT]]&lt;=0,données_step[[#This Row],[S_PTOT]]=""),"",données_step[[#This Row],[D_QTRAI]]*données_step[[#This Row],[S_PTOT]]/1000)</f>
        <v/>
      </c>
      <c r="Q296" s="523" t="str">
        <f>IF(OR(données_step[[#This Row],[S_MES]]&lt;=0,données_step[[#This Row],[S_MES]]=""),"",données_step[[#This Row],[D_QTRAI]]*données_step[[#This Row],[S_MES]]/1000)</f>
        <v/>
      </c>
      <c r="R296" s="523">
        <f>MAX(données_step[[#This Row],[D_QTRAI]],données_step[[#This Row],[D_QTRAI2]])</f>
        <v>0</v>
      </c>
      <c r="S296" s="523" t="str">
        <f>IF(AND($R296&gt;0,données_step[[#This Row],[E_DCO]]&gt;0),données_step[[#This Row],[E_DCO]],"")</f>
        <v/>
      </c>
      <c r="T296" s="523" t="str">
        <f>IF(S296="","",(1-données_step[[#This Row],[E_DCO]]/$V$7)*100)</f>
        <v/>
      </c>
      <c r="U296" s="523" t="str">
        <f t="shared" si="65"/>
        <v/>
      </c>
      <c r="V296" s="523" t="str">
        <f t="shared" si="66"/>
        <v/>
      </c>
      <c r="W296" s="523" t="str">
        <f t="shared" si="67"/>
        <v/>
      </c>
      <c r="X296" s="523" t="e">
        <f>IF(((100-100/$V$7*données_step[[#This Row],[E_DCO]])/100*QTS)&lt;0,NA(),IF(OR(U296&lt;0,U296=""),NA(),((100-100/$V$7*données_step[[#This Row],[E_DCO]])/100*QTS)))</f>
        <v>#NUM!</v>
      </c>
      <c r="Y296" s="523" t="str">
        <f>IF(AND($R296&gt;0,données_step[[#This Row],[E_COT]]&gt;0),données_step[[#This Row],[E_COT]],"")</f>
        <v/>
      </c>
      <c r="Z296" s="523" t="str">
        <f>IF(Y296="","",(1-données_step[[#This Row],[E_COT]]/$AB$7)*100)</f>
        <v/>
      </c>
      <c r="AA296" s="523" t="str">
        <f t="shared" si="68"/>
        <v/>
      </c>
      <c r="AB296" s="523" t="str">
        <f t="shared" si="69"/>
        <v/>
      </c>
      <c r="AC296" s="523" t="str">
        <f t="shared" si="70"/>
        <v/>
      </c>
      <c r="AD296" s="523" t="e">
        <f>IF(((100-100/$AB$7*données_step[[#This Row],[E_COT]])/100*QTS)&lt;0,NA(),IF(OR(AA296&lt;0,AA296=""),NA(),((100-100/$AB$7*données_step[[#This Row],[E_COT]])/100*QTS)))</f>
        <v>#NUM!</v>
      </c>
      <c r="AE296" s="523" t="str">
        <f>IF(AND($R296&gt;0,données_step[[#This Row],[E_NH4]]&gt;0),données_step[[#This Row],[E_NH4]],"")</f>
        <v/>
      </c>
      <c r="AF296" s="523" t="str">
        <f>IF(AE296="","",(1-données_step[[#This Row],[E_NH4]]/$AH$7)*100)</f>
        <v/>
      </c>
      <c r="AG296" s="523" t="str">
        <f t="shared" si="71"/>
        <v/>
      </c>
      <c r="AH296" s="523" t="str">
        <f t="shared" si="72"/>
        <v/>
      </c>
      <c r="AI296" s="523" t="str">
        <f t="shared" si="73"/>
        <v/>
      </c>
      <c r="AJ296" s="523" t="e">
        <f>IF(((100-100/$AH$7*données_step[[#This Row],[E_NH4]])/100*QTS)&lt;0,NA(),IF(OR(AG296&lt;0,AG296=""),NA(),((100-100/$AH$7*données_step[[#This Row],[E_NH4]])/100*QTS)))</f>
        <v>#NUM!</v>
      </c>
      <c r="AK296" s="523" t="str">
        <f>IF(AND($R296&gt;0,données_step[[#This Row],[E_PTOT]]&gt;0),données_step[[#This Row],[E_PTOT]],"")</f>
        <v/>
      </c>
      <c r="AL296" s="523" t="str">
        <f>IF(AK296="","",(1-données_step[[#This Row],[E_PTOT]]/$AN$7)*100)</f>
        <v/>
      </c>
      <c r="AM296" s="523" t="str">
        <f t="shared" si="74"/>
        <v/>
      </c>
      <c r="AN296" s="523" t="str">
        <f t="shared" si="75"/>
        <v/>
      </c>
      <c r="AO296" s="523" t="str">
        <f t="shared" si="76"/>
        <v/>
      </c>
      <c r="AP296" s="523" t="e">
        <f>IF(((100-100/$AN$7*données_step[[#This Row],[E_PTOT]])/100*QTS)&lt;0,NA(),IF(OR(AM296&lt;0,AM296=""),NA(),((100-100/$AN$7*données_step[[#This Row],[E_PTOT]])/100*QTS)))</f>
        <v>#NUM!</v>
      </c>
      <c r="AQ296" s="524" t="e">
        <f t="shared" si="77"/>
        <v>#NUM!</v>
      </c>
      <c r="AR296" s="524" t="str">
        <f t="shared" si="78"/>
        <v/>
      </c>
      <c r="AY296" s="523" t="str">
        <f>_xlfn.IFNA(IF(données_step[[#This Row],[E_DCO]]&lt;=0,NA(),charge_entree[[#This Row],[ch_E_DCO]]/constanten!$B$8*1000),"")</f>
        <v/>
      </c>
      <c r="AZ296" s="523" t="str">
        <f>_xlfn.IFNA(IF(données_step[[#This Row],[E_NTOT]]&lt;=0,NA(),charge_entree[[#This Row],[ch_E_NTOT]]/constanten!$B$10*1000),"")</f>
        <v/>
      </c>
      <c r="BA296" s="523" t="str">
        <f>_xlfn.IFNA(IF(données_step[[#This Row],[E_NH4]]&lt;=0,NA(),charge_entree[[#This Row],[ch_E_NH4]]/constanten!$B$12*1000),"")</f>
        <v/>
      </c>
      <c r="BB296" s="523" t="str">
        <f>_xlfn.IFNA(IF(données_step[[#This Row],[E_COT]]&lt;=0,NA(),charge_entree[[#This Row],[ch_E_COT]]/constanten!$B$9*1000),"")</f>
        <v/>
      </c>
      <c r="BC296" s="523" t="str">
        <f>IFERROR(_xlfn.IFNA(IF(données_step[[#This Row],[E_PTOT]]&lt;=0,NA(),charge_entree[[#This Row],[ch_E_PTOT]]/constanten!$B$15*1000),""),"")</f>
        <v/>
      </c>
      <c r="BD296" s="535" t="e">
        <f>calculs!E296 * (1-0.4) / (données_step[[#This Row],[X_BA_VOL]]*données_step[[#This Row],[X_BACONC]])</f>
        <v>#VALUE!</v>
      </c>
      <c r="BE296" s="522" t="e">
        <f>(données_step[[#This Row],[X_BA_VOL]]*données_step[[#This Row],[X_BACONC]])/((données_step[[#This Row],[D_QTRAI2]]*données_step[[#This Row],[S_MES]]/1000)+(données_step[[#This Row],[X_BX_Q]]*données_step[[#This Row],[X_BXCONC]]))</f>
        <v>#VALUE!</v>
      </c>
      <c r="BF296" s="890" t="str">
        <f>IFERROR(données_step[[#This Row],[D_QTRAI]]/AY296*1000,"")</f>
        <v/>
      </c>
      <c r="BG296" s="535" t="str">
        <f>IFERROR(1-données_step[[#This Row],[S_DBO5]]/données_step[[#This Row],[E_DBO5]],"")</f>
        <v/>
      </c>
      <c r="BH296" s="536" t="str">
        <f>IFERROR(1-données_step[[#This Row],[S_DCO]]/données_step[[#This Row],[E_DCO]],"")</f>
        <v/>
      </c>
      <c r="BI296" s="535" t="str">
        <f>IFERROR(1-données_step[[#This Row],[S_COD]]/données_step[[#This Row],[E_COT]],"")</f>
        <v/>
      </c>
      <c r="BJ296" s="535" t="str">
        <f>IFERROR(1-données_step[[#This Row],[S_NH4]]/données_step[[#This Row],[E_NTOT]],"")</f>
        <v/>
      </c>
      <c r="BK296" s="535" t="str">
        <f>IFERROR(1-données_step[[#This Row],[S_PTOT]]/données_step[[#This Row],[E_PTOT]],"")</f>
        <v/>
      </c>
      <c r="BL296" s="521" t="str">
        <f>IFERROR(IF(données_step[[#This Row],[E_DCO]]/données_step[[#This Row],[E_DBO5]]=0,NA(),données_step[[#This Row],[E_DCO]]/données_step[[#This Row],[E_DBO5]]),"")</f>
        <v/>
      </c>
      <c r="BM296" s="521" t="str">
        <f>IFERROR(IF(données_step[[#This Row],[E_NH4]]/données_step[[#This Row],[E_NTOT]]=0,NA(),données_step[[#This Row],[E_NH4]]/données_step[[#This Row],[E_NTOT]]),"")</f>
        <v/>
      </c>
      <c r="BN296" s="521" t="str">
        <f>IFERROR(IF(données_step[[#This Row],[E_NTOT]]/données_step[[#This Row],[E_COT]]=0,NA(),données_step[[#This Row],[E_NTOT]]/données_step[[#This Row],[E_COT]]),"")</f>
        <v/>
      </c>
      <c r="BO296" s="521" t="str">
        <f>IFERROR(IF(données_step[[#This Row],[E_PTOT]]/données_step[[#This Row],[E_COT]]=0,NA(),données_step[[#This Row],[E_PTOT]]/données_step[[#This Row],[E_COT]]),"")</f>
        <v/>
      </c>
      <c r="BP296" s="521" t="e">
        <f>IF(données_step[[#This Row],[E_DCO]]/données_step[[#This Row],[E_COT]]=0,NA(),données_step[[#This Row],[E_DCO]]/données_step[[#This Row],[E_COT]])</f>
        <v>#DIV/0!</v>
      </c>
      <c r="BQ296" s="521" t="e">
        <f>IF(données_step[[#This Row],[E_NTOT]]/données_step[[#This Row],[E_DCO]]=0,NA(),données_step[[#This Row],[E_NTOT]]/données_step[[#This Row],[E_DCO]])</f>
        <v>#DIV/0!</v>
      </c>
      <c r="BR296" s="521" t="e">
        <f>IF(données_step[[#This Row],[E_PTOT]]/données_step[[#This Row],[E_DCO]]=0,NA(),données_step[[#This Row],[E_PTOT]]/données_step[[#This Row],[E_DCO]])</f>
        <v>#DIV/0!</v>
      </c>
      <c r="BS296" s="747" t="e">
        <f ca="1">test_NH4_temp(données_step[[#This Row],[S_NH4]],données_step[[#This Row],[Temp_eaux]])</f>
        <v>#NAME?</v>
      </c>
    </row>
    <row r="297" spans="1:71" x14ac:dyDescent="0.2">
      <c r="A297" s="222">
        <f>données_step[[#This Row],[Datum]]</f>
        <v>44848</v>
      </c>
      <c r="B297" s="223"/>
      <c r="C297" s="224">
        <f t="shared" si="79"/>
        <v>6</v>
      </c>
      <c r="D297" s="523" t="str">
        <f>IF(OR(données_step[[#This Row],[E_DBO5]]&lt;=0,données_step[[#This Row],[E_DBO5]]=""),"",données_step[[#This Row],[D_QTRAI]]*données_step[[#This Row],[E_DBO5]]/1000)</f>
        <v/>
      </c>
      <c r="E297" s="523" t="str">
        <f>IF(OR(données_step[[#This Row],[E_DCO]]&lt;=0,données_step[[#This Row],[E_DCO]]=""),"",données_step[[#This Row],[D_QTRAI]]*données_step[[#This Row],[E_DCO]]/1000)</f>
        <v/>
      </c>
      <c r="F297" s="523" t="str">
        <f>IF(OR(données_step[[#This Row],[E_COT]]&lt;=0,données_step[[#This Row],[E_COT]]=""),"",données_step[[#This Row],[D_QTRAI]]*données_step[[#This Row],[E_COT]]/1000)</f>
        <v/>
      </c>
      <c r="G297" s="523" t="str">
        <f>IF(OR(données_step[[#This Row],[E_NH4]]&lt;=0,données_step[[#This Row],[E_NH4]]=""),"",données_step[[#This Row],[D_QTRAI]]*données_step[[#This Row],[E_NH4]]/1000)</f>
        <v/>
      </c>
      <c r="H297" s="523" t="str">
        <f>IF(OR(données_step[[#This Row],[E_NTOT]]&lt;=0,données_step[[#This Row],[E_NTOT]]=""),"",données_step[[#This Row],[D_QTRAI]]*données_step[[#This Row],[E_NTOT]]/1000)</f>
        <v/>
      </c>
      <c r="I297" s="523" t="str">
        <f>IF(OR(données_step[[#This Row],[E_NTOT]]&lt;=0,données_step[[#This Row],[E_NTOT]]=""),"",données_step[[#This Row],[D_QTRAI]]*données_step[[#This Row],[E_PTOT]]/1000)</f>
        <v/>
      </c>
      <c r="J297" s="523" t="str">
        <f>IF(OR(données_step[[#This Row],[S_DBO5]]&lt;=0,données_step[[#This Row],[S_DBO5]]=""),"",données_step[[#This Row],[D_QTRAI]]*données_step[[#This Row],[S_DBO5]]/1000)</f>
        <v/>
      </c>
      <c r="K297" s="523" t="str">
        <f>IF(OR(données_step[[#This Row],[S_DCO]]&lt;=0,données_step[[#This Row],[S_DCO]]=""),"",données_step[[#This Row],[D_QTRAI]]*données_step[[#This Row],[S_DCO]]/1000)</f>
        <v/>
      </c>
      <c r="L297" s="523" t="str">
        <f>IF(OR(données_step[[#This Row],[S_COD]]&lt;=0,données_step[[#This Row],[S_COD]]=""),"",données_step[[#This Row],[D_QTRAI]]*données_step[[#This Row],[S_COD]]/1000)</f>
        <v/>
      </c>
      <c r="M297" s="523" t="str">
        <f>IF(OR(données_step[[#This Row],[S_NH4]]&lt;=0,données_step[[#This Row],[S_NH4]]=""),"",données_step[[#This Row],[D_QTRAI]]*données_step[[#This Row],[S_NH4]]/1000)</f>
        <v/>
      </c>
      <c r="N297" s="523" t="str">
        <f>IF(OR(données_step[[#This Row],[S_NO2]]&lt;=0,données_step[[#This Row],[S_NO2]]=""),"",données_step[[#This Row],[D_QTRAI]]*données_step[[#This Row],[S_NO2]]/1000)</f>
        <v/>
      </c>
      <c r="O297" s="523" t="str">
        <f>IF(OR(données_step[[#This Row],[S_NO3]]&lt;=0,données_step[[#This Row],[S_NO3]]=""),"",données_step[[#This Row],[D_QTRAI]]*données_step[[#This Row],[S_NO3]]/1000)</f>
        <v/>
      </c>
      <c r="P297" s="523" t="str">
        <f>IF(OR(données_step[[#This Row],[S_PTOT]]&lt;=0,données_step[[#This Row],[S_PTOT]]=""),"",données_step[[#This Row],[D_QTRAI]]*données_step[[#This Row],[S_PTOT]]/1000)</f>
        <v/>
      </c>
      <c r="Q297" s="523" t="str">
        <f>IF(OR(données_step[[#This Row],[S_MES]]&lt;=0,données_step[[#This Row],[S_MES]]=""),"",données_step[[#This Row],[D_QTRAI]]*données_step[[#This Row],[S_MES]]/1000)</f>
        <v/>
      </c>
      <c r="R297" s="523">
        <f>MAX(données_step[[#This Row],[D_QTRAI]],données_step[[#This Row],[D_QTRAI2]])</f>
        <v>0</v>
      </c>
      <c r="S297" s="523" t="str">
        <f>IF(AND($R297&gt;0,données_step[[#This Row],[E_DCO]]&gt;0),données_step[[#This Row],[E_DCO]],"")</f>
        <v/>
      </c>
      <c r="T297" s="523" t="str">
        <f>IF(S297="","",(1-données_step[[#This Row],[E_DCO]]/$V$7)*100)</f>
        <v/>
      </c>
      <c r="U297" s="523" t="str">
        <f t="shared" si="65"/>
        <v/>
      </c>
      <c r="V297" s="523" t="str">
        <f t="shared" si="66"/>
        <v/>
      </c>
      <c r="W297" s="523" t="str">
        <f t="shared" si="67"/>
        <v/>
      </c>
      <c r="X297" s="523" t="e">
        <f>IF(((100-100/$V$7*données_step[[#This Row],[E_DCO]])/100*QTS)&lt;0,NA(),IF(OR(U297&lt;0,U297=""),NA(),((100-100/$V$7*données_step[[#This Row],[E_DCO]])/100*QTS)))</f>
        <v>#NUM!</v>
      </c>
      <c r="Y297" s="523" t="str">
        <f>IF(AND($R297&gt;0,données_step[[#This Row],[E_COT]]&gt;0),données_step[[#This Row],[E_COT]],"")</f>
        <v/>
      </c>
      <c r="Z297" s="523" t="str">
        <f>IF(Y297="","",(1-données_step[[#This Row],[E_COT]]/$AB$7)*100)</f>
        <v/>
      </c>
      <c r="AA297" s="523" t="str">
        <f t="shared" si="68"/>
        <v/>
      </c>
      <c r="AB297" s="523" t="str">
        <f t="shared" si="69"/>
        <v/>
      </c>
      <c r="AC297" s="523" t="str">
        <f t="shared" si="70"/>
        <v/>
      </c>
      <c r="AD297" s="523" t="e">
        <f>IF(((100-100/$AB$7*données_step[[#This Row],[E_COT]])/100*QTS)&lt;0,NA(),IF(OR(AA297&lt;0,AA297=""),NA(),((100-100/$AB$7*données_step[[#This Row],[E_COT]])/100*QTS)))</f>
        <v>#NUM!</v>
      </c>
      <c r="AE297" s="523" t="str">
        <f>IF(AND($R297&gt;0,données_step[[#This Row],[E_NH4]]&gt;0),données_step[[#This Row],[E_NH4]],"")</f>
        <v/>
      </c>
      <c r="AF297" s="523" t="str">
        <f>IF(AE297="","",(1-données_step[[#This Row],[E_NH4]]/$AH$7)*100)</f>
        <v/>
      </c>
      <c r="AG297" s="523" t="str">
        <f t="shared" si="71"/>
        <v/>
      </c>
      <c r="AH297" s="523" t="str">
        <f t="shared" si="72"/>
        <v/>
      </c>
      <c r="AI297" s="523" t="str">
        <f t="shared" si="73"/>
        <v/>
      </c>
      <c r="AJ297" s="523" t="e">
        <f>IF(((100-100/$AH$7*données_step[[#This Row],[E_NH4]])/100*QTS)&lt;0,NA(),IF(OR(AG297&lt;0,AG297=""),NA(),((100-100/$AH$7*données_step[[#This Row],[E_NH4]])/100*QTS)))</f>
        <v>#NUM!</v>
      </c>
      <c r="AK297" s="523" t="str">
        <f>IF(AND($R297&gt;0,données_step[[#This Row],[E_PTOT]]&gt;0),données_step[[#This Row],[E_PTOT]],"")</f>
        <v/>
      </c>
      <c r="AL297" s="523" t="str">
        <f>IF(AK297="","",(1-données_step[[#This Row],[E_PTOT]]/$AN$7)*100)</f>
        <v/>
      </c>
      <c r="AM297" s="523" t="str">
        <f t="shared" si="74"/>
        <v/>
      </c>
      <c r="AN297" s="523" t="str">
        <f t="shared" si="75"/>
        <v/>
      </c>
      <c r="AO297" s="523" t="str">
        <f t="shared" si="76"/>
        <v/>
      </c>
      <c r="AP297" s="523" t="e">
        <f>IF(((100-100/$AN$7*données_step[[#This Row],[E_PTOT]])/100*QTS)&lt;0,NA(),IF(OR(AM297&lt;0,AM297=""),NA(),((100-100/$AN$7*données_step[[#This Row],[E_PTOT]])/100*QTS)))</f>
        <v>#NUM!</v>
      </c>
      <c r="AQ297" s="524" t="e">
        <f t="shared" si="77"/>
        <v>#NUM!</v>
      </c>
      <c r="AR297" s="524" t="str">
        <f t="shared" si="78"/>
        <v/>
      </c>
      <c r="AY297" s="523" t="str">
        <f>_xlfn.IFNA(IF(données_step[[#This Row],[E_DCO]]&lt;=0,NA(),charge_entree[[#This Row],[ch_E_DCO]]/constanten!$B$8*1000),"")</f>
        <v/>
      </c>
      <c r="AZ297" s="523" t="str">
        <f>_xlfn.IFNA(IF(données_step[[#This Row],[E_NTOT]]&lt;=0,NA(),charge_entree[[#This Row],[ch_E_NTOT]]/constanten!$B$10*1000),"")</f>
        <v/>
      </c>
      <c r="BA297" s="523" t="str">
        <f>_xlfn.IFNA(IF(données_step[[#This Row],[E_NH4]]&lt;=0,NA(),charge_entree[[#This Row],[ch_E_NH4]]/constanten!$B$12*1000),"")</f>
        <v/>
      </c>
      <c r="BB297" s="523" t="str">
        <f>_xlfn.IFNA(IF(données_step[[#This Row],[E_COT]]&lt;=0,NA(),charge_entree[[#This Row],[ch_E_COT]]/constanten!$B$9*1000),"")</f>
        <v/>
      </c>
      <c r="BC297" s="523" t="str">
        <f>IFERROR(_xlfn.IFNA(IF(données_step[[#This Row],[E_PTOT]]&lt;=0,NA(),charge_entree[[#This Row],[ch_E_PTOT]]/constanten!$B$15*1000),""),"")</f>
        <v/>
      </c>
      <c r="BD297" s="535" t="e">
        <f>calculs!E297 * (1-0.4) / (données_step[[#This Row],[X_BA_VOL]]*données_step[[#This Row],[X_BACONC]])</f>
        <v>#VALUE!</v>
      </c>
      <c r="BE297" s="522" t="e">
        <f>(données_step[[#This Row],[X_BA_VOL]]*données_step[[#This Row],[X_BACONC]])/((données_step[[#This Row],[D_QTRAI2]]*données_step[[#This Row],[S_MES]]/1000)+(données_step[[#This Row],[X_BX_Q]]*données_step[[#This Row],[X_BXCONC]]))</f>
        <v>#VALUE!</v>
      </c>
      <c r="BF297" s="890" t="str">
        <f>IFERROR(données_step[[#This Row],[D_QTRAI]]/AY297*1000,"")</f>
        <v/>
      </c>
      <c r="BG297" s="535" t="str">
        <f>IFERROR(1-données_step[[#This Row],[S_DBO5]]/données_step[[#This Row],[E_DBO5]],"")</f>
        <v/>
      </c>
      <c r="BH297" s="536" t="str">
        <f>IFERROR(1-données_step[[#This Row],[S_DCO]]/données_step[[#This Row],[E_DCO]],"")</f>
        <v/>
      </c>
      <c r="BI297" s="535" t="str">
        <f>IFERROR(1-données_step[[#This Row],[S_COD]]/données_step[[#This Row],[E_COT]],"")</f>
        <v/>
      </c>
      <c r="BJ297" s="535" t="str">
        <f>IFERROR(1-données_step[[#This Row],[S_NH4]]/données_step[[#This Row],[E_NTOT]],"")</f>
        <v/>
      </c>
      <c r="BK297" s="535" t="str">
        <f>IFERROR(1-données_step[[#This Row],[S_PTOT]]/données_step[[#This Row],[E_PTOT]],"")</f>
        <v/>
      </c>
      <c r="BL297" s="521" t="str">
        <f>IFERROR(IF(données_step[[#This Row],[E_DCO]]/données_step[[#This Row],[E_DBO5]]=0,NA(),données_step[[#This Row],[E_DCO]]/données_step[[#This Row],[E_DBO5]]),"")</f>
        <v/>
      </c>
      <c r="BM297" s="521" t="str">
        <f>IFERROR(IF(données_step[[#This Row],[E_NH4]]/données_step[[#This Row],[E_NTOT]]=0,NA(),données_step[[#This Row],[E_NH4]]/données_step[[#This Row],[E_NTOT]]),"")</f>
        <v/>
      </c>
      <c r="BN297" s="521" t="str">
        <f>IFERROR(IF(données_step[[#This Row],[E_NTOT]]/données_step[[#This Row],[E_COT]]=0,NA(),données_step[[#This Row],[E_NTOT]]/données_step[[#This Row],[E_COT]]),"")</f>
        <v/>
      </c>
      <c r="BO297" s="521" t="str">
        <f>IFERROR(IF(données_step[[#This Row],[E_PTOT]]/données_step[[#This Row],[E_COT]]=0,NA(),données_step[[#This Row],[E_PTOT]]/données_step[[#This Row],[E_COT]]),"")</f>
        <v/>
      </c>
      <c r="BP297" s="521" t="e">
        <f>IF(données_step[[#This Row],[E_DCO]]/données_step[[#This Row],[E_COT]]=0,NA(),données_step[[#This Row],[E_DCO]]/données_step[[#This Row],[E_COT]])</f>
        <v>#DIV/0!</v>
      </c>
      <c r="BQ297" s="521" t="e">
        <f>IF(données_step[[#This Row],[E_NTOT]]/données_step[[#This Row],[E_DCO]]=0,NA(),données_step[[#This Row],[E_NTOT]]/données_step[[#This Row],[E_DCO]])</f>
        <v>#DIV/0!</v>
      </c>
      <c r="BR297" s="521" t="e">
        <f>IF(données_step[[#This Row],[E_PTOT]]/données_step[[#This Row],[E_DCO]]=0,NA(),données_step[[#This Row],[E_PTOT]]/données_step[[#This Row],[E_DCO]])</f>
        <v>#DIV/0!</v>
      </c>
      <c r="BS297" s="747" t="e">
        <f ca="1">test_NH4_temp(données_step[[#This Row],[S_NH4]],données_step[[#This Row],[Temp_eaux]])</f>
        <v>#NAME?</v>
      </c>
    </row>
    <row r="298" spans="1:71" x14ac:dyDescent="0.2">
      <c r="A298" s="222">
        <f>données_step[[#This Row],[Datum]]</f>
        <v>44849</v>
      </c>
      <c r="B298" s="223"/>
      <c r="C298" s="224">
        <f t="shared" si="79"/>
        <v>7</v>
      </c>
      <c r="D298" s="523" t="str">
        <f>IF(OR(données_step[[#This Row],[E_DBO5]]&lt;=0,données_step[[#This Row],[E_DBO5]]=""),"",données_step[[#This Row],[D_QTRAI]]*données_step[[#This Row],[E_DBO5]]/1000)</f>
        <v/>
      </c>
      <c r="E298" s="523" t="str">
        <f>IF(OR(données_step[[#This Row],[E_DCO]]&lt;=0,données_step[[#This Row],[E_DCO]]=""),"",données_step[[#This Row],[D_QTRAI]]*données_step[[#This Row],[E_DCO]]/1000)</f>
        <v/>
      </c>
      <c r="F298" s="523" t="str">
        <f>IF(OR(données_step[[#This Row],[E_COT]]&lt;=0,données_step[[#This Row],[E_COT]]=""),"",données_step[[#This Row],[D_QTRAI]]*données_step[[#This Row],[E_COT]]/1000)</f>
        <v/>
      </c>
      <c r="G298" s="523" t="str">
        <f>IF(OR(données_step[[#This Row],[E_NH4]]&lt;=0,données_step[[#This Row],[E_NH4]]=""),"",données_step[[#This Row],[D_QTRAI]]*données_step[[#This Row],[E_NH4]]/1000)</f>
        <v/>
      </c>
      <c r="H298" s="523" t="str">
        <f>IF(OR(données_step[[#This Row],[E_NTOT]]&lt;=0,données_step[[#This Row],[E_NTOT]]=""),"",données_step[[#This Row],[D_QTRAI]]*données_step[[#This Row],[E_NTOT]]/1000)</f>
        <v/>
      </c>
      <c r="I298" s="523" t="str">
        <f>IF(OR(données_step[[#This Row],[E_NTOT]]&lt;=0,données_step[[#This Row],[E_NTOT]]=""),"",données_step[[#This Row],[D_QTRAI]]*données_step[[#This Row],[E_PTOT]]/1000)</f>
        <v/>
      </c>
      <c r="J298" s="523" t="str">
        <f>IF(OR(données_step[[#This Row],[S_DBO5]]&lt;=0,données_step[[#This Row],[S_DBO5]]=""),"",données_step[[#This Row],[D_QTRAI]]*données_step[[#This Row],[S_DBO5]]/1000)</f>
        <v/>
      </c>
      <c r="K298" s="523" t="str">
        <f>IF(OR(données_step[[#This Row],[S_DCO]]&lt;=0,données_step[[#This Row],[S_DCO]]=""),"",données_step[[#This Row],[D_QTRAI]]*données_step[[#This Row],[S_DCO]]/1000)</f>
        <v/>
      </c>
      <c r="L298" s="523" t="str">
        <f>IF(OR(données_step[[#This Row],[S_COD]]&lt;=0,données_step[[#This Row],[S_COD]]=""),"",données_step[[#This Row],[D_QTRAI]]*données_step[[#This Row],[S_COD]]/1000)</f>
        <v/>
      </c>
      <c r="M298" s="523" t="str">
        <f>IF(OR(données_step[[#This Row],[S_NH4]]&lt;=0,données_step[[#This Row],[S_NH4]]=""),"",données_step[[#This Row],[D_QTRAI]]*données_step[[#This Row],[S_NH4]]/1000)</f>
        <v/>
      </c>
      <c r="N298" s="523" t="str">
        <f>IF(OR(données_step[[#This Row],[S_NO2]]&lt;=0,données_step[[#This Row],[S_NO2]]=""),"",données_step[[#This Row],[D_QTRAI]]*données_step[[#This Row],[S_NO2]]/1000)</f>
        <v/>
      </c>
      <c r="O298" s="523" t="str">
        <f>IF(OR(données_step[[#This Row],[S_NO3]]&lt;=0,données_step[[#This Row],[S_NO3]]=""),"",données_step[[#This Row],[D_QTRAI]]*données_step[[#This Row],[S_NO3]]/1000)</f>
        <v/>
      </c>
      <c r="P298" s="523" t="str">
        <f>IF(OR(données_step[[#This Row],[S_PTOT]]&lt;=0,données_step[[#This Row],[S_PTOT]]=""),"",données_step[[#This Row],[D_QTRAI]]*données_step[[#This Row],[S_PTOT]]/1000)</f>
        <v/>
      </c>
      <c r="Q298" s="523" t="str">
        <f>IF(OR(données_step[[#This Row],[S_MES]]&lt;=0,données_step[[#This Row],[S_MES]]=""),"",données_step[[#This Row],[D_QTRAI]]*données_step[[#This Row],[S_MES]]/1000)</f>
        <v/>
      </c>
      <c r="R298" s="523">
        <f>MAX(données_step[[#This Row],[D_QTRAI]],données_step[[#This Row],[D_QTRAI2]])</f>
        <v>0</v>
      </c>
      <c r="S298" s="523" t="str">
        <f>IF(AND($R298&gt;0,données_step[[#This Row],[E_DCO]]&gt;0),données_step[[#This Row],[E_DCO]],"")</f>
        <v/>
      </c>
      <c r="T298" s="523" t="str">
        <f>IF(S298="","",(1-données_step[[#This Row],[E_DCO]]/$V$7)*100)</f>
        <v/>
      </c>
      <c r="U298" s="523" t="str">
        <f t="shared" si="65"/>
        <v/>
      </c>
      <c r="V298" s="523" t="str">
        <f t="shared" si="66"/>
        <v/>
      </c>
      <c r="W298" s="523" t="str">
        <f t="shared" si="67"/>
        <v/>
      </c>
      <c r="X298" s="523" t="e">
        <f>IF(((100-100/$V$7*données_step[[#This Row],[E_DCO]])/100*QTS)&lt;0,NA(),IF(OR(U298&lt;0,U298=""),NA(),((100-100/$V$7*données_step[[#This Row],[E_DCO]])/100*QTS)))</f>
        <v>#NUM!</v>
      </c>
      <c r="Y298" s="523" t="str">
        <f>IF(AND($R298&gt;0,données_step[[#This Row],[E_COT]]&gt;0),données_step[[#This Row],[E_COT]],"")</f>
        <v/>
      </c>
      <c r="Z298" s="523" t="str">
        <f>IF(Y298="","",(1-données_step[[#This Row],[E_COT]]/$AB$7)*100)</f>
        <v/>
      </c>
      <c r="AA298" s="523" t="str">
        <f t="shared" si="68"/>
        <v/>
      </c>
      <c r="AB298" s="523" t="str">
        <f t="shared" si="69"/>
        <v/>
      </c>
      <c r="AC298" s="523" t="str">
        <f t="shared" si="70"/>
        <v/>
      </c>
      <c r="AD298" s="523" t="e">
        <f>IF(((100-100/$AB$7*données_step[[#This Row],[E_COT]])/100*QTS)&lt;0,NA(),IF(OR(AA298&lt;0,AA298=""),NA(),((100-100/$AB$7*données_step[[#This Row],[E_COT]])/100*QTS)))</f>
        <v>#NUM!</v>
      </c>
      <c r="AE298" s="523" t="str">
        <f>IF(AND($R298&gt;0,données_step[[#This Row],[E_NH4]]&gt;0),données_step[[#This Row],[E_NH4]],"")</f>
        <v/>
      </c>
      <c r="AF298" s="523" t="str">
        <f>IF(AE298="","",(1-données_step[[#This Row],[E_NH4]]/$AH$7)*100)</f>
        <v/>
      </c>
      <c r="AG298" s="523" t="str">
        <f t="shared" si="71"/>
        <v/>
      </c>
      <c r="AH298" s="523" t="str">
        <f t="shared" si="72"/>
        <v/>
      </c>
      <c r="AI298" s="523" t="str">
        <f t="shared" si="73"/>
        <v/>
      </c>
      <c r="AJ298" s="523" t="e">
        <f>IF(((100-100/$AH$7*données_step[[#This Row],[E_NH4]])/100*QTS)&lt;0,NA(),IF(OR(AG298&lt;0,AG298=""),NA(),((100-100/$AH$7*données_step[[#This Row],[E_NH4]])/100*QTS)))</f>
        <v>#NUM!</v>
      </c>
      <c r="AK298" s="523" t="str">
        <f>IF(AND($R298&gt;0,données_step[[#This Row],[E_PTOT]]&gt;0),données_step[[#This Row],[E_PTOT]],"")</f>
        <v/>
      </c>
      <c r="AL298" s="523" t="str">
        <f>IF(AK298="","",(1-données_step[[#This Row],[E_PTOT]]/$AN$7)*100)</f>
        <v/>
      </c>
      <c r="AM298" s="523" t="str">
        <f t="shared" si="74"/>
        <v/>
      </c>
      <c r="AN298" s="523" t="str">
        <f t="shared" si="75"/>
        <v/>
      </c>
      <c r="AO298" s="523" t="str">
        <f t="shared" si="76"/>
        <v/>
      </c>
      <c r="AP298" s="523" t="e">
        <f>IF(((100-100/$AN$7*données_step[[#This Row],[E_PTOT]])/100*QTS)&lt;0,NA(),IF(OR(AM298&lt;0,AM298=""),NA(),((100-100/$AN$7*données_step[[#This Row],[E_PTOT]])/100*QTS)))</f>
        <v>#NUM!</v>
      </c>
      <c r="AQ298" s="524" t="e">
        <f t="shared" si="77"/>
        <v>#NUM!</v>
      </c>
      <c r="AR298" s="524" t="str">
        <f t="shared" si="78"/>
        <v/>
      </c>
      <c r="AY298" s="523" t="str">
        <f>_xlfn.IFNA(IF(données_step[[#This Row],[E_DCO]]&lt;=0,NA(),charge_entree[[#This Row],[ch_E_DCO]]/constanten!$B$8*1000),"")</f>
        <v/>
      </c>
      <c r="AZ298" s="523" t="str">
        <f>_xlfn.IFNA(IF(données_step[[#This Row],[E_NTOT]]&lt;=0,NA(),charge_entree[[#This Row],[ch_E_NTOT]]/constanten!$B$10*1000),"")</f>
        <v/>
      </c>
      <c r="BA298" s="523" t="str">
        <f>_xlfn.IFNA(IF(données_step[[#This Row],[E_NH4]]&lt;=0,NA(),charge_entree[[#This Row],[ch_E_NH4]]/constanten!$B$12*1000),"")</f>
        <v/>
      </c>
      <c r="BB298" s="523" t="str">
        <f>_xlfn.IFNA(IF(données_step[[#This Row],[E_COT]]&lt;=0,NA(),charge_entree[[#This Row],[ch_E_COT]]/constanten!$B$9*1000),"")</f>
        <v/>
      </c>
      <c r="BC298" s="523" t="str">
        <f>IFERROR(_xlfn.IFNA(IF(données_step[[#This Row],[E_PTOT]]&lt;=0,NA(),charge_entree[[#This Row],[ch_E_PTOT]]/constanten!$B$15*1000),""),"")</f>
        <v/>
      </c>
      <c r="BD298" s="535" t="e">
        <f>calculs!E298 * (1-0.4) / (données_step[[#This Row],[X_BA_VOL]]*données_step[[#This Row],[X_BACONC]])</f>
        <v>#VALUE!</v>
      </c>
      <c r="BE298" s="522" t="e">
        <f>(données_step[[#This Row],[X_BA_VOL]]*données_step[[#This Row],[X_BACONC]])/((données_step[[#This Row],[D_QTRAI2]]*données_step[[#This Row],[S_MES]]/1000)+(données_step[[#This Row],[X_BX_Q]]*données_step[[#This Row],[X_BXCONC]]))</f>
        <v>#VALUE!</v>
      </c>
      <c r="BF298" s="890" t="str">
        <f>IFERROR(données_step[[#This Row],[D_QTRAI]]/AY298*1000,"")</f>
        <v/>
      </c>
      <c r="BG298" s="535" t="str">
        <f>IFERROR(1-données_step[[#This Row],[S_DBO5]]/données_step[[#This Row],[E_DBO5]],"")</f>
        <v/>
      </c>
      <c r="BH298" s="536" t="str">
        <f>IFERROR(1-données_step[[#This Row],[S_DCO]]/données_step[[#This Row],[E_DCO]],"")</f>
        <v/>
      </c>
      <c r="BI298" s="535" t="str">
        <f>IFERROR(1-données_step[[#This Row],[S_COD]]/données_step[[#This Row],[E_COT]],"")</f>
        <v/>
      </c>
      <c r="BJ298" s="535" t="str">
        <f>IFERROR(1-données_step[[#This Row],[S_NH4]]/données_step[[#This Row],[E_NTOT]],"")</f>
        <v/>
      </c>
      <c r="BK298" s="535" t="str">
        <f>IFERROR(1-données_step[[#This Row],[S_PTOT]]/données_step[[#This Row],[E_PTOT]],"")</f>
        <v/>
      </c>
      <c r="BL298" s="521" t="str">
        <f>IFERROR(IF(données_step[[#This Row],[E_DCO]]/données_step[[#This Row],[E_DBO5]]=0,NA(),données_step[[#This Row],[E_DCO]]/données_step[[#This Row],[E_DBO5]]),"")</f>
        <v/>
      </c>
      <c r="BM298" s="521" t="str">
        <f>IFERROR(IF(données_step[[#This Row],[E_NH4]]/données_step[[#This Row],[E_NTOT]]=0,NA(),données_step[[#This Row],[E_NH4]]/données_step[[#This Row],[E_NTOT]]),"")</f>
        <v/>
      </c>
      <c r="BN298" s="521" t="str">
        <f>IFERROR(IF(données_step[[#This Row],[E_NTOT]]/données_step[[#This Row],[E_COT]]=0,NA(),données_step[[#This Row],[E_NTOT]]/données_step[[#This Row],[E_COT]]),"")</f>
        <v/>
      </c>
      <c r="BO298" s="521" t="str">
        <f>IFERROR(IF(données_step[[#This Row],[E_PTOT]]/données_step[[#This Row],[E_COT]]=0,NA(),données_step[[#This Row],[E_PTOT]]/données_step[[#This Row],[E_COT]]),"")</f>
        <v/>
      </c>
      <c r="BP298" s="521" t="e">
        <f>IF(données_step[[#This Row],[E_DCO]]/données_step[[#This Row],[E_COT]]=0,NA(),données_step[[#This Row],[E_DCO]]/données_step[[#This Row],[E_COT]])</f>
        <v>#DIV/0!</v>
      </c>
      <c r="BQ298" s="521" t="e">
        <f>IF(données_step[[#This Row],[E_NTOT]]/données_step[[#This Row],[E_DCO]]=0,NA(),données_step[[#This Row],[E_NTOT]]/données_step[[#This Row],[E_DCO]])</f>
        <v>#DIV/0!</v>
      </c>
      <c r="BR298" s="521" t="e">
        <f>IF(données_step[[#This Row],[E_PTOT]]/données_step[[#This Row],[E_DCO]]=0,NA(),données_step[[#This Row],[E_PTOT]]/données_step[[#This Row],[E_DCO]])</f>
        <v>#DIV/0!</v>
      </c>
      <c r="BS298" s="747" t="e">
        <f ca="1">test_NH4_temp(données_step[[#This Row],[S_NH4]],données_step[[#This Row],[Temp_eaux]])</f>
        <v>#NAME?</v>
      </c>
    </row>
    <row r="299" spans="1:71" x14ac:dyDescent="0.2">
      <c r="A299" s="222">
        <f>données_step[[#This Row],[Datum]]</f>
        <v>44850</v>
      </c>
      <c r="B299" s="223"/>
      <c r="C299" s="224">
        <f t="shared" si="79"/>
        <v>1</v>
      </c>
      <c r="D299" s="523" t="str">
        <f>IF(OR(données_step[[#This Row],[E_DBO5]]&lt;=0,données_step[[#This Row],[E_DBO5]]=""),"",données_step[[#This Row],[D_QTRAI]]*données_step[[#This Row],[E_DBO5]]/1000)</f>
        <v/>
      </c>
      <c r="E299" s="523" t="str">
        <f>IF(OR(données_step[[#This Row],[E_DCO]]&lt;=0,données_step[[#This Row],[E_DCO]]=""),"",données_step[[#This Row],[D_QTRAI]]*données_step[[#This Row],[E_DCO]]/1000)</f>
        <v/>
      </c>
      <c r="F299" s="523" t="str">
        <f>IF(OR(données_step[[#This Row],[E_COT]]&lt;=0,données_step[[#This Row],[E_COT]]=""),"",données_step[[#This Row],[D_QTRAI]]*données_step[[#This Row],[E_COT]]/1000)</f>
        <v/>
      </c>
      <c r="G299" s="523" t="str">
        <f>IF(OR(données_step[[#This Row],[E_NH4]]&lt;=0,données_step[[#This Row],[E_NH4]]=""),"",données_step[[#This Row],[D_QTRAI]]*données_step[[#This Row],[E_NH4]]/1000)</f>
        <v/>
      </c>
      <c r="H299" s="523" t="str">
        <f>IF(OR(données_step[[#This Row],[E_NTOT]]&lt;=0,données_step[[#This Row],[E_NTOT]]=""),"",données_step[[#This Row],[D_QTRAI]]*données_step[[#This Row],[E_NTOT]]/1000)</f>
        <v/>
      </c>
      <c r="I299" s="523" t="str">
        <f>IF(OR(données_step[[#This Row],[E_NTOT]]&lt;=0,données_step[[#This Row],[E_NTOT]]=""),"",données_step[[#This Row],[D_QTRAI]]*données_step[[#This Row],[E_PTOT]]/1000)</f>
        <v/>
      </c>
      <c r="J299" s="523" t="str">
        <f>IF(OR(données_step[[#This Row],[S_DBO5]]&lt;=0,données_step[[#This Row],[S_DBO5]]=""),"",données_step[[#This Row],[D_QTRAI]]*données_step[[#This Row],[S_DBO5]]/1000)</f>
        <v/>
      </c>
      <c r="K299" s="523" t="str">
        <f>IF(OR(données_step[[#This Row],[S_DCO]]&lt;=0,données_step[[#This Row],[S_DCO]]=""),"",données_step[[#This Row],[D_QTRAI]]*données_step[[#This Row],[S_DCO]]/1000)</f>
        <v/>
      </c>
      <c r="L299" s="523" t="str">
        <f>IF(OR(données_step[[#This Row],[S_COD]]&lt;=0,données_step[[#This Row],[S_COD]]=""),"",données_step[[#This Row],[D_QTRAI]]*données_step[[#This Row],[S_COD]]/1000)</f>
        <v/>
      </c>
      <c r="M299" s="523" t="str">
        <f>IF(OR(données_step[[#This Row],[S_NH4]]&lt;=0,données_step[[#This Row],[S_NH4]]=""),"",données_step[[#This Row],[D_QTRAI]]*données_step[[#This Row],[S_NH4]]/1000)</f>
        <v/>
      </c>
      <c r="N299" s="523" t="str">
        <f>IF(OR(données_step[[#This Row],[S_NO2]]&lt;=0,données_step[[#This Row],[S_NO2]]=""),"",données_step[[#This Row],[D_QTRAI]]*données_step[[#This Row],[S_NO2]]/1000)</f>
        <v/>
      </c>
      <c r="O299" s="523" t="str">
        <f>IF(OR(données_step[[#This Row],[S_NO3]]&lt;=0,données_step[[#This Row],[S_NO3]]=""),"",données_step[[#This Row],[D_QTRAI]]*données_step[[#This Row],[S_NO3]]/1000)</f>
        <v/>
      </c>
      <c r="P299" s="523" t="str">
        <f>IF(OR(données_step[[#This Row],[S_PTOT]]&lt;=0,données_step[[#This Row],[S_PTOT]]=""),"",données_step[[#This Row],[D_QTRAI]]*données_step[[#This Row],[S_PTOT]]/1000)</f>
        <v/>
      </c>
      <c r="Q299" s="523" t="str">
        <f>IF(OR(données_step[[#This Row],[S_MES]]&lt;=0,données_step[[#This Row],[S_MES]]=""),"",données_step[[#This Row],[D_QTRAI]]*données_step[[#This Row],[S_MES]]/1000)</f>
        <v/>
      </c>
      <c r="R299" s="523">
        <f>MAX(données_step[[#This Row],[D_QTRAI]],données_step[[#This Row],[D_QTRAI2]])</f>
        <v>0</v>
      </c>
      <c r="S299" s="523" t="str">
        <f>IF(AND($R299&gt;0,données_step[[#This Row],[E_DCO]]&gt;0),données_step[[#This Row],[E_DCO]],"")</f>
        <v/>
      </c>
      <c r="T299" s="523" t="str">
        <f>IF(S299="","",(1-données_step[[#This Row],[E_DCO]]/$V$7)*100)</f>
        <v/>
      </c>
      <c r="U299" s="523" t="str">
        <f t="shared" si="65"/>
        <v/>
      </c>
      <c r="V299" s="523" t="str">
        <f t="shared" si="66"/>
        <v/>
      </c>
      <c r="W299" s="523" t="str">
        <f t="shared" si="67"/>
        <v/>
      </c>
      <c r="X299" s="523" t="e">
        <f>IF(((100-100/$V$7*données_step[[#This Row],[E_DCO]])/100*QTS)&lt;0,NA(),IF(OR(U299&lt;0,U299=""),NA(),((100-100/$V$7*données_step[[#This Row],[E_DCO]])/100*QTS)))</f>
        <v>#NUM!</v>
      </c>
      <c r="Y299" s="523" t="str">
        <f>IF(AND($R299&gt;0,données_step[[#This Row],[E_COT]]&gt;0),données_step[[#This Row],[E_COT]],"")</f>
        <v/>
      </c>
      <c r="Z299" s="523" t="str">
        <f>IF(Y299="","",(1-données_step[[#This Row],[E_COT]]/$AB$7)*100)</f>
        <v/>
      </c>
      <c r="AA299" s="523" t="str">
        <f t="shared" si="68"/>
        <v/>
      </c>
      <c r="AB299" s="523" t="str">
        <f t="shared" si="69"/>
        <v/>
      </c>
      <c r="AC299" s="523" t="str">
        <f t="shared" si="70"/>
        <v/>
      </c>
      <c r="AD299" s="523" t="e">
        <f>IF(((100-100/$AB$7*données_step[[#This Row],[E_COT]])/100*QTS)&lt;0,NA(),IF(OR(AA299&lt;0,AA299=""),NA(),((100-100/$AB$7*données_step[[#This Row],[E_COT]])/100*QTS)))</f>
        <v>#NUM!</v>
      </c>
      <c r="AE299" s="523" t="str">
        <f>IF(AND($R299&gt;0,données_step[[#This Row],[E_NH4]]&gt;0),données_step[[#This Row],[E_NH4]],"")</f>
        <v/>
      </c>
      <c r="AF299" s="523" t="str">
        <f>IF(AE299="","",(1-données_step[[#This Row],[E_NH4]]/$AH$7)*100)</f>
        <v/>
      </c>
      <c r="AG299" s="523" t="str">
        <f t="shared" si="71"/>
        <v/>
      </c>
      <c r="AH299" s="523" t="str">
        <f t="shared" si="72"/>
        <v/>
      </c>
      <c r="AI299" s="523" t="str">
        <f t="shared" si="73"/>
        <v/>
      </c>
      <c r="AJ299" s="523" t="e">
        <f>IF(((100-100/$AH$7*données_step[[#This Row],[E_NH4]])/100*QTS)&lt;0,NA(),IF(OR(AG299&lt;0,AG299=""),NA(),((100-100/$AH$7*données_step[[#This Row],[E_NH4]])/100*QTS)))</f>
        <v>#NUM!</v>
      </c>
      <c r="AK299" s="523" t="str">
        <f>IF(AND($R299&gt;0,données_step[[#This Row],[E_PTOT]]&gt;0),données_step[[#This Row],[E_PTOT]],"")</f>
        <v/>
      </c>
      <c r="AL299" s="523" t="str">
        <f>IF(AK299="","",(1-données_step[[#This Row],[E_PTOT]]/$AN$7)*100)</f>
        <v/>
      </c>
      <c r="AM299" s="523" t="str">
        <f t="shared" si="74"/>
        <v/>
      </c>
      <c r="AN299" s="523" t="str">
        <f t="shared" si="75"/>
        <v/>
      </c>
      <c r="AO299" s="523" t="str">
        <f t="shared" si="76"/>
        <v/>
      </c>
      <c r="AP299" s="523" t="e">
        <f>IF(((100-100/$AN$7*données_step[[#This Row],[E_PTOT]])/100*QTS)&lt;0,NA(),IF(OR(AM299&lt;0,AM299=""),NA(),((100-100/$AN$7*données_step[[#This Row],[E_PTOT]])/100*QTS)))</f>
        <v>#NUM!</v>
      </c>
      <c r="AQ299" s="524" t="e">
        <f t="shared" si="77"/>
        <v>#NUM!</v>
      </c>
      <c r="AR299" s="524" t="str">
        <f t="shared" si="78"/>
        <v/>
      </c>
      <c r="AY299" s="523" t="str">
        <f>_xlfn.IFNA(IF(données_step[[#This Row],[E_DCO]]&lt;=0,NA(),charge_entree[[#This Row],[ch_E_DCO]]/constanten!$B$8*1000),"")</f>
        <v/>
      </c>
      <c r="AZ299" s="523" t="str">
        <f>_xlfn.IFNA(IF(données_step[[#This Row],[E_NTOT]]&lt;=0,NA(),charge_entree[[#This Row],[ch_E_NTOT]]/constanten!$B$10*1000),"")</f>
        <v/>
      </c>
      <c r="BA299" s="523" t="str">
        <f>_xlfn.IFNA(IF(données_step[[#This Row],[E_NH4]]&lt;=0,NA(),charge_entree[[#This Row],[ch_E_NH4]]/constanten!$B$12*1000),"")</f>
        <v/>
      </c>
      <c r="BB299" s="523" t="str">
        <f>_xlfn.IFNA(IF(données_step[[#This Row],[E_COT]]&lt;=0,NA(),charge_entree[[#This Row],[ch_E_COT]]/constanten!$B$9*1000),"")</f>
        <v/>
      </c>
      <c r="BC299" s="523" t="str">
        <f>IFERROR(_xlfn.IFNA(IF(données_step[[#This Row],[E_PTOT]]&lt;=0,NA(),charge_entree[[#This Row],[ch_E_PTOT]]/constanten!$B$15*1000),""),"")</f>
        <v/>
      </c>
      <c r="BD299" s="535" t="e">
        <f>calculs!E299 * (1-0.4) / (données_step[[#This Row],[X_BA_VOL]]*données_step[[#This Row],[X_BACONC]])</f>
        <v>#VALUE!</v>
      </c>
      <c r="BE299" s="522" t="e">
        <f>(données_step[[#This Row],[X_BA_VOL]]*données_step[[#This Row],[X_BACONC]])/((données_step[[#This Row],[D_QTRAI2]]*données_step[[#This Row],[S_MES]]/1000)+(données_step[[#This Row],[X_BX_Q]]*données_step[[#This Row],[X_BXCONC]]))</f>
        <v>#VALUE!</v>
      </c>
      <c r="BF299" s="890" t="str">
        <f>IFERROR(données_step[[#This Row],[D_QTRAI]]/AY299*1000,"")</f>
        <v/>
      </c>
      <c r="BG299" s="535" t="str">
        <f>IFERROR(1-données_step[[#This Row],[S_DBO5]]/données_step[[#This Row],[E_DBO5]],"")</f>
        <v/>
      </c>
      <c r="BH299" s="536" t="str">
        <f>IFERROR(1-données_step[[#This Row],[S_DCO]]/données_step[[#This Row],[E_DCO]],"")</f>
        <v/>
      </c>
      <c r="BI299" s="535" t="str">
        <f>IFERROR(1-données_step[[#This Row],[S_COD]]/données_step[[#This Row],[E_COT]],"")</f>
        <v/>
      </c>
      <c r="BJ299" s="535" t="str">
        <f>IFERROR(1-données_step[[#This Row],[S_NH4]]/données_step[[#This Row],[E_NTOT]],"")</f>
        <v/>
      </c>
      <c r="BK299" s="535" t="str">
        <f>IFERROR(1-données_step[[#This Row],[S_PTOT]]/données_step[[#This Row],[E_PTOT]],"")</f>
        <v/>
      </c>
      <c r="BL299" s="521" t="str">
        <f>IFERROR(IF(données_step[[#This Row],[E_DCO]]/données_step[[#This Row],[E_DBO5]]=0,NA(),données_step[[#This Row],[E_DCO]]/données_step[[#This Row],[E_DBO5]]),"")</f>
        <v/>
      </c>
      <c r="BM299" s="521" t="str">
        <f>IFERROR(IF(données_step[[#This Row],[E_NH4]]/données_step[[#This Row],[E_NTOT]]=0,NA(),données_step[[#This Row],[E_NH4]]/données_step[[#This Row],[E_NTOT]]),"")</f>
        <v/>
      </c>
      <c r="BN299" s="521" t="str">
        <f>IFERROR(IF(données_step[[#This Row],[E_NTOT]]/données_step[[#This Row],[E_COT]]=0,NA(),données_step[[#This Row],[E_NTOT]]/données_step[[#This Row],[E_COT]]),"")</f>
        <v/>
      </c>
      <c r="BO299" s="521" t="str">
        <f>IFERROR(IF(données_step[[#This Row],[E_PTOT]]/données_step[[#This Row],[E_COT]]=0,NA(),données_step[[#This Row],[E_PTOT]]/données_step[[#This Row],[E_COT]]),"")</f>
        <v/>
      </c>
      <c r="BP299" s="521" t="e">
        <f>IF(données_step[[#This Row],[E_DCO]]/données_step[[#This Row],[E_COT]]=0,NA(),données_step[[#This Row],[E_DCO]]/données_step[[#This Row],[E_COT]])</f>
        <v>#DIV/0!</v>
      </c>
      <c r="BQ299" s="521" t="e">
        <f>IF(données_step[[#This Row],[E_NTOT]]/données_step[[#This Row],[E_DCO]]=0,NA(),données_step[[#This Row],[E_NTOT]]/données_step[[#This Row],[E_DCO]])</f>
        <v>#DIV/0!</v>
      </c>
      <c r="BR299" s="521" t="e">
        <f>IF(données_step[[#This Row],[E_PTOT]]/données_step[[#This Row],[E_DCO]]=0,NA(),données_step[[#This Row],[E_PTOT]]/données_step[[#This Row],[E_DCO]])</f>
        <v>#DIV/0!</v>
      </c>
      <c r="BS299" s="747" t="e">
        <f ca="1">test_NH4_temp(données_step[[#This Row],[S_NH4]],données_step[[#This Row],[Temp_eaux]])</f>
        <v>#NAME?</v>
      </c>
    </row>
    <row r="300" spans="1:71" x14ac:dyDescent="0.2">
      <c r="A300" s="222">
        <f>données_step[[#This Row],[Datum]]</f>
        <v>44851</v>
      </c>
      <c r="B300" s="223"/>
      <c r="C300" s="224">
        <f t="shared" si="79"/>
        <v>2</v>
      </c>
      <c r="D300" s="523" t="str">
        <f>IF(OR(données_step[[#This Row],[E_DBO5]]&lt;=0,données_step[[#This Row],[E_DBO5]]=""),"",données_step[[#This Row],[D_QTRAI]]*données_step[[#This Row],[E_DBO5]]/1000)</f>
        <v/>
      </c>
      <c r="E300" s="523" t="str">
        <f>IF(OR(données_step[[#This Row],[E_DCO]]&lt;=0,données_step[[#This Row],[E_DCO]]=""),"",données_step[[#This Row],[D_QTRAI]]*données_step[[#This Row],[E_DCO]]/1000)</f>
        <v/>
      </c>
      <c r="F300" s="523" t="str">
        <f>IF(OR(données_step[[#This Row],[E_COT]]&lt;=0,données_step[[#This Row],[E_COT]]=""),"",données_step[[#This Row],[D_QTRAI]]*données_step[[#This Row],[E_COT]]/1000)</f>
        <v/>
      </c>
      <c r="G300" s="523" t="str">
        <f>IF(OR(données_step[[#This Row],[E_NH4]]&lt;=0,données_step[[#This Row],[E_NH4]]=""),"",données_step[[#This Row],[D_QTRAI]]*données_step[[#This Row],[E_NH4]]/1000)</f>
        <v/>
      </c>
      <c r="H300" s="523" t="str">
        <f>IF(OR(données_step[[#This Row],[E_NTOT]]&lt;=0,données_step[[#This Row],[E_NTOT]]=""),"",données_step[[#This Row],[D_QTRAI]]*données_step[[#This Row],[E_NTOT]]/1000)</f>
        <v/>
      </c>
      <c r="I300" s="523" t="str">
        <f>IF(OR(données_step[[#This Row],[E_NTOT]]&lt;=0,données_step[[#This Row],[E_NTOT]]=""),"",données_step[[#This Row],[D_QTRAI]]*données_step[[#This Row],[E_PTOT]]/1000)</f>
        <v/>
      </c>
      <c r="J300" s="523" t="str">
        <f>IF(OR(données_step[[#This Row],[S_DBO5]]&lt;=0,données_step[[#This Row],[S_DBO5]]=""),"",données_step[[#This Row],[D_QTRAI]]*données_step[[#This Row],[S_DBO5]]/1000)</f>
        <v/>
      </c>
      <c r="K300" s="523" t="str">
        <f>IF(OR(données_step[[#This Row],[S_DCO]]&lt;=0,données_step[[#This Row],[S_DCO]]=""),"",données_step[[#This Row],[D_QTRAI]]*données_step[[#This Row],[S_DCO]]/1000)</f>
        <v/>
      </c>
      <c r="L300" s="523" t="str">
        <f>IF(OR(données_step[[#This Row],[S_COD]]&lt;=0,données_step[[#This Row],[S_COD]]=""),"",données_step[[#This Row],[D_QTRAI]]*données_step[[#This Row],[S_COD]]/1000)</f>
        <v/>
      </c>
      <c r="M300" s="523" t="str">
        <f>IF(OR(données_step[[#This Row],[S_NH4]]&lt;=0,données_step[[#This Row],[S_NH4]]=""),"",données_step[[#This Row],[D_QTRAI]]*données_step[[#This Row],[S_NH4]]/1000)</f>
        <v/>
      </c>
      <c r="N300" s="523" t="str">
        <f>IF(OR(données_step[[#This Row],[S_NO2]]&lt;=0,données_step[[#This Row],[S_NO2]]=""),"",données_step[[#This Row],[D_QTRAI]]*données_step[[#This Row],[S_NO2]]/1000)</f>
        <v/>
      </c>
      <c r="O300" s="523" t="str">
        <f>IF(OR(données_step[[#This Row],[S_NO3]]&lt;=0,données_step[[#This Row],[S_NO3]]=""),"",données_step[[#This Row],[D_QTRAI]]*données_step[[#This Row],[S_NO3]]/1000)</f>
        <v/>
      </c>
      <c r="P300" s="523" t="str">
        <f>IF(OR(données_step[[#This Row],[S_PTOT]]&lt;=0,données_step[[#This Row],[S_PTOT]]=""),"",données_step[[#This Row],[D_QTRAI]]*données_step[[#This Row],[S_PTOT]]/1000)</f>
        <v/>
      </c>
      <c r="Q300" s="523" t="str">
        <f>IF(OR(données_step[[#This Row],[S_MES]]&lt;=0,données_step[[#This Row],[S_MES]]=""),"",données_step[[#This Row],[D_QTRAI]]*données_step[[#This Row],[S_MES]]/1000)</f>
        <v/>
      </c>
      <c r="R300" s="523">
        <f>MAX(données_step[[#This Row],[D_QTRAI]],données_step[[#This Row],[D_QTRAI2]])</f>
        <v>0</v>
      </c>
      <c r="S300" s="523" t="str">
        <f>IF(AND($R300&gt;0,données_step[[#This Row],[E_DCO]]&gt;0),données_step[[#This Row],[E_DCO]],"")</f>
        <v/>
      </c>
      <c r="T300" s="523" t="str">
        <f>IF(S300="","",(1-données_step[[#This Row],[E_DCO]]/$V$7)*100)</f>
        <v/>
      </c>
      <c r="U300" s="523" t="str">
        <f t="shared" si="65"/>
        <v/>
      </c>
      <c r="V300" s="523" t="str">
        <f t="shared" si="66"/>
        <v/>
      </c>
      <c r="W300" s="523" t="str">
        <f t="shared" si="67"/>
        <v/>
      </c>
      <c r="X300" s="523" t="e">
        <f>IF(((100-100/$V$7*données_step[[#This Row],[E_DCO]])/100*QTS)&lt;0,NA(),IF(OR(U300&lt;0,U300=""),NA(),((100-100/$V$7*données_step[[#This Row],[E_DCO]])/100*QTS)))</f>
        <v>#NUM!</v>
      </c>
      <c r="Y300" s="523" t="str">
        <f>IF(AND($R300&gt;0,données_step[[#This Row],[E_COT]]&gt;0),données_step[[#This Row],[E_COT]],"")</f>
        <v/>
      </c>
      <c r="Z300" s="523" t="str">
        <f>IF(Y300="","",(1-données_step[[#This Row],[E_COT]]/$AB$7)*100)</f>
        <v/>
      </c>
      <c r="AA300" s="523" t="str">
        <f t="shared" si="68"/>
        <v/>
      </c>
      <c r="AB300" s="523" t="str">
        <f t="shared" si="69"/>
        <v/>
      </c>
      <c r="AC300" s="523" t="str">
        <f t="shared" si="70"/>
        <v/>
      </c>
      <c r="AD300" s="523" t="e">
        <f>IF(((100-100/$AB$7*données_step[[#This Row],[E_COT]])/100*QTS)&lt;0,NA(),IF(OR(AA300&lt;0,AA300=""),NA(),((100-100/$AB$7*données_step[[#This Row],[E_COT]])/100*QTS)))</f>
        <v>#NUM!</v>
      </c>
      <c r="AE300" s="523" t="str">
        <f>IF(AND($R300&gt;0,données_step[[#This Row],[E_NH4]]&gt;0),données_step[[#This Row],[E_NH4]],"")</f>
        <v/>
      </c>
      <c r="AF300" s="523" t="str">
        <f>IF(AE300="","",(1-données_step[[#This Row],[E_NH4]]/$AH$7)*100)</f>
        <v/>
      </c>
      <c r="AG300" s="523" t="str">
        <f t="shared" si="71"/>
        <v/>
      </c>
      <c r="AH300" s="523" t="str">
        <f t="shared" si="72"/>
        <v/>
      </c>
      <c r="AI300" s="523" t="str">
        <f t="shared" si="73"/>
        <v/>
      </c>
      <c r="AJ300" s="523" t="e">
        <f>IF(((100-100/$AH$7*données_step[[#This Row],[E_NH4]])/100*QTS)&lt;0,NA(),IF(OR(AG300&lt;0,AG300=""),NA(),((100-100/$AH$7*données_step[[#This Row],[E_NH4]])/100*QTS)))</f>
        <v>#NUM!</v>
      </c>
      <c r="AK300" s="523" t="str">
        <f>IF(AND($R300&gt;0,données_step[[#This Row],[E_PTOT]]&gt;0),données_step[[#This Row],[E_PTOT]],"")</f>
        <v/>
      </c>
      <c r="AL300" s="523" t="str">
        <f>IF(AK300="","",(1-données_step[[#This Row],[E_PTOT]]/$AN$7)*100)</f>
        <v/>
      </c>
      <c r="AM300" s="523" t="str">
        <f t="shared" si="74"/>
        <v/>
      </c>
      <c r="AN300" s="523" t="str">
        <f t="shared" si="75"/>
        <v/>
      </c>
      <c r="AO300" s="523" t="str">
        <f t="shared" si="76"/>
        <v/>
      </c>
      <c r="AP300" s="523" t="e">
        <f>IF(((100-100/$AN$7*données_step[[#This Row],[E_PTOT]])/100*QTS)&lt;0,NA(),IF(OR(AM300&lt;0,AM300=""),NA(),((100-100/$AN$7*données_step[[#This Row],[E_PTOT]])/100*QTS)))</f>
        <v>#NUM!</v>
      </c>
      <c r="AQ300" s="524" t="e">
        <f t="shared" si="77"/>
        <v>#NUM!</v>
      </c>
      <c r="AR300" s="524" t="str">
        <f t="shared" si="78"/>
        <v/>
      </c>
      <c r="AY300" s="523" t="str">
        <f>_xlfn.IFNA(IF(données_step[[#This Row],[E_DCO]]&lt;=0,NA(),charge_entree[[#This Row],[ch_E_DCO]]/constanten!$B$8*1000),"")</f>
        <v/>
      </c>
      <c r="AZ300" s="523" t="str">
        <f>_xlfn.IFNA(IF(données_step[[#This Row],[E_NTOT]]&lt;=0,NA(),charge_entree[[#This Row],[ch_E_NTOT]]/constanten!$B$10*1000),"")</f>
        <v/>
      </c>
      <c r="BA300" s="523" t="str">
        <f>_xlfn.IFNA(IF(données_step[[#This Row],[E_NH4]]&lt;=0,NA(),charge_entree[[#This Row],[ch_E_NH4]]/constanten!$B$12*1000),"")</f>
        <v/>
      </c>
      <c r="BB300" s="523" t="str">
        <f>_xlfn.IFNA(IF(données_step[[#This Row],[E_COT]]&lt;=0,NA(),charge_entree[[#This Row],[ch_E_COT]]/constanten!$B$9*1000),"")</f>
        <v/>
      </c>
      <c r="BC300" s="523" t="str">
        <f>IFERROR(_xlfn.IFNA(IF(données_step[[#This Row],[E_PTOT]]&lt;=0,NA(),charge_entree[[#This Row],[ch_E_PTOT]]/constanten!$B$15*1000),""),"")</f>
        <v/>
      </c>
      <c r="BD300" s="535" t="e">
        <f>calculs!E300 * (1-0.4) / (données_step[[#This Row],[X_BA_VOL]]*données_step[[#This Row],[X_BACONC]])</f>
        <v>#VALUE!</v>
      </c>
      <c r="BE300" s="522" t="e">
        <f>(données_step[[#This Row],[X_BA_VOL]]*données_step[[#This Row],[X_BACONC]])/((données_step[[#This Row],[D_QTRAI2]]*données_step[[#This Row],[S_MES]]/1000)+(données_step[[#This Row],[X_BX_Q]]*données_step[[#This Row],[X_BXCONC]]))</f>
        <v>#VALUE!</v>
      </c>
      <c r="BF300" s="890" t="str">
        <f>IFERROR(données_step[[#This Row],[D_QTRAI]]/AY300*1000,"")</f>
        <v/>
      </c>
      <c r="BG300" s="535" t="str">
        <f>IFERROR(1-données_step[[#This Row],[S_DBO5]]/données_step[[#This Row],[E_DBO5]],"")</f>
        <v/>
      </c>
      <c r="BH300" s="536" t="str">
        <f>IFERROR(1-données_step[[#This Row],[S_DCO]]/données_step[[#This Row],[E_DCO]],"")</f>
        <v/>
      </c>
      <c r="BI300" s="535" t="str">
        <f>IFERROR(1-données_step[[#This Row],[S_COD]]/données_step[[#This Row],[E_COT]],"")</f>
        <v/>
      </c>
      <c r="BJ300" s="535" t="str">
        <f>IFERROR(1-données_step[[#This Row],[S_NH4]]/données_step[[#This Row],[E_NTOT]],"")</f>
        <v/>
      </c>
      <c r="BK300" s="535" t="str">
        <f>IFERROR(1-données_step[[#This Row],[S_PTOT]]/données_step[[#This Row],[E_PTOT]],"")</f>
        <v/>
      </c>
      <c r="BL300" s="521" t="str">
        <f>IFERROR(IF(données_step[[#This Row],[E_DCO]]/données_step[[#This Row],[E_DBO5]]=0,NA(),données_step[[#This Row],[E_DCO]]/données_step[[#This Row],[E_DBO5]]),"")</f>
        <v/>
      </c>
      <c r="BM300" s="521" t="str">
        <f>IFERROR(IF(données_step[[#This Row],[E_NH4]]/données_step[[#This Row],[E_NTOT]]=0,NA(),données_step[[#This Row],[E_NH4]]/données_step[[#This Row],[E_NTOT]]),"")</f>
        <v/>
      </c>
      <c r="BN300" s="521" t="str">
        <f>IFERROR(IF(données_step[[#This Row],[E_NTOT]]/données_step[[#This Row],[E_COT]]=0,NA(),données_step[[#This Row],[E_NTOT]]/données_step[[#This Row],[E_COT]]),"")</f>
        <v/>
      </c>
      <c r="BO300" s="521" t="str">
        <f>IFERROR(IF(données_step[[#This Row],[E_PTOT]]/données_step[[#This Row],[E_COT]]=0,NA(),données_step[[#This Row],[E_PTOT]]/données_step[[#This Row],[E_COT]]),"")</f>
        <v/>
      </c>
      <c r="BP300" s="521" t="e">
        <f>IF(données_step[[#This Row],[E_DCO]]/données_step[[#This Row],[E_COT]]=0,NA(),données_step[[#This Row],[E_DCO]]/données_step[[#This Row],[E_COT]])</f>
        <v>#DIV/0!</v>
      </c>
      <c r="BQ300" s="521" t="e">
        <f>IF(données_step[[#This Row],[E_NTOT]]/données_step[[#This Row],[E_DCO]]=0,NA(),données_step[[#This Row],[E_NTOT]]/données_step[[#This Row],[E_DCO]])</f>
        <v>#DIV/0!</v>
      </c>
      <c r="BR300" s="521" t="e">
        <f>IF(données_step[[#This Row],[E_PTOT]]/données_step[[#This Row],[E_DCO]]=0,NA(),données_step[[#This Row],[E_PTOT]]/données_step[[#This Row],[E_DCO]])</f>
        <v>#DIV/0!</v>
      </c>
      <c r="BS300" s="747" t="e">
        <f ca="1">test_NH4_temp(données_step[[#This Row],[S_NH4]],données_step[[#This Row],[Temp_eaux]])</f>
        <v>#NAME?</v>
      </c>
    </row>
    <row r="301" spans="1:71" x14ac:dyDescent="0.2">
      <c r="A301" s="222">
        <f>données_step[[#This Row],[Datum]]</f>
        <v>44852</v>
      </c>
      <c r="B301" s="223"/>
      <c r="C301" s="224">
        <f t="shared" si="79"/>
        <v>3</v>
      </c>
      <c r="D301" s="523" t="str">
        <f>IF(OR(données_step[[#This Row],[E_DBO5]]&lt;=0,données_step[[#This Row],[E_DBO5]]=""),"",données_step[[#This Row],[D_QTRAI]]*données_step[[#This Row],[E_DBO5]]/1000)</f>
        <v/>
      </c>
      <c r="E301" s="523" t="str">
        <f>IF(OR(données_step[[#This Row],[E_DCO]]&lt;=0,données_step[[#This Row],[E_DCO]]=""),"",données_step[[#This Row],[D_QTRAI]]*données_step[[#This Row],[E_DCO]]/1000)</f>
        <v/>
      </c>
      <c r="F301" s="523" t="str">
        <f>IF(OR(données_step[[#This Row],[E_COT]]&lt;=0,données_step[[#This Row],[E_COT]]=""),"",données_step[[#This Row],[D_QTRAI]]*données_step[[#This Row],[E_COT]]/1000)</f>
        <v/>
      </c>
      <c r="G301" s="523" t="str">
        <f>IF(OR(données_step[[#This Row],[E_NH4]]&lt;=0,données_step[[#This Row],[E_NH4]]=""),"",données_step[[#This Row],[D_QTRAI]]*données_step[[#This Row],[E_NH4]]/1000)</f>
        <v/>
      </c>
      <c r="H301" s="523" t="str">
        <f>IF(OR(données_step[[#This Row],[E_NTOT]]&lt;=0,données_step[[#This Row],[E_NTOT]]=""),"",données_step[[#This Row],[D_QTRAI]]*données_step[[#This Row],[E_NTOT]]/1000)</f>
        <v/>
      </c>
      <c r="I301" s="523" t="str">
        <f>IF(OR(données_step[[#This Row],[E_NTOT]]&lt;=0,données_step[[#This Row],[E_NTOT]]=""),"",données_step[[#This Row],[D_QTRAI]]*données_step[[#This Row],[E_PTOT]]/1000)</f>
        <v/>
      </c>
      <c r="J301" s="523" t="str">
        <f>IF(OR(données_step[[#This Row],[S_DBO5]]&lt;=0,données_step[[#This Row],[S_DBO5]]=""),"",données_step[[#This Row],[D_QTRAI]]*données_step[[#This Row],[S_DBO5]]/1000)</f>
        <v/>
      </c>
      <c r="K301" s="523" t="str">
        <f>IF(OR(données_step[[#This Row],[S_DCO]]&lt;=0,données_step[[#This Row],[S_DCO]]=""),"",données_step[[#This Row],[D_QTRAI]]*données_step[[#This Row],[S_DCO]]/1000)</f>
        <v/>
      </c>
      <c r="L301" s="523" t="str">
        <f>IF(OR(données_step[[#This Row],[S_COD]]&lt;=0,données_step[[#This Row],[S_COD]]=""),"",données_step[[#This Row],[D_QTRAI]]*données_step[[#This Row],[S_COD]]/1000)</f>
        <v/>
      </c>
      <c r="M301" s="523" t="str">
        <f>IF(OR(données_step[[#This Row],[S_NH4]]&lt;=0,données_step[[#This Row],[S_NH4]]=""),"",données_step[[#This Row],[D_QTRAI]]*données_step[[#This Row],[S_NH4]]/1000)</f>
        <v/>
      </c>
      <c r="N301" s="523" t="str">
        <f>IF(OR(données_step[[#This Row],[S_NO2]]&lt;=0,données_step[[#This Row],[S_NO2]]=""),"",données_step[[#This Row],[D_QTRAI]]*données_step[[#This Row],[S_NO2]]/1000)</f>
        <v/>
      </c>
      <c r="O301" s="523" t="str">
        <f>IF(OR(données_step[[#This Row],[S_NO3]]&lt;=0,données_step[[#This Row],[S_NO3]]=""),"",données_step[[#This Row],[D_QTRAI]]*données_step[[#This Row],[S_NO3]]/1000)</f>
        <v/>
      </c>
      <c r="P301" s="523" t="str">
        <f>IF(OR(données_step[[#This Row],[S_PTOT]]&lt;=0,données_step[[#This Row],[S_PTOT]]=""),"",données_step[[#This Row],[D_QTRAI]]*données_step[[#This Row],[S_PTOT]]/1000)</f>
        <v/>
      </c>
      <c r="Q301" s="523" t="str">
        <f>IF(OR(données_step[[#This Row],[S_MES]]&lt;=0,données_step[[#This Row],[S_MES]]=""),"",données_step[[#This Row],[D_QTRAI]]*données_step[[#This Row],[S_MES]]/1000)</f>
        <v/>
      </c>
      <c r="R301" s="523">
        <f>MAX(données_step[[#This Row],[D_QTRAI]],données_step[[#This Row],[D_QTRAI2]])</f>
        <v>0</v>
      </c>
      <c r="S301" s="523" t="str">
        <f>IF(AND($R301&gt;0,données_step[[#This Row],[E_DCO]]&gt;0),données_step[[#This Row],[E_DCO]],"")</f>
        <v/>
      </c>
      <c r="T301" s="523" t="str">
        <f>IF(S301="","",(1-données_step[[#This Row],[E_DCO]]/$V$7)*100)</f>
        <v/>
      </c>
      <c r="U301" s="523" t="str">
        <f t="shared" si="65"/>
        <v/>
      </c>
      <c r="V301" s="523" t="str">
        <f t="shared" si="66"/>
        <v/>
      </c>
      <c r="W301" s="523" t="str">
        <f t="shared" si="67"/>
        <v/>
      </c>
      <c r="X301" s="523" t="e">
        <f>IF(((100-100/$V$7*données_step[[#This Row],[E_DCO]])/100*QTS)&lt;0,NA(),IF(OR(U301&lt;0,U301=""),NA(),((100-100/$V$7*données_step[[#This Row],[E_DCO]])/100*QTS)))</f>
        <v>#NUM!</v>
      </c>
      <c r="Y301" s="523" t="str">
        <f>IF(AND($R301&gt;0,données_step[[#This Row],[E_COT]]&gt;0),données_step[[#This Row],[E_COT]],"")</f>
        <v/>
      </c>
      <c r="Z301" s="523" t="str">
        <f>IF(Y301="","",(1-données_step[[#This Row],[E_COT]]/$AB$7)*100)</f>
        <v/>
      </c>
      <c r="AA301" s="523" t="str">
        <f t="shared" si="68"/>
        <v/>
      </c>
      <c r="AB301" s="523" t="str">
        <f t="shared" si="69"/>
        <v/>
      </c>
      <c r="AC301" s="523" t="str">
        <f t="shared" si="70"/>
        <v/>
      </c>
      <c r="AD301" s="523" t="e">
        <f>IF(((100-100/$AB$7*données_step[[#This Row],[E_COT]])/100*QTS)&lt;0,NA(),IF(OR(AA301&lt;0,AA301=""),NA(),((100-100/$AB$7*données_step[[#This Row],[E_COT]])/100*QTS)))</f>
        <v>#NUM!</v>
      </c>
      <c r="AE301" s="523" t="str">
        <f>IF(AND($R301&gt;0,données_step[[#This Row],[E_NH4]]&gt;0),données_step[[#This Row],[E_NH4]],"")</f>
        <v/>
      </c>
      <c r="AF301" s="523" t="str">
        <f>IF(AE301="","",(1-données_step[[#This Row],[E_NH4]]/$AH$7)*100)</f>
        <v/>
      </c>
      <c r="AG301" s="523" t="str">
        <f t="shared" si="71"/>
        <v/>
      </c>
      <c r="AH301" s="523" t="str">
        <f t="shared" si="72"/>
        <v/>
      </c>
      <c r="AI301" s="523" t="str">
        <f t="shared" si="73"/>
        <v/>
      </c>
      <c r="AJ301" s="523" t="e">
        <f>IF(((100-100/$AH$7*données_step[[#This Row],[E_NH4]])/100*QTS)&lt;0,NA(),IF(OR(AG301&lt;0,AG301=""),NA(),((100-100/$AH$7*données_step[[#This Row],[E_NH4]])/100*QTS)))</f>
        <v>#NUM!</v>
      </c>
      <c r="AK301" s="523" t="str">
        <f>IF(AND($R301&gt;0,données_step[[#This Row],[E_PTOT]]&gt;0),données_step[[#This Row],[E_PTOT]],"")</f>
        <v/>
      </c>
      <c r="AL301" s="523" t="str">
        <f>IF(AK301="","",(1-données_step[[#This Row],[E_PTOT]]/$AN$7)*100)</f>
        <v/>
      </c>
      <c r="AM301" s="523" t="str">
        <f t="shared" si="74"/>
        <v/>
      </c>
      <c r="AN301" s="523" t="str">
        <f t="shared" si="75"/>
        <v/>
      </c>
      <c r="AO301" s="523" t="str">
        <f t="shared" si="76"/>
        <v/>
      </c>
      <c r="AP301" s="523" t="e">
        <f>IF(((100-100/$AN$7*données_step[[#This Row],[E_PTOT]])/100*QTS)&lt;0,NA(),IF(OR(AM301&lt;0,AM301=""),NA(),((100-100/$AN$7*données_step[[#This Row],[E_PTOT]])/100*QTS)))</f>
        <v>#NUM!</v>
      </c>
      <c r="AQ301" s="524" t="e">
        <f t="shared" si="77"/>
        <v>#NUM!</v>
      </c>
      <c r="AR301" s="524" t="str">
        <f t="shared" si="78"/>
        <v/>
      </c>
      <c r="AY301" s="523" t="str">
        <f>_xlfn.IFNA(IF(données_step[[#This Row],[E_DCO]]&lt;=0,NA(),charge_entree[[#This Row],[ch_E_DCO]]/constanten!$B$8*1000),"")</f>
        <v/>
      </c>
      <c r="AZ301" s="523" t="str">
        <f>_xlfn.IFNA(IF(données_step[[#This Row],[E_NTOT]]&lt;=0,NA(),charge_entree[[#This Row],[ch_E_NTOT]]/constanten!$B$10*1000),"")</f>
        <v/>
      </c>
      <c r="BA301" s="523" t="str">
        <f>_xlfn.IFNA(IF(données_step[[#This Row],[E_NH4]]&lt;=0,NA(),charge_entree[[#This Row],[ch_E_NH4]]/constanten!$B$12*1000),"")</f>
        <v/>
      </c>
      <c r="BB301" s="523" t="str">
        <f>_xlfn.IFNA(IF(données_step[[#This Row],[E_COT]]&lt;=0,NA(),charge_entree[[#This Row],[ch_E_COT]]/constanten!$B$9*1000),"")</f>
        <v/>
      </c>
      <c r="BC301" s="523" t="str">
        <f>IFERROR(_xlfn.IFNA(IF(données_step[[#This Row],[E_PTOT]]&lt;=0,NA(),charge_entree[[#This Row],[ch_E_PTOT]]/constanten!$B$15*1000),""),"")</f>
        <v/>
      </c>
      <c r="BD301" s="535" t="e">
        <f>calculs!E301 * (1-0.4) / (données_step[[#This Row],[X_BA_VOL]]*données_step[[#This Row],[X_BACONC]])</f>
        <v>#VALUE!</v>
      </c>
      <c r="BE301" s="522" t="e">
        <f>(données_step[[#This Row],[X_BA_VOL]]*données_step[[#This Row],[X_BACONC]])/((données_step[[#This Row],[D_QTRAI2]]*données_step[[#This Row],[S_MES]]/1000)+(données_step[[#This Row],[X_BX_Q]]*données_step[[#This Row],[X_BXCONC]]))</f>
        <v>#VALUE!</v>
      </c>
      <c r="BF301" s="890" t="str">
        <f>IFERROR(données_step[[#This Row],[D_QTRAI]]/AY301*1000,"")</f>
        <v/>
      </c>
      <c r="BG301" s="535" t="str">
        <f>IFERROR(1-données_step[[#This Row],[S_DBO5]]/données_step[[#This Row],[E_DBO5]],"")</f>
        <v/>
      </c>
      <c r="BH301" s="536" t="str">
        <f>IFERROR(1-données_step[[#This Row],[S_DCO]]/données_step[[#This Row],[E_DCO]],"")</f>
        <v/>
      </c>
      <c r="BI301" s="535" t="str">
        <f>IFERROR(1-données_step[[#This Row],[S_COD]]/données_step[[#This Row],[E_COT]],"")</f>
        <v/>
      </c>
      <c r="BJ301" s="535" t="str">
        <f>IFERROR(1-données_step[[#This Row],[S_NH4]]/données_step[[#This Row],[E_NTOT]],"")</f>
        <v/>
      </c>
      <c r="BK301" s="535" t="str">
        <f>IFERROR(1-données_step[[#This Row],[S_PTOT]]/données_step[[#This Row],[E_PTOT]],"")</f>
        <v/>
      </c>
      <c r="BL301" s="521" t="str">
        <f>IFERROR(IF(données_step[[#This Row],[E_DCO]]/données_step[[#This Row],[E_DBO5]]=0,NA(),données_step[[#This Row],[E_DCO]]/données_step[[#This Row],[E_DBO5]]),"")</f>
        <v/>
      </c>
      <c r="BM301" s="521" t="str">
        <f>IFERROR(IF(données_step[[#This Row],[E_NH4]]/données_step[[#This Row],[E_NTOT]]=0,NA(),données_step[[#This Row],[E_NH4]]/données_step[[#This Row],[E_NTOT]]),"")</f>
        <v/>
      </c>
      <c r="BN301" s="521" t="str">
        <f>IFERROR(IF(données_step[[#This Row],[E_NTOT]]/données_step[[#This Row],[E_COT]]=0,NA(),données_step[[#This Row],[E_NTOT]]/données_step[[#This Row],[E_COT]]),"")</f>
        <v/>
      </c>
      <c r="BO301" s="521" t="str">
        <f>IFERROR(IF(données_step[[#This Row],[E_PTOT]]/données_step[[#This Row],[E_COT]]=0,NA(),données_step[[#This Row],[E_PTOT]]/données_step[[#This Row],[E_COT]]),"")</f>
        <v/>
      </c>
      <c r="BP301" s="521" t="e">
        <f>IF(données_step[[#This Row],[E_DCO]]/données_step[[#This Row],[E_COT]]=0,NA(),données_step[[#This Row],[E_DCO]]/données_step[[#This Row],[E_COT]])</f>
        <v>#DIV/0!</v>
      </c>
      <c r="BQ301" s="521" t="e">
        <f>IF(données_step[[#This Row],[E_NTOT]]/données_step[[#This Row],[E_DCO]]=0,NA(),données_step[[#This Row],[E_NTOT]]/données_step[[#This Row],[E_DCO]])</f>
        <v>#DIV/0!</v>
      </c>
      <c r="BR301" s="521" t="e">
        <f>IF(données_step[[#This Row],[E_PTOT]]/données_step[[#This Row],[E_DCO]]=0,NA(),données_step[[#This Row],[E_PTOT]]/données_step[[#This Row],[E_DCO]])</f>
        <v>#DIV/0!</v>
      </c>
      <c r="BS301" s="747" t="e">
        <f ca="1">test_NH4_temp(données_step[[#This Row],[S_NH4]],données_step[[#This Row],[Temp_eaux]])</f>
        <v>#NAME?</v>
      </c>
    </row>
    <row r="302" spans="1:71" x14ac:dyDescent="0.2">
      <c r="A302" s="222">
        <f>données_step[[#This Row],[Datum]]</f>
        <v>44853</v>
      </c>
      <c r="B302" s="223"/>
      <c r="C302" s="224">
        <f t="shared" si="79"/>
        <v>4</v>
      </c>
      <c r="D302" s="523" t="str">
        <f>IF(OR(données_step[[#This Row],[E_DBO5]]&lt;=0,données_step[[#This Row],[E_DBO5]]=""),"",données_step[[#This Row],[D_QTRAI]]*données_step[[#This Row],[E_DBO5]]/1000)</f>
        <v/>
      </c>
      <c r="E302" s="523" t="str">
        <f>IF(OR(données_step[[#This Row],[E_DCO]]&lt;=0,données_step[[#This Row],[E_DCO]]=""),"",données_step[[#This Row],[D_QTRAI]]*données_step[[#This Row],[E_DCO]]/1000)</f>
        <v/>
      </c>
      <c r="F302" s="523" t="str">
        <f>IF(OR(données_step[[#This Row],[E_COT]]&lt;=0,données_step[[#This Row],[E_COT]]=""),"",données_step[[#This Row],[D_QTRAI]]*données_step[[#This Row],[E_COT]]/1000)</f>
        <v/>
      </c>
      <c r="G302" s="523" t="str">
        <f>IF(OR(données_step[[#This Row],[E_NH4]]&lt;=0,données_step[[#This Row],[E_NH4]]=""),"",données_step[[#This Row],[D_QTRAI]]*données_step[[#This Row],[E_NH4]]/1000)</f>
        <v/>
      </c>
      <c r="H302" s="523" t="str">
        <f>IF(OR(données_step[[#This Row],[E_NTOT]]&lt;=0,données_step[[#This Row],[E_NTOT]]=""),"",données_step[[#This Row],[D_QTRAI]]*données_step[[#This Row],[E_NTOT]]/1000)</f>
        <v/>
      </c>
      <c r="I302" s="523" t="str">
        <f>IF(OR(données_step[[#This Row],[E_NTOT]]&lt;=0,données_step[[#This Row],[E_NTOT]]=""),"",données_step[[#This Row],[D_QTRAI]]*données_step[[#This Row],[E_PTOT]]/1000)</f>
        <v/>
      </c>
      <c r="J302" s="523" t="str">
        <f>IF(OR(données_step[[#This Row],[S_DBO5]]&lt;=0,données_step[[#This Row],[S_DBO5]]=""),"",données_step[[#This Row],[D_QTRAI]]*données_step[[#This Row],[S_DBO5]]/1000)</f>
        <v/>
      </c>
      <c r="K302" s="523" t="str">
        <f>IF(OR(données_step[[#This Row],[S_DCO]]&lt;=0,données_step[[#This Row],[S_DCO]]=""),"",données_step[[#This Row],[D_QTRAI]]*données_step[[#This Row],[S_DCO]]/1000)</f>
        <v/>
      </c>
      <c r="L302" s="523" t="str">
        <f>IF(OR(données_step[[#This Row],[S_COD]]&lt;=0,données_step[[#This Row],[S_COD]]=""),"",données_step[[#This Row],[D_QTRAI]]*données_step[[#This Row],[S_COD]]/1000)</f>
        <v/>
      </c>
      <c r="M302" s="523" t="str">
        <f>IF(OR(données_step[[#This Row],[S_NH4]]&lt;=0,données_step[[#This Row],[S_NH4]]=""),"",données_step[[#This Row],[D_QTRAI]]*données_step[[#This Row],[S_NH4]]/1000)</f>
        <v/>
      </c>
      <c r="N302" s="523" t="str">
        <f>IF(OR(données_step[[#This Row],[S_NO2]]&lt;=0,données_step[[#This Row],[S_NO2]]=""),"",données_step[[#This Row],[D_QTRAI]]*données_step[[#This Row],[S_NO2]]/1000)</f>
        <v/>
      </c>
      <c r="O302" s="523" t="str">
        <f>IF(OR(données_step[[#This Row],[S_NO3]]&lt;=0,données_step[[#This Row],[S_NO3]]=""),"",données_step[[#This Row],[D_QTRAI]]*données_step[[#This Row],[S_NO3]]/1000)</f>
        <v/>
      </c>
      <c r="P302" s="523" t="str">
        <f>IF(OR(données_step[[#This Row],[S_PTOT]]&lt;=0,données_step[[#This Row],[S_PTOT]]=""),"",données_step[[#This Row],[D_QTRAI]]*données_step[[#This Row],[S_PTOT]]/1000)</f>
        <v/>
      </c>
      <c r="Q302" s="523" t="str">
        <f>IF(OR(données_step[[#This Row],[S_MES]]&lt;=0,données_step[[#This Row],[S_MES]]=""),"",données_step[[#This Row],[D_QTRAI]]*données_step[[#This Row],[S_MES]]/1000)</f>
        <v/>
      </c>
      <c r="R302" s="523">
        <f>MAX(données_step[[#This Row],[D_QTRAI]],données_step[[#This Row],[D_QTRAI2]])</f>
        <v>0</v>
      </c>
      <c r="S302" s="523" t="str">
        <f>IF(AND($R302&gt;0,données_step[[#This Row],[E_DCO]]&gt;0),données_step[[#This Row],[E_DCO]],"")</f>
        <v/>
      </c>
      <c r="T302" s="523" t="str">
        <f>IF(S302="","",(1-données_step[[#This Row],[E_DCO]]/$V$7)*100)</f>
        <v/>
      </c>
      <c r="U302" s="523" t="str">
        <f t="shared" si="65"/>
        <v/>
      </c>
      <c r="V302" s="523" t="str">
        <f t="shared" si="66"/>
        <v/>
      </c>
      <c r="W302" s="523" t="str">
        <f t="shared" si="67"/>
        <v/>
      </c>
      <c r="X302" s="523" t="e">
        <f>IF(((100-100/$V$7*données_step[[#This Row],[E_DCO]])/100*QTS)&lt;0,NA(),IF(OR(U302&lt;0,U302=""),NA(),((100-100/$V$7*données_step[[#This Row],[E_DCO]])/100*QTS)))</f>
        <v>#NUM!</v>
      </c>
      <c r="Y302" s="523" t="str">
        <f>IF(AND($R302&gt;0,données_step[[#This Row],[E_COT]]&gt;0),données_step[[#This Row],[E_COT]],"")</f>
        <v/>
      </c>
      <c r="Z302" s="523" t="str">
        <f>IF(Y302="","",(1-données_step[[#This Row],[E_COT]]/$AB$7)*100)</f>
        <v/>
      </c>
      <c r="AA302" s="523" t="str">
        <f t="shared" si="68"/>
        <v/>
      </c>
      <c r="AB302" s="523" t="str">
        <f t="shared" si="69"/>
        <v/>
      </c>
      <c r="AC302" s="523" t="str">
        <f t="shared" si="70"/>
        <v/>
      </c>
      <c r="AD302" s="523" t="e">
        <f>IF(((100-100/$AB$7*données_step[[#This Row],[E_COT]])/100*QTS)&lt;0,NA(),IF(OR(AA302&lt;0,AA302=""),NA(),((100-100/$AB$7*données_step[[#This Row],[E_COT]])/100*QTS)))</f>
        <v>#NUM!</v>
      </c>
      <c r="AE302" s="523" t="str">
        <f>IF(AND($R302&gt;0,données_step[[#This Row],[E_NH4]]&gt;0),données_step[[#This Row],[E_NH4]],"")</f>
        <v/>
      </c>
      <c r="AF302" s="523" t="str">
        <f>IF(AE302="","",(1-données_step[[#This Row],[E_NH4]]/$AH$7)*100)</f>
        <v/>
      </c>
      <c r="AG302" s="523" t="str">
        <f t="shared" si="71"/>
        <v/>
      </c>
      <c r="AH302" s="523" t="str">
        <f t="shared" si="72"/>
        <v/>
      </c>
      <c r="AI302" s="523" t="str">
        <f t="shared" si="73"/>
        <v/>
      </c>
      <c r="AJ302" s="523" t="e">
        <f>IF(((100-100/$AH$7*données_step[[#This Row],[E_NH4]])/100*QTS)&lt;0,NA(),IF(OR(AG302&lt;0,AG302=""),NA(),((100-100/$AH$7*données_step[[#This Row],[E_NH4]])/100*QTS)))</f>
        <v>#NUM!</v>
      </c>
      <c r="AK302" s="523" t="str">
        <f>IF(AND($R302&gt;0,données_step[[#This Row],[E_PTOT]]&gt;0),données_step[[#This Row],[E_PTOT]],"")</f>
        <v/>
      </c>
      <c r="AL302" s="523" t="str">
        <f>IF(AK302="","",(1-données_step[[#This Row],[E_PTOT]]/$AN$7)*100)</f>
        <v/>
      </c>
      <c r="AM302" s="523" t="str">
        <f t="shared" si="74"/>
        <v/>
      </c>
      <c r="AN302" s="523" t="str">
        <f t="shared" si="75"/>
        <v/>
      </c>
      <c r="AO302" s="523" t="str">
        <f t="shared" si="76"/>
        <v/>
      </c>
      <c r="AP302" s="523" t="e">
        <f>IF(((100-100/$AN$7*données_step[[#This Row],[E_PTOT]])/100*QTS)&lt;0,NA(),IF(OR(AM302&lt;0,AM302=""),NA(),((100-100/$AN$7*données_step[[#This Row],[E_PTOT]])/100*QTS)))</f>
        <v>#NUM!</v>
      </c>
      <c r="AQ302" s="524" t="e">
        <f t="shared" si="77"/>
        <v>#NUM!</v>
      </c>
      <c r="AR302" s="524" t="str">
        <f t="shared" si="78"/>
        <v/>
      </c>
      <c r="AY302" s="523" t="str">
        <f>_xlfn.IFNA(IF(données_step[[#This Row],[E_DCO]]&lt;=0,NA(),charge_entree[[#This Row],[ch_E_DCO]]/constanten!$B$8*1000),"")</f>
        <v/>
      </c>
      <c r="AZ302" s="523" t="str">
        <f>_xlfn.IFNA(IF(données_step[[#This Row],[E_NTOT]]&lt;=0,NA(),charge_entree[[#This Row],[ch_E_NTOT]]/constanten!$B$10*1000),"")</f>
        <v/>
      </c>
      <c r="BA302" s="523" t="str">
        <f>_xlfn.IFNA(IF(données_step[[#This Row],[E_NH4]]&lt;=0,NA(),charge_entree[[#This Row],[ch_E_NH4]]/constanten!$B$12*1000),"")</f>
        <v/>
      </c>
      <c r="BB302" s="523" t="str">
        <f>_xlfn.IFNA(IF(données_step[[#This Row],[E_COT]]&lt;=0,NA(),charge_entree[[#This Row],[ch_E_COT]]/constanten!$B$9*1000),"")</f>
        <v/>
      </c>
      <c r="BC302" s="523" t="str">
        <f>IFERROR(_xlfn.IFNA(IF(données_step[[#This Row],[E_PTOT]]&lt;=0,NA(),charge_entree[[#This Row],[ch_E_PTOT]]/constanten!$B$15*1000),""),"")</f>
        <v/>
      </c>
      <c r="BD302" s="535" t="e">
        <f>calculs!E302 * (1-0.4) / (données_step[[#This Row],[X_BA_VOL]]*données_step[[#This Row],[X_BACONC]])</f>
        <v>#VALUE!</v>
      </c>
      <c r="BE302" s="522" t="e">
        <f>(données_step[[#This Row],[X_BA_VOL]]*données_step[[#This Row],[X_BACONC]])/((données_step[[#This Row],[D_QTRAI2]]*données_step[[#This Row],[S_MES]]/1000)+(données_step[[#This Row],[X_BX_Q]]*données_step[[#This Row],[X_BXCONC]]))</f>
        <v>#VALUE!</v>
      </c>
      <c r="BF302" s="890" t="str">
        <f>IFERROR(données_step[[#This Row],[D_QTRAI]]/AY302*1000,"")</f>
        <v/>
      </c>
      <c r="BG302" s="535" t="str">
        <f>IFERROR(1-données_step[[#This Row],[S_DBO5]]/données_step[[#This Row],[E_DBO5]],"")</f>
        <v/>
      </c>
      <c r="BH302" s="536" t="str">
        <f>IFERROR(1-données_step[[#This Row],[S_DCO]]/données_step[[#This Row],[E_DCO]],"")</f>
        <v/>
      </c>
      <c r="BI302" s="535" t="str">
        <f>IFERROR(1-données_step[[#This Row],[S_COD]]/données_step[[#This Row],[E_COT]],"")</f>
        <v/>
      </c>
      <c r="BJ302" s="535" t="str">
        <f>IFERROR(1-données_step[[#This Row],[S_NH4]]/données_step[[#This Row],[E_NTOT]],"")</f>
        <v/>
      </c>
      <c r="BK302" s="535" t="str">
        <f>IFERROR(1-données_step[[#This Row],[S_PTOT]]/données_step[[#This Row],[E_PTOT]],"")</f>
        <v/>
      </c>
      <c r="BL302" s="521" t="str">
        <f>IFERROR(IF(données_step[[#This Row],[E_DCO]]/données_step[[#This Row],[E_DBO5]]=0,NA(),données_step[[#This Row],[E_DCO]]/données_step[[#This Row],[E_DBO5]]),"")</f>
        <v/>
      </c>
      <c r="BM302" s="521" t="str">
        <f>IFERROR(IF(données_step[[#This Row],[E_NH4]]/données_step[[#This Row],[E_NTOT]]=0,NA(),données_step[[#This Row],[E_NH4]]/données_step[[#This Row],[E_NTOT]]),"")</f>
        <v/>
      </c>
      <c r="BN302" s="521" t="str">
        <f>IFERROR(IF(données_step[[#This Row],[E_NTOT]]/données_step[[#This Row],[E_COT]]=0,NA(),données_step[[#This Row],[E_NTOT]]/données_step[[#This Row],[E_COT]]),"")</f>
        <v/>
      </c>
      <c r="BO302" s="521" t="str">
        <f>IFERROR(IF(données_step[[#This Row],[E_PTOT]]/données_step[[#This Row],[E_COT]]=0,NA(),données_step[[#This Row],[E_PTOT]]/données_step[[#This Row],[E_COT]]),"")</f>
        <v/>
      </c>
      <c r="BP302" s="521" t="e">
        <f>IF(données_step[[#This Row],[E_DCO]]/données_step[[#This Row],[E_COT]]=0,NA(),données_step[[#This Row],[E_DCO]]/données_step[[#This Row],[E_COT]])</f>
        <v>#DIV/0!</v>
      </c>
      <c r="BQ302" s="521" t="e">
        <f>IF(données_step[[#This Row],[E_NTOT]]/données_step[[#This Row],[E_DCO]]=0,NA(),données_step[[#This Row],[E_NTOT]]/données_step[[#This Row],[E_DCO]])</f>
        <v>#DIV/0!</v>
      </c>
      <c r="BR302" s="521" t="e">
        <f>IF(données_step[[#This Row],[E_PTOT]]/données_step[[#This Row],[E_DCO]]=0,NA(),données_step[[#This Row],[E_PTOT]]/données_step[[#This Row],[E_DCO]])</f>
        <v>#DIV/0!</v>
      </c>
      <c r="BS302" s="747" t="e">
        <f ca="1">test_NH4_temp(données_step[[#This Row],[S_NH4]],données_step[[#This Row],[Temp_eaux]])</f>
        <v>#NAME?</v>
      </c>
    </row>
    <row r="303" spans="1:71" x14ac:dyDescent="0.2">
      <c r="A303" s="222">
        <f>données_step[[#This Row],[Datum]]</f>
        <v>44854</v>
      </c>
      <c r="B303" s="223"/>
      <c r="C303" s="224">
        <f t="shared" si="79"/>
        <v>5</v>
      </c>
      <c r="D303" s="523" t="str">
        <f>IF(OR(données_step[[#This Row],[E_DBO5]]&lt;=0,données_step[[#This Row],[E_DBO5]]=""),"",données_step[[#This Row],[D_QTRAI]]*données_step[[#This Row],[E_DBO5]]/1000)</f>
        <v/>
      </c>
      <c r="E303" s="523" t="str">
        <f>IF(OR(données_step[[#This Row],[E_DCO]]&lt;=0,données_step[[#This Row],[E_DCO]]=""),"",données_step[[#This Row],[D_QTRAI]]*données_step[[#This Row],[E_DCO]]/1000)</f>
        <v/>
      </c>
      <c r="F303" s="523" t="str">
        <f>IF(OR(données_step[[#This Row],[E_COT]]&lt;=0,données_step[[#This Row],[E_COT]]=""),"",données_step[[#This Row],[D_QTRAI]]*données_step[[#This Row],[E_COT]]/1000)</f>
        <v/>
      </c>
      <c r="G303" s="523" t="str">
        <f>IF(OR(données_step[[#This Row],[E_NH4]]&lt;=0,données_step[[#This Row],[E_NH4]]=""),"",données_step[[#This Row],[D_QTRAI]]*données_step[[#This Row],[E_NH4]]/1000)</f>
        <v/>
      </c>
      <c r="H303" s="523" t="str">
        <f>IF(OR(données_step[[#This Row],[E_NTOT]]&lt;=0,données_step[[#This Row],[E_NTOT]]=""),"",données_step[[#This Row],[D_QTRAI]]*données_step[[#This Row],[E_NTOT]]/1000)</f>
        <v/>
      </c>
      <c r="I303" s="523" t="str">
        <f>IF(OR(données_step[[#This Row],[E_NTOT]]&lt;=0,données_step[[#This Row],[E_NTOT]]=""),"",données_step[[#This Row],[D_QTRAI]]*données_step[[#This Row],[E_PTOT]]/1000)</f>
        <v/>
      </c>
      <c r="J303" s="523" t="str">
        <f>IF(OR(données_step[[#This Row],[S_DBO5]]&lt;=0,données_step[[#This Row],[S_DBO5]]=""),"",données_step[[#This Row],[D_QTRAI]]*données_step[[#This Row],[S_DBO5]]/1000)</f>
        <v/>
      </c>
      <c r="K303" s="523" t="str">
        <f>IF(OR(données_step[[#This Row],[S_DCO]]&lt;=0,données_step[[#This Row],[S_DCO]]=""),"",données_step[[#This Row],[D_QTRAI]]*données_step[[#This Row],[S_DCO]]/1000)</f>
        <v/>
      </c>
      <c r="L303" s="523" t="str">
        <f>IF(OR(données_step[[#This Row],[S_COD]]&lt;=0,données_step[[#This Row],[S_COD]]=""),"",données_step[[#This Row],[D_QTRAI]]*données_step[[#This Row],[S_COD]]/1000)</f>
        <v/>
      </c>
      <c r="M303" s="523" t="str">
        <f>IF(OR(données_step[[#This Row],[S_NH4]]&lt;=0,données_step[[#This Row],[S_NH4]]=""),"",données_step[[#This Row],[D_QTRAI]]*données_step[[#This Row],[S_NH4]]/1000)</f>
        <v/>
      </c>
      <c r="N303" s="523" t="str">
        <f>IF(OR(données_step[[#This Row],[S_NO2]]&lt;=0,données_step[[#This Row],[S_NO2]]=""),"",données_step[[#This Row],[D_QTRAI]]*données_step[[#This Row],[S_NO2]]/1000)</f>
        <v/>
      </c>
      <c r="O303" s="523" t="str">
        <f>IF(OR(données_step[[#This Row],[S_NO3]]&lt;=0,données_step[[#This Row],[S_NO3]]=""),"",données_step[[#This Row],[D_QTRAI]]*données_step[[#This Row],[S_NO3]]/1000)</f>
        <v/>
      </c>
      <c r="P303" s="523" t="str">
        <f>IF(OR(données_step[[#This Row],[S_PTOT]]&lt;=0,données_step[[#This Row],[S_PTOT]]=""),"",données_step[[#This Row],[D_QTRAI]]*données_step[[#This Row],[S_PTOT]]/1000)</f>
        <v/>
      </c>
      <c r="Q303" s="523" t="str">
        <f>IF(OR(données_step[[#This Row],[S_MES]]&lt;=0,données_step[[#This Row],[S_MES]]=""),"",données_step[[#This Row],[D_QTRAI]]*données_step[[#This Row],[S_MES]]/1000)</f>
        <v/>
      </c>
      <c r="R303" s="523">
        <f>MAX(données_step[[#This Row],[D_QTRAI]],données_step[[#This Row],[D_QTRAI2]])</f>
        <v>0</v>
      </c>
      <c r="S303" s="523" t="str">
        <f>IF(AND($R303&gt;0,données_step[[#This Row],[E_DCO]]&gt;0),données_step[[#This Row],[E_DCO]],"")</f>
        <v/>
      </c>
      <c r="T303" s="523" t="str">
        <f>IF(S303="","",(1-données_step[[#This Row],[E_DCO]]/$V$7)*100)</f>
        <v/>
      </c>
      <c r="U303" s="523" t="str">
        <f t="shared" si="65"/>
        <v/>
      </c>
      <c r="V303" s="523" t="str">
        <f t="shared" si="66"/>
        <v/>
      </c>
      <c r="W303" s="523" t="str">
        <f t="shared" si="67"/>
        <v/>
      </c>
      <c r="X303" s="523" t="e">
        <f>IF(((100-100/$V$7*données_step[[#This Row],[E_DCO]])/100*QTS)&lt;0,NA(),IF(OR(U303&lt;0,U303=""),NA(),((100-100/$V$7*données_step[[#This Row],[E_DCO]])/100*QTS)))</f>
        <v>#NUM!</v>
      </c>
      <c r="Y303" s="523" t="str">
        <f>IF(AND($R303&gt;0,données_step[[#This Row],[E_COT]]&gt;0),données_step[[#This Row],[E_COT]],"")</f>
        <v/>
      </c>
      <c r="Z303" s="523" t="str">
        <f>IF(Y303="","",(1-données_step[[#This Row],[E_COT]]/$AB$7)*100)</f>
        <v/>
      </c>
      <c r="AA303" s="523" t="str">
        <f t="shared" si="68"/>
        <v/>
      </c>
      <c r="AB303" s="523" t="str">
        <f t="shared" si="69"/>
        <v/>
      </c>
      <c r="AC303" s="523" t="str">
        <f t="shared" si="70"/>
        <v/>
      </c>
      <c r="AD303" s="523" t="e">
        <f>IF(((100-100/$AB$7*données_step[[#This Row],[E_COT]])/100*QTS)&lt;0,NA(),IF(OR(AA303&lt;0,AA303=""),NA(),((100-100/$AB$7*données_step[[#This Row],[E_COT]])/100*QTS)))</f>
        <v>#NUM!</v>
      </c>
      <c r="AE303" s="523" t="str">
        <f>IF(AND($R303&gt;0,données_step[[#This Row],[E_NH4]]&gt;0),données_step[[#This Row],[E_NH4]],"")</f>
        <v/>
      </c>
      <c r="AF303" s="523" t="str">
        <f>IF(AE303="","",(1-données_step[[#This Row],[E_NH4]]/$AH$7)*100)</f>
        <v/>
      </c>
      <c r="AG303" s="523" t="str">
        <f t="shared" si="71"/>
        <v/>
      </c>
      <c r="AH303" s="523" t="str">
        <f t="shared" si="72"/>
        <v/>
      </c>
      <c r="AI303" s="523" t="str">
        <f t="shared" si="73"/>
        <v/>
      </c>
      <c r="AJ303" s="523" t="e">
        <f>IF(((100-100/$AH$7*données_step[[#This Row],[E_NH4]])/100*QTS)&lt;0,NA(),IF(OR(AG303&lt;0,AG303=""),NA(),((100-100/$AH$7*données_step[[#This Row],[E_NH4]])/100*QTS)))</f>
        <v>#NUM!</v>
      </c>
      <c r="AK303" s="523" t="str">
        <f>IF(AND($R303&gt;0,données_step[[#This Row],[E_PTOT]]&gt;0),données_step[[#This Row],[E_PTOT]],"")</f>
        <v/>
      </c>
      <c r="AL303" s="523" t="str">
        <f>IF(AK303="","",(1-données_step[[#This Row],[E_PTOT]]/$AN$7)*100)</f>
        <v/>
      </c>
      <c r="AM303" s="523" t="str">
        <f t="shared" si="74"/>
        <v/>
      </c>
      <c r="AN303" s="523" t="str">
        <f t="shared" si="75"/>
        <v/>
      </c>
      <c r="AO303" s="523" t="str">
        <f t="shared" si="76"/>
        <v/>
      </c>
      <c r="AP303" s="523" t="e">
        <f>IF(((100-100/$AN$7*données_step[[#This Row],[E_PTOT]])/100*QTS)&lt;0,NA(),IF(OR(AM303&lt;0,AM303=""),NA(),((100-100/$AN$7*données_step[[#This Row],[E_PTOT]])/100*QTS)))</f>
        <v>#NUM!</v>
      </c>
      <c r="AQ303" s="524" t="e">
        <f t="shared" si="77"/>
        <v>#NUM!</v>
      </c>
      <c r="AR303" s="524" t="str">
        <f t="shared" si="78"/>
        <v/>
      </c>
      <c r="AY303" s="523" t="str">
        <f>_xlfn.IFNA(IF(données_step[[#This Row],[E_DCO]]&lt;=0,NA(),charge_entree[[#This Row],[ch_E_DCO]]/constanten!$B$8*1000),"")</f>
        <v/>
      </c>
      <c r="AZ303" s="523" t="str">
        <f>_xlfn.IFNA(IF(données_step[[#This Row],[E_NTOT]]&lt;=0,NA(),charge_entree[[#This Row],[ch_E_NTOT]]/constanten!$B$10*1000),"")</f>
        <v/>
      </c>
      <c r="BA303" s="523" t="str">
        <f>_xlfn.IFNA(IF(données_step[[#This Row],[E_NH4]]&lt;=0,NA(),charge_entree[[#This Row],[ch_E_NH4]]/constanten!$B$12*1000),"")</f>
        <v/>
      </c>
      <c r="BB303" s="523" t="str">
        <f>_xlfn.IFNA(IF(données_step[[#This Row],[E_COT]]&lt;=0,NA(),charge_entree[[#This Row],[ch_E_COT]]/constanten!$B$9*1000),"")</f>
        <v/>
      </c>
      <c r="BC303" s="523" t="str">
        <f>IFERROR(_xlfn.IFNA(IF(données_step[[#This Row],[E_PTOT]]&lt;=0,NA(),charge_entree[[#This Row],[ch_E_PTOT]]/constanten!$B$15*1000),""),"")</f>
        <v/>
      </c>
      <c r="BD303" s="535" t="e">
        <f>calculs!E303 * (1-0.4) / (données_step[[#This Row],[X_BA_VOL]]*données_step[[#This Row],[X_BACONC]])</f>
        <v>#VALUE!</v>
      </c>
      <c r="BE303" s="522" t="e">
        <f>(données_step[[#This Row],[X_BA_VOL]]*données_step[[#This Row],[X_BACONC]])/((données_step[[#This Row],[D_QTRAI2]]*données_step[[#This Row],[S_MES]]/1000)+(données_step[[#This Row],[X_BX_Q]]*données_step[[#This Row],[X_BXCONC]]))</f>
        <v>#VALUE!</v>
      </c>
      <c r="BF303" s="890" t="str">
        <f>IFERROR(données_step[[#This Row],[D_QTRAI]]/AY303*1000,"")</f>
        <v/>
      </c>
      <c r="BG303" s="535" t="str">
        <f>IFERROR(1-données_step[[#This Row],[S_DBO5]]/données_step[[#This Row],[E_DBO5]],"")</f>
        <v/>
      </c>
      <c r="BH303" s="536" t="str">
        <f>IFERROR(1-données_step[[#This Row],[S_DCO]]/données_step[[#This Row],[E_DCO]],"")</f>
        <v/>
      </c>
      <c r="BI303" s="535" t="str">
        <f>IFERROR(1-données_step[[#This Row],[S_COD]]/données_step[[#This Row],[E_COT]],"")</f>
        <v/>
      </c>
      <c r="BJ303" s="535" t="str">
        <f>IFERROR(1-données_step[[#This Row],[S_NH4]]/données_step[[#This Row],[E_NTOT]],"")</f>
        <v/>
      </c>
      <c r="BK303" s="535" t="str">
        <f>IFERROR(1-données_step[[#This Row],[S_PTOT]]/données_step[[#This Row],[E_PTOT]],"")</f>
        <v/>
      </c>
      <c r="BL303" s="521" t="str">
        <f>IFERROR(IF(données_step[[#This Row],[E_DCO]]/données_step[[#This Row],[E_DBO5]]=0,NA(),données_step[[#This Row],[E_DCO]]/données_step[[#This Row],[E_DBO5]]),"")</f>
        <v/>
      </c>
      <c r="BM303" s="521" t="str">
        <f>IFERROR(IF(données_step[[#This Row],[E_NH4]]/données_step[[#This Row],[E_NTOT]]=0,NA(),données_step[[#This Row],[E_NH4]]/données_step[[#This Row],[E_NTOT]]),"")</f>
        <v/>
      </c>
      <c r="BN303" s="521" t="str">
        <f>IFERROR(IF(données_step[[#This Row],[E_NTOT]]/données_step[[#This Row],[E_COT]]=0,NA(),données_step[[#This Row],[E_NTOT]]/données_step[[#This Row],[E_COT]]),"")</f>
        <v/>
      </c>
      <c r="BO303" s="521" t="str">
        <f>IFERROR(IF(données_step[[#This Row],[E_PTOT]]/données_step[[#This Row],[E_COT]]=0,NA(),données_step[[#This Row],[E_PTOT]]/données_step[[#This Row],[E_COT]]),"")</f>
        <v/>
      </c>
      <c r="BP303" s="521" t="e">
        <f>IF(données_step[[#This Row],[E_DCO]]/données_step[[#This Row],[E_COT]]=0,NA(),données_step[[#This Row],[E_DCO]]/données_step[[#This Row],[E_COT]])</f>
        <v>#DIV/0!</v>
      </c>
      <c r="BQ303" s="521" t="e">
        <f>IF(données_step[[#This Row],[E_NTOT]]/données_step[[#This Row],[E_DCO]]=0,NA(),données_step[[#This Row],[E_NTOT]]/données_step[[#This Row],[E_DCO]])</f>
        <v>#DIV/0!</v>
      </c>
      <c r="BR303" s="521" t="e">
        <f>IF(données_step[[#This Row],[E_PTOT]]/données_step[[#This Row],[E_DCO]]=0,NA(),données_step[[#This Row],[E_PTOT]]/données_step[[#This Row],[E_DCO]])</f>
        <v>#DIV/0!</v>
      </c>
      <c r="BS303" s="747" t="e">
        <f ca="1">test_NH4_temp(données_step[[#This Row],[S_NH4]],données_step[[#This Row],[Temp_eaux]])</f>
        <v>#NAME?</v>
      </c>
    </row>
    <row r="304" spans="1:71" x14ac:dyDescent="0.2">
      <c r="A304" s="222">
        <f>données_step[[#This Row],[Datum]]</f>
        <v>44855</v>
      </c>
      <c r="B304" s="223"/>
      <c r="C304" s="224">
        <f t="shared" si="79"/>
        <v>6</v>
      </c>
      <c r="D304" s="523" t="str">
        <f>IF(OR(données_step[[#This Row],[E_DBO5]]&lt;=0,données_step[[#This Row],[E_DBO5]]=""),"",données_step[[#This Row],[D_QTRAI]]*données_step[[#This Row],[E_DBO5]]/1000)</f>
        <v/>
      </c>
      <c r="E304" s="523" t="str">
        <f>IF(OR(données_step[[#This Row],[E_DCO]]&lt;=0,données_step[[#This Row],[E_DCO]]=""),"",données_step[[#This Row],[D_QTRAI]]*données_step[[#This Row],[E_DCO]]/1000)</f>
        <v/>
      </c>
      <c r="F304" s="523" t="str">
        <f>IF(OR(données_step[[#This Row],[E_COT]]&lt;=0,données_step[[#This Row],[E_COT]]=""),"",données_step[[#This Row],[D_QTRAI]]*données_step[[#This Row],[E_COT]]/1000)</f>
        <v/>
      </c>
      <c r="G304" s="523" t="str">
        <f>IF(OR(données_step[[#This Row],[E_NH4]]&lt;=0,données_step[[#This Row],[E_NH4]]=""),"",données_step[[#This Row],[D_QTRAI]]*données_step[[#This Row],[E_NH4]]/1000)</f>
        <v/>
      </c>
      <c r="H304" s="523" t="str">
        <f>IF(OR(données_step[[#This Row],[E_NTOT]]&lt;=0,données_step[[#This Row],[E_NTOT]]=""),"",données_step[[#This Row],[D_QTRAI]]*données_step[[#This Row],[E_NTOT]]/1000)</f>
        <v/>
      </c>
      <c r="I304" s="523" t="str">
        <f>IF(OR(données_step[[#This Row],[E_NTOT]]&lt;=0,données_step[[#This Row],[E_NTOT]]=""),"",données_step[[#This Row],[D_QTRAI]]*données_step[[#This Row],[E_PTOT]]/1000)</f>
        <v/>
      </c>
      <c r="J304" s="523" t="str">
        <f>IF(OR(données_step[[#This Row],[S_DBO5]]&lt;=0,données_step[[#This Row],[S_DBO5]]=""),"",données_step[[#This Row],[D_QTRAI]]*données_step[[#This Row],[S_DBO5]]/1000)</f>
        <v/>
      </c>
      <c r="K304" s="523" t="str">
        <f>IF(OR(données_step[[#This Row],[S_DCO]]&lt;=0,données_step[[#This Row],[S_DCO]]=""),"",données_step[[#This Row],[D_QTRAI]]*données_step[[#This Row],[S_DCO]]/1000)</f>
        <v/>
      </c>
      <c r="L304" s="523" t="str">
        <f>IF(OR(données_step[[#This Row],[S_COD]]&lt;=0,données_step[[#This Row],[S_COD]]=""),"",données_step[[#This Row],[D_QTRAI]]*données_step[[#This Row],[S_COD]]/1000)</f>
        <v/>
      </c>
      <c r="M304" s="523" t="str">
        <f>IF(OR(données_step[[#This Row],[S_NH4]]&lt;=0,données_step[[#This Row],[S_NH4]]=""),"",données_step[[#This Row],[D_QTRAI]]*données_step[[#This Row],[S_NH4]]/1000)</f>
        <v/>
      </c>
      <c r="N304" s="523" t="str">
        <f>IF(OR(données_step[[#This Row],[S_NO2]]&lt;=0,données_step[[#This Row],[S_NO2]]=""),"",données_step[[#This Row],[D_QTRAI]]*données_step[[#This Row],[S_NO2]]/1000)</f>
        <v/>
      </c>
      <c r="O304" s="523" t="str">
        <f>IF(OR(données_step[[#This Row],[S_NO3]]&lt;=0,données_step[[#This Row],[S_NO3]]=""),"",données_step[[#This Row],[D_QTRAI]]*données_step[[#This Row],[S_NO3]]/1000)</f>
        <v/>
      </c>
      <c r="P304" s="523" t="str">
        <f>IF(OR(données_step[[#This Row],[S_PTOT]]&lt;=0,données_step[[#This Row],[S_PTOT]]=""),"",données_step[[#This Row],[D_QTRAI]]*données_step[[#This Row],[S_PTOT]]/1000)</f>
        <v/>
      </c>
      <c r="Q304" s="523" t="str">
        <f>IF(OR(données_step[[#This Row],[S_MES]]&lt;=0,données_step[[#This Row],[S_MES]]=""),"",données_step[[#This Row],[D_QTRAI]]*données_step[[#This Row],[S_MES]]/1000)</f>
        <v/>
      </c>
      <c r="R304" s="523">
        <f>MAX(données_step[[#This Row],[D_QTRAI]],données_step[[#This Row],[D_QTRAI2]])</f>
        <v>0</v>
      </c>
      <c r="S304" s="523" t="str">
        <f>IF(AND($R304&gt;0,données_step[[#This Row],[E_DCO]]&gt;0),données_step[[#This Row],[E_DCO]],"")</f>
        <v/>
      </c>
      <c r="T304" s="523" t="str">
        <f>IF(S304="","",(1-données_step[[#This Row],[E_DCO]]/$V$7)*100)</f>
        <v/>
      </c>
      <c r="U304" s="523" t="str">
        <f t="shared" si="65"/>
        <v/>
      </c>
      <c r="V304" s="523" t="str">
        <f t="shared" si="66"/>
        <v/>
      </c>
      <c r="W304" s="523" t="str">
        <f t="shared" si="67"/>
        <v/>
      </c>
      <c r="X304" s="523" t="e">
        <f>IF(((100-100/$V$7*données_step[[#This Row],[E_DCO]])/100*QTS)&lt;0,NA(),IF(OR(U304&lt;0,U304=""),NA(),((100-100/$V$7*données_step[[#This Row],[E_DCO]])/100*QTS)))</f>
        <v>#NUM!</v>
      </c>
      <c r="Y304" s="523" t="str">
        <f>IF(AND($R304&gt;0,données_step[[#This Row],[E_COT]]&gt;0),données_step[[#This Row],[E_COT]],"")</f>
        <v/>
      </c>
      <c r="Z304" s="523" t="str">
        <f>IF(Y304="","",(1-données_step[[#This Row],[E_COT]]/$AB$7)*100)</f>
        <v/>
      </c>
      <c r="AA304" s="523" t="str">
        <f t="shared" si="68"/>
        <v/>
      </c>
      <c r="AB304" s="523" t="str">
        <f t="shared" si="69"/>
        <v/>
      </c>
      <c r="AC304" s="523" t="str">
        <f t="shared" si="70"/>
        <v/>
      </c>
      <c r="AD304" s="523" t="e">
        <f>IF(((100-100/$AB$7*données_step[[#This Row],[E_COT]])/100*QTS)&lt;0,NA(),IF(OR(AA304&lt;0,AA304=""),NA(),((100-100/$AB$7*données_step[[#This Row],[E_COT]])/100*QTS)))</f>
        <v>#NUM!</v>
      </c>
      <c r="AE304" s="523" t="str">
        <f>IF(AND($R304&gt;0,données_step[[#This Row],[E_NH4]]&gt;0),données_step[[#This Row],[E_NH4]],"")</f>
        <v/>
      </c>
      <c r="AF304" s="523" t="str">
        <f>IF(AE304="","",(1-données_step[[#This Row],[E_NH4]]/$AH$7)*100)</f>
        <v/>
      </c>
      <c r="AG304" s="523" t="str">
        <f t="shared" si="71"/>
        <v/>
      </c>
      <c r="AH304" s="523" t="str">
        <f t="shared" si="72"/>
        <v/>
      </c>
      <c r="AI304" s="523" t="str">
        <f t="shared" si="73"/>
        <v/>
      </c>
      <c r="AJ304" s="523" t="e">
        <f>IF(((100-100/$AH$7*données_step[[#This Row],[E_NH4]])/100*QTS)&lt;0,NA(),IF(OR(AG304&lt;0,AG304=""),NA(),((100-100/$AH$7*données_step[[#This Row],[E_NH4]])/100*QTS)))</f>
        <v>#NUM!</v>
      </c>
      <c r="AK304" s="523" t="str">
        <f>IF(AND($R304&gt;0,données_step[[#This Row],[E_PTOT]]&gt;0),données_step[[#This Row],[E_PTOT]],"")</f>
        <v/>
      </c>
      <c r="AL304" s="523" t="str">
        <f>IF(AK304="","",(1-données_step[[#This Row],[E_PTOT]]/$AN$7)*100)</f>
        <v/>
      </c>
      <c r="AM304" s="523" t="str">
        <f t="shared" si="74"/>
        <v/>
      </c>
      <c r="AN304" s="523" t="str">
        <f t="shared" si="75"/>
        <v/>
      </c>
      <c r="AO304" s="523" t="str">
        <f t="shared" si="76"/>
        <v/>
      </c>
      <c r="AP304" s="523" t="e">
        <f>IF(((100-100/$AN$7*données_step[[#This Row],[E_PTOT]])/100*QTS)&lt;0,NA(),IF(OR(AM304&lt;0,AM304=""),NA(),((100-100/$AN$7*données_step[[#This Row],[E_PTOT]])/100*QTS)))</f>
        <v>#NUM!</v>
      </c>
      <c r="AQ304" s="524" t="e">
        <f t="shared" si="77"/>
        <v>#NUM!</v>
      </c>
      <c r="AR304" s="524" t="str">
        <f t="shared" si="78"/>
        <v/>
      </c>
      <c r="AY304" s="523" t="str">
        <f>_xlfn.IFNA(IF(données_step[[#This Row],[E_DCO]]&lt;=0,NA(),charge_entree[[#This Row],[ch_E_DCO]]/constanten!$B$8*1000),"")</f>
        <v/>
      </c>
      <c r="AZ304" s="523" t="str">
        <f>_xlfn.IFNA(IF(données_step[[#This Row],[E_NTOT]]&lt;=0,NA(),charge_entree[[#This Row],[ch_E_NTOT]]/constanten!$B$10*1000),"")</f>
        <v/>
      </c>
      <c r="BA304" s="523" t="str">
        <f>_xlfn.IFNA(IF(données_step[[#This Row],[E_NH4]]&lt;=0,NA(),charge_entree[[#This Row],[ch_E_NH4]]/constanten!$B$12*1000),"")</f>
        <v/>
      </c>
      <c r="BB304" s="523" t="str">
        <f>_xlfn.IFNA(IF(données_step[[#This Row],[E_COT]]&lt;=0,NA(),charge_entree[[#This Row],[ch_E_COT]]/constanten!$B$9*1000),"")</f>
        <v/>
      </c>
      <c r="BC304" s="523" t="str">
        <f>IFERROR(_xlfn.IFNA(IF(données_step[[#This Row],[E_PTOT]]&lt;=0,NA(),charge_entree[[#This Row],[ch_E_PTOT]]/constanten!$B$15*1000),""),"")</f>
        <v/>
      </c>
      <c r="BD304" s="535" t="e">
        <f>calculs!E304 * (1-0.4) / (données_step[[#This Row],[X_BA_VOL]]*données_step[[#This Row],[X_BACONC]])</f>
        <v>#VALUE!</v>
      </c>
      <c r="BE304" s="522" t="e">
        <f>(données_step[[#This Row],[X_BA_VOL]]*données_step[[#This Row],[X_BACONC]])/((données_step[[#This Row],[D_QTRAI2]]*données_step[[#This Row],[S_MES]]/1000)+(données_step[[#This Row],[X_BX_Q]]*données_step[[#This Row],[X_BXCONC]]))</f>
        <v>#VALUE!</v>
      </c>
      <c r="BF304" s="890" t="str">
        <f>IFERROR(données_step[[#This Row],[D_QTRAI]]/AY304*1000,"")</f>
        <v/>
      </c>
      <c r="BG304" s="535" t="str">
        <f>IFERROR(1-données_step[[#This Row],[S_DBO5]]/données_step[[#This Row],[E_DBO5]],"")</f>
        <v/>
      </c>
      <c r="BH304" s="536" t="str">
        <f>IFERROR(1-données_step[[#This Row],[S_DCO]]/données_step[[#This Row],[E_DCO]],"")</f>
        <v/>
      </c>
      <c r="BI304" s="535" t="str">
        <f>IFERROR(1-données_step[[#This Row],[S_COD]]/données_step[[#This Row],[E_COT]],"")</f>
        <v/>
      </c>
      <c r="BJ304" s="535" t="str">
        <f>IFERROR(1-données_step[[#This Row],[S_NH4]]/données_step[[#This Row],[E_NTOT]],"")</f>
        <v/>
      </c>
      <c r="BK304" s="535" t="str">
        <f>IFERROR(1-données_step[[#This Row],[S_PTOT]]/données_step[[#This Row],[E_PTOT]],"")</f>
        <v/>
      </c>
      <c r="BL304" s="521" t="str">
        <f>IFERROR(IF(données_step[[#This Row],[E_DCO]]/données_step[[#This Row],[E_DBO5]]=0,NA(),données_step[[#This Row],[E_DCO]]/données_step[[#This Row],[E_DBO5]]),"")</f>
        <v/>
      </c>
      <c r="BM304" s="521" t="str">
        <f>IFERROR(IF(données_step[[#This Row],[E_NH4]]/données_step[[#This Row],[E_NTOT]]=0,NA(),données_step[[#This Row],[E_NH4]]/données_step[[#This Row],[E_NTOT]]),"")</f>
        <v/>
      </c>
      <c r="BN304" s="521" t="str">
        <f>IFERROR(IF(données_step[[#This Row],[E_NTOT]]/données_step[[#This Row],[E_COT]]=0,NA(),données_step[[#This Row],[E_NTOT]]/données_step[[#This Row],[E_COT]]),"")</f>
        <v/>
      </c>
      <c r="BO304" s="521" t="str">
        <f>IFERROR(IF(données_step[[#This Row],[E_PTOT]]/données_step[[#This Row],[E_COT]]=0,NA(),données_step[[#This Row],[E_PTOT]]/données_step[[#This Row],[E_COT]]),"")</f>
        <v/>
      </c>
      <c r="BP304" s="521" t="e">
        <f>IF(données_step[[#This Row],[E_DCO]]/données_step[[#This Row],[E_COT]]=0,NA(),données_step[[#This Row],[E_DCO]]/données_step[[#This Row],[E_COT]])</f>
        <v>#DIV/0!</v>
      </c>
      <c r="BQ304" s="521" t="e">
        <f>IF(données_step[[#This Row],[E_NTOT]]/données_step[[#This Row],[E_DCO]]=0,NA(),données_step[[#This Row],[E_NTOT]]/données_step[[#This Row],[E_DCO]])</f>
        <v>#DIV/0!</v>
      </c>
      <c r="BR304" s="521" t="e">
        <f>IF(données_step[[#This Row],[E_PTOT]]/données_step[[#This Row],[E_DCO]]=0,NA(),données_step[[#This Row],[E_PTOT]]/données_step[[#This Row],[E_DCO]])</f>
        <v>#DIV/0!</v>
      </c>
      <c r="BS304" s="747" t="e">
        <f ca="1">test_NH4_temp(données_step[[#This Row],[S_NH4]],données_step[[#This Row],[Temp_eaux]])</f>
        <v>#NAME?</v>
      </c>
    </row>
    <row r="305" spans="1:71" x14ac:dyDescent="0.2">
      <c r="A305" s="222">
        <f>données_step[[#This Row],[Datum]]</f>
        <v>44856</v>
      </c>
      <c r="B305" s="223"/>
      <c r="C305" s="224">
        <f t="shared" si="79"/>
        <v>7</v>
      </c>
      <c r="D305" s="523" t="str">
        <f>IF(OR(données_step[[#This Row],[E_DBO5]]&lt;=0,données_step[[#This Row],[E_DBO5]]=""),"",données_step[[#This Row],[D_QTRAI]]*données_step[[#This Row],[E_DBO5]]/1000)</f>
        <v/>
      </c>
      <c r="E305" s="523" t="str">
        <f>IF(OR(données_step[[#This Row],[E_DCO]]&lt;=0,données_step[[#This Row],[E_DCO]]=""),"",données_step[[#This Row],[D_QTRAI]]*données_step[[#This Row],[E_DCO]]/1000)</f>
        <v/>
      </c>
      <c r="F305" s="523" t="str">
        <f>IF(OR(données_step[[#This Row],[E_COT]]&lt;=0,données_step[[#This Row],[E_COT]]=""),"",données_step[[#This Row],[D_QTRAI]]*données_step[[#This Row],[E_COT]]/1000)</f>
        <v/>
      </c>
      <c r="G305" s="523" t="str">
        <f>IF(OR(données_step[[#This Row],[E_NH4]]&lt;=0,données_step[[#This Row],[E_NH4]]=""),"",données_step[[#This Row],[D_QTRAI]]*données_step[[#This Row],[E_NH4]]/1000)</f>
        <v/>
      </c>
      <c r="H305" s="523" t="str">
        <f>IF(OR(données_step[[#This Row],[E_NTOT]]&lt;=0,données_step[[#This Row],[E_NTOT]]=""),"",données_step[[#This Row],[D_QTRAI]]*données_step[[#This Row],[E_NTOT]]/1000)</f>
        <v/>
      </c>
      <c r="I305" s="523" t="str">
        <f>IF(OR(données_step[[#This Row],[E_NTOT]]&lt;=0,données_step[[#This Row],[E_NTOT]]=""),"",données_step[[#This Row],[D_QTRAI]]*données_step[[#This Row],[E_PTOT]]/1000)</f>
        <v/>
      </c>
      <c r="J305" s="523" t="str">
        <f>IF(OR(données_step[[#This Row],[S_DBO5]]&lt;=0,données_step[[#This Row],[S_DBO5]]=""),"",données_step[[#This Row],[D_QTRAI]]*données_step[[#This Row],[S_DBO5]]/1000)</f>
        <v/>
      </c>
      <c r="K305" s="523" t="str">
        <f>IF(OR(données_step[[#This Row],[S_DCO]]&lt;=0,données_step[[#This Row],[S_DCO]]=""),"",données_step[[#This Row],[D_QTRAI]]*données_step[[#This Row],[S_DCO]]/1000)</f>
        <v/>
      </c>
      <c r="L305" s="523" t="str">
        <f>IF(OR(données_step[[#This Row],[S_COD]]&lt;=0,données_step[[#This Row],[S_COD]]=""),"",données_step[[#This Row],[D_QTRAI]]*données_step[[#This Row],[S_COD]]/1000)</f>
        <v/>
      </c>
      <c r="M305" s="523" t="str">
        <f>IF(OR(données_step[[#This Row],[S_NH4]]&lt;=0,données_step[[#This Row],[S_NH4]]=""),"",données_step[[#This Row],[D_QTRAI]]*données_step[[#This Row],[S_NH4]]/1000)</f>
        <v/>
      </c>
      <c r="N305" s="523" t="str">
        <f>IF(OR(données_step[[#This Row],[S_NO2]]&lt;=0,données_step[[#This Row],[S_NO2]]=""),"",données_step[[#This Row],[D_QTRAI]]*données_step[[#This Row],[S_NO2]]/1000)</f>
        <v/>
      </c>
      <c r="O305" s="523" t="str">
        <f>IF(OR(données_step[[#This Row],[S_NO3]]&lt;=0,données_step[[#This Row],[S_NO3]]=""),"",données_step[[#This Row],[D_QTRAI]]*données_step[[#This Row],[S_NO3]]/1000)</f>
        <v/>
      </c>
      <c r="P305" s="523" t="str">
        <f>IF(OR(données_step[[#This Row],[S_PTOT]]&lt;=0,données_step[[#This Row],[S_PTOT]]=""),"",données_step[[#This Row],[D_QTRAI]]*données_step[[#This Row],[S_PTOT]]/1000)</f>
        <v/>
      </c>
      <c r="Q305" s="523" t="str">
        <f>IF(OR(données_step[[#This Row],[S_MES]]&lt;=0,données_step[[#This Row],[S_MES]]=""),"",données_step[[#This Row],[D_QTRAI]]*données_step[[#This Row],[S_MES]]/1000)</f>
        <v/>
      </c>
      <c r="R305" s="523">
        <f>MAX(données_step[[#This Row],[D_QTRAI]],données_step[[#This Row],[D_QTRAI2]])</f>
        <v>0</v>
      </c>
      <c r="S305" s="523" t="str">
        <f>IF(AND($R305&gt;0,données_step[[#This Row],[E_DCO]]&gt;0),données_step[[#This Row],[E_DCO]],"")</f>
        <v/>
      </c>
      <c r="T305" s="523" t="str">
        <f>IF(S305="","",(1-données_step[[#This Row],[E_DCO]]/$V$7)*100)</f>
        <v/>
      </c>
      <c r="U305" s="523" t="str">
        <f t="shared" si="65"/>
        <v/>
      </c>
      <c r="V305" s="523" t="str">
        <f t="shared" si="66"/>
        <v/>
      </c>
      <c r="W305" s="523" t="str">
        <f t="shared" si="67"/>
        <v/>
      </c>
      <c r="X305" s="523" t="e">
        <f>IF(((100-100/$V$7*données_step[[#This Row],[E_DCO]])/100*QTS)&lt;0,NA(),IF(OR(U305&lt;0,U305=""),NA(),((100-100/$V$7*données_step[[#This Row],[E_DCO]])/100*QTS)))</f>
        <v>#NUM!</v>
      </c>
      <c r="Y305" s="523" t="str">
        <f>IF(AND($R305&gt;0,données_step[[#This Row],[E_COT]]&gt;0),données_step[[#This Row],[E_COT]],"")</f>
        <v/>
      </c>
      <c r="Z305" s="523" t="str">
        <f>IF(Y305="","",(1-données_step[[#This Row],[E_COT]]/$AB$7)*100)</f>
        <v/>
      </c>
      <c r="AA305" s="523" t="str">
        <f t="shared" si="68"/>
        <v/>
      </c>
      <c r="AB305" s="523" t="str">
        <f t="shared" si="69"/>
        <v/>
      </c>
      <c r="AC305" s="523" t="str">
        <f t="shared" si="70"/>
        <v/>
      </c>
      <c r="AD305" s="523" t="e">
        <f>IF(((100-100/$AB$7*données_step[[#This Row],[E_COT]])/100*QTS)&lt;0,NA(),IF(OR(AA305&lt;0,AA305=""),NA(),((100-100/$AB$7*données_step[[#This Row],[E_COT]])/100*QTS)))</f>
        <v>#NUM!</v>
      </c>
      <c r="AE305" s="523" t="str">
        <f>IF(AND($R305&gt;0,données_step[[#This Row],[E_NH4]]&gt;0),données_step[[#This Row],[E_NH4]],"")</f>
        <v/>
      </c>
      <c r="AF305" s="523" t="str">
        <f>IF(AE305="","",(1-données_step[[#This Row],[E_NH4]]/$AH$7)*100)</f>
        <v/>
      </c>
      <c r="AG305" s="523" t="str">
        <f t="shared" si="71"/>
        <v/>
      </c>
      <c r="AH305" s="523" t="str">
        <f t="shared" si="72"/>
        <v/>
      </c>
      <c r="AI305" s="523" t="str">
        <f t="shared" si="73"/>
        <v/>
      </c>
      <c r="AJ305" s="523" t="e">
        <f>IF(((100-100/$AH$7*données_step[[#This Row],[E_NH4]])/100*QTS)&lt;0,NA(),IF(OR(AG305&lt;0,AG305=""),NA(),((100-100/$AH$7*données_step[[#This Row],[E_NH4]])/100*QTS)))</f>
        <v>#NUM!</v>
      </c>
      <c r="AK305" s="523" t="str">
        <f>IF(AND($R305&gt;0,données_step[[#This Row],[E_PTOT]]&gt;0),données_step[[#This Row],[E_PTOT]],"")</f>
        <v/>
      </c>
      <c r="AL305" s="523" t="str">
        <f>IF(AK305="","",(1-données_step[[#This Row],[E_PTOT]]/$AN$7)*100)</f>
        <v/>
      </c>
      <c r="AM305" s="523" t="str">
        <f t="shared" si="74"/>
        <v/>
      </c>
      <c r="AN305" s="523" t="str">
        <f t="shared" si="75"/>
        <v/>
      </c>
      <c r="AO305" s="523" t="str">
        <f t="shared" si="76"/>
        <v/>
      </c>
      <c r="AP305" s="523" t="e">
        <f>IF(((100-100/$AN$7*données_step[[#This Row],[E_PTOT]])/100*QTS)&lt;0,NA(),IF(OR(AM305&lt;0,AM305=""),NA(),((100-100/$AN$7*données_step[[#This Row],[E_PTOT]])/100*QTS)))</f>
        <v>#NUM!</v>
      </c>
      <c r="AQ305" s="524" t="e">
        <f t="shared" si="77"/>
        <v>#NUM!</v>
      </c>
      <c r="AR305" s="524" t="str">
        <f t="shared" si="78"/>
        <v/>
      </c>
      <c r="AY305" s="523" t="str">
        <f>_xlfn.IFNA(IF(données_step[[#This Row],[E_DCO]]&lt;=0,NA(),charge_entree[[#This Row],[ch_E_DCO]]/constanten!$B$8*1000),"")</f>
        <v/>
      </c>
      <c r="AZ305" s="523" t="str">
        <f>_xlfn.IFNA(IF(données_step[[#This Row],[E_NTOT]]&lt;=0,NA(),charge_entree[[#This Row],[ch_E_NTOT]]/constanten!$B$10*1000),"")</f>
        <v/>
      </c>
      <c r="BA305" s="523" t="str">
        <f>_xlfn.IFNA(IF(données_step[[#This Row],[E_NH4]]&lt;=0,NA(),charge_entree[[#This Row],[ch_E_NH4]]/constanten!$B$12*1000),"")</f>
        <v/>
      </c>
      <c r="BB305" s="523" t="str">
        <f>_xlfn.IFNA(IF(données_step[[#This Row],[E_COT]]&lt;=0,NA(),charge_entree[[#This Row],[ch_E_COT]]/constanten!$B$9*1000),"")</f>
        <v/>
      </c>
      <c r="BC305" s="523" t="str">
        <f>IFERROR(_xlfn.IFNA(IF(données_step[[#This Row],[E_PTOT]]&lt;=0,NA(),charge_entree[[#This Row],[ch_E_PTOT]]/constanten!$B$15*1000),""),"")</f>
        <v/>
      </c>
      <c r="BD305" s="535" t="e">
        <f>calculs!E305 * (1-0.4) / (données_step[[#This Row],[X_BA_VOL]]*données_step[[#This Row],[X_BACONC]])</f>
        <v>#VALUE!</v>
      </c>
      <c r="BE305" s="522" t="e">
        <f>(données_step[[#This Row],[X_BA_VOL]]*données_step[[#This Row],[X_BACONC]])/((données_step[[#This Row],[D_QTRAI2]]*données_step[[#This Row],[S_MES]]/1000)+(données_step[[#This Row],[X_BX_Q]]*données_step[[#This Row],[X_BXCONC]]))</f>
        <v>#VALUE!</v>
      </c>
      <c r="BF305" s="890" t="str">
        <f>IFERROR(données_step[[#This Row],[D_QTRAI]]/AY305*1000,"")</f>
        <v/>
      </c>
      <c r="BG305" s="535" t="str">
        <f>IFERROR(1-données_step[[#This Row],[S_DBO5]]/données_step[[#This Row],[E_DBO5]],"")</f>
        <v/>
      </c>
      <c r="BH305" s="536" t="str">
        <f>IFERROR(1-données_step[[#This Row],[S_DCO]]/données_step[[#This Row],[E_DCO]],"")</f>
        <v/>
      </c>
      <c r="BI305" s="535" t="str">
        <f>IFERROR(1-données_step[[#This Row],[S_COD]]/données_step[[#This Row],[E_COT]],"")</f>
        <v/>
      </c>
      <c r="BJ305" s="535" t="str">
        <f>IFERROR(1-données_step[[#This Row],[S_NH4]]/données_step[[#This Row],[E_NTOT]],"")</f>
        <v/>
      </c>
      <c r="BK305" s="535" t="str">
        <f>IFERROR(1-données_step[[#This Row],[S_PTOT]]/données_step[[#This Row],[E_PTOT]],"")</f>
        <v/>
      </c>
      <c r="BL305" s="521" t="str">
        <f>IFERROR(IF(données_step[[#This Row],[E_DCO]]/données_step[[#This Row],[E_DBO5]]=0,NA(),données_step[[#This Row],[E_DCO]]/données_step[[#This Row],[E_DBO5]]),"")</f>
        <v/>
      </c>
      <c r="BM305" s="521" t="str">
        <f>IFERROR(IF(données_step[[#This Row],[E_NH4]]/données_step[[#This Row],[E_NTOT]]=0,NA(),données_step[[#This Row],[E_NH4]]/données_step[[#This Row],[E_NTOT]]),"")</f>
        <v/>
      </c>
      <c r="BN305" s="521" t="str">
        <f>IFERROR(IF(données_step[[#This Row],[E_NTOT]]/données_step[[#This Row],[E_COT]]=0,NA(),données_step[[#This Row],[E_NTOT]]/données_step[[#This Row],[E_COT]]),"")</f>
        <v/>
      </c>
      <c r="BO305" s="521" t="str">
        <f>IFERROR(IF(données_step[[#This Row],[E_PTOT]]/données_step[[#This Row],[E_COT]]=0,NA(),données_step[[#This Row],[E_PTOT]]/données_step[[#This Row],[E_COT]]),"")</f>
        <v/>
      </c>
      <c r="BP305" s="521" t="e">
        <f>IF(données_step[[#This Row],[E_DCO]]/données_step[[#This Row],[E_COT]]=0,NA(),données_step[[#This Row],[E_DCO]]/données_step[[#This Row],[E_COT]])</f>
        <v>#DIV/0!</v>
      </c>
      <c r="BQ305" s="521" t="e">
        <f>IF(données_step[[#This Row],[E_NTOT]]/données_step[[#This Row],[E_DCO]]=0,NA(),données_step[[#This Row],[E_NTOT]]/données_step[[#This Row],[E_DCO]])</f>
        <v>#DIV/0!</v>
      </c>
      <c r="BR305" s="521" t="e">
        <f>IF(données_step[[#This Row],[E_PTOT]]/données_step[[#This Row],[E_DCO]]=0,NA(),données_step[[#This Row],[E_PTOT]]/données_step[[#This Row],[E_DCO]])</f>
        <v>#DIV/0!</v>
      </c>
      <c r="BS305" s="747" t="e">
        <f ca="1">test_NH4_temp(données_step[[#This Row],[S_NH4]],données_step[[#This Row],[Temp_eaux]])</f>
        <v>#NAME?</v>
      </c>
    </row>
    <row r="306" spans="1:71" x14ac:dyDescent="0.2">
      <c r="A306" s="222">
        <f>données_step[[#This Row],[Datum]]</f>
        <v>44857</v>
      </c>
      <c r="B306" s="223"/>
      <c r="C306" s="224">
        <f t="shared" si="79"/>
        <v>1</v>
      </c>
      <c r="D306" s="523" t="str">
        <f>IF(OR(données_step[[#This Row],[E_DBO5]]&lt;=0,données_step[[#This Row],[E_DBO5]]=""),"",données_step[[#This Row],[D_QTRAI]]*données_step[[#This Row],[E_DBO5]]/1000)</f>
        <v/>
      </c>
      <c r="E306" s="523" t="str">
        <f>IF(OR(données_step[[#This Row],[E_DCO]]&lt;=0,données_step[[#This Row],[E_DCO]]=""),"",données_step[[#This Row],[D_QTRAI]]*données_step[[#This Row],[E_DCO]]/1000)</f>
        <v/>
      </c>
      <c r="F306" s="523" t="str">
        <f>IF(OR(données_step[[#This Row],[E_COT]]&lt;=0,données_step[[#This Row],[E_COT]]=""),"",données_step[[#This Row],[D_QTRAI]]*données_step[[#This Row],[E_COT]]/1000)</f>
        <v/>
      </c>
      <c r="G306" s="523" t="str">
        <f>IF(OR(données_step[[#This Row],[E_NH4]]&lt;=0,données_step[[#This Row],[E_NH4]]=""),"",données_step[[#This Row],[D_QTRAI]]*données_step[[#This Row],[E_NH4]]/1000)</f>
        <v/>
      </c>
      <c r="H306" s="523" t="str">
        <f>IF(OR(données_step[[#This Row],[E_NTOT]]&lt;=0,données_step[[#This Row],[E_NTOT]]=""),"",données_step[[#This Row],[D_QTRAI]]*données_step[[#This Row],[E_NTOT]]/1000)</f>
        <v/>
      </c>
      <c r="I306" s="523" t="str">
        <f>IF(OR(données_step[[#This Row],[E_NTOT]]&lt;=0,données_step[[#This Row],[E_NTOT]]=""),"",données_step[[#This Row],[D_QTRAI]]*données_step[[#This Row],[E_PTOT]]/1000)</f>
        <v/>
      </c>
      <c r="J306" s="523" t="str">
        <f>IF(OR(données_step[[#This Row],[S_DBO5]]&lt;=0,données_step[[#This Row],[S_DBO5]]=""),"",données_step[[#This Row],[D_QTRAI]]*données_step[[#This Row],[S_DBO5]]/1000)</f>
        <v/>
      </c>
      <c r="K306" s="523" t="str">
        <f>IF(OR(données_step[[#This Row],[S_DCO]]&lt;=0,données_step[[#This Row],[S_DCO]]=""),"",données_step[[#This Row],[D_QTRAI]]*données_step[[#This Row],[S_DCO]]/1000)</f>
        <v/>
      </c>
      <c r="L306" s="523" t="str">
        <f>IF(OR(données_step[[#This Row],[S_COD]]&lt;=0,données_step[[#This Row],[S_COD]]=""),"",données_step[[#This Row],[D_QTRAI]]*données_step[[#This Row],[S_COD]]/1000)</f>
        <v/>
      </c>
      <c r="M306" s="523" t="str">
        <f>IF(OR(données_step[[#This Row],[S_NH4]]&lt;=0,données_step[[#This Row],[S_NH4]]=""),"",données_step[[#This Row],[D_QTRAI]]*données_step[[#This Row],[S_NH4]]/1000)</f>
        <v/>
      </c>
      <c r="N306" s="523" t="str">
        <f>IF(OR(données_step[[#This Row],[S_NO2]]&lt;=0,données_step[[#This Row],[S_NO2]]=""),"",données_step[[#This Row],[D_QTRAI]]*données_step[[#This Row],[S_NO2]]/1000)</f>
        <v/>
      </c>
      <c r="O306" s="523" t="str">
        <f>IF(OR(données_step[[#This Row],[S_NO3]]&lt;=0,données_step[[#This Row],[S_NO3]]=""),"",données_step[[#This Row],[D_QTRAI]]*données_step[[#This Row],[S_NO3]]/1000)</f>
        <v/>
      </c>
      <c r="P306" s="523" t="str">
        <f>IF(OR(données_step[[#This Row],[S_PTOT]]&lt;=0,données_step[[#This Row],[S_PTOT]]=""),"",données_step[[#This Row],[D_QTRAI]]*données_step[[#This Row],[S_PTOT]]/1000)</f>
        <v/>
      </c>
      <c r="Q306" s="523" t="str">
        <f>IF(OR(données_step[[#This Row],[S_MES]]&lt;=0,données_step[[#This Row],[S_MES]]=""),"",données_step[[#This Row],[D_QTRAI]]*données_step[[#This Row],[S_MES]]/1000)</f>
        <v/>
      </c>
      <c r="R306" s="523">
        <f>MAX(données_step[[#This Row],[D_QTRAI]],données_step[[#This Row],[D_QTRAI2]])</f>
        <v>0</v>
      </c>
      <c r="S306" s="523" t="str">
        <f>IF(AND($R306&gt;0,données_step[[#This Row],[E_DCO]]&gt;0),données_step[[#This Row],[E_DCO]],"")</f>
        <v/>
      </c>
      <c r="T306" s="523" t="str">
        <f>IF(S306="","",(1-données_step[[#This Row],[E_DCO]]/$V$7)*100)</f>
        <v/>
      </c>
      <c r="U306" s="523" t="str">
        <f t="shared" si="65"/>
        <v/>
      </c>
      <c r="V306" s="523" t="str">
        <f t="shared" si="66"/>
        <v/>
      </c>
      <c r="W306" s="523" t="str">
        <f t="shared" si="67"/>
        <v/>
      </c>
      <c r="X306" s="523" t="e">
        <f>IF(((100-100/$V$7*données_step[[#This Row],[E_DCO]])/100*QTS)&lt;0,NA(),IF(OR(U306&lt;0,U306=""),NA(),((100-100/$V$7*données_step[[#This Row],[E_DCO]])/100*QTS)))</f>
        <v>#NUM!</v>
      </c>
      <c r="Y306" s="523" t="str">
        <f>IF(AND($R306&gt;0,données_step[[#This Row],[E_COT]]&gt;0),données_step[[#This Row],[E_COT]],"")</f>
        <v/>
      </c>
      <c r="Z306" s="523" t="str">
        <f>IF(Y306="","",(1-données_step[[#This Row],[E_COT]]/$AB$7)*100)</f>
        <v/>
      </c>
      <c r="AA306" s="523" t="str">
        <f t="shared" si="68"/>
        <v/>
      </c>
      <c r="AB306" s="523" t="str">
        <f t="shared" si="69"/>
        <v/>
      </c>
      <c r="AC306" s="523" t="str">
        <f t="shared" si="70"/>
        <v/>
      </c>
      <c r="AD306" s="523" t="e">
        <f>IF(((100-100/$AB$7*données_step[[#This Row],[E_COT]])/100*QTS)&lt;0,NA(),IF(OR(AA306&lt;0,AA306=""),NA(),((100-100/$AB$7*données_step[[#This Row],[E_COT]])/100*QTS)))</f>
        <v>#NUM!</v>
      </c>
      <c r="AE306" s="523" t="str">
        <f>IF(AND($R306&gt;0,données_step[[#This Row],[E_NH4]]&gt;0),données_step[[#This Row],[E_NH4]],"")</f>
        <v/>
      </c>
      <c r="AF306" s="523" t="str">
        <f>IF(AE306="","",(1-données_step[[#This Row],[E_NH4]]/$AH$7)*100)</f>
        <v/>
      </c>
      <c r="AG306" s="523" t="str">
        <f t="shared" si="71"/>
        <v/>
      </c>
      <c r="AH306" s="523" t="str">
        <f t="shared" si="72"/>
        <v/>
      </c>
      <c r="AI306" s="523" t="str">
        <f t="shared" si="73"/>
        <v/>
      </c>
      <c r="AJ306" s="523" t="e">
        <f>IF(((100-100/$AH$7*données_step[[#This Row],[E_NH4]])/100*QTS)&lt;0,NA(),IF(OR(AG306&lt;0,AG306=""),NA(),((100-100/$AH$7*données_step[[#This Row],[E_NH4]])/100*QTS)))</f>
        <v>#NUM!</v>
      </c>
      <c r="AK306" s="523" t="str">
        <f>IF(AND($R306&gt;0,données_step[[#This Row],[E_PTOT]]&gt;0),données_step[[#This Row],[E_PTOT]],"")</f>
        <v/>
      </c>
      <c r="AL306" s="523" t="str">
        <f>IF(AK306="","",(1-données_step[[#This Row],[E_PTOT]]/$AN$7)*100)</f>
        <v/>
      </c>
      <c r="AM306" s="523" t="str">
        <f t="shared" si="74"/>
        <v/>
      </c>
      <c r="AN306" s="523" t="str">
        <f t="shared" si="75"/>
        <v/>
      </c>
      <c r="AO306" s="523" t="str">
        <f t="shared" si="76"/>
        <v/>
      </c>
      <c r="AP306" s="523" t="e">
        <f>IF(((100-100/$AN$7*données_step[[#This Row],[E_PTOT]])/100*QTS)&lt;0,NA(),IF(OR(AM306&lt;0,AM306=""),NA(),((100-100/$AN$7*données_step[[#This Row],[E_PTOT]])/100*QTS)))</f>
        <v>#NUM!</v>
      </c>
      <c r="AQ306" s="524" t="e">
        <f t="shared" si="77"/>
        <v>#NUM!</v>
      </c>
      <c r="AR306" s="524" t="str">
        <f t="shared" si="78"/>
        <v/>
      </c>
      <c r="AY306" s="523" t="str">
        <f>_xlfn.IFNA(IF(données_step[[#This Row],[E_DCO]]&lt;=0,NA(),charge_entree[[#This Row],[ch_E_DCO]]/constanten!$B$8*1000),"")</f>
        <v/>
      </c>
      <c r="AZ306" s="523" t="str">
        <f>_xlfn.IFNA(IF(données_step[[#This Row],[E_NTOT]]&lt;=0,NA(),charge_entree[[#This Row],[ch_E_NTOT]]/constanten!$B$10*1000),"")</f>
        <v/>
      </c>
      <c r="BA306" s="523" t="str">
        <f>_xlfn.IFNA(IF(données_step[[#This Row],[E_NH4]]&lt;=0,NA(),charge_entree[[#This Row],[ch_E_NH4]]/constanten!$B$12*1000),"")</f>
        <v/>
      </c>
      <c r="BB306" s="523" t="str">
        <f>_xlfn.IFNA(IF(données_step[[#This Row],[E_COT]]&lt;=0,NA(),charge_entree[[#This Row],[ch_E_COT]]/constanten!$B$9*1000),"")</f>
        <v/>
      </c>
      <c r="BC306" s="523" t="str">
        <f>IFERROR(_xlfn.IFNA(IF(données_step[[#This Row],[E_PTOT]]&lt;=0,NA(),charge_entree[[#This Row],[ch_E_PTOT]]/constanten!$B$15*1000),""),"")</f>
        <v/>
      </c>
      <c r="BD306" s="535" t="e">
        <f>calculs!E306 * (1-0.4) / (données_step[[#This Row],[X_BA_VOL]]*données_step[[#This Row],[X_BACONC]])</f>
        <v>#VALUE!</v>
      </c>
      <c r="BE306" s="522" t="e">
        <f>(données_step[[#This Row],[X_BA_VOL]]*données_step[[#This Row],[X_BACONC]])/((données_step[[#This Row],[D_QTRAI2]]*données_step[[#This Row],[S_MES]]/1000)+(données_step[[#This Row],[X_BX_Q]]*données_step[[#This Row],[X_BXCONC]]))</f>
        <v>#VALUE!</v>
      </c>
      <c r="BF306" s="890" t="str">
        <f>IFERROR(données_step[[#This Row],[D_QTRAI]]/AY306*1000,"")</f>
        <v/>
      </c>
      <c r="BG306" s="535" t="str">
        <f>IFERROR(1-données_step[[#This Row],[S_DBO5]]/données_step[[#This Row],[E_DBO5]],"")</f>
        <v/>
      </c>
      <c r="BH306" s="536" t="str">
        <f>IFERROR(1-données_step[[#This Row],[S_DCO]]/données_step[[#This Row],[E_DCO]],"")</f>
        <v/>
      </c>
      <c r="BI306" s="535" t="str">
        <f>IFERROR(1-données_step[[#This Row],[S_COD]]/données_step[[#This Row],[E_COT]],"")</f>
        <v/>
      </c>
      <c r="BJ306" s="535" t="str">
        <f>IFERROR(1-données_step[[#This Row],[S_NH4]]/données_step[[#This Row],[E_NTOT]],"")</f>
        <v/>
      </c>
      <c r="BK306" s="535" t="str">
        <f>IFERROR(1-données_step[[#This Row],[S_PTOT]]/données_step[[#This Row],[E_PTOT]],"")</f>
        <v/>
      </c>
      <c r="BL306" s="521" t="str">
        <f>IFERROR(IF(données_step[[#This Row],[E_DCO]]/données_step[[#This Row],[E_DBO5]]=0,NA(),données_step[[#This Row],[E_DCO]]/données_step[[#This Row],[E_DBO5]]),"")</f>
        <v/>
      </c>
      <c r="BM306" s="521" t="str">
        <f>IFERROR(IF(données_step[[#This Row],[E_NH4]]/données_step[[#This Row],[E_NTOT]]=0,NA(),données_step[[#This Row],[E_NH4]]/données_step[[#This Row],[E_NTOT]]),"")</f>
        <v/>
      </c>
      <c r="BN306" s="521" t="str">
        <f>IFERROR(IF(données_step[[#This Row],[E_NTOT]]/données_step[[#This Row],[E_COT]]=0,NA(),données_step[[#This Row],[E_NTOT]]/données_step[[#This Row],[E_COT]]),"")</f>
        <v/>
      </c>
      <c r="BO306" s="521" t="str">
        <f>IFERROR(IF(données_step[[#This Row],[E_PTOT]]/données_step[[#This Row],[E_COT]]=0,NA(),données_step[[#This Row],[E_PTOT]]/données_step[[#This Row],[E_COT]]),"")</f>
        <v/>
      </c>
      <c r="BP306" s="521" t="e">
        <f>IF(données_step[[#This Row],[E_DCO]]/données_step[[#This Row],[E_COT]]=0,NA(),données_step[[#This Row],[E_DCO]]/données_step[[#This Row],[E_COT]])</f>
        <v>#DIV/0!</v>
      </c>
      <c r="BQ306" s="521" t="e">
        <f>IF(données_step[[#This Row],[E_NTOT]]/données_step[[#This Row],[E_DCO]]=0,NA(),données_step[[#This Row],[E_NTOT]]/données_step[[#This Row],[E_DCO]])</f>
        <v>#DIV/0!</v>
      </c>
      <c r="BR306" s="521" t="e">
        <f>IF(données_step[[#This Row],[E_PTOT]]/données_step[[#This Row],[E_DCO]]=0,NA(),données_step[[#This Row],[E_PTOT]]/données_step[[#This Row],[E_DCO]])</f>
        <v>#DIV/0!</v>
      </c>
      <c r="BS306" s="747" t="e">
        <f ca="1">test_NH4_temp(données_step[[#This Row],[S_NH4]],données_step[[#This Row],[Temp_eaux]])</f>
        <v>#NAME?</v>
      </c>
    </row>
    <row r="307" spans="1:71" x14ac:dyDescent="0.2">
      <c r="A307" s="222">
        <f>données_step[[#This Row],[Datum]]</f>
        <v>44858</v>
      </c>
      <c r="B307" s="223"/>
      <c r="C307" s="224">
        <f t="shared" si="79"/>
        <v>2</v>
      </c>
      <c r="D307" s="523" t="str">
        <f>IF(OR(données_step[[#This Row],[E_DBO5]]&lt;=0,données_step[[#This Row],[E_DBO5]]=""),"",données_step[[#This Row],[D_QTRAI]]*données_step[[#This Row],[E_DBO5]]/1000)</f>
        <v/>
      </c>
      <c r="E307" s="523" t="str">
        <f>IF(OR(données_step[[#This Row],[E_DCO]]&lt;=0,données_step[[#This Row],[E_DCO]]=""),"",données_step[[#This Row],[D_QTRAI]]*données_step[[#This Row],[E_DCO]]/1000)</f>
        <v/>
      </c>
      <c r="F307" s="523" t="str">
        <f>IF(OR(données_step[[#This Row],[E_COT]]&lt;=0,données_step[[#This Row],[E_COT]]=""),"",données_step[[#This Row],[D_QTRAI]]*données_step[[#This Row],[E_COT]]/1000)</f>
        <v/>
      </c>
      <c r="G307" s="523" t="str">
        <f>IF(OR(données_step[[#This Row],[E_NH4]]&lt;=0,données_step[[#This Row],[E_NH4]]=""),"",données_step[[#This Row],[D_QTRAI]]*données_step[[#This Row],[E_NH4]]/1000)</f>
        <v/>
      </c>
      <c r="H307" s="523" t="str">
        <f>IF(OR(données_step[[#This Row],[E_NTOT]]&lt;=0,données_step[[#This Row],[E_NTOT]]=""),"",données_step[[#This Row],[D_QTRAI]]*données_step[[#This Row],[E_NTOT]]/1000)</f>
        <v/>
      </c>
      <c r="I307" s="523" t="str">
        <f>IF(OR(données_step[[#This Row],[E_NTOT]]&lt;=0,données_step[[#This Row],[E_NTOT]]=""),"",données_step[[#This Row],[D_QTRAI]]*données_step[[#This Row],[E_PTOT]]/1000)</f>
        <v/>
      </c>
      <c r="J307" s="523" t="str">
        <f>IF(OR(données_step[[#This Row],[S_DBO5]]&lt;=0,données_step[[#This Row],[S_DBO5]]=""),"",données_step[[#This Row],[D_QTRAI]]*données_step[[#This Row],[S_DBO5]]/1000)</f>
        <v/>
      </c>
      <c r="K307" s="523" t="str">
        <f>IF(OR(données_step[[#This Row],[S_DCO]]&lt;=0,données_step[[#This Row],[S_DCO]]=""),"",données_step[[#This Row],[D_QTRAI]]*données_step[[#This Row],[S_DCO]]/1000)</f>
        <v/>
      </c>
      <c r="L307" s="523" t="str">
        <f>IF(OR(données_step[[#This Row],[S_COD]]&lt;=0,données_step[[#This Row],[S_COD]]=""),"",données_step[[#This Row],[D_QTRAI]]*données_step[[#This Row],[S_COD]]/1000)</f>
        <v/>
      </c>
      <c r="M307" s="523" t="str">
        <f>IF(OR(données_step[[#This Row],[S_NH4]]&lt;=0,données_step[[#This Row],[S_NH4]]=""),"",données_step[[#This Row],[D_QTRAI]]*données_step[[#This Row],[S_NH4]]/1000)</f>
        <v/>
      </c>
      <c r="N307" s="523" t="str">
        <f>IF(OR(données_step[[#This Row],[S_NO2]]&lt;=0,données_step[[#This Row],[S_NO2]]=""),"",données_step[[#This Row],[D_QTRAI]]*données_step[[#This Row],[S_NO2]]/1000)</f>
        <v/>
      </c>
      <c r="O307" s="523" t="str">
        <f>IF(OR(données_step[[#This Row],[S_NO3]]&lt;=0,données_step[[#This Row],[S_NO3]]=""),"",données_step[[#This Row],[D_QTRAI]]*données_step[[#This Row],[S_NO3]]/1000)</f>
        <v/>
      </c>
      <c r="P307" s="523" t="str">
        <f>IF(OR(données_step[[#This Row],[S_PTOT]]&lt;=0,données_step[[#This Row],[S_PTOT]]=""),"",données_step[[#This Row],[D_QTRAI]]*données_step[[#This Row],[S_PTOT]]/1000)</f>
        <v/>
      </c>
      <c r="Q307" s="523" t="str">
        <f>IF(OR(données_step[[#This Row],[S_MES]]&lt;=0,données_step[[#This Row],[S_MES]]=""),"",données_step[[#This Row],[D_QTRAI]]*données_step[[#This Row],[S_MES]]/1000)</f>
        <v/>
      </c>
      <c r="R307" s="523">
        <f>MAX(données_step[[#This Row],[D_QTRAI]],données_step[[#This Row],[D_QTRAI2]])</f>
        <v>0</v>
      </c>
      <c r="S307" s="523" t="str">
        <f>IF(AND($R307&gt;0,données_step[[#This Row],[E_DCO]]&gt;0),données_step[[#This Row],[E_DCO]],"")</f>
        <v/>
      </c>
      <c r="T307" s="523" t="str">
        <f>IF(S307="","",(1-données_step[[#This Row],[E_DCO]]/$V$7)*100)</f>
        <v/>
      </c>
      <c r="U307" s="523" t="str">
        <f t="shared" si="65"/>
        <v/>
      </c>
      <c r="V307" s="523" t="str">
        <f t="shared" si="66"/>
        <v/>
      </c>
      <c r="W307" s="523" t="str">
        <f t="shared" si="67"/>
        <v/>
      </c>
      <c r="X307" s="523" t="e">
        <f>IF(((100-100/$V$7*données_step[[#This Row],[E_DCO]])/100*QTS)&lt;0,NA(),IF(OR(U307&lt;0,U307=""),NA(),((100-100/$V$7*données_step[[#This Row],[E_DCO]])/100*QTS)))</f>
        <v>#NUM!</v>
      </c>
      <c r="Y307" s="523" t="str">
        <f>IF(AND($R307&gt;0,données_step[[#This Row],[E_COT]]&gt;0),données_step[[#This Row],[E_COT]],"")</f>
        <v/>
      </c>
      <c r="Z307" s="523" t="str">
        <f>IF(Y307="","",(1-données_step[[#This Row],[E_COT]]/$AB$7)*100)</f>
        <v/>
      </c>
      <c r="AA307" s="523" t="str">
        <f t="shared" si="68"/>
        <v/>
      </c>
      <c r="AB307" s="523" t="str">
        <f t="shared" si="69"/>
        <v/>
      </c>
      <c r="AC307" s="523" t="str">
        <f t="shared" si="70"/>
        <v/>
      </c>
      <c r="AD307" s="523" t="e">
        <f>IF(((100-100/$AB$7*données_step[[#This Row],[E_COT]])/100*QTS)&lt;0,NA(),IF(OR(AA307&lt;0,AA307=""),NA(),((100-100/$AB$7*données_step[[#This Row],[E_COT]])/100*QTS)))</f>
        <v>#NUM!</v>
      </c>
      <c r="AE307" s="523" t="str">
        <f>IF(AND($R307&gt;0,données_step[[#This Row],[E_NH4]]&gt;0),données_step[[#This Row],[E_NH4]],"")</f>
        <v/>
      </c>
      <c r="AF307" s="523" t="str">
        <f>IF(AE307="","",(1-données_step[[#This Row],[E_NH4]]/$AH$7)*100)</f>
        <v/>
      </c>
      <c r="AG307" s="523" t="str">
        <f t="shared" si="71"/>
        <v/>
      </c>
      <c r="AH307" s="523" t="str">
        <f t="shared" si="72"/>
        <v/>
      </c>
      <c r="AI307" s="523" t="str">
        <f t="shared" si="73"/>
        <v/>
      </c>
      <c r="AJ307" s="523" t="e">
        <f>IF(((100-100/$AH$7*données_step[[#This Row],[E_NH4]])/100*QTS)&lt;0,NA(),IF(OR(AG307&lt;0,AG307=""),NA(),((100-100/$AH$7*données_step[[#This Row],[E_NH4]])/100*QTS)))</f>
        <v>#NUM!</v>
      </c>
      <c r="AK307" s="523" t="str">
        <f>IF(AND($R307&gt;0,données_step[[#This Row],[E_PTOT]]&gt;0),données_step[[#This Row],[E_PTOT]],"")</f>
        <v/>
      </c>
      <c r="AL307" s="523" t="str">
        <f>IF(AK307="","",(1-données_step[[#This Row],[E_PTOT]]/$AN$7)*100)</f>
        <v/>
      </c>
      <c r="AM307" s="523" t="str">
        <f t="shared" si="74"/>
        <v/>
      </c>
      <c r="AN307" s="523" t="str">
        <f t="shared" si="75"/>
        <v/>
      </c>
      <c r="AO307" s="523" t="str">
        <f t="shared" si="76"/>
        <v/>
      </c>
      <c r="AP307" s="523" t="e">
        <f>IF(((100-100/$AN$7*données_step[[#This Row],[E_PTOT]])/100*QTS)&lt;0,NA(),IF(OR(AM307&lt;0,AM307=""),NA(),((100-100/$AN$7*données_step[[#This Row],[E_PTOT]])/100*QTS)))</f>
        <v>#NUM!</v>
      </c>
      <c r="AQ307" s="524" t="e">
        <f t="shared" si="77"/>
        <v>#NUM!</v>
      </c>
      <c r="AR307" s="524" t="str">
        <f t="shared" si="78"/>
        <v/>
      </c>
      <c r="AY307" s="523" t="str">
        <f>_xlfn.IFNA(IF(données_step[[#This Row],[E_DCO]]&lt;=0,NA(),charge_entree[[#This Row],[ch_E_DCO]]/constanten!$B$8*1000),"")</f>
        <v/>
      </c>
      <c r="AZ307" s="523" t="str">
        <f>_xlfn.IFNA(IF(données_step[[#This Row],[E_NTOT]]&lt;=0,NA(),charge_entree[[#This Row],[ch_E_NTOT]]/constanten!$B$10*1000),"")</f>
        <v/>
      </c>
      <c r="BA307" s="523" t="str">
        <f>_xlfn.IFNA(IF(données_step[[#This Row],[E_NH4]]&lt;=0,NA(),charge_entree[[#This Row],[ch_E_NH4]]/constanten!$B$12*1000),"")</f>
        <v/>
      </c>
      <c r="BB307" s="523" t="str">
        <f>_xlfn.IFNA(IF(données_step[[#This Row],[E_COT]]&lt;=0,NA(),charge_entree[[#This Row],[ch_E_COT]]/constanten!$B$9*1000),"")</f>
        <v/>
      </c>
      <c r="BC307" s="523" t="str">
        <f>IFERROR(_xlfn.IFNA(IF(données_step[[#This Row],[E_PTOT]]&lt;=0,NA(),charge_entree[[#This Row],[ch_E_PTOT]]/constanten!$B$15*1000),""),"")</f>
        <v/>
      </c>
      <c r="BD307" s="535" t="e">
        <f>calculs!E307 * (1-0.4) / (données_step[[#This Row],[X_BA_VOL]]*données_step[[#This Row],[X_BACONC]])</f>
        <v>#VALUE!</v>
      </c>
      <c r="BE307" s="522" t="e">
        <f>(données_step[[#This Row],[X_BA_VOL]]*données_step[[#This Row],[X_BACONC]])/((données_step[[#This Row],[D_QTRAI2]]*données_step[[#This Row],[S_MES]]/1000)+(données_step[[#This Row],[X_BX_Q]]*données_step[[#This Row],[X_BXCONC]]))</f>
        <v>#VALUE!</v>
      </c>
      <c r="BF307" s="890" t="str">
        <f>IFERROR(données_step[[#This Row],[D_QTRAI]]/AY307*1000,"")</f>
        <v/>
      </c>
      <c r="BG307" s="535" t="str">
        <f>IFERROR(1-données_step[[#This Row],[S_DBO5]]/données_step[[#This Row],[E_DBO5]],"")</f>
        <v/>
      </c>
      <c r="BH307" s="536" t="str">
        <f>IFERROR(1-données_step[[#This Row],[S_DCO]]/données_step[[#This Row],[E_DCO]],"")</f>
        <v/>
      </c>
      <c r="BI307" s="535" t="str">
        <f>IFERROR(1-données_step[[#This Row],[S_COD]]/données_step[[#This Row],[E_COT]],"")</f>
        <v/>
      </c>
      <c r="BJ307" s="535" t="str">
        <f>IFERROR(1-données_step[[#This Row],[S_NH4]]/données_step[[#This Row],[E_NTOT]],"")</f>
        <v/>
      </c>
      <c r="BK307" s="535" t="str">
        <f>IFERROR(1-données_step[[#This Row],[S_PTOT]]/données_step[[#This Row],[E_PTOT]],"")</f>
        <v/>
      </c>
      <c r="BL307" s="521" t="str">
        <f>IFERROR(IF(données_step[[#This Row],[E_DCO]]/données_step[[#This Row],[E_DBO5]]=0,NA(),données_step[[#This Row],[E_DCO]]/données_step[[#This Row],[E_DBO5]]),"")</f>
        <v/>
      </c>
      <c r="BM307" s="521" t="str">
        <f>IFERROR(IF(données_step[[#This Row],[E_NH4]]/données_step[[#This Row],[E_NTOT]]=0,NA(),données_step[[#This Row],[E_NH4]]/données_step[[#This Row],[E_NTOT]]),"")</f>
        <v/>
      </c>
      <c r="BN307" s="521" t="str">
        <f>IFERROR(IF(données_step[[#This Row],[E_NTOT]]/données_step[[#This Row],[E_COT]]=0,NA(),données_step[[#This Row],[E_NTOT]]/données_step[[#This Row],[E_COT]]),"")</f>
        <v/>
      </c>
      <c r="BO307" s="521" t="str">
        <f>IFERROR(IF(données_step[[#This Row],[E_PTOT]]/données_step[[#This Row],[E_COT]]=0,NA(),données_step[[#This Row],[E_PTOT]]/données_step[[#This Row],[E_COT]]),"")</f>
        <v/>
      </c>
      <c r="BP307" s="521" t="e">
        <f>IF(données_step[[#This Row],[E_DCO]]/données_step[[#This Row],[E_COT]]=0,NA(),données_step[[#This Row],[E_DCO]]/données_step[[#This Row],[E_COT]])</f>
        <v>#DIV/0!</v>
      </c>
      <c r="BQ307" s="521" t="e">
        <f>IF(données_step[[#This Row],[E_NTOT]]/données_step[[#This Row],[E_DCO]]=0,NA(),données_step[[#This Row],[E_NTOT]]/données_step[[#This Row],[E_DCO]])</f>
        <v>#DIV/0!</v>
      </c>
      <c r="BR307" s="521" t="e">
        <f>IF(données_step[[#This Row],[E_PTOT]]/données_step[[#This Row],[E_DCO]]=0,NA(),données_step[[#This Row],[E_PTOT]]/données_step[[#This Row],[E_DCO]])</f>
        <v>#DIV/0!</v>
      </c>
      <c r="BS307" s="747" t="e">
        <f ca="1">test_NH4_temp(données_step[[#This Row],[S_NH4]],données_step[[#This Row],[Temp_eaux]])</f>
        <v>#NAME?</v>
      </c>
    </row>
    <row r="308" spans="1:71" x14ac:dyDescent="0.2">
      <c r="A308" s="222">
        <f>données_step[[#This Row],[Datum]]</f>
        <v>44859</v>
      </c>
      <c r="B308" s="223"/>
      <c r="C308" s="224">
        <f t="shared" si="79"/>
        <v>3</v>
      </c>
      <c r="D308" s="523" t="str">
        <f>IF(OR(données_step[[#This Row],[E_DBO5]]&lt;=0,données_step[[#This Row],[E_DBO5]]=""),"",données_step[[#This Row],[D_QTRAI]]*données_step[[#This Row],[E_DBO5]]/1000)</f>
        <v/>
      </c>
      <c r="E308" s="523" t="str">
        <f>IF(OR(données_step[[#This Row],[E_DCO]]&lt;=0,données_step[[#This Row],[E_DCO]]=""),"",données_step[[#This Row],[D_QTRAI]]*données_step[[#This Row],[E_DCO]]/1000)</f>
        <v/>
      </c>
      <c r="F308" s="523" t="str">
        <f>IF(OR(données_step[[#This Row],[E_COT]]&lt;=0,données_step[[#This Row],[E_COT]]=""),"",données_step[[#This Row],[D_QTRAI]]*données_step[[#This Row],[E_COT]]/1000)</f>
        <v/>
      </c>
      <c r="G308" s="523" t="str">
        <f>IF(OR(données_step[[#This Row],[E_NH4]]&lt;=0,données_step[[#This Row],[E_NH4]]=""),"",données_step[[#This Row],[D_QTRAI]]*données_step[[#This Row],[E_NH4]]/1000)</f>
        <v/>
      </c>
      <c r="H308" s="523" t="str">
        <f>IF(OR(données_step[[#This Row],[E_NTOT]]&lt;=0,données_step[[#This Row],[E_NTOT]]=""),"",données_step[[#This Row],[D_QTRAI]]*données_step[[#This Row],[E_NTOT]]/1000)</f>
        <v/>
      </c>
      <c r="I308" s="523" t="str">
        <f>IF(OR(données_step[[#This Row],[E_NTOT]]&lt;=0,données_step[[#This Row],[E_NTOT]]=""),"",données_step[[#This Row],[D_QTRAI]]*données_step[[#This Row],[E_PTOT]]/1000)</f>
        <v/>
      </c>
      <c r="J308" s="523" t="str">
        <f>IF(OR(données_step[[#This Row],[S_DBO5]]&lt;=0,données_step[[#This Row],[S_DBO5]]=""),"",données_step[[#This Row],[D_QTRAI]]*données_step[[#This Row],[S_DBO5]]/1000)</f>
        <v/>
      </c>
      <c r="K308" s="523" t="str">
        <f>IF(OR(données_step[[#This Row],[S_DCO]]&lt;=0,données_step[[#This Row],[S_DCO]]=""),"",données_step[[#This Row],[D_QTRAI]]*données_step[[#This Row],[S_DCO]]/1000)</f>
        <v/>
      </c>
      <c r="L308" s="523" t="str">
        <f>IF(OR(données_step[[#This Row],[S_COD]]&lt;=0,données_step[[#This Row],[S_COD]]=""),"",données_step[[#This Row],[D_QTRAI]]*données_step[[#This Row],[S_COD]]/1000)</f>
        <v/>
      </c>
      <c r="M308" s="523" t="str">
        <f>IF(OR(données_step[[#This Row],[S_NH4]]&lt;=0,données_step[[#This Row],[S_NH4]]=""),"",données_step[[#This Row],[D_QTRAI]]*données_step[[#This Row],[S_NH4]]/1000)</f>
        <v/>
      </c>
      <c r="N308" s="523" t="str">
        <f>IF(OR(données_step[[#This Row],[S_NO2]]&lt;=0,données_step[[#This Row],[S_NO2]]=""),"",données_step[[#This Row],[D_QTRAI]]*données_step[[#This Row],[S_NO2]]/1000)</f>
        <v/>
      </c>
      <c r="O308" s="523" t="str">
        <f>IF(OR(données_step[[#This Row],[S_NO3]]&lt;=0,données_step[[#This Row],[S_NO3]]=""),"",données_step[[#This Row],[D_QTRAI]]*données_step[[#This Row],[S_NO3]]/1000)</f>
        <v/>
      </c>
      <c r="P308" s="523" t="str">
        <f>IF(OR(données_step[[#This Row],[S_PTOT]]&lt;=0,données_step[[#This Row],[S_PTOT]]=""),"",données_step[[#This Row],[D_QTRAI]]*données_step[[#This Row],[S_PTOT]]/1000)</f>
        <v/>
      </c>
      <c r="Q308" s="523" t="str">
        <f>IF(OR(données_step[[#This Row],[S_MES]]&lt;=0,données_step[[#This Row],[S_MES]]=""),"",données_step[[#This Row],[D_QTRAI]]*données_step[[#This Row],[S_MES]]/1000)</f>
        <v/>
      </c>
      <c r="R308" s="523">
        <f>MAX(données_step[[#This Row],[D_QTRAI]],données_step[[#This Row],[D_QTRAI2]])</f>
        <v>0</v>
      </c>
      <c r="S308" s="523" t="str">
        <f>IF(AND($R308&gt;0,données_step[[#This Row],[E_DCO]]&gt;0),données_step[[#This Row],[E_DCO]],"")</f>
        <v/>
      </c>
      <c r="T308" s="523" t="str">
        <f>IF(S308="","",(1-données_step[[#This Row],[E_DCO]]/$V$7)*100)</f>
        <v/>
      </c>
      <c r="U308" s="523" t="str">
        <f t="shared" si="65"/>
        <v/>
      </c>
      <c r="V308" s="523" t="str">
        <f t="shared" si="66"/>
        <v/>
      </c>
      <c r="W308" s="523" t="str">
        <f t="shared" si="67"/>
        <v/>
      </c>
      <c r="X308" s="523" t="e">
        <f>IF(((100-100/$V$7*données_step[[#This Row],[E_DCO]])/100*QTS)&lt;0,NA(),IF(OR(U308&lt;0,U308=""),NA(),((100-100/$V$7*données_step[[#This Row],[E_DCO]])/100*QTS)))</f>
        <v>#NUM!</v>
      </c>
      <c r="Y308" s="523" t="str">
        <f>IF(AND($R308&gt;0,données_step[[#This Row],[E_COT]]&gt;0),données_step[[#This Row],[E_COT]],"")</f>
        <v/>
      </c>
      <c r="Z308" s="523" t="str">
        <f>IF(Y308="","",(1-données_step[[#This Row],[E_COT]]/$AB$7)*100)</f>
        <v/>
      </c>
      <c r="AA308" s="523" t="str">
        <f t="shared" si="68"/>
        <v/>
      </c>
      <c r="AB308" s="523" t="str">
        <f t="shared" si="69"/>
        <v/>
      </c>
      <c r="AC308" s="523" t="str">
        <f t="shared" si="70"/>
        <v/>
      </c>
      <c r="AD308" s="523" t="e">
        <f>IF(((100-100/$AB$7*données_step[[#This Row],[E_COT]])/100*QTS)&lt;0,NA(),IF(OR(AA308&lt;0,AA308=""),NA(),((100-100/$AB$7*données_step[[#This Row],[E_COT]])/100*QTS)))</f>
        <v>#NUM!</v>
      </c>
      <c r="AE308" s="523" t="str">
        <f>IF(AND($R308&gt;0,données_step[[#This Row],[E_NH4]]&gt;0),données_step[[#This Row],[E_NH4]],"")</f>
        <v/>
      </c>
      <c r="AF308" s="523" t="str">
        <f>IF(AE308="","",(1-données_step[[#This Row],[E_NH4]]/$AH$7)*100)</f>
        <v/>
      </c>
      <c r="AG308" s="523" t="str">
        <f t="shared" si="71"/>
        <v/>
      </c>
      <c r="AH308" s="523" t="str">
        <f t="shared" si="72"/>
        <v/>
      </c>
      <c r="AI308" s="523" t="str">
        <f t="shared" si="73"/>
        <v/>
      </c>
      <c r="AJ308" s="523" t="e">
        <f>IF(((100-100/$AH$7*données_step[[#This Row],[E_NH4]])/100*QTS)&lt;0,NA(),IF(OR(AG308&lt;0,AG308=""),NA(),((100-100/$AH$7*données_step[[#This Row],[E_NH4]])/100*QTS)))</f>
        <v>#NUM!</v>
      </c>
      <c r="AK308" s="523" t="str">
        <f>IF(AND($R308&gt;0,données_step[[#This Row],[E_PTOT]]&gt;0),données_step[[#This Row],[E_PTOT]],"")</f>
        <v/>
      </c>
      <c r="AL308" s="523" t="str">
        <f>IF(AK308="","",(1-données_step[[#This Row],[E_PTOT]]/$AN$7)*100)</f>
        <v/>
      </c>
      <c r="AM308" s="523" t="str">
        <f t="shared" si="74"/>
        <v/>
      </c>
      <c r="AN308" s="523" t="str">
        <f t="shared" si="75"/>
        <v/>
      </c>
      <c r="AO308" s="523" t="str">
        <f t="shared" si="76"/>
        <v/>
      </c>
      <c r="AP308" s="523" t="e">
        <f>IF(((100-100/$AN$7*données_step[[#This Row],[E_PTOT]])/100*QTS)&lt;0,NA(),IF(OR(AM308&lt;0,AM308=""),NA(),((100-100/$AN$7*données_step[[#This Row],[E_PTOT]])/100*QTS)))</f>
        <v>#NUM!</v>
      </c>
      <c r="AQ308" s="524" t="e">
        <f t="shared" si="77"/>
        <v>#NUM!</v>
      </c>
      <c r="AR308" s="524" t="str">
        <f t="shared" si="78"/>
        <v/>
      </c>
      <c r="AY308" s="523" t="str">
        <f>_xlfn.IFNA(IF(données_step[[#This Row],[E_DCO]]&lt;=0,NA(),charge_entree[[#This Row],[ch_E_DCO]]/constanten!$B$8*1000),"")</f>
        <v/>
      </c>
      <c r="AZ308" s="523" t="str">
        <f>_xlfn.IFNA(IF(données_step[[#This Row],[E_NTOT]]&lt;=0,NA(),charge_entree[[#This Row],[ch_E_NTOT]]/constanten!$B$10*1000),"")</f>
        <v/>
      </c>
      <c r="BA308" s="523" t="str">
        <f>_xlfn.IFNA(IF(données_step[[#This Row],[E_NH4]]&lt;=0,NA(),charge_entree[[#This Row],[ch_E_NH4]]/constanten!$B$12*1000),"")</f>
        <v/>
      </c>
      <c r="BB308" s="523" t="str">
        <f>_xlfn.IFNA(IF(données_step[[#This Row],[E_COT]]&lt;=0,NA(),charge_entree[[#This Row],[ch_E_COT]]/constanten!$B$9*1000),"")</f>
        <v/>
      </c>
      <c r="BC308" s="523" t="str">
        <f>IFERROR(_xlfn.IFNA(IF(données_step[[#This Row],[E_PTOT]]&lt;=0,NA(),charge_entree[[#This Row],[ch_E_PTOT]]/constanten!$B$15*1000),""),"")</f>
        <v/>
      </c>
      <c r="BD308" s="535" t="e">
        <f>calculs!E308 * (1-0.4) / (données_step[[#This Row],[X_BA_VOL]]*données_step[[#This Row],[X_BACONC]])</f>
        <v>#VALUE!</v>
      </c>
      <c r="BE308" s="522" t="e">
        <f>(données_step[[#This Row],[X_BA_VOL]]*données_step[[#This Row],[X_BACONC]])/((données_step[[#This Row],[D_QTRAI2]]*données_step[[#This Row],[S_MES]]/1000)+(données_step[[#This Row],[X_BX_Q]]*données_step[[#This Row],[X_BXCONC]]))</f>
        <v>#VALUE!</v>
      </c>
      <c r="BF308" s="890" t="str">
        <f>IFERROR(données_step[[#This Row],[D_QTRAI]]/AY308*1000,"")</f>
        <v/>
      </c>
      <c r="BG308" s="535" t="str">
        <f>IFERROR(1-données_step[[#This Row],[S_DBO5]]/données_step[[#This Row],[E_DBO5]],"")</f>
        <v/>
      </c>
      <c r="BH308" s="536" t="str">
        <f>IFERROR(1-données_step[[#This Row],[S_DCO]]/données_step[[#This Row],[E_DCO]],"")</f>
        <v/>
      </c>
      <c r="BI308" s="535" t="str">
        <f>IFERROR(1-données_step[[#This Row],[S_COD]]/données_step[[#This Row],[E_COT]],"")</f>
        <v/>
      </c>
      <c r="BJ308" s="535" t="str">
        <f>IFERROR(1-données_step[[#This Row],[S_NH4]]/données_step[[#This Row],[E_NTOT]],"")</f>
        <v/>
      </c>
      <c r="BK308" s="535" t="str">
        <f>IFERROR(1-données_step[[#This Row],[S_PTOT]]/données_step[[#This Row],[E_PTOT]],"")</f>
        <v/>
      </c>
      <c r="BL308" s="521" t="str">
        <f>IFERROR(IF(données_step[[#This Row],[E_DCO]]/données_step[[#This Row],[E_DBO5]]=0,NA(),données_step[[#This Row],[E_DCO]]/données_step[[#This Row],[E_DBO5]]),"")</f>
        <v/>
      </c>
      <c r="BM308" s="521" t="str">
        <f>IFERROR(IF(données_step[[#This Row],[E_NH4]]/données_step[[#This Row],[E_NTOT]]=0,NA(),données_step[[#This Row],[E_NH4]]/données_step[[#This Row],[E_NTOT]]),"")</f>
        <v/>
      </c>
      <c r="BN308" s="521" t="str">
        <f>IFERROR(IF(données_step[[#This Row],[E_NTOT]]/données_step[[#This Row],[E_COT]]=0,NA(),données_step[[#This Row],[E_NTOT]]/données_step[[#This Row],[E_COT]]),"")</f>
        <v/>
      </c>
      <c r="BO308" s="521" t="str">
        <f>IFERROR(IF(données_step[[#This Row],[E_PTOT]]/données_step[[#This Row],[E_COT]]=0,NA(),données_step[[#This Row],[E_PTOT]]/données_step[[#This Row],[E_COT]]),"")</f>
        <v/>
      </c>
      <c r="BP308" s="521" t="e">
        <f>IF(données_step[[#This Row],[E_DCO]]/données_step[[#This Row],[E_COT]]=0,NA(),données_step[[#This Row],[E_DCO]]/données_step[[#This Row],[E_COT]])</f>
        <v>#DIV/0!</v>
      </c>
      <c r="BQ308" s="521" t="e">
        <f>IF(données_step[[#This Row],[E_NTOT]]/données_step[[#This Row],[E_DCO]]=0,NA(),données_step[[#This Row],[E_NTOT]]/données_step[[#This Row],[E_DCO]])</f>
        <v>#DIV/0!</v>
      </c>
      <c r="BR308" s="521" t="e">
        <f>IF(données_step[[#This Row],[E_PTOT]]/données_step[[#This Row],[E_DCO]]=0,NA(),données_step[[#This Row],[E_PTOT]]/données_step[[#This Row],[E_DCO]])</f>
        <v>#DIV/0!</v>
      </c>
      <c r="BS308" s="747" t="e">
        <f ca="1">test_NH4_temp(données_step[[#This Row],[S_NH4]],données_step[[#This Row],[Temp_eaux]])</f>
        <v>#NAME?</v>
      </c>
    </row>
    <row r="309" spans="1:71" x14ac:dyDescent="0.2">
      <c r="A309" s="222">
        <f>données_step[[#This Row],[Datum]]</f>
        <v>44860</v>
      </c>
      <c r="B309" s="223"/>
      <c r="C309" s="224">
        <f t="shared" si="79"/>
        <v>4</v>
      </c>
      <c r="D309" s="523" t="str">
        <f>IF(OR(données_step[[#This Row],[E_DBO5]]&lt;=0,données_step[[#This Row],[E_DBO5]]=""),"",données_step[[#This Row],[D_QTRAI]]*données_step[[#This Row],[E_DBO5]]/1000)</f>
        <v/>
      </c>
      <c r="E309" s="523" t="str">
        <f>IF(OR(données_step[[#This Row],[E_DCO]]&lt;=0,données_step[[#This Row],[E_DCO]]=""),"",données_step[[#This Row],[D_QTRAI]]*données_step[[#This Row],[E_DCO]]/1000)</f>
        <v/>
      </c>
      <c r="F309" s="523" t="str">
        <f>IF(OR(données_step[[#This Row],[E_COT]]&lt;=0,données_step[[#This Row],[E_COT]]=""),"",données_step[[#This Row],[D_QTRAI]]*données_step[[#This Row],[E_COT]]/1000)</f>
        <v/>
      </c>
      <c r="G309" s="523" t="str">
        <f>IF(OR(données_step[[#This Row],[E_NH4]]&lt;=0,données_step[[#This Row],[E_NH4]]=""),"",données_step[[#This Row],[D_QTRAI]]*données_step[[#This Row],[E_NH4]]/1000)</f>
        <v/>
      </c>
      <c r="H309" s="523" t="str">
        <f>IF(OR(données_step[[#This Row],[E_NTOT]]&lt;=0,données_step[[#This Row],[E_NTOT]]=""),"",données_step[[#This Row],[D_QTRAI]]*données_step[[#This Row],[E_NTOT]]/1000)</f>
        <v/>
      </c>
      <c r="I309" s="523" t="str">
        <f>IF(OR(données_step[[#This Row],[E_NTOT]]&lt;=0,données_step[[#This Row],[E_NTOT]]=""),"",données_step[[#This Row],[D_QTRAI]]*données_step[[#This Row],[E_PTOT]]/1000)</f>
        <v/>
      </c>
      <c r="J309" s="523" t="str">
        <f>IF(OR(données_step[[#This Row],[S_DBO5]]&lt;=0,données_step[[#This Row],[S_DBO5]]=""),"",données_step[[#This Row],[D_QTRAI]]*données_step[[#This Row],[S_DBO5]]/1000)</f>
        <v/>
      </c>
      <c r="K309" s="523" t="str">
        <f>IF(OR(données_step[[#This Row],[S_DCO]]&lt;=0,données_step[[#This Row],[S_DCO]]=""),"",données_step[[#This Row],[D_QTRAI]]*données_step[[#This Row],[S_DCO]]/1000)</f>
        <v/>
      </c>
      <c r="L309" s="523" t="str">
        <f>IF(OR(données_step[[#This Row],[S_COD]]&lt;=0,données_step[[#This Row],[S_COD]]=""),"",données_step[[#This Row],[D_QTRAI]]*données_step[[#This Row],[S_COD]]/1000)</f>
        <v/>
      </c>
      <c r="M309" s="523" t="str">
        <f>IF(OR(données_step[[#This Row],[S_NH4]]&lt;=0,données_step[[#This Row],[S_NH4]]=""),"",données_step[[#This Row],[D_QTRAI]]*données_step[[#This Row],[S_NH4]]/1000)</f>
        <v/>
      </c>
      <c r="N309" s="523" t="str">
        <f>IF(OR(données_step[[#This Row],[S_NO2]]&lt;=0,données_step[[#This Row],[S_NO2]]=""),"",données_step[[#This Row],[D_QTRAI]]*données_step[[#This Row],[S_NO2]]/1000)</f>
        <v/>
      </c>
      <c r="O309" s="523" t="str">
        <f>IF(OR(données_step[[#This Row],[S_NO3]]&lt;=0,données_step[[#This Row],[S_NO3]]=""),"",données_step[[#This Row],[D_QTRAI]]*données_step[[#This Row],[S_NO3]]/1000)</f>
        <v/>
      </c>
      <c r="P309" s="523" t="str">
        <f>IF(OR(données_step[[#This Row],[S_PTOT]]&lt;=0,données_step[[#This Row],[S_PTOT]]=""),"",données_step[[#This Row],[D_QTRAI]]*données_step[[#This Row],[S_PTOT]]/1000)</f>
        <v/>
      </c>
      <c r="Q309" s="523" t="str">
        <f>IF(OR(données_step[[#This Row],[S_MES]]&lt;=0,données_step[[#This Row],[S_MES]]=""),"",données_step[[#This Row],[D_QTRAI]]*données_step[[#This Row],[S_MES]]/1000)</f>
        <v/>
      </c>
      <c r="R309" s="523">
        <f>MAX(données_step[[#This Row],[D_QTRAI]],données_step[[#This Row],[D_QTRAI2]])</f>
        <v>0</v>
      </c>
      <c r="S309" s="523" t="str">
        <f>IF(AND($R309&gt;0,données_step[[#This Row],[E_DCO]]&gt;0),données_step[[#This Row],[E_DCO]],"")</f>
        <v/>
      </c>
      <c r="T309" s="523" t="str">
        <f>IF(S309="","",(1-données_step[[#This Row],[E_DCO]]/$V$7)*100)</f>
        <v/>
      </c>
      <c r="U309" s="523" t="str">
        <f t="shared" si="65"/>
        <v/>
      </c>
      <c r="V309" s="523" t="str">
        <f t="shared" si="66"/>
        <v/>
      </c>
      <c r="W309" s="523" t="str">
        <f t="shared" si="67"/>
        <v/>
      </c>
      <c r="X309" s="523" t="e">
        <f>IF(((100-100/$V$7*données_step[[#This Row],[E_DCO]])/100*QTS)&lt;0,NA(),IF(OR(U309&lt;0,U309=""),NA(),((100-100/$V$7*données_step[[#This Row],[E_DCO]])/100*QTS)))</f>
        <v>#NUM!</v>
      </c>
      <c r="Y309" s="523" t="str">
        <f>IF(AND($R309&gt;0,données_step[[#This Row],[E_COT]]&gt;0),données_step[[#This Row],[E_COT]],"")</f>
        <v/>
      </c>
      <c r="Z309" s="523" t="str">
        <f>IF(Y309="","",(1-données_step[[#This Row],[E_COT]]/$AB$7)*100)</f>
        <v/>
      </c>
      <c r="AA309" s="523" t="str">
        <f t="shared" si="68"/>
        <v/>
      </c>
      <c r="AB309" s="523" t="str">
        <f t="shared" si="69"/>
        <v/>
      </c>
      <c r="AC309" s="523" t="str">
        <f t="shared" si="70"/>
        <v/>
      </c>
      <c r="AD309" s="523" t="e">
        <f>IF(((100-100/$AB$7*données_step[[#This Row],[E_COT]])/100*QTS)&lt;0,NA(),IF(OR(AA309&lt;0,AA309=""),NA(),((100-100/$AB$7*données_step[[#This Row],[E_COT]])/100*QTS)))</f>
        <v>#NUM!</v>
      </c>
      <c r="AE309" s="523" t="str">
        <f>IF(AND($R309&gt;0,données_step[[#This Row],[E_NH4]]&gt;0),données_step[[#This Row],[E_NH4]],"")</f>
        <v/>
      </c>
      <c r="AF309" s="523" t="str">
        <f>IF(AE309="","",(1-données_step[[#This Row],[E_NH4]]/$AH$7)*100)</f>
        <v/>
      </c>
      <c r="AG309" s="523" t="str">
        <f t="shared" si="71"/>
        <v/>
      </c>
      <c r="AH309" s="523" t="str">
        <f t="shared" si="72"/>
        <v/>
      </c>
      <c r="AI309" s="523" t="str">
        <f t="shared" si="73"/>
        <v/>
      </c>
      <c r="AJ309" s="523" t="e">
        <f>IF(((100-100/$AH$7*données_step[[#This Row],[E_NH4]])/100*QTS)&lt;0,NA(),IF(OR(AG309&lt;0,AG309=""),NA(),((100-100/$AH$7*données_step[[#This Row],[E_NH4]])/100*QTS)))</f>
        <v>#NUM!</v>
      </c>
      <c r="AK309" s="523" t="str">
        <f>IF(AND($R309&gt;0,données_step[[#This Row],[E_PTOT]]&gt;0),données_step[[#This Row],[E_PTOT]],"")</f>
        <v/>
      </c>
      <c r="AL309" s="523" t="str">
        <f>IF(AK309="","",(1-données_step[[#This Row],[E_PTOT]]/$AN$7)*100)</f>
        <v/>
      </c>
      <c r="AM309" s="523" t="str">
        <f t="shared" si="74"/>
        <v/>
      </c>
      <c r="AN309" s="523" t="str">
        <f t="shared" si="75"/>
        <v/>
      </c>
      <c r="AO309" s="523" t="str">
        <f t="shared" si="76"/>
        <v/>
      </c>
      <c r="AP309" s="523" t="e">
        <f>IF(((100-100/$AN$7*données_step[[#This Row],[E_PTOT]])/100*QTS)&lt;0,NA(),IF(OR(AM309&lt;0,AM309=""),NA(),((100-100/$AN$7*données_step[[#This Row],[E_PTOT]])/100*QTS)))</f>
        <v>#NUM!</v>
      </c>
      <c r="AQ309" s="524" t="e">
        <f t="shared" si="77"/>
        <v>#NUM!</v>
      </c>
      <c r="AR309" s="524" t="str">
        <f t="shared" si="78"/>
        <v/>
      </c>
      <c r="AY309" s="523" t="str">
        <f>_xlfn.IFNA(IF(données_step[[#This Row],[E_DCO]]&lt;=0,NA(),charge_entree[[#This Row],[ch_E_DCO]]/constanten!$B$8*1000),"")</f>
        <v/>
      </c>
      <c r="AZ309" s="523" t="str">
        <f>_xlfn.IFNA(IF(données_step[[#This Row],[E_NTOT]]&lt;=0,NA(),charge_entree[[#This Row],[ch_E_NTOT]]/constanten!$B$10*1000),"")</f>
        <v/>
      </c>
      <c r="BA309" s="523" t="str">
        <f>_xlfn.IFNA(IF(données_step[[#This Row],[E_NH4]]&lt;=0,NA(),charge_entree[[#This Row],[ch_E_NH4]]/constanten!$B$12*1000),"")</f>
        <v/>
      </c>
      <c r="BB309" s="523" t="str">
        <f>_xlfn.IFNA(IF(données_step[[#This Row],[E_COT]]&lt;=0,NA(),charge_entree[[#This Row],[ch_E_COT]]/constanten!$B$9*1000),"")</f>
        <v/>
      </c>
      <c r="BC309" s="523" t="str">
        <f>IFERROR(_xlfn.IFNA(IF(données_step[[#This Row],[E_PTOT]]&lt;=0,NA(),charge_entree[[#This Row],[ch_E_PTOT]]/constanten!$B$15*1000),""),"")</f>
        <v/>
      </c>
      <c r="BD309" s="535" t="e">
        <f>calculs!E309 * (1-0.4) / (données_step[[#This Row],[X_BA_VOL]]*données_step[[#This Row],[X_BACONC]])</f>
        <v>#VALUE!</v>
      </c>
      <c r="BE309" s="522" t="e">
        <f>(données_step[[#This Row],[X_BA_VOL]]*données_step[[#This Row],[X_BACONC]])/((données_step[[#This Row],[D_QTRAI2]]*données_step[[#This Row],[S_MES]]/1000)+(données_step[[#This Row],[X_BX_Q]]*données_step[[#This Row],[X_BXCONC]]))</f>
        <v>#VALUE!</v>
      </c>
      <c r="BF309" s="890" t="str">
        <f>IFERROR(données_step[[#This Row],[D_QTRAI]]/AY309*1000,"")</f>
        <v/>
      </c>
      <c r="BG309" s="535" t="str">
        <f>IFERROR(1-données_step[[#This Row],[S_DBO5]]/données_step[[#This Row],[E_DBO5]],"")</f>
        <v/>
      </c>
      <c r="BH309" s="536" t="str">
        <f>IFERROR(1-données_step[[#This Row],[S_DCO]]/données_step[[#This Row],[E_DCO]],"")</f>
        <v/>
      </c>
      <c r="BI309" s="535" t="str">
        <f>IFERROR(1-données_step[[#This Row],[S_COD]]/données_step[[#This Row],[E_COT]],"")</f>
        <v/>
      </c>
      <c r="BJ309" s="535" t="str">
        <f>IFERROR(1-données_step[[#This Row],[S_NH4]]/données_step[[#This Row],[E_NTOT]],"")</f>
        <v/>
      </c>
      <c r="BK309" s="535" t="str">
        <f>IFERROR(1-données_step[[#This Row],[S_PTOT]]/données_step[[#This Row],[E_PTOT]],"")</f>
        <v/>
      </c>
      <c r="BL309" s="521" t="str">
        <f>IFERROR(IF(données_step[[#This Row],[E_DCO]]/données_step[[#This Row],[E_DBO5]]=0,NA(),données_step[[#This Row],[E_DCO]]/données_step[[#This Row],[E_DBO5]]),"")</f>
        <v/>
      </c>
      <c r="BM309" s="521" t="str">
        <f>IFERROR(IF(données_step[[#This Row],[E_NH4]]/données_step[[#This Row],[E_NTOT]]=0,NA(),données_step[[#This Row],[E_NH4]]/données_step[[#This Row],[E_NTOT]]),"")</f>
        <v/>
      </c>
      <c r="BN309" s="521" t="str">
        <f>IFERROR(IF(données_step[[#This Row],[E_NTOT]]/données_step[[#This Row],[E_COT]]=0,NA(),données_step[[#This Row],[E_NTOT]]/données_step[[#This Row],[E_COT]]),"")</f>
        <v/>
      </c>
      <c r="BO309" s="521" t="str">
        <f>IFERROR(IF(données_step[[#This Row],[E_PTOT]]/données_step[[#This Row],[E_COT]]=0,NA(),données_step[[#This Row],[E_PTOT]]/données_step[[#This Row],[E_COT]]),"")</f>
        <v/>
      </c>
      <c r="BP309" s="521" t="e">
        <f>IF(données_step[[#This Row],[E_DCO]]/données_step[[#This Row],[E_COT]]=0,NA(),données_step[[#This Row],[E_DCO]]/données_step[[#This Row],[E_COT]])</f>
        <v>#DIV/0!</v>
      </c>
      <c r="BQ309" s="521" t="e">
        <f>IF(données_step[[#This Row],[E_NTOT]]/données_step[[#This Row],[E_DCO]]=0,NA(),données_step[[#This Row],[E_NTOT]]/données_step[[#This Row],[E_DCO]])</f>
        <v>#DIV/0!</v>
      </c>
      <c r="BR309" s="521" t="e">
        <f>IF(données_step[[#This Row],[E_PTOT]]/données_step[[#This Row],[E_DCO]]=0,NA(),données_step[[#This Row],[E_PTOT]]/données_step[[#This Row],[E_DCO]])</f>
        <v>#DIV/0!</v>
      </c>
      <c r="BS309" s="747" t="e">
        <f ca="1">test_NH4_temp(données_step[[#This Row],[S_NH4]],données_step[[#This Row],[Temp_eaux]])</f>
        <v>#NAME?</v>
      </c>
    </row>
    <row r="310" spans="1:71" x14ac:dyDescent="0.2">
      <c r="A310" s="222">
        <f>données_step[[#This Row],[Datum]]</f>
        <v>44861</v>
      </c>
      <c r="B310" s="223"/>
      <c r="C310" s="224">
        <f t="shared" si="79"/>
        <v>5</v>
      </c>
      <c r="D310" s="523" t="str">
        <f>IF(OR(données_step[[#This Row],[E_DBO5]]&lt;=0,données_step[[#This Row],[E_DBO5]]=""),"",données_step[[#This Row],[D_QTRAI]]*données_step[[#This Row],[E_DBO5]]/1000)</f>
        <v/>
      </c>
      <c r="E310" s="523" t="str">
        <f>IF(OR(données_step[[#This Row],[E_DCO]]&lt;=0,données_step[[#This Row],[E_DCO]]=""),"",données_step[[#This Row],[D_QTRAI]]*données_step[[#This Row],[E_DCO]]/1000)</f>
        <v/>
      </c>
      <c r="F310" s="523" t="str">
        <f>IF(OR(données_step[[#This Row],[E_COT]]&lt;=0,données_step[[#This Row],[E_COT]]=""),"",données_step[[#This Row],[D_QTRAI]]*données_step[[#This Row],[E_COT]]/1000)</f>
        <v/>
      </c>
      <c r="G310" s="523" t="str">
        <f>IF(OR(données_step[[#This Row],[E_NH4]]&lt;=0,données_step[[#This Row],[E_NH4]]=""),"",données_step[[#This Row],[D_QTRAI]]*données_step[[#This Row],[E_NH4]]/1000)</f>
        <v/>
      </c>
      <c r="H310" s="523" t="str">
        <f>IF(OR(données_step[[#This Row],[E_NTOT]]&lt;=0,données_step[[#This Row],[E_NTOT]]=""),"",données_step[[#This Row],[D_QTRAI]]*données_step[[#This Row],[E_NTOT]]/1000)</f>
        <v/>
      </c>
      <c r="I310" s="523" t="str">
        <f>IF(OR(données_step[[#This Row],[E_NTOT]]&lt;=0,données_step[[#This Row],[E_NTOT]]=""),"",données_step[[#This Row],[D_QTRAI]]*données_step[[#This Row],[E_PTOT]]/1000)</f>
        <v/>
      </c>
      <c r="J310" s="523" t="str">
        <f>IF(OR(données_step[[#This Row],[S_DBO5]]&lt;=0,données_step[[#This Row],[S_DBO5]]=""),"",données_step[[#This Row],[D_QTRAI]]*données_step[[#This Row],[S_DBO5]]/1000)</f>
        <v/>
      </c>
      <c r="K310" s="523" t="str">
        <f>IF(OR(données_step[[#This Row],[S_DCO]]&lt;=0,données_step[[#This Row],[S_DCO]]=""),"",données_step[[#This Row],[D_QTRAI]]*données_step[[#This Row],[S_DCO]]/1000)</f>
        <v/>
      </c>
      <c r="L310" s="523" t="str">
        <f>IF(OR(données_step[[#This Row],[S_COD]]&lt;=0,données_step[[#This Row],[S_COD]]=""),"",données_step[[#This Row],[D_QTRAI]]*données_step[[#This Row],[S_COD]]/1000)</f>
        <v/>
      </c>
      <c r="M310" s="523" t="str">
        <f>IF(OR(données_step[[#This Row],[S_NH4]]&lt;=0,données_step[[#This Row],[S_NH4]]=""),"",données_step[[#This Row],[D_QTRAI]]*données_step[[#This Row],[S_NH4]]/1000)</f>
        <v/>
      </c>
      <c r="N310" s="523" t="str">
        <f>IF(OR(données_step[[#This Row],[S_NO2]]&lt;=0,données_step[[#This Row],[S_NO2]]=""),"",données_step[[#This Row],[D_QTRAI]]*données_step[[#This Row],[S_NO2]]/1000)</f>
        <v/>
      </c>
      <c r="O310" s="523" t="str">
        <f>IF(OR(données_step[[#This Row],[S_NO3]]&lt;=0,données_step[[#This Row],[S_NO3]]=""),"",données_step[[#This Row],[D_QTRAI]]*données_step[[#This Row],[S_NO3]]/1000)</f>
        <v/>
      </c>
      <c r="P310" s="523" t="str">
        <f>IF(OR(données_step[[#This Row],[S_PTOT]]&lt;=0,données_step[[#This Row],[S_PTOT]]=""),"",données_step[[#This Row],[D_QTRAI]]*données_step[[#This Row],[S_PTOT]]/1000)</f>
        <v/>
      </c>
      <c r="Q310" s="523" t="str">
        <f>IF(OR(données_step[[#This Row],[S_MES]]&lt;=0,données_step[[#This Row],[S_MES]]=""),"",données_step[[#This Row],[D_QTRAI]]*données_step[[#This Row],[S_MES]]/1000)</f>
        <v/>
      </c>
      <c r="R310" s="523">
        <f>MAX(données_step[[#This Row],[D_QTRAI]],données_step[[#This Row],[D_QTRAI2]])</f>
        <v>0</v>
      </c>
      <c r="S310" s="523" t="str">
        <f>IF(AND($R310&gt;0,données_step[[#This Row],[E_DCO]]&gt;0),données_step[[#This Row],[E_DCO]],"")</f>
        <v/>
      </c>
      <c r="T310" s="523" t="str">
        <f>IF(S310="","",(1-données_step[[#This Row],[E_DCO]]/$V$7)*100)</f>
        <v/>
      </c>
      <c r="U310" s="523" t="str">
        <f t="shared" si="65"/>
        <v/>
      </c>
      <c r="V310" s="523" t="str">
        <f t="shared" si="66"/>
        <v/>
      </c>
      <c r="W310" s="523" t="str">
        <f t="shared" si="67"/>
        <v/>
      </c>
      <c r="X310" s="523" t="e">
        <f>IF(((100-100/$V$7*données_step[[#This Row],[E_DCO]])/100*QTS)&lt;0,NA(),IF(OR(U310&lt;0,U310=""),NA(),((100-100/$V$7*données_step[[#This Row],[E_DCO]])/100*QTS)))</f>
        <v>#NUM!</v>
      </c>
      <c r="Y310" s="523" t="str">
        <f>IF(AND($R310&gt;0,données_step[[#This Row],[E_COT]]&gt;0),données_step[[#This Row],[E_COT]],"")</f>
        <v/>
      </c>
      <c r="Z310" s="523" t="str">
        <f>IF(Y310="","",(1-données_step[[#This Row],[E_COT]]/$AB$7)*100)</f>
        <v/>
      </c>
      <c r="AA310" s="523" t="str">
        <f t="shared" si="68"/>
        <v/>
      </c>
      <c r="AB310" s="523" t="str">
        <f t="shared" si="69"/>
        <v/>
      </c>
      <c r="AC310" s="523" t="str">
        <f t="shared" si="70"/>
        <v/>
      </c>
      <c r="AD310" s="523" t="e">
        <f>IF(((100-100/$AB$7*données_step[[#This Row],[E_COT]])/100*QTS)&lt;0,NA(),IF(OR(AA310&lt;0,AA310=""),NA(),((100-100/$AB$7*données_step[[#This Row],[E_COT]])/100*QTS)))</f>
        <v>#NUM!</v>
      </c>
      <c r="AE310" s="523" t="str">
        <f>IF(AND($R310&gt;0,données_step[[#This Row],[E_NH4]]&gt;0),données_step[[#This Row],[E_NH4]],"")</f>
        <v/>
      </c>
      <c r="AF310" s="523" t="str">
        <f>IF(AE310="","",(1-données_step[[#This Row],[E_NH4]]/$AH$7)*100)</f>
        <v/>
      </c>
      <c r="AG310" s="523" t="str">
        <f t="shared" si="71"/>
        <v/>
      </c>
      <c r="AH310" s="523" t="str">
        <f t="shared" si="72"/>
        <v/>
      </c>
      <c r="AI310" s="523" t="str">
        <f t="shared" si="73"/>
        <v/>
      </c>
      <c r="AJ310" s="523" t="e">
        <f>IF(((100-100/$AH$7*données_step[[#This Row],[E_NH4]])/100*QTS)&lt;0,NA(),IF(OR(AG310&lt;0,AG310=""),NA(),((100-100/$AH$7*données_step[[#This Row],[E_NH4]])/100*QTS)))</f>
        <v>#NUM!</v>
      </c>
      <c r="AK310" s="523" t="str">
        <f>IF(AND($R310&gt;0,données_step[[#This Row],[E_PTOT]]&gt;0),données_step[[#This Row],[E_PTOT]],"")</f>
        <v/>
      </c>
      <c r="AL310" s="523" t="str">
        <f>IF(AK310="","",(1-données_step[[#This Row],[E_PTOT]]/$AN$7)*100)</f>
        <v/>
      </c>
      <c r="AM310" s="523" t="str">
        <f t="shared" si="74"/>
        <v/>
      </c>
      <c r="AN310" s="523" t="str">
        <f t="shared" si="75"/>
        <v/>
      </c>
      <c r="AO310" s="523" t="str">
        <f t="shared" si="76"/>
        <v/>
      </c>
      <c r="AP310" s="523" t="e">
        <f>IF(((100-100/$AN$7*données_step[[#This Row],[E_PTOT]])/100*QTS)&lt;0,NA(),IF(OR(AM310&lt;0,AM310=""),NA(),((100-100/$AN$7*données_step[[#This Row],[E_PTOT]])/100*QTS)))</f>
        <v>#NUM!</v>
      </c>
      <c r="AQ310" s="524" t="e">
        <f t="shared" si="77"/>
        <v>#NUM!</v>
      </c>
      <c r="AR310" s="524" t="str">
        <f t="shared" si="78"/>
        <v/>
      </c>
      <c r="AY310" s="523" t="str">
        <f>_xlfn.IFNA(IF(données_step[[#This Row],[E_DCO]]&lt;=0,NA(),charge_entree[[#This Row],[ch_E_DCO]]/constanten!$B$8*1000),"")</f>
        <v/>
      </c>
      <c r="AZ310" s="523" t="str">
        <f>_xlfn.IFNA(IF(données_step[[#This Row],[E_NTOT]]&lt;=0,NA(),charge_entree[[#This Row],[ch_E_NTOT]]/constanten!$B$10*1000),"")</f>
        <v/>
      </c>
      <c r="BA310" s="523" t="str">
        <f>_xlfn.IFNA(IF(données_step[[#This Row],[E_NH4]]&lt;=0,NA(),charge_entree[[#This Row],[ch_E_NH4]]/constanten!$B$12*1000),"")</f>
        <v/>
      </c>
      <c r="BB310" s="523" t="str">
        <f>_xlfn.IFNA(IF(données_step[[#This Row],[E_COT]]&lt;=0,NA(),charge_entree[[#This Row],[ch_E_COT]]/constanten!$B$9*1000),"")</f>
        <v/>
      </c>
      <c r="BC310" s="523" t="str">
        <f>IFERROR(_xlfn.IFNA(IF(données_step[[#This Row],[E_PTOT]]&lt;=0,NA(),charge_entree[[#This Row],[ch_E_PTOT]]/constanten!$B$15*1000),""),"")</f>
        <v/>
      </c>
      <c r="BD310" s="535" t="e">
        <f>calculs!E310 * (1-0.4) / (données_step[[#This Row],[X_BA_VOL]]*données_step[[#This Row],[X_BACONC]])</f>
        <v>#VALUE!</v>
      </c>
      <c r="BE310" s="522" t="e">
        <f>(données_step[[#This Row],[X_BA_VOL]]*données_step[[#This Row],[X_BACONC]])/((données_step[[#This Row],[D_QTRAI2]]*données_step[[#This Row],[S_MES]]/1000)+(données_step[[#This Row],[X_BX_Q]]*données_step[[#This Row],[X_BXCONC]]))</f>
        <v>#VALUE!</v>
      </c>
      <c r="BF310" s="890" t="str">
        <f>IFERROR(données_step[[#This Row],[D_QTRAI]]/AY310*1000,"")</f>
        <v/>
      </c>
      <c r="BG310" s="535" t="str">
        <f>IFERROR(1-données_step[[#This Row],[S_DBO5]]/données_step[[#This Row],[E_DBO5]],"")</f>
        <v/>
      </c>
      <c r="BH310" s="536" t="str">
        <f>IFERROR(1-données_step[[#This Row],[S_DCO]]/données_step[[#This Row],[E_DCO]],"")</f>
        <v/>
      </c>
      <c r="BI310" s="535" t="str">
        <f>IFERROR(1-données_step[[#This Row],[S_COD]]/données_step[[#This Row],[E_COT]],"")</f>
        <v/>
      </c>
      <c r="BJ310" s="535" t="str">
        <f>IFERROR(1-données_step[[#This Row],[S_NH4]]/données_step[[#This Row],[E_NTOT]],"")</f>
        <v/>
      </c>
      <c r="BK310" s="535" t="str">
        <f>IFERROR(1-données_step[[#This Row],[S_PTOT]]/données_step[[#This Row],[E_PTOT]],"")</f>
        <v/>
      </c>
      <c r="BL310" s="521" t="str">
        <f>IFERROR(IF(données_step[[#This Row],[E_DCO]]/données_step[[#This Row],[E_DBO5]]=0,NA(),données_step[[#This Row],[E_DCO]]/données_step[[#This Row],[E_DBO5]]),"")</f>
        <v/>
      </c>
      <c r="BM310" s="521" t="str">
        <f>IFERROR(IF(données_step[[#This Row],[E_NH4]]/données_step[[#This Row],[E_NTOT]]=0,NA(),données_step[[#This Row],[E_NH4]]/données_step[[#This Row],[E_NTOT]]),"")</f>
        <v/>
      </c>
      <c r="BN310" s="521" t="str">
        <f>IFERROR(IF(données_step[[#This Row],[E_NTOT]]/données_step[[#This Row],[E_COT]]=0,NA(),données_step[[#This Row],[E_NTOT]]/données_step[[#This Row],[E_COT]]),"")</f>
        <v/>
      </c>
      <c r="BO310" s="521" t="str">
        <f>IFERROR(IF(données_step[[#This Row],[E_PTOT]]/données_step[[#This Row],[E_COT]]=0,NA(),données_step[[#This Row],[E_PTOT]]/données_step[[#This Row],[E_COT]]),"")</f>
        <v/>
      </c>
      <c r="BP310" s="521" t="e">
        <f>IF(données_step[[#This Row],[E_DCO]]/données_step[[#This Row],[E_COT]]=0,NA(),données_step[[#This Row],[E_DCO]]/données_step[[#This Row],[E_COT]])</f>
        <v>#DIV/0!</v>
      </c>
      <c r="BQ310" s="521" t="e">
        <f>IF(données_step[[#This Row],[E_NTOT]]/données_step[[#This Row],[E_DCO]]=0,NA(),données_step[[#This Row],[E_NTOT]]/données_step[[#This Row],[E_DCO]])</f>
        <v>#DIV/0!</v>
      </c>
      <c r="BR310" s="521" t="e">
        <f>IF(données_step[[#This Row],[E_PTOT]]/données_step[[#This Row],[E_DCO]]=0,NA(),données_step[[#This Row],[E_PTOT]]/données_step[[#This Row],[E_DCO]])</f>
        <v>#DIV/0!</v>
      </c>
      <c r="BS310" s="747" t="e">
        <f ca="1">test_NH4_temp(données_step[[#This Row],[S_NH4]],données_step[[#This Row],[Temp_eaux]])</f>
        <v>#NAME?</v>
      </c>
    </row>
    <row r="311" spans="1:71" x14ac:dyDescent="0.2">
      <c r="A311" s="222">
        <f>données_step[[#This Row],[Datum]]</f>
        <v>44862</v>
      </c>
      <c r="B311" s="223"/>
      <c r="C311" s="224">
        <f t="shared" si="79"/>
        <v>6</v>
      </c>
      <c r="D311" s="523" t="str">
        <f>IF(OR(données_step[[#This Row],[E_DBO5]]&lt;=0,données_step[[#This Row],[E_DBO5]]=""),"",données_step[[#This Row],[D_QTRAI]]*données_step[[#This Row],[E_DBO5]]/1000)</f>
        <v/>
      </c>
      <c r="E311" s="523" t="str">
        <f>IF(OR(données_step[[#This Row],[E_DCO]]&lt;=0,données_step[[#This Row],[E_DCO]]=""),"",données_step[[#This Row],[D_QTRAI]]*données_step[[#This Row],[E_DCO]]/1000)</f>
        <v/>
      </c>
      <c r="F311" s="523" t="str">
        <f>IF(OR(données_step[[#This Row],[E_COT]]&lt;=0,données_step[[#This Row],[E_COT]]=""),"",données_step[[#This Row],[D_QTRAI]]*données_step[[#This Row],[E_COT]]/1000)</f>
        <v/>
      </c>
      <c r="G311" s="523" t="str">
        <f>IF(OR(données_step[[#This Row],[E_NH4]]&lt;=0,données_step[[#This Row],[E_NH4]]=""),"",données_step[[#This Row],[D_QTRAI]]*données_step[[#This Row],[E_NH4]]/1000)</f>
        <v/>
      </c>
      <c r="H311" s="523" t="str">
        <f>IF(OR(données_step[[#This Row],[E_NTOT]]&lt;=0,données_step[[#This Row],[E_NTOT]]=""),"",données_step[[#This Row],[D_QTRAI]]*données_step[[#This Row],[E_NTOT]]/1000)</f>
        <v/>
      </c>
      <c r="I311" s="523" t="str">
        <f>IF(OR(données_step[[#This Row],[E_NTOT]]&lt;=0,données_step[[#This Row],[E_NTOT]]=""),"",données_step[[#This Row],[D_QTRAI]]*données_step[[#This Row],[E_PTOT]]/1000)</f>
        <v/>
      </c>
      <c r="J311" s="523" t="str">
        <f>IF(OR(données_step[[#This Row],[S_DBO5]]&lt;=0,données_step[[#This Row],[S_DBO5]]=""),"",données_step[[#This Row],[D_QTRAI]]*données_step[[#This Row],[S_DBO5]]/1000)</f>
        <v/>
      </c>
      <c r="K311" s="523" t="str">
        <f>IF(OR(données_step[[#This Row],[S_DCO]]&lt;=0,données_step[[#This Row],[S_DCO]]=""),"",données_step[[#This Row],[D_QTRAI]]*données_step[[#This Row],[S_DCO]]/1000)</f>
        <v/>
      </c>
      <c r="L311" s="523" t="str">
        <f>IF(OR(données_step[[#This Row],[S_COD]]&lt;=0,données_step[[#This Row],[S_COD]]=""),"",données_step[[#This Row],[D_QTRAI]]*données_step[[#This Row],[S_COD]]/1000)</f>
        <v/>
      </c>
      <c r="M311" s="523" t="str">
        <f>IF(OR(données_step[[#This Row],[S_NH4]]&lt;=0,données_step[[#This Row],[S_NH4]]=""),"",données_step[[#This Row],[D_QTRAI]]*données_step[[#This Row],[S_NH4]]/1000)</f>
        <v/>
      </c>
      <c r="N311" s="523" t="str">
        <f>IF(OR(données_step[[#This Row],[S_NO2]]&lt;=0,données_step[[#This Row],[S_NO2]]=""),"",données_step[[#This Row],[D_QTRAI]]*données_step[[#This Row],[S_NO2]]/1000)</f>
        <v/>
      </c>
      <c r="O311" s="523" t="str">
        <f>IF(OR(données_step[[#This Row],[S_NO3]]&lt;=0,données_step[[#This Row],[S_NO3]]=""),"",données_step[[#This Row],[D_QTRAI]]*données_step[[#This Row],[S_NO3]]/1000)</f>
        <v/>
      </c>
      <c r="P311" s="523" t="str">
        <f>IF(OR(données_step[[#This Row],[S_PTOT]]&lt;=0,données_step[[#This Row],[S_PTOT]]=""),"",données_step[[#This Row],[D_QTRAI]]*données_step[[#This Row],[S_PTOT]]/1000)</f>
        <v/>
      </c>
      <c r="Q311" s="523" t="str">
        <f>IF(OR(données_step[[#This Row],[S_MES]]&lt;=0,données_step[[#This Row],[S_MES]]=""),"",données_step[[#This Row],[D_QTRAI]]*données_step[[#This Row],[S_MES]]/1000)</f>
        <v/>
      </c>
      <c r="R311" s="523">
        <f>MAX(données_step[[#This Row],[D_QTRAI]],données_step[[#This Row],[D_QTRAI2]])</f>
        <v>0</v>
      </c>
      <c r="S311" s="523" t="str">
        <f>IF(AND($R311&gt;0,données_step[[#This Row],[E_DCO]]&gt;0),données_step[[#This Row],[E_DCO]],"")</f>
        <v/>
      </c>
      <c r="T311" s="523" t="str">
        <f>IF(S311="","",(1-données_step[[#This Row],[E_DCO]]/$V$7)*100)</f>
        <v/>
      </c>
      <c r="U311" s="523" t="str">
        <f t="shared" si="65"/>
        <v/>
      </c>
      <c r="V311" s="523" t="str">
        <f t="shared" si="66"/>
        <v/>
      </c>
      <c r="W311" s="523" t="str">
        <f t="shared" si="67"/>
        <v/>
      </c>
      <c r="X311" s="523" t="e">
        <f>IF(((100-100/$V$7*données_step[[#This Row],[E_DCO]])/100*QTS)&lt;0,NA(),IF(OR(U311&lt;0,U311=""),NA(),((100-100/$V$7*données_step[[#This Row],[E_DCO]])/100*QTS)))</f>
        <v>#NUM!</v>
      </c>
      <c r="Y311" s="523" t="str">
        <f>IF(AND($R311&gt;0,données_step[[#This Row],[E_COT]]&gt;0),données_step[[#This Row],[E_COT]],"")</f>
        <v/>
      </c>
      <c r="Z311" s="523" t="str">
        <f>IF(Y311="","",(1-données_step[[#This Row],[E_COT]]/$AB$7)*100)</f>
        <v/>
      </c>
      <c r="AA311" s="523" t="str">
        <f t="shared" si="68"/>
        <v/>
      </c>
      <c r="AB311" s="523" t="str">
        <f t="shared" si="69"/>
        <v/>
      </c>
      <c r="AC311" s="523" t="str">
        <f t="shared" si="70"/>
        <v/>
      </c>
      <c r="AD311" s="523" t="e">
        <f>IF(((100-100/$AB$7*données_step[[#This Row],[E_COT]])/100*QTS)&lt;0,NA(),IF(OR(AA311&lt;0,AA311=""),NA(),((100-100/$AB$7*données_step[[#This Row],[E_COT]])/100*QTS)))</f>
        <v>#NUM!</v>
      </c>
      <c r="AE311" s="523" t="str">
        <f>IF(AND($R311&gt;0,données_step[[#This Row],[E_NH4]]&gt;0),données_step[[#This Row],[E_NH4]],"")</f>
        <v/>
      </c>
      <c r="AF311" s="523" t="str">
        <f>IF(AE311="","",(1-données_step[[#This Row],[E_NH4]]/$AH$7)*100)</f>
        <v/>
      </c>
      <c r="AG311" s="523" t="str">
        <f t="shared" si="71"/>
        <v/>
      </c>
      <c r="AH311" s="523" t="str">
        <f t="shared" si="72"/>
        <v/>
      </c>
      <c r="AI311" s="523" t="str">
        <f t="shared" si="73"/>
        <v/>
      </c>
      <c r="AJ311" s="523" t="e">
        <f>IF(((100-100/$AH$7*données_step[[#This Row],[E_NH4]])/100*QTS)&lt;0,NA(),IF(OR(AG311&lt;0,AG311=""),NA(),((100-100/$AH$7*données_step[[#This Row],[E_NH4]])/100*QTS)))</f>
        <v>#NUM!</v>
      </c>
      <c r="AK311" s="523" t="str">
        <f>IF(AND($R311&gt;0,données_step[[#This Row],[E_PTOT]]&gt;0),données_step[[#This Row],[E_PTOT]],"")</f>
        <v/>
      </c>
      <c r="AL311" s="523" t="str">
        <f>IF(AK311="","",(1-données_step[[#This Row],[E_PTOT]]/$AN$7)*100)</f>
        <v/>
      </c>
      <c r="AM311" s="523" t="str">
        <f t="shared" si="74"/>
        <v/>
      </c>
      <c r="AN311" s="523" t="str">
        <f t="shared" si="75"/>
        <v/>
      </c>
      <c r="AO311" s="523" t="str">
        <f t="shared" si="76"/>
        <v/>
      </c>
      <c r="AP311" s="523" t="e">
        <f>IF(((100-100/$AN$7*données_step[[#This Row],[E_PTOT]])/100*QTS)&lt;0,NA(),IF(OR(AM311&lt;0,AM311=""),NA(),((100-100/$AN$7*données_step[[#This Row],[E_PTOT]])/100*QTS)))</f>
        <v>#NUM!</v>
      </c>
      <c r="AQ311" s="524" t="e">
        <f t="shared" si="77"/>
        <v>#NUM!</v>
      </c>
      <c r="AR311" s="524" t="str">
        <f t="shared" si="78"/>
        <v/>
      </c>
      <c r="AY311" s="523" t="str">
        <f>_xlfn.IFNA(IF(données_step[[#This Row],[E_DCO]]&lt;=0,NA(),charge_entree[[#This Row],[ch_E_DCO]]/constanten!$B$8*1000),"")</f>
        <v/>
      </c>
      <c r="AZ311" s="523" t="str">
        <f>_xlfn.IFNA(IF(données_step[[#This Row],[E_NTOT]]&lt;=0,NA(),charge_entree[[#This Row],[ch_E_NTOT]]/constanten!$B$10*1000),"")</f>
        <v/>
      </c>
      <c r="BA311" s="523" t="str">
        <f>_xlfn.IFNA(IF(données_step[[#This Row],[E_NH4]]&lt;=0,NA(),charge_entree[[#This Row],[ch_E_NH4]]/constanten!$B$12*1000),"")</f>
        <v/>
      </c>
      <c r="BB311" s="523" t="str">
        <f>_xlfn.IFNA(IF(données_step[[#This Row],[E_COT]]&lt;=0,NA(),charge_entree[[#This Row],[ch_E_COT]]/constanten!$B$9*1000),"")</f>
        <v/>
      </c>
      <c r="BC311" s="523" t="str">
        <f>IFERROR(_xlfn.IFNA(IF(données_step[[#This Row],[E_PTOT]]&lt;=0,NA(),charge_entree[[#This Row],[ch_E_PTOT]]/constanten!$B$15*1000),""),"")</f>
        <v/>
      </c>
      <c r="BD311" s="535" t="e">
        <f>calculs!E311 * (1-0.4) / (données_step[[#This Row],[X_BA_VOL]]*données_step[[#This Row],[X_BACONC]])</f>
        <v>#VALUE!</v>
      </c>
      <c r="BE311" s="522" t="e">
        <f>(données_step[[#This Row],[X_BA_VOL]]*données_step[[#This Row],[X_BACONC]])/((données_step[[#This Row],[D_QTRAI2]]*données_step[[#This Row],[S_MES]]/1000)+(données_step[[#This Row],[X_BX_Q]]*données_step[[#This Row],[X_BXCONC]]))</f>
        <v>#VALUE!</v>
      </c>
      <c r="BF311" s="890" t="str">
        <f>IFERROR(données_step[[#This Row],[D_QTRAI]]/AY311*1000,"")</f>
        <v/>
      </c>
      <c r="BG311" s="535" t="str">
        <f>IFERROR(1-données_step[[#This Row],[S_DBO5]]/données_step[[#This Row],[E_DBO5]],"")</f>
        <v/>
      </c>
      <c r="BH311" s="536" t="str">
        <f>IFERROR(1-données_step[[#This Row],[S_DCO]]/données_step[[#This Row],[E_DCO]],"")</f>
        <v/>
      </c>
      <c r="BI311" s="535" t="str">
        <f>IFERROR(1-données_step[[#This Row],[S_COD]]/données_step[[#This Row],[E_COT]],"")</f>
        <v/>
      </c>
      <c r="BJ311" s="535" t="str">
        <f>IFERROR(1-données_step[[#This Row],[S_NH4]]/données_step[[#This Row],[E_NTOT]],"")</f>
        <v/>
      </c>
      <c r="BK311" s="535" t="str">
        <f>IFERROR(1-données_step[[#This Row],[S_PTOT]]/données_step[[#This Row],[E_PTOT]],"")</f>
        <v/>
      </c>
      <c r="BL311" s="521" t="str">
        <f>IFERROR(IF(données_step[[#This Row],[E_DCO]]/données_step[[#This Row],[E_DBO5]]=0,NA(),données_step[[#This Row],[E_DCO]]/données_step[[#This Row],[E_DBO5]]),"")</f>
        <v/>
      </c>
      <c r="BM311" s="521" t="str">
        <f>IFERROR(IF(données_step[[#This Row],[E_NH4]]/données_step[[#This Row],[E_NTOT]]=0,NA(),données_step[[#This Row],[E_NH4]]/données_step[[#This Row],[E_NTOT]]),"")</f>
        <v/>
      </c>
      <c r="BN311" s="521" t="str">
        <f>IFERROR(IF(données_step[[#This Row],[E_NTOT]]/données_step[[#This Row],[E_COT]]=0,NA(),données_step[[#This Row],[E_NTOT]]/données_step[[#This Row],[E_COT]]),"")</f>
        <v/>
      </c>
      <c r="BO311" s="521" t="str">
        <f>IFERROR(IF(données_step[[#This Row],[E_PTOT]]/données_step[[#This Row],[E_COT]]=0,NA(),données_step[[#This Row],[E_PTOT]]/données_step[[#This Row],[E_COT]]),"")</f>
        <v/>
      </c>
      <c r="BP311" s="521" t="e">
        <f>IF(données_step[[#This Row],[E_DCO]]/données_step[[#This Row],[E_COT]]=0,NA(),données_step[[#This Row],[E_DCO]]/données_step[[#This Row],[E_COT]])</f>
        <v>#DIV/0!</v>
      </c>
      <c r="BQ311" s="521" t="e">
        <f>IF(données_step[[#This Row],[E_NTOT]]/données_step[[#This Row],[E_DCO]]=0,NA(),données_step[[#This Row],[E_NTOT]]/données_step[[#This Row],[E_DCO]])</f>
        <v>#DIV/0!</v>
      </c>
      <c r="BR311" s="521" t="e">
        <f>IF(données_step[[#This Row],[E_PTOT]]/données_step[[#This Row],[E_DCO]]=0,NA(),données_step[[#This Row],[E_PTOT]]/données_step[[#This Row],[E_DCO]])</f>
        <v>#DIV/0!</v>
      </c>
      <c r="BS311" s="747" t="e">
        <f ca="1">test_NH4_temp(données_step[[#This Row],[S_NH4]],données_step[[#This Row],[Temp_eaux]])</f>
        <v>#NAME?</v>
      </c>
    </row>
    <row r="312" spans="1:71" x14ac:dyDescent="0.2">
      <c r="A312" s="222">
        <f>données_step[[#This Row],[Datum]]</f>
        <v>44863</v>
      </c>
      <c r="B312" s="223"/>
      <c r="C312" s="224">
        <f t="shared" si="79"/>
        <v>7</v>
      </c>
      <c r="D312" s="523" t="str">
        <f>IF(OR(données_step[[#This Row],[E_DBO5]]&lt;=0,données_step[[#This Row],[E_DBO5]]=""),"",données_step[[#This Row],[D_QTRAI]]*données_step[[#This Row],[E_DBO5]]/1000)</f>
        <v/>
      </c>
      <c r="E312" s="523" t="str">
        <f>IF(OR(données_step[[#This Row],[E_DCO]]&lt;=0,données_step[[#This Row],[E_DCO]]=""),"",données_step[[#This Row],[D_QTRAI]]*données_step[[#This Row],[E_DCO]]/1000)</f>
        <v/>
      </c>
      <c r="F312" s="523" t="str">
        <f>IF(OR(données_step[[#This Row],[E_COT]]&lt;=0,données_step[[#This Row],[E_COT]]=""),"",données_step[[#This Row],[D_QTRAI]]*données_step[[#This Row],[E_COT]]/1000)</f>
        <v/>
      </c>
      <c r="G312" s="523" t="str">
        <f>IF(OR(données_step[[#This Row],[E_NH4]]&lt;=0,données_step[[#This Row],[E_NH4]]=""),"",données_step[[#This Row],[D_QTRAI]]*données_step[[#This Row],[E_NH4]]/1000)</f>
        <v/>
      </c>
      <c r="H312" s="523" t="str">
        <f>IF(OR(données_step[[#This Row],[E_NTOT]]&lt;=0,données_step[[#This Row],[E_NTOT]]=""),"",données_step[[#This Row],[D_QTRAI]]*données_step[[#This Row],[E_NTOT]]/1000)</f>
        <v/>
      </c>
      <c r="I312" s="523" t="str">
        <f>IF(OR(données_step[[#This Row],[E_NTOT]]&lt;=0,données_step[[#This Row],[E_NTOT]]=""),"",données_step[[#This Row],[D_QTRAI]]*données_step[[#This Row],[E_PTOT]]/1000)</f>
        <v/>
      </c>
      <c r="J312" s="523" t="str">
        <f>IF(OR(données_step[[#This Row],[S_DBO5]]&lt;=0,données_step[[#This Row],[S_DBO5]]=""),"",données_step[[#This Row],[D_QTRAI]]*données_step[[#This Row],[S_DBO5]]/1000)</f>
        <v/>
      </c>
      <c r="K312" s="523" t="str">
        <f>IF(OR(données_step[[#This Row],[S_DCO]]&lt;=0,données_step[[#This Row],[S_DCO]]=""),"",données_step[[#This Row],[D_QTRAI]]*données_step[[#This Row],[S_DCO]]/1000)</f>
        <v/>
      </c>
      <c r="L312" s="523" t="str">
        <f>IF(OR(données_step[[#This Row],[S_COD]]&lt;=0,données_step[[#This Row],[S_COD]]=""),"",données_step[[#This Row],[D_QTRAI]]*données_step[[#This Row],[S_COD]]/1000)</f>
        <v/>
      </c>
      <c r="M312" s="523" t="str">
        <f>IF(OR(données_step[[#This Row],[S_NH4]]&lt;=0,données_step[[#This Row],[S_NH4]]=""),"",données_step[[#This Row],[D_QTRAI]]*données_step[[#This Row],[S_NH4]]/1000)</f>
        <v/>
      </c>
      <c r="N312" s="523" t="str">
        <f>IF(OR(données_step[[#This Row],[S_NO2]]&lt;=0,données_step[[#This Row],[S_NO2]]=""),"",données_step[[#This Row],[D_QTRAI]]*données_step[[#This Row],[S_NO2]]/1000)</f>
        <v/>
      </c>
      <c r="O312" s="523" t="str">
        <f>IF(OR(données_step[[#This Row],[S_NO3]]&lt;=0,données_step[[#This Row],[S_NO3]]=""),"",données_step[[#This Row],[D_QTRAI]]*données_step[[#This Row],[S_NO3]]/1000)</f>
        <v/>
      </c>
      <c r="P312" s="523" t="str">
        <f>IF(OR(données_step[[#This Row],[S_PTOT]]&lt;=0,données_step[[#This Row],[S_PTOT]]=""),"",données_step[[#This Row],[D_QTRAI]]*données_step[[#This Row],[S_PTOT]]/1000)</f>
        <v/>
      </c>
      <c r="Q312" s="523" t="str">
        <f>IF(OR(données_step[[#This Row],[S_MES]]&lt;=0,données_step[[#This Row],[S_MES]]=""),"",données_step[[#This Row],[D_QTRAI]]*données_step[[#This Row],[S_MES]]/1000)</f>
        <v/>
      </c>
      <c r="R312" s="523">
        <f>MAX(données_step[[#This Row],[D_QTRAI]],données_step[[#This Row],[D_QTRAI2]])</f>
        <v>0</v>
      </c>
      <c r="S312" s="523" t="str">
        <f>IF(AND($R312&gt;0,données_step[[#This Row],[E_DCO]]&gt;0),données_step[[#This Row],[E_DCO]],"")</f>
        <v/>
      </c>
      <c r="T312" s="523" t="str">
        <f>IF(S312="","",(1-données_step[[#This Row],[E_DCO]]/$V$7)*100)</f>
        <v/>
      </c>
      <c r="U312" s="523" t="str">
        <f t="shared" si="65"/>
        <v/>
      </c>
      <c r="V312" s="523" t="str">
        <f t="shared" si="66"/>
        <v/>
      </c>
      <c r="W312" s="523" t="str">
        <f t="shared" si="67"/>
        <v/>
      </c>
      <c r="X312" s="523" t="e">
        <f>IF(((100-100/$V$7*données_step[[#This Row],[E_DCO]])/100*QTS)&lt;0,NA(),IF(OR(U312&lt;0,U312=""),NA(),((100-100/$V$7*données_step[[#This Row],[E_DCO]])/100*QTS)))</f>
        <v>#NUM!</v>
      </c>
      <c r="Y312" s="523" t="str">
        <f>IF(AND($R312&gt;0,données_step[[#This Row],[E_COT]]&gt;0),données_step[[#This Row],[E_COT]],"")</f>
        <v/>
      </c>
      <c r="Z312" s="523" t="str">
        <f>IF(Y312="","",(1-données_step[[#This Row],[E_COT]]/$AB$7)*100)</f>
        <v/>
      </c>
      <c r="AA312" s="523" t="str">
        <f t="shared" si="68"/>
        <v/>
      </c>
      <c r="AB312" s="523" t="str">
        <f t="shared" si="69"/>
        <v/>
      </c>
      <c r="AC312" s="523" t="str">
        <f t="shared" si="70"/>
        <v/>
      </c>
      <c r="AD312" s="523" t="e">
        <f>IF(((100-100/$AB$7*données_step[[#This Row],[E_COT]])/100*QTS)&lt;0,NA(),IF(OR(AA312&lt;0,AA312=""),NA(),((100-100/$AB$7*données_step[[#This Row],[E_COT]])/100*QTS)))</f>
        <v>#NUM!</v>
      </c>
      <c r="AE312" s="523" t="str">
        <f>IF(AND($R312&gt;0,données_step[[#This Row],[E_NH4]]&gt;0),données_step[[#This Row],[E_NH4]],"")</f>
        <v/>
      </c>
      <c r="AF312" s="523" t="str">
        <f>IF(AE312="","",(1-données_step[[#This Row],[E_NH4]]/$AH$7)*100)</f>
        <v/>
      </c>
      <c r="AG312" s="523" t="str">
        <f t="shared" si="71"/>
        <v/>
      </c>
      <c r="AH312" s="523" t="str">
        <f t="shared" si="72"/>
        <v/>
      </c>
      <c r="AI312" s="523" t="str">
        <f t="shared" si="73"/>
        <v/>
      </c>
      <c r="AJ312" s="523" t="e">
        <f>IF(((100-100/$AH$7*données_step[[#This Row],[E_NH4]])/100*QTS)&lt;0,NA(),IF(OR(AG312&lt;0,AG312=""),NA(),((100-100/$AH$7*données_step[[#This Row],[E_NH4]])/100*QTS)))</f>
        <v>#NUM!</v>
      </c>
      <c r="AK312" s="523" t="str">
        <f>IF(AND($R312&gt;0,données_step[[#This Row],[E_PTOT]]&gt;0),données_step[[#This Row],[E_PTOT]],"")</f>
        <v/>
      </c>
      <c r="AL312" s="523" t="str">
        <f>IF(AK312="","",(1-données_step[[#This Row],[E_PTOT]]/$AN$7)*100)</f>
        <v/>
      </c>
      <c r="AM312" s="523" t="str">
        <f t="shared" si="74"/>
        <v/>
      </c>
      <c r="AN312" s="523" t="str">
        <f t="shared" si="75"/>
        <v/>
      </c>
      <c r="AO312" s="523" t="str">
        <f t="shared" si="76"/>
        <v/>
      </c>
      <c r="AP312" s="523" t="e">
        <f>IF(((100-100/$AN$7*données_step[[#This Row],[E_PTOT]])/100*QTS)&lt;0,NA(),IF(OR(AM312&lt;0,AM312=""),NA(),((100-100/$AN$7*données_step[[#This Row],[E_PTOT]])/100*QTS)))</f>
        <v>#NUM!</v>
      </c>
      <c r="AQ312" s="524" t="e">
        <f t="shared" si="77"/>
        <v>#NUM!</v>
      </c>
      <c r="AR312" s="524" t="str">
        <f t="shared" si="78"/>
        <v/>
      </c>
      <c r="AY312" s="523" t="str">
        <f>_xlfn.IFNA(IF(données_step[[#This Row],[E_DCO]]&lt;=0,NA(),charge_entree[[#This Row],[ch_E_DCO]]/constanten!$B$8*1000),"")</f>
        <v/>
      </c>
      <c r="AZ312" s="523" t="str">
        <f>_xlfn.IFNA(IF(données_step[[#This Row],[E_NTOT]]&lt;=0,NA(),charge_entree[[#This Row],[ch_E_NTOT]]/constanten!$B$10*1000),"")</f>
        <v/>
      </c>
      <c r="BA312" s="523" t="str">
        <f>_xlfn.IFNA(IF(données_step[[#This Row],[E_NH4]]&lt;=0,NA(),charge_entree[[#This Row],[ch_E_NH4]]/constanten!$B$12*1000),"")</f>
        <v/>
      </c>
      <c r="BB312" s="523" t="str">
        <f>_xlfn.IFNA(IF(données_step[[#This Row],[E_COT]]&lt;=0,NA(),charge_entree[[#This Row],[ch_E_COT]]/constanten!$B$9*1000),"")</f>
        <v/>
      </c>
      <c r="BC312" s="523" t="str">
        <f>IFERROR(_xlfn.IFNA(IF(données_step[[#This Row],[E_PTOT]]&lt;=0,NA(),charge_entree[[#This Row],[ch_E_PTOT]]/constanten!$B$15*1000),""),"")</f>
        <v/>
      </c>
      <c r="BD312" s="535" t="e">
        <f>calculs!E312 * (1-0.4) / (données_step[[#This Row],[X_BA_VOL]]*données_step[[#This Row],[X_BACONC]])</f>
        <v>#VALUE!</v>
      </c>
      <c r="BE312" s="522" t="e">
        <f>(données_step[[#This Row],[X_BA_VOL]]*données_step[[#This Row],[X_BACONC]])/((données_step[[#This Row],[D_QTRAI2]]*données_step[[#This Row],[S_MES]]/1000)+(données_step[[#This Row],[X_BX_Q]]*données_step[[#This Row],[X_BXCONC]]))</f>
        <v>#VALUE!</v>
      </c>
      <c r="BF312" s="890" t="str">
        <f>IFERROR(données_step[[#This Row],[D_QTRAI]]/AY312*1000,"")</f>
        <v/>
      </c>
      <c r="BG312" s="535" t="str">
        <f>IFERROR(1-données_step[[#This Row],[S_DBO5]]/données_step[[#This Row],[E_DBO5]],"")</f>
        <v/>
      </c>
      <c r="BH312" s="536" t="str">
        <f>IFERROR(1-données_step[[#This Row],[S_DCO]]/données_step[[#This Row],[E_DCO]],"")</f>
        <v/>
      </c>
      <c r="BI312" s="535" t="str">
        <f>IFERROR(1-données_step[[#This Row],[S_COD]]/données_step[[#This Row],[E_COT]],"")</f>
        <v/>
      </c>
      <c r="BJ312" s="535" t="str">
        <f>IFERROR(1-données_step[[#This Row],[S_NH4]]/données_step[[#This Row],[E_NTOT]],"")</f>
        <v/>
      </c>
      <c r="BK312" s="535" t="str">
        <f>IFERROR(1-données_step[[#This Row],[S_PTOT]]/données_step[[#This Row],[E_PTOT]],"")</f>
        <v/>
      </c>
      <c r="BL312" s="521" t="str">
        <f>IFERROR(IF(données_step[[#This Row],[E_DCO]]/données_step[[#This Row],[E_DBO5]]=0,NA(),données_step[[#This Row],[E_DCO]]/données_step[[#This Row],[E_DBO5]]),"")</f>
        <v/>
      </c>
      <c r="BM312" s="521" t="str">
        <f>IFERROR(IF(données_step[[#This Row],[E_NH4]]/données_step[[#This Row],[E_NTOT]]=0,NA(),données_step[[#This Row],[E_NH4]]/données_step[[#This Row],[E_NTOT]]),"")</f>
        <v/>
      </c>
      <c r="BN312" s="521" t="str">
        <f>IFERROR(IF(données_step[[#This Row],[E_NTOT]]/données_step[[#This Row],[E_COT]]=0,NA(),données_step[[#This Row],[E_NTOT]]/données_step[[#This Row],[E_COT]]),"")</f>
        <v/>
      </c>
      <c r="BO312" s="521" t="str">
        <f>IFERROR(IF(données_step[[#This Row],[E_PTOT]]/données_step[[#This Row],[E_COT]]=0,NA(),données_step[[#This Row],[E_PTOT]]/données_step[[#This Row],[E_COT]]),"")</f>
        <v/>
      </c>
      <c r="BP312" s="521" t="e">
        <f>IF(données_step[[#This Row],[E_DCO]]/données_step[[#This Row],[E_COT]]=0,NA(),données_step[[#This Row],[E_DCO]]/données_step[[#This Row],[E_COT]])</f>
        <v>#DIV/0!</v>
      </c>
      <c r="BQ312" s="521" t="e">
        <f>IF(données_step[[#This Row],[E_NTOT]]/données_step[[#This Row],[E_DCO]]=0,NA(),données_step[[#This Row],[E_NTOT]]/données_step[[#This Row],[E_DCO]])</f>
        <v>#DIV/0!</v>
      </c>
      <c r="BR312" s="521" t="e">
        <f>IF(données_step[[#This Row],[E_PTOT]]/données_step[[#This Row],[E_DCO]]=0,NA(),données_step[[#This Row],[E_PTOT]]/données_step[[#This Row],[E_DCO]])</f>
        <v>#DIV/0!</v>
      </c>
      <c r="BS312" s="747" t="e">
        <f ca="1">test_NH4_temp(données_step[[#This Row],[S_NH4]],données_step[[#This Row],[Temp_eaux]])</f>
        <v>#NAME?</v>
      </c>
    </row>
    <row r="313" spans="1:71" x14ac:dyDescent="0.2">
      <c r="A313" s="222">
        <f>données_step[[#This Row],[Datum]]</f>
        <v>44864</v>
      </c>
      <c r="B313" s="223"/>
      <c r="C313" s="224">
        <f t="shared" si="79"/>
        <v>1</v>
      </c>
      <c r="D313" s="523" t="str">
        <f>IF(OR(données_step[[#This Row],[E_DBO5]]&lt;=0,données_step[[#This Row],[E_DBO5]]=""),"",données_step[[#This Row],[D_QTRAI]]*données_step[[#This Row],[E_DBO5]]/1000)</f>
        <v/>
      </c>
      <c r="E313" s="523" t="str">
        <f>IF(OR(données_step[[#This Row],[E_DCO]]&lt;=0,données_step[[#This Row],[E_DCO]]=""),"",données_step[[#This Row],[D_QTRAI]]*données_step[[#This Row],[E_DCO]]/1000)</f>
        <v/>
      </c>
      <c r="F313" s="523" t="str">
        <f>IF(OR(données_step[[#This Row],[E_COT]]&lt;=0,données_step[[#This Row],[E_COT]]=""),"",données_step[[#This Row],[D_QTRAI]]*données_step[[#This Row],[E_COT]]/1000)</f>
        <v/>
      </c>
      <c r="G313" s="523" t="str">
        <f>IF(OR(données_step[[#This Row],[E_NH4]]&lt;=0,données_step[[#This Row],[E_NH4]]=""),"",données_step[[#This Row],[D_QTRAI]]*données_step[[#This Row],[E_NH4]]/1000)</f>
        <v/>
      </c>
      <c r="H313" s="523" t="str">
        <f>IF(OR(données_step[[#This Row],[E_NTOT]]&lt;=0,données_step[[#This Row],[E_NTOT]]=""),"",données_step[[#This Row],[D_QTRAI]]*données_step[[#This Row],[E_NTOT]]/1000)</f>
        <v/>
      </c>
      <c r="I313" s="523" t="str">
        <f>IF(OR(données_step[[#This Row],[E_NTOT]]&lt;=0,données_step[[#This Row],[E_NTOT]]=""),"",données_step[[#This Row],[D_QTRAI]]*données_step[[#This Row],[E_PTOT]]/1000)</f>
        <v/>
      </c>
      <c r="J313" s="523" t="str">
        <f>IF(OR(données_step[[#This Row],[S_DBO5]]&lt;=0,données_step[[#This Row],[S_DBO5]]=""),"",données_step[[#This Row],[D_QTRAI]]*données_step[[#This Row],[S_DBO5]]/1000)</f>
        <v/>
      </c>
      <c r="K313" s="523" t="str">
        <f>IF(OR(données_step[[#This Row],[S_DCO]]&lt;=0,données_step[[#This Row],[S_DCO]]=""),"",données_step[[#This Row],[D_QTRAI]]*données_step[[#This Row],[S_DCO]]/1000)</f>
        <v/>
      </c>
      <c r="L313" s="523" t="str">
        <f>IF(OR(données_step[[#This Row],[S_COD]]&lt;=0,données_step[[#This Row],[S_COD]]=""),"",données_step[[#This Row],[D_QTRAI]]*données_step[[#This Row],[S_COD]]/1000)</f>
        <v/>
      </c>
      <c r="M313" s="523" t="str">
        <f>IF(OR(données_step[[#This Row],[S_NH4]]&lt;=0,données_step[[#This Row],[S_NH4]]=""),"",données_step[[#This Row],[D_QTRAI]]*données_step[[#This Row],[S_NH4]]/1000)</f>
        <v/>
      </c>
      <c r="N313" s="523" t="str">
        <f>IF(OR(données_step[[#This Row],[S_NO2]]&lt;=0,données_step[[#This Row],[S_NO2]]=""),"",données_step[[#This Row],[D_QTRAI]]*données_step[[#This Row],[S_NO2]]/1000)</f>
        <v/>
      </c>
      <c r="O313" s="523" t="str">
        <f>IF(OR(données_step[[#This Row],[S_NO3]]&lt;=0,données_step[[#This Row],[S_NO3]]=""),"",données_step[[#This Row],[D_QTRAI]]*données_step[[#This Row],[S_NO3]]/1000)</f>
        <v/>
      </c>
      <c r="P313" s="523" t="str">
        <f>IF(OR(données_step[[#This Row],[S_PTOT]]&lt;=0,données_step[[#This Row],[S_PTOT]]=""),"",données_step[[#This Row],[D_QTRAI]]*données_step[[#This Row],[S_PTOT]]/1000)</f>
        <v/>
      </c>
      <c r="Q313" s="523" t="str">
        <f>IF(OR(données_step[[#This Row],[S_MES]]&lt;=0,données_step[[#This Row],[S_MES]]=""),"",données_step[[#This Row],[D_QTRAI]]*données_step[[#This Row],[S_MES]]/1000)</f>
        <v/>
      </c>
      <c r="R313" s="523">
        <f>MAX(données_step[[#This Row],[D_QTRAI]],données_step[[#This Row],[D_QTRAI2]])</f>
        <v>0</v>
      </c>
      <c r="S313" s="523" t="str">
        <f>IF(AND($R313&gt;0,données_step[[#This Row],[E_DCO]]&gt;0),données_step[[#This Row],[E_DCO]],"")</f>
        <v/>
      </c>
      <c r="T313" s="523" t="str">
        <f>IF(S313="","",(1-données_step[[#This Row],[E_DCO]]/$V$7)*100)</f>
        <v/>
      </c>
      <c r="U313" s="523" t="str">
        <f t="shared" si="65"/>
        <v/>
      </c>
      <c r="V313" s="523" t="str">
        <f t="shared" si="66"/>
        <v/>
      </c>
      <c r="W313" s="523" t="str">
        <f t="shared" si="67"/>
        <v/>
      </c>
      <c r="X313" s="523" t="e">
        <f>IF(((100-100/$V$7*données_step[[#This Row],[E_DCO]])/100*QTS)&lt;0,NA(),IF(OR(U313&lt;0,U313=""),NA(),((100-100/$V$7*données_step[[#This Row],[E_DCO]])/100*QTS)))</f>
        <v>#NUM!</v>
      </c>
      <c r="Y313" s="523" t="str">
        <f>IF(AND($R313&gt;0,données_step[[#This Row],[E_COT]]&gt;0),données_step[[#This Row],[E_COT]],"")</f>
        <v/>
      </c>
      <c r="Z313" s="523" t="str">
        <f>IF(Y313="","",(1-données_step[[#This Row],[E_COT]]/$AB$7)*100)</f>
        <v/>
      </c>
      <c r="AA313" s="523" t="str">
        <f t="shared" si="68"/>
        <v/>
      </c>
      <c r="AB313" s="523" t="str">
        <f t="shared" si="69"/>
        <v/>
      </c>
      <c r="AC313" s="523" t="str">
        <f t="shared" si="70"/>
        <v/>
      </c>
      <c r="AD313" s="523" t="e">
        <f>IF(((100-100/$AB$7*données_step[[#This Row],[E_COT]])/100*QTS)&lt;0,NA(),IF(OR(AA313&lt;0,AA313=""),NA(),((100-100/$AB$7*données_step[[#This Row],[E_COT]])/100*QTS)))</f>
        <v>#NUM!</v>
      </c>
      <c r="AE313" s="523" t="str">
        <f>IF(AND($R313&gt;0,données_step[[#This Row],[E_NH4]]&gt;0),données_step[[#This Row],[E_NH4]],"")</f>
        <v/>
      </c>
      <c r="AF313" s="523" t="str">
        <f>IF(AE313="","",(1-données_step[[#This Row],[E_NH4]]/$AH$7)*100)</f>
        <v/>
      </c>
      <c r="AG313" s="523" t="str">
        <f t="shared" si="71"/>
        <v/>
      </c>
      <c r="AH313" s="523" t="str">
        <f t="shared" si="72"/>
        <v/>
      </c>
      <c r="AI313" s="523" t="str">
        <f t="shared" si="73"/>
        <v/>
      </c>
      <c r="AJ313" s="523" t="e">
        <f>IF(((100-100/$AH$7*données_step[[#This Row],[E_NH4]])/100*QTS)&lt;0,NA(),IF(OR(AG313&lt;0,AG313=""),NA(),((100-100/$AH$7*données_step[[#This Row],[E_NH4]])/100*QTS)))</f>
        <v>#NUM!</v>
      </c>
      <c r="AK313" s="523" t="str">
        <f>IF(AND($R313&gt;0,données_step[[#This Row],[E_PTOT]]&gt;0),données_step[[#This Row],[E_PTOT]],"")</f>
        <v/>
      </c>
      <c r="AL313" s="523" t="str">
        <f>IF(AK313="","",(1-données_step[[#This Row],[E_PTOT]]/$AN$7)*100)</f>
        <v/>
      </c>
      <c r="AM313" s="523" t="str">
        <f t="shared" si="74"/>
        <v/>
      </c>
      <c r="AN313" s="523" t="str">
        <f t="shared" si="75"/>
        <v/>
      </c>
      <c r="AO313" s="523" t="str">
        <f t="shared" si="76"/>
        <v/>
      </c>
      <c r="AP313" s="523" t="e">
        <f>IF(((100-100/$AN$7*données_step[[#This Row],[E_PTOT]])/100*QTS)&lt;0,NA(),IF(OR(AM313&lt;0,AM313=""),NA(),((100-100/$AN$7*données_step[[#This Row],[E_PTOT]])/100*QTS)))</f>
        <v>#NUM!</v>
      </c>
      <c r="AQ313" s="524" t="e">
        <f t="shared" si="77"/>
        <v>#NUM!</v>
      </c>
      <c r="AR313" s="524" t="str">
        <f t="shared" si="78"/>
        <v/>
      </c>
      <c r="AY313" s="523" t="str">
        <f>_xlfn.IFNA(IF(données_step[[#This Row],[E_DCO]]&lt;=0,NA(),charge_entree[[#This Row],[ch_E_DCO]]/constanten!$B$8*1000),"")</f>
        <v/>
      </c>
      <c r="AZ313" s="523" t="str">
        <f>_xlfn.IFNA(IF(données_step[[#This Row],[E_NTOT]]&lt;=0,NA(),charge_entree[[#This Row],[ch_E_NTOT]]/constanten!$B$10*1000),"")</f>
        <v/>
      </c>
      <c r="BA313" s="523" t="str">
        <f>_xlfn.IFNA(IF(données_step[[#This Row],[E_NH4]]&lt;=0,NA(),charge_entree[[#This Row],[ch_E_NH4]]/constanten!$B$12*1000),"")</f>
        <v/>
      </c>
      <c r="BB313" s="523" t="str">
        <f>_xlfn.IFNA(IF(données_step[[#This Row],[E_COT]]&lt;=0,NA(),charge_entree[[#This Row],[ch_E_COT]]/constanten!$B$9*1000),"")</f>
        <v/>
      </c>
      <c r="BC313" s="523" t="str">
        <f>IFERROR(_xlfn.IFNA(IF(données_step[[#This Row],[E_PTOT]]&lt;=0,NA(),charge_entree[[#This Row],[ch_E_PTOT]]/constanten!$B$15*1000),""),"")</f>
        <v/>
      </c>
      <c r="BD313" s="535" t="e">
        <f>calculs!E313 * (1-0.4) / (données_step[[#This Row],[X_BA_VOL]]*données_step[[#This Row],[X_BACONC]])</f>
        <v>#VALUE!</v>
      </c>
      <c r="BE313" s="522" t="e">
        <f>(données_step[[#This Row],[X_BA_VOL]]*données_step[[#This Row],[X_BACONC]])/((données_step[[#This Row],[D_QTRAI2]]*données_step[[#This Row],[S_MES]]/1000)+(données_step[[#This Row],[X_BX_Q]]*données_step[[#This Row],[X_BXCONC]]))</f>
        <v>#VALUE!</v>
      </c>
      <c r="BF313" s="890" t="str">
        <f>IFERROR(données_step[[#This Row],[D_QTRAI]]/AY313*1000,"")</f>
        <v/>
      </c>
      <c r="BG313" s="535" t="str">
        <f>IFERROR(1-données_step[[#This Row],[S_DBO5]]/données_step[[#This Row],[E_DBO5]],"")</f>
        <v/>
      </c>
      <c r="BH313" s="536" t="str">
        <f>IFERROR(1-données_step[[#This Row],[S_DCO]]/données_step[[#This Row],[E_DCO]],"")</f>
        <v/>
      </c>
      <c r="BI313" s="535" t="str">
        <f>IFERROR(1-données_step[[#This Row],[S_COD]]/données_step[[#This Row],[E_COT]],"")</f>
        <v/>
      </c>
      <c r="BJ313" s="535" t="str">
        <f>IFERROR(1-données_step[[#This Row],[S_NH4]]/données_step[[#This Row],[E_NTOT]],"")</f>
        <v/>
      </c>
      <c r="BK313" s="535" t="str">
        <f>IFERROR(1-données_step[[#This Row],[S_PTOT]]/données_step[[#This Row],[E_PTOT]],"")</f>
        <v/>
      </c>
      <c r="BL313" s="521" t="str">
        <f>IFERROR(IF(données_step[[#This Row],[E_DCO]]/données_step[[#This Row],[E_DBO5]]=0,NA(),données_step[[#This Row],[E_DCO]]/données_step[[#This Row],[E_DBO5]]),"")</f>
        <v/>
      </c>
      <c r="BM313" s="521" t="str">
        <f>IFERROR(IF(données_step[[#This Row],[E_NH4]]/données_step[[#This Row],[E_NTOT]]=0,NA(),données_step[[#This Row],[E_NH4]]/données_step[[#This Row],[E_NTOT]]),"")</f>
        <v/>
      </c>
      <c r="BN313" s="521" t="str">
        <f>IFERROR(IF(données_step[[#This Row],[E_NTOT]]/données_step[[#This Row],[E_COT]]=0,NA(),données_step[[#This Row],[E_NTOT]]/données_step[[#This Row],[E_COT]]),"")</f>
        <v/>
      </c>
      <c r="BO313" s="521" t="str">
        <f>IFERROR(IF(données_step[[#This Row],[E_PTOT]]/données_step[[#This Row],[E_COT]]=0,NA(),données_step[[#This Row],[E_PTOT]]/données_step[[#This Row],[E_COT]]),"")</f>
        <v/>
      </c>
      <c r="BP313" s="521" t="e">
        <f>IF(données_step[[#This Row],[E_DCO]]/données_step[[#This Row],[E_COT]]=0,NA(),données_step[[#This Row],[E_DCO]]/données_step[[#This Row],[E_COT]])</f>
        <v>#DIV/0!</v>
      </c>
      <c r="BQ313" s="521" t="e">
        <f>IF(données_step[[#This Row],[E_NTOT]]/données_step[[#This Row],[E_DCO]]=0,NA(),données_step[[#This Row],[E_NTOT]]/données_step[[#This Row],[E_DCO]])</f>
        <v>#DIV/0!</v>
      </c>
      <c r="BR313" s="521" t="e">
        <f>IF(données_step[[#This Row],[E_PTOT]]/données_step[[#This Row],[E_DCO]]=0,NA(),données_step[[#This Row],[E_PTOT]]/données_step[[#This Row],[E_DCO]])</f>
        <v>#DIV/0!</v>
      </c>
      <c r="BS313" s="747" t="e">
        <f ca="1">test_NH4_temp(données_step[[#This Row],[S_NH4]],données_step[[#This Row],[Temp_eaux]])</f>
        <v>#NAME?</v>
      </c>
    </row>
    <row r="314" spans="1:71" x14ac:dyDescent="0.2">
      <c r="A314" s="222">
        <f>données_step[[#This Row],[Datum]]</f>
        <v>44865</v>
      </c>
      <c r="B314" s="223"/>
      <c r="C314" s="224">
        <f t="shared" si="79"/>
        <v>2</v>
      </c>
      <c r="D314" s="523" t="str">
        <f>IF(OR(données_step[[#This Row],[E_DBO5]]&lt;=0,données_step[[#This Row],[E_DBO5]]=""),"",données_step[[#This Row],[D_QTRAI]]*données_step[[#This Row],[E_DBO5]]/1000)</f>
        <v/>
      </c>
      <c r="E314" s="523" t="str">
        <f>IF(OR(données_step[[#This Row],[E_DCO]]&lt;=0,données_step[[#This Row],[E_DCO]]=""),"",données_step[[#This Row],[D_QTRAI]]*données_step[[#This Row],[E_DCO]]/1000)</f>
        <v/>
      </c>
      <c r="F314" s="523" t="str">
        <f>IF(OR(données_step[[#This Row],[E_COT]]&lt;=0,données_step[[#This Row],[E_COT]]=""),"",données_step[[#This Row],[D_QTRAI]]*données_step[[#This Row],[E_COT]]/1000)</f>
        <v/>
      </c>
      <c r="G314" s="523" t="str">
        <f>IF(OR(données_step[[#This Row],[E_NH4]]&lt;=0,données_step[[#This Row],[E_NH4]]=""),"",données_step[[#This Row],[D_QTRAI]]*données_step[[#This Row],[E_NH4]]/1000)</f>
        <v/>
      </c>
      <c r="H314" s="523" t="str">
        <f>IF(OR(données_step[[#This Row],[E_NTOT]]&lt;=0,données_step[[#This Row],[E_NTOT]]=""),"",données_step[[#This Row],[D_QTRAI]]*données_step[[#This Row],[E_NTOT]]/1000)</f>
        <v/>
      </c>
      <c r="I314" s="523" t="str">
        <f>IF(OR(données_step[[#This Row],[E_NTOT]]&lt;=0,données_step[[#This Row],[E_NTOT]]=""),"",données_step[[#This Row],[D_QTRAI]]*données_step[[#This Row],[E_PTOT]]/1000)</f>
        <v/>
      </c>
      <c r="J314" s="523" t="str">
        <f>IF(OR(données_step[[#This Row],[S_DBO5]]&lt;=0,données_step[[#This Row],[S_DBO5]]=""),"",données_step[[#This Row],[D_QTRAI]]*données_step[[#This Row],[S_DBO5]]/1000)</f>
        <v/>
      </c>
      <c r="K314" s="523" t="str">
        <f>IF(OR(données_step[[#This Row],[S_DCO]]&lt;=0,données_step[[#This Row],[S_DCO]]=""),"",données_step[[#This Row],[D_QTRAI]]*données_step[[#This Row],[S_DCO]]/1000)</f>
        <v/>
      </c>
      <c r="L314" s="523" t="str">
        <f>IF(OR(données_step[[#This Row],[S_COD]]&lt;=0,données_step[[#This Row],[S_COD]]=""),"",données_step[[#This Row],[D_QTRAI]]*données_step[[#This Row],[S_COD]]/1000)</f>
        <v/>
      </c>
      <c r="M314" s="523" t="str">
        <f>IF(OR(données_step[[#This Row],[S_NH4]]&lt;=0,données_step[[#This Row],[S_NH4]]=""),"",données_step[[#This Row],[D_QTRAI]]*données_step[[#This Row],[S_NH4]]/1000)</f>
        <v/>
      </c>
      <c r="N314" s="523" t="str">
        <f>IF(OR(données_step[[#This Row],[S_NO2]]&lt;=0,données_step[[#This Row],[S_NO2]]=""),"",données_step[[#This Row],[D_QTRAI]]*données_step[[#This Row],[S_NO2]]/1000)</f>
        <v/>
      </c>
      <c r="O314" s="523" t="str">
        <f>IF(OR(données_step[[#This Row],[S_NO3]]&lt;=0,données_step[[#This Row],[S_NO3]]=""),"",données_step[[#This Row],[D_QTRAI]]*données_step[[#This Row],[S_NO3]]/1000)</f>
        <v/>
      </c>
      <c r="P314" s="523" t="str">
        <f>IF(OR(données_step[[#This Row],[S_PTOT]]&lt;=0,données_step[[#This Row],[S_PTOT]]=""),"",données_step[[#This Row],[D_QTRAI]]*données_step[[#This Row],[S_PTOT]]/1000)</f>
        <v/>
      </c>
      <c r="Q314" s="523" t="str">
        <f>IF(OR(données_step[[#This Row],[S_MES]]&lt;=0,données_step[[#This Row],[S_MES]]=""),"",données_step[[#This Row],[D_QTRAI]]*données_step[[#This Row],[S_MES]]/1000)</f>
        <v/>
      </c>
      <c r="R314" s="523">
        <f>MAX(données_step[[#This Row],[D_QTRAI]],données_step[[#This Row],[D_QTRAI2]])</f>
        <v>0</v>
      </c>
      <c r="S314" s="523" t="str">
        <f>IF(AND($R314&gt;0,données_step[[#This Row],[E_DCO]]&gt;0),données_step[[#This Row],[E_DCO]],"")</f>
        <v/>
      </c>
      <c r="T314" s="523" t="str">
        <f>IF(S314="","",(1-données_step[[#This Row],[E_DCO]]/$V$7)*100)</f>
        <v/>
      </c>
      <c r="U314" s="523" t="str">
        <f t="shared" si="65"/>
        <v/>
      </c>
      <c r="V314" s="523" t="str">
        <f t="shared" si="66"/>
        <v/>
      </c>
      <c r="W314" s="523" t="str">
        <f t="shared" si="67"/>
        <v/>
      </c>
      <c r="X314" s="523" t="e">
        <f>IF(((100-100/$V$7*données_step[[#This Row],[E_DCO]])/100*QTS)&lt;0,NA(),IF(OR(U314&lt;0,U314=""),NA(),((100-100/$V$7*données_step[[#This Row],[E_DCO]])/100*QTS)))</f>
        <v>#NUM!</v>
      </c>
      <c r="Y314" s="523" t="str">
        <f>IF(AND($R314&gt;0,données_step[[#This Row],[E_COT]]&gt;0),données_step[[#This Row],[E_COT]],"")</f>
        <v/>
      </c>
      <c r="Z314" s="523" t="str">
        <f>IF(Y314="","",(1-données_step[[#This Row],[E_COT]]/$AB$7)*100)</f>
        <v/>
      </c>
      <c r="AA314" s="523" t="str">
        <f t="shared" si="68"/>
        <v/>
      </c>
      <c r="AB314" s="523" t="str">
        <f t="shared" si="69"/>
        <v/>
      </c>
      <c r="AC314" s="523" t="str">
        <f t="shared" si="70"/>
        <v/>
      </c>
      <c r="AD314" s="523" t="e">
        <f>IF(((100-100/$AB$7*données_step[[#This Row],[E_COT]])/100*QTS)&lt;0,NA(),IF(OR(AA314&lt;0,AA314=""),NA(),((100-100/$AB$7*données_step[[#This Row],[E_COT]])/100*QTS)))</f>
        <v>#NUM!</v>
      </c>
      <c r="AE314" s="523" t="str">
        <f>IF(AND($R314&gt;0,données_step[[#This Row],[E_NH4]]&gt;0),données_step[[#This Row],[E_NH4]],"")</f>
        <v/>
      </c>
      <c r="AF314" s="523" t="str">
        <f>IF(AE314="","",(1-données_step[[#This Row],[E_NH4]]/$AH$7)*100)</f>
        <v/>
      </c>
      <c r="AG314" s="523" t="str">
        <f t="shared" si="71"/>
        <v/>
      </c>
      <c r="AH314" s="523" t="str">
        <f t="shared" si="72"/>
        <v/>
      </c>
      <c r="AI314" s="523" t="str">
        <f t="shared" si="73"/>
        <v/>
      </c>
      <c r="AJ314" s="523" t="e">
        <f>IF(((100-100/$AH$7*données_step[[#This Row],[E_NH4]])/100*QTS)&lt;0,NA(),IF(OR(AG314&lt;0,AG314=""),NA(),((100-100/$AH$7*données_step[[#This Row],[E_NH4]])/100*QTS)))</f>
        <v>#NUM!</v>
      </c>
      <c r="AK314" s="523" t="str">
        <f>IF(AND($R314&gt;0,données_step[[#This Row],[E_PTOT]]&gt;0),données_step[[#This Row],[E_PTOT]],"")</f>
        <v/>
      </c>
      <c r="AL314" s="523" t="str">
        <f>IF(AK314="","",(1-données_step[[#This Row],[E_PTOT]]/$AN$7)*100)</f>
        <v/>
      </c>
      <c r="AM314" s="523" t="str">
        <f t="shared" si="74"/>
        <v/>
      </c>
      <c r="AN314" s="523" t="str">
        <f t="shared" si="75"/>
        <v/>
      </c>
      <c r="AO314" s="523" t="str">
        <f t="shared" si="76"/>
        <v/>
      </c>
      <c r="AP314" s="523" t="e">
        <f>IF(((100-100/$AN$7*données_step[[#This Row],[E_PTOT]])/100*QTS)&lt;0,NA(),IF(OR(AM314&lt;0,AM314=""),NA(),((100-100/$AN$7*données_step[[#This Row],[E_PTOT]])/100*QTS)))</f>
        <v>#NUM!</v>
      </c>
      <c r="AQ314" s="524" t="e">
        <f t="shared" si="77"/>
        <v>#NUM!</v>
      </c>
      <c r="AR314" s="524" t="str">
        <f t="shared" si="78"/>
        <v/>
      </c>
      <c r="AY314" s="523" t="str">
        <f>_xlfn.IFNA(IF(données_step[[#This Row],[E_DCO]]&lt;=0,NA(),charge_entree[[#This Row],[ch_E_DCO]]/constanten!$B$8*1000),"")</f>
        <v/>
      </c>
      <c r="AZ314" s="523" t="str">
        <f>_xlfn.IFNA(IF(données_step[[#This Row],[E_NTOT]]&lt;=0,NA(),charge_entree[[#This Row],[ch_E_NTOT]]/constanten!$B$10*1000),"")</f>
        <v/>
      </c>
      <c r="BA314" s="523" t="str">
        <f>_xlfn.IFNA(IF(données_step[[#This Row],[E_NH4]]&lt;=0,NA(),charge_entree[[#This Row],[ch_E_NH4]]/constanten!$B$12*1000),"")</f>
        <v/>
      </c>
      <c r="BB314" s="523" t="str">
        <f>_xlfn.IFNA(IF(données_step[[#This Row],[E_COT]]&lt;=0,NA(),charge_entree[[#This Row],[ch_E_COT]]/constanten!$B$9*1000),"")</f>
        <v/>
      </c>
      <c r="BC314" s="523" t="str">
        <f>IFERROR(_xlfn.IFNA(IF(données_step[[#This Row],[E_PTOT]]&lt;=0,NA(),charge_entree[[#This Row],[ch_E_PTOT]]/constanten!$B$15*1000),""),"")</f>
        <v/>
      </c>
      <c r="BD314" s="535" t="e">
        <f>calculs!E314 * (1-0.4) / (données_step[[#This Row],[X_BA_VOL]]*données_step[[#This Row],[X_BACONC]])</f>
        <v>#VALUE!</v>
      </c>
      <c r="BE314" s="522" t="e">
        <f>(données_step[[#This Row],[X_BA_VOL]]*données_step[[#This Row],[X_BACONC]])/((données_step[[#This Row],[D_QTRAI2]]*données_step[[#This Row],[S_MES]]/1000)+(données_step[[#This Row],[X_BX_Q]]*données_step[[#This Row],[X_BXCONC]]))</f>
        <v>#VALUE!</v>
      </c>
      <c r="BF314" s="890" t="str">
        <f>IFERROR(données_step[[#This Row],[D_QTRAI]]/AY314*1000,"")</f>
        <v/>
      </c>
      <c r="BG314" s="535" t="str">
        <f>IFERROR(1-données_step[[#This Row],[S_DBO5]]/données_step[[#This Row],[E_DBO5]],"")</f>
        <v/>
      </c>
      <c r="BH314" s="536" t="str">
        <f>IFERROR(1-données_step[[#This Row],[S_DCO]]/données_step[[#This Row],[E_DCO]],"")</f>
        <v/>
      </c>
      <c r="BI314" s="535" t="str">
        <f>IFERROR(1-données_step[[#This Row],[S_COD]]/données_step[[#This Row],[E_COT]],"")</f>
        <v/>
      </c>
      <c r="BJ314" s="535" t="str">
        <f>IFERROR(1-données_step[[#This Row],[S_NH4]]/données_step[[#This Row],[E_NTOT]],"")</f>
        <v/>
      </c>
      <c r="BK314" s="535" t="str">
        <f>IFERROR(1-données_step[[#This Row],[S_PTOT]]/données_step[[#This Row],[E_PTOT]],"")</f>
        <v/>
      </c>
      <c r="BL314" s="521" t="str">
        <f>IFERROR(IF(données_step[[#This Row],[E_DCO]]/données_step[[#This Row],[E_DBO5]]=0,NA(),données_step[[#This Row],[E_DCO]]/données_step[[#This Row],[E_DBO5]]),"")</f>
        <v/>
      </c>
      <c r="BM314" s="521" t="str">
        <f>IFERROR(IF(données_step[[#This Row],[E_NH4]]/données_step[[#This Row],[E_NTOT]]=0,NA(),données_step[[#This Row],[E_NH4]]/données_step[[#This Row],[E_NTOT]]),"")</f>
        <v/>
      </c>
      <c r="BN314" s="521" t="str">
        <f>IFERROR(IF(données_step[[#This Row],[E_NTOT]]/données_step[[#This Row],[E_COT]]=0,NA(),données_step[[#This Row],[E_NTOT]]/données_step[[#This Row],[E_COT]]),"")</f>
        <v/>
      </c>
      <c r="BO314" s="521" t="str">
        <f>IFERROR(IF(données_step[[#This Row],[E_PTOT]]/données_step[[#This Row],[E_COT]]=0,NA(),données_step[[#This Row],[E_PTOT]]/données_step[[#This Row],[E_COT]]),"")</f>
        <v/>
      </c>
      <c r="BP314" s="521" t="e">
        <f>IF(données_step[[#This Row],[E_DCO]]/données_step[[#This Row],[E_COT]]=0,NA(),données_step[[#This Row],[E_DCO]]/données_step[[#This Row],[E_COT]])</f>
        <v>#DIV/0!</v>
      </c>
      <c r="BQ314" s="521" t="e">
        <f>IF(données_step[[#This Row],[E_NTOT]]/données_step[[#This Row],[E_DCO]]=0,NA(),données_step[[#This Row],[E_NTOT]]/données_step[[#This Row],[E_DCO]])</f>
        <v>#DIV/0!</v>
      </c>
      <c r="BR314" s="521" t="e">
        <f>IF(données_step[[#This Row],[E_PTOT]]/données_step[[#This Row],[E_DCO]]=0,NA(),données_step[[#This Row],[E_PTOT]]/données_step[[#This Row],[E_DCO]])</f>
        <v>#DIV/0!</v>
      </c>
      <c r="BS314" s="747" t="e">
        <f ca="1">test_NH4_temp(données_step[[#This Row],[S_NH4]],données_step[[#This Row],[Temp_eaux]])</f>
        <v>#NAME?</v>
      </c>
    </row>
    <row r="315" spans="1:71" x14ac:dyDescent="0.2">
      <c r="A315" s="222">
        <f>données_step[[#This Row],[Datum]]</f>
        <v>44866</v>
      </c>
      <c r="B315" s="223"/>
      <c r="C315" s="224">
        <f t="shared" si="79"/>
        <v>3</v>
      </c>
      <c r="D315" s="523" t="str">
        <f>IF(OR(données_step[[#This Row],[E_DBO5]]&lt;=0,données_step[[#This Row],[E_DBO5]]=""),"",données_step[[#This Row],[D_QTRAI]]*données_step[[#This Row],[E_DBO5]]/1000)</f>
        <v/>
      </c>
      <c r="E315" s="523" t="str">
        <f>IF(OR(données_step[[#This Row],[E_DCO]]&lt;=0,données_step[[#This Row],[E_DCO]]=""),"",données_step[[#This Row],[D_QTRAI]]*données_step[[#This Row],[E_DCO]]/1000)</f>
        <v/>
      </c>
      <c r="F315" s="523" t="str">
        <f>IF(OR(données_step[[#This Row],[E_COT]]&lt;=0,données_step[[#This Row],[E_COT]]=""),"",données_step[[#This Row],[D_QTRAI]]*données_step[[#This Row],[E_COT]]/1000)</f>
        <v/>
      </c>
      <c r="G315" s="523" t="str">
        <f>IF(OR(données_step[[#This Row],[E_NH4]]&lt;=0,données_step[[#This Row],[E_NH4]]=""),"",données_step[[#This Row],[D_QTRAI]]*données_step[[#This Row],[E_NH4]]/1000)</f>
        <v/>
      </c>
      <c r="H315" s="523" t="str">
        <f>IF(OR(données_step[[#This Row],[E_NTOT]]&lt;=0,données_step[[#This Row],[E_NTOT]]=""),"",données_step[[#This Row],[D_QTRAI]]*données_step[[#This Row],[E_NTOT]]/1000)</f>
        <v/>
      </c>
      <c r="I315" s="523" t="str">
        <f>IF(OR(données_step[[#This Row],[E_NTOT]]&lt;=0,données_step[[#This Row],[E_NTOT]]=""),"",données_step[[#This Row],[D_QTRAI]]*données_step[[#This Row],[E_PTOT]]/1000)</f>
        <v/>
      </c>
      <c r="J315" s="523" t="str">
        <f>IF(OR(données_step[[#This Row],[S_DBO5]]&lt;=0,données_step[[#This Row],[S_DBO5]]=""),"",données_step[[#This Row],[D_QTRAI]]*données_step[[#This Row],[S_DBO5]]/1000)</f>
        <v/>
      </c>
      <c r="K315" s="523" t="str">
        <f>IF(OR(données_step[[#This Row],[S_DCO]]&lt;=0,données_step[[#This Row],[S_DCO]]=""),"",données_step[[#This Row],[D_QTRAI]]*données_step[[#This Row],[S_DCO]]/1000)</f>
        <v/>
      </c>
      <c r="L315" s="523" t="str">
        <f>IF(OR(données_step[[#This Row],[S_COD]]&lt;=0,données_step[[#This Row],[S_COD]]=""),"",données_step[[#This Row],[D_QTRAI]]*données_step[[#This Row],[S_COD]]/1000)</f>
        <v/>
      </c>
      <c r="M315" s="523" t="str">
        <f>IF(OR(données_step[[#This Row],[S_NH4]]&lt;=0,données_step[[#This Row],[S_NH4]]=""),"",données_step[[#This Row],[D_QTRAI]]*données_step[[#This Row],[S_NH4]]/1000)</f>
        <v/>
      </c>
      <c r="N315" s="523" t="str">
        <f>IF(OR(données_step[[#This Row],[S_NO2]]&lt;=0,données_step[[#This Row],[S_NO2]]=""),"",données_step[[#This Row],[D_QTRAI]]*données_step[[#This Row],[S_NO2]]/1000)</f>
        <v/>
      </c>
      <c r="O315" s="523" t="str">
        <f>IF(OR(données_step[[#This Row],[S_NO3]]&lt;=0,données_step[[#This Row],[S_NO3]]=""),"",données_step[[#This Row],[D_QTRAI]]*données_step[[#This Row],[S_NO3]]/1000)</f>
        <v/>
      </c>
      <c r="P315" s="523" t="str">
        <f>IF(OR(données_step[[#This Row],[S_PTOT]]&lt;=0,données_step[[#This Row],[S_PTOT]]=""),"",données_step[[#This Row],[D_QTRAI]]*données_step[[#This Row],[S_PTOT]]/1000)</f>
        <v/>
      </c>
      <c r="Q315" s="523" t="str">
        <f>IF(OR(données_step[[#This Row],[S_MES]]&lt;=0,données_step[[#This Row],[S_MES]]=""),"",données_step[[#This Row],[D_QTRAI]]*données_step[[#This Row],[S_MES]]/1000)</f>
        <v/>
      </c>
      <c r="R315" s="523">
        <f>MAX(données_step[[#This Row],[D_QTRAI]],données_step[[#This Row],[D_QTRAI2]])</f>
        <v>0</v>
      </c>
      <c r="S315" s="523" t="str">
        <f>IF(AND($R315&gt;0,données_step[[#This Row],[E_DCO]]&gt;0),données_step[[#This Row],[E_DCO]],"")</f>
        <v/>
      </c>
      <c r="T315" s="523" t="str">
        <f>IF(S315="","",(1-données_step[[#This Row],[E_DCO]]/$V$7)*100)</f>
        <v/>
      </c>
      <c r="U315" s="523" t="str">
        <f t="shared" si="65"/>
        <v/>
      </c>
      <c r="V315" s="523" t="str">
        <f t="shared" si="66"/>
        <v/>
      </c>
      <c r="W315" s="523" t="str">
        <f t="shared" si="67"/>
        <v/>
      </c>
      <c r="X315" s="523" t="e">
        <f>IF(((100-100/$V$7*données_step[[#This Row],[E_DCO]])/100*QTS)&lt;0,NA(),IF(OR(U315&lt;0,U315=""),NA(),((100-100/$V$7*données_step[[#This Row],[E_DCO]])/100*QTS)))</f>
        <v>#NUM!</v>
      </c>
      <c r="Y315" s="523" t="str">
        <f>IF(AND($R315&gt;0,données_step[[#This Row],[E_COT]]&gt;0),données_step[[#This Row],[E_COT]],"")</f>
        <v/>
      </c>
      <c r="Z315" s="523" t="str">
        <f>IF(Y315="","",(1-données_step[[#This Row],[E_COT]]/$AB$7)*100)</f>
        <v/>
      </c>
      <c r="AA315" s="523" t="str">
        <f t="shared" si="68"/>
        <v/>
      </c>
      <c r="AB315" s="523" t="str">
        <f t="shared" si="69"/>
        <v/>
      </c>
      <c r="AC315" s="523" t="str">
        <f t="shared" si="70"/>
        <v/>
      </c>
      <c r="AD315" s="523" t="e">
        <f>IF(((100-100/$AB$7*données_step[[#This Row],[E_COT]])/100*QTS)&lt;0,NA(),IF(OR(AA315&lt;0,AA315=""),NA(),((100-100/$AB$7*données_step[[#This Row],[E_COT]])/100*QTS)))</f>
        <v>#NUM!</v>
      </c>
      <c r="AE315" s="523" t="str">
        <f>IF(AND($R315&gt;0,données_step[[#This Row],[E_NH4]]&gt;0),données_step[[#This Row],[E_NH4]],"")</f>
        <v/>
      </c>
      <c r="AF315" s="523" t="str">
        <f>IF(AE315="","",(1-données_step[[#This Row],[E_NH4]]/$AH$7)*100)</f>
        <v/>
      </c>
      <c r="AG315" s="523" t="str">
        <f t="shared" si="71"/>
        <v/>
      </c>
      <c r="AH315" s="523" t="str">
        <f t="shared" si="72"/>
        <v/>
      </c>
      <c r="AI315" s="523" t="str">
        <f t="shared" si="73"/>
        <v/>
      </c>
      <c r="AJ315" s="523" t="e">
        <f>IF(((100-100/$AH$7*données_step[[#This Row],[E_NH4]])/100*QTS)&lt;0,NA(),IF(OR(AG315&lt;0,AG315=""),NA(),((100-100/$AH$7*données_step[[#This Row],[E_NH4]])/100*QTS)))</f>
        <v>#NUM!</v>
      </c>
      <c r="AK315" s="523" t="str">
        <f>IF(AND($R315&gt;0,données_step[[#This Row],[E_PTOT]]&gt;0),données_step[[#This Row],[E_PTOT]],"")</f>
        <v/>
      </c>
      <c r="AL315" s="523" t="str">
        <f>IF(AK315="","",(1-données_step[[#This Row],[E_PTOT]]/$AN$7)*100)</f>
        <v/>
      </c>
      <c r="AM315" s="523" t="str">
        <f t="shared" si="74"/>
        <v/>
      </c>
      <c r="AN315" s="523" t="str">
        <f t="shared" si="75"/>
        <v/>
      </c>
      <c r="AO315" s="523" t="str">
        <f t="shared" si="76"/>
        <v/>
      </c>
      <c r="AP315" s="523" t="e">
        <f>IF(((100-100/$AN$7*données_step[[#This Row],[E_PTOT]])/100*QTS)&lt;0,NA(),IF(OR(AM315&lt;0,AM315=""),NA(),((100-100/$AN$7*données_step[[#This Row],[E_PTOT]])/100*QTS)))</f>
        <v>#NUM!</v>
      </c>
      <c r="AQ315" s="524" t="e">
        <f t="shared" si="77"/>
        <v>#NUM!</v>
      </c>
      <c r="AR315" s="524" t="str">
        <f t="shared" si="78"/>
        <v/>
      </c>
      <c r="AY315" s="523" t="str">
        <f>_xlfn.IFNA(IF(données_step[[#This Row],[E_DCO]]&lt;=0,NA(),charge_entree[[#This Row],[ch_E_DCO]]/constanten!$B$8*1000),"")</f>
        <v/>
      </c>
      <c r="AZ315" s="523" t="str">
        <f>_xlfn.IFNA(IF(données_step[[#This Row],[E_NTOT]]&lt;=0,NA(),charge_entree[[#This Row],[ch_E_NTOT]]/constanten!$B$10*1000),"")</f>
        <v/>
      </c>
      <c r="BA315" s="523" t="str">
        <f>_xlfn.IFNA(IF(données_step[[#This Row],[E_NH4]]&lt;=0,NA(),charge_entree[[#This Row],[ch_E_NH4]]/constanten!$B$12*1000),"")</f>
        <v/>
      </c>
      <c r="BB315" s="523" t="str">
        <f>_xlfn.IFNA(IF(données_step[[#This Row],[E_COT]]&lt;=0,NA(),charge_entree[[#This Row],[ch_E_COT]]/constanten!$B$9*1000),"")</f>
        <v/>
      </c>
      <c r="BC315" s="523" t="str">
        <f>IFERROR(_xlfn.IFNA(IF(données_step[[#This Row],[E_PTOT]]&lt;=0,NA(),charge_entree[[#This Row],[ch_E_PTOT]]/constanten!$B$15*1000),""),"")</f>
        <v/>
      </c>
      <c r="BD315" s="535" t="e">
        <f>calculs!E315 * (1-0.4) / (données_step[[#This Row],[X_BA_VOL]]*données_step[[#This Row],[X_BACONC]])</f>
        <v>#VALUE!</v>
      </c>
      <c r="BE315" s="522" t="e">
        <f>(données_step[[#This Row],[X_BA_VOL]]*données_step[[#This Row],[X_BACONC]])/((données_step[[#This Row],[D_QTRAI2]]*données_step[[#This Row],[S_MES]]/1000)+(données_step[[#This Row],[X_BX_Q]]*données_step[[#This Row],[X_BXCONC]]))</f>
        <v>#VALUE!</v>
      </c>
      <c r="BF315" s="890" t="str">
        <f>IFERROR(données_step[[#This Row],[D_QTRAI]]/AY315*1000,"")</f>
        <v/>
      </c>
      <c r="BG315" s="535" t="str">
        <f>IFERROR(1-données_step[[#This Row],[S_DBO5]]/données_step[[#This Row],[E_DBO5]],"")</f>
        <v/>
      </c>
      <c r="BH315" s="536" t="str">
        <f>IFERROR(1-données_step[[#This Row],[S_DCO]]/données_step[[#This Row],[E_DCO]],"")</f>
        <v/>
      </c>
      <c r="BI315" s="535" t="str">
        <f>IFERROR(1-données_step[[#This Row],[S_COD]]/données_step[[#This Row],[E_COT]],"")</f>
        <v/>
      </c>
      <c r="BJ315" s="535" t="str">
        <f>IFERROR(1-données_step[[#This Row],[S_NH4]]/données_step[[#This Row],[E_NTOT]],"")</f>
        <v/>
      </c>
      <c r="BK315" s="535" t="str">
        <f>IFERROR(1-données_step[[#This Row],[S_PTOT]]/données_step[[#This Row],[E_PTOT]],"")</f>
        <v/>
      </c>
      <c r="BL315" s="521" t="str">
        <f>IFERROR(IF(données_step[[#This Row],[E_DCO]]/données_step[[#This Row],[E_DBO5]]=0,NA(),données_step[[#This Row],[E_DCO]]/données_step[[#This Row],[E_DBO5]]),"")</f>
        <v/>
      </c>
      <c r="BM315" s="521" t="str">
        <f>IFERROR(IF(données_step[[#This Row],[E_NH4]]/données_step[[#This Row],[E_NTOT]]=0,NA(),données_step[[#This Row],[E_NH4]]/données_step[[#This Row],[E_NTOT]]),"")</f>
        <v/>
      </c>
      <c r="BN315" s="521" t="str">
        <f>IFERROR(IF(données_step[[#This Row],[E_NTOT]]/données_step[[#This Row],[E_COT]]=0,NA(),données_step[[#This Row],[E_NTOT]]/données_step[[#This Row],[E_COT]]),"")</f>
        <v/>
      </c>
      <c r="BO315" s="521" t="str">
        <f>IFERROR(IF(données_step[[#This Row],[E_PTOT]]/données_step[[#This Row],[E_COT]]=0,NA(),données_step[[#This Row],[E_PTOT]]/données_step[[#This Row],[E_COT]]),"")</f>
        <v/>
      </c>
      <c r="BP315" s="521" t="e">
        <f>IF(données_step[[#This Row],[E_DCO]]/données_step[[#This Row],[E_COT]]=0,NA(),données_step[[#This Row],[E_DCO]]/données_step[[#This Row],[E_COT]])</f>
        <v>#DIV/0!</v>
      </c>
      <c r="BQ315" s="521" t="e">
        <f>IF(données_step[[#This Row],[E_NTOT]]/données_step[[#This Row],[E_DCO]]=0,NA(),données_step[[#This Row],[E_NTOT]]/données_step[[#This Row],[E_DCO]])</f>
        <v>#DIV/0!</v>
      </c>
      <c r="BR315" s="521" t="e">
        <f>IF(données_step[[#This Row],[E_PTOT]]/données_step[[#This Row],[E_DCO]]=0,NA(),données_step[[#This Row],[E_PTOT]]/données_step[[#This Row],[E_DCO]])</f>
        <v>#DIV/0!</v>
      </c>
      <c r="BS315" s="747" t="e">
        <f ca="1">test_NH4_temp(données_step[[#This Row],[S_NH4]],données_step[[#This Row],[Temp_eaux]])</f>
        <v>#NAME?</v>
      </c>
    </row>
    <row r="316" spans="1:71" x14ac:dyDescent="0.2">
      <c r="A316" s="222">
        <f>données_step[[#This Row],[Datum]]</f>
        <v>44867</v>
      </c>
      <c r="B316" s="223"/>
      <c r="C316" s="224">
        <f t="shared" si="79"/>
        <v>4</v>
      </c>
      <c r="D316" s="523" t="str">
        <f>IF(OR(données_step[[#This Row],[E_DBO5]]&lt;=0,données_step[[#This Row],[E_DBO5]]=""),"",données_step[[#This Row],[D_QTRAI]]*données_step[[#This Row],[E_DBO5]]/1000)</f>
        <v/>
      </c>
      <c r="E316" s="523" t="str">
        <f>IF(OR(données_step[[#This Row],[E_DCO]]&lt;=0,données_step[[#This Row],[E_DCO]]=""),"",données_step[[#This Row],[D_QTRAI]]*données_step[[#This Row],[E_DCO]]/1000)</f>
        <v/>
      </c>
      <c r="F316" s="523" t="str">
        <f>IF(OR(données_step[[#This Row],[E_COT]]&lt;=0,données_step[[#This Row],[E_COT]]=""),"",données_step[[#This Row],[D_QTRAI]]*données_step[[#This Row],[E_COT]]/1000)</f>
        <v/>
      </c>
      <c r="G316" s="523" t="str">
        <f>IF(OR(données_step[[#This Row],[E_NH4]]&lt;=0,données_step[[#This Row],[E_NH4]]=""),"",données_step[[#This Row],[D_QTRAI]]*données_step[[#This Row],[E_NH4]]/1000)</f>
        <v/>
      </c>
      <c r="H316" s="523" t="str">
        <f>IF(OR(données_step[[#This Row],[E_NTOT]]&lt;=0,données_step[[#This Row],[E_NTOT]]=""),"",données_step[[#This Row],[D_QTRAI]]*données_step[[#This Row],[E_NTOT]]/1000)</f>
        <v/>
      </c>
      <c r="I316" s="523" t="str">
        <f>IF(OR(données_step[[#This Row],[E_NTOT]]&lt;=0,données_step[[#This Row],[E_NTOT]]=""),"",données_step[[#This Row],[D_QTRAI]]*données_step[[#This Row],[E_PTOT]]/1000)</f>
        <v/>
      </c>
      <c r="J316" s="523" t="str">
        <f>IF(OR(données_step[[#This Row],[S_DBO5]]&lt;=0,données_step[[#This Row],[S_DBO5]]=""),"",données_step[[#This Row],[D_QTRAI]]*données_step[[#This Row],[S_DBO5]]/1000)</f>
        <v/>
      </c>
      <c r="K316" s="523" t="str">
        <f>IF(OR(données_step[[#This Row],[S_DCO]]&lt;=0,données_step[[#This Row],[S_DCO]]=""),"",données_step[[#This Row],[D_QTRAI]]*données_step[[#This Row],[S_DCO]]/1000)</f>
        <v/>
      </c>
      <c r="L316" s="523" t="str">
        <f>IF(OR(données_step[[#This Row],[S_COD]]&lt;=0,données_step[[#This Row],[S_COD]]=""),"",données_step[[#This Row],[D_QTRAI]]*données_step[[#This Row],[S_COD]]/1000)</f>
        <v/>
      </c>
      <c r="M316" s="523" t="str">
        <f>IF(OR(données_step[[#This Row],[S_NH4]]&lt;=0,données_step[[#This Row],[S_NH4]]=""),"",données_step[[#This Row],[D_QTRAI]]*données_step[[#This Row],[S_NH4]]/1000)</f>
        <v/>
      </c>
      <c r="N316" s="523" t="str">
        <f>IF(OR(données_step[[#This Row],[S_NO2]]&lt;=0,données_step[[#This Row],[S_NO2]]=""),"",données_step[[#This Row],[D_QTRAI]]*données_step[[#This Row],[S_NO2]]/1000)</f>
        <v/>
      </c>
      <c r="O316" s="523" t="str">
        <f>IF(OR(données_step[[#This Row],[S_NO3]]&lt;=0,données_step[[#This Row],[S_NO3]]=""),"",données_step[[#This Row],[D_QTRAI]]*données_step[[#This Row],[S_NO3]]/1000)</f>
        <v/>
      </c>
      <c r="P316" s="523" t="str">
        <f>IF(OR(données_step[[#This Row],[S_PTOT]]&lt;=0,données_step[[#This Row],[S_PTOT]]=""),"",données_step[[#This Row],[D_QTRAI]]*données_step[[#This Row],[S_PTOT]]/1000)</f>
        <v/>
      </c>
      <c r="Q316" s="523" t="str">
        <f>IF(OR(données_step[[#This Row],[S_MES]]&lt;=0,données_step[[#This Row],[S_MES]]=""),"",données_step[[#This Row],[D_QTRAI]]*données_step[[#This Row],[S_MES]]/1000)</f>
        <v/>
      </c>
      <c r="R316" s="523">
        <f>MAX(données_step[[#This Row],[D_QTRAI]],données_step[[#This Row],[D_QTRAI2]])</f>
        <v>0</v>
      </c>
      <c r="S316" s="523" t="str">
        <f>IF(AND($R316&gt;0,données_step[[#This Row],[E_DCO]]&gt;0),données_step[[#This Row],[E_DCO]],"")</f>
        <v/>
      </c>
      <c r="T316" s="523" t="str">
        <f>IF(S316="","",(1-données_step[[#This Row],[E_DCO]]/$V$7)*100)</f>
        <v/>
      </c>
      <c r="U316" s="523" t="str">
        <f t="shared" si="65"/>
        <v/>
      </c>
      <c r="V316" s="523" t="str">
        <f t="shared" si="66"/>
        <v/>
      </c>
      <c r="W316" s="523" t="str">
        <f t="shared" si="67"/>
        <v/>
      </c>
      <c r="X316" s="523" t="e">
        <f>IF(((100-100/$V$7*données_step[[#This Row],[E_DCO]])/100*QTS)&lt;0,NA(),IF(OR(U316&lt;0,U316=""),NA(),((100-100/$V$7*données_step[[#This Row],[E_DCO]])/100*QTS)))</f>
        <v>#NUM!</v>
      </c>
      <c r="Y316" s="523" t="str">
        <f>IF(AND($R316&gt;0,données_step[[#This Row],[E_COT]]&gt;0),données_step[[#This Row],[E_COT]],"")</f>
        <v/>
      </c>
      <c r="Z316" s="523" t="str">
        <f>IF(Y316="","",(1-données_step[[#This Row],[E_COT]]/$AB$7)*100)</f>
        <v/>
      </c>
      <c r="AA316" s="523" t="str">
        <f t="shared" si="68"/>
        <v/>
      </c>
      <c r="AB316" s="523" t="str">
        <f t="shared" si="69"/>
        <v/>
      </c>
      <c r="AC316" s="523" t="str">
        <f t="shared" si="70"/>
        <v/>
      </c>
      <c r="AD316" s="523" t="e">
        <f>IF(((100-100/$AB$7*données_step[[#This Row],[E_COT]])/100*QTS)&lt;0,NA(),IF(OR(AA316&lt;0,AA316=""),NA(),((100-100/$AB$7*données_step[[#This Row],[E_COT]])/100*QTS)))</f>
        <v>#NUM!</v>
      </c>
      <c r="AE316" s="523" t="str">
        <f>IF(AND($R316&gt;0,données_step[[#This Row],[E_NH4]]&gt;0),données_step[[#This Row],[E_NH4]],"")</f>
        <v/>
      </c>
      <c r="AF316" s="523" t="str">
        <f>IF(AE316="","",(1-données_step[[#This Row],[E_NH4]]/$AH$7)*100)</f>
        <v/>
      </c>
      <c r="AG316" s="523" t="str">
        <f t="shared" si="71"/>
        <v/>
      </c>
      <c r="AH316" s="523" t="str">
        <f t="shared" si="72"/>
        <v/>
      </c>
      <c r="AI316" s="523" t="str">
        <f t="shared" si="73"/>
        <v/>
      </c>
      <c r="AJ316" s="523" t="e">
        <f>IF(((100-100/$AH$7*données_step[[#This Row],[E_NH4]])/100*QTS)&lt;0,NA(),IF(OR(AG316&lt;0,AG316=""),NA(),((100-100/$AH$7*données_step[[#This Row],[E_NH4]])/100*QTS)))</f>
        <v>#NUM!</v>
      </c>
      <c r="AK316" s="523" t="str">
        <f>IF(AND($R316&gt;0,données_step[[#This Row],[E_PTOT]]&gt;0),données_step[[#This Row],[E_PTOT]],"")</f>
        <v/>
      </c>
      <c r="AL316" s="523" t="str">
        <f>IF(AK316="","",(1-données_step[[#This Row],[E_PTOT]]/$AN$7)*100)</f>
        <v/>
      </c>
      <c r="AM316" s="523" t="str">
        <f t="shared" si="74"/>
        <v/>
      </c>
      <c r="AN316" s="523" t="str">
        <f t="shared" si="75"/>
        <v/>
      </c>
      <c r="AO316" s="523" t="str">
        <f t="shared" si="76"/>
        <v/>
      </c>
      <c r="AP316" s="523" t="e">
        <f>IF(((100-100/$AN$7*données_step[[#This Row],[E_PTOT]])/100*QTS)&lt;0,NA(),IF(OR(AM316&lt;0,AM316=""),NA(),((100-100/$AN$7*données_step[[#This Row],[E_PTOT]])/100*QTS)))</f>
        <v>#NUM!</v>
      </c>
      <c r="AQ316" s="524" t="e">
        <f t="shared" si="77"/>
        <v>#NUM!</v>
      </c>
      <c r="AR316" s="524" t="str">
        <f t="shared" si="78"/>
        <v/>
      </c>
      <c r="AY316" s="523" t="str">
        <f>_xlfn.IFNA(IF(données_step[[#This Row],[E_DCO]]&lt;=0,NA(),charge_entree[[#This Row],[ch_E_DCO]]/constanten!$B$8*1000),"")</f>
        <v/>
      </c>
      <c r="AZ316" s="523" t="str">
        <f>_xlfn.IFNA(IF(données_step[[#This Row],[E_NTOT]]&lt;=0,NA(),charge_entree[[#This Row],[ch_E_NTOT]]/constanten!$B$10*1000),"")</f>
        <v/>
      </c>
      <c r="BA316" s="523" t="str">
        <f>_xlfn.IFNA(IF(données_step[[#This Row],[E_NH4]]&lt;=0,NA(),charge_entree[[#This Row],[ch_E_NH4]]/constanten!$B$12*1000),"")</f>
        <v/>
      </c>
      <c r="BB316" s="523" t="str">
        <f>_xlfn.IFNA(IF(données_step[[#This Row],[E_COT]]&lt;=0,NA(),charge_entree[[#This Row],[ch_E_COT]]/constanten!$B$9*1000),"")</f>
        <v/>
      </c>
      <c r="BC316" s="523" t="str">
        <f>IFERROR(_xlfn.IFNA(IF(données_step[[#This Row],[E_PTOT]]&lt;=0,NA(),charge_entree[[#This Row],[ch_E_PTOT]]/constanten!$B$15*1000),""),"")</f>
        <v/>
      </c>
      <c r="BD316" s="535" t="e">
        <f>calculs!E316 * (1-0.4) / (données_step[[#This Row],[X_BA_VOL]]*données_step[[#This Row],[X_BACONC]])</f>
        <v>#VALUE!</v>
      </c>
      <c r="BE316" s="522" t="e">
        <f>(données_step[[#This Row],[X_BA_VOL]]*données_step[[#This Row],[X_BACONC]])/((données_step[[#This Row],[D_QTRAI2]]*données_step[[#This Row],[S_MES]]/1000)+(données_step[[#This Row],[X_BX_Q]]*données_step[[#This Row],[X_BXCONC]]))</f>
        <v>#VALUE!</v>
      </c>
      <c r="BF316" s="890" t="str">
        <f>IFERROR(données_step[[#This Row],[D_QTRAI]]/AY316*1000,"")</f>
        <v/>
      </c>
      <c r="BG316" s="535" t="str">
        <f>IFERROR(1-données_step[[#This Row],[S_DBO5]]/données_step[[#This Row],[E_DBO5]],"")</f>
        <v/>
      </c>
      <c r="BH316" s="536" t="str">
        <f>IFERROR(1-données_step[[#This Row],[S_DCO]]/données_step[[#This Row],[E_DCO]],"")</f>
        <v/>
      </c>
      <c r="BI316" s="535" t="str">
        <f>IFERROR(1-données_step[[#This Row],[S_COD]]/données_step[[#This Row],[E_COT]],"")</f>
        <v/>
      </c>
      <c r="BJ316" s="535" t="str">
        <f>IFERROR(1-données_step[[#This Row],[S_NH4]]/données_step[[#This Row],[E_NTOT]],"")</f>
        <v/>
      </c>
      <c r="BK316" s="535" t="str">
        <f>IFERROR(1-données_step[[#This Row],[S_PTOT]]/données_step[[#This Row],[E_PTOT]],"")</f>
        <v/>
      </c>
      <c r="BL316" s="521" t="str">
        <f>IFERROR(IF(données_step[[#This Row],[E_DCO]]/données_step[[#This Row],[E_DBO5]]=0,NA(),données_step[[#This Row],[E_DCO]]/données_step[[#This Row],[E_DBO5]]),"")</f>
        <v/>
      </c>
      <c r="BM316" s="521" t="str">
        <f>IFERROR(IF(données_step[[#This Row],[E_NH4]]/données_step[[#This Row],[E_NTOT]]=0,NA(),données_step[[#This Row],[E_NH4]]/données_step[[#This Row],[E_NTOT]]),"")</f>
        <v/>
      </c>
      <c r="BN316" s="521" t="str">
        <f>IFERROR(IF(données_step[[#This Row],[E_NTOT]]/données_step[[#This Row],[E_COT]]=0,NA(),données_step[[#This Row],[E_NTOT]]/données_step[[#This Row],[E_COT]]),"")</f>
        <v/>
      </c>
      <c r="BO316" s="521" t="str">
        <f>IFERROR(IF(données_step[[#This Row],[E_PTOT]]/données_step[[#This Row],[E_COT]]=0,NA(),données_step[[#This Row],[E_PTOT]]/données_step[[#This Row],[E_COT]]),"")</f>
        <v/>
      </c>
      <c r="BP316" s="521" t="e">
        <f>IF(données_step[[#This Row],[E_DCO]]/données_step[[#This Row],[E_COT]]=0,NA(),données_step[[#This Row],[E_DCO]]/données_step[[#This Row],[E_COT]])</f>
        <v>#DIV/0!</v>
      </c>
      <c r="BQ316" s="521" t="e">
        <f>IF(données_step[[#This Row],[E_NTOT]]/données_step[[#This Row],[E_DCO]]=0,NA(),données_step[[#This Row],[E_NTOT]]/données_step[[#This Row],[E_DCO]])</f>
        <v>#DIV/0!</v>
      </c>
      <c r="BR316" s="521" t="e">
        <f>IF(données_step[[#This Row],[E_PTOT]]/données_step[[#This Row],[E_DCO]]=0,NA(),données_step[[#This Row],[E_PTOT]]/données_step[[#This Row],[E_DCO]])</f>
        <v>#DIV/0!</v>
      </c>
      <c r="BS316" s="747" t="e">
        <f ca="1">test_NH4_temp(données_step[[#This Row],[S_NH4]],données_step[[#This Row],[Temp_eaux]])</f>
        <v>#NAME?</v>
      </c>
    </row>
    <row r="317" spans="1:71" x14ac:dyDescent="0.2">
      <c r="A317" s="222">
        <f>données_step[[#This Row],[Datum]]</f>
        <v>44868</v>
      </c>
      <c r="B317" s="223"/>
      <c r="C317" s="224">
        <f t="shared" si="79"/>
        <v>5</v>
      </c>
      <c r="D317" s="523" t="str">
        <f>IF(OR(données_step[[#This Row],[E_DBO5]]&lt;=0,données_step[[#This Row],[E_DBO5]]=""),"",données_step[[#This Row],[D_QTRAI]]*données_step[[#This Row],[E_DBO5]]/1000)</f>
        <v/>
      </c>
      <c r="E317" s="523" t="str">
        <f>IF(OR(données_step[[#This Row],[E_DCO]]&lt;=0,données_step[[#This Row],[E_DCO]]=""),"",données_step[[#This Row],[D_QTRAI]]*données_step[[#This Row],[E_DCO]]/1000)</f>
        <v/>
      </c>
      <c r="F317" s="523" t="str">
        <f>IF(OR(données_step[[#This Row],[E_COT]]&lt;=0,données_step[[#This Row],[E_COT]]=""),"",données_step[[#This Row],[D_QTRAI]]*données_step[[#This Row],[E_COT]]/1000)</f>
        <v/>
      </c>
      <c r="G317" s="523" t="str">
        <f>IF(OR(données_step[[#This Row],[E_NH4]]&lt;=0,données_step[[#This Row],[E_NH4]]=""),"",données_step[[#This Row],[D_QTRAI]]*données_step[[#This Row],[E_NH4]]/1000)</f>
        <v/>
      </c>
      <c r="H317" s="523" t="str">
        <f>IF(OR(données_step[[#This Row],[E_NTOT]]&lt;=0,données_step[[#This Row],[E_NTOT]]=""),"",données_step[[#This Row],[D_QTRAI]]*données_step[[#This Row],[E_NTOT]]/1000)</f>
        <v/>
      </c>
      <c r="I317" s="523" t="str">
        <f>IF(OR(données_step[[#This Row],[E_NTOT]]&lt;=0,données_step[[#This Row],[E_NTOT]]=""),"",données_step[[#This Row],[D_QTRAI]]*données_step[[#This Row],[E_PTOT]]/1000)</f>
        <v/>
      </c>
      <c r="J317" s="523" t="str">
        <f>IF(OR(données_step[[#This Row],[S_DBO5]]&lt;=0,données_step[[#This Row],[S_DBO5]]=""),"",données_step[[#This Row],[D_QTRAI]]*données_step[[#This Row],[S_DBO5]]/1000)</f>
        <v/>
      </c>
      <c r="K317" s="523" t="str">
        <f>IF(OR(données_step[[#This Row],[S_DCO]]&lt;=0,données_step[[#This Row],[S_DCO]]=""),"",données_step[[#This Row],[D_QTRAI]]*données_step[[#This Row],[S_DCO]]/1000)</f>
        <v/>
      </c>
      <c r="L317" s="523" t="str">
        <f>IF(OR(données_step[[#This Row],[S_COD]]&lt;=0,données_step[[#This Row],[S_COD]]=""),"",données_step[[#This Row],[D_QTRAI]]*données_step[[#This Row],[S_COD]]/1000)</f>
        <v/>
      </c>
      <c r="M317" s="523" t="str">
        <f>IF(OR(données_step[[#This Row],[S_NH4]]&lt;=0,données_step[[#This Row],[S_NH4]]=""),"",données_step[[#This Row],[D_QTRAI]]*données_step[[#This Row],[S_NH4]]/1000)</f>
        <v/>
      </c>
      <c r="N317" s="523" t="str">
        <f>IF(OR(données_step[[#This Row],[S_NO2]]&lt;=0,données_step[[#This Row],[S_NO2]]=""),"",données_step[[#This Row],[D_QTRAI]]*données_step[[#This Row],[S_NO2]]/1000)</f>
        <v/>
      </c>
      <c r="O317" s="523" t="str">
        <f>IF(OR(données_step[[#This Row],[S_NO3]]&lt;=0,données_step[[#This Row],[S_NO3]]=""),"",données_step[[#This Row],[D_QTRAI]]*données_step[[#This Row],[S_NO3]]/1000)</f>
        <v/>
      </c>
      <c r="P317" s="523" t="str">
        <f>IF(OR(données_step[[#This Row],[S_PTOT]]&lt;=0,données_step[[#This Row],[S_PTOT]]=""),"",données_step[[#This Row],[D_QTRAI]]*données_step[[#This Row],[S_PTOT]]/1000)</f>
        <v/>
      </c>
      <c r="Q317" s="523" t="str">
        <f>IF(OR(données_step[[#This Row],[S_MES]]&lt;=0,données_step[[#This Row],[S_MES]]=""),"",données_step[[#This Row],[D_QTRAI]]*données_step[[#This Row],[S_MES]]/1000)</f>
        <v/>
      </c>
      <c r="R317" s="523">
        <f>MAX(données_step[[#This Row],[D_QTRAI]],données_step[[#This Row],[D_QTRAI2]])</f>
        <v>0</v>
      </c>
      <c r="S317" s="523" t="str">
        <f>IF(AND($R317&gt;0,données_step[[#This Row],[E_DCO]]&gt;0),données_step[[#This Row],[E_DCO]],"")</f>
        <v/>
      </c>
      <c r="T317" s="523" t="str">
        <f>IF(S317="","",(1-données_step[[#This Row],[E_DCO]]/$V$7)*100)</f>
        <v/>
      </c>
      <c r="U317" s="523" t="str">
        <f t="shared" si="65"/>
        <v/>
      </c>
      <c r="V317" s="523" t="str">
        <f t="shared" si="66"/>
        <v/>
      </c>
      <c r="W317" s="523" t="str">
        <f t="shared" si="67"/>
        <v/>
      </c>
      <c r="X317" s="523" t="e">
        <f>IF(((100-100/$V$7*données_step[[#This Row],[E_DCO]])/100*QTS)&lt;0,NA(),IF(OR(U317&lt;0,U317=""),NA(),((100-100/$V$7*données_step[[#This Row],[E_DCO]])/100*QTS)))</f>
        <v>#NUM!</v>
      </c>
      <c r="Y317" s="523" t="str">
        <f>IF(AND($R317&gt;0,données_step[[#This Row],[E_COT]]&gt;0),données_step[[#This Row],[E_COT]],"")</f>
        <v/>
      </c>
      <c r="Z317" s="523" t="str">
        <f>IF(Y317="","",(1-données_step[[#This Row],[E_COT]]/$AB$7)*100)</f>
        <v/>
      </c>
      <c r="AA317" s="523" t="str">
        <f t="shared" si="68"/>
        <v/>
      </c>
      <c r="AB317" s="523" t="str">
        <f t="shared" si="69"/>
        <v/>
      </c>
      <c r="AC317" s="523" t="str">
        <f t="shared" si="70"/>
        <v/>
      </c>
      <c r="AD317" s="523" t="e">
        <f>IF(((100-100/$AB$7*données_step[[#This Row],[E_COT]])/100*QTS)&lt;0,NA(),IF(OR(AA317&lt;0,AA317=""),NA(),((100-100/$AB$7*données_step[[#This Row],[E_COT]])/100*QTS)))</f>
        <v>#NUM!</v>
      </c>
      <c r="AE317" s="523" t="str">
        <f>IF(AND($R317&gt;0,données_step[[#This Row],[E_NH4]]&gt;0),données_step[[#This Row],[E_NH4]],"")</f>
        <v/>
      </c>
      <c r="AF317" s="523" t="str">
        <f>IF(AE317="","",(1-données_step[[#This Row],[E_NH4]]/$AH$7)*100)</f>
        <v/>
      </c>
      <c r="AG317" s="523" t="str">
        <f t="shared" si="71"/>
        <v/>
      </c>
      <c r="AH317" s="523" t="str">
        <f t="shared" si="72"/>
        <v/>
      </c>
      <c r="AI317" s="523" t="str">
        <f t="shared" si="73"/>
        <v/>
      </c>
      <c r="AJ317" s="523" t="e">
        <f>IF(((100-100/$AH$7*données_step[[#This Row],[E_NH4]])/100*QTS)&lt;0,NA(),IF(OR(AG317&lt;0,AG317=""),NA(),((100-100/$AH$7*données_step[[#This Row],[E_NH4]])/100*QTS)))</f>
        <v>#NUM!</v>
      </c>
      <c r="AK317" s="523" t="str">
        <f>IF(AND($R317&gt;0,données_step[[#This Row],[E_PTOT]]&gt;0),données_step[[#This Row],[E_PTOT]],"")</f>
        <v/>
      </c>
      <c r="AL317" s="523" t="str">
        <f>IF(AK317="","",(1-données_step[[#This Row],[E_PTOT]]/$AN$7)*100)</f>
        <v/>
      </c>
      <c r="AM317" s="523" t="str">
        <f t="shared" si="74"/>
        <v/>
      </c>
      <c r="AN317" s="523" t="str">
        <f t="shared" si="75"/>
        <v/>
      </c>
      <c r="AO317" s="523" t="str">
        <f t="shared" si="76"/>
        <v/>
      </c>
      <c r="AP317" s="523" t="e">
        <f>IF(((100-100/$AN$7*données_step[[#This Row],[E_PTOT]])/100*QTS)&lt;0,NA(),IF(OR(AM317&lt;0,AM317=""),NA(),((100-100/$AN$7*données_step[[#This Row],[E_PTOT]])/100*QTS)))</f>
        <v>#NUM!</v>
      </c>
      <c r="AQ317" s="524" t="e">
        <f t="shared" si="77"/>
        <v>#NUM!</v>
      </c>
      <c r="AR317" s="524" t="str">
        <f t="shared" si="78"/>
        <v/>
      </c>
      <c r="AY317" s="523" t="str">
        <f>_xlfn.IFNA(IF(données_step[[#This Row],[E_DCO]]&lt;=0,NA(),charge_entree[[#This Row],[ch_E_DCO]]/constanten!$B$8*1000),"")</f>
        <v/>
      </c>
      <c r="AZ317" s="523" t="str">
        <f>_xlfn.IFNA(IF(données_step[[#This Row],[E_NTOT]]&lt;=0,NA(),charge_entree[[#This Row],[ch_E_NTOT]]/constanten!$B$10*1000),"")</f>
        <v/>
      </c>
      <c r="BA317" s="523" t="str">
        <f>_xlfn.IFNA(IF(données_step[[#This Row],[E_NH4]]&lt;=0,NA(),charge_entree[[#This Row],[ch_E_NH4]]/constanten!$B$12*1000),"")</f>
        <v/>
      </c>
      <c r="BB317" s="523" t="str">
        <f>_xlfn.IFNA(IF(données_step[[#This Row],[E_COT]]&lt;=0,NA(),charge_entree[[#This Row],[ch_E_COT]]/constanten!$B$9*1000),"")</f>
        <v/>
      </c>
      <c r="BC317" s="523" t="str">
        <f>IFERROR(_xlfn.IFNA(IF(données_step[[#This Row],[E_PTOT]]&lt;=0,NA(),charge_entree[[#This Row],[ch_E_PTOT]]/constanten!$B$15*1000),""),"")</f>
        <v/>
      </c>
      <c r="BD317" s="535" t="e">
        <f>calculs!E317 * (1-0.4) / (données_step[[#This Row],[X_BA_VOL]]*données_step[[#This Row],[X_BACONC]])</f>
        <v>#VALUE!</v>
      </c>
      <c r="BE317" s="522" t="e">
        <f>(données_step[[#This Row],[X_BA_VOL]]*données_step[[#This Row],[X_BACONC]])/((données_step[[#This Row],[D_QTRAI2]]*données_step[[#This Row],[S_MES]]/1000)+(données_step[[#This Row],[X_BX_Q]]*données_step[[#This Row],[X_BXCONC]]))</f>
        <v>#VALUE!</v>
      </c>
      <c r="BF317" s="890" t="str">
        <f>IFERROR(données_step[[#This Row],[D_QTRAI]]/AY317*1000,"")</f>
        <v/>
      </c>
      <c r="BG317" s="535" t="str">
        <f>IFERROR(1-données_step[[#This Row],[S_DBO5]]/données_step[[#This Row],[E_DBO5]],"")</f>
        <v/>
      </c>
      <c r="BH317" s="536" t="str">
        <f>IFERROR(1-données_step[[#This Row],[S_DCO]]/données_step[[#This Row],[E_DCO]],"")</f>
        <v/>
      </c>
      <c r="BI317" s="535" t="str">
        <f>IFERROR(1-données_step[[#This Row],[S_COD]]/données_step[[#This Row],[E_COT]],"")</f>
        <v/>
      </c>
      <c r="BJ317" s="535" t="str">
        <f>IFERROR(1-données_step[[#This Row],[S_NH4]]/données_step[[#This Row],[E_NTOT]],"")</f>
        <v/>
      </c>
      <c r="BK317" s="535" t="str">
        <f>IFERROR(1-données_step[[#This Row],[S_PTOT]]/données_step[[#This Row],[E_PTOT]],"")</f>
        <v/>
      </c>
      <c r="BL317" s="521" t="str">
        <f>IFERROR(IF(données_step[[#This Row],[E_DCO]]/données_step[[#This Row],[E_DBO5]]=0,NA(),données_step[[#This Row],[E_DCO]]/données_step[[#This Row],[E_DBO5]]),"")</f>
        <v/>
      </c>
      <c r="BM317" s="521" t="str">
        <f>IFERROR(IF(données_step[[#This Row],[E_NH4]]/données_step[[#This Row],[E_NTOT]]=0,NA(),données_step[[#This Row],[E_NH4]]/données_step[[#This Row],[E_NTOT]]),"")</f>
        <v/>
      </c>
      <c r="BN317" s="521" t="str">
        <f>IFERROR(IF(données_step[[#This Row],[E_NTOT]]/données_step[[#This Row],[E_COT]]=0,NA(),données_step[[#This Row],[E_NTOT]]/données_step[[#This Row],[E_COT]]),"")</f>
        <v/>
      </c>
      <c r="BO317" s="521" t="str">
        <f>IFERROR(IF(données_step[[#This Row],[E_PTOT]]/données_step[[#This Row],[E_COT]]=0,NA(),données_step[[#This Row],[E_PTOT]]/données_step[[#This Row],[E_COT]]),"")</f>
        <v/>
      </c>
      <c r="BP317" s="521" t="e">
        <f>IF(données_step[[#This Row],[E_DCO]]/données_step[[#This Row],[E_COT]]=0,NA(),données_step[[#This Row],[E_DCO]]/données_step[[#This Row],[E_COT]])</f>
        <v>#DIV/0!</v>
      </c>
      <c r="BQ317" s="521" t="e">
        <f>IF(données_step[[#This Row],[E_NTOT]]/données_step[[#This Row],[E_DCO]]=0,NA(),données_step[[#This Row],[E_NTOT]]/données_step[[#This Row],[E_DCO]])</f>
        <v>#DIV/0!</v>
      </c>
      <c r="BR317" s="521" t="e">
        <f>IF(données_step[[#This Row],[E_PTOT]]/données_step[[#This Row],[E_DCO]]=0,NA(),données_step[[#This Row],[E_PTOT]]/données_step[[#This Row],[E_DCO]])</f>
        <v>#DIV/0!</v>
      </c>
      <c r="BS317" s="747" t="e">
        <f ca="1">test_NH4_temp(données_step[[#This Row],[S_NH4]],données_step[[#This Row],[Temp_eaux]])</f>
        <v>#NAME?</v>
      </c>
    </row>
    <row r="318" spans="1:71" x14ac:dyDescent="0.2">
      <c r="A318" s="222">
        <f>données_step[[#This Row],[Datum]]</f>
        <v>44869</v>
      </c>
      <c r="B318" s="223"/>
      <c r="C318" s="224">
        <f t="shared" si="79"/>
        <v>6</v>
      </c>
      <c r="D318" s="523" t="str">
        <f>IF(OR(données_step[[#This Row],[E_DBO5]]&lt;=0,données_step[[#This Row],[E_DBO5]]=""),"",données_step[[#This Row],[D_QTRAI]]*données_step[[#This Row],[E_DBO5]]/1000)</f>
        <v/>
      </c>
      <c r="E318" s="523" t="str">
        <f>IF(OR(données_step[[#This Row],[E_DCO]]&lt;=0,données_step[[#This Row],[E_DCO]]=""),"",données_step[[#This Row],[D_QTRAI]]*données_step[[#This Row],[E_DCO]]/1000)</f>
        <v/>
      </c>
      <c r="F318" s="523" t="str">
        <f>IF(OR(données_step[[#This Row],[E_COT]]&lt;=0,données_step[[#This Row],[E_COT]]=""),"",données_step[[#This Row],[D_QTRAI]]*données_step[[#This Row],[E_COT]]/1000)</f>
        <v/>
      </c>
      <c r="G318" s="523" t="str">
        <f>IF(OR(données_step[[#This Row],[E_NH4]]&lt;=0,données_step[[#This Row],[E_NH4]]=""),"",données_step[[#This Row],[D_QTRAI]]*données_step[[#This Row],[E_NH4]]/1000)</f>
        <v/>
      </c>
      <c r="H318" s="523" t="str">
        <f>IF(OR(données_step[[#This Row],[E_NTOT]]&lt;=0,données_step[[#This Row],[E_NTOT]]=""),"",données_step[[#This Row],[D_QTRAI]]*données_step[[#This Row],[E_NTOT]]/1000)</f>
        <v/>
      </c>
      <c r="I318" s="523" t="str">
        <f>IF(OR(données_step[[#This Row],[E_NTOT]]&lt;=0,données_step[[#This Row],[E_NTOT]]=""),"",données_step[[#This Row],[D_QTRAI]]*données_step[[#This Row],[E_PTOT]]/1000)</f>
        <v/>
      </c>
      <c r="J318" s="523" t="str">
        <f>IF(OR(données_step[[#This Row],[S_DBO5]]&lt;=0,données_step[[#This Row],[S_DBO5]]=""),"",données_step[[#This Row],[D_QTRAI]]*données_step[[#This Row],[S_DBO5]]/1000)</f>
        <v/>
      </c>
      <c r="K318" s="523" t="str">
        <f>IF(OR(données_step[[#This Row],[S_DCO]]&lt;=0,données_step[[#This Row],[S_DCO]]=""),"",données_step[[#This Row],[D_QTRAI]]*données_step[[#This Row],[S_DCO]]/1000)</f>
        <v/>
      </c>
      <c r="L318" s="523" t="str">
        <f>IF(OR(données_step[[#This Row],[S_COD]]&lt;=0,données_step[[#This Row],[S_COD]]=""),"",données_step[[#This Row],[D_QTRAI]]*données_step[[#This Row],[S_COD]]/1000)</f>
        <v/>
      </c>
      <c r="M318" s="523" t="str">
        <f>IF(OR(données_step[[#This Row],[S_NH4]]&lt;=0,données_step[[#This Row],[S_NH4]]=""),"",données_step[[#This Row],[D_QTRAI]]*données_step[[#This Row],[S_NH4]]/1000)</f>
        <v/>
      </c>
      <c r="N318" s="523" t="str">
        <f>IF(OR(données_step[[#This Row],[S_NO2]]&lt;=0,données_step[[#This Row],[S_NO2]]=""),"",données_step[[#This Row],[D_QTRAI]]*données_step[[#This Row],[S_NO2]]/1000)</f>
        <v/>
      </c>
      <c r="O318" s="523" t="str">
        <f>IF(OR(données_step[[#This Row],[S_NO3]]&lt;=0,données_step[[#This Row],[S_NO3]]=""),"",données_step[[#This Row],[D_QTRAI]]*données_step[[#This Row],[S_NO3]]/1000)</f>
        <v/>
      </c>
      <c r="P318" s="523" t="str">
        <f>IF(OR(données_step[[#This Row],[S_PTOT]]&lt;=0,données_step[[#This Row],[S_PTOT]]=""),"",données_step[[#This Row],[D_QTRAI]]*données_step[[#This Row],[S_PTOT]]/1000)</f>
        <v/>
      </c>
      <c r="Q318" s="523" t="str">
        <f>IF(OR(données_step[[#This Row],[S_MES]]&lt;=0,données_step[[#This Row],[S_MES]]=""),"",données_step[[#This Row],[D_QTRAI]]*données_step[[#This Row],[S_MES]]/1000)</f>
        <v/>
      </c>
      <c r="R318" s="523">
        <f>MAX(données_step[[#This Row],[D_QTRAI]],données_step[[#This Row],[D_QTRAI2]])</f>
        <v>0</v>
      </c>
      <c r="S318" s="523" t="str">
        <f>IF(AND($R318&gt;0,données_step[[#This Row],[E_DCO]]&gt;0),données_step[[#This Row],[E_DCO]],"")</f>
        <v/>
      </c>
      <c r="T318" s="523" t="str">
        <f>IF(S318="","",(1-données_step[[#This Row],[E_DCO]]/$V$7)*100)</f>
        <v/>
      </c>
      <c r="U318" s="523" t="str">
        <f t="shared" si="65"/>
        <v/>
      </c>
      <c r="V318" s="523" t="str">
        <f t="shared" si="66"/>
        <v/>
      </c>
      <c r="W318" s="523" t="str">
        <f t="shared" si="67"/>
        <v/>
      </c>
      <c r="X318" s="523" t="e">
        <f>IF(((100-100/$V$7*données_step[[#This Row],[E_DCO]])/100*QTS)&lt;0,NA(),IF(OR(U318&lt;0,U318=""),NA(),((100-100/$V$7*données_step[[#This Row],[E_DCO]])/100*QTS)))</f>
        <v>#NUM!</v>
      </c>
      <c r="Y318" s="523" t="str">
        <f>IF(AND($R318&gt;0,données_step[[#This Row],[E_COT]]&gt;0),données_step[[#This Row],[E_COT]],"")</f>
        <v/>
      </c>
      <c r="Z318" s="523" t="str">
        <f>IF(Y318="","",(1-données_step[[#This Row],[E_COT]]/$AB$7)*100)</f>
        <v/>
      </c>
      <c r="AA318" s="523" t="str">
        <f t="shared" si="68"/>
        <v/>
      </c>
      <c r="AB318" s="523" t="str">
        <f t="shared" si="69"/>
        <v/>
      </c>
      <c r="AC318" s="523" t="str">
        <f t="shared" si="70"/>
        <v/>
      </c>
      <c r="AD318" s="523" t="e">
        <f>IF(((100-100/$AB$7*données_step[[#This Row],[E_COT]])/100*QTS)&lt;0,NA(),IF(OR(AA318&lt;0,AA318=""),NA(),((100-100/$AB$7*données_step[[#This Row],[E_COT]])/100*QTS)))</f>
        <v>#NUM!</v>
      </c>
      <c r="AE318" s="523" t="str">
        <f>IF(AND($R318&gt;0,données_step[[#This Row],[E_NH4]]&gt;0),données_step[[#This Row],[E_NH4]],"")</f>
        <v/>
      </c>
      <c r="AF318" s="523" t="str">
        <f>IF(AE318="","",(1-données_step[[#This Row],[E_NH4]]/$AH$7)*100)</f>
        <v/>
      </c>
      <c r="AG318" s="523" t="str">
        <f t="shared" si="71"/>
        <v/>
      </c>
      <c r="AH318" s="523" t="str">
        <f t="shared" si="72"/>
        <v/>
      </c>
      <c r="AI318" s="523" t="str">
        <f t="shared" si="73"/>
        <v/>
      </c>
      <c r="AJ318" s="523" t="e">
        <f>IF(((100-100/$AH$7*données_step[[#This Row],[E_NH4]])/100*QTS)&lt;0,NA(),IF(OR(AG318&lt;0,AG318=""),NA(),((100-100/$AH$7*données_step[[#This Row],[E_NH4]])/100*QTS)))</f>
        <v>#NUM!</v>
      </c>
      <c r="AK318" s="523" t="str">
        <f>IF(AND($R318&gt;0,données_step[[#This Row],[E_PTOT]]&gt;0),données_step[[#This Row],[E_PTOT]],"")</f>
        <v/>
      </c>
      <c r="AL318" s="523" t="str">
        <f>IF(AK318="","",(1-données_step[[#This Row],[E_PTOT]]/$AN$7)*100)</f>
        <v/>
      </c>
      <c r="AM318" s="523" t="str">
        <f t="shared" si="74"/>
        <v/>
      </c>
      <c r="AN318" s="523" t="str">
        <f t="shared" si="75"/>
        <v/>
      </c>
      <c r="AO318" s="523" t="str">
        <f t="shared" si="76"/>
        <v/>
      </c>
      <c r="AP318" s="523" t="e">
        <f>IF(((100-100/$AN$7*données_step[[#This Row],[E_PTOT]])/100*QTS)&lt;0,NA(),IF(OR(AM318&lt;0,AM318=""),NA(),((100-100/$AN$7*données_step[[#This Row],[E_PTOT]])/100*QTS)))</f>
        <v>#NUM!</v>
      </c>
      <c r="AQ318" s="524" t="e">
        <f t="shared" si="77"/>
        <v>#NUM!</v>
      </c>
      <c r="AR318" s="524" t="str">
        <f t="shared" si="78"/>
        <v/>
      </c>
      <c r="AY318" s="523" t="str">
        <f>_xlfn.IFNA(IF(données_step[[#This Row],[E_DCO]]&lt;=0,NA(),charge_entree[[#This Row],[ch_E_DCO]]/constanten!$B$8*1000),"")</f>
        <v/>
      </c>
      <c r="AZ318" s="523" t="str">
        <f>_xlfn.IFNA(IF(données_step[[#This Row],[E_NTOT]]&lt;=0,NA(),charge_entree[[#This Row],[ch_E_NTOT]]/constanten!$B$10*1000),"")</f>
        <v/>
      </c>
      <c r="BA318" s="523" t="str">
        <f>_xlfn.IFNA(IF(données_step[[#This Row],[E_NH4]]&lt;=0,NA(),charge_entree[[#This Row],[ch_E_NH4]]/constanten!$B$12*1000),"")</f>
        <v/>
      </c>
      <c r="BB318" s="523" t="str">
        <f>_xlfn.IFNA(IF(données_step[[#This Row],[E_COT]]&lt;=0,NA(),charge_entree[[#This Row],[ch_E_COT]]/constanten!$B$9*1000),"")</f>
        <v/>
      </c>
      <c r="BC318" s="523" t="str">
        <f>IFERROR(_xlfn.IFNA(IF(données_step[[#This Row],[E_PTOT]]&lt;=0,NA(),charge_entree[[#This Row],[ch_E_PTOT]]/constanten!$B$15*1000),""),"")</f>
        <v/>
      </c>
      <c r="BD318" s="535" t="e">
        <f>calculs!E318 * (1-0.4) / (données_step[[#This Row],[X_BA_VOL]]*données_step[[#This Row],[X_BACONC]])</f>
        <v>#VALUE!</v>
      </c>
      <c r="BE318" s="522" t="e">
        <f>(données_step[[#This Row],[X_BA_VOL]]*données_step[[#This Row],[X_BACONC]])/((données_step[[#This Row],[D_QTRAI2]]*données_step[[#This Row],[S_MES]]/1000)+(données_step[[#This Row],[X_BX_Q]]*données_step[[#This Row],[X_BXCONC]]))</f>
        <v>#VALUE!</v>
      </c>
      <c r="BF318" s="890" t="str">
        <f>IFERROR(données_step[[#This Row],[D_QTRAI]]/AY318*1000,"")</f>
        <v/>
      </c>
      <c r="BG318" s="535" t="str">
        <f>IFERROR(1-données_step[[#This Row],[S_DBO5]]/données_step[[#This Row],[E_DBO5]],"")</f>
        <v/>
      </c>
      <c r="BH318" s="536" t="str">
        <f>IFERROR(1-données_step[[#This Row],[S_DCO]]/données_step[[#This Row],[E_DCO]],"")</f>
        <v/>
      </c>
      <c r="BI318" s="535" t="str">
        <f>IFERROR(1-données_step[[#This Row],[S_COD]]/données_step[[#This Row],[E_COT]],"")</f>
        <v/>
      </c>
      <c r="BJ318" s="535" t="str">
        <f>IFERROR(1-données_step[[#This Row],[S_NH4]]/données_step[[#This Row],[E_NTOT]],"")</f>
        <v/>
      </c>
      <c r="BK318" s="535" t="str">
        <f>IFERROR(1-données_step[[#This Row],[S_PTOT]]/données_step[[#This Row],[E_PTOT]],"")</f>
        <v/>
      </c>
      <c r="BL318" s="521" t="str">
        <f>IFERROR(IF(données_step[[#This Row],[E_DCO]]/données_step[[#This Row],[E_DBO5]]=0,NA(),données_step[[#This Row],[E_DCO]]/données_step[[#This Row],[E_DBO5]]),"")</f>
        <v/>
      </c>
      <c r="BM318" s="521" t="str">
        <f>IFERROR(IF(données_step[[#This Row],[E_NH4]]/données_step[[#This Row],[E_NTOT]]=0,NA(),données_step[[#This Row],[E_NH4]]/données_step[[#This Row],[E_NTOT]]),"")</f>
        <v/>
      </c>
      <c r="BN318" s="521" t="str">
        <f>IFERROR(IF(données_step[[#This Row],[E_NTOT]]/données_step[[#This Row],[E_COT]]=0,NA(),données_step[[#This Row],[E_NTOT]]/données_step[[#This Row],[E_COT]]),"")</f>
        <v/>
      </c>
      <c r="BO318" s="521" t="str">
        <f>IFERROR(IF(données_step[[#This Row],[E_PTOT]]/données_step[[#This Row],[E_COT]]=0,NA(),données_step[[#This Row],[E_PTOT]]/données_step[[#This Row],[E_COT]]),"")</f>
        <v/>
      </c>
      <c r="BP318" s="521" t="e">
        <f>IF(données_step[[#This Row],[E_DCO]]/données_step[[#This Row],[E_COT]]=0,NA(),données_step[[#This Row],[E_DCO]]/données_step[[#This Row],[E_COT]])</f>
        <v>#DIV/0!</v>
      </c>
      <c r="BQ318" s="521" t="e">
        <f>IF(données_step[[#This Row],[E_NTOT]]/données_step[[#This Row],[E_DCO]]=0,NA(),données_step[[#This Row],[E_NTOT]]/données_step[[#This Row],[E_DCO]])</f>
        <v>#DIV/0!</v>
      </c>
      <c r="BR318" s="521" t="e">
        <f>IF(données_step[[#This Row],[E_PTOT]]/données_step[[#This Row],[E_DCO]]=0,NA(),données_step[[#This Row],[E_PTOT]]/données_step[[#This Row],[E_DCO]])</f>
        <v>#DIV/0!</v>
      </c>
      <c r="BS318" s="747" t="e">
        <f ca="1">test_NH4_temp(données_step[[#This Row],[S_NH4]],données_step[[#This Row],[Temp_eaux]])</f>
        <v>#NAME?</v>
      </c>
    </row>
    <row r="319" spans="1:71" x14ac:dyDescent="0.2">
      <c r="A319" s="222">
        <f>données_step[[#This Row],[Datum]]</f>
        <v>44870</v>
      </c>
      <c r="B319" s="223"/>
      <c r="C319" s="224">
        <f t="shared" si="79"/>
        <v>7</v>
      </c>
      <c r="D319" s="523" t="str">
        <f>IF(OR(données_step[[#This Row],[E_DBO5]]&lt;=0,données_step[[#This Row],[E_DBO5]]=""),"",données_step[[#This Row],[D_QTRAI]]*données_step[[#This Row],[E_DBO5]]/1000)</f>
        <v/>
      </c>
      <c r="E319" s="523" t="str">
        <f>IF(OR(données_step[[#This Row],[E_DCO]]&lt;=0,données_step[[#This Row],[E_DCO]]=""),"",données_step[[#This Row],[D_QTRAI]]*données_step[[#This Row],[E_DCO]]/1000)</f>
        <v/>
      </c>
      <c r="F319" s="523" t="str">
        <f>IF(OR(données_step[[#This Row],[E_COT]]&lt;=0,données_step[[#This Row],[E_COT]]=""),"",données_step[[#This Row],[D_QTRAI]]*données_step[[#This Row],[E_COT]]/1000)</f>
        <v/>
      </c>
      <c r="G319" s="523" t="str">
        <f>IF(OR(données_step[[#This Row],[E_NH4]]&lt;=0,données_step[[#This Row],[E_NH4]]=""),"",données_step[[#This Row],[D_QTRAI]]*données_step[[#This Row],[E_NH4]]/1000)</f>
        <v/>
      </c>
      <c r="H319" s="523" t="str">
        <f>IF(OR(données_step[[#This Row],[E_NTOT]]&lt;=0,données_step[[#This Row],[E_NTOT]]=""),"",données_step[[#This Row],[D_QTRAI]]*données_step[[#This Row],[E_NTOT]]/1000)</f>
        <v/>
      </c>
      <c r="I319" s="523" t="str">
        <f>IF(OR(données_step[[#This Row],[E_NTOT]]&lt;=0,données_step[[#This Row],[E_NTOT]]=""),"",données_step[[#This Row],[D_QTRAI]]*données_step[[#This Row],[E_PTOT]]/1000)</f>
        <v/>
      </c>
      <c r="J319" s="523" t="str">
        <f>IF(OR(données_step[[#This Row],[S_DBO5]]&lt;=0,données_step[[#This Row],[S_DBO5]]=""),"",données_step[[#This Row],[D_QTRAI]]*données_step[[#This Row],[S_DBO5]]/1000)</f>
        <v/>
      </c>
      <c r="K319" s="523" t="str">
        <f>IF(OR(données_step[[#This Row],[S_DCO]]&lt;=0,données_step[[#This Row],[S_DCO]]=""),"",données_step[[#This Row],[D_QTRAI]]*données_step[[#This Row],[S_DCO]]/1000)</f>
        <v/>
      </c>
      <c r="L319" s="523" t="str">
        <f>IF(OR(données_step[[#This Row],[S_COD]]&lt;=0,données_step[[#This Row],[S_COD]]=""),"",données_step[[#This Row],[D_QTRAI]]*données_step[[#This Row],[S_COD]]/1000)</f>
        <v/>
      </c>
      <c r="M319" s="523" t="str">
        <f>IF(OR(données_step[[#This Row],[S_NH4]]&lt;=0,données_step[[#This Row],[S_NH4]]=""),"",données_step[[#This Row],[D_QTRAI]]*données_step[[#This Row],[S_NH4]]/1000)</f>
        <v/>
      </c>
      <c r="N319" s="523" t="str">
        <f>IF(OR(données_step[[#This Row],[S_NO2]]&lt;=0,données_step[[#This Row],[S_NO2]]=""),"",données_step[[#This Row],[D_QTRAI]]*données_step[[#This Row],[S_NO2]]/1000)</f>
        <v/>
      </c>
      <c r="O319" s="523" t="str">
        <f>IF(OR(données_step[[#This Row],[S_NO3]]&lt;=0,données_step[[#This Row],[S_NO3]]=""),"",données_step[[#This Row],[D_QTRAI]]*données_step[[#This Row],[S_NO3]]/1000)</f>
        <v/>
      </c>
      <c r="P319" s="523" t="str">
        <f>IF(OR(données_step[[#This Row],[S_PTOT]]&lt;=0,données_step[[#This Row],[S_PTOT]]=""),"",données_step[[#This Row],[D_QTRAI]]*données_step[[#This Row],[S_PTOT]]/1000)</f>
        <v/>
      </c>
      <c r="Q319" s="523" t="str">
        <f>IF(OR(données_step[[#This Row],[S_MES]]&lt;=0,données_step[[#This Row],[S_MES]]=""),"",données_step[[#This Row],[D_QTRAI]]*données_step[[#This Row],[S_MES]]/1000)</f>
        <v/>
      </c>
      <c r="R319" s="523">
        <f>MAX(données_step[[#This Row],[D_QTRAI]],données_step[[#This Row],[D_QTRAI2]])</f>
        <v>0</v>
      </c>
      <c r="S319" s="523" t="str">
        <f>IF(AND($R319&gt;0,données_step[[#This Row],[E_DCO]]&gt;0),données_step[[#This Row],[E_DCO]],"")</f>
        <v/>
      </c>
      <c r="T319" s="523" t="str">
        <f>IF(S319="","",(1-données_step[[#This Row],[E_DCO]]/$V$7)*100)</f>
        <v/>
      </c>
      <c r="U319" s="523" t="str">
        <f t="shared" si="65"/>
        <v/>
      </c>
      <c r="V319" s="523" t="str">
        <f t="shared" si="66"/>
        <v/>
      </c>
      <c r="W319" s="523" t="str">
        <f t="shared" si="67"/>
        <v/>
      </c>
      <c r="X319" s="523" t="e">
        <f>IF(((100-100/$V$7*données_step[[#This Row],[E_DCO]])/100*QTS)&lt;0,NA(),IF(OR(U319&lt;0,U319=""),NA(),((100-100/$V$7*données_step[[#This Row],[E_DCO]])/100*QTS)))</f>
        <v>#NUM!</v>
      </c>
      <c r="Y319" s="523" t="str">
        <f>IF(AND($R319&gt;0,données_step[[#This Row],[E_COT]]&gt;0),données_step[[#This Row],[E_COT]],"")</f>
        <v/>
      </c>
      <c r="Z319" s="523" t="str">
        <f>IF(Y319="","",(1-données_step[[#This Row],[E_COT]]/$AB$7)*100)</f>
        <v/>
      </c>
      <c r="AA319" s="523" t="str">
        <f t="shared" si="68"/>
        <v/>
      </c>
      <c r="AB319" s="523" t="str">
        <f t="shared" si="69"/>
        <v/>
      </c>
      <c r="AC319" s="523" t="str">
        <f t="shared" si="70"/>
        <v/>
      </c>
      <c r="AD319" s="523" t="e">
        <f>IF(((100-100/$AB$7*données_step[[#This Row],[E_COT]])/100*QTS)&lt;0,NA(),IF(OR(AA319&lt;0,AA319=""),NA(),((100-100/$AB$7*données_step[[#This Row],[E_COT]])/100*QTS)))</f>
        <v>#NUM!</v>
      </c>
      <c r="AE319" s="523" t="str">
        <f>IF(AND($R319&gt;0,données_step[[#This Row],[E_NH4]]&gt;0),données_step[[#This Row],[E_NH4]],"")</f>
        <v/>
      </c>
      <c r="AF319" s="523" t="str">
        <f>IF(AE319="","",(1-données_step[[#This Row],[E_NH4]]/$AH$7)*100)</f>
        <v/>
      </c>
      <c r="AG319" s="523" t="str">
        <f t="shared" si="71"/>
        <v/>
      </c>
      <c r="AH319" s="523" t="str">
        <f t="shared" si="72"/>
        <v/>
      </c>
      <c r="AI319" s="523" t="str">
        <f t="shared" si="73"/>
        <v/>
      </c>
      <c r="AJ319" s="523" t="e">
        <f>IF(((100-100/$AH$7*données_step[[#This Row],[E_NH4]])/100*QTS)&lt;0,NA(),IF(OR(AG319&lt;0,AG319=""),NA(),((100-100/$AH$7*données_step[[#This Row],[E_NH4]])/100*QTS)))</f>
        <v>#NUM!</v>
      </c>
      <c r="AK319" s="523" t="str">
        <f>IF(AND($R319&gt;0,données_step[[#This Row],[E_PTOT]]&gt;0),données_step[[#This Row],[E_PTOT]],"")</f>
        <v/>
      </c>
      <c r="AL319" s="523" t="str">
        <f>IF(AK319="","",(1-données_step[[#This Row],[E_PTOT]]/$AN$7)*100)</f>
        <v/>
      </c>
      <c r="AM319" s="523" t="str">
        <f t="shared" si="74"/>
        <v/>
      </c>
      <c r="AN319" s="523" t="str">
        <f t="shared" si="75"/>
        <v/>
      </c>
      <c r="AO319" s="523" t="str">
        <f t="shared" si="76"/>
        <v/>
      </c>
      <c r="AP319" s="523" t="e">
        <f>IF(((100-100/$AN$7*données_step[[#This Row],[E_PTOT]])/100*QTS)&lt;0,NA(),IF(OR(AM319&lt;0,AM319=""),NA(),((100-100/$AN$7*données_step[[#This Row],[E_PTOT]])/100*QTS)))</f>
        <v>#NUM!</v>
      </c>
      <c r="AQ319" s="524" t="e">
        <f t="shared" si="77"/>
        <v>#NUM!</v>
      </c>
      <c r="AR319" s="524" t="str">
        <f t="shared" si="78"/>
        <v/>
      </c>
      <c r="AY319" s="523" t="str">
        <f>_xlfn.IFNA(IF(données_step[[#This Row],[E_DCO]]&lt;=0,NA(),charge_entree[[#This Row],[ch_E_DCO]]/constanten!$B$8*1000),"")</f>
        <v/>
      </c>
      <c r="AZ319" s="523" t="str">
        <f>_xlfn.IFNA(IF(données_step[[#This Row],[E_NTOT]]&lt;=0,NA(),charge_entree[[#This Row],[ch_E_NTOT]]/constanten!$B$10*1000),"")</f>
        <v/>
      </c>
      <c r="BA319" s="523" t="str">
        <f>_xlfn.IFNA(IF(données_step[[#This Row],[E_NH4]]&lt;=0,NA(),charge_entree[[#This Row],[ch_E_NH4]]/constanten!$B$12*1000),"")</f>
        <v/>
      </c>
      <c r="BB319" s="523" t="str">
        <f>_xlfn.IFNA(IF(données_step[[#This Row],[E_COT]]&lt;=0,NA(),charge_entree[[#This Row],[ch_E_COT]]/constanten!$B$9*1000),"")</f>
        <v/>
      </c>
      <c r="BC319" s="523" t="str">
        <f>IFERROR(_xlfn.IFNA(IF(données_step[[#This Row],[E_PTOT]]&lt;=0,NA(),charge_entree[[#This Row],[ch_E_PTOT]]/constanten!$B$15*1000),""),"")</f>
        <v/>
      </c>
      <c r="BD319" s="535" t="e">
        <f>calculs!E319 * (1-0.4) / (données_step[[#This Row],[X_BA_VOL]]*données_step[[#This Row],[X_BACONC]])</f>
        <v>#VALUE!</v>
      </c>
      <c r="BE319" s="522" t="e">
        <f>(données_step[[#This Row],[X_BA_VOL]]*données_step[[#This Row],[X_BACONC]])/((données_step[[#This Row],[D_QTRAI2]]*données_step[[#This Row],[S_MES]]/1000)+(données_step[[#This Row],[X_BX_Q]]*données_step[[#This Row],[X_BXCONC]]))</f>
        <v>#VALUE!</v>
      </c>
      <c r="BF319" s="890" t="str">
        <f>IFERROR(données_step[[#This Row],[D_QTRAI]]/AY319*1000,"")</f>
        <v/>
      </c>
      <c r="BG319" s="535" t="str">
        <f>IFERROR(1-données_step[[#This Row],[S_DBO5]]/données_step[[#This Row],[E_DBO5]],"")</f>
        <v/>
      </c>
      <c r="BH319" s="536" t="str">
        <f>IFERROR(1-données_step[[#This Row],[S_DCO]]/données_step[[#This Row],[E_DCO]],"")</f>
        <v/>
      </c>
      <c r="BI319" s="535" t="str">
        <f>IFERROR(1-données_step[[#This Row],[S_COD]]/données_step[[#This Row],[E_COT]],"")</f>
        <v/>
      </c>
      <c r="BJ319" s="535" t="str">
        <f>IFERROR(1-données_step[[#This Row],[S_NH4]]/données_step[[#This Row],[E_NTOT]],"")</f>
        <v/>
      </c>
      <c r="BK319" s="535" t="str">
        <f>IFERROR(1-données_step[[#This Row],[S_PTOT]]/données_step[[#This Row],[E_PTOT]],"")</f>
        <v/>
      </c>
      <c r="BL319" s="521" t="str">
        <f>IFERROR(IF(données_step[[#This Row],[E_DCO]]/données_step[[#This Row],[E_DBO5]]=0,NA(),données_step[[#This Row],[E_DCO]]/données_step[[#This Row],[E_DBO5]]),"")</f>
        <v/>
      </c>
      <c r="BM319" s="521" t="str">
        <f>IFERROR(IF(données_step[[#This Row],[E_NH4]]/données_step[[#This Row],[E_NTOT]]=0,NA(),données_step[[#This Row],[E_NH4]]/données_step[[#This Row],[E_NTOT]]),"")</f>
        <v/>
      </c>
      <c r="BN319" s="521" t="str">
        <f>IFERROR(IF(données_step[[#This Row],[E_NTOT]]/données_step[[#This Row],[E_COT]]=0,NA(),données_step[[#This Row],[E_NTOT]]/données_step[[#This Row],[E_COT]]),"")</f>
        <v/>
      </c>
      <c r="BO319" s="521" t="str">
        <f>IFERROR(IF(données_step[[#This Row],[E_PTOT]]/données_step[[#This Row],[E_COT]]=0,NA(),données_step[[#This Row],[E_PTOT]]/données_step[[#This Row],[E_COT]]),"")</f>
        <v/>
      </c>
      <c r="BP319" s="521" t="e">
        <f>IF(données_step[[#This Row],[E_DCO]]/données_step[[#This Row],[E_COT]]=0,NA(),données_step[[#This Row],[E_DCO]]/données_step[[#This Row],[E_COT]])</f>
        <v>#DIV/0!</v>
      </c>
      <c r="BQ319" s="521" t="e">
        <f>IF(données_step[[#This Row],[E_NTOT]]/données_step[[#This Row],[E_DCO]]=0,NA(),données_step[[#This Row],[E_NTOT]]/données_step[[#This Row],[E_DCO]])</f>
        <v>#DIV/0!</v>
      </c>
      <c r="BR319" s="521" t="e">
        <f>IF(données_step[[#This Row],[E_PTOT]]/données_step[[#This Row],[E_DCO]]=0,NA(),données_step[[#This Row],[E_PTOT]]/données_step[[#This Row],[E_DCO]])</f>
        <v>#DIV/0!</v>
      </c>
      <c r="BS319" s="747" t="e">
        <f ca="1">test_NH4_temp(données_step[[#This Row],[S_NH4]],données_step[[#This Row],[Temp_eaux]])</f>
        <v>#NAME?</v>
      </c>
    </row>
    <row r="320" spans="1:71" x14ac:dyDescent="0.2">
      <c r="A320" s="222">
        <f>données_step[[#This Row],[Datum]]</f>
        <v>44871</v>
      </c>
      <c r="B320" s="223"/>
      <c r="C320" s="224">
        <f t="shared" si="79"/>
        <v>1</v>
      </c>
      <c r="D320" s="523" t="str">
        <f>IF(OR(données_step[[#This Row],[E_DBO5]]&lt;=0,données_step[[#This Row],[E_DBO5]]=""),"",données_step[[#This Row],[D_QTRAI]]*données_step[[#This Row],[E_DBO5]]/1000)</f>
        <v/>
      </c>
      <c r="E320" s="523" t="str">
        <f>IF(OR(données_step[[#This Row],[E_DCO]]&lt;=0,données_step[[#This Row],[E_DCO]]=""),"",données_step[[#This Row],[D_QTRAI]]*données_step[[#This Row],[E_DCO]]/1000)</f>
        <v/>
      </c>
      <c r="F320" s="523" t="str">
        <f>IF(OR(données_step[[#This Row],[E_COT]]&lt;=0,données_step[[#This Row],[E_COT]]=""),"",données_step[[#This Row],[D_QTRAI]]*données_step[[#This Row],[E_COT]]/1000)</f>
        <v/>
      </c>
      <c r="G320" s="523" t="str">
        <f>IF(OR(données_step[[#This Row],[E_NH4]]&lt;=0,données_step[[#This Row],[E_NH4]]=""),"",données_step[[#This Row],[D_QTRAI]]*données_step[[#This Row],[E_NH4]]/1000)</f>
        <v/>
      </c>
      <c r="H320" s="523" t="str">
        <f>IF(OR(données_step[[#This Row],[E_NTOT]]&lt;=0,données_step[[#This Row],[E_NTOT]]=""),"",données_step[[#This Row],[D_QTRAI]]*données_step[[#This Row],[E_NTOT]]/1000)</f>
        <v/>
      </c>
      <c r="I320" s="523" t="str">
        <f>IF(OR(données_step[[#This Row],[E_NTOT]]&lt;=0,données_step[[#This Row],[E_NTOT]]=""),"",données_step[[#This Row],[D_QTRAI]]*données_step[[#This Row],[E_PTOT]]/1000)</f>
        <v/>
      </c>
      <c r="J320" s="523" t="str">
        <f>IF(OR(données_step[[#This Row],[S_DBO5]]&lt;=0,données_step[[#This Row],[S_DBO5]]=""),"",données_step[[#This Row],[D_QTRAI]]*données_step[[#This Row],[S_DBO5]]/1000)</f>
        <v/>
      </c>
      <c r="K320" s="523" t="str">
        <f>IF(OR(données_step[[#This Row],[S_DCO]]&lt;=0,données_step[[#This Row],[S_DCO]]=""),"",données_step[[#This Row],[D_QTRAI]]*données_step[[#This Row],[S_DCO]]/1000)</f>
        <v/>
      </c>
      <c r="L320" s="523" t="str">
        <f>IF(OR(données_step[[#This Row],[S_COD]]&lt;=0,données_step[[#This Row],[S_COD]]=""),"",données_step[[#This Row],[D_QTRAI]]*données_step[[#This Row],[S_COD]]/1000)</f>
        <v/>
      </c>
      <c r="M320" s="523" t="str">
        <f>IF(OR(données_step[[#This Row],[S_NH4]]&lt;=0,données_step[[#This Row],[S_NH4]]=""),"",données_step[[#This Row],[D_QTRAI]]*données_step[[#This Row],[S_NH4]]/1000)</f>
        <v/>
      </c>
      <c r="N320" s="523" t="str">
        <f>IF(OR(données_step[[#This Row],[S_NO2]]&lt;=0,données_step[[#This Row],[S_NO2]]=""),"",données_step[[#This Row],[D_QTRAI]]*données_step[[#This Row],[S_NO2]]/1000)</f>
        <v/>
      </c>
      <c r="O320" s="523" t="str">
        <f>IF(OR(données_step[[#This Row],[S_NO3]]&lt;=0,données_step[[#This Row],[S_NO3]]=""),"",données_step[[#This Row],[D_QTRAI]]*données_step[[#This Row],[S_NO3]]/1000)</f>
        <v/>
      </c>
      <c r="P320" s="523" t="str">
        <f>IF(OR(données_step[[#This Row],[S_PTOT]]&lt;=0,données_step[[#This Row],[S_PTOT]]=""),"",données_step[[#This Row],[D_QTRAI]]*données_step[[#This Row],[S_PTOT]]/1000)</f>
        <v/>
      </c>
      <c r="Q320" s="523" t="str">
        <f>IF(OR(données_step[[#This Row],[S_MES]]&lt;=0,données_step[[#This Row],[S_MES]]=""),"",données_step[[#This Row],[D_QTRAI]]*données_step[[#This Row],[S_MES]]/1000)</f>
        <v/>
      </c>
      <c r="R320" s="523">
        <f>MAX(données_step[[#This Row],[D_QTRAI]],données_step[[#This Row],[D_QTRAI2]])</f>
        <v>0</v>
      </c>
      <c r="S320" s="523" t="str">
        <f>IF(AND($R320&gt;0,données_step[[#This Row],[E_DCO]]&gt;0),données_step[[#This Row],[E_DCO]],"")</f>
        <v/>
      </c>
      <c r="T320" s="523" t="str">
        <f>IF(S320="","",(1-données_step[[#This Row],[E_DCO]]/$V$7)*100)</f>
        <v/>
      </c>
      <c r="U320" s="523" t="str">
        <f t="shared" si="65"/>
        <v/>
      </c>
      <c r="V320" s="523" t="str">
        <f t="shared" si="66"/>
        <v/>
      </c>
      <c r="W320" s="523" t="str">
        <f t="shared" si="67"/>
        <v/>
      </c>
      <c r="X320" s="523" t="e">
        <f>IF(((100-100/$V$7*données_step[[#This Row],[E_DCO]])/100*QTS)&lt;0,NA(),IF(OR(U320&lt;0,U320=""),NA(),((100-100/$V$7*données_step[[#This Row],[E_DCO]])/100*QTS)))</f>
        <v>#NUM!</v>
      </c>
      <c r="Y320" s="523" t="str">
        <f>IF(AND($R320&gt;0,données_step[[#This Row],[E_COT]]&gt;0),données_step[[#This Row],[E_COT]],"")</f>
        <v/>
      </c>
      <c r="Z320" s="523" t="str">
        <f>IF(Y320="","",(1-données_step[[#This Row],[E_COT]]/$AB$7)*100)</f>
        <v/>
      </c>
      <c r="AA320" s="523" t="str">
        <f t="shared" si="68"/>
        <v/>
      </c>
      <c r="AB320" s="523" t="str">
        <f t="shared" si="69"/>
        <v/>
      </c>
      <c r="AC320" s="523" t="str">
        <f t="shared" si="70"/>
        <v/>
      </c>
      <c r="AD320" s="523" t="e">
        <f>IF(((100-100/$AB$7*données_step[[#This Row],[E_COT]])/100*QTS)&lt;0,NA(),IF(OR(AA320&lt;0,AA320=""),NA(),((100-100/$AB$7*données_step[[#This Row],[E_COT]])/100*QTS)))</f>
        <v>#NUM!</v>
      </c>
      <c r="AE320" s="523" t="str">
        <f>IF(AND($R320&gt;0,données_step[[#This Row],[E_NH4]]&gt;0),données_step[[#This Row],[E_NH4]],"")</f>
        <v/>
      </c>
      <c r="AF320" s="523" t="str">
        <f>IF(AE320="","",(1-données_step[[#This Row],[E_NH4]]/$AH$7)*100)</f>
        <v/>
      </c>
      <c r="AG320" s="523" t="str">
        <f t="shared" si="71"/>
        <v/>
      </c>
      <c r="AH320" s="523" t="str">
        <f t="shared" si="72"/>
        <v/>
      </c>
      <c r="AI320" s="523" t="str">
        <f t="shared" si="73"/>
        <v/>
      </c>
      <c r="AJ320" s="523" t="e">
        <f>IF(((100-100/$AH$7*données_step[[#This Row],[E_NH4]])/100*QTS)&lt;0,NA(),IF(OR(AG320&lt;0,AG320=""),NA(),((100-100/$AH$7*données_step[[#This Row],[E_NH4]])/100*QTS)))</f>
        <v>#NUM!</v>
      </c>
      <c r="AK320" s="523" t="str">
        <f>IF(AND($R320&gt;0,données_step[[#This Row],[E_PTOT]]&gt;0),données_step[[#This Row],[E_PTOT]],"")</f>
        <v/>
      </c>
      <c r="AL320" s="523" t="str">
        <f>IF(AK320="","",(1-données_step[[#This Row],[E_PTOT]]/$AN$7)*100)</f>
        <v/>
      </c>
      <c r="AM320" s="523" t="str">
        <f t="shared" si="74"/>
        <v/>
      </c>
      <c r="AN320" s="523" t="str">
        <f t="shared" si="75"/>
        <v/>
      </c>
      <c r="AO320" s="523" t="str">
        <f t="shared" si="76"/>
        <v/>
      </c>
      <c r="AP320" s="523" t="e">
        <f>IF(((100-100/$AN$7*données_step[[#This Row],[E_PTOT]])/100*QTS)&lt;0,NA(),IF(OR(AM320&lt;0,AM320=""),NA(),((100-100/$AN$7*données_step[[#This Row],[E_PTOT]])/100*QTS)))</f>
        <v>#NUM!</v>
      </c>
      <c r="AQ320" s="524" t="e">
        <f t="shared" si="77"/>
        <v>#NUM!</v>
      </c>
      <c r="AR320" s="524" t="str">
        <f t="shared" si="78"/>
        <v/>
      </c>
      <c r="AY320" s="523" t="str">
        <f>_xlfn.IFNA(IF(données_step[[#This Row],[E_DCO]]&lt;=0,NA(),charge_entree[[#This Row],[ch_E_DCO]]/constanten!$B$8*1000),"")</f>
        <v/>
      </c>
      <c r="AZ320" s="523" t="str">
        <f>_xlfn.IFNA(IF(données_step[[#This Row],[E_NTOT]]&lt;=0,NA(),charge_entree[[#This Row],[ch_E_NTOT]]/constanten!$B$10*1000),"")</f>
        <v/>
      </c>
      <c r="BA320" s="523" t="str">
        <f>_xlfn.IFNA(IF(données_step[[#This Row],[E_NH4]]&lt;=0,NA(),charge_entree[[#This Row],[ch_E_NH4]]/constanten!$B$12*1000),"")</f>
        <v/>
      </c>
      <c r="BB320" s="523" t="str">
        <f>_xlfn.IFNA(IF(données_step[[#This Row],[E_COT]]&lt;=0,NA(),charge_entree[[#This Row],[ch_E_COT]]/constanten!$B$9*1000),"")</f>
        <v/>
      </c>
      <c r="BC320" s="523" t="str">
        <f>IFERROR(_xlfn.IFNA(IF(données_step[[#This Row],[E_PTOT]]&lt;=0,NA(),charge_entree[[#This Row],[ch_E_PTOT]]/constanten!$B$15*1000),""),"")</f>
        <v/>
      </c>
      <c r="BD320" s="535" t="e">
        <f>calculs!E320 * (1-0.4) / (données_step[[#This Row],[X_BA_VOL]]*données_step[[#This Row],[X_BACONC]])</f>
        <v>#VALUE!</v>
      </c>
      <c r="BE320" s="522" t="e">
        <f>(données_step[[#This Row],[X_BA_VOL]]*données_step[[#This Row],[X_BACONC]])/((données_step[[#This Row],[D_QTRAI2]]*données_step[[#This Row],[S_MES]]/1000)+(données_step[[#This Row],[X_BX_Q]]*données_step[[#This Row],[X_BXCONC]]))</f>
        <v>#VALUE!</v>
      </c>
      <c r="BF320" s="890" t="str">
        <f>IFERROR(données_step[[#This Row],[D_QTRAI]]/AY320*1000,"")</f>
        <v/>
      </c>
      <c r="BG320" s="535" t="str">
        <f>IFERROR(1-données_step[[#This Row],[S_DBO5]]/données_step[[#This Row],[E_DBO5]],"")</f>
        <v/>
      </c>
      <c r="BH320" s="536" t="str">
        <f>IFERROR(1-données_step[[#This Row],[S_DCO]]/données_step[[#This Row],[E_DCO]],"")</f>
        <v/>
      </c>
      <c r="BI320" s="535" t="str">
        <f>IFERROR(1-données_step[[#This Row],[S_COD]]/données_step[[#This Row],[E_COT]],"")</f>
        <v/>
      </c>
      <c r="BJ320" s="535" t="str">
        <f>IFERROR(1-données_step[[#This Row],[S_NH4]]/données_step[[#This Row],[E_NTOT]],"")</f>
        <v/>
      </c>
      <c r="BK320" s="535" t="str">
        <f>IFERROR(1-données_step[[#This Row],[S_PTOT]]/données_step[[#This Row],[E_PTOT]],"")</f>
        <v/>
      </c>
      <c r="BL320" s="521" t="str">
        <f>IFERROR(IF(données_step[[#This Row],[E_DCO]]/données_step[[#This Row],[E_DBO5]]=0,NA(),données_step[[#This Row],[E_DCO]]/données_step[[#This Row],[E_DBO5]]),"")</f>
        <v/>
      </c>
      <c r="BM320" s="521" t="str">
        <f>IFERROR(IF(données_step[[#This Row],[E_NH4]]/données_step[[#This Row],[E_NTOT]]=0,NA(),données_step[[#This Row],[E_NH4]]/données_step[[#This Row],[E_NTOT]]),"")</f>
        <v/>
      </c>
      <c r="BN320" s="521" t="str">
        <f>IFERROR(IF(données_step[[#This Row],[E_NTOT]]/données_step[[#This Row],[E_COT]]=0,NA(),données_step[[#This Row],[E_NTOT]]/données_step[[#This Row],[E_COT]]),"")</f>
        <v/>
      </c>
      <c r="BO320" s="521" t="str">
        <f>IFERROR(IF(données_step[[#This Row],[E_PTOT]]/données_step[[#This Row],[E_COT]]=0,NA(),données_step[[#This Row],[E_PTOT]]/données_step[[#This Row],[E_COT]]),"")</f>
        <v/>
      </c>
      <c r="BP320" s="521" t="e">
        <f>IF(données_step[[#This Row],[E_DCO]]/données_step[[#This Row],[E_COT]]=0,NA(),données_step[[#This Row],[E_DCO]]/données_step[[#This Row],[E_COT]])</f>
        <v>#DIV/0!</v>
      </c>
      <c r="BQ320" s="521" t="e">
        <f>IF(données_step[[#This Row],[E_NTOT]]/données_step[[#This Row],[E_DCO]]=0,NA(),données_step[[#This Row],[E_NTOT]]/données_step[[#This Row],[E_DCO]])</f>
        <v>#DIV/0!</v>
      </c>
      <c r="BR320" s="521" t="e">
        <f>IF(données_step[[#This Row],[E_PTOT]]/données_step[[#This Row],[E_DCO]]=0,NA(),données_step[[#This Row],[E_PTOT]]/données_step[[#This Row],[E_DCO]])</f>
        <v>#DIV/0!</v>
      </c>
      <c r="BS320" s="747" t="e">
        <f ca="1">test_NH4_temp(données_step[[#This Row],[S_NH4]],données_step[[#This Row],[Temp_eaux]])</f>
        <v>#NAME?</v>
      </c>
    </row>
    <row r="321" spans="1:71" x14ac:dyDescent="0.2">
      <c r="A321" s="222">
        <f>données_step[[#This Row],[Datum]]</f>
        <v>44872</v>
      </c>
      <c r="B321" s="223"/>
      <c r="C321" s="224">
        <f t="shared" si="79"/>
        <v>2</v>
      </c>
      <c r="D321" s="523" t="str">
        <f>IF(OR(données_step[[#This Row],[E_DBO5]]&lt;=0,données_step[[#This Row],[E_DBO5]]=""),"",données_step[[#This Row],[D_QTRAI]]*données_step[[#This Row],[E_DBO5]]/1000)</f>
        <v/>
      </c>
      <c r="E321" s="523" t="str">
        <f>IF(OR(données_step[[#This Row],[E_DCO]]&lt;=0,données_step[[#This Row],[E_DCO]]=""),"",données_step[[#This Row],[D_QTRAI]]*données_step[[#This Row],[E_DCO]]/1000)</f>
        <v/>
      </c>
      <c r="F321" s="523" t="str">
        <f>IF(OR(données_step[[#This Row],[E_COT]]&lt;=0,données_step[[#This Row],[E_COT]]=""),"",données_step[[#This Row],[D_QTRAI]]*données_step[[#This Row],[E_COT]]/1000)</f>
        <v/>
      </c>
      <c r="G321" s="523" t="str">
        <f>IF(OR(données_step[[#This Row],[E_NH4]]&lt;=0,données_step[[#This Row],[E_NH4]]=""),"",données_step[[#This Row],[D_QTRAI]]*données_step[[#This Row],[E_NH4]]/1000)</f>
        <v/>
      </c>
      <c r="H321" s="523" t="str">
        <f>IF(OR(données_step[[#This Row],[E_NTOT]]&lt;=0,données_step[[#This Row],[E_NTOT]]=""),"",données_step[[#This Row],[D_QTRAI]]*données_step[[#This Row],[E_NTOT]]/1000)</f>
        <v/>
      </c>
      <c r="I321" s="523" t="str">
        <f>IF(OR(données_step[[#This Row],[E_NTOT]]&lt;=0,données_step[[#This Row],[E_NTOT]]=""),"",données_step[[#This Row],[D_QTRAI]]*données_step[[#This Row],[E_PTOT]]/1000)</f>
        <v/>
      </c>
      <c r="J321" s="523" t="str">
        <f>IF(OR(données_step[[#This Row],[S_DBO5]]&lt;=0,données_step[[#This Row],[S_DBO5]]=""),"",données_step[[#This Row],[D_QTRAI]]*données_step[[#This Row],[S_DBO5]]/1000)</f>
        <v/>
      </c>
      <c r="K321" s="523" t="str">
        <f>IF(OR(données_step[[#This Row],[S_DCO]]&lt;=0,données_step[[#This Row],[S_DCO]]=""),"",données_step[[#This Row],[D_QTRAI]]*données_step[[#This Row],[S_DCO]]/1000)</f>
        <v/>
      </c>
      <c r="L321" s="523" t="str">
        <f>IF(OR(données_step[[#This Row],[S_COD]]&lt;=0,données_step[[#This Row],[S_COD]]=""),"",données_step[[#This Row],[D_QTRAI]]*données_step[[#This Row],[S_COD]]/1000)</f>
        <v/>
      </c>
      <c r="M321" s="523" t="str">
        <f>IF(OR(données_step[[#This Row],[S_NH4]]&lt;=0,données_step[[#This Row],[S_NH4]]=""),"",données_step[[#This Row],[D_QTRAI]]*données_step[[#This Row],[S_NH4]]/1000)</f>
        <v/>
      </c>
      <c r="N321" s="523" t="str">
        <f>IF(OR(données_step[[#This Row],[S_NO2]]&lt;=0,données_step[[#This Row],[S_NO2]]=""),"",données_step[[#This Row],[D_QTRAI]]*données_step[[#This Row],[S_NO2]]/1000)</f>
        <v/>
      </c>
      <c r="O321" s="523" t="str">
        <f>IF(OR(données_step[[#This Row],[S_NO3]]&lt;=0,données_step[[#This Row],[S_NO3]]=""),"",données_step[[#This Row],[D_QTRAI]]*données_step[[#This Row],[S_NO3]]/1000)</f>
        <v/>
      </c>
      <c r="P321" s="523" t="str">
        <f>IF(OR(données_step[[#This Row],[S_PTOT]]&lt;=0,données_step[[#This Row],[S_PTOT]]=""),"",données_step[[#This Row],[D_QTRAI]]*données_step[[#This Row],[S_PTOT]]/1000)</f>
        <v/>
      </c>
      <c r="Q321" s="523" t="str">
        <f>IF(OR(données_step[[#This Row],[S_MES]]&lt;=0,données_step[[#This Row],[S_MES]]=""),"",données_step[[#This Row],[D_QTRAI]]*données_step[[#This Row],[S_MES]]/1000)</f>
        <v/>
      </c>
      <c r="R321" s="523">
        <f>MAX(données_step[[#This Row],[D_QTRAI]],données_step[[#This Row],[D_QTRAI2]])</f>
        <v>0</v>
      </c>
      <c r="S321" s="523" t="str">
        <f>IF(AND($R321&gt;0,données_step[[#This Row],[E_DCO]]&gt;0),données_step[[#This Row],[E_DCO]],"")</f>
        <v/>
      </c>
      <c r="T321" s="523" t="str">
        <f>IF(S321="","",(1-données_step[[#This Row],[E_DCO]]/$V$7)*100)</f>
        <v/>
      </c>
      <c r="U321" s="523" t="str">
        <f t="shared" si="65"/>
        <v/>
      </c>
      <c r="V321" s="523" t="str">
        <f t="shared" si="66"/>
        <v/>
      </c>
      <c r="W321" s="523" t="str">
        <f t="shared" si="67"/>
        <v/>
      </c>
      <c r="X321" s="523" t="e">
        <f>IF(((100-100/$V$7*données_step[[#This Row],[E_DCO]])/100*QTS)&lt;0,NA(),IF(OR(U321&lt;0,U321=""),NA(),((100-100/$V$7*données_step[[#This Row],[E_DCO]])/100*QTS)))</f>
        <v>#NUM!</v>
      </c>
      <c r="Y321" s="523" t="str">
        <f>IF(AND($R321&gt;0,données_step[[#This Row],[E_COT]]&gt;0),données_step[[#This Row],[E_COT]],"")</f>
        <v/>
      </c>
      <c r="Z321" s="523" t="str">
        <f>IF(Y321="","",(1-données_step[[#This Row],[E_COT]]/$AB$7)*100)</f>
        <v/>
      </c>
      <c r="AA321" s="523" t="str">
        <f t="shared" si="68"/>
        <v/>
      </c>
      <c r="AB321" s="523" t="str">
        <f t="shared" si="69"/>
        <v/>
      </c>
      <c r="AC321" s="523" t="str">
        <f t="shared" si="70"/>
        <v/>
      </c>
      <c r="AD321" s="523" t="e">
        <f>IF(((100-100/$AB$7*données_step[[#This Row],[E_COT]])/100*QTS)&lt;0,NA(),IF(OR(AA321&lt;0,AA321=""),NA(),((100-100/$AB$7*données_step[[#This Row],[E_COT]])/100*QTS)))</f>
        <v>#NUM!</v>
      </c>
      <c r="AE321" s="523" t="str">
        <f>IF(AND($R321&gt;0,données_step[[#This Row],[E_NH4]]&gt;0),données_step[[#This Row],[E_NH4]],"")</f>
        <v/>
      </c>
      <c r="AF321" s="523" t="str">
        <f>IF(AE321="","",(1-données_step[[#This Row],[E_NH4]]/$AH$7)*100)</f>
        <v/>
      </c>
      <c r="AG321" s="523" t="str">
        <f t="shared" si="71"/>
        <v/>
      </c>
      <c r="AH321" s="523" t="str">
        <f t="shared" si="72"/>
        <v/>
      </c>
      <c r="AI321" s="523" t="str">
        <f t="shared" si="73"/>
        <v/>
      </c>
      <c r="AJ321" s="523" t="e">
        <f>IF(((100-100/$AH$7*données_step[[#This Row],[E_NH4]])/100*QTS)&lt;0,NA(),IF(OR(AG321&lt;0,AG321=""),NA(),((100-100/$AH$7*données_step[[#This Row],[E_NH4]])/100*QTS)))</f>
        <v>#NUM!</v>
      </c>
      <c r="AK321" s="523" t="str">
        <f>IF(AND($R321&gt;0,données_step[[#This Row],[E_PTOT]]&gt;0),données_step[[#This Row],[E_PTOT]],"")</f>
        <v/>
      </c>
      <c r="AL321" s="523" t="str">
        <f>IF(AK321="","",(1-données_step[[#This Row],[E_PTOT]]/$AN$7)*100)</f>
        <v/>
      </c>
      <c r="AM321" s="523" t="str">
        <f t="shared" si="74"/>
        <v/>
      </c>
      <c r="AN321" s="523" t="str">
        <f t="shared" si="75"/>
        <v/>
      </c>
      <c r="AO321" s="523" t="str">
        <f t="shared" si="76"/>
        <v/>
      </c>
      <c r="AP321" s="523" t="e">
        <f>IF(((100-100/$AN$7*données_step[[#This Row],[E_PTOT]])/100*QTS)&lt;0,NA(),IF(OR(AM321&lt;0,AM321=""),NA(),((100-100/$AN$7*données_step[[#This Row],[E_PTOT]])/100*QTS)))</f>
        <v>#NUM!</v>
      </c>
      <c r="AQ321" s="524" t="e">
        <f t="shared" si="77"/>
        <v>#NUM!</v>
      </c>
      <c r="AR321" s="524" t="str">
        <f t="shared" si="78"/>
        <v/>
      </c>
      <c r="AY321" s="523" t="str">
        <f>_xlfn.IFNA(IF(données_step[[#This Row],[E_DCO]]&lt;=0,NA(),charge_entree[[#This Row],[ch_E_DCO]]/constanten!$B$8*1000),"")</f>
        <v/>
      </c>
      <c r="AZ321" s="523" t="str">
        <f>_xlfn.IFNA(IF(données_step[[#This Row],[E_NTOT]]&lt;=0,NA(),charge_entree[[#This Row],[ch_E_NTOT]]/constanten!$B$10*1000),"")</f>
        <v/>
      </c>
      <c r="BA321" s="523" t="str">
        <f>_xlfn.IFNA(IF(données_step[[#This Row],[E_NH4]]&lt;=0,NA(),charge_entree[[#This Row],[ch_E_NH4]]/constanten!$B$12*1000),"")</f>
        <v/>
      </c>
      <c r="BB321" s="523" t="str">
        <f>_xlfn.IFNA(IF(données_step[[#This Row],[E_COT]]&lt;=0,NA(),charge_entree[[#This Row],[ch_E_COT]]/constanten!$B$9*1000),"")</f>
        <v/>
      </c>
      <c r="BC321" s="523" t="str">
        <f>IFERROR(_xlfn.IFNA(IF(données_step[[#This Row],[E_PTOT]]&lt;=0,NA(),charge_entree[[#This Row],[ch_E_PTOT]]/constanten!$B$15*1000),""),"")</f>
        <v/>
      </c>
      <c r="BD321" s="535" t="e">
        <f>calculs!E321 * (1-0.4) / (données_step[[#This Row],[X_BA_VOL]]*données_step[[#This Row],[X_BACONC]])</f>
        <v>#VALUE!</v>
      </c>
      <c r="BE321" s="522" t="e">
        <f>(données_step[[#This Row],[X_BA_VOL]]*données_step[[#This Row],[X_BACONC]])/((données_step[[#This Row],[D_QTRAI2]]*données_step[[#This Row],[S_MES]]/1000)+(données_step[[#This Row],[X_BX_Q]]*données_step[[#This Row],[X_BXCONC]]))</f>
        <v>#VALUE!</v>
      </c>
      <c r="BF321" s="890" t="str">
        <f>IFERROR(données_step[[#This Row],[D_QTRAI]]/AY321*1000,"")</f>
        <v/>
      </c>
      <c r="BG321" s="535" t="str">
        <f>IFERROR(1-données_step[[#This Row],[S_DBO5]]/données_step[[#This Row],[E_DBO5]],"")</f>
        <v/>
      </c>
      <c r="BH321" s="536" t="str">
        <f>IFERROR(1-données_step[[#This Row],[S_DCO]]/données_step[[#This Row],[E_DCO]],"")</f>
        <v/>
      </c>
      <c r="BI321" s="535" t="str">
        <f>IFERROR(1-données_step[[#This Row],[S_COD]]/données_step[[#This Row],[E_COT]],"")</f>
        <v/>
      </c>
      <c r="BJ321" s="535" t="str">
        <f>IFERROR(1-données_step[[#This Row],[S_NH4]]/données_step[[#This Row],[E_NTOT]],"")</f>
        <v/>
      </c>
      <c r="BK321" s="535" t="str">
        <f>IFERROR(1-données_step[[#This Row],[S_PTOT]]/données_step[[#This Row],[E_PTOT]],"")</f>
        <v/>
      </c>
      <c r="BL321" s="521" t="str">
        <f>IFERROR(IF(données_step[[#This Row],[E_DCO]]/données_step[[#This Row],[E_DBO5]]=0,NA(),données_step[[#This Row],[E_DCO]]/données_step[[#This Row],[E_DBO5]]),"")</f>
        <v/>
      </c>
      <c r="BM321" s="521" t="str">
        <f>IFERROR(IF(données_step[[#This Row],[E_NH4]]/données_step[[#This Row],[E_NTOT]]=0,NA(),données_step[[#This Row],[E_NH4]]/données_step[[#This Row],[E_NTOT]]),"")</f>
        <v/>
      </c>
      <c r="BN321" s="521" t="str">
        <f>IFERROR(IF(données_step[[#This Row],[E_NTOT]]/données_step[[#This Row],[E_COT]]=0,NA(),données_step[[#This Row],[E_NTOT]]/données_step[[#This Row],[E_COT]]),"")</f>
        <v/>
      </c>
      <c r="BO321" s="521" t="str">
        <f>IFERROR(IF(données_step[[#This Row],[E_PTOT]]/données_step[[#This Row],[E_COT]]=0,NA(),données_step[[#This Row],[E_PTOT]]/données_step[[#This Row],[E_COT]]),"")</f>
        <v/>
      </c>
      <c r="BP321" s="521" t="e">
        <f>IF(données_step[[#This Row],[E_DCO]]/données_step[[#This Row],[E_COT]]=0,NA(),données_step[[#This Row],[E_DCO]]/données_step[[#This Row],[E_COT]])</f>
        <v>#DIV/0!</v>
      </c>
      <c r="BQ321" s="521" t="e">
        <f>IF(données_step[[#This Row],[E_NTOT]]/données_step[[#This Row],[E_DCO]]=0,NA(),données_step[[#This Row],[E_NTOT]]/données_step[[#This Row],[E_DCO]])</f>
        <v>#DIV/0!</v>
      </c>
      <c r="BR321" s="521" t="e">
        <f>IF(données_step[[#This Row],[E_PTOT]]/données_step[[#This Row],[E_DCO]]=0,NA(),données_step[[#This Row],[E_PTOT]]/données_step[[#This Row],[E_DCO]])</f>
        <v>#DIV/0!</v>
      </c>
      <c r="BS321" s="747" t="e">
        <f ca="1">test_NH4_temp(données_step[[#This Row],[S_NH4]],données_step[[#This Row],[Temp_eaux]])</f>
        <v>#NAME?</v>
      </c>
    </row>
    <row r="322" spans="1:71" x14ac:dyDescent="0.2">
      <c r="A322" s="222">
        <f>données_step[[#This Row],[Datum]]</f>
        <v>44873</v>
      </c>
      <c r="B322" s="223"/>
      <c r="C322" s="224">
        <f t="shared" si="79"/>
        <v>3</v>
      </c>
      <c r="D322" s="523" t="str">
        <f>IF(OR(données_step[[#This Row],[E_DBO5]]&lt;=0,données_step[[#This Row],[E_DBO5]]=""),"",données_step[[#This Row],[D_QTRAI]]*données_step[[#This Row],[E_DBO5]]/1000)</f>
        <v/>
      </c>
      <c r="E322" s="523" t="str">
        <f>IF(OR(données_step[[#This Row],[E_DCO]]&lt;=0,données_step[[#This Row],[E_DCO]]=""),"",données_step[[#This Row],[D_QTRAI]]*données_step[[#This Row],[E_DCO]]/1000)</f>
        <v/>
      </c>
      <c r="F322" s="523" t="str">
        <f>IF(OR(données_step[[#This Row],[E_COT]]&lt;=0,données_step[[#This Row],[E_COT]]=""),"",données_step[[#This Row],[D_QTRAI]]*données_step[[#This Row],[E_COT]]/1000)</f>
        <v/>
      </c>
      <c r="G322" s="523" t="str">
        <f>IF(OR(données_step[[#This Row],[E_NH4]]&lt;=0,données_step[[#This Row],[E_NH4]]=""),"",données_step[[#This Row],[D_QTRAI]]*données_step[[#This Row],[E_NH4]]/1000)</f>
        <v/>
      </c>
      <c r="H322" s="523" t="str">
        <f>IF(OR(données_step[[#This Row],[E_NTOT]]&lt;=0,données_step[[#This Row],[E_NTOT]]=""),"",données_step[[#This Row],[D_QTRAI]]*données_step[[#This Row],[E_NTOT]]/1000)</f>
        <v/>
      </c>
      <c r="I322" s="523" t="str">
        <f>IF(OR(données_step[[#This Row],[E_NTOT]]&lt;=0,données_step[[#This Row],[E_NTOT]]=""),"",données_step[[#This Row],[D_QTRAI]]*données_step[[#This Row],[E_PTOT]]/1000)</f>
        <v/>
      </c>
      <c r="J322" s="523" t="str">
        <f>IF(OR(données_step[[#This Row],[S_DBO5]]&lt;=0,données_step[[#This Row],[S_DBO5]]=""),"",données_step[[#This Row],[D_QTRAI]]*données_step[[#This Row],[S_DBO5]]/1000)</f>
        <v/>
      </c>
      <c r="K322" s="523" t="str">
        <f>IF(OR(données_step[[#This Row],[S_DCO]]&lt;=0,données_step[[#This Row],[S_DCO]]=""),"",données_step[[#This Row],[D_QTRAI]]*données_step[[#This Row],[S_DCO]]/1000)</f>
        <v/>
      </c>
      <c r="L322" s="523" t="str">
        <f>IF(OR(données_step[[#This Row],[S_COD]]&lt;=0,données_step[[#This Row],[S_COD]]=""),"",données_step[[#This Row],[D_QTRAI]]*données_step[[#This Row],[S_COD]]/1000)</f>
        <v/>
      </c>
      <c r="M322" s="523" t="str">
        <f>IF(OR(données_step[[#This Row],[S_NH4]]&lt;=0,données_step[[#This Row],[S_NH4]]=""),"",données_step[[#This Row],[D_QTRAI]]*données_step[[#This Row],[S_NH4]]/1000)</f>
        <v/>
      </c>
      <c r="N322" s="523" t="str">
        <f>IF(OR(données_step[[#This Row],[S_NO2]]&lt;=0,données_step[[#This Row],[S_NO2]]=""),"",données_step[[#This Row],[D_QTRAI]]*données_step[[#This Row],[S_NO2]]/1000)</f>
        <v/>
      </c>
      <c r="O322" s="523" t="str">
        <f>IF(OR(données_step[[#This Row],[S_NO3]]&lt;=0,données_step[[#This Row],[S_NO3]]=""),"",données_step[[#This Row],[D_QTRAI]]*données_step[[#This Row],[S_NO3]]/1000)</f>
        <v/>
      </c>
      <c r="P322" s="523" t="str">
        <f>IF(OR(données_step[[#This Row],[S_PTOT]]&lt;=0,données_step[[#This Row],[S_PTOT]]=""),"",données_step[[#This Row],[D_QTRAI]]*données_step[[#This Row],[S_PTOT]]/1000)</f>
        <v/>
      </c>
      <c r="Q322" s="523" t="str">
        <f>IF(OR(données_step[[#This Row],[S_MES]]&lt;=0,données_step[[#This Row],[S_MES]]=""),"",données_step[[#This Row],[D_QTRAI]]*données_step[[#This Row],[S_MES]]/1000)</f>
        <v/>
      </c>
      <c r="R322" s="523">
        <f>MAX(données_step[[#This Row],[D_QTRAI]],données_step[[#This Row],[D_QTRAI2]])</f>
        <v>0</v>
      </c>
      <c r="S322" s="523" t="str">
        <f>IF(AND($R322&gt;0,données_step[[#This Row],[E_DCO]]&gt;0),données_step[[#This Row],[E_DCO]],"")</f>
        <v/>
      </c>
      <c r="T322" s="523" t="str">
        <f>IF(S322="","",(1-données_step[[#This Row],[E_DCO]]/$V$7)*100)</f>
        <v/>
      </c>
      <c r="U322" s="523" t="str">
        <f t="shared" si="65"/>
        <v/>
      </c>
      <c r="V322" s="523" t="str">
        <f t="shared" si="66"/>
        <v/>
      </c>
      <c r="W322" s="523" t="str">
        <f t="shared" si="67"/>
        <v/>
      </c>
      <c r="X322" s="523" t="e">
        <f>IF(((100-100/$V$7*données_step[[#This Row],[E_DCO]])/100*QTS)&lt;0,NA(),IF(OR(U322&lt;0,U322=""),NA(),((100-100/$V$7*données_step[[#This Row],[E_DCO]])/100*QTS)))</f>
        <v>#NUM!</v>
      </c>
      <c r="Y322" s="523" t="str">
        <f>IF(AND($R322&gt;0,données_step[[#This Row],[E_COT]]&gt;0),données_step[[#This Row],[E_COT]],"")</f>
        <v/>
      </c>
      <c r="Z322" s="523" t="str">
        <f>IF(Y322="","",(1-données_step[[#This Row],[E_COT]]/$AB$7)*100)</f>
        <v/>
      </c>
      <c r="AA322" s="523" t="str">
        <f t="shared" si="68"/>
        <v/>
      </c>
      <c r="AB322" s="523" t="str">
        <f t="shared" si="69"/>
        <v/>
      </c>
      <c r="AC322" s="523" t="str">
        <f t="shared" si="70"/>
        <v/>
      </c>
      <c r="AD322" s="523" t="e">
        <f>IF(((100-100/$AB$7*données_step[[#This Row],[E_COT]])/100*QTS)&lt;0,NA(),IF(OR(AA322&lt;0,AA322=""),NA(),((100-100/$AB$7*données_step[[#This Row],[E_COT]])/100*QTS)))</f>
        <v>#NUM!</v>
      </c>
      <c r="AE322" s="523" t="str">
        <f>IF(AND($R322&gt;0,données_step[[#This Row],[E_NH4]]&gt;0),données_step[[#This Row],[E_NH4]],"")</f>
        <v/>
      </c>
      <c r="AF322" s="523" t="str">
        <f>IF(AE322="","",(1-données_step[[#This Row],[E_NH4]]/$AH$7)*100)</f>
        <v/>
      </c>
      <c r="AG322" s="523" t="str">
        <f t="shared" si="71"/>
        <v/>
      </c>
      <c r="AH322" s="523" t="str">
        <f t="shared" si="72"/>
        <v/>
      </c>
      <c r="AI322" s="523" t="str">
        <f t="shared" si="73"/>
        <v/>
      </c>
      <c r="AJ322" s="523" t="e">
        <f>IF(((100-100/$AH$7*données_step[[#This Row],[E_NH4]])/100*QTS)&lt;0,NA(),IF(OR(AG322&lt;0,AG322=""),NA(),((100-100/$AH$7*données_step[[#This Row],[E_NH4]])/100*QTS)))</f>
        <v>#NUM!</v>
      </c>
      <c r="AK322" s="523" t="str">
        <f>IF(AND($R322&gt;0,données_step[[#This Row],[E_PTOT]]&gt;0),données_step[[#This Row],[E_PTOT]],"")</f>
        <v/>
      </c>
      <c r="AL322" s="523" t="str">
        <f>IF(AK322="","",(1-données_step[[#This Row],[E_PTOT]]/$AN$7)*100)</f>
        <v/>
      </c>
      <c r="AM322" s="523" t="str">
        <f t="shared" si="74"/>
        <v/>
      </c>
      <c r="AN322" s="523" t="str">
        <f t="shared" si="75"/>
        <v/>
      </c>
      <c r="AO322" s="523" t="str">
        <f t="shared" si="76"/>
        <v/>
      </c>
      <c r="AP322" s="523" t="e">
        <f>IF(((100-100/$AN$7*données_step[[#This Row],[E_PTOT]])/100*QTS)&lt;0,NA(),IF(OR(AM322&lt;0,AM322=""),NA(),((100-100/$AN$7*données_step[[#This Row],[E_PTOT]])/100*QTS)))</f>
        <v>#NUM!</v>
      </c>
      <c r="AQ322" s="524" t="e">
        <f t="shared" si="77"/>
        <v>#NUM!</v>
      </c>
      <c r="AR322" s="524" t="str">
        <f t="shared" si="78"/>
        <v/>
      </c>
      <c r="AY322" s="523" t="str">
        <f>_xlfn.IFNA(IF(données_step[[#This Row],[E_DCO]]&lt;=0,NA(),charge_entree[[#This Row],[ch_E_DCO]]/constanten!$B$8*1000),"")</f>
        <v/>
      </c>
      <c r="AZ322" s="523" t="str">
        <f>_xlfn.IFNA(IF(données_step[[#This Row],[E_NTOT]]&lt;=0,NA(),charge_entree[[#This Row],[ch_E_NTOT]]/constanten!$B$10*1000),"")</f>
        <v/>
      </c>
      <c r="BA322" s="523" t="str">
        <f>_xlfn.IFNA(IF(données_step[[#This Row],[E_NH4]]&lt;=0,NA(),charge_entree[[#This Row],[ch_E_NH4]]/constanten!$B$12*1000),"")</f>
        <v/>
      </c>
      <c r="BB322" s="523" t="str">
        <f>_xlfn.IFNA(IF(données_step[[#This Row],[E_COT]]&lt;=0,NA(),charge_entree[[#This Row],[ch_E_COT]]/constanten!$B$9*1000),"")</f>
        <v/>
      </c>
      <c r="BC322" s="523" t="str">
        <f>IFERROR(_xlfn.IFNA(IF(données_step[[#This Row],[E_PTOT]]&lt;=0,NA(),charge_entree[[#This Row],[ch_E_PTOT]]/constanten!$B$15*1000),""),"")</f>
        <v/>
      </c>
      <c r="BD322" s="535" t="e">
        <f>calculs!E322 * (1-0.4) / (données_step[[#This Row],[X_BA_VOL]]*données_step[[#This Row],[X_BACONC]])</f>
        <v>#VALUE!</v>
      </c>
      <c r="BE322" s="522" t="e">
        <f>(données_step[[#This Row],[X_BA_VOL]]*données_step[[#This Row],[X_BACONC]])/((données_step[[#This Row],[D_QTRAI2]]*données_step[[#This Row],[S_MES]]/1000)+(données_step[[#This Row],[X_BX_Q]]*données_step[[#This Row],[X_BXCONC]]))</f>
        <v>#VALUE!</v>
      </c>
      <c r="BF322" s="890" t="str">
        <f>IFERROR(données_step[[#This Row],[D_QTRAI]]/AY322*1000,"")</f>
        <v/>
      </c>
      <c r="BG322" s="535" t="str">
        <f>IFERROR(1-données_step[[#This Row],[S_DBO5]]/données_step[[#This Row],[E_DBO5]],"")</f>
        <v/>
      </c>
      <c r="BH322" s="536" t="str">
        <f>IFERROR(1-données_step[[#This Row],[S_DCO]]/données_step[[#This Row],[E_DCO]],"")</f>
        <v/>
      </c>
      <c r="BI322" s="535" t="str">
        <f>IFERROR(1-données_step[[#This Row],[S_COD]]/données_step[[#This Row],[E_COT]],"")</f>
        <v/>
      </c>
      <c r="BJ322" s="535" t="str">
        <f>IFERROR(1-données_step[[#This Row],[S_NH4]]/données_step[[#This Row],[E_NTOT]],"")</f>
        <v/>
      </c>
      <c r="BK322" s="535" t="str">
        <f>IFERROR(1-données_step[[#This Row],[S_PTOT]]/données_step[[#This Row],[E_PTOT]],"")</f>
        <v/>
      </c>
      <c r="BL322" s="521" t="str">
        <f>IFERROR(IF(données_step[[#This Row],[E_DCO]]/données_step[[#This Row],[E_DBO5]]=0,NA(),données_step[[#This Row],[E_DCO]]/données_step[[#This Row],[E_DBO5]]),"")</f>
        <v/>
      </c>
      <c r="BM322" s="521" t="str">
        <f>IFERROR(IF(données_step[[#This Row],[E_NH4]]/données_step[[#This Row],[E_NTOT]]=0,NA(),données_step[[#This Row],[E_NH4]]/données_step[[#This Row],[E_NTOT]]),"")</f>
        <v/>
      </c>
      <c r="BN322" s="521" t="str">
        <f>IFERROR(IF(données_step[[#This Row],[E_NTOT]]/données_step[[#This Row],[E_COT]]=0,NA(),données_step[[#This Row],[E_NTOT]]/données_step[[#This Row],[E_COT]]),"")</f>
        <v/>
      </c>
      <c r="BO322" s="521" t="str">
        <f>IFERROR(IF(données_step[[#This Row],[E_PTOT]]/données_step[[#This Row],[E_COT]]=0,NA(),données_step[[#This Row],[E_PTOT]]/données_step[[#This Row],[E_COT]]),"")</f>
        <v/>
      </c>
      <c r="BP322" s="521" t="e">
        <f>IF(données_step[[#This Row],[E_DCO]]/données_step[[#This Row],[E_COT]]=0,NA(),données_step[[#This Row],[E_DCO]]/données_step[[#This Row],[E_COT]])</f>
        <v>#DIV/0!</v>
      </c>
      <c r="BQ322" s="521" t="e">
        <f>IF(données_step[[#This Row],[E_NTOT]]/données_step[[#This Row],[E_DCO]]=0,NA(),données_step[[#This Row],[E_NTOT]]/données_step[[#This Row],[E_DCO]])</f>
        <v>#DIV/0!</v>
      </c>
      <c r="BR322" s="521" t="e">
        <f>IF(données_step[[#This Row],[E_PTOT]]/données_step[[#This Row],[E_DCO]]=0,NA(),données_step[[#This Row],[E_PTOT]]/données_step[[#This Row],[E_DCO]])</f>
        <v>#DIV/0!</v>
      </c>
      <c r="BS322" s="747" t="e">
        <f ca="1">test_NH4_temp(données_step[[#This Row],[S_NH4]],données_step[[#This Row],[Temp_eaux]])</f>
        <v>#NAME?</v>
      </c>
    </row>
    <row r="323" spans="1:71" x14ac:dyDescent="0.2">
      <c r="A323" s="222">
        <f>données_step[[#This Row],[Datum]]</f>
        <v>44874</v>
      </c>
      <c r="B323" s="223"/>
      <c r="C323" s="224">
        <f t="shared" si="79"/>
        <v>4</v>
      </c>
      <c r="D323" s="523" t="str">
        <f>IF(OR(données_step[[#This Row],[E_DBO5]]&lt;=0,données_step[[#This Row],[E_DBO5]]=""),"",données_step[[#This Row],[D_QTRAI]]*données_step[[#This Row],[E_DBO5]]/1000)</f>
        <v/>
      </c>
      <c r="E323" s="523" t="str">
        <f>IF(OR(données_step[[#This Row],[E_DCO]]&lt;=0,données_step[[#This Row],[E_DCO]]=""),"",données_step[[#This Row],[D_QTRAI]]*données_step[[#This Row],[E_DCO]]/1000)</f>
        <v/>
      </c>
      <c r="F323" s="523" t="str">
        <f>IF(OR(données_step[[#This Row],[E_COT]]&lt;=0,données_step[[#This Row],[E_COT]]=""),"",données_step[[#This Row],[D_QTRAI]]*données_step[[#This Row],[E_COT]]/1000)</f>
        <v/>
      </c>
      <c r="G323" s="523" t="str">
        <f>IF(OR(données_step[[#This Row],[E_NH4]]&lt;=0,données_step[[#This Row],[E_NH4]]=""),"",données_step[[#This Row],[D_QTRAI]]*données_step[[#This Row],[E_NH4]]/1000)</f>
        <v/>
      </c>
      <c r="H323" s="523" t="str">
        <f>IF(OR(données_step[[#This Row],[E_NTOT]]&lt;=0,données_step[[#This Row],[E_NTOT]]=""),"",données_step[[#This Row],[D_QTRAI]]*données_step[[#This Row],[E_NTOT]]/1000)</f>
        <v/>
      </c>
      <c r="I323" s="523" t="str">
        <f>IF(OR(données_step[[#This Row],[E_NTOT]]&lt;=0,données_step[[#This Row],[E_NTOT]]=""),"",données_step[[#This Row],[D_QTRAI]]*données_step[[#This Row],[E_PTOT]]/1000)</f>
        <v/>
      </c>
      <c r="J323" s="523" t="str">
        <f>IF(OR(données_step[[#This Row],[S_DBO5]]&lt;=0,données_step[[#This Row],[S_DBO5]]=""),"",données_step[[#This Row],[D_QTRAI]]*données_step[[#This Row],[S_DBO5]]/1000)</f>
        <v/>
      </c>
      <c r="K323" s="523" t="str">
        <f>IF(OR(données_step[[#This Row],[S_DCO]]&lt;=0,données_step[[#This Row],[S_DCO]]=""),"",données_step[[#This Row],[D_QTRAI]]*données_step[[#This Row],[S_DCO]]/1000)</f>
        <v/>
      </c>
      <c r="L323" s="523" t="str">
        <f>IF(OR(données_step[[#This Row],[S_COD]]&lt;=0,données_step[[#This Row],[S_COD]]=""),"",données_step[[#This Row],[D_QTRAI]]*données_step[[#This Row],[S_COD]]/1000)</f>
        <v/>
      </c>
      <c r="M323" s="523" t="str">
        <f>IF(OR(données_step[[#This Row],[S_NH4]]&lt;=0,données_step[[#This Row],[S_NH4]]=""),"",données_step[[#This Row],[D_QTRAI]]*données_step[[#This Row],[S_NH4]]/1000)</f>
        <v/>
      </c>
      <c r="N323" s="523" t="str">
        <f>IF(OR(données_step[[#This Row],[S_NO2]]&lt;=0,données_step[[#This Row],[S_NO2]]=""),"",données_step[[#This Row],[D_QTRAI]]*données_step[[#This Row],[S_NO2]]/1000)</f>
        <v/>
      </c>
      <c r="O323" s="523" t="str">
        <f>IF(OR(données_step[[#This Row],[S_NO3]]&lt;=0,données_step[[#This Row],[S_NO3]]=""),"",données_step[[#This Row],[D_QTRAI]]*données_step[[#This Row],[S_NO3]]/1000)</f>
        <v/>
      </c>
      <c r="P323" s="523" t="str">
        <f>IF(OR(données_step[[#This Row],[S_PTOT]]&lt;=0,données_step[[#This Row],[S_PTOT]]=""),"",données_step[[#This Row],[D_QTRAI]]*données_step[[#This Row],[S_PTOT]]/1000)</f>
        <v/>
      </c>
      <c r="Q323" s="523" t="str">
        <f>IF(OR(données_step[[#This Row],[S_MES]]&lt;=0,données_step[[#This Row],[S_MES]]=""),"",données_step[[#This Row],[D_QTRAI]]*données_step[[#This Row],[S_MES]]/1000)</f>
        <v/>
      </c>
      <c r="R323" s="523">
        <f>MAX(données_step[[#This Row],[D_QTRAI]],données_step[[#This Row],[D_QTRAI2]])</f>
        <v>0</v>
      </c>
      <c r="S323" s="523" t="str">
        <f>IF(AND($R323&gt;0,données_step[[#This Row],[E_DCO]]&gt;0),données_step[[#This Row],[E_DCO]],"")</f>
        <v/>
      </c>
      <c r="T323" s="523" t="str">
        <f>IF(S323="","",(1-données_step[[#This Row],[E_DCO]]/$V$7)*100)</f>
        <v/>
      </c>
      <c r="U323" s="523" t="str">
        <f t="shared" si="65"/>
        <v/>
      </c>
      <c r="V323" s="523" t="str">
        <f t="shared" si="66"/>
        <v/>
      </c>
      <c r="W323" s="523" t="str">
        <f t="shared" si="67"/>
        <v/>
      </c>
      <c r="X323" s="523" t="e">
        <f>IF(((100-100/$V$7*données_step[[#This Row],[E_DCO]])/100*QTS)&lt;0,NA(),IF(OR(U323&lt;0,U323=""),NA(),((100-100/$V$7*données_step[[#This Row],[E_DCO]])/100*QTS)))</f>
        <v>#NUM!</v>
      </c>
      <c r="Y323" s="523" t="str">
        <f>IF(AND($R323&gt;0,données_step[[#This Row],[E_COT]]&gt;0),données_step[[#This Row],[E_COT]],"")</f>
        <v/>
      </c>
      <c r="Z323" s="523" t="str">
        <f>IF(Y323="","",(1-données_step[[#This Row],[E_COT]]/$AB$7)*100)</f>
        <v/>
      </c>
      <c r="AA323" s="523" t="str">
        <f t="shared" si="68"/>
        <v/>
      </c>
      <c r="AB323" s="523" t="str">
        <f t="shared" si="69"/>
        <v/>
      </c>
      <c r="AC323" s="523" t="str">
        <f t="shared" si="70"/>
        <v/>
      </c>
      <c r="AD323" s="523" t="e">
        <f>IF(((100-100/$AB$7*données_step[[#This Row],[E_COT]])/100*QTS)&lt;0,NA(),IF(OR(AA323&lt;0,AA323=""),NA(),((100-100/$AB$7*données_step[[#This Row],[E_COT]])/100*QTS)))</f>
        <v>#NUM!</v>
      </c>
      <c r="AE323" s="523" t="str">
        <f>IF(AND($R323&gt;0,données_step[[#This Row],[E_NH4]]&gt;0),données_step[[#This Row],[E_NH4]],"")</f>
        <v/>
      </c>
      <c r="AF323" s="523" t="str">
        <f>IF(AE323="","",(1-données_step[[#This Row],[E_NH4]]/$AH$7)*100)</f>
        <v/>
      </c>
      <c r="AG323" s="523" t="str">
        <f t="shared" si="71"/>
        <v/>
      </c>
      <c r="AH323" s="523" t="str">
        <f t="shared" si="72"/>
        <v/>
      </c>
      <c r="AI323" s="523" t="str">
        <f t="shared" si="73"/>
        <v/>
      </c>
      <c r="AJ323" s="523" t="e">
        <f>IF(((100-100/$AH$7*données_step[[#This Row],[E_NH4]])/100*QTS)&lt;0,NA(),IF(OR(AG323&lt;0,AG323=""),NA(),((100-100/$AH$7*données_step[[#This Row],[E_NH4]])/100*QTS)))</f>
        <v>#NUM!</v>
      </c>
      <c r="AK323" s="523" t="str">
        <f>IF(AND($R323&gt;0,données_step[[#This Row],[E_PTOT]]&gt;0),données_step[[#This Row],[E_PTOT]],"")</f>
        <v/>
      </c>
      <c r="AL323" s="523" t="str">
        <f>IF(AK323="","",(1-données_step[[#This Row],[E_PTOT]]/$AN$7)*100)</f>
        <v/>
      </c>
      <c r="AM323" s="523" t="str">
        <f t="shared" si="74"/>
        <v/>
      </c>
      <c r="AN323" s="523" t="str">
        <f t="shared" si="75"/>
        <v/>
      </c>
      <c r="AO323" s="523" t="str">
        <f t="shared" si="76"/>
        <v/>
      </c>
      <c r="AP323" s="523" t="e">
        <f>IF(((100-100/$AN$7*données_step[[#This Row],[E_PTOT]])/100*QTS)&lt;0,NA(),IF(OR(AM323&lt;0,AM323=""),NA(),((100-100/$AN$7*données_step[[#This Row],[E_PTOT]])/100*QTS)))</f>
        <v>#NUM!</v>
      </c>
      <c r="AQ323" s="524" t="e">
        <f t="shared" si="77"/>
        <v>#NUM!</v>
      </c>
      <c r="AR323" s="524" t="str">
        <f t="shared" si="78"/>
        <v/>
      </c>
      <c r="AY323" s="523" t="str">
        <f>_xlfn.IFNA(IF(données_step[[#This Row],[E_DCO]]&lt;=0,NA(),charge_entree[[#This Row],[ch_E_DCO]]/constanten!$B$8*1000),"")</f>
        <v/>
      </c>
      <c r="AZ323" s="523" t="str">
        <f>_xlfn.IFNA(IF(données_step[[#This Row],[E_NTOT]]&lt;=0,NA(),charge_entree[[#This Row],[ch_E_NTOT]]/constanten!$B$10*1000),"")</f>
        <v/>
      </c>
      <c r="BA323" s="523" t="str">
        <f>_xlfn.IFNA(IF(données_step[[#This Row],[E_NH4]]&lt;=0,NA(),charge_entree[[#This Row],[ch_E_NH4]]/constanten!$B$12*1000),"")</f>
        <v/>
      </c>
      <c r="BB323" s="523" t="str">
        <f>_xlfn.IFNA(IF(données_step[[#This Row],[E_COT]]&lt;=0,NA(),charge_entree[[#This Row],[ch_E_COT]]/constanten!$B$9*1000),"")</f>
        <v/>
      </c>
      <c r="BC323" s="523" t="str">
        <f>IFERROR(_xlfn.IFNA(IF(données_step[[#This Row],[E_PTOT]]&lt;=0,NA(),charge_entree[[#This Row],[ch_E_PTOT]]/constanten!$B$15*1000),""),"")</f>
        <v/>
      </c>
      <c r="BD323" s="535" t="e">
        <f>calculs!E323 * (1-0.4) / (données_step[[#This Row],[X_BA_VOL]]*données_step[[#This Row],[X_BACONC]])</f>
        <v>#VALUE!</v>
      </c>
      <c r="BE323" s="522" t="e">
        <f>(données_step[[#This Row],[X_BA_VOL]]*données_step[[#This Row],[X_BACONC]])/((données_step[[#This Row],[D_QTRAI2]]*données_step[[#This Row],[S_MES]]/1000)+(données_step[[#This Row],[X_BX_Q]]*données_step[[#This Row],[X_BXCONC]]))</f>
        <v>#VALUE!</v>
      </c>
      <c r="BF323" s="890" t="str">
        <f>IFERROR(données_step[[#This Row],[D_QTRAI]]/AY323*1000,"")</f>
        <v/>
      </c>
      <c r="BG323" s="535" t="str">
        <f>IFERROR(1-données_step[[#This Row],[S_DBO5]]/données_step[[#This Row],[E_DBO5]],"")</f>
        <v/>
      </c>
      <c r="BH323" s="536" t="str">
        <f>IFERROR(1-données_step[[#This Row],[S_DCO]]/données_step[[#This Row],[E_DCO]],"")</f>
        <v/>
      </c>
      <c r="BI323" s="535" t="str">
        <f>IFERROR(1-données_step[[#This Row],[S_COD]]/données_step[[#This Row],[E_COT]],"")</f>
        <v/>
      </c>
      <c r="BJ323" s="535" t="str">
        <f>IFERROR(1-données_step[[#This Row],[S_NH4]]/données_step[[#This Row],[E_NTOT]],"")</f>
        <v/>
      </c>
      <c r="BK323" s="535" t="str">
        <f>IFERROR(1-données_step[[#This Row],[S_PTOT]]/données_step[[#This Row],[E_PTOT]],"")</f>
        <v/>
      </c>
      <c r="BL323" s="521" t="str">
        <f>IFERROR(IF(données_step[[#This Row],[E_DCO]]/données_step[[#This Row],[E_DBO5]]=0,NA(),données_step[[#This Row],[E_DCO]]/données_step[[#This Row],[E_DBO5]]),"")</f>
        <v/>
      </c>
      <c r="BM323" s="521" t="str">
        <f>IFERROR(IF(données_step[[#This Row],[E_NH4]]/données_step[[#This Row],[E_NTOT]]=0,NA(),données_step[[#This Row],[E_NH4]]/données_step[[#This Row],[E_NTOT]]),"")</f>
        <v/>
      </c>
      <c r="BN323" s="521" t="str">
        <f>IFERROR(IF(données_step[[#This Row],[E_NTOT]]/données_step[[#This Row],[E_COT]]=0,NA(),données_step[[#This Row],[E_NTOT]]/données_step[[#This Row],[E_COT]]),"")</f>
        <v/>
      </c>
      <c r="BO323" s="521" t="str">
        <f>IFERROR(IF(données_step[[#This Row],[E_PTOT]]/données_step[[#This Row],[E_COT]]=0,NA(),données_step[[#This Row],[E_PTOT]]/données_step[[#This Row],[E_COT]]),"")</f>
        <v/>
      </c>
      <c r="BP323" s="521" t="e">
        <f>IF(données_step[[#This Row],[E_DCO]]/données_step[[#This Row],[E_COT]]=0,NA(),données_step[[#This Row],[E_DCO]]/données_step[[#This Row],[E_COT]])</f>
        <v>#DIV/0!</v>
      </c>
      <c r="BQ323" s="521" t="e">
        <f>IF(données_step[[#This Row],[E_NTOT]]/données_step[[#This Row],[E_DCO]]=0,NA(),données_step[[#This Row],[E_NTOT]]/données_step[[#This Row],[E_DCO]])</f>
        <v>#DIV/0!</v>
      </c>
      <c r="BR323" s="521" t="e">
        <f>IF(données_step[[#This Row],[E_PTOT]]/données_step[[#This Row],[E_DCO]]=0,NA(),données_step[[#This Row],[E_PTOT]]/données_step[[#This Row],[E_DCO]])</f>
        <v>#DIV/0!</v>
      </c>
      <c r="BS323" s="747" t="e">
        <f ca="1">test_NH4_temp(données_step[[#This Row],[S_NH4]],données_step[[#This Row],[Temp_eaux]])</f>
        <v>#NAME?</v>
      </c>
    </row>
    <row r="324" spans="1:71" x14ac:dyDescent="0.2">
      <c r="A324" s="222">
        <f>données_step[[#This Row],[Datum]]</f>
        <v>44875</v>
      </c>
      <c r="B324" s="223"/>
      <c r="C324" s="224">
        <f t="shared" si="79"/>
        <v>5</v>
      </c>
      <c r="D324" s="523" t="str">
        <f>IF(OR(données_step[[#This Row],[E_DBO5]]&lt;=0,données_step[[#This Row],[E_DBO5]]=""),"",données_step[[#This Row],[D_QTRAI]]*données_step[[#This Row],[E_DBO5]]/1000)</f>
        <v/>
      </c>
      <c r="E324" s="523" t="str">
        <f>IF(OR(données_step[[#This Row],[E_DCO]]&lt;=0,données_step[[#This Row],[E_DCO]]=""),"",données_step[[#This Row],[D_QTRAI]]*données_step[[#This Row],[E_DCO]]/1000)</f>
        <v/>
      </c>
      <c r="F324" s="523" t="str">
        <f>IF(OR(données_step[[#This Row],[E_COT]]&lt;=0,données_step[[#This Row],[E_COT]]=""),"",données_step[[#This Row],[D_QTRAI]]*données_step[[#This Row],[E_COT]]/1000)</f>
        <v/>
      </c>
      <c r="G324" s="523" t="str">
        <f>IF(OR(données_step[[#This Row],[E_NH4]]&lt;=0,données_step[[#This Row],[E_NH4]]=""),"",données_step[[#This Row],[D_QTRAI]]*données_step[[#This Row],[E_NH4]]/1000)</f>
        <v/>
      </c>
      <c r="H324" s="523" t="str">
        <f>IF(OR(données_step[[#This Row],[E_NTOT]]&lt;=0,données_step[[#This Row],[E_NTOT]]=""),"",données_step[[#This Row],[D_QTRAI]]*données_step[[#This Row],[E_NTOT]]/1000)</f>
        <v/>
      </c>
      <c r="I324" s="523" t="str">
        <f>IF(OR(données_step[[#This Row],[E_NTOT]]&lt;=0,données_step[[#This Row],[E_NTOT]]=""),"",données_step[[#This Row],[D_QTRAI]]*données_step[[#This Row],[E_PTOT]]/1000)</f>
        <v/>
      </c>
      <c r="J324" s="523" t="str">
        <f>IF(OR(données_step[[#This Row],[S_DBO5]]&lt;=0,données_step[[#This Row],[S_DBO5]]=""),"",données_step[[#This Row],[D_QTRAI]]*données_step[[#This Row],[S_DBO5]]/1000)</f>
        <v/>
      </c>
      <c r="K324" s="523" t="str">
        <f>IF(OR(données_step[[#This Row],[S_DCO]]&lt;=0,données_step[[#This Row],[S_DCO]]=""),"",données_step[[#This Row],[D_QTRAI]]*données_step[[#This Row],[S_DCO]]/1000)</f>
        <v/>
      </c>
      <c r="L324" s="523" t="str">
        <f>IF(OR(données_step[[#This Row],[S_COD]]&lt;=0,données_step[[#This Row],[S_COD]]=""),"",données_step[[#This Row],[D_QTRAI]]*données_step[[#This Row],[S_COD]]/1000)</f>
        <v/>
      </c>
      <c r="M324" s="523" t="str">
        <f>IF(OR(données_step[[#This Row],[S_NH4]]&lt;=0,données_step[[#This Row],[S_NH4]]=""),"",données_step[[#This Row],[D_QTRAI]]*données_step[[#This Row],[S_NH4]]/1000)</f>
        <v/>
      </c>
      <c r="N324" s="523" t="str">
        <f>IF(OR(données_step[[#This Row],[S_NO2]]&lt;=0,données_step[[#This Row],[S_NO2]]=""),"",données_step[[#This Row],[D_QTRAI]]*données_step[[#This Row],[S_NO2]]/1000)</f>
        <v/>
      </c>
      <c r="O324" s="523" t="str">
        <f>IF(OR(données_step[[#This Row],[S_NO3]]&lt;=0,données_step[[#This Row],[S_NO3]]=""),"",données_step[[#This Row],[D_QTRAI]]*données_step[[#This Row],[S_NO3]]/1000)</f>
        <v/>
      </c>
      <c r="P324" s="523" t="str">
        <f>IF(OR(données_step[[#This Row],[S_PTOT]]&lt;=0,données_step[[#This Row],[S_PTOT]]=""),"",données_step[[#This Row],[D_QTRAI]]*données_step[[#This Row],[S_PTOT]]/1000)</f>
        <v/>
      </c>
      <c r="Q324" s="523" t="str">
        <f>IF(OR(données_step[[#This Row],[S_MES]]&lt;=0,données_step[[#This Row],[S_MES]]=""),"",données_step[[#This Row],[D_QTRAI]]*données_step[[#This Row],[S_MES]]/1000)</f>
        <v/>
      </c>
      <c r="R324" s="523">
        <f>MAX(données_step[[#This Row],[D_QTRAI]],données_step[[#This Row],[D_QTRAI2]])</f>
        <v>0</v>
      </c>
      <c r="S324" s="523" t="str">
        <f>IF(AND($R324&gt;0,données_step[[#This Row],[E_DCO]]&gt;0),données_step[[#This Row],[E_DCO]],"")</f>
        <v/>
      </c>
      <c r="T324" s="523" t="str">
        <f>IF(S324="","",(1-données_step[[#This Row],[E_DCO]]/$V$7)*100)</f>
        <v/>
      </c>
      <c r="U324" s="523" t="str">
        <f t="shared" si="65"/>
        <v/>
      </c>
      <c r="V324" s="523" t="str">
        <f t="shared" si="66"/>
        <v/>
      </c>
      <c r="W324" s="523" t="str">
        <f t="shared" si="67"/>
        <v/>
      </c>
      <c r="X324" s="523" t="e">
        <f>IF(((100-100/$V$7*données_step[[#This Row],[E_DCO]])/100*QTS)&lt;0,NA(),IF(OR(U324&lt;0,U324=""),NA(),((100-100/$V$7*données_step[[#This Row],[E_DCO]])/100*QTS)))</f>
        <v>#NUM!</v>
      </c>
      <c r="Y324" s="523" t="str">
        <f>IF(AND($R324&gt;0,données_step[[#This Row],[E_COT]]&gt;0),données_step[[#This Row],[E_COT]],"")</f>
        <v/>
      </c>
      <c r="Z324" s="523" t="str">
        <f>IF(Y324="","",(1-données_step[[#This Row],[E_COT]]/$AB$7)*100)</f>
        <v/>
      </c>
      <c r="AA324" s="523" t="str">
        <f t="shared" si="68"/>
        <v/>
      </c>
      <c r="AB324" s="523" t="str">
        <f t="shared" si="69"/>
        <v/>
      </c>
      <c r="AC324" s="523" t="str">
        <f t="shared" si="70"/>
        <v/>
      </c>
      <c r="AD324" s="523" t="e">
        <f>IF(((100-100/$AB$7*données_step[[#This Row],[E_COT]])/100*QTS)&lt;0,NA(),IF(OR(AA324&lt;0,AA324=""),NA(),((100-100/$AB$7*données_step[[#This Row],[E_COT]])/100*QTS)))</f>
        <v>#NUM!</v>
      </c>
      <c r="AE324" s="523" t="str">
        <f>IF(AND($R324&gt;0,données_step[[#This Row],[E_NH4]]&gt;0),données_step[[#This Row],[E_NH4]],"")</f>
        <v/>
      </c>
      <c r="AF324" s="523" t="str">
        <f>IF(AE324="","",(1-données_step[[#This Row],[E_NH4]]/$AH$7)*100)</f>
        <v/>
      </c>
      <c r="AG324" s="523" t="str">
        <f t="shared" si="71"/>
        <v/>
      </c>
      <c r="AH324" s="523" t="str">
        <f t="shared" si="72"/>
        <v/>
      </c>
      <c r="AI324" s="523" t="str">
        <f t="shared" si="73"/>
        <v/>
      </c>
      <c r="AJ324" s="523" t="e">
        <f>IF(((100-100/$AH$7*données_step[[#This Row],[E_NH4]])/100*QTS)&lt;0,NA(),IF(OR(AG324&lt;0,AG324=""),NA(),((100-100/$AH$7*données_step[[#This Row],[E_NH4]])/100*QTS)))</f>
        <v>#NUM!</v>
      </c>
      <c r="AK324" s="523" t="str">
        <f>IF(AND($R324&gt;0,données_step[[#This Row],[E_PTOT]]&gt;0),données_step[[#This Row],[E_PTOT]],"")</f>
        <v/>
      </c>
      <c r="AL324" s="523" t="str">
        <f>IF(AK324="","",(1-données_step[[#This Row],[E_PTOT]]/$AN$7)*100)</f>
        <v/>
      </c>
      <c r="AM324" s="523" t="str">
        <f t="shared" si="74"/>
        <v/>
      </c>
      <c r="AN324" s="523" t="str">
        <f t="shared" si="75"/>
        <v/>
      </c>
      <c r="AO324" s="523" t="str">
        <f t="shared" si="76"/>
        <v/>
      </c>
      <c r="AP324" s="523" t="e">
        <f>IF(((100-100/$AN$7*données_step[[#This Row],[E_PTOT]])/100*QTS)&lt;0,NA(),IF(OR(AM324&lt;0,AM324=""),NA(),((100-100/$AN$7*données_step[[#This Row],[E_PTOT]])/100*QTS)))</f>
        <v>#NUM!</v>
      </c>
      <c r="AQ324" s="524" t="e">
        <f t="shared" si="77"/>
        <v>#NUM!</v>
      </c>
      <c r="AR324" s="524" t="str">
        <f t="shared" si="78"/>
        <v/>
      </c>
      <c r="AY324" s="523" t="str">
        <f>_xlfn.IFNA(IF(données_step[[#This Row],[E_DCO]]&lt;=0,NA(),charge_entree[[#This Row],[ch_E_DCO]]/constanten!$B$8*1000),"")</f>
        <v/>
      </c>
      <c r="AZ324" s="523" t="str">
        <f>_xlfn.IFNA(IF(données_step[[#This Row],[E_NTOT]]&lt;=0,NA(),charge_entree[[#This Row],[ch_E_NTOT]]/constanten!$B$10*1000),"")</f>
        <v/>
      </c>
      <c r="BA324" s="523" t="str">
        <f>_xlfn.IFNA(IF(données_step[[#This Row],[E_NH4]]&lt;=0,NA(),charge_entree[[#This Row],[ch_E_NH4]]/constanten!$B$12*1000),"")</f>
        <v/>
      </c>
      <c r="BB324" s="523" t="str">
        <f>_xlfn.IFNA(IF(données_step[[#This Row],[E_COT]]&lt;=0,NA(),charge_entree[[#This Row],[ch_E_COT]]/constanten!$B$9*1000),"")</f>
        <v/>
      </c>
      <c r="BC324" s="523" t="str">
        <f>IFERROR(_xlfn.IFNA(IF(données_step[[#This Row],[E_PTOT]]&lt;=0,NA(),charge_entree[[#This Row],[ch_E_PTOT]]/constanten!$B$15*1000),""),"")</f>
        <v/>
      </c>
      <c r="BD324" s="535" t="e">
        <f>calculs!E324 * (1-0.4) / (données_step[[#This Row],[X_BA_VOL]]*données_step[[#This Row],[X_BACONC]])</f>
        <v>#VALUE!</v>
      </c>
      <c r="BE324" s="522" t="e">
        <f>(données_step[[#This Row],[X_BA_VOL]]*données_step[[#This Row],[X_BACONC]])/((données_step[[#This Row],[D_QTRAI2]]*données_step[[#This Row],[S_MES]]/1000)+(données_step[[#This Row],[X_BX_Q]]*données_step[[#This Row],[X_BXCONC]]))</f>
        <v>#VALUE!</v>
      </c>
      <c r="BF324" s="890" t="str">
        <f>IFERROR(données_step[[#This Row],[D_QTRAI]]/AY324*1000,"")</f>
        <v/>
      </c>
      <c r="BG324" s="535" t="str">
        <f>IFERROR(1-données_step[[#This Row],[S_DBO5]]/données_step[[#This Row],[E_DBO5]],"")</f>
        <v/>
      </c>
      <c r="BH324" s="536" t="str">
        <f>IFERROR(1-données_step[[#This Row],[S_DCO]]/données_step[[#This Row],[E_DCO]],"")</f>
        <v/>
      </c>
      <c r="BI324" s="535" t="str">
        <f>IFERROR(1-données_step[[#This Row],[S_COD]]/données_step[[#This Row],[E_COT]],"")</f>
        <v/>
      </c>
      <c r="BJ324" s="535" t="str">
        <f>IFERROR(1-données_step[[#This Row],[S_NH4]]/données_step[[#This Row],[E_NTOT]],"")</f>
        <v/>
      </c>
      <c r="BK324" s="535" t="str">
        <f>IFERROR(1-données_step[[#This Row],[S_PTOT]]/données_step[[#This Row],[E_PTOT]],"")</f>
        <v/>
      </c>
      <c r="BL324" s="521" t="str">
        <f>IFERROR(IF(données_step[[#This Row],[E_DCO]]/données_step[[#This Row],[E_DBO5]]=0,NA(),données_step[[#This Row],[E_DCO]]/données_step[[#This Row],[E_DBO5]]),"")</f>
        <v/>
      </c>
      <c r="BM324" s="521" t="str">
        <f>IFERROR(IF(données_step[[#This Row],[E_NH4]]/données_step[[#This Row],[E_NTOT]]=0,NA(),données_step[[#This Row],[E_NH4]]/données_step[[#This Row],[E_NTOT]]),"")</f>
        <v/>
      </c>
      <c r="BN324" s="521" t="str">
        <f>IFERROR(IF(données_step[[#This Row],[E_NTOT]]/données_step[[#This Row],[E_COT]]=0,NA(),données_step[[#This Row],[E_NTOT]]/données_step[[#This Row],[E_COT]]),"")</f>
        <v/>
      </c>
      <c r="BO324" s="521" t="str">
        <f>IFERROR(IF(données_step[[#This Row],[E_PTOT]]/données_step[[#This Row],[E_COT]]=0,NA(),données_step[[#This Row],[E_PTOT]]/données_step[[#This Row],[E_COT]]),"")</f>
        <v/>
      </c>
      <c r="BP324" s="521" t="e">
        <f>IF(données_step[[#This Row],[E_DCO]]/données_step[[#This Row],[E_COT]]=0,NA(),données_step[[#This Row],[E_DCO]]/données_step[[#This Row],[E_COT]])</f>
        <v>#DIV/0!</v>
      </c>
      <c r="BQ324" s="521" t="e">
        <f>IF(données_step[[#This Row],[E_NTOT]]/données_step[[#This Row],[E_DCO]]=0,NA(),données_step[[#This Row],[E_NTOT]]/données_step[[#This Row],[E_DCO]])</f>
        <v>#DIV/0!</v>
      </c>
      <c r="BR324" s="521" t="e">
        <f>IF(données_step[[#This Row],[E_PTOT]]/données_step[[#This Row],[E_DCO]]=0,NA(),données_step[[#This Row],[E_PTOT]]/données_step[[#This Row],[E_DCO]])</f>
        <v>#DIV/0!</v>
      </c>
      <c r="BS324" s="747" t="e">
        <f ca="1">test_NH4_temp(données_step[[#This Row],[S_NH4]],données_step[[#This Row],[Temp_eaux]])</f>
        <v>#NAME?</v>
      </c>
    </row>
    <row r="325" spans="1:71" x14ac:dyDescent="0.2">
      <c r="A325" s="222">
        <f>données_step[[#This Row],[Datum]]</f>
        <v>44876</v>
      </c>
      <c r="B325" s="223"/>
      <c r="C325" s="224">
        <f t="shared" si="79"/>
        <v>6</v>
      </c>
      <c r="D325" s="523" t="str">
        <f>IF(OR(données_step[[#This Row],[E_DBO5]]&lt;=0,données_step[[#This Row],[E_DBO5]]=""),"",données_step[[#This Row],[D_QTRAI]]*données_step[[#This Row],[E_DBO5]]/1000)</f>
        <v/>
      </c>
      <c r="E325" s="523" t="str">
        <f>IF(OR(données_step[[#This Row],[E_DCO]]&lt;=0,données_step[[#This Row],[E_DCO]]=""),"",données_step[[#This Row],[D_QTRAI]]*données_step[[#This Row],[E_DCO]]/1000)</f>
        <v/>
      </c>
      <c r="F325" s="523" t="str">
        <f>IF(OR(données_step[[#This Row],[E_COT]]&lt;=0,données_step[[#This Row],[E_COT]]=""),"",données_step[[#This Row],[D_QTRAI]]*données_step[[#This Row],[E_COT]]/1000)</f>
        <v/>
      </c>
      <c r="G325" s="523" t="str">
        <f>IF(OR(données_step[[#This Row],[E_NH4]]&lt;=0,données_step[[#This Row],[E_NH4]]=""),"",données_step[[#This Row],[D_QTRAI]]*données_step[[#This Row],[E_NH4]]/1000)</f>
        <v/>
      </c>
      <c r="H325" s="523" t="str">
        <f>IF(OR(données_step[[#This Row],[E_NTOT]]&lt;=0,données_step[[#This Row],[E_NTOT]]=""),"",données_step[[#This Row],[D_QTRAI]]*données_step[[#This Row],[E_NTOT]]/1000)</f>
        <v/>
      </c>
      <c r="I325" s="523" t="str">
        <f>IF(OR(données_step[[#This Row],[E_NTOT]]&lt;=0,données_step[[#This Row],[E_NTOT]]=""),"",données_step[[#This Row],[D_QTRAI]]*données_step[[#This Row],[E_PTOT]]/1000)</f>
        <v/>
      </c>
      <c r="J325" s="523" t="str">
        <f>IF(OR(données_step[[#This Row],[S_DBO5]]&lt;=0,données_step[[#This Row],[S_DBO5]]=""),"",données_step[[#This Row],[D_QTRAI]]*données_step[[#This Row],[S_DBO5]]/1000)</f>
        <v/>
      </c>
      <c r="K325" s="523" t="str">
        <f>IF(OR(données_step[[#This Row],[S_DCO]]&lt;=0,données_step[[#This Row],[S_DCO]]=""),"",données_step[[#This Row],[D_QTRAI]]*données_step[[#This Row],[S_DCO]]/1000)</f>
        <v/>
      </c>
      <c r="L325" s="523" t="str">
        <f>IF(OR(données_step[[#This Row],[S_COD]]&lt;=0,données_step[[#This Row],[S_COD]]=""),"",données_step[[#This Row],[D_QTRAI]]*données_step[[#This Row],[S_COD]]/1000)</f>
        <v/>
      </c>
      <c r="M325" s="523" t="str">
        <f>IF(OR(données_step[[#This Row],[S_NH4]]&lt;=0,données_step[[#This Row],[S_NH4]]=""),"",données_step[[#This Row],[D_QTRAI]]*données_step[[#This Row],[S_NH4]]/1000)</f>
        <v/>
      </c>
      <c r="N325" s="523" t="str">
        <f>IF(OR(données_step[[#This Row],[S_NO2]]&lt;=0,données_step[[#This Row],[S_NO2]]=""),"",données_step[[#This Row],[D_QTRAI]]*données_step[[#This Row],[S_NO2]]/1000)</f>
        <v/>
      </c>
      <c r="O325" s="523" t="str">
        <f>IF(OR(données_step[[#This Row],[S_NO3]]&lt;=0,données_step[[#This Row],[S_NO3]]=""),"",données_step[[#This Row],[D_QTRAI]]*données_step[[#This Row],[S_NO3]]/1000)</f>
        <v/>
      </c>
      <c r="P325" s="523" t="str">
        <f>IF(OR(données_step[[#This Row],[S_PTOT]]&lt;=0,données_step[[#This Row],[S_PTOT]]=""),"",données_step[[#This Row],[D_QTRAI]]*données_step[[#This Row],[S_PTOT]]/1000)</f>
        <v/>
      </c>
      <c r="Q325" s="523" t="str">
        <f>IF(OR(données_step[[#This Row],[S_MES]]&lt;=0,données_step[[#This Row],[S_MES]]=""),"",données_step[[#This Row],[D_QTRAI]]*données_step[[#This Row],[S_MES]]/1000)</f>
        <v/>
      </c>
      <c r="R325" s="523">
        <f>MAX(données_step[[#This Row],[D_QTRAI]],données_step[[#This Row],[D_QTRAI2]])</f>
        <v>0</v>
      </c>
      <c r="S325" s="523" t="str">
        <f>IF(AND($R325&gt;0,données_step[[#This Row],[E_DCO]]&gt;0),données_step[[#This Row],[E_DCO]],"")</f>
        <v/>
      </c>
      <c r="T325" s="523" t="str">
        <f>IF(S325="","",(1-données_step[[#This Row],[E_DCO]]/$V$7)*100)</f>
        <v/>
      </c>
      <c r="U325" s="523" t="str">
        <f t="shared" si="65"/>
        <v/>
      </c>
      <c r="V325" s="523" t="str">
        <f t="shared" si="66"/>
        <v/>
      </c>
      <c r="W325" s="523" t="str">
        <f t="shared" si="67"/>
        <v/>
      </c>
      <c r="X325" s="523" t="e">
        <f>IF(((100-100/$V$7*données_step[[#This Row],[E_DCO]])/100*QTS)&lt;0,NA(),IF(OR(U325&lt;0,U325=""),NA(),((100-100/$V$7*données_step[[#This Row],[E_DCO]])/100*QTS)))</f>
        <v>#NUM!</v>
      </c>
      <c r="Y325" s="523" t="str">
        <f>IF(AND($R325&gt;0,données_step[[#This Row],[E_COT]]&gt;0),données_step[[#This Row],[E_COT]],"")</f>
        <v/>
      </c>
      <c r="Z325" s="523" t="str">
        <f>IF(Y325="","",(1-données_step[[#This Row],[E_COT]]/$AB$7)*100)</f>
        <v/>
      </c>
      <c r="AA325" s="523" t="str">
        <f t="shared" si="68"/>
        <v/>
      </c>
      <c r="AB325" s="523" t="str">
        <f t="shared" si="69"/>
        <v/>
      </c>
      <c r="AC325" s="523" t="str">
        <f t="shared" si="70"/>
        <v/>
      </c>
      <c r="AD325" s="523" t="e">
        <f>IF(((100-100/$AB$7*données_step[[#This Row],[E_COT]])/100*QTS)&lt;0,NA(),IF(OR(AA325&lt;0,AA325=""),NA(),((100-100/$AB$7*données_step[[#This Row],[E_COT]])/100*QTS)))</f>
        <v>#NUM!</v>
      </c>
      <c r="AE325" s="523" t="str">
        <f>IF(AND($R325&gt;0,données_step[[#This Row],[E_NH4]]&gt;0),données_step[[#This Row],[E_NH4]],"")</f>
        <v/>
      </c>
      <c r="AF325" s="523" t="str">
        <f>IF(AE325="","",(1-données_step[[#This Row],[E_NH4]]/$AH$7)*100)</f>
        <v/>
      </c>
      <c r="AG325" s="523" t="str">
        <f t="shared" si="71"/>
        <v/>
      </c>
      <c r="AH325" s="523" t="str">
        <f t="shared" si="72"/>
        <v/>
      </c>
      <c r="AI325" s="523" t="str">
        <f t="shared" si="73"/>
        <v/>
      </c>
      <c r="AJ325" s="523" t="e">
        <f>IF(((100-100/$AH$7*données_step[[#This Row],[E_NH4]])/100*QTS)&lt;0,NA(),IF(OR(AG325&lt;0,AG325=""),NA(),((100-100/$AH$7*données_step[[#This Row],[E_NH4]])/100*QTS)))</f>
        <v>#NUM!</v>
      </c>
      <c r="AK325" s="523" t="str">
        <f>IF(AND($R325&gt;0,données_step[[#This Row],[E_PTOT]]&gt;0),données_step[[#This Row],[E_PTOT]],"")</f>
        <v/>
      </c>
      <c r="AL325" s="523" t="str">
        <f>IF(AK325="","",(1-données_step[[#This Row],[E_PTOT]]/$AN$7)*100)</f>
        <v/>
      </c>
      <c r="AM325" s="523" t="str">
        <f t="shared" si="74"/>
        <v/>
      </c>
      <c r="AN325" s="523" t="str">
        <f t="shared" si="75"/>
        <v/>
      </c>
      <c r="AO325" s="523" t="str">
        <f t="shared" si="76"/>
        <v/>
      </c>
      <c r="AP325" s="523" t="e">
        <f>IF(((100-100/$AN$7*données_step[[#This Row],[E_PTOT]])/100*QTS)&lt;0,NA(),IF(OR(AM325&lt;0,AM325=""),NA(),((100-100/$AN$7*données_step[[#This Row],[E_PTOT]])/100*QTS)))</f>
        <v>#NUM!</v>
      </c>
      <c r="AQ325" s="524" t="e">
        <f t="shared" si="77"/>
        <v>#NUM!</v>
      </c>
      <c r="AR325" s="524" t="str">
        <f t="shared" si="78"/>
        <v/>
      </c>
      <c r="AY325" s="523" t="str">
        <f>_xlfn.IFNA(IF(données_step[[#This Row],[E_DCO]]&lt;=0,NA(),charge_entree[[#This Row],[ch_E_DCO]]/constanten!$B$8*1000),"")</f>
        <v/>
      </c>
      <c r="AZ325" s="523" t="str">
        <f>_xlfn.IFNA(IF(données_step[[#This Row],[E_NTOT]]&lt;=0,NA(),charge_entree[[#This Row],[ch_E_NTOT]]/constanten!$B$10*1000),"")</f>
        <v/>
      </c>
      <c r="BA325" s="523" t="str">
        <f>_xlfn.IFNA(IF(données_step[[#This Row],[E_NH4]]&lt;=0,NA(),charge_entree[[#This Row],[ch_E_NH4]]/constanten!$B$12*1000),"")</f>
        <v/>
      </c>
      <c r="BB325" s="523" t="str">
        <f>_xlfn.IFNA(IF(données_step[[#This Row],[E_COT]]&lt;=0,NA(),charge_entree[[#This Row],[ch_E_COT]]/constanten!$B$9*1000),"")</f>
        <v/>
      </c>
      <c r="BC325" s="523" t="str">
        <f>IFERROR(_xlfn.IFNA(IF(données_step[[#This Row],[E_PTOT]]&lt;=0,NA(),charge_entree[[#This Row],[ch_E_PTOT]]/constanten!$B$15*1000),""),"")</f>
        <v/>
      </c>
      <c r="BD325" s="535" t="e">
        <f>calculs!E325 * (1-0.4) / (données_step[[#This Row],[X_BA_VOL]]*données_step[[#This Row],[X_BACONC]])</f>
        <v>#VALUE!</v>
      </c>
      <c r="BE325" s="522" t="e">
        <f>(données_step[[#This Row],[X_BA_VOL]]*données_step[[#This Row],[X_BACONC]])/((données_step[[#This Row],[D_QTRAI2]]*données_step[[#This Row],[S_MES]]/1000)+(données_step[[#This Row],[X_BX_Q]]*données_step[[#This Row],[X_BXCONC]]))</f>
        <v>#VALUE!</v>
      </c>
      <c r="BF325" s="890" t="str">
        <f>IFERROR(données_step[[#This Row],[D_QTRAI]]/AY325*1000,"")</f>
        <v/>
      </c>
      <c r="BG325" s="535" t="str">
        <f>IFERROR(1-données_step[[#This Row],[S_DBO5]]/données_step[[#This Row],[E_DBO5]],"")</f>
        <v/>
      </c>
      <c r="BH325" s="536" t="str">
        <f>IFERROR(1-données_step[[#This Row],[S_DCO]]/données_step[[#This Row],[E_DCO]],"")</f>
        <v/>
      </c>
      <c r="BI325" s="535" t="str">
        <f>IFERROR(1-données_step[[#This Row],[S_COD]]/données_step[[#This Row],[E_COT]],"")</f>
        <v/>
      </c>
      <c r="BJ325" s="535" t="str">
        <f>IFERROR(1-données_step[[#This Row],[S_NH4]]/données_step[[#This Row],[E_NTOT]],"")</f>
        <v/>
      </c>
      <c r="BK325" s="535" t="str">
        <f>IFERROR(1-données_step[[#This Row],[S_PTOT]]/données_step[[#This Row],[E_PTOT]],"")</f>
        <v/>
      </c>
      <c r="BL325" s="521" t="str">
        <f>IFERROR(IF(données_step[[#This Row],[E_DCO]]/données_step[[#This Row],[E_DBO5]]=0,NA(),données_step[[#This Row],[E_DCO]]/données_step[[#This Row],[E_DBO5]]),"")</f>
        <v/>
      </c>
      <c r="BM325" s="521" t="str">
        <f>IFERROR(IF(données_step[[#This Row],[E_NH4]]/données_step[[#This Row],[E_NTOT]]=0,NA(),données_step[[#This Row],[E_NH4]]/données_step[[#This Row],[E_NTOT]]),"")</f>
        <v/>
      </c>
      <c r="BN325" s="521" t="str">
        <f>IFERROR(IF(données_step[[#This Row],[E_NTOT]]/données_step[[#This Row],[E_COT]]=0,NA(),données_step[[#This Row],[E_NTOT]]/données_step[[#This Row],[E_COT]]),"")</f>
        <v/>
      </c>
      <c r="BO325" s="521" t="str">
        <f>IFERROR(IF(données_step[[#This Row],[E_PTOT]]/données_step[[#This Row],[E_COT]]=0,NA(),données_step[[#This Row],[E_PTOT]]/données_step[[#This Row],[E_COT]]),"")</f>
        <v/>
      </c>
      <c r="BP325" s="521" t="e">
        <f>IF(données_step[[#This Row],[E_DCO]]/données_step[[#This Row],[E_COT]]=0,NA(),données_step[[#This Row],[E_DCO]]/données_step[[#This Row],[E_COT]])</f>
        <v>#DIV/0!</v>
      </c>
      <c r="BQ325" s="521" t="e">
        <f>IF(données_step[[#This Row],[E_NTOT]]/données_step[[#This Row],[E_DCO]]=0,NA(),données_step[[#This Row],[E_NTOT]]/données_step[[#This Row],[E_DCO]])</f>
        <v>#DIV/0!</v>
      </c>
      <c r="BR325" s="521" t="e">
        <f>IF(données_step[[#This Row],[E_PTOT]]/données_step[[#This Row],[E_DCO]]=0,NA(),données_step[[#This Row],[E_PTOT]]/données_step[[#This Row],[E_DCO]])</f>
        <v>#DIV/0!</v>
      </c>
      <c r="BS325" s="747" t="e">
        <f ca="1">test_NH4_temp(données_step[[#This Row],[S_NH4]],données_step[[#This Row],[Temp_eaux]])</f>
        <v>#NAME?</v>
      </c>
    </row>
    <row r="326" spans="1:71" x14ac:dyDescent="0.2">
      <c r="A326" s="222">
        <f>données_step[[#This Row],[Datum]]</f>
        <v>44877</v>
      </c>
      <c r="B326" s="223"/>
      <c r="C326" s="224">
        <f t="shared" si="79"/>
        <v>7</v>
      </c>
      <c r="D326" s="523" t="str">
        <f>IF(OR(données_step[[#This Row],[E_DBO5]]&lt;=0,données_step[[#This Row],[E_DBO5]]=""),"",données_step[[#This Row],[D_QTRAI]]*données_step[[#This Row],[E_DBO5]]/1000)</f>
        <v/>
      </c>
      <c r="E326" s="523" t="str">
        <f>IF(OR(données_step[[#This Row],[E_DCO]]&lt;=0,données_step[[#This Row],[E_DCO]]=""),"",données_step[[#This Row],[D_QTRAI]]*données_step[[#This Row],[E_DCO]]/1000)</f>
        <v/>
      </c>
      <c r="F326" s="523" t="str">
        <f>IF(OR(données_step[[#This Row],[E_COT]]&lt;=0,données_step[[#This Row],[E_COT]]=""),"",données_step[[#This Row],[D_QTRAI]]*données_step[[#This Row],[E_COT]]/1000)</f>
        <v/>
      </c>
      <c r="G326" s="523" t="str">
        <f>IF(OR(données_step[[#This Row],[E_NH4]]&lt;=0,données_step[[#This Row],[E_NH4]]=""),"",données_step[[#This Row],[D_QTRAI]]*données_step[[#This Row],[E_NH4]]/1000)</f>
        <v/>
      </c>
      <c r="H326" s="523" t="str">
        <f>IF(OR(données_step[[#This Row],[E_NTOT]]&lt;=0,données_step[[#This Row],[E_NTOT]]=""),"",données_step[[#This Row],[D_QTRAI]]*données_step[[#This Row],[E_NTOT]]/1000)</f>
        <v/>
      </c>
      <c r="I326" s="523" t="str">
        <f>IF(OR(données_step[[#This Row],[E_NTOT]]&lt;=0,données_step[[#This Row],[E_NTOT]]=""),"",données_step[[#This Row],[D_QTRAI]]*données_step[[#This Row],[E_PTOT]]/1000)</f>
        <v/>
      </c>
      <c r="J326" s="523" t="str">
        <f>IF(OR(données_step[[#This Row],[S_DBO5]]&lt;=0,données_step[[#This Row],[S_DBO5]]=""),"",données_step[[#This Row],[D_QTRAI]]*données_step[[#This Row],[S_DBO5]]/1000)</f>
        <v/>
      </c>
      <c r="K326" s="523" t="str">
        <f>IF(OR(données_step[[#This Row],[S_DCO]]&lt;=0,données_step[[#This Row],[S_DCO]]=""),"",données_step[[#This Row],[D_QTRAI]]*données_step[[#This Row],[S_DCO]]/1000)</f>
        <v/>
      </c>
      <c r="L326" s="523" t="str">
        <f>IF(OR(données_step[[#This Row],[S_COD]]&lt;=0,données_step[[#This Row],[S_COD]]=""),"",données_step[[#This Row],[D_QTRAI]]*données_step[[#This Row],[S_COD]]/1000)</f>
        <v/>
      </c>
      <c r="M326" s="523" t="str">
        <f>IF(OR(données_step[[#This Row],[S_NH4]]&lt;=0,données_step[[#This Row],[S_NH4]]=""),"",données_step[[#This Row],[D_QTRAI]]*données_step[[#This Row],[S_NH4]]/1000)</f>
        <v/>
      </c>
      <c r="N326" s="523" t="str">
        <f>IF(OR(données_step[[#This Row],[S_NO2]]&lt;=0,données_step[[#This Row],[S_NO2]]=""),"",données_step[[#This Row],[D_QTRAI]]*données_step[[#This Row],[S_NO2]]/1000)</f>
        <v/>
      </c>
      <c r="O326" s="523" t="str">
        <f>IF(OR(données_step[[#This Row],[S_NO3]]&lt;=0,données_step[[#This Row],[S_NO3]]=""),"",données_step[[#This Row],[D_QTRAI]]*données_step[[#This Row],[S_NO3]]/1000)</f>
        <v/>
      </c>
      <c r="P326" s="523" t="str">
        <f>IF(OR(données_step[[#This Row],[S_PTOT]]&lt;=0,données_step[[#This Row],[S_PTOT]]=""),"",données_step[[#This Row],[D_QTRAI]]*données_step[[#This Row],[S_PTOT]]/1000)</f>
        <v/>
      </c>
      <c r="Q326" s="523" t="str">
        <f>IF(OR(données_step[[#This Row],[S_MES]]&lt;=0,données_step[[#This Row],[S_MES]]=""),"",données_step[[#This Row],[D_QTRAI]]*données_step[[#This Row],[S_MES]]/1000)</f>
        <v/>
      </c>
      <c r="R326" s="523">
        <f>MAX(données_step[[#This Row],[D_QTRAI]],données_step[[#This Row],[D_QTRAI2]])</f>
        <v>0</v>
      </c>
      <c r="S326" s="523" t="str">
        <f>IF(AND($R326&gt;0,données_step[[#This Row],[E_DCO]]&gt;0),données_step[[#This Row],[E_DCO]],"")</f>
        <v/>
      </c>
      <c r="T326" s="523" t="str">
        <f>IF(S326="","",(1-données_step[[#This Row],[E_DCO]]/$V$7)*100)</f>
        <v/>
      </c>
      <c r="U326" s="523" t="str">
        <f t="shared" si="65"/>
        <v/>
      </c>
      <c r="V326" s="523" t="str">
        <f t="shared" si="66"/>
        <v/>
      </c>
      <c r="W326" s="523" t="str">
        <f t="shared" si="67"/>
        <v/>
      </c>
      <c r="X326" s="523" t="e">
        <f>IF(((100-100/$V$7*données_step[[#This Row],[E_DCO]])/100*QTS)&lt;0,NA(),IF(OR(U326&lt;0,U326=""),NA(),((100-100/$V$7*données_step[[#This Row],[E_DCO]])/100*QTS)))</f>
        <v>#NUM!</v>
      </c>
      <c r="Y326" s="523" t="str">
        <f>IF(AND($R326&gt;0,données_step[[#This Row],[E_COT]]&gt;0),données_step[[#This Row],[E_COT]],"")</f>
        <v/>
      </c>
      <c r="Z326" s="523" t="str">
        <f>IF(Y326="","",(1-données_step[[#This Row],[E_COT]]/$AB$7)*100)</f>
        <v/>
      </c>
      <c r="AA326" s="523" t="str">
        <f t="shared" si="68"/>
        <v/>
      </c>
      <c r="AB326" s="523" t="str">
        <f t="shared" si="69"/>
        <v/>
      </c>
      <c r="AC326" s="523" t="str">
        <f t="shared" si="70"/>
        <v/>
      </c>
      <c r="AD326" s="523" t="e">
        <f>IF(((100-100/$AB$7*données_step[[#This Row],[E_COT]])/100*QTS)&lt;0,NA(),IF(OR(AA326&lt;0,AA326=""),NA(),((100-100/$AB$7*données_step[[#This Row],[E_COT]])/100*QTS)))</f>
        <v>#NUM!</v>
      </c>
      <c r="AE326" s="523" t="str">
        <f>IF(AND($R326&gt;0,données_step[[#This Row],[E_NH4]]&gt;0),données_step[[#This Row],[E_NH4]],"")</f>
        <v/>
      </c>
      <c r="AF326" s="523" t="str">
        <f>IF(AE326="","",(1-données_step[[#This Row],[E_NH4]]/$AH$7)*100)</f>
        <v/>
      </c>
      <c r="AG326" s="523" t="str">
        <f t="shared" si="71"/>
        <v/>
      </c>
      <c r="AH326" s="523" t="str">
        <f t="shared" si="72"/>
        <v/>
      </c>
      <c r="AI326" s="523" t="str">
        <f t="shared" si="73"/>
        <v/>
      </c>
      <c r="AJ326" s="523" t="e">
        <f>IF(((100-100/$AH$7*données_step[[#This Row],[E_NH4]])/100*QTS)&lt;0,NA(),IF(OR(AG326&lt;0,AG326=""),NA(),((100-100/$AH$7*données_step[[#This Row],[E_NH4]])/100*QTS)))</f>
        <v>#NUM!</v>
      </c>
      <c r="AK326" s="523" t="str">
        <f>IF(AND($R326&gt;0,données_step[[#This Row],[E_PTOT]]&gt;0),données_step[[#This Row],[E_PTOT]],"")</f>
        <v/>
      </c>
      <c r="AL326" s="523" t="str">
        <f>IF(AK326="","",(1-données_step[[#This Row],[E_PTOT]]/$AN$7)*100)</f>
        <v/>
      </c>
      <c r="AM326" s="523" t="str">
        <f t="shared" si="74"/>
        <v/>
      </c>
      <c r="AN326" s="523" t="str">
        <f t="shared" si="75"/>
        <v/>
      </c>
      <c r="AO326" s="523" t="str">
        <f t="shared" si="76"/>
        <v/>
      </c>
      <c r="AP326" s="523" t="e">
        <f>IF(((100-100/$AN$7*données_step[[#This Row],[E_PTOT]])/100*QTS)&lt;0,NA(),IF(OR(AM326&lt;0,AM326=""),NA(),((100-100/$AN$7*données_step[[#This Row],[E_PTOT]])/100*QTS)))</f>
        <v>#NUM!</v>
      </c>
      <c r="AQ326" s="524" t="e">
        <f t="shared" si="77"/>
        <v>#NUM!</v>
      </c>
      <c r="AR326" s="524" t="str">
        <f t="shared" si="78"/>
        <v/>
      </c>
      <c r="AY326" s="523" t="str">
        <f>_xlfn.IFNA(IF(données_step[[#This Row],[E_DCO]]&lt;=0,NA(),charge_entree[[#This Row],[ch_E_DCO]]/constanten!$B$8*1000),"")</f>
        <v/>
      </c>
      <c r="AZ326" s="523" t="str">
        <f>_xlfn.IFNA(IF(données_step[[#This Row],[E_NTOT]]&lt;=0,NA(),charge_entree[[#This Row],[ch_E_NTOT]]/constanten!$B$10*1000),"")</f>
        <v/>
      </c>
      <c r="BA326" s="523" t="str">
        <f>_xlfn.IFNA(IF(données_step[[#This Row],[E_NH4]]&lt;=0,NA(),charge_entree[[#This Row],[ch_E_NH4]]/constanten!$B$12*1000),"")</f>
        <v/>
      </c>
      <c r="BB326" s="523" t="str">
        <f>_xlfn.IFNA(IF(données_step[[#This Row],[E_COT]]&lt;=0,NA(),charge_entree[[#This Row],[ch_E_COT]]/constanten!$B$9*1000),"")</f>
        <v/>
      </c>
      <c r="BC326" s="523" t="str">
        <f>IFERROR(_xlfn.IFNA(IF(données_step[[#This Row],[E_PTOT]]&lt;=0,NA(),charge_entree[[#This Row],[ch_E_PTOT]]/constanten!$B$15*1000),""),"")</f>
        <v/>
      </c>
      <c r="BD326" s="535" t="e">
        <f>calculs!E326 * (1-0.4) / (données_step[[#This Row],[X_BA_VOL]]*données_step[[#This Row],[X_BACONC]])</f>
        <v>#VALUE!</v>
      </c>
      <c r="BE326" s="522" t="e">
        <f>(données_step[[#This Row],[X_BA_VOL]]*données_step[[#This Row],[X_BACONC]])/((données_step[[#This Row],[D_QTRAI2]]*données_step[[#This Row],[S_MES]]/1000)+(données_step[[#This Row],[X_BX_Q]]*données_step[[#This Row],[X_BXCONC]]))</f>
        <v>#VALUE!</v>
      </c>
      <c r="BF326" s="890" t="str">
        <f>IFERROR(données_step[[#This Row],[D_QTRAI]]/AY326*1000,"")</f>
        <v/>
      </c>
      <c r="BG326" s="535" t="str">
        <f>IFERROR(1-données_step[[#This Row],[S_DBO5]]/données_step[[#This Row],[E_DBO5]],"")</f>
        <v/>
      </c>
      <c r="BH326" s="536" t="str">
        <f>IFERROR(1-données_step[[#This Row],[S_DCO]]/données_step[[#This Row],[E_DCO]],"")</f>
        <v/>
      </c>
      <c r="BI326" s="535" t="str">
        <f>IFERROR(1-données_step[[#This Row],[S_COD]]/données_step[[#This Row],[E_COT]],"")</f>
        <v/>
      </c>
      <c r="BJ326" s="535" t="str">
        <f>IFERROR(1-données_step[[#This Row],[S_NH4]]/données_step[[#This Row],[E_NTOT]],"")</f>
        <v/>
      </c>
      <c r="BK326" s="535" t="str">
        <f>IFERROR(1-données_step[[#This Row],[S_PTOT]]/données_step[[#This Row],[E_PTOT]],"")</f>
        <v/>
      </c>
      <c r="BL326" s="521" t="str">
        <f>IFERROR(IF(données_step[[#This Row],[E_DCO]]/données_step[[#This Row],[E_DBO5]]=0,NA(),données_step[[#This Row],[E_DCO]]/données_step[[#This Row],[E_DBO5]]),"")</f>
        <v/>
      </c>
      <c r="BM326" s="521" t="str">
        <f>IFERROR(IF(données_step[[#This Row],[E_NH4]]/données_step[[#This Row],[E_NTOT]]=0,NA(),données_step[[#This Row],[E_NH4]]/données_step[[#This Row],[E_NTOT]]),"")</f>
        <v/>
      </c>
      <c r="BN326" s="521" t="str">
        <f>IFERROR(IF(données_step[[#This Row],[E_NTOT]]/données_step[[#This Row],[E_COT]]=0,NA(),données_step[[#This Row],[E_NTOT]]/données_step[[#This Row],[E_COT]]),"")</f>
        <v/>
      </c>
      <c r="BO326" s="521" t="str">
        <f>IFERROR(IF(données_step[[#This Row],[E_PTOT]]/données_step[[#This Row],[E_COT]]=0,NA(),données_step[[#This Row],[E_PTOT]]/données_step[[#This Row],[E_COT]]),"")</f>
        <v/>
      </c>
      <c r="BP326" s="521" t="e">
        <f>IF(données_step[[#This Row],[E_DCO]]/données_step[[#This Row],[E_COT]]=0,NA(),données_step[[#This Row],[E_DCO]]/données_step[[#This Row],[E_COT]])</f>
        <v>#DIV/0!</v>
      </c>
      <c r="BQ326" s="521" t="e">
        <f>IF(données_step[[#This Row],[E_NTOT]]/données_step[[#This Row],[E_DCO]]=0,NA(),données_step[[#This Row],[E_NTOT]]/données_step[[#This Row],[E_DCO]])</f>
        <v>#DIV/0!</v>
      </c>
      <c r="BR326" s="521" t="e">
        <f>IF(données_step[[#This Row],[E_PTOT]]/données_step[[#This Row],[E_DCO]]=0,NA(),données_step[[#This Row],[E_PTOT]]/données_step[[#This Row],[E_DCO]])</f>
        <v>#DIV/0!</v>
      </c>
      <c r="BS326" s="747" t="e">
        <f ca="1">test_NH4_temp(données_step[[#This Row],[S_NH4]],données_step[[#This Row],[Temp_eaux]])</f>
        <v>#NAME?</v>
      </c>
    </row>
    <row r="327" spans="1:71" x14ac:dyDescent="0.2">
      <c r="A327" s="222">
        <f>données_step[[#This Row],[Datum]]</f>
        <v>44878</v>
      </c>
      <c r="B327" s="223"/>
      <c r="C327" s="224">
        <f t="shared" si="79"/>
        <v>1</v>
      </c>
      <c r="D327" s="523" t="str">
        <f>IF(OR(données_step[[#This Row],[E_DBO5]]&lt;=0,données_step[[#This Row],[E_DBO5]]=""),"",données_step[[#This Row],[D_QTRAI]]*données_step[[#This Row],[E_DBO5]]/1000)</f>
        <v/>
      </c>
      <c r="E327" s="523" t="str">
        <f>IF(OR(données_step[[#This Row],[E_DCO]]&lt;=0,données_step[[#This Row],[E_DCO]]=""),"",données_step[[#This Row],[D_QTRAI]]*données_step[[#This Row],[E_DCO]]/1000)</f>
        <v/>
      </c>
      <c r="F327" s="523" t="str">
        <f>IF(OR(données_step[[#This Row],[E_COT]]&lt;=0,données_step[[#This Row],[E_COT]]=""),"",données_step[[#This Row],[D_QTRAI]]*données_step[[#This Row],[E_COT]]/1000)</f>
        <v/>
      </c>
      <c r="G327" s="523" t="str">
        <f>IF(OR(données_step[[#This Row],[E_NH4]]&lt;=0,données_step[[#This Row],[E_NH4]]=""),"",données_step[[#This Row],[D_QTRAI]]*données_step[[#This Row],[E_NH4]]/1000)</f>
        <v/>
      </c>
      <c r="H327" s="523" t="str">
        <f>IF(OR(données_step[[#This Row],[E_NTOT]]&lt;=0,données_step[[#This Row],[E_NTOT]]=""),"",données_step[[#This Row],[D_QTRAI]]*données_step[[#This Row],[E_NTOT]]/1000)</f>
        <v/>
      </c>
      <c r="I327" s="523" t="str">
        <f>IF(OR(données_step[[#This Row],[E_NTOT]]&lt;=0,données_step[[#This Row],[E_NTOT]]=""),"",données_step[[#This Row],[D_QTRAI]]*données_step[[#This Row],[E_PTOT]]/1000)</f>
        <v/>
      </c>
      <c r="J327" s="523" t="str">
        <f>IF(OR(données_step[[#This Row],[S_DBO5]]&lt;=0,données_step[[#This Row],[S_DBO5]]=""),"",données_step[[#This Row],[D_QTRAI]]*données_step[[#This Row],[S_DBO5]]/1000)</f>
        <v/>
      </c>
      <c r="K327" s="523" t="str">
        <f>IF(OR(données_step[[#This Row],[S_DCO]]&lt;=0,données_step[[#This Row],[S_DCO]]=""),"",données_step[[#This Row],[D_QTRAI]]*données_step[[#This Row],[S_DCO]]/1000)</f>
        <v/>
      </c>
      <c r="L327" s="523" t="str">
        <f>IF(OR(données_step[[#This Row],[S_COD]]&lt;=0,données_step[[#This Row],[S_COD]]=""),"",données_step[[#This Row],[D_QTRAI]]*données_step[[#This Row],[S_COD]]/1000)</f>
        <v/>
      </c>
      <c r="M327" s="523" t="str">
        <f>IF(OR(données_step[[#This Row],[S_NH4]]&lt;=0,données_step[[#This Row],[S_NH4]]=""),"",données_step[[#This Row],[D_QTRAI]]*données_step[[#This Row],[S_NH4]]/1000)</f>
        <v/>
      </c>
      <c r="N327" s="523" t="str">
        <f>IF(OR(données_step[[#This Row],[S_NO2]]&lt;=0,données_step[[#This Row],[S_NO2]]=""),"",données_step[[#This Row],[D_QTRAI]]*données_step[[#This Row],[S_NO2]]/1000)</f>
        <v/>
      </c>
      <c r="O327" s="523" t="str">
        <f>IF(OR(données_step[[#This Row],[S_NO3]]&lt;=0,données_step[[#This Row],[S_NO3]]=""),"",données_step[[#This Row],[D_QTRAI]]*données_step[[#This Row],[S_NO3]]/1000)</f>
        <v/>
      </c>
      <c r="P327" s="523" t="str">
        <f>IF(OR(données_step[[#This Row],[S_PTOT]]&lt;=0,données_step[[#This Row],[S_PTOT]]=""),"",données_step[[#This Row],[D_QTRAI]]*données_step[[#This Row],[S_PTOT]]/1000)</f>
        <v/>
      </c>
      <c r="Q327" s="523" t="str">
        <f>IF(OR(données_step[[#This Row],[S_MES]]&lt;=0,données_step[[#This Row],[S_MES]]=""),"",données_step[[#This Row],[D_QTRAI]]*données_step[[#This Row],[S_MES]]/1000)</f>
        <v/>
      </c>
      <c r="R327" s="523">
        <f>MAX(données_step[[#This Row],[D_QTRAI]],données_step[[#This Row],[D_QTRAI2]])</f>
        <v>0</v>
      </c>
      <c r="S327" s="523" t="str">
        <f>IF(AND($R327&gt;0,données_step[[#This Row],[E_DCO]]&gt;0),données_step[[#This Row],[E_DCO]],"")</f>
        <v/>
      </c>
      <c r="T327" s="523" t="str">
        <f>IF(S327="","",(1-données_step[[#This Row],[E_DCO]]/$V$7)*100)</f>
        <v/>
      </c>
      <c r="U327" s="523" t="str">
        <f t="shared" si="65"/>
        <v/>
      </c>
      <c r="V327" s="523" t="str">
        <f t="shared" si="66"/>
        <v/>
      </c>
      <c r="W327" s="523" t="str">
        <f t="shared" si="67"/>
        <v/>
      </c>
      <c r="X327" s="523" t="e">
        <f>IF(((100-100/$V$7*données_step[[#This Row],[E_DCO]])/100*QTS)&lt;0,NA(),IF(OR(U327&lt;0,U327=""),NA(),((100-100/$V$7*données_step[[#This Row],[E_DCO]])/100*QTS)))</f>
        <v>#NUM!</v>
      </c>
      <c r="Y327" s="523" t="str">
        <f>IF(AND($R327&gt;0,données_step[[#This Row],[E_COT]]&gt;0),données_step[[#This Row],[E_COT]],"")</f>
        <v/>
      </c>
      <c r="Z327" s="523" t="str">
        <f>IF(Y327="","",(1-données_step[[#This Row],[E_COT]]/$AB$7)*100)</f>
        <v/>
      </c>
      <c r="AA327" s="523" t="str">
        <f t="shared" si="68"/>
        <v/>
      </c>
      <c r="AB327" s="523" t="str">
        <f t="shared" si="69"/>
        <v/>
      </c>
      <c r="AC327" s="523" t="str">
        <f t="shared" si="70"/>
        <v/>
      </c>
      <c r="AD327" s="523" t="e">
        <f>IF(((100-100/$AB$7*données_step[[#This Row],[E_COT]])/100*QTS)&lt;0,NA(),IF(OR(AA327&lt;0,AA327=""),NA(),((100-100/$AB$7*données_step[[#This Row],[E_COT]])/100*QTS)))</f>
        <v>#NUM!</v>
      </c>
      <c r="AE327" s="523" t="str">
        <f>IF(AND($R327&gt;0,données_step[[#This Row],[E_NH4]]&gt;0),données_step[[#This Row],[E_NH4]],"")</f>
        <v/>
      </c>
      <c r="AF327" s="523" t="str">
        <f>IF(AE327="","",(1-données_step[[#This Row],[E_NH4]]/$AH$7)*100)</f>
        <v/>
      </c>
      <c r="AG327" s="523" t="str">
        <f t="shared" si="71"/>
        <v/>
      </c>
      <c r="AH327" s="523" t="str">
        <f t="shared" si="72"/>
        <v/>
      </c>
      <c r="AI327" s="523" t="str">
        <f t="shared" si="73"/>
        <v/>
      </c>
      <c r="AJ327" s="523" t="e">
        <f>IF(((100-100/$AH$7*données_step[[#This Row],[E_NH4]])/100*QTS)&lt;0,NA(),IF(OR(AG327&lt;0,AG327=""),NA(),((100-100/$AH$7*données_step[[#This Row],[E_NH4]])/100*QTS)))</f>
        <v>#NUM!</v>
      </c>
      <c r="AK327" s="523" t="str">
        <f>IF(AND($R327&gt;0,données_step[[#This Row],[E_PTOT]]&gt;0),données_step[[#This Row],[E_PTOT]],"")</f>
        <v/>
      </c>
      <c r="AL327" s="523" t="str">
        <f>IF(AK327="","",(1-données_step[[#This Row],[E_PTOT]]/$AN$7)*100)</f>
        <v/>
      </c>
      <c r="AM327" s="523" t="str">
        <f t="shared" si="74"/>
        <v/>
      </c>
      <c r="AN327" s="523" t="str">
        <f t="shared" si="75"/>
        <v/>
      </c>
      <c r="AO327" s="523" t="str">
        <f t="shared" si="76"/>
        <v/>
      </c>
      <c r="AP327" s="523" t="e">
        <f>IF(((100-100/$AN$7*données_step[[#This Row],[E_PTOT]])/100*QTS)&lt;0,NA(),IF(OR(AM327&lt;0,AM327=""),NA(),((100-100/$AN$7*données_step[[#This Row],[E_PTOT]])/100*QTS)))</f>
        <v>#NUM!</v>
      </c>
      <c r="AQ327" s="524" t="e">
        <f t="shared" si="77"/>
        <v>#NUM!</v>
      </c>
      <c r="AR327" s="524" t="str">
        <f t="shared" si="78"/>
        <v/>
      </c>
      <c r="AY327" s="523" t="str">
        <f>_xlfn.IFNA(IF(données_step[[#This Row],[E_DCO]]&lt;=0,NA(),charge_entree[[#This Row],[ch_E_DCO]]/constanten!$B$8*1000),"")</f>
        <v/>
      </c>
      <c r="AZ327" s="523" t="str">
        <f>_xlfn.IFNA(IF(données_step[[#This Row],[E_NTOT]]&lt;=0,NA(),charge_entree[[#This Row],[ch_E_NTOT]]/constanten!$B$10*1000),"")</f>
        <v/>
      </c>
      <c r="BA327" s="523" t="str">
        <f>_xlfn.IFNA(IF(données_step[[#This Row],[E_NH4]]&lt;=0,NA(),charge_entree[[#This Row],[ch_E_NH4]]/constanten!$B$12*1000),"")</f>
        <v/>
      </c>
      <c r="BB327" s="523" t="str">
        <f>_xlfn.IFNA(IF(données_step[[#This Row],[E_COT]]&lt;=0,NA(),charge_entree[[#This Row],[ch_E_COT]]/constanten!$B$9*1000),"")</f>
        <v/>
      </c>
      <c r="BC327" s="523" t="str">
        <f>IFERROR(_xlfn.IFNA(IF(données_step[[#This Row],[E_PTOT]]&lt;=0,NA(),charge_entree[[#This Row],[ch_E_PTOT]]/constanten!$B$15*1000),""),"")</f>
        <v/>
      </c>
      <c r="BD327" s="535" t="e">
        <f>calculs!E327 * (1-0.4) / (données_step[[#This Row],[X_BA_VOL]]*données_step[[#This Row],[X_BACONC]])</f>
        <v>#VALUE!</v>
      </c>
      <c r="BE327" s="522" t="e">
        <f>(données_step[[#This Row],[X_BA_VOL]]*données_step[[#This Row],[X_BACONC]])/((données_step[[#This Row],[D_QTRAI2]]*données_step[[#This Row],[S_MES]]/1000)+(données_step[[#This Row],[X_BX_Q]]*données_step[[#This Row],[X_BXCONC]]))</f>
        <v>#VALUE!</v>
      </c>
      <c r="BF327" s="890" t="str">
        <f>IFERROR(données_step[[#This Row],[D_QTRAI]]/AY327*1000,"")</f>
        <v/>
      </c>
      <c r="BG327" s="535" t="str">
        <f>IFERROR(1-données_step[[#This Row],[S_DBO5]]/données_step[[#This Row],[E_DBO5]],"")</f>
        <v/>
      </c>
      <c r="BH327" s="536" t="str">
        <f>IFERROR(1-données_step[[#This Row],[S_DCO]]/données_step[[#This Row],[E_DCO]],"")</f>
        <v/>
      </c>
      <c r="BI327" s="535" t="str">
        <f>IFERROR(1-données_step[[#This Row],[S_COD]]/données_step[[#This Row],[E_COT]],"")</f>
        <v/>
      </c>
      <c r="BJ327" s="535" t="str">
        <f>IFERROR(1-données_step[[#This Row],[S_NH4]]/données_step[[#This Row],[E_NTOT]],"")</f>
        <v/>
      </c>
      <c r="BK327" s="535" t="str">
        <f>IFERROR(1-données_step[[#This Row],[S_PTOT]]/données_step[[#This Row],[E_PTOT]],"")</f>
        <v/>
      </c>
      <c r="BL327" s="521" t="str">
        <f>IFERROR(IF(données_step[[#This Row],[E_DCO]]/données_step[[#This Row],[E_DBO5]]=0,NA(),données_step[[#This Row],[E_DCO]]/données_step[[#This Row],[E_DBO5]]),"")</f>
        <v/>
      </c>
      <c r="BM327" s="521" t="str">
        <f>IFERROR(IF(données_step[[#This Row],[E_NH4]]/données_step[[#This Row],[E_NTOT]]=0,NA(),données_step[[#This Row],[E_NH4]]/données_step[[#This Row],[E_NTOT]]),"")</f>
        <v/>
      </c>
      <c r="BN327" s="521" t="str">
        <f>IFERROR(IF(données_step[[#This Row],[E_NTOT]]/données_step[[#This Row],[E_COT]]=0,NA(),données_step[[#This Row],[E_NTOT]]/données_step[[#This Row],[E_COT]]),"")</f>
        <v/>
      </c>
      <c r="BO327" s="521" t="str">
        <f>IFERROR(IF(données_step[[#This Row],[E_PTOT]]/données_step[[#This Row],[E_COT]]=0,NA(),données_step[[#This Row],[E_PTOT]]/données_step[[#This Row],[E_COT]]),"")</f>
        <v/>
      </c>
      <c r="BP327" s="521" t="e">
        <f>IF(données_step[[#This Row],[E_DCO]]/données_step[[#This Row],[E_COT]]=0,NA(),données_step[[#This Row],[E_DCO]]/données_step[[#This Row],[E_COT]])</f>
        <v>#DIV/0!</v>
      </c>
      <c r="BQ327" s="521" t="e">
        <f>IF(données_step[[#This Row],[E_NTOT]]/données_step[[#This Row],[E_DCO]]=0,NA(),données_step[[#This Row],[E_NTOT]]/données_step[[#This Row],[E_DCO]])</f>
        <v>#DIV/0!</v>
      </c>
      <c r="BR327" s="521" t="e">
        <f>IF(données_step[[#This Row],[E_PTOT]]/données_step[[#This Row],[E_DCO]]=0,NA(),données_step[[#This Row],[E_PTOT]]/données_step[[#This Row],[E_DCO]])</f>
        <v>#DIV/0!</v>
      </c>
      <c r="BS327" s="747" t="e">
        <f ca="1">test_NH4_temp(données_step[[#This Row],[S_NH4]],données_step[[#This Row],[Temp_eaux]])</f>
        <v>#NAME?</v>
      </c>
    </row>
    <row r="328" spans="1:71" x14ac:dyDescent="0.2">
      <c r="A328" s="222">
        <f>données_step[[#This Row],[Datum]]</f>
        <v>44879</v>
      </c>
      <c r="B328" s="223"/>
      <c r="C328" s="224">
        <f t="shared" si="79"/>
        <v>2</v>
      </c>
      <c r="D328" s="523" t="str">
        <f>IF(OR(données_step[[#This Row],[E_DBO5]]&lt;=0,données_step[[#This Row],[E_DBO5]]=""),"",données_step[[#This Row],[D_QTRAI]]*données_step[[#This Row],[E_DBO5]]/1000)</f>
        <v/>
      </c>
      <c r="E328" s="523" t="str">
        <f>IF(OR(données_step[[#This Row],[E_DCO]]&lt;=0,données_step[[#This Row],[E_DCO]]=""),"",données_step[[#This Row],[D_QTRAI]]*données_step[[#This Row],[E_DCO]]/1000)</f>
        <v/>
      </c>
      <c r="F328" s="523" t="str">
        <f>IF(OR(données_step[[#This Row],[E_COT]]&lt;=0,données_step[[#This Row],[E_COT]]=""),"",données_step[[#This Row],[D_QTRAI]]*données_step[[#This Row],[E_COT]]/1000)</f>
        <v/>
      </c>
      <c r="G328" s="523" t="str">
        <f>IF(OR(données_step[[#This Row],[E_NH4]]&lt;=0,données_step[[#This Row],[E_NH4]]=""),"",données_step[[#This Row],[D_QTRAI]]*données_step[[#This Row],[E_NH4]]/1000)</f>
        <v/>
      </c>
      <c r="H328" s="523" t="str">
        <f>IF(OR(données_step[[#This Row],[E_NTOT]]&lt;=0,données_step[[#This Row],[E_NTOT]]=""),"",données_step[[#This Row],[D_QTRAI]]*données_step[[#This Row],[E_NTOT]]/1000)</f>
        <v/>
      </c>
      <c r="I328" s="523" t="str">
        <f>IF(OR(données_step[[#This Row],[E_NTOT]]&lt;=0,données_step[[#This Row],[E_NTOT]]=""),"",données_step[[#This Row],[D_QTRAI]]*données_step[[#This Row],[E_PTOT]]/1000)</f>
        <v/>
      </c>
      <c r="J328" s="523" t="str">
        <f>IF(OR(données_step[[#This Row],[S_DBO5]]&lt;=0,données_step[[#This Row],[S_DBO5]]=""),"",données_step[[#This Row],[D_QTRAI]]*données_step[[#This Row],[S_DBO5]]/1000)</f>
        <v/>
      </c>
      <c r="K328" s="523" t="str">
        <f>IF(OR(données_step[[#This Row],[S_DCO]]&lt;=0,données_step[[#This Row],[S_DCO]]=""),"",données_step[[#This Row],[D_QTRAI]]*données_step[[#This Row],[S_DCO]]/1000)</f>
        <v/>
      </c>
      <c r="L328" s="523" t="str">
        <f>IF(OR(données_step[[#This Row],[S_COD]]&lt;=0,données_step[[#This Row],[S_COD]]=""),"",données_step[[#This Row],[D_QTRAI]]*données_step[[#This Row],[S_COD]]/1000)</f>
        <v/>
      </c>
      <c r="M328" s="523" t="str">
        <f>IF(OR(données_step[[#This Row],[S_NH4]]&lt;=0,données_step[[#This Row],[S_NH4]]=""),"",données_step[[#This Row],[D_QTRAI]]*données_step[[#This Row],[S_NH4]]/1000)</f>
        <v/>
      </c>
      <c r="N328" s="523" t="str">
        <f>IF(OR(données_step[[#This Row],[S_NO2]]&lt;=0,données_step[[#This Row],[S_NO2]]=""),"",données_step[[#This Row],[D_QTRAI]]*données_step[[#This Row],[S_NO2]]/1000)</f>
        <v/>
      </c>
      <c r="O328" s="523" t="str">
        <f>IF(OR(données_step[[#This Row],[S_NO3]]&lt;=0,données_step[[#This Row],[S_NO3]]=""),"",données_step[[#This Row],[D_QTRAI]]*données_step[[#This Row],[S_NO3]]/1000)</f>
        <v/>
      </c>
      <c r="P328" s="523" t="str">
        <f>IF(OR(données_step[[#This Row],[S_PTOT]]&lt;=0,données_step[[#This Row],[S_PTOT]]=""),"",données_step[[#This Row],[D_QTRAI]]*données_step[[#This Row],[S_PTOT]]/1000)</f>
        <v/>
      </c>
      <c r="Q328" s="523" t="str">
        <f>IF(OR(données_step[[#This Row],[S_MES]]&lt;=0,données_step[[#This Row],[S_MES]]=""),"",données_step[[#This Row],[D_QTRAI]]*données_step[[#This Row],[S_MES]]/1000)</f>
        <v/>
      </c>
      <c r="R328" s="523">
        <f>MAX(données_step[[#This Row],[D_QTRAI]],données_step[[#This Row],[D_QTRAI2]])</f>
        <v>0</v>
      </c>
      <c r="S328" s="523" t="str">
        <f>IF(AND($R328&gt;0,données_step[[#This Row],[E_DCO]]&gt;0),données_step[[#This Row],[E_DCO]],"")</f>
        <v/>
      </c>
      <c r="T328" s="523" t="str">
        <f>IF(S328="","",(1-données_step[[#This Row],[E_DCO]]/$V$7)*100)</f>
        <v/>
      </c>
      <c r="U328" s="523" t="str">
        <f t="shared" si="65"/>
        <v/>
      </c>
      <c r="V328" s="523" t="str">
        <f t="shared" si="66"/>
        <v/>
      </c>
      <c r="W328" s="523" t="str">
        <f t="shared" si="67"/>
        <v/>
      </c>
      <c r="X328" s="523" t="e">
        <f>IF(((100-100/$V$7*données_step[[#This Row],[E_DCO]])/100*QTS)&lt;0,NA(),IF(OR(U328&lt;0,U328=""),NA(),((100-100/$V$7*données_step[[#This Row],[E_DCO]])/100*QTS)))</f>
        <v>#NUM!</v>
      </c>
      <c r="Y328" s="523" t="str">
        <f>IF(AND($R328&gt;0,données_step[[#This Row],[E_COT]]&gt;0),données_step[[#This Row],[E_COT]],"")</f>
        <v/>
      </c>
      <c r="Z328" s="523" t="str">
        <f>IF(Y328="","",(1-données_step[[#This Row],[E_COT]]/$AB$7)*100)</f>
        <v/>
      </c>
      <c r="AA328" s="523" t="str">
        <f t="shared" si="68"/>
        <v/>
      </c>
      <c r="AB328" s="523" t="str">
        <f t="shared" si="69"/>
        <v/>
      </c>
      <c r="AC328" s="523" t="str">
        <f t="shared" si="70"/>
        <v/>
      </c>
      <c r="AD328" s="523" t="e">
        <f>IF(((100-100/$AB$7*données_step[[#This Row],[E_COT]])/100*QTS)&lt;0,NA(),IF(OR(AA328&lt;0,AA328=""),NA(),((100-100/$AB$7*données_step[[#This Row],[E_COT]])/100*QTS)))</f>
        <v>#NUM!</v>
      </c>
      <c r="AE328" s="523" t="str">
        <f>IF(AND($R328&gt;0,données_step[[#This Row],[E_NH4]]&gt;0),données_step[[#This Row],[E_NH4]],"")</f>
        <v/>
      </c>
      <c r="AF328" s="523" t="str">
        <f>IF(AE328="","",(1-données_step[[#This Row],[E_NH4]]/$AH$7)*100)</f>
        <v/>
      </c>
      <c r="AG328" s="523" t="str">
        <f t="shared" si="71"/>
        <v/>
      </c>
      <c r="AH328" s="523" t="str">
        <f t="shared" si="72"/>
        <v/>
      </c>
      <c r="AI328" s="523" t="str">
        <f t="shared" si="73"/>
        <v/>
      </c>
      <c r="AJ328" s="523" t="e">
        <f>IF(((100-100/$AH$7*données_step[[#This Row],[E_NH4]])/100*QTS)&lt;0,NA(),IF(OR(AG328&lt;0,AG328=""),NA(),((100-100/$AH$7*données_step[[#This Row],[E_NH4]])/100*QTS)))</f>
        <v>#NUM!</v>
      </c>
      <c r="AK328" s="523" t="str">
        <f>IF(AND($R328&gt;0,données_step[[#This Row],[E_PTOT]]&gt;0),données_step[[#This Row],[E_PTOT]],"")</f>
        <v/>
      </c>
      <c r="AL328" s="523" t="str">
        <f>IF(AK328="","",(1-données_step[[#This Row],[E_PTOT]]/$AN$7)*100)</f>
        <v/>
      </c>
      <c r="AM328" s="523" t="str">
        <f t="shared" si="74"/>
        <v/>
      </c>
      <c r="AN328" s="523" t="str">
        <f t="shared" si="75"/>
        <v/>
      </c>
      <c r="AO328" s="523" t="str">
        <f t="shared" si="76"/>
        <v/>
      </c>
      <c r="AP328" s="523" t="e">
        <f>IF(((100-100/$AN$7*données_step[[#This Row],[E_PTOT]])/100*QTS)&lt;0,NA(),IF(OR(AM328&lt;0,AM328=""),NA(),((100-100/$AN$7*données_step[[#This Row],[E_PTOT]])/100*QTS)))</f>
        <v>#NUM!</v>
      </c>
      <c r="AQ328" s="524" t="e">
        <f t="shared" si="77"/>
        <v>#NUM!</v>
      </c>
      <c r="AR328" s="524" t="str">
        <f t="shared" si="78"/>
        <v/>
      </c>
      <c r="AY328" s="523" t="str">
        <f>_xlfn.IFNA(IF(données_step[[#This Row],[E_DCO]]&lt;=0,NA(),charge_entree[[#This Row],[ch_E_DCO]]/constanten!$B$8*1000),"")</f>
        <v/>
      </c>
      <c r="AZ328" s="523" t="str">
        <f>_xlfn.IFNA(IF(données_step[[#This Row],[E_NTOT]]&lt;=0,NA(),charge_entree[[#This Row],[ch_E_NTOT]]/constanten!$B$10*1000),"")</f>
        <v/>
      </c>
      <c r="BA328" s="523" t="str">
        <f>_xlfn.IFNA(IF(données_step[[#This Row],[E_NH4]]&lt;=0,NA(),charge_entree[[#This Row],[ch_E_NH4]]/constanten!$B$12*1000),"")</f>
        <v/>
      </c>
      <c r="BB328" s="523" t="str">
        <f>_xlfn.IFNA(IF(données_step[[#This Row],[E_COT]]&lt;=0,NA(),charge_entree[[#This Row],[ch_E_COT]]/constanten!$B$9*1000),"")</f>
        <v/>
      </c>
      <c r="BC328" s="523" t="str">
        <f>IFERROR(_xlfn.IFNA(IF(données_step[[#This Row],[E_PTOT]]&lt;=0,NA(),charge_entree[[#This Row],[ch_E_PTOT]]/constanten!$B$15*1000),""),"")</f>
        <v/>
      </c>
      <c r="BD328" s="535" t="e">
        <f>calculs!E328 * (1-0.4) / (données_step[[#This Row],[X_BA_VOL]]*données_step[[#This Row],[X_BACONC]])</f>
        <v>#VALUE!</v>
      </c>
      <c r="BE328" s="522" t="e">
        <f>(données_step[[#This Row],[X_BA_VOL]]*données_step[[#This Row],[X_BACONC]])/((données_step[[#This Row],[D_QTRAI2]]*données_step[[#This Row],[S_MES]]/1000)+(données_step[[#This Row],[X_BX_Q]]*données_step[[#This Row],[X_BXCONC]]))</f>
        <v>#VALUE!</v>
      </c>
      <c r="BF328" s="890" t="str">
        <f>IFERROR(données_step[[#This Row],[D_QTRAI]]/AY328*1000,"")</f>
        <v/>
      </c>
      <c r="BG328" s="535" t="str">
        <f>IFERROR(1-données_step[[#This Row],[S_DBO5]]/données_step[[#This Row],[E_DBO5]],"")</f>
        <v/>
      </c>
      <c r="BH328" s="536" t="str">
        <f>IFERROR(1-données_step[[#This Row],[S_DCO]]/données_step[[#This Row],[E_DCO]],"")</f>
        <v/>
      </c>
      <c r="BI328" s="535" t="str">
        <f>IFERROR(1-données_step[[#This Row],[S_COD]]/données_step[[#This Row],[E_COT]],"")</f>
        <v/>
      </c>
      <c r="BJ328" s="535" t="str">
        <f>IFERROR(1-données_step[[#This Row],[S_NH4]]/données_step[[#This Row],[E_NTOT]],"")</f>
        <v/>
      </c>
      <c r="BK328" s="535" t="str">
        <f>IFERROR(1-données_step[[#This Row],[S_PTOT]]/données_step[[#This Row],[E_PTOT]],"")</f>
        <v/>
      </c>
      <c r="BL328" s="521" t="str">
        <f>IFERROR(IF(données_step[[#This Row],[E_DCO]]/données_step[[#This Row],[E_DBO5]]=0,NA(),données_step[[#This Row],[E_DCO]]/données_step[[#This Row],[E_DBO5]]),"")</f>
        <v/>
      </c>
      <c r="BM328" s="521" t="str">
        <f>IFERROR(IF(données_step[[#This Row],[E_NH4]]/données_step[[#This Row],[E_NTOT]]=0,NA(),données_step[[#This Row],[E_NH4]]/données_step[[#This Row],[E_NTOT]]),"")</f>
        <v/>
      </c>
      <c r="BN328" s="521" t="str">
        <f>IFERROR(IF(données_step[[#This Row],[E_NTOT]]/données_step[[#This Row],[E_COT]]=0,NA(),données_step[[#This Row],[E_NTOT]]/données_step[[#This Row],[E_COT]]),"")</f>
        <v/>
      </c>
      <c r="BO328" s="521" t="str">
        <f>IFERROR(IF(données_step[[#This Row],[E_PTOT]]/données_step[[#This Row],[E_COT]]=0,NA(),données_step[[#This Row],[E_PTOT]]/données_step[[#This Row],[E_COT]]),"")</f>
        <v/>
      </c>
      <c r="BP328" s="521" t="e">
        <f>IF(données_step[[#This Row],[E_DCO]]/données_step[[#This Row],[E_COT]]=0,NA(),données_step[[#This Row],[E_DCO]]/données_step[[#This Row],[E_COT]])</f>
        <v>#DIV/0!</v>
      </c>
      <c r="BQ328" s="521" t="e">
        <f>IF(données_step[[#This Row],[E_NTOT]]/données_step[[#This Row],[E_DCO]]=0,NA(),données_step[[#This Row],[E_NTOT]]/données_step[[#This Row],[E_DCO]])</f>
        <v>#DIV/0!</v>
      </c>
      <c r="BR328" s="521" t="e">
        <f>IF(données_step[[#This Row],[E_PTOT]]/données_step[[#This Row],[E_DCO]]=0,NA(),données_step[[#This Row],[E_PTOT]]/données_step[[#This Row],[E_DCO]])</f>
        <v>#DIV/0!</v>
      </c>
      <c r="BS328" s="747" t="e">
        <f ca="1">test_NH4_temp(données_step[[#This Row],[S_NH4]],données_step[[#This Row],[Temp_eaux]])</f>
        <v>#NAME?</v>
      </c>
    </row>
    <row r="329" spans="1:71" x14ac:dyDescent="0.2">
      <c r="A329" s="222">
        <f>données_step[[#This Row],[Datum]]</f>
        <v>44880</v>
      </c>
      <c r="B329" s="223"/>
      <c r="C329" s="224">
        <f t="shared" si="79"/>
        <v>3</v>
      </c>
      <c r="D329" s="523" t="str">
        <f>IF(OR(données_step[[#This Row],[E_DBO5]]&lt;=0,données_step[[#This Row],[E_DBO5]]=""),"",données_step[[#This Row],[D_QTRAI]]*données_step[[#This Row],[E_DBO5]]/1000)</f>
        <v/>
      </c>
      <c r="E329" s="523" t="str">
        <f>IF(OR(données_step[[#This Row],[E_DCO]]&lt;=0,données_step[[#This Row],[E_DCO]]=""),"",données_step[[#This Row],[D_QTRAI]]*données_step[[#This Row],[E_DCO]]/1000)</f>
        <v/>
      </c>
      <c r="F329" s="523" t="str">
        <f>IF(OR(données_step[[#This Row],[E_COT]]&lt;=0,données_step[[#This Row],[E_COT]]=""),"",données_step[[#This Row],[D_QTRAI]]*données_step[[#This Row],[E_COT]]/1000)</f>
        <v/>
      </c>
      <c r="G329" s="523" t="str">
        <f>IF(OR(données_step[[#This Row],[E_NH4]]&lt;=0,données_step[[#This Row],[E_NH4]]=""),"",données_step[[#This Row],[D_QTRAI]]*données_step[[#This Row],[E_NH4]]/1000)</f>
        <v/>
      </c>
      <c r="H329" s="523" t="str">
        <f>IF(OR(données_step[[#This Row],[E_NTOT]]&lt;=0,données_step[[#This Row],[E_NTOT]]=""),"",données_step[[#This Row],[D_QTRAI]]*données_step[[#This Row],[E_NTOT]]/1000)</f>
        <v/>
      </c>
      <c r="I329" s="523" t="str">
        <f>IF(OR(données_step[[#This Row],[E_NTOT]]&lt;=0,données_step[[#This Row],[E_NTOT]]=""),"",données_step[[#This Row],[D_QTRAI]]*données_step[[#This Row],[E_PTOT]]/1000)</f>
        <v/>
      </c>
      <c r="J329" s="523" t="str">
        <f>IF(OR(données_step[[#This Row],[S_DBO5]]&lt;=0,données_step[[#This Row],[S_DBO5]]=""),"",données_step[[#This Row],[D_QTRAI]]*données_step[[#This Row],[S_DBO5]]/1000)</f>
        <v/>
      </c>
      <c r="K329" s="523" t="str">
        <f>IF(OR(données_step[[#This Row],[S_DCO]]&lt;=0,données_step[[#This Row],[S_DCO]]=""),"",données_step[[#This Row],[D_QTRAI]]*données_step[[#This Row],[S_DCO]]/1000)</f>
        <v/>
      </c>
      <c r="L329" s="523" t="str">
        <f>IF(OR(données_step[[#This Row],[S_COD]]&lt;=0,données_step[[#This Row],[S_COD]]=""),"",données_step[[#This Row],[D_QTRAI]]*données_step[[#This Row],[S_COD]]/1000)</f>
        <v/>
      </c>
      <c r="M329" s="523" t="str">
        <f>IF(OR(données_step[[#This Row],[S_NH4]]&lt;=0,données_step[[#This Row],[S_NH4]]=""),"",données_step[[#This Row],[D_QTRAI]]*données_step[[#This Row],[S_NH4]]/1000)</f>
        <v/>
      </c>
      <c r="N329" s="523" t="str">
        <f>IF(OR(données_step[[#This Row],[S_NO2]]&lt;=0,données_step[[#This Row],[S_NO2]]=""),"",données_step[[#This Row],[D_QTRAI]]*données_step[[#This Row],[S_NO2]]/1000)</f>
        <v/>
      </c>
      <c r="O329" s="523" t="str">
        <f>IF(OR(données_step[[#This Row],[S_NO3]]&lt;=0,données_step[[#This Row],[S_NO3]]=""),"",données_step[[#This Row],[D_QTRAI]]*données_step[[#This Row],[S_NO3]]/1000)</f>
        <v/>
      </c>
      <c r="P329" s="523" t="str">
        <f>IF(OR(données_step[[#This Row],[S_PTOT]]&lt;=0,données_step[[#This Row],[S_PTOT]]=""),"",données_step[[#This Row],[D_QTRAI]]*données_step[[#This Row],[S_PTOT]]/1000)</f>
        <v/>
      </c>
      <c r="Q329" s="523" t="str">
        <f>IF(OR(données_step[[#This Row],[S_MES]]&lt;=0,données_step[[#This Row],[S_MES]]=""),"",données_step[[#This Row],[D_QTRAI]]*données_step[[#This Row],[S_MES]]/1000)</f>
        <v/>
      </c>
      <c r="R329" s="523">
        <f>MAX(données_step[[#This Row],[D_QTRAI]],données_step[[#This Row],[D_QTRAI2]])</f>
        <v>0</v>
      </c>
      <c r="S329" s="523" t="str">
        <f>IF(AND($R329&gt;0,données_step[[#This Row],[E_DCO]]&gt;0),données_step[[#This Row],[E_DCO]],"")</f>
        <v/>
      </c>
      <c r="T329" s="523" t="str">
        <f>IF(S329="","",(1-données_step[[#This Row],[E_DCO]]/$V$7)*100)</f>
        <v/>
      </c>
      <c r="U329" s="523" t="str">
        <f t="shared" si="65"/>
        <v/>
      </c>
      <c r="V329" s="523" t="str">
        <f t="shared" si="66"/>
        <v/>
      </c>
      <c r="W329" s="523" t="str">
        <f t="shared" si="67"/>
        <v/>
      </c>
      <c r="X329" s="523" t="e">
        <f>IF(((100-100/$V$7*données_step[[#This Row],[E_DCO]])/100*QTS)&lt;0,NA(),IF(OR(U329&lt;0,U329=""),NA(),((100-100/$V$7*données_step[[#This Row],[E_DCO]])/100*QTS)))</f>
        <v>#NUM!</v>
      </c>
      <c r="Y329" s="523" t="str">
        <f>IF(AND($R329&gt;0,données_step[[#This Row],[E_COT]]&gt;0),données_step[[#This Row],[E_COT]],"")</f>
        <v/>
      </c>
      <c r="Z329" s="523" t="str">
        <f>IF(Y329="","",(1-données_step[[#This Row],[E_COT]]/$AB$7)*100)</f>
        <v/>
      </c>
      <c r="AA329" s="523" t="str">
        <f t="shared" si="68"/>
        <v/>
      </c>
      <c r="AB329" s="523" t="str">
        <f t="shared" si="69"/>
        <v/>
      </c>
      <c r="AC329" s="523" t="str">
        <f t="shared" si="70"/>
        <v/>
      </c>
      <c r="AD329" s="523" t="e">
        <f>IF(((100-100/$AB$7*données_step[[#This Row],[E_COT]])/100*QTS)&lt;0,NA(),IF(OR(AA329&lt;0,AA329=""),NA(),((100-100/$AB$7*données_step[[#This Row],[E_COT]])/100*QTS)))</f>
        <v>#NUM!</v>
      </c>
      <c r="AE329" s="523" t="str">
        <f>IF(AND($R329&gt;0,données_step[[#This Row],[E_NH4]]&gt;0),données_step[[#This Row],[E_NH4]],"")</f>
        <v/>
      </c>
      <c r="AF329" s="523" t="str">
        <f>IF(AE329="","",(1-données_step[[#This Row],[E_NH4]]/$AH$7)*100)</f>
        <v/>
      </c>
      <c r="AG329" s="523" t="str">
        <f t="shared" si="71"/>
        <v/>
      </c>
      <c r="AH329" s="523" t="str">
        <f t="shared" si="72"/>
        <v/>
      </c>
      <c r="AI329" s="523" t="str">
        <f t="shared" si="73"/>
        <v/>
      </c>
      <c r="AJ329" s="523" t="e">
        <f>IF(((100-100/$AH$7*données_step[[#This Row],[E_NH4]])/100*QTS)&lt;0,NA(),IF(OR(AG329&lt;0,AG329=""),NA(),((100-100/$AH$7*données_step[[#This Row],[E_NH4]])/100*QTS)))</f>
        <v>#NUM!</v>
      </c>
      <c r="AK329" s="523" t="str">
        <f>IF(AND($R329&gt;0,données_step[[#This Row],[E_PTOT]]&gt;0),données_step[[#This Row],[E_PTOT]],"")</f>
        <v/>
      </c>
      <c r="AL329" s="523" t="str">
        <f>IF(AK329="","",(1-données_step[[#This Row],[E_PTOT]]/$AN$7)*100)</f>
        <v/>
      </c>
      <c r="AM329" s="523" t="str">
        <f t="shared" si="74"/>
        <v/>
      </c>
      <c r="AN329" s="523" t="str">
        <f t="shared" si="75"/>
        <v/>
      </c>
      <c r="AO329" s="523" t="str">
        <f t="shared" si="76"/>
        <v/>
      </c>
      <c r="AP329" s="523" t="e">
        <f>IF(((100-100/$AN$7*données_step[[#This Row],[E_PTOT]])/100*QTS)&lt;0,NA(),IF(OR(AM329&lt;0,AM329=""),NA(),((100-100/$AN$7*données_step[[#This Row],[E_PTOT]])/100*QTS)))</f>
        <v>#NUM!</v>
      </c>
      <c r="AQ329" s="524" t="e">
        <f t="shared" si="77"/>
        <v>#NUM!</v>
      </c>
      <c r="AR329" s="524" t="str">
        <f t="shared" si="78"/>
        <v/>
      </c>
      <c r="AY329" s="523" t="str">
        <f>_xlfn.IFNA(IF(données_step[[#This Row],[E_DCO]]&lt;=0,NA(),charge_entree[[#This Row],[ch_E_DCO]]/constanten!$B$8*1000),"")</f>
        <v/>
      </c>
      <c r="AZ329" s="523" t="str">
        <f>_xlfn.IFNA(IF(données_step[[#This Row],[E_NTOT]]&lt;=0,NA(),charge_entree[[#This Row],[ch_E_NTOT]]/constanten!$B$10*1000),"")</f>
        <v/>
      </c>
      <c r="BA329" s="523" t="str">
        <f>_xlfn.IFNA(IF(données_step[[#This Row],[E_NH4]]&lt;=0,NA(),charge_entree[[#This Row],[ch_E_NH4]]/constanten!$B$12*1000),"")</f>
        <v/>
      </c>
      <c r="BB329" s="523" t="str">
        <f>_xlfn.IFNA(IF(données_step[[#This Row],[E_COT]]&lt;=0,NA(),charge_entree[[#This Row],[ch_E_COT]]/constanten!$B$9*1000),"")</f>
        <v/>
      </c>
      <c r="BC329" s="523" t="str">
        <f>IFERROR(_xlfn.IFNA(IF(données_step[[#This Row],[E_PTOT]]&lt;=0,NA(),charge_entree[[#This Row],[ch_E_PTOT]]/constanten!$B$15*1000),""),"")</f>
        <v/>
      </c>
      <c r="BD329" s="535" t="e">
        <f>calculs!E329 * (1-0.4) / (données_step[[#This Row],[X_BA_VOL]]*données_step[[#This Row],[X_BACONC]])</f>
        <v>#VALUE!</v>
      </c>
      <c r="BE329" s="522" t="e">
        <f>(données_step[[#This Row],[X_BA_VOL]]*données_step[[#This Row],[X_BACONC]])/((données_step[[#This Row],[D_QTRAI2]]*données_step[[#This Row],[S_MES]]/1000)+(données_step[[#This Row],[X_BX_Q]]*données_step[[#This Row],[X_BXCONC]]))</f>
        <v>#VALUE!</v>
      </c>
      <c r="BF329" s="890" t="str">
        <f>IFERROR(données_step[[#This Row],[D_QTRAI]]/AY329*1000,"")</f>
        <v/>
      </c>
      <c r="BG329" s="535" t="str">
        <f>IFERROR(1-données_step[[#This Row],[S_DBO5]]/données_step[[#This Row],[E_DBO5]],"")</f>
        <v/>
      </c>
      <c r="BH329" s="536" t="str">
        <f>IFERROR(1-données_step[[#This Row],[S_DCO]]/données_step[[#This Row],[E_DCO]],"")</f>
        <v/>
      </c>
      <c r="BI329" s="535" t="str">
        <f>IFERROR(1-données_step[[#This Row],[S_COD]]/données_step[[#This Row],[E_COT]],"")</f>
        <v/>
      </c>
      <c r="BJ329" s="535" t="str">
        <f>IFERROR(1-données_step[[#This Row],[S_NH4]]/données_step[[#This Row],[E_NTOT]],"")</f>
        <v/>
      </c>
      <c r="BK329" s="535" t="str">
        <f>IFERROR(1-données_step[[#This Row],[S_PTOT]]/données_step[[#This Row],[E_PTOT]],"")</f>
        <v/>
      </c>
      <c r="BL329" s="521" t="str">
        <f>IFERROR(IF(données_step[[#This Row],[E_DCO]]/données_step[[#This Row],[E_DBO5]]=0,NA(),données_step[[#This Row],[E_DCO]]/données_step[[#This Row],[E_DBO5]]),"")</f>
        <v/>
      </c>
      <c r="BM329" s="521" t="str">
        <f>IFERROR(IF(données_step[[#This Row],[E_NH4]]/données_step[[#This Row],[E_NTOT]]=0,NA(),données_step[[#This Row],[E_NH4]]/données_step[[#This Row],[E_NTOT]]),"")</f>
        <v/>
      </c>
      <c r="BN329" s="521" t="str">
        <f>IFERROR(IF(données_step[[#This Row],[E_NTOT]]/données_step[[#This Row],[E_COT]]=0,NA(),données_step[[#This Row],[E_NTOT]]/données_step[[#This Row],[E_COT]]),"")</f>
        <v/>
      </c>
      <c r="BO329" s="521" t="str">
        <f>IFERROR(IF(données_step[[#This Row],[E_PTOT]]/données_step[[#This Row],[E_COT]]=0,NA(),données_step[[#This Row],[E_PTOT]]/données_step[[#This Row],[E_COT]]),"")</f>
        <v/>
      </c>
      <c r="BP329" s="521" t="e">
        <f>IF(données_step[[#This Row],[E_DCO]]/données_step[[#This Row],[E_COT]]=0,NA(),données_step[[#This Row],[E_DCO]]/données_step[[#This Row],[E_COT]])</f>
        <v>#DIV/0!</v>
      </c>
      <c r="BQ329" s="521" t="e">
        <f>IF(données_step[[#This Row],[E_NTOT]]/données_step[[#This Row],[E_DCO]]=0,NA(),données_step[[#This Row],[E_NTOT]]/données_step[[#This Row],[E_DCO]])</f>
        <v>#DIV/0!</v>
      </c>
      <c r="BR329" s="521" t="e">
        <f>IF(données_step[[#This Row],[E_PTOT]]/données_step[[#This Row],[E_DCO]]=0,NA(),données_step[[#This Row],[E_PTOT]]/données_step[[#This Row],[E_DCO]])</f>
        <v>#DIV/0!</v>
      </c>
      <c r="BS329" s="747" t="e">
        <f ca="1">test_NH4_temp(données_step[[#This Row],[S_NH4]],données_step[[#This Row],[Temp_eaux]])</f>
        <v>#NAME?</v>
      </c>
    </row>
    <row r="330" spans="1:71" x14ac:dyDescent="0.2">
      <c r="A330" s="222">
        <f>données_step[[#This Row],[Datum]]</f>
        <v>44881</v>
      </c>
      <c r="B330" s="223"/>
      <c r="C330" s="224">
        <f t="shared" si="79"/>
        <v>4</v>
      </c>
      <c r="D330" s="523" t="str">
        <f>IF(OR(données_step[[#This Row],[E_DBO5]]&lt;=0,données_step[[#This Row],[E_DBO5]]=""),"",données_step[[#This Row],[D_QTRAI]]*données_step[[#This Row],[E_DBO5]]/1000)</f>
        <v/>
      </c>
      <c r="E330" s="523" t="str">
        <f>IF(OR(données_step[[#This Row],[E_DCO]]&lt;=0,données_step[[#This Row],[E_DCO]]=""),"",données_step[[#This Row],[D_QTRAI]]*données_step[[#This Row],[E_DCO]]/1000)</f>
        <v/>
      </c>
      <c r="F330" s="523" t="str">
        <f>IF(OR(données_step[[#This Row],[E_COT]]&lt;=0,données_step[[#This Row],[E_COT]]=""),"",données_step[[#This Row],[D_QTRAI]]*données_step[[#This Row],[E_COT]]/1000)</f>
        <v/>
      </c>
      <c r="G330" s="523" t="str">
        <f>IF(OR(données_step[[#This Row],[E_NH4]]&lt;=0,données_step[[#This Row],[E_NH4]]=""),"",données_step[[#This Row],[D_QTRAI]]*données_step[[#This Row],[E_NH4]]/1000)</f>
        <v/>
      </c>
      <c r="H330" s="523" t="str">
        <f>IF(OR(données_step[[#This Row],[E_NTOT]]&lt;=0,données_step[[#This Row],[E_NTOT]]=""),"",données_step[[#This Row],[D_QTRAI]]*données_step[[#This Row],[E_NTOT]]/1000)</f>
        <v/>
      </c>
      <c r="I330" s="523" t="str">
        <f>IF(OR(données_step[[#This Row],[E_NTOT]]&lt;=0,données_step[[#This Row],[E_NTOT]]=""),"",données_step[[#This Row],[D_QTRAI]]*données_step[[#This Row],[E_PTOT]]/1000)</f>
        <v/>
      </c>
      <c r="J330" s="523" t="str">
        <f>IF(OR(données_step[[#This Row],[S_DBO5]]&lt;=0,données_step[[#This Row],[S_DBO5]]=""),"",données_step[[#This Row],[D_QTRAI]]*données_step[[#This Row],[S_DBO5]]/1000)</f>
        <v/>
      </c>
      <c r="K330" s="523" t="str">
        <f>IF(OR(données_step[[#This Row],[S_DCO]]&lt;=0,données_step[[#This Row],[S_DCO]]=""),"",données_step[[#This Row],[D_QTRAI]]*données_step[[#This Row],[S_DCO]]/1000)</f>
        <v/>
      </c>
      <c r="L330" s="523" t="str">
        <f>IF(OR(données_step[[#This Row],[S_COD]]&lt;=0,données_step[[#This Row],[S_COD]]=""),"",données_step[[#This Row],[D_QTRAI]]*données_step[[#This Row],[S_COD]]/1000)</f>
        <v/>
      </c>
      <c r="M330" s="523" t="str">
        <f>IF(OR(données_step[[#This Row],[S_NH4]]&lt;=0,données_step[[#This Row],[S_NH4]]=""),"",données_step[[#This Row],[D_QTRAI]]*données_step[[#This Row],[S_NH4]]/1000)</f>
        <v/>
      </c>
      <c r="N330" s="523" t="str">
        <f>IF(OR(données_step[[#This Row],[S_NO2]]&lt;=0,données_step[[#This Row],[S_NO2]]=""),"",données_step[[#This Row],[D_QTRAI]]*données_step[[#This Row],[S_NO2]]/1000)</f>
        <v/>
      </c>
      <c r="O330" s="523" t="str">
        <f>IF(OR(données_step[[#This Row],[S_NO3]]&lt;=0,données_step[[#This Row],[S_NO3]]=""),"",données_step[[#This Row],[D_QTRAI]]*données_step[[#This Row],[S_NO3]]/1000)</f>
        <v/>
      </c>
      <c r="P330" s="523" t="str">
        <f>IF(OR(données_step[[#This Row],[S_PTOT]]&lt;=0,données_step[[#This Row],[S_PTOT]]=""),"",données_step[[#This Row],[D_QTRAI]]*données_step[[#This Row],[S_PTOT]]/1000)</f>
        <v/>
      </c>
      <c r="Q330" s="523" t="str">
        <f>IF(OR(données_step[[#This Row],[S_MES]]&lt;=0,données_step[[#This Row],[S_MES]]=""),"",données_step[[#This Row],[D_QTRAI]]*données_step[[#This Row],[S_MES]]/1000)</f>
        <v/>
      </c>
      <c r="R330" s="523">
        <f>MAX(données_step[[#This Row],[D_QTRAI]],données_step[[#This Row],[D_QTRAI2]])</f>
        <v>0</v>
      </c>
      <c r="S330" s="523" t="str">
        <f>IF(AND($R330&gt;0,données_step[[#This Row],[E_DCO]]&gt;0),données_step[[#This Row],[E_DCO]],"")</f>
        <v/>
      </c>
      <c r="T330" s="523" t="str">
        <f>IF(S330="","",(1-données_step[[#This Row],[E_DCO]]/$V$7)*100)</f>
        <v/>
      </c>
      <c r="U330" s="523" t="str">
        <f t="shared" si="65"/>
        <v/>
      </c>
      <c r="V330" s="523" t="str">
        <f t="shared" si="66"/>
        <v/>
      </c>
      <c r="W330" s="523" t="str">
        <f t="shared" si="67"/>
        <v/>
      </c>
      <c r="X330" s="523" t="e">
        <f>IF(((100-100/$V$7*données_step[[#This Row],[E_DCO]])/100*QTS)&lt;0,NA(),IF(OR(U330&lt;0,U330=""),NA(),((100-100/$V$7*données_step[[#This Row],[E_DCO]])/100*QTS)))</f>
        <v>#NUM!</v>
      </c>
      <c r="Y330" s="523" t="str">
        <f>IF(AND($R330&gt;0,données_step[[#This Row],[E_COT]]&gt;0),données_step[[#This Row],[E_COT]],"")</f>
        <v/>
      </c>
      <c r="Z330" s="523" t="str">
        <f>IF(Y330="","",(1-données_step[[#This Row],[E_COT]]/$AB$7)*100)</f>
        <v/>
      </c>
      <c r="AA330" s="523" t="str">
        <f t="shared" si="68"/>
        <v/>
      </c>
      <c r="AB330" s="523" t="str">
        <f t="shared" si="69"/>
        <v/>
      </c>
      <c r="AC330" s="523" t="str">
        <f t="shared" si="70"/>
        <v/>
      </c>
      <c r="AD330" s="523" t="e">
        <f>IF(((100-100/$AB$7*données_step[[#This Row],[E_COT]])/100*QTS)&lt;0,NA(),IF(OR(AA330&lt;0,AA330=""),NA(),((100-100/$AB$7*données_step[[#This Row],[E_COT]])/100*QTS)))</f>
        <v>#NUM!</v>
      </c>
      <c r="AE330" s="523" t="str">
        <f>IF(AND($R330&gt;0,données_step[[#This Row],[E_NH4]]&gt;0),données_step[[#This Row],[E_NH4]],"")</f>
        <v/>
      </c>
      <c r="AF330" s="523" t="str">
        <f>IF(AE330="","",(1-données_step[[#This Row],[E_NH4]]/$AH$7)*100)</f>
        <v/>
      </c>
      <c r="AG330" s="523" t="str">
        <f t="shared" si="71"/>
        <v/>
      </c>
      <c r="AH330" s="523" t="str">
        <f t="shared" si="72"/>
        <v/>
      </c>
      <c r="AI330" s="523" t="str">
        <f t="shared" si="73"/>
        <v/>
      </c>
      <c r="AJ330" s="523" t="e">
        <f>IF(((100-100/$AH$7*données_step[[#This Row],[E_NH4]])/100*QTS)&lt;0,NA(),IF(OR(AG330&lt;0,AG330=""),NA(),((100-100/$AH$7*données_step[[#This Row],[E_NH4]])/100*QTS)))</f>
        <v>#NUM!</v>
      </c>
      <c r="AK330" s="523" t="str">
        <f>IF(AND($R330&gt;0,données_step[[#This Row],[E_PTOT]]&gt;0),données_step[[#This Row],[E_PTOT]],"")</f>
        <v/>
      </c>
      <c r="AL330" s="523" t="str">
        <f>IF(AK330="","",(1-données_step[[#This Row],[E_PTOT]]/$AN$7)*100)</f>
        <v/>
      </c>
      <c r="AM330" s="523" t="str">
        <f t="shared" si="74"/>
        <v/>
      </c>
      <c r="AN330" s="523" t="str">
        <f t="shared" si="75"/>
        <v/>
      </c>
      <c r="AO330" s="523" t="str">
        <f t="shared" si="76"/>
        <v/>
      </c>
      <c r="AP330" s="523" t="e">
        <f>IF(((100-100/$AN$7*données_step[[#This Row],[E_PTOT]])/100*QTS)&lt;0,NA(),IF(OR(AM330&lt;0,AM330=""),NA(),((100-100/$AN$7*données_step[[#This Row],[E_PTOT]])/100*QTS)))</f>
        <v>#NUM!</v>
      </c>
      <c r="AQ330" s="524" t="e">
        <f t="shared" si="77"/>
        <v>#NUM!</v>
      </c>
      <c r="AR330" s="524" t="str">
        <f t="shared" si="78"/>
        <v/>
      </c>
      <c r="AY330" s="523" t="str">
        <f>_xlfn.IFNA(IF(données_step[[#This Row],[E_DCO]]&lt;=0,NA(),charge_entree[[#This Row],[ch_E_DCO]]/constanten!$B$8*1000),"")</f>
        <v/>
      </c>
      <c r="AZ330" s="523" t="str">
        <f>_xlfn.IFNA(IF(données_step[[#This Row],[E_NTOT]]&lt;=0,NA(),charge_entree[[#This Row],[ch_E_NTOT]]/constanten!$B$10*1000),"")</f>
        <v/>
      </c>
      <c r="BA330" s="523" t="str">
        <f>_xlfn.IFNA(IF(données_step[[#This Row],[E_NH4]]&lt;=0,NA(),charge_entree[[#This Row],[ch_E_NH4]]/constanten!$B$12*1000),"")</f>
        <v/>
      </c>
      <c r="BB330" s="523" t="str">
        <f>_xlfn.IFNA(IF(données_step[[#This Row],[E_COT]]&lt;=0,NA(),charge_entree[[#This Row],[ch_E_COT]]/constanten!$B$9*1000),"")</f>
        <v/>
      </c>
      <c r="BC330" s="523" t="str">
        <f>IFERROR(_xlfn.IFNA(IF(données_step[[#This Row],[E_PTOT]]&lt;=0,NA(),charge_entree[[#This Row],[ch_E_PTOT]]/constanten!$B$15*1000),""),"")</f>
        <v/>
      </c>
      <c r="BD330" s="535" t="e">
        <f>calculs!E330 * (1-0.4) / (données_step[[#This Row],[X_BA_VOL]]*données_step[[#This Row],[X_BACONC]])</f>
        <v>#VALUE!</v>
      </c>
      <c r="BE330" s="522" t="e">
        <f>(données_step[[#This Row],[X_BA_VOL]]*données_step[[#This Row],[X_BACONC]])/((données_step[[#This Row],[D_QTRAI2]]*données_step[[#This Row],[S_MES]]/1000)+(données_step[[#This Row],[X_BX_Q]]*données_step[[#This Row],[X_BXCONC]]))</f>
        <v>#VALUE!</v>
      </c>
      <c r="BF330" s="890" t="str">
        <f>IFERROR(données_step[[#This Row],[D_QTRAI]]/AY330*1000,"")</f>
        <v/>
      </c>
      <c r="BG330" s="535" t="str">
        <f>IFERROR(1-données_step[[#This Row],[S_DBO5]]/données_step[[#This Row],[E_DBO5]],"")</f>
        <v/>
      </c>
      <c r="BH330" s="536" t="str">
        <f>IFERROR(1-données_step[[#This Row],[S_DCO]]/données_step[[#This Row],[E_DCO]],"")</f>
        <v/>
      </c>
      <c r="BI330" s="535" t="str">
        <f>IFERROR(1-données_step[[#This Row],[S_COD]]/données_step[[#This Row],[E_COT]],"")</f>
        <v/>
      </c>
      <c r="BJ330" s="535" t="str">
        <f>IFERROR(1-données_step[[#This Row],[S_NH4]]/données_step[[#This Row],[E_NTOT]],"")</f>
        <v/>
      </c>
      <c r="BK330" s="535" t="str">
        <f>IFERROR(1-données_step[[#This Row],[S_PTOT]]/données_step[[#This Row],[E_PTOT]],"")</f>
        <v/>
      </c>
      <c r="BL330" s="521" t="str">
        <f>IFERROR(IF(données_step[[#This Row],[E_DCO]]/données_step[[#This Row],[E_DBO5]]=0,NA(),données_step[[#This Row],[E_DCO]]/données_step[[#This Row],[E_DBO5]]),"")</f>
        <v/>
      </c>
      <c r="BM330" s="521" t="str">
        <f>IFERROR(IF(données_step[[#This Row],[E_NH4]]/données_step[[#This Row],[E_NTOT]]=0,NA(),données_step[[#This Row],[E_NH4]]/données_step[[#This Row],[E_NTOT]]),"")</f>
        <v/>
      </c>
      <c r="BN330" s="521" t="str">
        <f>IFERROR(IF(données_step[[#This Row],[E_NTOT]]/données_step[[#This Row],[E_COT]]=0,NA(),données_step[[#This Row],[E_NTOT]]/données_step[[#This Row],[E_COT]]),"")</f>
        <v/>
      </c>
      <c r="BO330" s="521" t="str">
        <f>IFERROR(IF(données_step[[#This Row],[E_PTOT]]/données_step[[#This Row],[E_COT]]=0,NA(),données_step[[#This Row],[E_PTOT]]/données_step[[#This Row],[E_COT]]),"")</f>
        <v/>
      </c>
      <c r="BP330" s="521" t="e">
        <f>IF(données_step[[#This Row],[E_DCO]]/données_step[[#This Row],[E_COT]]=0,NA(),données_step[[#This Row],[E_DCO]]/données_step[[#This Row],[E_COT]])</f>
        <v>#DIV/0!</v>
      </c>
      <c r="BQ330" s="521" t="e">
        <f>IF(données_step[[#This Row],[E_NTOT]]/données_step[[#This Row],[E_DCO]]=0,NA(),données_step[[#This Row],[E_NTOT]]/données_step[[#This Row],[E_DCO]])</f>
        <v>#DIV/0!</v>
      </c>
      <c r="BR330" s="521" t="e">
        <f>IF(données_step[[#This Row],[E_PTOT]]/données_step[[#This Row],[E_DCO]]=0,NA(),données_step[[#This Row],[E_PTOT]]/données_step[[#This Row],[E_DCO]])</f>
        <v>#DIV/0!</v>
      </c>
      <c r="BS330" s="747" t="e">
        <f ca="1">test_NH4_temp(données_step[[#This Row],[S_NH4]],données_step[[#This Row],[Temp_eaux]])</f>
        <v>#NAME?</v>
      </c>
    </row>
    <row r="331" spans="1:71" x14ac:dyDescent="0.2">
      <c r="A331" s="222">
        <f>données_step[[#This Row],[Datum]]</f>
        <v>44882</v>
      </c>
      <c r="B331" s="223"/>
      <c r="C331" s="224">
        <f t="shared" si="79"/>
        <v>5</v>
      </c>
      <c r="D331" s="523" t="str">
        <f>IF(OR(données_step[[#This Row],[E_DBO5]]&lt;=0,données_step[[#This Row],[E_DBO5]]=""),"",données_step[[#This Row],[D_QTRAI]]*données_step[[#This Row],[E_DBO5]]/1000)</f>
        <v/>
      </c>
      <c r="E331" s="523" t="str">
        <f>IF(OR(données_step[[#This Row],[E_DCO]]&lt;=0,données_step[[#This Row],[E_DCO]]=""),"",données_step[[#This Row],[D_QTRAI]]*données_step[[#This Row],[E_DCO]]/1000)</f>
        <v/>
      </c>
      <c r="F331" s="523" t="str">
        <f>IF(OR(données_step[[#This Row],[E_COT]]&lt;=0,données_step[[#This Row],[E_COT]]=""),"",données_step[[#This Row],[D_QTRAI]]*données_step[[#This Row],[E_COT]]/1000)</f>
        <v/>
      </c>
      <c r="G331" s="523" t="str">
        <f>IF(OR(données_step[[#This Row],[E_NH4]]&lt;=0,données_step[[#This Row],[E_NH4]]=""),"",données_step[[#This Row],[D_QTRAI]]*données_step[[#This Row],[E_NH4]]/1000)</f>
        <v/>
      </c>
      <c r="H331" s="523" t="str">
        <f>IF(OR(données_step[[#This Row],[E_NTOT]]&lt;=0,données_step[[#This Row],[E_NTOT]]=""),"",données_step[[#This Row],[D_QTRAI]]*données_step[[#This Row],[E_NTOT]]/1000)</f>
        <v/>
      </c>
      <c r="I331" s="523" t="str">
        <f>IF(OR(données_step[[#This Row],[E_NTOT]]&lt;=0,données_step[[#This Row],[E_NTOT]]=""),"",données_step[[#This Row],[D_QTRAI]]*données_step[[#This Row],[E_PTOT]]/1000)</f>
        <v/>
      </c>
      <c r="J331" s="523" t="str">
        <f>IF(OR(données_step[[#This Row],[S_DBO5]]&lt;=0,données_step[[#This Row],[S_DBO5]]=""),"",données_step[[#This Row],[D_QTRAI]]*données_step[[#This Row],[S_DBO5]]/1000)</f>
        <v/>
      </c>
      <c r="K331" s="523" t="str">
        <f>IF(OR(données_step[[#This Row],[S_DCO]]&lt;=0,données_step[[#This Row],[S_DCO]]=""),"",données_step[[#This Row],[D_QTRAI]]*données_step[[#This Row],[S_DCO]]/1000)</f>
        <v/>
      </c>
      <c r="L331" s="523" t="str">
        <f>IF(OR(données_step[[#This Row],[S_COD]]&lt;=0,données_step[[#This Row],[S_COD]]=""),"",données_step[[#This Row],[D_QTRAI]]*données_step[[#This Row],[S_COD]]/1000)</f>
        <v/>
      </c>
      <c r="M331" s="523" t="str">
        <f>IF(OR(données_step[[#This Row],[S_NH4]]&lt;=0,données_step[[#This Row],[S_NH4]]=""),"",données_step[[#This Row],[D_QTRAI]]*données_step[[#This Row],[S_NH4]]/1000)</f>
        <v/>
      </c>
      <c r="N331" s="523" t="str">
        <f>IF(OR(données_step[[#This Row],[S_NO2]]&lt;=0,données_step[[#This Row],[S_NO2]]=""),"",données_step[[#This Row],[D_QTRAI]]*données_step[[#This Row],[S_NO2]]/1000)</f>
        <v/>
      </c>
      <c r="O331" s="523" t="str">
        <f>IF(OR(données_step[[#This Row],[S_NO3]]&lt;=0,données_step[[#This Row],[S_NO3]]=""),"",données_step[[#This Row],[D_QTRAI]]*données_step[[#This Row],[S_NO3]]/1000)</f>
        <v/>
      </c>
      <c r="P331" s="523" t="str">
        <f>IF(OR(données_step[[#This Row],[S_PTOT]]&lt;=0,données_step[[#This Row],[S_PTOT]]=""),"",données_step[[#This Row],[D_QTRAI]]*données_step[[#This Row],[S_PTOT]]/1000)</f>
        <v/>
      </c>
      <c r="Q331" s="523" t="str">
        <f>IF(OR(données_step[[#This Row],[S_MES]]&lt;=0,données_step[[#This Row],[S_MES]]=""),"",données_step[[#This Row],[D_QTRAI]]*données_step[[#This Row],[S_MES]]/1000)</f>
        <v/>
      </c>
      <c r="R331" s="523">
        <f>MAX(données_step[[#This Row],[D_QTRAI]],données_step[[#This Row],[D_QTRAI2]])</f>
        <v>0</v>
      </c>
      <c r="S331" s="523" t="str">
        <f>IF(AND($R331&gt;0,données_step[[#This Row],[E_DCO]]&gt;0),données_step[[#This Row],[E_DCO]],"")</f>
        <v/>
      </c>
      <c r="T331" s="523" t="str">
        <f>IF(S331="","",(1-données_step[[#This Row],[E_DCO]]/$V$7)*100)</f>
        <v/>
      </c>
      <c r="U331" s="523" t="str">
        <f t="shared" si="65"/>
        <v/>
      </c>
      <c r="V331" s="523" t="str">
        <f t="shared" si="66"/>
        <v/>
      </c>
      <c r="W331" s="523" t="str">
        <f t="shared" si="67"/>
        <v/>
      </c>
      <c r="X331" s="523" t="e">
        <f>IF(((100-100/$V$7*données_step[[#This Row],[E_DCO]])/100*QTS)&lt;0,NA(),IF(OR(U331&lt;0,U331=""),NA(),((100-100/$V$7*données_step[[#This Row],[E_DCO]])/100*QTS)))</f>
        <v>#NUM!</v>
      </c>
      <c r="Y331" s="523" t="str">
        <f>IF(AND($R331&gt;0,données_step[[#This Row],[E_COT]]&gt;0),données_step[[#This Row],[E_COT]],"")</f>
        <v/>
      </c>
      <c r="Z331" s="523" t="str">
        <f>IF(Y331="","",(1-données_step[[#This Row],[E_COT]]/$AB$7)*100)</f>
        <v/>
      </c>
      <c r="AA331" s="523" t="str">
        <f t="shared" si="68"/>
        <v/>
      </c>
      <c r="AB331" s="523" t="str">
        <f t="shared" si="69"/>
        <v/>
      </c>
      <c r="AC331" s="523" t="str">
        <f t="shared" si="70"/>
        <v/>
      </c>
      <c r="AD331" s="523" t="e">
        <f>IF(((100-100/$AB$7*données_step[[#This Row],[E_COT]])/100*QTS)&lt;0,NA(),IF(OR(AA331&lt;0,AA331=""),NA(),((100-100/$AB$7*données_step[[#This Row],[E_COT]])/100*QTS)))</f>
        <v>#NUM!</v>
      </c>
      <c r="AE331" s="523" t="str">
        <f>IF(AND($R331&gt;0,données_step[[#This Row],[E_NH4]]&gt;0),données_step[[#This Row],[E_NH4]],"")</f>
        <v/>
      </c>
      <c r="AF331" s="523" t="str">
        <f>IF(AE331="","",(1-données_step[[#This Row],[E_NH4]]/$AH$7)*100)</f>
        <v/>
      </c>
      <c r="AG331" s="523" t="str">
        <f t="shared" si="71"/>
        <v/>
      </c>
      <c r="AH331" s="523" t="str">
        <f t="shared" si="72"/>
        <v/>
      </c>
      <c r="AI331" s="523" t="str">
        <f t="shared" si="73"/>
        <v/>
      </c>
      <c r="AJ331" s="523" t="e">
        <f>IF(((100-100/$AH$7*données_step[[#This Row],[E_NH4]])/100*QTS)&lt;0,NA(),IF(OR(AG331&lt;0,AG331=""),NA(),((100-100/$AH$7*données_step[[#This Row],[E_NH4]])/100*QTS)))</f>
        <v>#NUM!</v>
      </c>
      <c r="AK331" s="523" t="str">
        <f>IF(AND($R331&gt;0,données_step[[#This Row],[E_PTOT]]&gt;0),données_step[[#This Row],[E_PTOT]],"")</f>
        <v/>
      </c>
      <c r="AL331" s="523" t="str">
        <f>IF(AK331="","",(1-données_step[[#This Row],[E_PTOT]]/$AN$7)*100)</f>
        <v/>
      </c>
      <c r="AM331" s="523" t="str">
        <f t="shared" si="74"/>
        <v/>
      </c>
      <c r="AN331" s="523" t="str">
        <f t="shared" si="75"/>
        <v/>
      </c>
      <c r="AO331" s="523" t="str">
        <f t="shared" si="76"/>
        <v/>
      </c>
      <c r="AP331" s="523" t="e">
        <f>IF(((100-100/$AN$7*données_step[[#This Row],[E_PTOT]])/100*QTS)&lt;0,NA(),IF(OR(AM331&lt;0,AM331=""),NA(),((100-100/$AN$7*données_step[[#This Row],[E_PTOT]])/100*QTS)))</f>
        <v>#NUM!</v>
      </c>
      <c r="AQ331" s="524" t="e">
        <f t="shared" si="77"/>
        <v>#NUM!</v>
      </c>
      <c r="AR331" s="524" t="str">
        <f t="shared" si="78"/>
        <v/>
      </c>
      <c r="AY331" s="523" t="str">
        <f>_xlfn.IFNA(IF(données_step[[#This Row],[E_DCO]]&lt;=0,NA(),charge_entree[[#This Row],[ch_E_DCO]]/constanten!$B$8*1000),"")</f>
        <v/>
      </c>
      <c r="AZ331" s="523" t="str">
        <f>_xlfn.IFNA(IF(données_step[[#This Row],[E_NTOT]]&lt;=0,NA(),charge_entree[[#This Row],[ch_E_NTOT]]/constanten!$B$10*1000),"")</f>
        <v/>
      </c>
      <c r="BA331" s="523" t="str">
        <f>_xlfn.IFNA(IF(données_step[[#This Row],[E_NH4]]&lt;=0,NA(),charge_entree[[#This Row],[ch_E_NH4]]/constanten!$B$12*1000),"")</f>
        <v/>
      </c>
      <c r="BB331" s="523" t="str">
        <f>_xlfn.IFNA(IF(données_step[[#This Row],[E_COT]]&lt;=0,NA(),charge_entree[[#This Row],[ch_E_COT]]/constanten!$B$9*1000),"")</f>
        <v/>
      </c>
      <c r="BC331" s="523" t="str">
        <f>IFERROR(_xlfn.IFNA(IF(données_step[[#This Row],[E_PTOT]]&lt;=0,NA(),charge_entree[[#This Row],[ch_E_PTOT]]/constanten!$B$15*1000),""),"")</f>
        <v/>
      </c>
      <c r="BD331" s="535" t="e">
        <f>calculs!E331 * (1-0.4) / (données_step[[#This Row],[X_BA_VOL]]*données_step[[#This Row],[X_BACONC]])</f>
        <v>#VALUE!</v>
      </c>
      <c r="BE331" s="522" t="e">
        <f>(données_step[[#This Row],[X_BA_VOL]]*données_step[[#This Row],[X_BACONC]])/((données_step[[#This Row],[D_QTRAI2]]*données_step[[#This Row],[S_MES]]/1000)+(données_step[[#This Row],[X_BX_Q]]*données_step[[#This Row],[X_BXCONC]]))</f>
        <v>#VALUE!</v>
      </c>
      <c r="BF331" s="890" t="str">
        <f>IFERROR(données_step[[#This Row],[D_QTRAI]]/AY331*1000,"")</f>
        <v/>
      </c>
      <c r="BG331" s="535" t="str">
        <f>IFERROR(1-données_step[[#This Row],[S_DBO5]]/données_step[[#This Row],[E_DBO5]],"")</f>
        <v/>
      </c>
      <c r="BH331" s="536" t="str">
        <f>IFERROR(1-données_step[[#This Row],[S_DCO]]/données_step[[#This Row],[E_DCO]],"")</f>
        <v/>
      </c>
      <c r="BI331" s="535" t="str">
        <f>IFERROR(1-données_step[[#This Row],[S_COD]]/données_step[[#This Row],[E_COT]],"")</f>
        <v/>
      </c>
      <c r="BJ331" s="535" t="str">
        <f>IFERROR(1-données_step[[#This Row],[S_NH4]]/données_step[[#This Row],[E_NTOT]],"")</f>
        <v/>
      </c>
      <c r="BK331" s="535" t="str">
        <f>IFERROR(1-données_step[[#This Row],[S_PTOT]]/données_step[[#This Row],[E_PTOT]],"")</f>
        <v/>
      </c>
      <c r="BL331" s="521" t="str">
        <f>IFERROR(IF(données_step[[#This Row],[E_DCO]]/données_step[[#This Row],[E_DBO5]]=0,NA(),données_step[[#This Row],[E_DCO]]/données_step[[#This Row],[E_DBO5]]),"")</f>
        <v/>
      </c>
      <c r="BM331" s="521" t="str">
        <f>IFERROR(IF(données_step[[#This Row],[E_NH4]]/données_step[[#This Row],[E_NTOT]]=0,NA(),données_step[[#This Row],[E_NH4]]/données_step[[#This Row],[E_NTOT]]),"")</f>
        <v/>
      </c>
      <c r="BN331" s="521" t="str">
        <f>IFERROR(IF(données_step[[#This Row],[E_NTOT]]/données_step[[#This Row],[E_COT]]=0,NA(),données_step[[#This Row],[E_NTOT]]/données_step[[#This Row],[E_COT]]),"")</f>
        <v/>
      </c>
      <c r="BO331" s="521" t="str">
        <f>IFERROR(IF(données_step[[#This Row],[E_PTOT]]/données_step[[#This Row],[E_COT]]=0,NA(),données_step[[#This Row],[E_PTOT]]/données_step[[#This Row],[E_COT]]),"")</f>
        <v/>
      </c>
      <c r="BP331" s="521" t="e">
        <f>IF(données_step[[#This Row],[E_DCO]]/données_step[[#This Row],[E_COT]]=0,NA(),données_step[[#This Row],[E_DCO]]/données_step[[#This Row],[E_COT]])</f>
        <v>#DIV/0!</v>
      </c>
      <c r="BQ331" s="521" t="e">
        <f>IF(données_step[[#This Row],[E_NTOT]]/données_step[[#This Row],[E_DCO]]=0,NA(),données_step[[#This Row],[E_NTOT]]/données_step[[#This Row],[E_DCO]])</f>
        <v>#DIV/0!</v>
      </c>
      <c r="BR331" s="521" t="e">
        <f>IF(données_step[[#This Row],[E_PTOT]]/données_step[[#This Row],[E_DCO]]=0,NA(),données_step[[#This Row],[E_PTOT]]/données_step[[#This Row],[E_DCO]])</f>
        <v>#DIV/0!</v>
      </c>
      <c r="BS331" s="747" t="e">
        <f ca="1">test_NH4_temp(données_step[[#This Row],[S_NH4]],données_step[[#This Row],[Temp_eaux]])</f>
        <v>#NAME?</v>
      </c>
    </row>
    <row r="332" spans="1:71" x14ac:dyDescent="0.2">
      <c r="A332" s="222">
        <f>données_step[[#This Row],[Datum]]</f>
        <v>44883</v>
      </c>
      <c r="B332" s="223"/>
      <c r="C332" s="224">
        <f t="shared" si="79"/>
        <v>6</v>
      </c>
      <c r="D332" s="523" t="str">
        <f>IF(OR(données_step[[#This Row],[E_DBO5]]&lt;=0,données_step[[#This Row],[E_DBO5]]=""),"",données_step[[#This Row],[D_QTRAI]]*données_step[[#This Row],[E_DBO5]]/1000)</f>
        <v/>
      </c>
      <c r="E332" s="523" t="str">
        <f>IF(OR(données_step[[#This Row],[E_DCO]]&lt;=0,données_step[[#This Row],[E_DCO]]=""),"",données_step[[#This Row],[D_QTRAI]]*données_step[[#This Row],[E_DCO]]/1000)</f>
        <v/>
      </c>
      <c r="F332" s="523" t="str">
        <f>IF(OR(données_step[[#This Row],[E_COT]]&lt;=0,données_step[[#This Row],[E_COT]]=""),"",données_step[[#This Row],[D_QTRAI]]*données_step[[#This Row],[E_COT]]/1000)</f>
        <v/>
      </c>
      <c r="G332" s="523" t="str">
        <f>IF(OR(données_step[[#This Row],[E_NH4]]&lt;=0,données_step[[#This Row],[E_NH4]]=""),"",données_step[[#This Row],[D_QTRAI]]*données_step[[#This Row],[E_NH4]]/1000)</f>
        <v/>
      </c>
      <c r="H332" s="523" t="str">
        <f>IF(OR(données_step[[#This Row],[E_NTOT]]&lt;=0,données_step[[#This Row],[E_NTOT]]=""),"",données_step[[#This Row],[D_QTRAI]]*données_step[[#This Row],[E_NTOT]]/1000)</f>
        <v/>
      </c>
      <c r="I332" s="523" t="str">
        <f>IF(OR(données_step[[#This Row],[E_NTOT]]&lt;=0,données_step[[#This Row],[E_NTOT]]=""),"",données_step[[#This Row],[D_QTRAI]]*données_step[[#This Row],[E_PTOT]]/1000)</f>
        <v/>
      </c>
      <c r="J332" s="523" t="str">
        <f>IF(OR(données_step[[#This Row],[S_DBO5]]&lt;=0,données_step[[#This Row],[S_DBO5]]=""),"",données_step[[#This Row],[D_QTRAI]]*données_step[[#This Row],[S_DBO5]]/1000)</f>
        <v/>
      </c>
      <c r="K332" s="523" t="str">
        <f>IF(OR(données_step[[#This Row],[S_DCO]]&lt;=0,données_step[[#This Row],[S_DCO]]=""),"",données_step[[#This Row],[D_QTRAI]]*données_step[[#This Row],[S_DCO]]/1000)</f>
        <v/>
      </c>
      <c r="L332" s="523" t="str">
        <f>IF(OR(données_step[[#This Row],[S_COD]]&lt;=0,données_step[[#This Row],[S_COD]]=""),"",données_step[[#This Row],[D_QTRAI]]*données_step[[#This Row],[S_COD]]/1000)</f>
        <v/>
      </c>
      <c r="M332" s="523" t="str">
        <f>IF(OR(données_step[[#This Row],[S_NH4]]&lt;=0,données_step[[#This Row],[S_NH4]]=""),"",données_step[[#This Row],[D_QTRAI]]*données_step[[#This Row],[S_NH4]]/1000)</f>
        <v/>
      </c>
      <c r="N332" s="523" t="str">
        <f>IF(OR(données_step[[#This Row],[S_NO2]]&lt;=0,données_step[[#This Row],[S_NO2]]=""),"",données_step[[#This Row],[D_QTRAI]]*données_step[[#This Row],[S_NO2]]/1000)</f>
        <v/>
      </c>
      <c r="O332" s="523" t="str">
        <f>IF(OR(données_step[[#This Row],[S_NO3]]&lt;=0,données_step[[#This Row],[S_NO3]]=""),"",données_step[[#This Row],[D_QTRAI]]*données_step[[#This Row],[S_NO3]]/1000)</f>
        <v/>
      </c>
      <c r="P332" s="523" t="str">
        <f>IF(OR(données_step[[#This Row],[S_PTOT]]&lt;=0,données_step[[#This Row],[S_PTOT]]=""),"",données_step[[#This Row],[D_QTRAI]]*données_step[[#This Row],[S_PTOT]]/1000)</f>
        <v/>
      </c>
      <c r="Q332" s="523" t="str">
        <f>IF(OR(données_step[[#This Row],[S_MES]]&lt;=0,données_step[[#This Row],[S_MES]]=""),"",données_step[[#This Row],[D_QTRAI]]*données_step[[#This Row],[S_MES]]/1000)</f>
        <v/>
      </c>
      <c r="R332" s="523">
        <f>MAX(données_step[[#This Row],[D_QTRAI]],données_step[[#This Row],[D_QTRAI2]])</f>
        <v>0</v>
      </c>
      <c r="S332" s="523" t="str">
        <f>IF(AND($R332&gt;0,données_step[[#This Row],[E_DCO]]&gt;0),données_step[[#This Row],[E_DCO]],"")</f>
        <v/>
      </c>
      <c r="T332" s="523" t="str">
        <f>IF(S332="","",(1-données_step[[#This Row],[E_DCO]]/$V$7)*100)</f>
        <v/>
      </c>
      <c r="U332" s="523" t="str">
        <f t="shared" ref="U332:U376" si="80">IF(OR(T332="",T332&lt;0),"",T332)</f>
        <v/>
      </c>
      <c r="V332" s="523" t="str">
        <f t="shared" ref="V332:V376" si="81">IF(T332="","",T332*$R332/8640)</f>
        <v/>
      </c>
      <c r="W332" s="523" t="str">
        <f t="shared" ref="W332:W376" si="82">V332</f>
        <v/>
      </c>
      <c r="X332" s="523" t="e">
        <f>IF(((100-100/$V$7*données_step[[#This Row],[E_DCO]])/100*QTS)&lt;0,NA(),IF(OR(U332&lt;0,U332=""),NA(),((100-100/$V$7*données_step[[#This Row],[E_DCO]])/100*QTS)))</f>
        <v>#NUM!</v>
      </c>
      <c r="Y332" s="523" t="str">
        <f>IF(AND($R332&gt;0,données_step[[#This Row],[E_COT]]&gt;0),données_step[[#This Row],[E_COT]],"")</f>
        <v/>
      </c>
      <c r="Z332" s="523" t="str">
        <f>IF(Y332="","",(1-données_step[[#This Row],[E_COT]]/$AB$7)*100)</f>
        <v/>
      </c>
      <c r="AA332" s="523" t="str">
        <f t="shared" ref="AA332:AA376" si="83">IF(OR(Z332="",Z332&lt;0),"",Z332)</f>
        <v/>
      </c>
      <c r="AB332" s="523" t="str">
        <f t="shared" ref="AB332:AB376" si="84">IF(Z332="","",Z332*$R332/8640)</f>
        <v/>
      </c>
      <c r="AC332" s="523" t="str">
        <f t="shared" ref="AC332:AC376" si="85">AB332</f>
        <v/>
      </c>
      <c r="AD332" s="523" t="e">
        <f>IF(((100-100/$AB$7*données_step[[#This Row],[E_COT]])/100*QTS)&lt;0,NA(),IF(OR(AA332&lt;0,AA332=""),NA(),((100-100/$AB$7*données_step[[#This Row],[E_COT]])/100*QTS)))</f>
        <v>#NUM!</v>
      </c>
      <c r="AE332" s="523" t="str">
        <f>IF(AND($R332&gt;0,données_step[[#This Row],[E_NH4]]&gt;0),données_step[[#This Row],[E_NH4]],"")</f>
        <v/>
      </c>
      <c r="AF332" s="523" t="str">
        <f>IF(AE332="","",(1-données_step[[#This Row],[E_NH4]]/$AH$7)*100)</f>
        <v/>
      </c>
      <c r="AG332" s="523" t="str">
        <f t="shared" ref="AG332:AG376" si="86">IF(OR(AF332="",AF332&lt;0),"",AF332)</f>
        <v/>
      </c>
      <c r="AH332" s="523" t="str">
        <f t="shared" ref="AH332:AH376" si="87">IF(AF332="","",AF332*$R332/8640)</f>
        <v/>
      </c>
      <c r="AI332" s="523" t="str">
        <f t="shared" ref="AI332:AI376" si="88">AH332</f>
        <v/>
      </c>
      <c r="AJ332" s="523" t="e">
        <f>IF(((100-100/$AH$7*données_step[[#This Row],[E_NH4]])/100*QTS)&lt;0,NA(),IF(OR(AG332&lt;0,AG332=""),NA(),((100-100/$AH$7*données_step[[#This Row],[E_NH4]])/100*QTS)))</f>
        <v>#NUM!</v>
      </c>
      <c r="AK332" s="523" t="str">
        <f>IF(AND($R332&gt;0,données_step[[#This Row],[E_PTOT]]&gt;0),données_step[[#This Row],[E_PTOT]],"")</f>
        <v/>
      </c>
      <c r="AL332" s="523" t="str">
        <f>IF(AK332="","",(1-données_step[[#This Row],[E_PTOT]]/$AN$7)*100)</f>
        <v/>
      </c>
      <c r="AM332" s="523" t="str">
        <f t="shared" ref="AM332:AM376" si="89">IF(OR(AL332="",AL332&lt;0),"",AL332)</f>
        <v/>
      </c>
      <c r="AN332" s="523" t="str">
        <f t="shared" ref="AN332:AN376" si="90">IF(AL332="","",AL332*$R332/8640)</f>
        <v/>
      </c>
      <c r="AO332" s="523" t="str">
        <f t="shared" ref="AO332:AO376" si="91">AN332</f>
        <v/>
      </c>
      <c r="AP332" s="523" t="e">
        <f>IF(((100-100/$AN$7*données_step[[#This Row],[E_PTOT]])/100*QTS)&lt;0,NA(),IF(OR(AM332&lt;0,AM332=""),NA(),((100-100/$AN$7*données_step[[#This Row],[E_PTOT]])/100*QTS)))</f>
        <v>#NUM!</v>
      </c>
      <c r="AQ332" s="524" t="e">
        <f t="shared" ref="AQ332:AQ376" si="92">_xlfn.IFNA(AVERAGE(X332,AD332,AJ332,AP332),"")</f>
        <v>#NUM!</v>
      </c>
      <c r="AR332" s="524" t="str">
        <f t="shared" ref="AR332:AR376" si="93">IFERROR(AVERAGE(U332,AA332,AG332,AM332),"")</f>
        <v/>
      </c>
      <c r="AY332" s="523" t="str">
        <f>_xlfn.IFNA(IF(données_step[[#This Row],[E_DCO]]&lt;=0,NA(),charge_entree[[#This Row],[ch_E_DCO]]/constanten!$B$8*1000),"")</f>
        <v/>
      </c>
      <c r="AZ332" s="523" t="str">
        <f>_xlfn.IFNA(IF(données_step[[#This Row],[E_NTOT]]&lt;=0,NA(),charge_entree[[#This Row],[ch_E_NTOT]]/constanten!$B$10*1000),"")</f>
        <v/>
      </c>
      <c r="BA332" s="523" t="str">
        <f>_xlfn.IFNA(IF(données_step[[#This Row],[E_NH4]]&lt;=0,NA(),charge_entree[[#This Row],[ch_E_NH4]]/constanten!$B$12*1000),"")</f>
        <v/>
      </c>
      <c r="BB332" s="523" t="str">
        <f>_xlfn.IFNA(IF(données_step[[#This Row],[E_COT]]&lt;=0,NA(),charge_entree[[#This Row],[ch_E_COT]]/constanten!$B$9*1000),"")</f>
        <v/>
      </c>
      <c r="BC332" s="523" t="str">
        <f>IFERROR(_xlfn.IFNA(IF(données_step[[#This Row],[E_PTOT]]&lt;=0,NA(),charge_entree[[#This Row],[ch_E_PTOT]]/constanten!$B$15*1000),""),"")</f>
        <v/>
      </c>
      <c r="BD332" s="535" t="e">
        <f>calculs!E332 * (1-0.4) / (données_step[[#This Row],[X_BA_VOL]]*données_step[[#This Row],[X_BACONC]])</f>
        <v>#VALUE!</v>
      </c>
      <c r="BE332" s="522" t="e">
        <f>(données_step[[#This Row],[X_BA_VOL]]*données_step[[#This Row],[X_BACONC]])/((données_step[[#This Row],[D_QTRAI2]]*données_step[[#This Row],[S_MES]]/1000)+(données_step[[#This Row],[X_BX_Q]]*données_step[[#This Row],[X_BXCONC]]))</f>
        <v>#VALUE!</v>
      </c>
      <c r="BF332" s="890" t="str">
        <f>IFERROR(données_step[[#This Row],[D_QTRAI]]/AY332*1000,"")</f>
        <v/>
      </c>
      <c r="BG332" s="535" t="str">
        <f>IFERROR(1-données_step[[#This Row],[S_DBO5]]/données_step[[#This Row],[E_DBO5]],"")</f>
        <v/>
      </c>
      <c r="BH332" s="536" t="str">
        <f>IFERROR(1-données_step[[#This Row],[S_DCO]]/données_step[[#This Row],[E_DCO]],"")</f>
        <v/>
      </c>
      <c r="BI332" s="535" t="str">
        <f>IFERROR(1-données_step[[#This Row],[S_COD]]/données_step[[#This Row],[E_COT]],"")</f>
        <v/>
      </c>
      <c r="BJ332" s="535" t="str">
        <f>IFERROR(1-données_step[[#This Row],[S_NH4]]/données_step[[#This Row],[E_NTOT]],"")</f>
        <v/>
      </c>
      <c r="BK332" s="535" t="str">
        <f>IFERROR(1-données_step[[#This Row],[S_PTOT]]/données_step[[#This Row],[E_PTOT]],"")</f>
        <v/>
      </c>
      <c r="BL332" s="521" t="str">
        <f>IFERROR(IF(données_step[[#This Row],[E_DCO]]/données_step[[#This Row],[E_DBO5]]=0,NA(),données_step[[#This Row],[E_DCO]]/données_step[[#This Row],[E_DBO5]]),"")</f>
        <v/>
      </c>
      <c r="BM332" s="521" t="str">
        <f>IFERROR(IF(données_step[[#This Row],[E_NH4]]/données_step[[#This Row],[E_NTOT]]=0,NA(),données_step[[#This Row],[E_NH4]]/données_step[[#This Row],[E_NTOT]]),"")</f>
        <v/>
      </c>
      <c r="BN332" s="521" t="str">
        <f>IFERROR(IF(données_step[[#This Row],[E_NTOT]]/données_step[[#This Row],[E_COT]]=0,NA(),données_step[[#This Row],[E_NTOT]]/données_step[[#This Row],[E_COT]]),"")</f>
        <v/>
      </c>
      <c r="BO332" s="521" t="str">
        <f>IFERROR(IF(données_step[[#This Row],[E_PTOT]]/données_step[[#This Row],[E_COT]]=0,NA(),données_step[[#This Row],[E_PTOT]]/données_step[[#This Row],[E_COT]]),"")</f>
        <v/>
      </c>
      <c r="BP332" s="521" t="e">
        <f>IF(données_step[[#This Row],[E_DCO]]/données_step[[#This Row],[E_COT]]=0,NA(),données_step[[#This Row],[E_DCO]]/données_step[[#This Row],[E_COT]])</f>
        <v>#DIV/0!</v>
      </c>
      <c r="BQ332" s="521" t="e">
        <f>IF(données_step[[#This Row],[E_NTOT]]/données_step[[#This Row],[E_DCO]]=0,NA(),données_step[[#This Row],[E_NTOT]]/données_step[[#This Row],[E_DCO]])</f>
        <v>#DIV/0!</v>
      </c>
      <c r="BR332" s="521" t="e">
        <f>IF(données_step[[#This Row],[E_PTOT]]/données_step[[#This Row],[E_DCO]]=0,NA(),données_step[[#This Row],[E_PTOT]]/données_step[[#This Row],[E_DCO]])</f>
        <v>#DIV/0!</v>
      </c>
      <c r="BS332" s="747" t="e">
        <f ca="1">test_NH4_temp(données_step[[#This Row],[S_NH4]],données_step[[#This Row],[Temp_eaux]])</f>
        <v>#NAME?</v>
      </c>
    </row>
    <row r="333" spans="1:71" x14ac:dyDescent="0.2">
      <c r="A333" s="222">
        <f>données_step[[#This Row],[Datum]]</f>
        <v>44884</v>
      </c>
      <c r="B333" s="223"/>
      <c r="C333" s="224">
        <f t="shared" si="79"/>
        <v>7</v>
      </c>
      <c r="D333" s="523" t="str">
        <f>IF(OR(données_step[[#This Row],[E_DBO5]]&lt;=0,données_step[[#This Row],[E_DBO5]]=""),"",données_step[[#This Row],[D_QTRAI]]*données_step[[#This Row],[E_DBO5]]/1000)</f>
        <v/>
      </c>
      <c r="E333" s="523" t="str">
        <f>IF(OR(données_step[[#This Row],[E_DCO]]&lt;=0,données_step[[#This Row],[E_DCO]]=""),"",données_step[[#This Row],[D_QTRAI]]*données_step[[#This Row],[E_DCO]]/1000)</f>
        <v/>
      </c>
      <c r="F333" s="523" t="str">
        <f>IF(OR(données_step[[#This Row],[E_COT]]&lt;=0,données_step[[#This Row],[E_COT]]=""),"",données_step[[#This Row],[D_QTRAI]]*données_step[[#This Row],[E_COT]]/1000)</f>
        <v/>
      </c>
      <c r="G333" s="523" t="str">
        <f>IF(OR(données_step[[#This Row],[E_NH4]]&lt;=0,données_step[[#This Row],[E_NH4]]=""),"",données_step[[#This Row],[D_QTRAI]]*données_step[[#This Row],[E_NH4]]/1000)</f>
        <v/>
      </c>
      <c r="H333" s="523" t="str">
        <f>IF(OR(données_step[[#This Row],[E_NTOT]]&lt;=0,données_step[[#This Row],[E_NTOT]]=""),"",données_step[[#This Row],[D_QTRAI]]*données_step[[#This Row],[E_NTOT]]/1000)</f>
        <v/>
      </c>
      <c r="I333" s="523" t="str">
        <f>IF(OR(données_step[[#This Row],[E_NTOT]]&lt;=0,données_step[[#This Row],[E_NTOT]]=""),"",données_step[[#This Row],[D_QTRAI]]*données_step[[#This Row],[E_PTOT]]/1000)</f>
        <v/>
      </c>
      <c r="J333" s="523" t="str">
        <f>IF(OR(données_step[[#This Row],[S_DBO5]]&lt;=0,données_step[[#This Row],[S_DBO5]]=""),"",données_step[[#This Row],[D_QTRAI]]*données_step[[#This Row],[S_DBO5]]/1000)</f>
        <v/>
      </c>
      <c r="K333" s="523" t="str">
        <f>IF(OR(données_step[[#This Row],[S_DCO]]&lt;=0,données_step[[#This Row],[S_DCO]]=""),"",données_step[[#This Row],[D_QTRAI]]*données_step[[#This Row],[S_DCO]]/1000)</f>
        <v/>
      </c>
      <c r="L333" s="523" t="str">
        <f>IF(OR(données_step[[#This Row],[S_COD]]&lt;=0,données_step[[#This Row],[S_COD]]=""),"",données_step[[#This Row],[D_QTRAI]]*données_step[[#This Row],[S_COD]]/1000)</f>
        <v/>
      </c>
      <c r="M333" s="523" t="str">
        <f>IF(OR(données_step[[#This Row],[S_NH4]]&lt;=0,données_step[[#This Row],[S_NH4]]=""),"",données_step[[#This Row],[D_QTRAI]]*données_step[[#This Row],[S_NH4]]/1000)</f>
        <v/>
      </c>
      <c r="N333" s="523" t="str">
        <f>IF(OR(données_step[[#This Row],[S_NO2]]&lt;=0,données_step[[#This Row],[S_NO2]]=""),"",données_step[[#This Row],[D_QTRAI]]*données_step[[#This Row],[S_NO2]]/1000)</f>
        <v/>
      </c>
      <c r="O333" s="523" t="str">
        <f>IF(OR(données_step[[#This Row],[S_NO3]]&lt;=0,données_step[[#This Row],[S_NO3]]=""),"",données_step[[#This Row],[D_QTRAI]]*données_step[[#This Row],[S_NO3]]/1000)</f>
        <v/>
      </c>
      <c r="P333" s="523" t="str">
        <f>IF(OR(données_step[[#This Row],[S_PTOT]]&lt;=0,données_step[[#This Row],[S_PTOT]]=""),"",données_step[[#This Row],[D_QTRAI]]*données_step[[#This Row],[S_PTOT]]/1000)</f>
        <v/>
      </c>
      <c r="Q333" s="523" t="str">
        <f>IF(OR(données_step[[#This Row],[S_MES]]&lt;=0,données_step[[#This Row],[S_MES]]=""),"",données_step[[#This Row],[D_QTRAI]]*données_step[[#This Row],[S_MES]]/1000)</f>
        <v/>
      </c>
      <c r="R333" s="523">
        <f>MAX(données_step[[#This Row],[D_QTRAI]],données_step[[#This Row],[D_QTRAI2]])</f>
        <v>0</v>
      </c>
      <c r="S333" s="523" t="str">
        <f>IF(AND($R333&gt;0,données_step[[#This Row],[E_DCO]]&gt;0),données_step[[#This Row],[E_DCO]],"")</f>
        <v/>
      </c>
      <c r="T333" s="523" t="str">
        <f>IF(S333="","",(1-données_step[[#This Row],[E_DCO]]/$V$7)*100)</f>
        <v/>
      </c>
      <c r="U333" s="523" t="str">
        <f t="shared" si="80"/>
        <v/>
      </c>
      <c r="V333" s="523" t="str">
        <f t="shared" si="81"/>
        <v/>
      </c>
      <c r="W333" s="523" t="str">
        <f t="shared" si="82"/>
        <v/>
      </c>
      <c r="X333" s="523" t="e">
        <f>IF(((100-100/$V$7*données_step[[#This Row],[E_DCO]])/100*QTS)&lt;0,NA(),IF(OR(U333&lt;0,U333=""),NA(),((100-100/$V$7*données_step[[#This Row],[E_DCO]])/100*QTS)))</f>
        <v>#NUM!</v>
      </c>
      <c r="Y333" s="523" t="str">
        <f>IF(AND($R333&gt;0,données_step[[#This Row],[E_COT]]&gt;0),données_step[[#This Row],[E_COT]],"")</f>
        <v/>
      </c>
      <c r="Z333" s="523" t="str">
        <f>IF(Y333="","",(1-données_step[[#This Row],[E_COT]]/$AB$7)*100)</f>
        <v/>
      </c>
      <c r="AA333" s="523" t="str">
        <f t="shared" si="83"/>
        <v/>
      </c>
      <c r="AB333" s="523" t="str">
        <f t="shared" si="84"/>
        <v/>
      </c>
      <c r="AC333" s="523" t="str">
        <f t="shared" si="85"/>
        <v/>
      </c>
      <c r="AD333" s="523" t="e">
        <f>IF(((100-100/$AB$7*données_step[[#This Row],[E_COT]])/100*QTS)&lt;0,NA(),IF(OR(AA333&lt;0,AA333=""),NA(),((100-100/$AB$7*données_step[[#This Row],[E_COT]])/100*QTS)))</f>
        <v>#NUM!</v>
      </c>
      <c r="AE333" s="523" t="str">
        <f>IF(AND($R333&gt;0,données_step[[#This Row],[E_NH4]]&gt;0),données_step[[#This Row],[E_NH4]],"")</f>
        <v/>
      </c>
      <c r="AF333" s="523" t="str">
        <f>IF(AE333="","",(1-données_step[[#This Row],[E_NH4]]/$AH$7)*100)</f>
        <v/>
      </c>
      <c r="AG333" s="523" t="str">
        <f t="shared" si="86"/>
        <v/>
      </c>
      <c r="AH333" s="523" t="str">
        <f t="shared" si="87"/>
        <v/>
      </c>
      <c r="AI333" s="523" t="str">
        <f t="shared" si="88"/>
        <v/>
      </c>
      <c r="AJ333" s="523" t="e">
        <f>IF(((100-100/$AH$7*données_step[[#This Row],[E_NH4]])/100*QTS)&lt;0,NA(),IF(OR(AG333&lt;0,AG333=""),NA(),((100-100/$AH$7*données_step[[#This Row],[E_NH4]])/100*QTS)))</f>
        <v>#NUM!</v>
      </c>
      <c r="AK333" s="523" t="str">
        <f>IF(AND($R333&gt;0,données_step[[#This Row],[E_PTOT]]&gt;0),données_step[[#This Row],[E_PTOT]],"")</f>
        <v/>
      </c>
      <c r="AL333" s="523" t="str">
        <f>IF(AK333="","",(1-données_step[[#This Row],[E_PTOT]]/$AN$7)*100)</f>
        <v/>
      </c>
      <c r="AM333" s="523" t="str">
        <f t="shared" si="89"/>
        <v/>
      </c>
      <c r="AN333" s="523" t="str">
        <f t="shared" si="90"/>
        <v/>
      </c>
      <c r="AO333" s="523" t="str">
        <f t="shared" si="91"/>
        <v/>
      </c>
      <c r="AP333" s="523" t="e">
        <f>IF(((100-100/$AN$7*données_step[[#This Row],[E_PTOT]])/100*QTS)&lt;0,NA(),IF(OR(AM333&lt;0,AM333=""),NA(),((100-100/$AN$7*données_step[[#This Row],[E_PTOT]])/100*QTS)))</f>
        <v>#NUM!</v>
      </c>
      <c r="AQ333" s="524" t="e">
        <f t="shared" si="92"/>
        <v>#NUM!</v>
      </c>
      <c r="AR333" s="524" t="str">
        <f t="shared" si="93"/>
        <v/>
      </c>
      <c r="AY333" s="523" t="str">
        <f>_xlfn.IFNA(IF(données_step[[#This Row],[E_DCO]]&lt;=0,NA(),charge_entree[[#This Row],[ch_E_DCO]]/constanten!$B$8*1000),"")</f>
        <v/>
      </c>
      <c r="AZ333" s="523" t="str">
        <f>_xlfn.IFNA(IF(données_step[[#This Row],[E_NTOT]]&lt;=0,NA(),charge_entree[[#This Row],[ch_E_NTOT]]/constanten!$B$10*1000),"")</f>
        <v/>
      </c>
      <c r="BA333" s="523" t="str">
        <f>_xlfn.IFNA(IF(données_step[[#This Row],[E_NH4]]&lt;=0,NA(),charge_entree[[#This Row],[ch_E_NH4]]/constanten!$B$12*1000),"")</f>
        <v/>
      </c>
      <c r="BB333" s="523" t="str">
        <f>_xlfn.IFNA(IF(données_step[[#This Row],[E_COT]]&lt;=0,NA(),charge_entree[[#This Row],[ch_E_COT]]/constanten!$B$9*1000),"")</f>
        <v/>
      </c>
      <c r="BC333" s="523" t="str">
        <f>IFERROR(_xlfn.IFNA(IF(données_step[[#This Row],[E_PTOT]]&lt;=0,NA(),charge_entree[[#This Row],[ch_E_PTOT]]/constanten!$B$15*1000),""),"")</f>
        <v/>
      </c>
      <c r="BD333" s="535" t="e">
        <f>calculs!E333 * (1-0.4) / (données_step[[#This Row],[X_BA_VOL]]*données_step[[#This Row],[X_BACONC]])</f>
        <v>#VALUE!</v>
      </c>
      <c r="BE333" s="522" t="e">
        <f>(données_step[[#This Row],[X_BA_VOL]]*données_step[[#This Row],[X_BACONC]])/((données_step[[#This Row],[D_QTRAI2]]*données_step[[#This Row],[S_MES]]/1000)+(données_step[[#This Row],[X_BX_Q]]*données_step[[#This Row],[X_BXCONC]]))</f>
        <v>#VALUE!</v>
      </c>
      <c r="BF333" s="890" t="str">
        <f>IFERROR(données_step[[#This Row],[D_QTRAI]]/AY333*1000,"")</f>
        <v/>
      </c>
      <c r="BG333" s="535" t="str">
        <f>IFERROR(1-données_step[[#This Row],[S_DBO5]]/données_step[[#This Row],[E_DBO5]],"")</f>
        <v/>
      </c>
      <c r="BH333" s="536" t="str">
        <f>IFERROR(1-données_step[[#This Row],[S_DCO]]/données_step[[#This Row],[E_DCO]],"")</f>
        <v/>
      </c>
      <c r="BI333" s="535" t="str">
        <f>IFERROR(1-données_step[[#This Row],[S_COD]]/données_step[[#This Row],[E_COT]],"")</f>
        <v/>
      </c>
      <c r="BJ333" s="535" t="str">
        <f>IFERROR(1-données_step[[#This Row],[S_NH4]]/données_step[[#This Row],[E_NTOT]],"")</f>
        <v/>
      </c>
      <c r="BK333" s="535" t="str">
        <f>IFERROR(1-données_step[[#This Row],[S_PTOT]]/données_step[[#This Row],[E_PTOT]],"")</f>
        <v/>
      </c>
      <c r="BL333" s="521" t="str">
        <f>IFERROR(IF(données_step[[#This Row],[E_DCO]]/données_step[[#This Row],[E_DBO5]]=0,NA(),données_step[[#This Row],[E_DCO]]/données_step[[#This Row],[E_DBO5]]),"")</f>
        <v/>
      </c>
      <c r="BM333" s="521" t="str">
        <f>IFERROR(IF(données_step[[#This Row],[E_NH4]]/données_step[[#This Row],[E_NTOT]]=0,NA(),données_step[[#This Row],[E_NH4]]/données_step[[#This Row],[E_NTOT]]),"")</f>
        <v/>
      </c>
      <c r="BN333" s="521" t="str">
        <f>IFERROR(IF(données_step[[#This Row],[E_NTOT]]/données_step[[#This Row],[E_COT]]=0,NA(),données_step[[#This Row],[E_NTOT]]/données_step[[#This Row],[E_COT]]),"")</f>
        <v/>
      </c>
      <c r="BO333" s="521" t="str">
        <f>IFERROR(IF(données_step[[#This Row],[E_PTOT]]/données_step[[#This Row],[E_COT]]=0,NA(),données_step[[#This Row],[E_PTOT]]/données_step[[#This Row],[E_COT]]),"")</f>
        <v/>
      </c>
      <c r="BP333" s="521" t="e">
        <f>IF(données_step[[#This Row],[E_DCO]]/données_step[[#This Row],[E_COT]]=0,NA(),données_step[[#This Row],[E_DCO]]/données_step[[#This Row],[E_COT]])</f>
        <v>#DIV/0!</v>
      </c>
      <c r="BQ333" s="521" t="e">
        <f>IF(données_step[[#This Row],[E_NTOT]]/données_step[[#This Row],[E_DCO]]=0,NA(),données_step[[#This Row],[E_NTOT]]/données_step[[#This Row],[E_DCO]])</f>
        <v>#DIV/0!</v>
      </c>
      <c r="BR333" s="521" t="e">
        <f>IF(données_step[[#This Row],[E_PTOT]]/données_step[[#This Row],[E_DCO]]=0,NA(),données_step[[#This Row],[E_PTOT]]/données_step[[#This Row],[E_DCO]])</f>
        <v>#DIV/0!</v>
      </c>
      <c r="BS333" s="747" t="e">
        <f ca="1">test_NH4_temp(données_step[[#This Row],[S_NH4]],données_step[[#This Row],[Temp_eaux]])</f>
        <v>#NAME?</v>
      </c>
    </row>
    <row r="334" spans="1:71" x14ac:dyDescent="0.2">
      <c r="A334" s="222">
        <f>données_step[[#This Row],[Datum]]</f>
        <v>44885</v>
      </c>
      <c r="B334" s="223"/>
      <c r="C334" s="224">
        <f t="shared" si="79"/>
        <v>1</v>
      </c>
      <c r="D334" s="523" t="str">
        <f>IF(OR(données_step[[#This Row],[E_DBO5]]&lt;=0,données_step[[#This Row],[E_DBO5]]=""),"",données_step[[#This Row],[D_QTRAI]]*données_step[[#This Row],[E_DBO5]]/1000)</f>
        <v/>
      </c>
      <c r="E334" s="523" t="str">
        <f>IF(OR(données_step[[#This Row],[E_DCO]]&lt;=0,données_step[[#This Row],[E_DCO]]=""),"",données_step[[#This Row],[D_QTRAI]]*données_step[[#This Row],[E_DCO]]/1000)</f>
        <v/>
      </c>
      <c r="F334" s="523" t="str">
        <f>IF(OR(données_step[[#This Row],[E_COT]]&lt;=0,données_step[[#This Row],[E_COT]]=""),"",données_step[[#This Row],[D_QTRAI]]*données_step[[#This Row],[E_COT]]/1000)</f>
        <v/>
      </c>
      <c r="G334" s="523" t="str">
        <f>IF(OR(données_step[[#This Row],[E_NH4]]&lt;=0,données_step[[#This Row],[E_NH4]]=""),"",données_step[[#This Row],[D_QTRAI]]*données_step[[#This Row],[E_NH4]]/1000)</f>
        <v/>
      </c>
      <c r="H334" s="523" t="str">
        <f>IF(OR(données_step[[#This Row],[E_NTOT]]&lt;=0,données_step[[#This Row],[E_NTOT]]=""),"",données_step[[#This Row],[D_QTRAI]]*données_step[[#This Row],[E_NTOT]]/1000)</f>
        <v/>
      </c>
      <c r="I334" s="523" t="str">
        <f>IF(OR(données_step[[#This Row],[E_NTOT]]&lt;=0,données_step[[#This Row],[E_NTOT]]=""),"",données_step[[#This Row],[D_QTRAI]]*données_step[[#This Row],[E_PTOT]]/1000)</f>
        <v/>
      </c>
      <c r="J334" s="523" t="str">
        <f>IF(OR(données_step[[#This Row],[S_DBO5]]&lt;=0,données_step[[#This Row],[S_DBO5]]=""),"",données_step[[#This Row],[D_QTRAI]]*données_step[[#This Row],[S_DBO5]]/1000)</f>
        <v/>
      </c>
      <c r="K334" s="523" t="str">
        <f>IF(OR(données_step[[#This Row],[S_DCO]]&lt;=0,données_step[[#This Row],[S_DCO]]=""),"",données_step[[#This Row],[D_QTRAI]]*données_step[[#This Row],[S_DCO]]/1000)</f>
        <v/>
      </c>
      <c r="L334" s="523" t="str">
        <f>IF(OR(données_step[[#This Row],[S_COD]]&lt;=0,données_step[[#This Row],[S_COD]]=""),"",données_step[[#This Row],[D_QTRAI]]*données_step[[#This Row],[S_COD]]/1000)</f>
        <v/>
      </c>
      <c r="M334" s="523" t="str">
        <f>IF(OR(données_step[[#This Row],[S_NH4]]&lt;=0,données_step[[#This Row],[S_NH4]]=""),"",données_step[[#This Row],[D_QTRAI]]*données_step[[#This Row],[S_NH4]]/1000)</f>
        <v/>
      </c>
      <c r="N334" s="523" t="str">
        <f>IF(OR(données_step[[#This Row],[S_NO2]]&lt;=0,données_step[[#This Row],[S_NO2]]=""),"",données_step[[#This Row],[D_QTRAI]]*données_step[[#This Row],[S_NO2]]/1000)</f>
        <v/>
      </c>
      <c r="O334" s="523" t="str">
        <f>IF(OR(données_step[[#This Row],[S_NO3]]&lt;=0,données_step[[#This Row],[S_NO3]]=""),"",données_step[[#This Row],[D_QTRAI]]*données_step[[#This Row],[S_NO3]]/1000)</f>
        <v/>
      </c>
      <c r="P334" s="523" t="str">
        <f>IF(OR(données_step[[#This Row],[S_PTOT]]&lt;=0,données_step[[#This Row],[S_PTOT]]=""),"",données_step[[#This Row],[D_QTRAI]]*données_step[[#This Row],[S_PTOT]]/1000)</f>
        <v/>
      </c>
      <c r="Q334" s="523" t="str">
        <f>IF(OR(données_step[[#This Row],[S_MES]]&lt;=0,données_step[[#This Row],[S_MES]]=""),"",données_step[[#This Row],[D_QTRAI]]*données_step[[#This Row],[S_MES]]/1000)</f>
        <v/>
      </c>
      <c r="R334" s="523">
        <f>MAX(données_step[[#This Row],[D_QTRAI]],données_step[[#This Row],[D_QTRAI2]])</f>
        <v>0</v>
      </c>
      <c r="S334" s="523" t="str">
        <f>IF(AND($R334&gt;0,données_step[[#This Row],[E_DCO]]&gt;0),données_step[[#This Row],[E_DCO]],"")</f>
        <v/>
      </c>
      <c r="T334" s="523" t="str">
        <f>IF(S334="","",(1-données_step[[#This Row],[E_DCO]]/$V$7)*100)</f>
        <v/>
      </c>
      <c r="U334" s="523" t="str">
        <f t="shared" si="80"/>
        <v/>
      </c>
      <c r="V334" s="523" t="str">
        <f t="shared" si="81"/>
        <v/>
      </c>
      <c r="W334" s="523" t="str">
        <f t="shared" si="82"/>
        <v/>
      </c>
      <c r="X334" s="523" t="e">
        <f>IF(((100-100/$V$7*données_step[[#This Row],[E_DCO]])/100*QTS)&lt;0,NA(),IF(OR(U334&lt;0,U334=""),NA(),((100-100/$V$7*données_step[[#This Row],[E_DCO]])/100*QTS)))</f>
        <v>#NUM!</v>
      </c>
      <c r="Y334" s="523" t="str">
        <f>IF(AND($R334&gt;0,données_step[[#This Row],[E_COT]]&gt;0),données_step[[#This Row],[E_COT]],"")</f>
        <v/>
      </c>
      <c r="Z334" s="523" t="str">
        <f>IF(Y334="","",(1-données_step[[#This Row],[E_COT]]/$AB$7)*100)</f>
        <v/>
      </c>
      <c r="AA334" s="523" t="str">
        <f t="shared" si="83"/>
        <v/>
      </c>
      <c r="AB334" s="523" t="str">
        <f t="shared" si="84"/>
        <v/>
      </c>
      <c r="AC334" s="523" t="str">
        <f t="shared" si="85"/>
        <v/>
      </c>
      <c r="AD334" s="523" t="e">
        <f>IF(((100-100/$AB$7*données_step[[#This Row],[E_COT]])/100*QTS)&lt;0,NA(),IF(OR(AA334&lt;0,AA334=""),NA(),((100-100/$AB$7*données_step[[#This Row],[E_COT]])/100*QTS)))</f>
        <v>#NUM!</v>
      </c>
      <c r="AE334" s="523" t="str">
        <f>IF(AND($R334&gt;0,données_step[[#This Row],[E_NH4]]&gt;0),données_step[[#This Row],[E_NH4]],"")</f>
        <v/>
      </c>
      <c r="AF334" s="523" t="str">
        <f>IF(AE334="","",(1-données_step[[#This Row],[E_NH4]]/$AH$7)*100)</f>
        <v/>
      </c>
      <c r="AG334" s="523" t="str">
        <f t="shared" si="86"/>
        <v/>
      </c>
      <c r="AH334" s="523" t="str">
        <f t="shared" si="87"/>
        <v/>
      </c>
      <c r="AI334" s="523" t="str">
        <f t="shared" si="88"/>
        <v/>
      </c>
      <c r="AJ334" s="523" t="e">
        <f>IF(((100-100/$AH$7*données_step[[#This Row],[E_NH4]])/100*QTS)&lt;0,NA(),IF(OR(AG334&lt;0,AG334=""),NA(),((100-100/$AH$7*données_step[[#This Row],[E_NH4]])/100*QTS)))</f>
        <v>#NUM!</v>
      </c>
      <c r="AK334" s="523" t="str">
        <f>IF(AND($R334&gt;0,données_step[[#This Row],[E_PTOT]]&gt;0),données_step[[#This Row],[E_PTOT]],"")</f>
        <v/>
      </c>
      <c r="AL334" s="523" t="str">
        <f>IF(AK334="","",(1-données_step[[#This Row],[E_PTOT]]/$AN$7)*100)</f>
        <v/>
      </c>
      <c r="AM334" s="523" t="str">
        <f t="shared" si="89"/>
        <v/>
      </c>
      <c r="AN334" s="523" t="str">
        <f t="shared" si="90"/>
        <v/>
      </c>
      <c r="AO334" s="523" t="str">
        <f t="shared" si="91"/>
        <v/>
      </c>
      <c r="AP334" s="523" t="e">
        <f>IF(((100-100/$AN$7*données_step[[#This Row],[E_PTOT]])/100*QTS)&lt;0,NA(),IF(OR(AM334&lt;0,AM334=""),NA(),((100-100/$AN$7*données_step[[#This Row],[E_PTOT]])/100*QTS)))</f>
        <v>#NUM!</v>
      </c>
      <c r="AQ334" s="524" t="e">
        <f t="shared" si="92"/>
        <v>#NUM!</v>
      </c>
      <c r="AR334" s="524" t="str">
        <f t="shared" si="93"/>
        <v/>
      </c>
      <c r="AY334" s="523" t="str">
        <f>_xlfn.IFNA(IF(données_step[[#This Row],[E_DCO]]&lt;=0,NA(),charge_entree[[#This Row],[ch_E_DCO]]/constanten!$B$8*1000),"")</f>
        <v/>
      </c>
      <c r="AZ334" s="523" t="str">
        <f>_xlfn.IFNA(IF(données_step[[#This Row],[E_NTOT]]&lt;=0,NA(),charge_entree[[#This Row],[ch_E_NTOT]]/constanten!$B$10*1000),"")</f>
        <v/>
      </c>
      <c r="BA334" s="523" t="str">
        <f>_xlfn.IFNA(IF(données_step[[#This Row],[E_NH4]]&lt;=0,NA(),charge_entree[[#This Row],[ch_E_NH4]]/constanten!$B$12*1000),"")</f>
        <v/>
      </c>
      <c r="BB334" s="523" t="str">
        <f>_xlfn.IFNA(IF(données_step[[#This Row],[E_COT]]&lt;=0,NA(),charge_entree[[#This Row],[ch_E_COT]]/constanten!$B$9*1000),"")</f>
        <v/>
      </c>
      <c r="BC334" s="523" t="str">
        <f>IFERROR(_xlfn.IFNA(IF(données_step[[#This Row],[E_PTOT]]&lt;=0,NA(),charge_entree[[#This Row],[ch_E_PTOT]]/constanten!$B$15*1000),""),"")</f>
        <v/>
      </c>
      <c r="BD334" s="535" t="e">
        <f>calculs!E334 * (1-0.4) / (données_step[[#This Row],[X_BA_VOL]]*données_step[[#This Row],[X_BACONC]])</f>
        <v>#VALUE!</v>
      </c>
      <c r="BE334" s="522" t="e">
        <f>(données_step[[#This Row],[X_BA_VOL]]*données_step[[#This Row],[X_BACONC]])/((données_step[[#This Row],[D_QTRAI2]]*données_step[[#This Row],[S_MES]]/1000)+(données_step[[#This Row],[X_BX_Q]]*données_step[[#This Row],[X_BXCONC]]))</f>
        <v>#VALUE!</v>
      </c>
      <c r="BF334" s="890" t="str">
        <f>IFERROR(données_step[[#This Row],[D_QTRAI]]/AY334*1000,"")</f>
        <v/>
      </c>
      <c r="BG334" s="535" t="str">
        <f>IFERROR(1-données_step[[#This Row],[S_DBO5]]/données_step[[#This Row],[E_DBO5]],"")</f>
        <v/>
      </c>
      <c r="BH334" s="536" t="str">
        <f>IFERROR(1-données_step[[#This Row],[S_DCO]]/données_step[[#This Row],[E_DCO]],"")</f>
        <v/>
      </c>
      <c r="BI334" s="535" t="str">
        <f>IFERROR(1-données_step[[#This Row],[S_COD]]/données_step[[#This Row],[E_COT]],"")</f>
        <v/>
      </c>
      <c r="BJ334" s="535" t="str">
        <f>IFERROR(1-données_step[[#This Row],[S_NH4]]/données_step[[#This Row],[E_NTOT]],"")</f>
        <v/>
      </c>
      <c r="BK334" s="535" t="str">
        <f>IFERROR(1-données_step[[#This Row],[S_PTOT]]/données_step[[#This Row],[E_PTOT]],"")</f>
        <v/>
      </c>
      <c r="BL334" s="521" t="str">
        <f>IFERROR(IF(données_step[[#This Row],[E_DCO]]/données_step[[#This Row],[E_DBO5]]=0,NA(),données_step[[#This Row],[E_DCO]]/données_step[[#This Row],[E_DBO5]]),"")</f>
        <v/>
      </c>
      <c r="BM334" s="521" t="str">
        <f>IFERROR(IF(données_step[[#This Row],[E_NH4]]/données_step[[#This Row],[E_NTOT]]=0,NA(),données_step[[#This Row],[E_NH4]]/données_step[[#This Row],[E_NTOT]]),"")</f>
        <v/>
      </c>
      <c r="BN334" s="521" t="str">
        <f>IFERROR(IF(données_step[[#This Row],[E_NTOT]]/données_step[[#This Row],[E_COT]]=0,NA(),données_step[[#This Row],[E_NTOT]]/données_step[[#This Row],[E_COT]]),"")</f>
        <v/>
      </c>
      <c r="BO334" s="521" t="str">
        <f>IFERROR(IF(données_step[[#This Row],[E_PTOT]]/données_step[[#This Row],[E_COT]]=0,NA(),données_step[[#This Row],[E_PTOT]]/données_step[[#This Row],[E_COT]]),"")</f>
        <v/>
      </c>
      <c r="BP334" s="521" t="e">
        <f>IF(données_step[[#This Row],[E_DCO]]/données_step[[#This Row],[E_COT]]=0,NA(),données_step[[#This Row],[E_DCO]]/données_step[[#This Row],[E_COT]])</f>
        <v>#DIV/0!</v>
      </c>
      <c r="BQ334" s="521" t="e">
        <f>IF(données_step[[#This Row],[E_NTOT]]/données_step[[#This Row],[E_DCO]]=0,NA(),données_step[[#This Row],[E_NTOT]]/données_step[[#This Row],[E_DCO]])</f>
        <v>#DIV/0!</v>
      </c>
      <c r="BR334" s="521" t="e">
        <f>IF(données_step[[#This Row],[E_PTOT]]/données_step[[#This Row],[E_DCO]]=0,NA(),données_step[[#This Row],[E_PTOT]]/données_step[[#This Row],[E_DCO]])</f>
        <v>#DIV/0!</v>
      </c>
      <c r="BS334" s="747" t="e">
        <f ca="1">test_NH4_temp(données_step[[#This Row],[S_NH4]],données_step[[#This Row],[Temp_eaux]])</f>
        <v>#NAME?</v>
      </c>
    </row>
    <row r="335" spans="1:71" x14ac:dyDescent="0.2">
      <c r="A335" s="222">
        <f>données_step[[#This Row],[Datum]]</f>
        <v>44886</v>
      </c>
      <c r="B335" s="223"/>
      <c r="C335" s="224">
        <f t="shared" si="79"/>
        <v>2</v>
      </c>
      <c r="D335" s="523" t="str">
        <f>IF(OR(données_step[[#This Row],[E_DBO5]]&lt;=0,données_step[[#This Row],[E_DBO5]]=""),"",données_step[[#This Row],[D_QTRAI]]*données_step[[#This Row],[E_DBO5]]/1000)</f>
        <v/>
      </c>
      <c r="E335" s="523" t="str">
        <f>IF(OR(données_step[[#This Row],[E_DCO]]&lt;=0,données_step[[#This Row],[E_DCO]]=""),"",données_step[[#This Row],[D_QTRAI]]*données_step[[#This Row],[E_DCO]]/1000)</f>
        <v/>
      </c>
      <c r="F335" s="523" t="str">
        <f>IF(OR(données_step[[#This Row],[E_COT]]&lt;=0,données_step[[#This Row],[E_COT]]=""),"",données_step[[#This Row],[D_QTRAI]]*données_step[[#This Row],[E_COT]]/1000)</f>
        <v/>
      </c>
      <c r="G335" s="523" t="str">
        <f>IF(OR(données_step[[#This Row],[E_NH4]]&lt;=0,données_step[[#This Row],[E_NH4]]=""),"",données_step[[#This Row],[D_QTRAI]]*données_step[[#This Row],[E_NH4]]/1000)</f>
        <v/>
      </c>
      <c r="H335" s="523" t="str">
        <f>IF(OR(données_step[[#This Row],[E_NTOT]]&lt;=0,données_step[[#This Row],[E_NTOT]]=""),"",données_step[[#This Row],[D_QTRAI]]*données_step[[#This Row],[E_NTOT]]/1000)</f>
        <v/>
      </c>
      <c r="I335" s="523" t="str">
        <f>IF(OR(données_step[[#This Row],[E_NTOT]]&lt;=0,données_step[[#This Row],[E_NTOT]]=""),"",données_step[[#This Row],[D_QTRAI]]*données_step[[#This Row],[E_PTOT]]/1000)</f>
        <v/>
      </c>
      <c r="J335" s="523" t="str">
        <f>IF(OR(données_step[[#This Row],[S_DBO5]]&lt;=0,données_step[[#This Row],[S_DBO5]]=""),"",données_step[[#This Row],[D_QTRAI]]*données_step[[#This Row],[S_DBO5]]/1000)</f>
        <v/>
      </c>
      <c r="K335" s="523" t="str">
        <f>IF(OR(données_step[[#This Row],[S_DCO]]&lt;=0,données_step[[#This Row],[S_DCO]]=""),"",données_step[[#This Row],[D_QTRAI]]*données_step[[#This Row],[S_DCO]]/1000)</f>
        <v/>
      </c>
      <c r="L335" s="523" t="str">
        <f>IF(OR(données_step[[#This Row],[S_COD]]&lt;=0,données_step[[#This Row],[S_COD]]=""),"",données_step[[#This Row],[D_QTRAI]]*données_step[[#This Row],[S_COD]]/1000)</f>
        <v/>
      </c>
      <c r="M335" s="523" t="str">
        <f>IF(OR(données_step[[#This Row],[S_NH4]]&lt;=0,données_step[[#This Row],[S_NH4]]=""),"",données_step[[#This Row],[D_QTRAI]]*données_step[[#This Row],[S_NH4]]/1000)</f>
        <v/>
      </c>
      <c r="N335" s="523" t="str">
        <f>IF(OR(données_step[[#This Row],[S_NO2]]&lt;=0,données_step[[#This Row],[S_NO2]]=""),"",données_step[[#This Row],[D_QTRAI]]*données_step[[#This Row],[S_NO2]]/1000)</f>
        <v/>
      </c>
      <c r="O335" s="523" t="str">
        <f>IF(OR(données_step[[#This Row],[S_NO3]]&lt;=0,données_step[[#This Row],[S_NO3]]=""),"",données_step[[#This Row],[D_QTRAI]]*données_step[[#This Row],[S_NO3]]/1000)</f>
        <v/>
      </c>
      <c r="P335" s="523" t="str">
        <f>IF(OR(données_step[[#This Row],[S_PTOT]]&lt;=0,données_step[[#This Row],[S_PTOT]]=""),"",données_step[[#This Row],[D_QTRAI]]*données_step[[#This Row],[S_PTOT]]/1000)</f>
        <v/>
      </c>
      <c r="Q335" s="523" t="str">
        <f>IF(OR(données_step[[#This Row],[S_MES]]&lt;=0,données_step[[#This Row],[S_MES]]=""),"",données_step[[#This Row],[D_QTRAI]]*données_step[[#This Row],[S_MES]]/1000)</f>
        <v/>
      </c>
      <c r="R335" s="523">
        <f>MAX(données_step[[#This Row],[D_QTRAI]],données_step[[#This Row],[D_QTRAI2]])</f>
        <v>0</v>
      </c>
      <c r="S335" s="523" t="str">
        <f>IF(AND($R335&gt;0,données_step[[#This Row],[E_DCO]]&gt;0),données_step[[#This Row],[E_DCO]],"")</f>
        <v/>
      </c>
      <c r="T335" s="523" t="str">
        <f>IF(S335="","",(1-données_step[[#This Row],[E_DCO]]/$V$7)*100)</f>
        <v/>
      </c>
      <c r="U335" s="523" t="str">
        <f t="shared" si="80"/>
        <v/>
      </c>
      <c r="V335" s="523" t="str">
        <f t="shared" si="81"/>
        <v/>
      </c>
      <c r="W335" s="523" t="str">
        <f t="shared" si="82"/>
        <v/>
      </c>
      <c r="X335" s="523" t="e">
        <f>IF(((100-100/$V$7*données_step[[#This Row],[E_DCO]])/100*QTS)&lt;0,NA(),IF(OR(U335&lt;0,U335=""),NA(),((100-100/$V$7*données_step[[#This Row],[E_DCO]])/100*QTS)))</f>
        <v>#NUM!</v>
      </c>
      <c r="Y335" s="523" t="str">
        <f>IF(AND($R335&gt;0,données_step[[#This Row],[E_COT]]&gt;0),données_step[[#This Row],[E_COT]],"")</f>
        <v/>
      </c>
      <c r="Z335" s="523" t="str">
        <f>IF(Y335="","",(1-données_step[[#This Row],[E_COT]]/$AB$7)*100)</f>
        <v/>
      </c>
      <c r="AA335" s="523" t="str">
        <f t="shared" si="83"/>
        <v/>
      </c>
      <c r="AB335" s="523" t="str">
        <f t="shared" si="84"/>
        <v/>
      </c>
      <c r="AC335" s="523" t="str">
        <f t="shared" si="85"/>
        <v/>
      </c>
      <c r="AD335" s="523" t="e">
        <f>IF(((100-100/$AB$7*données_step[[#This Row],[E_COT]])/100*QTS)&lt;0,NA(),IF(OR(AA335&lt;0,AA335=""),NA(),((100-100/$AB$7*données_step[[#This Row],[E_COT]])/100*QTS)))</f>
        <v>#NUM!</v>
      </c>
      <c r="AE335" s="523" t="str">
        <f>IF(AND($R335&gt;0,données_step[[#This Row],[E_NH4]]&gt;0),données_step[[#This Row],[E_NH4]],"")</f>
        <v/>
      </c>
      <c r="AF335" s="523" t="str">
        <f>IF(AE335="","",(1-données_step[[#This Row],[E_NH4]]/$AH$7)*100)</f>
        <v/>
      </c>
      <c r="AG335" s="523" t="str">
        <f t="shared" si="86"/>
        <v/>
      </c>
      <c r="AH335" s="523" t="str">
        <f t="shared" si="87"/>
        <v/>
      </c>
      <c r="AI335" s="523" t="str">
        <f t="shared" si="88"/>
        <v/>
      </c>
      <c r="AJ335" s="523" t="e">
        <f>IF(((100-100/$AH$7*données_step[[#This Row],[E_NH4]])/100*QTS)&lt;0,NA(),IF(OR(AG335&lt;0,AG335=""),NA(),((100-100/$AH$7*données_step[[#This Row],[E_NH4]])/100*QTS)))</f>
        <v>#NUM!</v>
      </c>
      <c r="AK335" s="523" t="str">
        <f>IF(AND($R335&gt;0,données_step[[#This Row],[E_PTOT]]&gt;0),données_step[[#This Row],[E_PTOT]],"")</f>
        <v/>
      </c>
      <c r="AL335" s="523" t="str">
        <f>IF(AK335="","",(1-données_step[[#This Row],[E_PTOT]]/$AN$7)*100)</f>
        <v/>
      </c>
      <c r="AM335" s="523" t="str">
        <f t="shared" si="89"/>
        <v/>
      </c>
      <c r="AN335" s="523" t="str">
        <f t="shared" si="90"/>
        <v/>
      </c>
      <c r="AO335" s="523" t="str">
        <f t="shared" si="91"/>
        <v/>
      </c>
      <c r="AP335" s="523" t="e">
        <f>IF(((100-100/$AN$7*données_step[[#This Row],[E_PTOT]])/100*QTS)&lt;0,NA(),IF(OR(AM335&lt;0,AM335=""),NA(),((100-100/$AN$7*données_step[[#This Row],[E_PTOT]])/100*QTS)))</f>
        <v>#NUM!</v>
      </c>
      <c r="AQ335" s="524" t="e">
        <f t="shared" si="92"/>
        <v>#NUM!</v>
      </c>
      <c r="AR335" s="524" t="str">
        <f t="shared" si="93"/>
        <v/>
      </c>
      <c r="AY335" s="523" t="str">
        <f>_xlfn.IFNA(IF(données_step[[#This Row],[E_DCO]]&lt;=0,NA(),charge_entree[[#This Row],[ch_E_DCO]]/constanten!$B$8*1000),"")</f>
        <v/>
      </c>
      <c r="AZ335" s="523" t="str">
        <f>_xlfn.IFNA(IF(données_step[[#This Row],[E_NTOT]]&lt;=0,NA(),charge_entree[[#This Row],[ch_E_NTOT]]/constanten!$B$10*1000),"")</f>
        <v/>
      </c>
      <c r="BA335" s="523" t="str">
        <f>_xlfn.IFNA(IF(données_step[[#This Row],[E_NH4]]&lt;=0,NA(),charge_entree[[#This Row],[ch_E_NH4]]/constanten!$B$12*1000),"")</f>
        <v/>
      </c>
      <c r="BB335" s="523" t="str">
        <f>_xlfn.IFNA(IF(données_step[[#This Row],[E_COT]]&lt;=0,NA(),charge_entree[[#This Row],[ch_E_COT]]/constanten!$B$9*1000),"")</f>
        <v/>
      </c>
      <c r="BC335" s="523" t="str">
        <f>IFERROR(_xlfn.IFNA(IF(données_step[[#This Row],[E_PTOT]]&lt;=0,NA(),charge_entree[[#This Row],[ch_E_PTOT]]/constanten!$B$15*1000),""),"")</f>
        <v/>
      </c>
      <c r="BD335" s="535" t="e">
        <f>calculs!E335 * (1-0.4) / (données_step[[#This Row],[X_BA_VOL]]*données_step[[#This Row],[X_BACONC]])</f>
        <v>#VALUE!</v>
      </c>
      <c r="BE335" s="522" t="e">
        <f>(données_step[[#This Row],[X_BA_VOL]]*données_step[[#This Row],[X_BACONC]])/((données_step[[#This Row],[D_QTRAI2]]*données_step[[#This Row],[S_MES]]/1000)+(données_step[[#This Row],[X_BX_Q]]*données_step[[#This Row],[X_BXCONC]]))</f>
        <v>#VALUE!</v>
      </c>
      <c r="BF335" s="890" t="str">
        <f>IFERROR(données_step[[#This Row],[D_QTRAI]]/AY335*1000,"")</f>
        <v/>
      </c>
      <c r="BG335" s="535" t="str">
        <f>IFERROR(1-données_step[[#This Row],[S_DBO5]]/données_step[[#This Row],[E_DBO5]],"")</f>
        <v/>
      </c>
      <c r="BH335" s="536" t="str">
        <f>IFERROR(1-données_step[[#This Row],[S_DCO]]/données_step[[#This Row],[E_DCO]],"")</f>
        <v/>
      </c>
      <c r="BI335" s="535" t="str">
        <f>IFERROR(1-données_step[[#This Row],[S_COD]]/données_step[[#This Row],[E_COT]],"")</f>
        <v/>
      </c>
      <c r="BJ335" s="535" t="str">
        <f>IFERROR(1-données_step[[#This Row],[S_NH4]]/données_step[[#This Row],[E_NTOT]],"")</f>
        <v/>
      </c>
      <c r="BK335" s="535" t="str">
        <f>IFERROR(1-données_step[[#This Row],[S_PTOT]]/données_step[[#This Row],[E_PTOT]],"")</f>
        <v/>
      </c>
      <c r="BL335" s="521" t="str">
        <f>IFERROR(IF(données_step[[#This Row],[E_DCO]]/données_step[[#This Row],[E_DBO5]]=0,NA(),données_step[[#This Row],[E_DCO]]/données_step[[#This Row],[E_DBO5]]),"")</f>
        <v/>
      </c>
      <c r="BM335" s="521" t="str">
        <f>IFERROR(IF(données_step[[#This Row],[E_NH4]]/données_step[[#This Row],[E_NTOT]]=0,NA(),données_step[[#This Row],[E_NH4]]/données_step[[#This Row],[E_NTOT]]),"")</f>
        <v/>
      </c>
      <c r="BN335" s="521" t="str">
        <f>IFERROR(IF(données_step[[#This Row],[E_NTOT]]/données_step[[#This Row],[E_COT]]=0,NA(),données_step[[#This Row],[E_NTOT]]/données_step[[#This Row],[E_COT]]),"")</f>
        <v/>
      </c>
      <c r="BO335" s="521" t="str">
        <f>IFERROR(IF(données_step[[#This Row],[E_PTOT]]/données_step[[#This Row],[E_COT]]=0,NA(),données_step[[#This Row],[E_PTOT]]/données_step[[#This Row],[E_COT]]),"")</f>
        <v/>
      </c>
      <c r="BP335" s="521" t="e">
        <f>IF(données_step[[#This Row],[E_DCO]]/données_step[[#This Row],[E_COT]]=0,NA(),données_step[[#This Row],[E_DCO]]/données_step[[#This Row],[E_COT]])</f>
        <v>#DIV/0!</v>
      </c>
      <c r="BQ335" s="521" t="e">
        <f>IF(données_step[[#This Row],[E_NTOT]]/données_step[[#This Row],[E_DCO]]=0,NA(),données_step[[#This Row],[E_NTOT]]/données_step[[#This Row],[E_DCO]])</f>
        <v>#DIV/0!</v>
      </c>
      <c r="BR335" s="521" t="e">
        <f>IF(données_step[[#This Row],[E_PTOT]]/données_step[[#This Row],[E_DCO]]=0,NA(),données_step[[#This Row],[E_PTOT]]/données_step[[#This Row],[E_DCO]])</f>
        <v>#DIV/0!</v>
      </c>
      <c r="BS335" s="747" t="e">
        <f ca="1">test_NH4_temp(données_step[[#This Row],[S_NH4]],données_step[[#This Row],[Temp_eaux]])</f>
        <v>#NAME?</v>
      </c>
    </row>
    <row r="336" spans="1:71" x14ac:dyDescent="0.2">
      <c r="A336" s="222">
        <f>données_step[[#This Row],[Datum]]</f>
        <v>44887</v>
      </c>
      <c r="B336" s="223"/>
      <c r="C336" s="224">
        <f t="shared" si="79"/>
        <v>3</v>
      </c>
      <c r="D336" s="523" t="str">
        <f>IF(OR(données_step[[#This Row],[E_DBO5]]&lt;=0,données_step[[#This Row],[E_DBO5]]=""),"",données_step[[#This Row],[D_QTRAI]]*données_step[[#This Row],[E_DBO5]]/1000)</f>
        <v/>
      </c>
      <c r="E336" s="523" t="str">
        <f>IF(OR(données_step[[#This Row],[E_DCO]]&lt;=0,données_step[[#This Row],[E_DCO]]=""),"",données_step[[#This Row],[D_QTRAI]]*données_step[[#This Row],[E_DCO]]/1000)</f>
        <v/>
      </c>
      <c r="F336" s="523" t="str">
        <f>IF(OR(données_step[[#This Row],[E_COT]]&lt;=0,données_step[[#This Row],[E_COT]]=""),"",données_step[[#This Row],[D_QTRAI]]*données_step[[#This Row],[E_COT]]/1000)</f>
        <v/>
      </c>
      <c r="G336" s="523" t="str">
        <f>IF(OR(données_step[[#This Row],[E_NH4]]&lt;=0,données_step[[#This Row],[E_NH4]]=""),"",données_step[[#This Row],[D_QTRAI]]*données_step[[#This Row],[E_NH4]]/1000)</f>
        <v/>
      </c>
      <c r="H336" s="523" t="str">
        <f>IF(OR(données_step[[#This Row],[E_NTOT]]&lt;=0,données_step[[#This Row],[E_NTOT]]=""),"",données_step[[#This Row],[D_QTRAI]]*données_step[[#This Row],[E_NTOT]]/1000)</f>
        <v/>
      </c>
      <c r="I336" s="523" t="str">
        <f>IF(OR(données_step[[#This Row],[E_NTOT]]&lt;=0,données_step[[#This Row],[E_NTOT]]=""),"",données_step[[#This Row],[D_QTRAI]]*données_step[[#This Row],[E_PTOT]]/1000)</f>
        <v/>
      </c>
      <c r="J336" s="523" t="str">
        <f>IF(OR(données_step[[#This Row],[S_DBO5]]&lt;=0,données_step[[#This Row],[S_DBO5]]=""),"",données_step[[#This Row],[D_QTRAI]]*données_step[[#This Row],[S_DBO5]]/1000)</f>
        <v/>
      </c>
      <c r="K336" s="523" t="str">
        <f>IF(OR(données_step[[#This Row],[S_DCO]]&lt;=0,données_step[[#This Row],[S_DCO]]=""),"",données_step[[#This Row],[D_QTRAI]]*données_step[[#This Row],[S_DCO]]/1000)</f>
        <v/>
      </c>
      <c r="L336" s="523" t="str">
        <f>IF(OR(données_step[[#This Row],[S_COD]]&lt;=0,données_step[[#This Row],[S_COD]]=""),"",données_step[[#This Row],[D_QTRAI]]*données_step[[#This Row],[S_COD]]/1000)</f>
        <v/>
      </c>
      <c r="M336" s="523" t="str">
        <f>IF(OR(données_step[[#This Row],[S_NH4]]&lt;=0,données_step[[#This Row],[S_NH4]]=""),"",données_step[[#This Row],[D_QTRAI]]*données_step[[#This Row],[S_NH4]]/1000)</f>
        <v/>
      </c>
      <c r="N336" s="523" t="str">
        <f>IF(OR(données_step[[#This Row],[S_NO2]]&lt;=0,données_step[[#This Row],[S_NO2]]=""),"",données_step[[#This Row],[D_QTRAI]]*données_step[[#This Row],[S_NO2]]/1000)</f>
        <v/>
      </c>
      <c r="O336" s="523" t="str">
        <f>IF(OR(données_step[[#This Row],[S_NO3]]&lt;=0,données_step[[#This Row],[S_NO3]]=""),"",données_step[[#This Row],[D_QTRAI]]*données_step[[#This Row],[S_NO3]]/1000)</f>
        <v/>
      </c>
      <c r="P336" s="523" t="str">
        <f>IF(OR(données_step[[#This Row],[S_PTOT]]&lt;=0,données_step[[#This Row],[S_PTOT]]=""),"",données_step[[#This Row],[D_QTRAI]]*données_step[[#This Row],[S_PTOT]]/1000)</f>
        <v/>
      </c>
      <c r="Q336" s="523" t="str">
        <f>IF(OR(données_step[[#This Row],[S_MES]]&lt;=0,données_step[[#This Row],[S_MES]]=""),"",données_step[[#This Row],[D_QTRAI]]*données_step[[#This Row],[S_MES]]/1000)</f>
        <v/>
      </c>
      <c r="R336" s="523">
        <f>MAX(données_step[[#This Row],[D_QTRAI]],données_step[[#This Row],[D_QTRAI2]])</f>
        <v>0</v>
      </c>
      <c r="S336" s="523" t="str">
        <f>IF(AND($R336&gt;0,données_step[[#This Row],[E_DCO]]&gt;0),données_step[[#This Row],[E_DCO]],"")</f>
        <v/>
      </c>
      <c r="T336" s="523" t="str">
        <f>IF(S336="","",(1-données_step[[#This Row],[E_DCO]]/$V$7)*100)</f>
        <v/>
      </c>
      <c r="U336" s="523" t="str">
        <f t="shared" si="80"/>
        <v/>
      </c>
      <c r="V336" s="523" t="str">
        <f t="shared" si="81"/>
        <v/>
      </c>
      <c r="W336" s="523" t="str">
        <f t="shared" si="82"/>
        <v/>
      </c>
      <c r="X336" s="523" t="e">
        <f>IF(((100-100/$V$7*données_step[[#This Row],[E_DCO]])/100*QTS)&lt;0,NA(),IF(OR(U336&lt;0,U336=""),NA(),((100-100/$V$7*données_step[[#This Row],[E_DCO]])/100*QTS)))</f>
        <v>#NUM!</v>
      </c>
      <c r="Y336" s="523" t="str">
        <f>IF(AND($R336&gt;0,données_step[[#This Row],[E_COT]]&gt;0),données_step[[#This Row],[E_COT]],"")</f>
        <v/>
      </c>
      <c r="Z336" s="523" t="str">
        <f>IF(Y336="","",(1-données_step[[#This Row],[E_COT]]/$AB$7)*100)</f>
        <v/>
      </c>
      <c r="AA336" s="523" t="str">
        <f t="shared" si="83"/>
        <v/>
      </c>
      <c r="AB336" s="523" t="str">
        <f t="shared" si="84"/>
        <v/>
      </c>
      <c r="AC336" s="523" t="str">
        <f t="shared" si="85"/>
        <v/>
      </c>
      <c r="AD336" s="523" t="e">
        <f>IF(((100-100/$AB$7*données_step[[#This Row],[E_COT]])/100*QTS)&lt;0,NA(),IF(OR(AA336&lt;0,AA336=""),NA(),((100-100/$AB$7*données_step[[#This Row],[E_COT]])/100*QTS)))</f>
        <v>#NUM!</v>
      </c>
      <c r="AE336" s="523" t="str">
        <f>IF(AND($R336&gt;0,données_step[[#This Row],[E_NH4]]&gt;0),données_step[[#This Row],[E_NH4]],"")</f>
        <v/>
      </c>
      <c r="AF336" s="523" t="str">
        <f>IF(AE336="","",(1-données_step[[#This Row],[E_NH4]]/$AH$7)*100)</f>
        <v/>
      </c>
      <c r="AG336" s="523" t="str">
        <f t="shared" si="86"/>
        <v/>
      </c>
      <c r="AH336" s="523" t="str">
        <f t="shared" si="87"/>
        <v/>
      </c>
      <c r="AI336" s="523" t="str">
        <f t="shared" si="88"/>
        <v/>
      </c>
      <c r="AJ336" s="523" t="e">
        <f>IF(((100-100/$AH$7*données_step[[#This Row],[E_NH4]])/100*QTS)&lt;0,NA(),IF(OR(AG336&lt;0,AG336=""),NA(),((100-100/$AH$7*données_step[[#This Row],[E_NH4]])/100*QTS)))</f>
        <v>#NUM!</v>
      </c>
      <c r="AK336" s="523" t="str">
        <f>IF(AND($R336&gt;0,données_step[[#This Row],[E_PTOT]]&gt;0),données_step[[#This Row],[E_PTOT]],"")</f>
        <v/>
      </c>
      <c r="AL336" s="523" t="str">
        <f>IF(AK336="","",(1-données_step[[#This Row],[E_PTOT]]/$AN$7)*100)</f>
        <v/>
      </c>
      <c r="AM336" s="523" t="str">
        <f t="shared" si="89"/>
        <v/>
      </c>
      <c r="AN336" s="523" t="str">
        <f t="shared" si="90"/>
        <v/>
      </c>
      <c r="AO336" s="523" t="str">
        <f t="shared" si="91"/>
        <v/>
      </c>
      <c r="AP336" s="523" t="e">
        <f>IF(((100-100/$AN$7*données_step[[#This Row],[E_PTOT]])/100*QTS)&lt;0,NA(),IF(OR(AM336&lt;0,AM336=""),NA(),((100-100/$AN$7*données_step[[#This Row],[E_PTOT]])/100*QTS)))</f>
        <v>#NUM!</v>
      </c>
      <c r="AQ336" s="524" t="e">
        <f t="shared" si="92"/>
        <v>#NUM!</v>
      </c>
      <c r="AR336" s="524" t="str">
        <f t="shared" si="93"/>
        <v/>
      </c>
      <c r="AY336" s="523" t="str">
        <f>_xlfn.IFNA(IF(données_step[[#This Row],[E_DCO]]&lt;=0,NA(),charge_entree[[#This Row],[ch_E_DCO]]/constanten!$B$8*1000),"")</f>
        <v/>
      </c>
      <c r="AZ336" s="523" t="str">
        <f>_xlfn.IFNA(IF(données_step[[#This Row],[E_NTOT]]&lt;=0,NA(),charge_entree[[#This Row],[ch_E_NTOT]]/constanten!$B$10*1000),"")</f>
        <v/>
      </c>
      <c r="BA336" s="523" t="str">
        <f>_xlfn.IFNA(IF(données_step[[#This Row],[E_NH4]]&lt;=0,NA(),charge_entree[[#This Row],[ch_E_NH4]]/constanten!$B$12*1000),"")</f>
        <v/>
      </c>
      <c r="BB336" s="523" t="str">
        <f>_xlfn.IFNA(IF(données_step[[#This Row],[E_COT]]&lt;=0,NA(),charge_entree[[#This Row],[ch_E_COT]]/constanten!$B$9*1000),"")</f>
        <v/>
      </c>
      <c r="BC336" s="523" t="str">
        <f>IFERROR(_xlfn.IFNA(IF(données_step[[#This Row],[E_PTOT]]&lt;=0,NA(),charge_entree[[#This Row],[ch_E_PTOT]]/constanten!$B$15*1000),""),"")</f>
        <v/>
      </c>
      <c r="BD336" s="535" t="e">
        <f>calculs!E336 * (1-0.4) / (données_step[[#This Row],[X_BA_VOL]]*données_step[[#This Row],[X_BACONC]])</f>
        <v>#VALUE!</v>
      </c>
      <c r="BE336" s="522" t="e">
        <f>(données_step[[#This Row],[X_BA_VOL]]*données_step[[#This Row],[X_BACONC]])/((données_step[[#This Row],[D_QTRAI2]]*données_step[[#This Row],[S_MES]]/1000)+(données_step[[#This Row],[X_BX_Q]]*données_step[[#This Row],[X_BXCONC]]))</f>
        <v>#VALUE!</v>
      </c>
      <c r="BF336" s="890" t="str">
        <f>IFERROR(données_step[[#This Row],[D_QTRAI]]/AY336*1000,"")</f>
        <v/>
      </c>
      <c r="BG336" s="535" t="str">
        <f>IFERROR(1-données_step[[#This Row],[S_DBO5]]/données_step[[#This Row],[E_DBO5]],"")</f>
        <v/>
      </c>
      <c r="BH336" s="536" t="str">
        <f>IFERROR(1-données_step[[#This Row],[S_DCO]]/données_step[[#This Row],[E_DCO]],"")</f>
        <v/>
      </c>
      <c r="BI336" s="535" t="str">
        <f>IFERROR(1-données_step[[#This Row],[S_COD]]/données_step[[#This Row],[E_COT]],"")</f>
        <v/>
      </c>
      <c r="BJ336" s="535" t="str">
        <f>IFERROR(1-données_step[[#This Row],[S_NH4]]/données_step[[#This Row],[E_NTOT]],"")</f>
        <v/>
      </c>
      <c r="BK336" s="535" t="str">
        <f>IFERROR(1-données_step[[#This Row],[S_PTOT]]/données_step[[#This Row],[E_PTOT]],"")</f>
        <v/>
      </c>
      <c r="BL336" s="521" t="str">
        <f>IFERROR(IF(données_step[[#This Row],[E_DCO]]/données_step[[#This Row],[E_DBO5]]=0,NA(),données_step[[#This Row],[E_DCO]]/données_step[[#This Row],[E_DBO5]]),"")</f>
        <v/>
      </c>
      <c r="BM336" s="521" t="str">
        <f>IFERROR(IF(données_step[[#This Row],[E_NH4]]/données_step[[#This Row],[E_NTOT]]=0,NA(),données_step[[#This Row],[E_NH4]]/données_step[[#This Row],[E_NTOT]]),"")</f>
        <v/>
      </c>
      <c r="BN336" s="521" t="str">
        <f>IFERROR(IF(données_step[[#This Row],[E_NTOT]]/données_step[[#This Row],[E_COT]]=0,NA(),données_step[[#This Row],[E_NTOT]]/données_step[[#This Row],[E_COT]]),"")</f>
        <v/>
      </c>
      <c r="BO336" s="521" t="str">
        <f>IFERROR(IF(données_step[[#This Row],[E_PTOT]]/données_step[[#This Row],[E_COT]]=0,NA(),données_step[[#This Row],[E_PTOT]]/données_step[[#This Row],[E_COT]]),"")</f>
        <v/>
      </c>
      <c r="BP336" s="521" t="e">
        <f>IF(données_step[[#This Row],[E_DCO]]/données_step[[#This Row],[E_COT]]=0,NA(),données_step[[#This Row],[E_DCO]]/données_step[[#This Row],[E_COT]])</f>
        <v>#DIV/0!</v>
      </c>
      <c r="BQ336" s="521" t="e">
        <f>IF(données_step[[#This Row],[E_NTOT]]/données_step[[#This Row],[E_DCO]]=0,NA(),données_step[[#This Row],[E_NTOT]]/données_step[[#This Row],[E_DCO]])</f>
        <v>#DIV/0!</v>
      </c>
      <c r="BR336" s="521" t="e">
        <f>IF(données_step[[#This Row],[E_PTOT]]/données_step[[#This Row],[E_DCO]]=0,NA(),données_step[[#This Row],[E_PTOT]]/données_step[[#This Row],[E_DCO]])</f>
        <v>#DIV/0!</v>
      </c>
      <c r="BS336" s="747" t="e">
        <f ca="1">test_NH4_temp(données_step[[#This Row],[S_NH4]],données_step[[#This Row],[Temp_eaux]])</f>
        <v>#NAME?</v>
      </c>
    </row>
    <row r="337" spans="1:71" x14ac:dyDescent="0.2">
      <c r="A337" s="222">
        <f>données_step[[#This Row],[Datum]]</f>
        <v>44888</v>
      </c>
      <c r="B337" s="223"/>
      <c r="C337" s="224">
        <f t="shared" si="79"/>
        <v>4</v>
      </c>
      <c r="D337" s="523" t="str">
        <f>IF(OR(données_step[[#This Row],[E_DBO5]]&lt;=0,données_step[[#This Row],[E_DBO5]]=""),"",données_step[[#This Row],[D_QTRAI]]*données_step[[#This Row],[E_DBO5]]/1000)</f>
        <v/>
      </c>
      <c r="E337" s="523" t="str">
        <f>IF(OR(données_step[[#This Row],[E_DCO]]&lt;=0,données_step[[#This Row],[E_DCO]]=""),"",données_step[[#This Row],[D_QTRAI]]*données_step[[#This Row],[E_DCO]]/1000)</f>
        <v/>
      </c>
      <c r="F337" s="523" t="str">
        <f>IF(OR(données_step[[#This Row],[E_COT]]&lt;=0,données_step[[#This Row],[E_COT]]=""),"",données_step[[#This Row],[D_QTRAI]]*données_step[[#This Row],[E_COT]]/1000)</f>
        <v/>
      </c>
      <c r="G337" s="523" t="str">
        <f>IF(OR(données_step[[#This Row],[E_NH4]]&lt;=0,données_step[[#This Row],[E_NH4]]=""),"",données_step[[#This Row],[D_QTRAI]]*données_step[[#This Row],[E_NH4]]/1000)</f>
        <v/>
      </c>
      <c r="H337" s="523" t="str">
        <f>IF(OR(données_step[[#This Row],[E_NTOT]]&lt;=0,données_step[[#This Row],[E_NTOT]]=""),"",données_step[[#This Row],[D_QTRAI]]*données_step[[#This Row],[E_NTOT]]/1000)</f>
        <v/>
      </c>
      <c r="I337" s="523" t="str">
        <f>IF(OR(données_step[[#This Row],[E_NTOT]]&lt;=0,données_step[[#This Row],[E_NTOT]]=""),"",données_step[[#This Row],[D_QTRAI]]*données_step[[#This Row],[E_PTOT]]/1000)</f>
        <v/>
      </c>
      <c r="J337" s="523" t="str">
        <f>IF(OR(données_step[[#This Row],[S_DBO5]]&lt;=0,données_step[[#This Row],[S_DBO5]]=""),"",données_step[[#This Row],[D_QTRAI]]*données_step[[#This Row],[S_DBO5]]/1000)</f>
        <v/>
      </c>
      <c r="K337" s="523" t="str">
        <f>IF(OR(données_step[[#This Row],[S_DCO]]&lt;=0,données_step[[#This Row],[S_DCO]]=""),"",données_step[[#This Row],[D_QTRAI]]*données_step[[#This Row],[S_DCO]]/1000)</f>
        <v/>
      </c>
      <c r="L337" s="523" t="str">
        <f>IF(OR(données_step[[#This Row],[S_COD]]&lt;=0,données_step[[#This Row],[S_COD]]=""),"",données_step[[#This Row],[D_QTRAI]]*données_step[[#This Row],[S_COD]]/1000)</f>
        <v/>
      </c>
      <c r="M337" s="523" t="str">
        <f>IF(OR(données_step[[#This Row],[S_NH4]]&lt;=0,données_step[[#This Row],[S_NH4]]=""),"",données_step[[#This Row],[D_QTRAI]]*données_step[[#This Row],[S_NH4]]/1000)</f>
        <v/>
      </c>
      <c r="N337" s="523" t="str">
        <f>IF(OR(données_step[[#This Row],[S_NO2]]&lt;=0,données_step[[#This Row],[S_NO2]]=""),"",données_step[[#This Row],[D_QTRAI]]*données_step[[#This Row],[S_NO2]]/1000)</f>
        <v/>
      </c>
      <c r="O337" s="523" t="str">
        <f>IF(OR(données_step[[#This Row],[S_NO3]]&lt;=0,données_step[[#This Row],[S_NO3]]=""),"",données_step[[#This Row],[D_QTRAI]]*données_step[[#This Row],[S_NO3]]/1000)</f>
        <v/>
      </c>
      <c r="P337" s="523" t="str">
        <f>IF(OR(données_step[[#This Row],[S_PTOT]]&lt;=0,données_step[[#This Row],[S_PTOT]]=""),"",données_step[[#This Row],[D_QTRAI]]*données_step[[#This Row],[S_PTOT]]/1000)</f>
        <v/>
      </c>
      <c r="Q337" s="523" t="str">
        <f>IF(OR(données_step[[#This Row],[S_MES]]&lt;=0,données_step[[#This Row],[S_MES]]=""),"",données_step[[#This Row],[D_QTRAI]]*données_step[[#This Row],[S_MES]]/1000)</f>
        <v/>
      </c>
      <c r="R337" s="523">
        <f>MAX(données_step[[#This Row],[D_QTRAI]],données_step[[#This Row],[D_QTRAI2]])</f>
        <v>0</v>
      </c>
      <c r="S337" s="523" t="str">
        <f>IF(AND($R337&gt;0,données_step[[#This Row],[E_DCO]]&gt;0),données_step[[#This Row],[E_DCO]],"")</f>
        <v/>
      </c>
      <c r="T337" s="523" t="str">
        <f>IF(S337="","",(1-données_step[[#This Row],[E_DCO]]/$V$7)*100)</f>
        <v/>
      </c>
      <c r="U337" s="523" t="str">
        <f t="shared" si="80"/>
        <v/>
      </c>
      <c r="V337" s="523" t="str">
        <f t="shared" si="81"/>
        <v/>
      </c>
      <c r="W337" s="523" t="str">
        <f t="shared" si="82"/>
        <v/>
      </c>
      <c r="X337" s="523" t="e">
        <f>IF(((100-100/$V$7*données_step[[#This Row],[E_DCO]])/100*QTS)&lt;0,NA(),IF(OR(U337&lt;0,U337=""),NA(),((100-100/$V$7*données_step[[#This Row],[E_DCO]])/100*QTS)))</f>
        <v>#NUM!</v>
      </c>
      <c r="Y337" s="523" t="str">
        <f>IF(AND($R337&gt;0,données_step[[#This Row],[E_COT]]&gt;0),données_step[[#This Row],[E_COT]],"")</f>
        <v/>
      </c>
      <c r="Z337" s="523" t="str">
        <f>IF(Y337="","",(1-données_step[[#This Row],[E_COT]]/$AB$7)*100)</f>
        <v/>
      </c>
      <c r="AA337" s="523" t="str">
        <f t="shared" si="83"/>
        <v/>
      </c>
      <c r="AB337" s="523" t="str">
        <f t="shared" si="84"/>
        <v/>
      </c>
      <c r="AC337" s="523" t="str">
        <f t="shared" si="85"/>
        <v/>
      </c>
      <c r="AD337" s="523" t="e">
        <f>IF(((100-100/$AB$7*données_step[[#This Row],[E_COT]])/100*QTS)&lt;0,NA(),IF(OR(AA337&lt;0,AA337=""),NA(),((100-100/$AB$7*données_step[[#This Row],[E_COT]])/100*QTS)))</f>
        <v>#NUM!</v>
      </c>
      <c r="AE337" s="523" t="str">
        <f>IF(AND($R337&gt;0,données_step[[#This Row],[E_NH4]]&gt;0),données_step[[#This Row],[E_NH4]],"")</f>
        <v/>
      </c>
      <c r="AF337" s="523" t="str">
        <f>IF(AE337="","",(1-données_step[[#This Row],[E_NH4]]/$AH$7)*100)</f>
        <v/>
      </c>
      <c r="AG337" s="523" t="str">
        <f t="shared" si="86"/>
        <v/>
      </c>
      <c r="AH337" s="523" t="str">
        <f t="shared" si="87"/>
        <v/>
      </c>
      <c r="AI337" s="523" t="str">
        <f t="shared" si="88"/>
        <v/>
      </c>
      <c r="AJ337" s="523" t="e">
        <f>IF(((100-100/$AH$7*données_step[[#This Row],[E_NH4]])/100*QTS)&lt;0,NA(),IF(OR(AG337&lt;0,AG337=""),NA(),((100-100/$AH$7*données_step[[#This Row],[E_NH4]])/100*QTS)))</f>
        <v>#NUM!</v>
      </c>
      <c r="AK337" s="523" t="str">
        <f>IF(AND($R337&gt;0,données_step[[#This Row],[E_PTOT]]&gt;0),données_step[[#This Row],[E_PTOT]],"")</f>
        <v/>
      </c>
      <c r="AL337" s="523" t="str">
        <f>IF(AK337="","",(1-données_step[[#This Row],[E_PTOT]]/$AN$7)*100)</f>
        <v/>
      </c>
      <c r="AM337" s="523" t="str">
        <f t="shared" si="89"/>
        <v/>
      </c>
      <c r="AN337" s="523" t="str">
        <f t="shared" si="90"/>
        <v/>
      </c>
      <c r="AO337" s="523" t="str">
        <f t="shared" si="91"/>
        <v/>
      </c>
      <c r="AP337" s="523" t="e">
        <f>IF(((100-100/$AN$7*données_step[[#This Row],[E_PTOT]])/100*QTS)&lt;0,NA(),IF(OR(AM337&lt;0,AM337=""),NA(),((100-100/$AN$7*données_step[[#This Row],[E_PTOT]])/100*QTS)))</f>
        <v>#NUM!</v>
      </c>
      <c r="AQ337" s="524" t="e">
        <f t="shared" si="92"/>
        <v>#NUM!</v>
      </c>
      <c r="AR337" s="524" t="str">
        <f t="shared" si="93"/>
        <v/>
      </c>
      <c r="AY337" s="523" t="str">
        <f>_xlfn.IFNA(IF(données_step[[#This Row],[E_DCO]]&lt;=0,NA(),charge_entree[[#This Row],[ch_E_DCO]]/constanten!$B$8*1000),"")</f>
        <v/>
      </c>
      <c r="AZ337" s="523" t="str">
        <f>_xlfn.IFNA(IF(données_step[[#This Row],[E_NTOT]]&lt;=0,NA(),charge_entree[[#This Row],[ch_E_NTOT]]/constanten!$B$10*1000),"")</f>
        <v/>
      </c>
      <c r="BA337" s="523" t="str">
        <f>_xlfn.IFNA(IF(données_step[[#This Row],[E_NH4]]&lt;=0,NA(),charge_entree[[#This Row],[ch_E_NH4]]/constanten!$B$12*1000),"")</f>
        <v/>
      </c>
      <c r="BB337" s="523" t="str">
        <f>_xlfn.IFNA(IF(données_step[[#This Row],[E_COT]]&lt;=0,NA(),charge_entree[[#This Row],[ch_E_COT]]/constanten!$B$9*1000),"")</f>
        <v/>
      </c>
      <c r="BC337" s="523" t="str">
        <f>IFERROR(_xlfn.IFNA(IF(données_step[[#This Row],[E_PTOT]]&lt;=0,NA(),charge_entree[[#This Row],[ch_E_PTOT]]/constanten!$B$15*1000),""),"")</f>
        <v/>
      </c>
      <c r="BD337" s="535" t="e">
        <f>calculs!E337 * (1-0.4) / (données_step[[#This Row],[X_BA_VOL]]*données_step[[#This Row],[X_BACONC]])</f>
        <v>#VALUE!</v>
      </c>
      <c r="BE337" s="522" t="e">
        <f>(données_step[[#This Row],[X_BA_VOL]]*données_step[[#This Row],[X_BACONC]])/((données_step[[#This Row],[D_QTRAI2]]*données_step[[#This Row],[S_MES]]/1000)+(données_step[[#This Row],[X_BX_Q]]*données_step[[#This Row],[X_BXCONC]]))</f>
        <v>#VALUE!</v>
      </c>
      <c r="BF337" s="890" t="str">
        <f>IFERROR(données_step[[#This Row],[D_QTRAI]]/AY337*1000,"")</f>
        <v/>
      </c>
      <c r="BG337" s="535" t="str">
        <f>IFERROR(1-données_step[[#This Row],[S_DBO5]]/données_step[[#This Row],[E_DBO5]],"")</f>
        <v/>
      </c>
      <c r="BH337" s="536" t="str">
        <f>IFERROR(1-données_step[[#This Row],[S_DCO]]/données_step[[#This Row],[E_DCO]],"")</f>
        <v/>
      </c>
      <c r="BI337" s="535" t="str">
        <f>IFERROR(1-données_step[[#This Row],[S_COD]]/données_step[[#This Row],[E_COT]],"")</f>
        <v/>
      </c>
      <c r="BJ337" s="535" t="str">
        <f>IFERROR(1-données_step[[#This Row],[S_NH4]]/données_step[[#This Row],[E_NTOT]],"")</f>
        <v/>
      </c>
      <c r="BK337" s="535" t="str">
        <f>IFERROR(1-données_step[[#This Row],[S_PTOT]]/données_step[[#This Row],[E_PTOT]],"")</f>
        <v/>
      </c>
      <c r="BL337" s="521" t="str">
        <f>IFERROR(IF(données_step[[#This Row],[E_DCO]]/données_step[[#This Row],[E_DBO5]]=0,NA(),données_step[[#This Row],[E_DCO]]/données_step[[#This Row],[E_DBO5]]),"")</f>
        <v/>
      </c>
      <c r="BM337" s="521" t="str">
        <f>IFERROR(IF(données_step[[#This Row],[E_NH4]]/données_step[[#This Row],[E_NTOT]]=0,NA(),données_step[[#This Row],[E_NH4]]/données_step[[#This Row],[E_NTOT]]),"")</f>
        <v/>
      </c>
      <c r="BN337" s="521" t="str">
        <f>IFERROR(IF(données_step[[#This Row],[E_NTOT]]/données_step[[#This Row],[E_COT]]=0,NA(),données_step[[#This Row],[E_NTOT]]/données_step[[#This Row],[E_COT]]),"")</f>
        <v/>
      </c>
      <c r="BO337" s="521" t="str">
        <f>IFERROR(IF(données_step[[#This Row],[E_PTOT]]/données_step[[#This Row],[E_COT]]=0,NA(),données_step[[#This Row],[E_PTOT]]/données_step[[#This Row],[E_COT]]),"")</f>
        <v/>
      </c>
      <c r="BP337" s="521" t="e">
        <f>IF(données_step[[#This Row],[E_DCO]]/données_step[[#This Row],[E_COT]]=0,NA(),données_step[[#This Row],[E_DCO]]/données_step[[#This Row],[E_COT]])</f>
        <v>#DIV/0!</v>
      </c>
      <c r="BQ337" s="521" t="e">
        <f>IF(données_step[[#This Row],[E_NTOT]]/données_step[[#This Row],[E_DCO]]=0,NA(),données_step[[#This Row],[E_NTOT]]/données_step[[#This Row],[E_DCO]])</f>
        <v>#DIV/0!</v>
      </c>
      <c r="BR337" s="521" t="e">
        <f>IF(données_step[[#This Row],[E_PTOT]]/données_step[[#This Row],[E_DCO]]=0,NA(),données_step[[#This Row],[E_PTOT]]/données_step[[#This Row],[E_DCO]])</f>
        <v>#DIV/0!</v>
      </c>
      <c r="BS337" s="747" t="e">
        <f ca="1">test_NH4_temp(données_step[[#This Row],[S_NH4]],données_step[[#This Row],[Temp_eaux]])</f>
        <v>#NAME?</v>
      </c>
    </row>
    <row r="338" spans="1:71" x14ac:dyDescent="0.2">
      <c r="A338" s="222">
        <f>données_step[[#This Row],[Datum]]</f>
        <v>44889</v>
      </c>
      <c r="B338" s="223"/>
      <c r="C338" s="224">
        <f t="shared" si="79"/>
        <v>5</v>
      </c>
      <c r="D338" s="523" t="str">
        <f>IF(OR(données_step[[#This Row],[E_DBO5]]&lt;=0,données_step[[#This Row],[E_DBO5]]=""),"",données_step[[#This Row],[D_QTRAI]]*données_step[[#This Row],[E_DBO5]]/1000)</f>
        <v/>
      </c>
      <c r="E338" s="523" t="str">
        <f>IF(OR(données_step[[#This Row],[E_DCO]]&lt;=0,données_step[[#This Row],[E_DCO]]=""),"",données_step[[#This Row],[D_QTRAI]]*données_step[[#This Row],[E_DCO]]/1000)</f>
        <v/>
      </c>
      <c r="F338" s="523" t="str">
        <f>IF(OR(données_step[[#This Row],[E_COT]]&lt;=0,données_step[[#This Row],[E_COT]]=""),"",données_step[[#This Row],[D_QTRAI]]*données_step[[#This Row],[E_COT]]/1000)</f>
        <v/>
      </c>
      <c r="G338" s="523" t="str">
        <f>IF(OR(données_step[[#This Row],[E_NH4]]&lt;=0,données_step[[#This Row],[E_NH4]]=""),"",données_step[[#This Row],[D_QTRAI]]*données_step[[#This Row],[E_NH4]]/1000)</f>
        <v/>
      </c>
      <c r="H338" s="523" t="str">
        <f>IF(OR(données_step[[#This Row],[E_NTOT]]&lt;=0,données_step[[#This Row],[E_NTOT]]=""),"",données_step[[#This Row],[D_QTRAI]]*données_step[[#This Row],[E_NTOT]]/1000)</f>
        <v/>
      </c>
      <c r="I338" s="523" t="str">
        <f>IF(OR(données_step[[#This Row],[E_NTOT]]&lt;=0,données_step[[#This Row],[E_NTOT]]=""),"",données_step[[#This Row],[D_QTRAI]]*données_step[[#This Row],[E_PTOT]]/1000)</f>
        <v/>
      </c>
      <c r="J338" s="523" t="str">
        <f>IF(OR(données_step[[#This Row],[S_DBO5]]&lt;=0,données_step[[#This Row],[S_DBO5]]=""),"",données_step[[#This Row],[D_QTRAI]]*données_step[[#This Row],[S_DBO5]]/1000)</f>
        <v/>
      </c>
      <c r="K338" s="523" t="str">
        <f>IF(OR(données_step[[#This Row],[S_DCO]]&lt;=0,données_step[[#This Row],[S_DCO]]=""),"",données_step[[#This Row],[D_QTRAI]]*données_step[[#This Row],[S_DCO]]/1000)</f>
        <v/>
      </c>
      <c r="L338" s="523" t="str">
        <f>IF(OR(données_step[[#This Row],[S_COD]]&lt;=0,données_step[[#This Row],[S_COD]]=""),"",données_step[[#This Row],[D_QTRAI]]*données_step[[#This Row],[S_COD]]/1000)</f>
        <v/>
      </c>
      <c r="M338" s="523" t="str">
        <f>IF(OR(données_step[[#This Row],[S_NH4]]&lt;=0,données_step[[#This Row],[S_NH4]]=""),"",données_step[[#This Row],[D_QTRAI]]*données_step[[#This Row],[S_NH4]]/1000)</f>
        <v/>
      </c>
      <c r="N338" s="523" t="str">
        <f>IF(OR(données_step[[#This Row],[S_NO2]]&lt;=0,données_step[[#This Row],[S_NO2]]=""),"",données_step[[#This Row],[D_QTRAI]]*données_step[[#This Row],[S_NO2]]/1000)</f>
        <v/>
      </c>
      <c r="O338" s="523" t="str">
        <f>IF(OR(données_step[[#This Row],[S_NO3]]&lt;=0,données_step[[#This Row],[S_NO3]]=""),"",données_step[[#This Row],[D_QTRAI]]*données_step[[#This Row],[S_NO3]]/1000)</f>
        <v/>
      </c>
      <c r="P338" s="523" t="str">
        <f>IF(OR(données_step[[#This Row],[S_PTOT]]&lt;=0,données_step[[#This Row],[S_PTOT]]=""),"",données_step[[#This Row],[D_QTRAI]]*données_step[[#This Row],[S_PTOT]]/1000)</f>
        <v/>
      </c>
      <c r="Q338" s="523" t="str">
        <f>IF(OR(données_step[[#This Row],[S_MES]]&lt;=0,données_step[[#This Row],[S_MES]]=""),"",données_step[[#This Row],[D_QTRAI]]*données_step[[#This Row],[S_MES]]/1000)</f>
        <v/>
      </c>
      <c r="R338" s="523">
        <f>MAX(données_step[[#This Row],[D_QTRAI]],données_step[[#This Row],[D_QTRAI2]])</f>
        <v>0</v>
      </c>
      <c r="S338" s="523" t="str">
        <f>IF(AND($R338&gt;0,données_step[[#This Row],[E_DCO]]&gt;0),données_step[[#This Row],[E_DCO]],"")</f>
        <v/>
      </c>
      <c r="T338" s="523" t="str">
        <f>IF(S338="","",(1-données_step[[#This Row],[E_DCO]]/$V$7)*100)</f>
        <v/>
      </c>
      <c r="U338" s="523" t="str">
        <f t="shared" si="80"/>
        <v/>
      </c>
      <c r="V338" s="523" t="str">
        <f t="shared" si="81"/>
        <v/>
      </c>
      <c r="W338" s="523" t="str">
        <f t="shared" si="82"/>
        <v/>
      </c>
      <c r="X338" s="523" t="e">
        <f>IF(((100-100/$V$7*données_step[[#This Row],[E_DCO]])/100*QTS)&lt;0,NA(),IF(OR(U338&lt;0,U338=""),NA(),((100-100/$V$7*données_step[[#This Row],[E_DCO]])/100*QTS)))</f>
        <v>#NUM!</v>
      </c>
      <c r="Y338" s="523" t="str">
        <f>IF(AND($R338&gt;0,données_step[[#This Row],[E_COT]]&gt;0),données_step[[#This Row],[E_COT]],"")</f>
        <v/>
      </c>
      <c r="Z338" s="523" t="str">
        <f>IF(Y338="","",(1-données_step[[#This Row],[E_COT]]/$AB$7)*100)</f>
        <v/>
      </c>
      <c r="AA338" s="523" t="str">
        <f t="shared" si="83"/>
        <v/>
      </c>
      <c r="AB338" s="523" t="str">
        <f t="shared" si="84"/>
        <v/>
      </c>
      <c r="AC338" s="523" t="str">
        <f t="shared" si="85"/>
        <v/>
      </c>
      <c r="AD338" s="523" t="e">
        <f>IF(((100-100/$AB$7*données_step[[#This Row],[E_COT]])/100*QTS)&lt;0,NA(),IF(OR(AA338&lt;0,AA338=""),NA(),((100-100/$AB$7*données_step[[#This Row],[E_COT]])/100*QTS)))</f>
        <v>#NUM!</v>
      </c>
      <c r="AE338" s="523" t="str">
        <f>IF(AND($R338&gt;0,données_step[[#This Row],[E_NH4]]&gt;0),données_step[[#This Row],[E_NH4]],"")</f>
        <v/>
      </c>
      <c r="AF338" s="523" t="str">
        <f>IF(AE338="","",(1-données_step[[#This Row],[E_NH4]]/$AH$7)*100)</f>
        <v/>
      </c>
      <c r="AG338" s="523" t="str">
        <f t="shared" si="86"/>
        <v/>
      </c>
      <c r="AH338" s="523" t="str">
        <f t="shared" si="87"/>
        <v/>
      </c>
      <c r="AI338" s="523" t="str">
        <f t="shared" si="88"/>
        <v/>
      </c>
      <c r="AJ338" s="523" t="e">
        <f>IF(((100-100/$AH$7*données_step[[#This Row],[E_NH4]])/100*QTS)&lt;0,NA(),IF(OR(AG338&lt;0,AG338=""),NA(),((100-100/$AH$7*données_step[[#This Row],[E_NH4]])/100*QTS)))</f>
        <v>#NUM!</v>
      </c>
      <c r="AK338" s="523" t="str">
        <f>IF(AND($R338&gt;0,données_step[[#This Row],[E_PTOT]]&gt;0),données_step[[#This Row],[E_PTOT]],"")</f>
        <v/>
      </c>
      <c r="AL338" s="523" t="str">
        <f>IF(AK338="","",(1-données_step[[#This Row],[E_PTOT]]/$AN$7)*100)</f>
        <v/>
      </c>
      <c r="AM338" s="523" t="str">
        <f t="shared" si="89"/>
        <v/>
      </c>
      <c r="AN338" s="523" t="str">
        <f t="shared" si="90"/>
        <v/>
      </c>
      <c r="AO338" s="523" t="str">
        <f t="shared" si="91"/>
        <v/>
      </c>
      <c r="AP338" s="523" t="e">
        <f>IF(((100-100/$AN$7*données_step[[#This Row],[E_PTOT]])/100*QTS)&lt;0,NA(),IF(OR(AM338&lt;0,AM338=""),NA(),((100-100/$AN$7*données_step[[#This Row],[E_PTOT]])/100*QTS)))</f>
        <v>#NUM!</v>
      </c>
      <c r="AQ338" s="524" t="e">
        <f t="shared" si="92"/>
        <v>#NUM!</v>
      </c>
      <c r="AR338" s="524" t="str">
        <f t="shared" si="93"/>
        <v/>
      </c>
      <c r="AY338" s="523" t="str">
        <f>_xlfn.IFNA(IF(données_step[[#This Row],[E_DCO]]&lt;=0,NA(),charge_entree[[#This Row],[ch_E_DCO]]/constanten!$B$8*1000),"")</f>
        <v/>
      </c>
      <c r="AZ338" s="523" t="str">
        <f>_xlfn.IFNA(IF(données_step[[#This Row],[E_NTOT]]&lt;=0,NA(),charge_entree[[#This Row],[ch_E_NTOT]]/constanten!$B$10*1000),"")</f>
        <v/>
      </c>
      <c r="BA338" s="523" t="str">
        <f>_xlfn.IFNA(IF(données_step[[#This Row],[E_NH4]]&lt;=0,NA(),charge_entree[[#This Row],[ch_E_NH4]]/constanten!$B$12*1000),"")</f>
        <v/>
      </c>
      <c r="BB338" s="523" t="str">
        <f>_xlfn.IFNA(IF(données_step[[#This Row],[E_COT]]&lt;=0,NA(),charge_entree[[#This Row],[ch_E_COT]]/constanten!$B$9*1000),"")</f>
        <v/>
      </c>
      <c r="BC338" s="523" t="str">
        <f>IFERROR(_xlfn.IFNA(IF(données_step[[#This Row],[E_PTOT]]&lt;=0,NA(),charge_entree[[#This Row],[ch_E_PTOT]]/constanten!$B$15*1000),""),"")</f>
        <v/>
      </c>
      <c r="BD338" s="535" t="e">
        <f>calculs!E338 * (1-0.4) / (données_step[[#This Row],[X_BA_VOL]]*données_step[[#This Row],[X_BACONC]])</f>
        <v>#VALUE!</v>
      </c>
      <c r="BE338" s="522" t="e">
        <f>(données_step[[#This Row],[X_BA_VOL]]*données_step[[#This Row],[X_BACONC]])/((données_step[[#This Row],[D_QTRAI2]]*données_step[[#This Row],[S_MES]]/1000)+(données_step[[#This Row],[X_BX_Q]]*données_step[[#This Row],[X_BXCONC]]))</f>
        <v>#VALUE!</v>
      </c>
      <c r="BF338" s="890" t="str">
        <f>IFERROR(données_step[[#This Row],[D_QTRAI]]/AY338*1000,"")</f>
        <v/>
      </c>
      <c r="BG338" s="535" t="str">
        <f>IFERROR(1-données_step[[#This Row],[S_DBO5]]/données_step[[#This Row],[E_DBO5]],"")</f>
        <v/>
      </c>
      <c r="BH338" s="536" t="str">
        <f>IFERROR(1-données_step[[#This Row],[S_DCO]]/données_step[[#This Row],[E_DCO]],"")</f>
        <v/>
      </c>
      <c r="BI338" s="535" t="str">
        <f>IFERROR(1-données_step[[#This Row],[S_COD]]/données_step[[#This Row],[E_COT]],"")</f>
        <v/>
      </c>
      <c r="BJ338" s="535" t="str">
        <f>IFERROR(1-données_step[[#This Row],[S_NH4]]/données_step[[#This Row],[E_NTOT]],"")</f>
        <v/>
      </c>
      <c r="BK338" s="535" t="str">
        <f>IFERROR(1-données_step[[#This Row],[S_PTOT]]/données_step[[#This Row],[E_PTOT]],"")</f>
        <v/>
      </c>
      <c r="BL338" s="521" t="str">
        <f>IFERROR(IF(données_step[[#This Row],[E_DCO]]/données_step[[#This Row],[E_DBO5]]=0,NA(),données_step[[#This Row],[E_DCO]]/données_step[[#This Row],[E_DBO5]]),"")</f>
        <v/>
      </c>
      <c r="BM338" s="521" t="str">
        <f>IFERROR(IF(données_step[[#This Row],[E_NH4]]/données_step[[#This Row],[E_NTOT]]=0,NA(),données_step[[#This Row],[E_NH4]]/données_step[[#This Row],[E_NTOT]]),"")</f>
        <v/>
      </c>
      <c r="BN338" s="521" t="str">
        <f>IFERROR(IF(données_step[[#This Row],[E_NTOT]]/données_step[[#This Row],[E_COT]]=0,NA(),données_step[[#This Row],[E_NTOT]]/données_step[[#This Row],[E_COT]]),"")</f>
        <v/>
      </c>
      <c r="BO338" s="521" t="str">
        <f>IFERROR(IF(données_step[[#This Row],[E_PTOT]]/données_step[[#This Row],[E_COT]]=0,NA(),données_step[[#This Row],[E_PTOT]]/données_step[[#This Row],[E_COT]]),"")</f>
        <v/>
      </c>
      <c r="BP338" s="521" t="e">
        <f>IF(données_step[[#This Row],[E_DCO]]/données_step[[#This Row],[E_COT]]=0,NA(),données_step[[#This Row],[E_DCO]]/données_step[[#This Row],[E_COT]])</f>
        <v>#DIV/0!</v>
      </c>
      <c r="BQ338" s="521" t="e">
        <f>IF(données_step[[#This Row],[E_NTOT]]/données_step[[#This Row],[E_DCO]]=0,NA(),données_step[[#This Row],[E_NTOT]]/données_step[[#This Row],[E_DCO]])</f>
        <v>#DIV/0!</v>
      </c>
      <c r="BR338" s="521" t="e">
        <f>IF(données_step[[#This Row],[E_PTOT]]/données_step[[#This Row],[E_DCO]]=0,NA(),données_step[[#This Row],[E_PTOT]]/données_step[[#This Row],[E_DCO]])</f>
        <v>#DIV/0!</v>
      </c>
      <c r="BS338" s="747" t="e">
        <f ca="1">test_NH4_temp(données_step[[#This Row],[S_NH4]],données_step[[#This Row],[Temp_eaux]])</f>
        <v>#NAME?</v>
      </c>
    </row>
    <row r="339" spans="1:71" x14ac:dyDescent="0.2">
      <c r="A339" s="222">
        <f>données_step[[#This Row],[Datum]]</f>
        <v>44890</v>
      </c>
      <c r="B339" s="223"/>
      <c r="C339" s="224">
        <f t="shared" si="79"/>
        <v>6</v>
      </c>
      <c r="D339" s="523" t="str">
        <f>IF(OR(données_step[[#This Row],[E_DBO5]]&lt;=0,données_step[[#This Row],[E_DBO5]]=""),"",données_step[[#This Row],[D_QTRAI]]*données_step[[#This Row],[E_DBO5]]/1000)</f>
        <v/>
      </c>
      <c r="E339" s="523" t="str">
        <f>IF(OR(données_step[[#This Row],[E_DCO]]&lt;=0,données_step[[#This Row],[E_DCO]]=""),"",données_step[[#This Row],[D_QTRAI]]*données_step[[#This Row],[E_DCO]]/1000)</f>
        <v/>
      </c>
      <c r="F339" s="523" t="str">
        <f>IF(OR(données_step[[#This Row],[E_COT]]&lt;=0,données_step[[#This Row],[E_COT]]=""),"",données_step[[#This Row],[D_QTRAI]]*données_step[[#This Row],[E_COT]]/1000)</f>
        <v/>
      </c>
      <c r="G339" s="523" t="str">
        <f>IF(OR(données_step[[#This Row],[E_NH4]]&lt;=0,données_step[[#This Row],[E_NH4]]=""),"",données_step[[#This Row],[D_QTRAI]]*données_step[[#This Row],[E_NH4]]/1000)</f>
        <v/>
      </c>
      <c r="H339" s="523" t="str">
        <f>IF(OR(données_step[[#This Row],[E_NTOT]]&lt;=0,données_step[[#This Row],[E_NTOT]]=""),"",données_step[[#This Row],[D_QTRAI]]*données_step[[#This Row],[E_NTOT]]/1000)</f>
        <v/>
      </c>
      <c r="I339" s="523" t="str">
        <f>IF(OR(données_step[[#This Row],[E_NTOT]]&lt;=0,données_step[[#This Row],[E_NTOT]]=""),"",données_step[[#This Row],[D_QTRAI]]*données_step[[#This Row],[E_PTOT]]/1000)</f>
        <v/>
      </c>
      <c r="J339" s="523" t="str">
        <f>IF(OR(données_step[[#This Row],[S_DBO5]]&lt;=0,données_step[[#This Row],[S_DBO5]]=""),"",données_step[[#This Row],[D_QTRAI]]*données_step[[#This Row],[S_DBO5]]/1000)</f>
        <v/>
      </c>
      <c r="K339" s="523" t="str">
        <f>IF(OR(données_step[[#This Row],[S_DCO]]&lt;=0,données_step[[#This Row],[S_DCO]]=""),"",données_step[[#This Row],[D_QTRAI]]*données_step[[#This Row],[S_DCO]]/1000)</f>
        <v/>
      </c>
      <c r="L339" s="523" t="str">
        <f>IF(OR(données_step[[#This Row],[S_COD]]&lt;=0,données_step[[#This Row],[S_COD]]=""),"",données_step[[#This Row],[D_QTRAI]]*données_step[[#This Row],[S_COD]]/1000)</f>
        <v/>
      </c>
      <c r="M339" s="523" t="str">
        <f>IF(OR(données_step[[#This Row],[S_NH4]]&lt;=0,données_step[[#This Row],[S_NH4]]=""),"",données_step[[#This Row],[D_QTRAI]]*données_step[[#This Row],[S_NH4]]/1000)</f>
        <v/>
      </c>
      <c r="N339" s="523" t="str">
        <f>IF(OR(données_step[[#This Row],[S_NO2]]&lt;=0,données_step[[#This Row],[S_NO2]]=""),"",données_step[[#This Row],[D_QTRAI]]*données_step[[#This Row],[S_NO2]]/1000)</f>
        <v/>
      </c>
      <c r="O339" s="523" t="str">
        <f>IF(OR(données_step[[#This Row],[S_NO3]]&lt;=0,données_step[[#This Row],[S_NO3]]=""),"",données_step[[#This Row],[D_QTRAI]]*données_step[[#This Row],[S_NO3]]/1000)</f>
        <v/>
      </c>
      <c r="P339" s="523" t="str">
        <f>IF(OR(données_step[[#This Row],[S_PTOT]]&lt;=0,données_step[[#This Row],[S_PTOT]]=""),"",données_step[[#This Row],[D_QTRAI]]*données_step[[#This Row],[S_PTOT]]/1000)</f>
        <v/>
      </c>
      <c r="Q339" s="523" t="str">
        <f>IF(OR(données_step[[#This Row],[S_MES]]&lt;=0,données_step[[#This Row],[S_MES]]=""),"",données_step[[#This Row],[D_QTRAI]]*données_step[[#This Row],[S_MES]]/1000)</f>
        <v/>
      </c>
      <c r="R339" s="523">
        <f>MAX(données_step[[#This Row],[D_QTRAI]],données_step[[#This Row],[D_QTRAI2]])</f>
        <v>0</v>
      </c>
      <c r="S339" s="523" t="str">
        <f>IF(AND($R339&gt;0,données_step[[#This Row],[E_DCO]]&gt;0),données_step[[#This Row],[E_DCO]],"")</f>
        <v/>
      </c>
      <c r="T339" s="523" t="str">
        <f>IF(S339="","",(1-données_step[[#This Row],[E_DCO]]/$V$7)*100)</f>
        <v/>
      </c>
      <c r="U339" s="523" t="str">
        <f t="shared" si="80"/>
        <v/>
      </c>
      <c r="V339" s="523" t="str">
        <f t="shared" si="81"/>
        <v/>
      </c>
      <c r="W339" s="523" t="str">
        <f t="shared" si="82"/>
        <v/>
      </c>
      <c r="X339" s="523" t="e">
        <f>IF(((100-100/$V$7*données_step[[#This Row],[E_DCO]])/100*QTS)&lt;0,NA(),IF(OR(U339&lt;0,U339=""),NA(),((100-100/$V$7*données_step[[#This Row],[E_DCO]])/100*QTS)))</f>
        <v>#NUM!</v>
      </c>
      <c r="Y339" s="523" t="str">
        <f>IF(AND($R339&gt;0,données_step[[#This Row],[E_COT]]&gt;0),données_step[[#This Row],[E_COT]],"")</f>
        <v/>
      </c>
      <c r="Z339" s="523" t="str">
        <f>IF(Y339="","",(1-données_step[[#This Row],[E_COT]]/$AB$7)*100)</f>
        <v/>
      </c>
      <c r="AA339" s="523" t="str">
        <f t="shared" si="83"/>
        <v/>
      </c>
      <c r="AB339" s="523" t="str">
        <f t="shared" si="84"/>
        <v/>
      </c>
      <c r="AC339" s="523" t="str">
        <f t="shared" si="85"/>
        <v/>
      </c>
      <c r="AD339" s="523" t="e">
        <f>IF(((100-100/$AB$7*données_step[[#This Row],[E_COT]])/100*QTS)&lt;0,NA(),IF(OR(AA339&lt;0,AA339=""),NA(),((100-100/$AB$7*données_step[[#This Row],[E_COT]])/100*QTS)))</f>
        <v>#NUM!</v>
      </c>
      <c r="AE339" s="523" t="str">
        <f>IF(AND($R339&gt;0,données_step[[#This Row],[E_NH4]]&gt;0),données_step[[#This Row],[E_NH4]],"")</f>
        <v/>
      </c>
      <c r="AF339" s="523" t="str">
        <f>IF(AE339="","",(1-données_step[[#This Row],[E_NH4]]/$AH$7)*100)</f>
        <v/>
      </c>
      <c r="AG339" s="523" t="str">
        <f t="shared" si="86"/>
        <v/>
      </c>
      <c r="AH339" s="523" t="str">
        <f t="shared" si="87"/>
        <v/>
      </c>
      <c r="AI339" s="523" t="str">
        <f t="shared" si="88"/>
        <v/>
      </c>
      <c r="AJ339" s="523" t="e">
        <f>IF(((100-100/$AH$7*données_step[[#This Row],[E_NH4]])/100*QTS)&lt;0,NA(),IF(OR(AG339&lt;0,AG339=""),NA(),((100-100/$AH$7*données_step[[#This Row],[E_NH4]])/100*QTS)))</f>
        <v>#NUM!</v>
      </c>
      <c r="AK339" s="523" t="str">
        <f>IF(AND($R339&gt;0,données_step[[#This Row],[E_PTOT]]&gt;0),données_step[[#This Row],[E_PTOT]],"")</f>
        <v/>
      </c>
      <c r="AL339" s="523" t="str">
        <f>IF(AK339="","",(1-données_step[[#This Row],[E_PTOT]]/$AN$7)*100)</f>
        <v/>
      </c>
      <c r="AM339" s="523" t="str">
        <f t="shared" si="89"/>
        <v/>
      </c>
      <c r="AN339" s="523" t="str">
        <f t="shared" si="90"/>
        <v/>
      </c>
      <c r="AO339" s="523" t="str">
        <f t="shared" si="91"/>
        <v/>
      </c>
      <c r="AP339" s="523" t="e">
        <f>IF(((100-100/$AN$7*données_step[[#This Row],[E_PTOT]])/100*QTS)&lt;0,NA(),IF(OR(AM339&lt;0,AM339=""),NA(),((100-100/$AN$7*données_step[[#This Row],[E_PTOT]])/100*QTS)))</f>
        <v>#NUM!</v>
      </c>
      <c r="AQ339" s="524" t="e">
        <f t="shared" si="92"/>
        <v>#NUM!</v>
      </c>
      <c r="AR339" s="524" t="str">
        <f t="shared" si="93"/>
        <v/>
      </c>
      <c r="AY339" s="523" t="str">
        <f>_xlfn.IFNA(IF(données_step[[#This Row],[E_DCO]]&lt;=0,NA(),charge_entree[[#This Row],[ch_E_DCO]]/constanten!$B$8*1000),"")</f>
        <v/>
      </c>
      <c r="AZ339" s="523" t="str">
        <f>_xlfn.IFNA(IF(données_step[[#This Row],[E_NTOT]]&lt;=0,NA(),charge_entree[[#This Row],[ch_E_NTOT]]/constanten!$B$10*1000),"")</f>
        <v/>
      </c>
      <c r="BA339" s="523" t="str">
        <f>_xlfn.IFNA(IF(données_step[[#This Row],[E_NH4]]&lt;=0,NA(),charge_entree[[#This Row],[ch_E_NH4]]/constanten!$B$12*1000),"")</f>
        <v/>
      </c>
      <c r="BB339" s="523" t="str">
        <f>_xlfn.IFNA(IF(données_step[[#This Row],[E_COT]]&lt;=0,NA(),charge_entree[[#This Row],[ch_E_COT]]/constanten!$B$9*1000),"")</f>
        <v/>
      </c>
      <c r="BC339" s="523" t="str">
        <f>IFERROR(_xlfn.IFNA(IF(données_step[[#This Row],[E_PTOT]]&lt;=0,NA(),charge_entree[[#This Row],[ch_E_PTOT]]/constanten!$B$15*1000),""),"")</f>
        <v/>
      </c>
      <c r="BD339" s="535" t="e">
        <f>calculs!E339 * (1-0.4) / (données_step[[#This Row],[X_BA_VOL]]*données_step[[#This Row],[X_BACONC]])</f>
        <v>#VALUE!</v>
      </c>
      <c r="BE339" s="522" t="e">
        <f>(données_step[[#This Row],[X_BA_VOL]]*données_step[[#This Row],[X_BACONC]])/((données_step[[#This Row],[D_QTRAI2]]*données_step[[#This Row],[S_MES]]/1000)+(données_step[[#This Row],[X_BX_Q]]*données_step[[#This Row],[X_BXCONC]]))</f>
        <v>#VALUE!</v>
      </c>
      <c r="BF339" s="890" t="str">
        <f>IFERROR(données_step[[#This Row],[D_QTRAI]]/AY339*1000,"")</f>
        <v/>
      </c>
      <c r="BG339" s="535" t="str">
        <f>IFERROR(1-données_step[[#This Row],[S_DBO5]]/données_step[[#This Row],[E_DBO5]],"")</f>
        <v/>
      </c>
      <c r="BH339" s="536" t="str">
        <f>IFERROR(1-données_step[[#This Row],[S_DCO]]/données_step[[#This Row],[E_DCO]],"")</f>
        <v/>
      </c>
      <c r="BI339" s="535" t="str">
        <f>IFERROR(1-données_step[[#This Row],[S_COD]]/données_step[[#This Row],[E_COT]],"")</f>
        <v/>
      </c>
      <c r="BJ339" s="535" t="str">
        <f>IFERROR(1-données_step[[#This Row],[S_NH4]]/données_step[[#This Row],[E_NTOT]],"")</f>
        <v/>
      </c>
      <c r="BK339" s="535" t="str">
        <f>IFERROR(1-données_step[[#This Row],[S_PTOT]]/données_step[[#This Row],[E_PTOT]],"")</f>
        <v/>
      </c>
      <c r="BL339" s="521" t="str">
        <f>IFERROR(IF(données_step[[#This Row],[E_DCO]]/données_step[[#This Row],[E_DBO5]]=0,NA(),données_step[[#This Row],[E_DCO]]/données_step[[#This Row],[E_DBO5]]),"")</f>
        <v/>
      </c>
      <c r="BM339" s="521" t="str">
        <f>IFERROR(IF(données_step[[#This Row],[E_NH4]]/données_step[[#This Row],[E_NTOT]]=0,NA(),données_step[[#This Row],[E_NH4]]/données_step[[#This Row],[E_NTOT]]),"")</f>
        <v/>
      </c>
      <c r="BN339" s="521" t="str">
        <f>IFERROR(IF(données_step[[#This Row],[E_NTOT]]/données_step[[#This Row],[E_COT]]=0,NA(),données_step[[#This Row],[E_NTOT]]/données_step[[#This Row],[E_COT]]),"")</f>
        <v/>
      </c>
      <c r="BO339" s="521" t="str">
        <f>IFERROR(IF(données_step[[#This Row],[E_PTOT]]/données_step[[#This Row],[E_COT]]=0,NA(),données_step[[#This Row],[E_PTOT]]/données_step[[#This Row],[E_COT]]),"")</f>
        <v/>
      </c>
      <c r="BP339" s="521" t="e">
        <f>IF(données_step[[#This Row],[E_DCO]]/données_step[[#This Row],[E_COT]]=0,NA(),données_step[[#This Row],[E_DCO]]/données_step[[#This Row],[E_COT]])</f>
        <v>#DIV/0!</v>
      </c>
      <c r="BQ339" s="521" t="e">
        <f>IF(données_step[[#This Row],[E_NTOT]]/données_step[[#This Row],[E_DCO]]=0,NA(),données_step[[#This Row],[E_NTOT]]/données_step[[#This Row],[E_DCO]])</f>
        <v>#DIV/0!</v>
      </c>
      <c r="BR339" s="521" t="e">
        <f>IF(données_step[[#This Row],[E_PTOT]]/données_step[[#This Row],[E_DCO]]=0,NA(),données_step[[#This Row],[E_PTOT]]/données_step[[#This Row],[E_DCO]])</f>
        <v>#DIV/0!</v>
      </c>
      <c r="BS339" s="747" t="e">
        <f ca="1">test_NH4_temp(données_step[[#This Row],[S_NH4]],données_step[[#This Row],[Temp_eaux]])</f>
        <v>#NAME?</v>
      </c>
    </row>
    <row r="340" spans="1:71" x14ac:dyDescent="0.2">
      <c r="A340" s="222">
        <f>données_step[[#This Row],[Datum]]</f>
        <v>44891</v>
      </c>
      <c r="B340" s="223"/>
      <c r="C340" s="224">
        <f t="shared" si="79"/>
        <v>7</v>
      </c>
      <c r="D340" s="523" t="str">
        <f>IF(OR(données_step[[#This Row],[E_DBO5]]&lt;=0,données_step[[#This Row],[E_DBO5]]=""),"",données_step[[#This Row],[D_QTRAI]]*données_step[[#This Row],[E_DBO5]]/1000)</f>
        <v/>
      </c>
      <c r="E340" s="523" t="str">
        <f>IF(OR(données_step[[#This Row],[E_DCO]]&lt;=0,données_step[[#This Row],[E_DCO]]=""),"",données_step[[#This Row],[D_QTRAI]]*données_step[[#This Row],[E_DCO]]/1000)</f>
        <v/>
      </c>
      <c r="F340" s="523" t="str">
        <f>IF(OR(données_step[[#This Row],[E_COT]]&lt;=0,données_step[[#This Row],[E_COT]]=""),"",données_step[[#This Row],[D_QTRAI]]*données_step[[#This Row],[E_COT]]/1000)</f>
        <v/>
      </c>
      <c r="G340" s="523" t="str">
        <f>IF(OR(données_step[[#This Row],[E_NH4]]&lt;=0,données_step[[#This Row],[E_NH4]]=""),"",données_step[[#This Row],[D_QTRAI]]*données_step[[#This Row],[E_NH4]]/1000)</f>
        <v/>
      </c>
      <c r="H340" s="523" t="str">
        <f>IF(OR(données_step[[#This Row],[E_NTOT]]&lt;=0,données_step[[#This Row],[E_NTOT]]=""),"",données_step[[#This Row],[D_QTRAI]]*données_step[[#This Row],[E_NTOT]]/1000)</f>
        <v/>
      </c>
      <c r="I340" s="523" t="str">
        <f>IF(OR(données_step[[#This Row],[E_NTOT]]&lt;=0,données_step[[#This Row],[E_NTOT]]=""),"",données_step[[#This Row],[D_QTRAI]]*données_step[[#This Row],[E_PTOT]]/1000)</f>
        <v/>
      </c>
      <c r="J340" s="523" t="str">
        <f>IF(OR(données_step[[#This Row],[S_DBO5]]&lt;=0,données_step[[#This Row],[S_DBO5]]=""),"",données_step[[#This Row],[D_QTRAI]]*données_step[[#This Row],[S_DBO5]]/1000)</f>
        <v/>
      </c>
      <c r="K340" s="523" t="str">
        <f>IF(OR(données_step[[#This Row],[S_DCO]]&lt;=0,données_step[[#This Row],[S_DCO]]=""),"",données_step[[#This Row],[D_QTRAI]]*données_step[[#This Row],[S_DCO]]/1000)</f>
        <v/>
      </c>
      <c r="L340" s="523" t="str">
        <f>IF(OR(données_step[[#This Row],[S_COD]]&lt;=0,données_step[[#This Row],[S_COD]]=""),"",données_step[[#This Row],[D_QTRAI]]*données_step[[#This Row],[S_COD]]/1000)</f>
        <v/>
      </c>
      <c r="M340" s="523" t="str">
        <f>IF(OR(données_step[[#This Row],[S_NH4]]&lt;=0,données_step[[#This Row],[S_NH4]]=""),"",données_step[[#This Row],[D_QTRAI]]*données_step[[#This Row],[S_NH4]]/1000)</f>
        <v/>
      </c>
      <c r="N340" s="523" t="str">
        <f>IF(OR(données_step[[#This Row],[S_NO2]]&lt;=0,données_step[[#This Row],[S_NO2]]=""),"",données_step[[#This Row],[D_QTRAI]]*données_step[[#This Row],[S_NO2]]/1000)</f>
        <v/>
      </c>
      <c r="O340" s="523" t="str">
        <f>IF(OR(données_step[[#This Row],[S_NO3]]&lt;=0,données_step[[#This Row],[S_NO3]]=""),"",données_step[[#This Row],[D_QTRAI]]*données_step[[#This Row],[S_NO3]]/1000)</f>
        <v/>
      </c>
      <c r="P340" s="523" t="str">
        <f>IF(OR(données_step[[#This Row],[S_PTOT]]&lt;=0,données_step[[#This Row],[S_PTOT]]=""),"",données_step[[#This Row],[D_QTRAI]]*données_step[[#This Row],[S_PTOT]]/1000)</f>
        <v/>
      </c>
      <c r="Q340" s="523" t="str">
        <f>IF(OR(données_step[[#This Row],[S_MES]]&lt;=0,données_step[[#This Row],[S_MES]]=""),"",données_step[[#This Row],[D_QTRAI]]*données_step[[#This Row],[S_MES]]/1000)</f>
        <v/>
      </c>
      <c r="R340" s="523">
        <f>MAX(données_step[[#This Row],[D_QTRAI]],données_step[[#This Row],[D_QTRAI2]])</f>
        <v>0</v>
      </c>
      <c r="S340" s="523" t="str">
        <f>IF(AND($R340&gt;0,données_step[[#This Row],[E_DCO]]&gt;0),données_step[[#This Row],[E_DCO]],"")</f>
        <v/>
      </c>
      <c r="T340" s="523" t="str">
        <f>IF(S340="","",(1-données_step[[#This Row],[E_DCO]]/$V$7)*100)</f>
        <v/>
      </c>
      <c r="U340" s="523" t="str">
        <f t="shared" si="80"/>
        <v/>
      </c>
      <c r="V340" s="523" t="str">
        <f t="shared" si="81"/>
        <v/>
      </c>
      <c r="W340" s="523" t="str">
        <f t="shared" si="82"/>
        <v/>
      </c>
      <c r="X340" s="523" t="e">
        <f>IF(((100-100/$V$7*données_step[[#This Row],[E_DCO]])/100*QTS)&lt;0,NA(),IF(OR(U340&lt;0,U340=""),NA(),((100-100/$V$7*données_step[[#This Row],[E_DCO]])/100*QTS)))</f>
        <v>#NUM!</v>
      </c>
      <c r="Y340" s="523" t="str">
        <f>IF(AND($R340&gt;0,données_step[[#This Row],[E_COT]]&gt;0),données_step[[#This Row],[E_COT]],"")</f>
        <v/>
      </c>
      <c r="Z340" s="523" t="str">
        <f>IF(Y340="","",(1-données_step[[#This Row],[E_COT]]/$AB$7)*100)</f>
        <v/>
      </c>
      <c r="AA340" s="523" t="str">
        <f t="shared" si="83"/>
        <v/>
      </c>
      <c r="AB340" s="523" t="str">
        <f t="shared" si="84"/>
        <v/>
      </c>
      <c r="AC340" s="523" t="str">
        <f t="shared" si="85"/>
        <v/>
      </c>
      <c r="AD340" s="523" t="e">
        <f>IF(((100-100/$AB$7*données_step[[#This Row],[E_COT]])/100*QTS)&lt;0,NA(),IF(OR(AA340&lt;0,AA340=""),NA(),((100-100/$AB$7*données_step[[#This Row],[E_COT]])/100*QTS)))</f>
        <v>#NUM!</v>
      </c>
      <c r="AE340" s="523" t="str">
        <f>IF(AND($R340&gt;0,données_step[[#This Row],[E_NH4]]&gt;0),données_step[[#This Row],[E_NH4]],"")</f>
        <v/>
      </c>
      <c r="AF340" s="523" t="str">
        <f>IF(AE340="","",(1-données_step[[#This Row],[E_NH4]]/$AH$7)*100)</f>
        <v/>
      </c>
      <c r="AG340" s="523" t="str">
        <f t="shared" si="86"/>
        <v/>
      </c>
      <c r="AH340" s="523" t="str">
        <f t="shared" si="87"/>
        <v/>
      </c>
      <c r="AI340" s="523" t="str">
        <f t="shared" si="88"/>
        <v/>
      </c>
      <c r="AJ340" s="523" t="e">
        <f>IF(((100-100/$AH$7*données_step[[#This Row],[E_NH4]])/100*QTS)&lt;0,NA(),IF(OR(AG340&lt;0,AG340=""),NA(),((100-100/$AH$7*données_step[[#This Row],[E_NH4]])/100*QTS)))</f>
        <v>#NUM!</v>
      </c>
      <c r="AK340" s="523" t="str">
        <f>IF(AND($R340&gt;0,données_step[[#This Row],[E_PTOT]]&gt;0),données_step[[#This Row],[E_PTOT]],"")</f>
        <v/>
      </c>
      <c r="AL340" s="523" t="str">
        <f>IF(AK340="","",(1-données_step[[#This Row],[E_PTOT]]/$AN$7)*100)</f>
        <v/>
      </c>
      <c r="AM340" s="523" t="str">
        <f t="shared" si="89"/>
        <v/>
      </c>
      <c r="AN340" s="523" t="str">
        <f t="shared" si="90"/>
        <v/>
      </c>
      <c r="AO340" s="523" t="str">
        <f t="shared" si="91"/>
        <v/>
      </c>
      <c r="AP340" s="523" t="e">
        <f>IF(((100-100/$AN$7*données_step[[#This Row],[E_PTOT]])/100*QTS)&lt;0,NA(),IF(OR(AM340&lt;0,AM340=""),NA(),((100-100/$AN$7*données_step[[#This Row],[E_PTOT]])/100*QTS)))</f>
        <v>#NUM!</v>
      </c>
      <c r="AQ340" s="524" t="e">
        <f t="shared" si="92"/>
        <v>#NUM!</v>
      </c>
      <c r="AR340" s="524" t="str">
        <f t="shared" si="93"/>
        <v/>
      </c>
      <c r="AY340" s="523" t="str">
        <f>_xlfn.IFNA(IF(données_step[[#This Row],[E_DCO]]&lt;=0,NA(),charge_entree[[#This Row],[ch_E_DCO]]/constanten!$B$8*1000),"")</f>
        <v/>
      </c>
      <c r="AZ340" s="523" t="str">
        <f>_xlfn.IFNA(IF(données_step[[#This Row],[E_NTOT]]&lt;=0,NA(),charge_entree[[#This Row],[ch_E_NTOT]]/constanten!$B$10*1000),"")</f>
        <v/>
      </c>
      <c r="BA340" s="523" t="str">
        <f>_xlfn.IFNA(IF(données_step[[#This Row],[E_NH4]]&lt;=0,NA(),charge_entree[[#This Row],[ch_E_NH4]]/constanten!$B$12*1000),"")</f>
        <v/>
      </c>
      <c r="BB340" s="523" t="str">
        <f>_xlfn.IFNA(IF(données_step[[#This Row],[E_COT]]&lt;=0,NA(),charge_entree[[#This Row],[ch_E_COT]]/constanten!$B$9*1000),"")</f>
        <v/>
      </c>
      <c r="BC340" s="523" t="str">
        <f>IFERROR(_xlfn.IFNA(IF(données_step[[#This Row],[E_PTOT]]&lt;=0,NA(),charge_entree[[#This Row],[ch_E_PTOT]]/constanten!$B$15*1000),""),"")</f>
        <v/>
      </c>
      <c r="BD340" s="535" t="e">
        <f>calculs!E340 * (1-0.4) / (données_step[[#This Row],[X_BA_VOL]]*données_step[[#This Row],[X_BACONC]])</f>
        <v>#VALUE!</v>
      </c>
      <c r="BE340" s="522" t="e">
        <f>(données_step[[#This Row],[X_BA_VOL]]*données_step[[#This Row],[X_BACONC]])/((données_step[[#This Row],[D_QTRAI2]]*données_step[[#This Row],[S_MES]]/1000)+(données_step[[#This Row],[X_BX_Q]]*données_step[[#This Row],[X_BXCONC]]))</f>
        <v>#VALUE!</v>
      </c>
      <c r="BF340" s="890" t="str">
        <f>IFERROR(données_step[[#This Row],[D_QTRAI]]/AY340*1000,"")</f>
        <v/>
      </c>
      <c r="BG340" s="535" t="str">
        <f>IFERROR(1-données_step[[#This Row],[S_DBO5]]/données_step[[#This Row],[E_DBO5]],"")</f>
        <v/>
      </c>
      <c r="BH340" s="536" t="str">
        <f>IFERROR(1-données_step[[#This Row],[S_DCO]]/données_step[[#This Row],[E_DCO]],"")</f>
        <v/>
      </c>
      <c r="BI340" s="535" t="str">
        <f>IFERROR(1-données_step[[#This Row],[S_COD]]/données_step[[#This Row],[E_COT]],"")</f>
        <v/>
      </c>
      <c r="BJ340" s="535" t="str">
        <f>IFERROR(1-données_step[[#This Row],[S_NH4]]/données_step[[#This Row],[E_NTOT]],"")</f>
        <v/>
      </c>
      <c r="BK340" s="535" t="str">
        <f>IFERROR(1-données_step[[#This Row],[S_PTOT]]/données_step[[#This Row],[E_PTOT]],"")</f>
        <v/>
      </c>
      <c r="BL340" s="521" t="str">
        <f>IFERROR(IF(données_step[[#This Row],[E_DCO]]/données_step[[#This Row],[E_DBO5]]=0,NA(),données_step[[#This Row],[E_DCO]]/données_step[[#This Row],[E_DBO5]]),"")</f>
        <v/>
      </c>
      <c r="BM340" s="521" t="str">
        <f>IFERROR(IF(données_step[[#This Row],[E_NH4]]/données_step[[#This Row],[E_NTOT]]=0,NA(),données_step[[#This Row],[E_NH4]]/données_step[[#This Row],[E_NTOT]]),"")</f>
        <v/>
      </c>
      <c r="BN340" s="521" t="str">
        <f>IFERROR(IF(données_step[[#This Row],[E_NTOT]]/données_step[[#This Row],[E_COT]]=0,NA(),données_step[[#This Row],[E_NTOT]]/données_step[[#This Row],[E_COT]]),"")</f>
        <v/>
      </c>
      <c r="BO340" s="521" t="str">
        <f>IFERROR(IF(données_step[[#This Row],[E_PTOT]]/données_step[[#This Row],[E_COT]]=0,NA(),données_step[[#This Row],[E_PTOT]]/données_step[[#This Row],[E_COT]]),"")</f>
        <v/>
      </c>
      <c r="BP340" s="521" t="e">
        <f>IF(données_step[[#This Row],[E_DCO]]/données_step[[#This Row],[E_COT]]=0,NA(),données_step[[#This Row],[E_DCO]]/données_step[[#This Row],[E_COT]])</f>
        <v>#DIV/0!</v>
      </c>
      <c r="BQ340" s="521" t="e">
        <f>IF(données_step[[#This Row],[E_NTOT]]/données_step[[#This Row],[E_DCO]]=0,NA(),données_step[[#This Row],[E_NTOT]]/données_step[[#This Row],[E_DCO]])</f>
        <v>#DIV/0!</v>
      </c>
      <c r="BR340" s="521" t="e">
        <f>IF(données_step[[#This Row],[E_PTOT]]/données_step[[#This Row],[E_DCO]]=0,NA(),données_step[[#This Row],[E_PTOT]]/données_step[[#This Row],[E_DCO]])</f>
        <v>#DIV/0!</v>
      </c>
      <c r="BS340" s="747" t="e">
        <f ca="1">test_NH4_temp(données_step[[#This Row],[S_NH4]],données_step[[#This Row],[Temp_eaux]])</f>
        <v>#NAME?</v>
      </c>
    </row>
    <row r="341" spans="1:71" x14ac:dyDescent="0.2">
      <c r="A341" s="222">
        <f>données_step[[#This Row],[Datum]]</f>
        <v>44892</v>
      </c>
      <c r="B341" s="223"/>
      <c r="C341" s="224">
        <f t="shared" si="79"/>
        <v>1</v>
      </c>
      <c r="D341" s="523" t="str">
        <f>IF(OR(données_step[[#This Row],[E_DBO5]]&lt;=0,données_step[[#This Row],[E_DBO5]]=""),"",données_step[[#This Row],[D_QTRAI]]*données_step[[#This Row],[E_DBO5]]/1000)</f>
        <v/>
      </c>
      <c r="E341" s="523" t="str">
        <f>IF(OR(données_step[[#This Row],[E_DCO]]&lt;=0,données_step[[#This Row],[E_DCO]]=""),"",données_step[[#This Row],[D_QTRAI]]*données_step[[#This Row],[E_DCO]]/1000)</f>
        <v/>
      </c>
      <c r="F341" s="523" t="str">
        <f>IF(OR(données_step[[#This Row],[E_COT]]&lt;=0,données_step[[#This Row],[E_COT]]=""),"",données_step[[#This Row],[D_QTRAI]]*données_step[[#This Row],[E_COT]]/1000)</f>
        <v/>
      </c>
      <c r="G341" s="523" t="str">
        <f>IF(OR(données_step[[#This Row],[E_NH4]]&lt;=0,données_step[[#This Row],[E_NH4]]=""),"",données_step[[#This Row],[D_QTRAI]]*données_step[[#This Row],[E_NH4]]/1000)</f>
        <v/>
      </c>
      <c r="H341" s="523" t="str">
        <f>IF(OR(données_step[[#This Row],[E_NTOT]]&lt;=0,données_step[[#This Row],[E_NTOT]]=""),"",données_step[[#This Row],[D_QTRAI]]*données_step[[#This Row],[E_NTOT]]/1000)</f>
        <v/>
      </c>
      <c r="I341" s="523" t="str">
        <f>IF(OR(données_step[[#This Row],[E_NTOT]]&lt;=0,données_step[[#This Row],[E_NTOT]]=""),"",données_step[[#This Row],[D_QTRAI]]*données_step[[#This Row],[E_PTOT]]/1000)</f>
        <v/>
      </c>
      <c r="J341" s="523" t="str">
        <f>IF(OR(données_step[[#This Row],[S_DBO5]]&lt;=0,données_step[[#This Row],[S_DBO5]]=""),"",données_step[[#This Row],[D_QTRAI]]*données_step[[#This Row],[S_DBO5]]/1000)</f>
        <v/>
      </c>
      <c r="K341" s="523" t="str">
        <f>IF(OR(données_step[[#This Row],[S_DCO]]&lt;=0,données_step[[#This Row],[S_DCO]]=""),"",données_step[[#This Row],[D_QTRAI]]*données_step[[#This Row],[S_DCO]]/1000)</f>
        <v/>
      </c>
      <c r="L341" s="523" t="str">
        <f>IF(OR(données_step[[#This Row],[S_COD]]&lt;=0,données_step[[#This Row],[S_COD]]=""),"",données_step[[#This Row],[D_QTRAI]]*données_step[[#This Row],[S_COD]]/1000)</f>
        <v/>
      </c>
      <c r="M341" s="523" t="str">
        <f>IF(OR(données_step[[#This Row],[S_NH4]]&lt;=0,données_step[[#This Row],[S_NH4]]=""),"",données_step[[#This Row],[D_QTRAI]]*données_step[[#This Row],[S_NH4]]/1000)</f>
        <v/>
      </c>
      <c r="N341" s="523" t="str">
        <f>IF(OR(données_step[[#This Row],[S_NO2]]&lt;=0,données_step[[#This Row],[S_NO2]]=""),"",données_step[[#This Row],[D_QTRAI]]*données_step[[#This Row],[S_NO2]]/1000)</f>
        <v/>
      </c>
      <c r="O341" s="523" t="str">
        <f>IF(OR(données_step[[#This Row],[S_NO3]]&lt;=0,données_step[[#This Row],[S_NO3]]=""),"",données_step[[#This Row],[D_QTRAI]]*données_step[[#This Row],[S_NO3]]/1000)</f>
        <v/>
      </c>
      <c r="P341" s="523" t="str">
        <f>IF(OR(données_step[[#This Row],[S_PTOT]]&lt;=0,données_step[[#This Row],[S_PTOT]]=""),"",données_step[[#This Row],[D_QTRAI]]*données_step[[#This Row],[S_PTOT]]/1000)</f>
        <v/>
      </c>
      <c r="Q341" s="523" t="str">
        <f>IF(OR(données_step[[#This Row],[S_MES]]&lt;=0,données_step[[#This Row],[S_MES]]=""),"",données_step[[#This Row],[D_QTRAI]]*données_step[[#This Row],[S_MES]]/1000)</f>
        <v/>
      </c>
      <c r="R341" s="523">
        <f>MAX(données_step[[#This Row],[D_QTRAI]],données_step[[#This Row],[D_QTRAI2]])</f>
        <v>0</v>
      </c>
      <c r="S341" s="523" t="str">
        <f>IF(AND($R341&gt;0,données_step[[#This Row],[E_DCO]]&gt;0),données_step[[#This Row],[E_DCO]],"")</f>
        <v/>
      </c>
      <c r="T341" s="523" t="str">
        <f>IF(S341="","",(1-données_step[[#This Row],[E_DCO]]/$V$7)*100)</f>
        <v/>
      </c>
      <c r="U341" s="523" t="str">
        <f t="shared" si="80"/>
        <v/>
      </c>
      <c r="V341" s="523" t="str">
        <f t="shared" si="81"/>
        <v/>
      </c>
      <c r="W341" s="523" t="str">
        <f t="shared" si="82"/>
        <v/>
      </c>
      <c r="X341" s="523" t="e">
        <f>IF(((100-100/$V$7*données_step[[#This Row],[E_DCO]])/100*QTS)&lt;0,NA(),IF(OR(U341&lt;0,U341=""),NA(),((100-100/$V$7*données_step[[#This Row],[E_DCO]])/100*QTS)))</f>
        <v>#NUM!</v>
      </c>
      <c r="Y341" s="523" t="str">
        <f>IF(AND($R341&gt;0,données_step[[#This Row],[E_COT]]&gt;0),données_step[[#This Row],[E_COT]],"")</f>
        <v/>
      </c>
      <c r="Z341" s="523" t="str">
        <f>IF(Y341="","",(1-données_step[[#This Row],[E_COT]]/$AB$7)*100)</f>
        <v/>
      </c>
      <c r="AA341" s="523" t="str">
        <f t="shared" si="83"/>
        <v/>
      </c>
      <c r="AB341" s="523" t="str">
        <f t="shared" si="84"/>
        <v/>
      </c>
      <c r="AC341" s="523" t="str">
        <f t="shared" si="85"/>
        <v/>
      </c>
      <c r="AD341" s="523" t="e">
        <f>IF(((100-100/$AB$7*données_step[[#This Row],[E_COT]])/100*QTS)&lt;0,NA(),IF(OR(AA341&lt;0,AA341=""),NA(),((100-100/$AB$7*données_step[[#This Row],[E_COT]])/100*QTS)))</f>
        <v>#NUM!</v>
      </c>
      <c r="AE341" s="523" t="str">
        <f>IF(AND($R341&gt;0,données_step[[#This Row],[E_NH4]]&gt;0),données_step[[#This Row],[E_NH4]],"")</f>
        <v/>
      </c>
      <c r="AF341" s="523" t="str">
        <f>IF(AE341="","",(1-données_step[[#This Row],[E_NH4]]/$AH$7)*100)</f>
        <v/>
      </c>
      <c r="AG341" s="523" t="str">
        <f t="shared" si="86"/>
        <v/>
      </c>
      <c r="AH341" s="523" t="str">
        <f t="shared" si="87"/>
        <v/>
      </c>
      <c r="AI341" s="523" t="str">
        <f t="shared" si="88"/>
        <v/>
      </c>
      <c r="AJ341" s="523" t="e">
        <f>IF(((100-100/$AH$7*données_step[[#This Row],[E_NH4]])/100*QTS)&lt;0,NA(),IF(OR(AG341&lt;0,AG341=""),NA(),((100-100/$AH$7*données_step[[#This Row],[E_NH4]])/100*QTS)))</f>
        <v>#NUM!</v>
      </c>
      <c r="AK341" s="523" t="str">
        <f>IF(AND($R341&gt;0,données_step[[#This Row],[E_PTOT]]&gt;0),données_step[[#This Row],[E_PTOT]],"")</f>
        <v/>
      </c>
      <c r="AL341" s="523" t="str">
        <f>IF(AK341="","",(1-données_step[[#This Row],[E_PTOT]]/$AN$7)*100)</f>
        <v/>
      </c>
      <c r="AM341" s="523" t="str">
        <f t="shared" si="89"/>
        <v/>
      </c>
      <c r="AN341" s="523" t="str">
        <f t="shared" si="90"/>
        <v/>
      </c>
      <c r="AO341" s="523" t="str">
        <f t="shared" si="91"/>
        <v/>
      </c>
      <c r="AP341" s="523" t="e">
        <f>IF(((100-100/$AN$7*données_step[[#This Row],[E_PTOT]])/100*QTS)&lt;0,NA(),IF(OR(AM341&lt;0,AM341=""),NA(),((100-100/$AN$7*données_step[[#This Row],[E_PTOT]])/100*QTS)))</f>
        <v>#NUM!</v>
      </c>
      <c r="AQ341" s="524" t="e">
        <f t="shared" si="92"/>
        <v>#NUM!</v>
      </c>
      <c r="AR341" s="524" t="str">
        <f t="shared" si="93"/>
        <v/>
      </c>
      <c r="AY341" s="523" t="str">
        <f>_xlfn.IFNA(IF(données_step[[#This Row],[E_DCO]]&lt;=0,NA(),charge_entree[[#This Row],[ch_E_DCO]]/constanten!$B$8*1000),"")</f>
        <v/>
      </c>
      <c r="AZ341" s="523" t="str">
        <f>_xlfn.IFNA(IF(données_step[[#This Row],[E_NTOT]]&lt;=0,NA(),charge_entree[[#This Row],[ch_E_NTOT]]/constanten!$B$10*1000),"")</f>
        <v/>
      </c>
      <c r="BA341" s="523" t="str">
        <f>_xlfn.IFNA(IF(données_step[[#This Row],[E_NH4]]&lt;=0,NA(),charge_entree[[#This Row],[ch_E_NH4]]/constanten!$B$12*1000),"")</f>
        <v/>
      </c>
      <c r="BB341" s="523" t="str">
        <f>_xlfn.IFNA(IF(données_step[[#This Row],[E_COT]]&lt;=0,NA(),charge_entree[[#This Row],[ch_E_COT]]/constanten!$B$9*1000),"")</f>
        <v/>
      </c>
      <c r="BC341" s="523" t="str">
        <f>IFERROR(_xlfn.IFNA(IF(données_step[[#This Row],[E_PTOT]]&lt;=0,NA(),charge_entree[[#This Row],[ch_E_PTOT]]/constanten!$B$15*1000),""),"")</f>
        <v/>
      </c>
      <c r="BD341" s="535" t="e">
        <f>calculs!E341 * (1-0.4) / (données_step[[#This Row],[X_BA_VOL]]*données_step[[#This Row],[X_BACONC]])</f>
        <v>#VALUE!</v>
      </c>
      <c r="BE341" s="522" t="e">
        <f>(données_step[[#This Row],[X_BA_VOL]]*données_step[[#This Row],[X_BACONC]])/((données_step[[#This Row],[D_QTRAI2]]*données_step[[#This Row],[S_MES]]/1000)+(données_step[[#This Row],[X_BX_Q]]*données_step[[#This Row],[X_BXCONC]]))</f>
        <v>#VALUE!</v>
      </c>
      <c r="BF341" s="890" t="str">
        <f>IFERROR(données_step[[#This Row],[D_QTRAI]]/AY341*1000,"")</f>
        <v/>
      </c>
      <c r="BG341" s="535" t="str">
        <f>IFERROR(1-données_step[[#This Row],[S_DBO5]]/données_step[[#This Row],[E_DBO5]],"")</f>
        <v/>
      </c>
      <c r="BH341" s="536" t="str">
        <f>IFERROR(1-données_step[[#This Row],[S_DCO]]/données_step[[#This Row],[E_DCO]],"")</f>
        <v/>
      </c>
      <c r="BI341" s="535" t="str">
        <f>IFERROR(1-données_step[[#This Row],[S_COD]]/données_step[[#This Row],[E_COT]],"")</f>
        <v/>
      </c>
      <c r="BJ341" s="535" t="str">
        <f>IFERROR(1-données_step[[#This Row],[S_NH4]]/données_step[[#This Row],[E_NTOT]],"")</f>
        <v/>
      </c>
      <c r="BK341" s="535" t="str">
        <f>IFERROR(1-données_step[[#This Row],[S_PTOT]]/données_step[[#This Row],[E_PTOT]],"")</f>
        <v/>
      </c>
      <c r="BL341" s="521" t="str">
        <f>IFERROR(IF(données_step[[#This Row],[E_DCO]]/données_step[[#This Row],[E_DBO5]]=0,NA(),données_step[[#This Row],[E_DCO]]/données_step[[#This Row],[E_DBO5]]),"")</f>
        <v/>
      </c>
      <c r="BM341" s="521" t="str">
        <f>IFERROR(IF(données_step[[#This Row],[E_NH4]]/données_step[[#This Row],[E_NTOT]]=0,NA(),données_step[[#This Row],[E_NH4]]/données_step[[#This Row],[E_NTOT]]),"")</f>
        <v/>
      </c>
      <c r="BN341" s="521" t="str">
        <f>IFERROR(IF(données_step[[#This Row],[E_NTOT]]/données_step[[#This Row],[E_COT]]=0,NA(),données_step[[#This Row],[E_NTOT]]/données_step[[#This Row],[E_COT]]),"")</f>
        <v/>
      </c>
      <c r="BO341" s="521" t="str">
        <f>IFERROR(IF(données_step[[#This Row],[E_PTOT]]/données_step[[#This Row],[E_COT]]=0,NA(),données_step[[#This Row],[E_PTOT]]/données_step[[#This Row],[E_COT]]),"")</f>
        <v/>
      </c>
      <c r="BP341" s="521" t="e">
        <f>IF(données_step[[#This Row],[E_DCO]]/données_step[[#This Row],[E_COT]]=0,NA(),données_step[[#This Row],[E_DCO]]/données_step[[#This Row],[E_COT]])</f>
        <v>#DIV/0!</v>
      </c>
      <c r="BQ341" s="521" t="e">
        <f>IF(données_step[[#This Row],[E_NTOT]]/données_step[[#This Row],[E_DCO]]=0,NA(),données_step[[#This Row],[E_NTOT]]/données_step[[#This Row],[E_DCO]])</f>
        <v>#DIV/0!</v>
      </c>
      <c r="BR341" s="521" t="e">
        <f>IF(données_step[[#This Row],[E_PTOT]]/données_step[[#This Row],[E_DCO]]=0,NA(),données_step[[#This Row],[E_PTOT]]/données_step[[#This Row],[E_DCO]])</f>
        <v>#DIV/0!</v>
      </c>
      <c r="BS341" s="747" t="e">
        <f ca="1">test_NH4_temp(données_step[[#This Row],[S_NH4]],données_step[[#This Row],[Temp_eaux]])</f>
        <v>#NAME?</v>
      </c>
    </row>
    <row r="342" spans="1:71" x14ac:dyDescent="0.2">
      <c r="A342" s="222">
        <f>données_step[[#This Row],[Datum]]</f>
        <v>44893</v>
      </c>
      <c r="B342" s="223"/>
      <c r="C342" s="224">
        <f t="shared" si="79"/>
        <v>2</v>
      </c>
      <c r="D342" s="523" t="str">
        <f>IF(OR(données_step[[#This Row],[E_DBO5]]&lt;=0,données_step[[#This Row],[E_DBO5]]=""),"",données_step[[#This Row],[D_QTRAI]]*données_step[[#This Row],[E_DBO5]]/1000)</f>
        <v/>
      </c>
      <c r="E342" s="523" t="str">
        <f>IF(OR(données_step[[#This Row],[E_DCO]]&lt;=0,données_step[[#This Row],[E_DCO]]=""),"",données_step[[#This Row],[D_QTRAI]]*données_step[[#This Row],[E_DCO]]/1000)</f>
        <v/>
      </c>
      <c r="F342" s="523" t="str">
        <f>IF(OR(données_step[[#This Row],[E_COT]]&lt;=0,données_step[[#This Row],[E_COT]]=""),"",données_step[[#This Row],[D_QTRAI]]*données_step[[#This Row],[E_COT]]/1000)</f>
        <v/>
      </c>
      <c r="G342" s="523" t="str">
        <f>IF(OR(données_step[[#This Row],[E_NH4]]&lt;=0,données_step[[#This Row],[E_NH4]]=""),"",données_step[[#This Row],[D_QTRAI]]*données_step[[#This Row],[E_NH4]]/1000)</f>
        <v/>
      </c>
      <c r="H342" s="523" t="str">
        <f>IF(OR(données_step[[#This Row],[E_NTOT]]&lt;=0,données_step[[#This Row],[E_NTOT]]=""),"",données_step[[#This Row],[D_QTRAI]]*données_step[[#This Row],[E_NTOT]]/1000)</f>
        <v/>
      </c>
      <c r="I342" s="523" t="str">
        <f>IF(OR(données_step[[#This Row],[E_NTOT]]&lt;=0,données_step[[#This Row],[E_NTOT]]=""),"",données_step[[#This Row],[D_QTRAI]]*données_step[[#This Row],[E_PTOT]]/1000)</f>
        <v/>
      </c>
      <c r="J342" s="523" t="str">
        <f>IF(OR(données_step[[#This Row],[S_DBO5]]&lt;=0,données_step[[#This Row],[S_DBO5]]=""),"",données_step[[#This Row],[D_QTRAI]]*données_step[[#This Row],[S_DBO5]]/1000)</f>
        <v/>
      </c>
      <c r="K342" s="523" t="str">
        <f>IF(OR(données_step[[#This Row],[S_DCO]]&lt;=0,données_step[[#This Row],[S_DCO]]=""),"",données_step[[#This Row],[D_QTRAI]]*données_step[[#This Row],[S_DCO]]/1000)</f>
        <v/>
      </c>
      <c r="L342" s="523" t="str">
        <f>IF(OR(données_step[[#This Row],[S_COD]]&lt;=0,données_step[[#This Row],[S_COD]]=""),"",données_step[[#This Row],[D_QTRAI]]*données_step[[#This Row],[S_COD]]/1000)</f>
        <v/>
      </c>
      <c r="M342" s="523" t="str">
        <f>IF(OR(données_step[[#This Row],[S_NH4]]&lt;=0,données_step[[#This Row],[S_NH4]]=""),"",données_step[[#This Row],[D_QTRAI]]*données_step[[#This Row],[S_NH4]]/1000)</f>
        <v/>
      </c>
      <c r="N342" s="523" t="str">
        <f>IF(OR(données_step[[#This Row],[S_NO2]]&lt;=0,données_step[[#This Row],[S_NO2]]=""),"",données_step[[#This Row],[D_QTRAI]]*données_step[[#This Row],[S_NO2]]/1000)</f>
        <v/>
      </c>
      <c r="O342" s="523" t="str">
        <f>IF(OR(données_step[[#This Row],[S_NO3]]&lt;=0,données_step[[#This Row],[S_NO3]]=""),"",données_step[[#This Row],[D_QTRAI]]*données_step[[#This Row],[S_NO3]]/1000)</f>
        <v/>
      </c>
      <c r="P342" s="523" t="str">
        <f>IF(OR(données_step[[#This Row],[S_PTOT]]&lt;=0,données_step[[#This Row],[S_PTOT]]=""),"",données_step[[#This Row],[D_QTRAI]]*données_step[[#This Row],[S_PTOT]]/1000)</f>
        <v/>
      </c>
      <c r="Q342" s="523" t="str">
        <f>IF(OR(données_step[[#This Row],[S_MES]]&lt;=0,données_step[[#This Row],[S_MES]]=""),"",données_step[[#This Row],[D_QTRAI]]*données_step[[#This Row],[S_MES]]/1000)</f>
        <v/>
      </c>
      <c r="R342" s="523">
        <f>MAX(données_step[[#This Row],[D_QTRAI]],données_step[[#This Row],[D_QTRAI2]])</f>
        <v>0</v>
      </c>
      <c r="S342" s="523" t="str">
        <f>IF(AND($R342&gt;0,données_step[[#This Row],[E_DCO]]&gt;0),données_step[[#This Row],[E_DCO]],"")</f>
        <v/>
      </c>
      <c r="T342" s="523" t="str">
        <f>IF(S342="","",(1-données_step[[#This Row],[E_DCO]]/$V$7)*100)</f>
        <v/>
      </c>
      <c r="U342" s="523" t="str">
        <f t="shared" si="80"/>
        <v/>
      </c>
      <c r="V342" s="523" t="str">
        <f t="shared" si="81"/>
        <v/>
      </c>
      <c r="W342" s="523" t="str">
        <f t="shared" si="82"/>
        <v/>
      </c>
      <c r="X342" s="523" t="e">
        <f>IF(((100-100/$V$7*données_step[[#This Row],[E_DCO]])/100*QTS)&lt;0,NA(),IF(OR(U342&lt;0,U342=""),NA(),((100-100/$V$7*données_step[[#This Row],[E_DCO]])/100*QTS)))</f>
        <v>#NUM!</v>
      </c>
      <c r="Y342" s="523" t="str">
        <f>IF(AND($R342&gt;0,données_step[[#This Row],[E_COT]]&gt;0),données_step[[#This Row],[E_COT]],"")</f>
        <v/>
      </c>
      <c r="Z342" s="523" t="str">
        <f>IF(Y342="","",(1-données_step[[#This Row],[E_COT]]/$AB$7)*100)</f>
        <v/>
      </c>
      <c r="AA342" s="523" t="str">
        <f t="shared" si="83"/>
        <v/>
      </c>
      <c r="AB342" s="523" t="str">
        <f t="shared" si="84"/>
        <v/>
      </c>
      <c r="AC342" s="523" t="str">
        <f t="shared" si="85"/>
        <v/>
      </c>
      <c r="AD342" s="523" t="e">
        <f>IF(((100-100/$AB$7*données_step[[#This Row],[E_COT]])/100*QTS)&lt;0,NA(),IF(OR(AA342&lt;0,AA342=""),NA(),((100-100/$AB$7*données_step[[#This Row],[E_COT]])/100*QTS)))</f>
        <v>#NUM!</v>
      </c>
      <c r="AE342" s="523" t="str">
        <f>IF(AND($R342&gt;0,données_step[[#This Row],[E_NH4]]&gt;0),données_step[[#This Row],[E_NH4]],"")</f>
        <v/>
      </c>
      <c r="AF342" s="523" t="str">
        <f>IF(AE342="","",(1-données_step[[#This Row],[E_NH4]]/$AH$7)*100)</f>
        <v/>
      </c>
      <c r="AG342" s="523" t="str">
        <f t="shared" si="86"/>
        <v/>
      </c>
      <c r="AH342" s="523" t="str">
        <f t="shared" si="87"/>
        <v/>
      </c>
      <c r="AI342" s="523" t="str">
        <f t="shared" si="88"/>
        <v/>
      </c>
      <c r="AJ342" s="523" t="e">
        <f>IF(((100-100/$AH$7*données_step[[#This Row],[E_NH4]])/100*QTS)&lt;0,NA(),IF(OR(AG342&lt;0,AG342=""),NA(),((100-100/$AH$7*données_step[[#This Row],[E_NH4]])/100*QTS)))</f>
        <v>#NUM!</v>
      </c>
      <c r="AK342" s="523" t="str">
        <f>IF(AND($R342&gt;0,données_step[[#This Row],[E_PTOT]]&gt;0),données_step[[#This Row],[E_PTOT]],"")</f>
        <v/>
      </c>
      <c r="AL342" s="523" t="str">
        <f>IF(AK342="","",(1-données_step[[#This Row],[E_PTOT]]/$AN$7)*100)</f>
        <v/>
      </c>
      <c r="AM342" s="523" t="str">
        <f t="shared" si="89"/>
        <v/>
      </c>
      <c r="AN342" s="523" t="str">
        <f t="shared" si="90"/>
        <v/>
      </c>
      <c r="AO342" s="523" t="str">
        <f t="shared" si="91"/>
        <v/>
      </c>
      <c r="AP342" s="523" t="e">
        <f>IF(((100-100/$AN$7*données_step[[#This Row],[E_PTOT]])/100*QTS)&lt;0,NA(),IF(OR(AM342&lt;0,AM342=""),NA(),((100-100/$AN$7*données_step[[#This Row],[E_PTOT]])/100*QTS)))</f>
        <v>#NUM!</v>
      </c>
      <c r="AQ342" s="524" t="e">
        <f t="shared" si="92"/>
        <v>#NUM!</v>
      </c>
      <c r="AR342" s="524" t="str">
        <f t="shared" si="93"/>
        <v/>
      </c>
      <c r="AY342" s="523" t="str">
        <f>_xlfn.IFNA(IF(données_step[[#This Row],[E_DCO]]&lt;=0,NA(),charge_entree[[#This Row],[ch_E_DCO]]/constanten!$B$8*1000),"")</f>
        <v/>
      </c>
      <c r="AZ342" s="523" t="str">
        <f>_xlfn.IFNA(IF(données_step[[#This Row],[E_NTOT]]&lt;=0,NA(),charge_entree[[#This Row],[ch_E_NTOT]]/constanten!$B$10*1000),"")</f>
        <v/>
      </c>
      <c r="BA342" s="523" t="str">
        <f>_xlfn.IFNA(IF(données_step[[#This Row],[E_NH4]]&lt;=0,NA(),charge_entree[[#This Row],[ch_E_NH4]]/constanten!$B$12*1000),"")</f>
        <v/>
      </c>
      <c r="BB342" s="523" t="str">
        <f>_xlfn.IFNA(IF(données_step[[#This Row],[E_COT]]&lt;=0,NA(),charge_entree[[#This Row],[ch_E_COT]]/constanten!$B$9*1000),"")</f>
        <v/>
      </c>
      <c r="BC342" s="523" t="str">
        <f>IFERROR(_xlfn.IFNA(IF(données_step[[#This Row],[E_PTOT]]&lt;=0,NA(),charge_entree[[#This Row],[ch_E_PTOT]]/constanten!$B$15*1000),""),"")</f>
        <v/>
      </c>
      <c r="BD342" s="535" t="e">
        <f>calculs!E342 * (1-0.4) / (données_step[[#This Row],[X_BA_VOL]]*données_step[[#This Row],[X_BACONC]])</f>
        <v>#VALUE!</v>
      </c>
      <c r="BE342" s="522" t="e">
        <f>(données_step[[#This Row],[X_BA_VOL]]*données_step[[#This Row],[X_BACONC]])/((données_step[[#This Row],[D_QTRAI2]]*données_step[[#This Row],[S_MES]]/1000)+(données_step[[#This Row],[X_BX_Q]]*données_step[[#This Row],[X_BXCONC]]))</f>
        <v>#VALUE!</v>
      </c>
      <c r="BF342" s="890" t="str">
        <f>IFERROR(données_step[[#This Row],[D_QTRAI]]/AY342*1000,"")</f>
        <v/>
      </c>
      <c r="BG342" s="535" t="str">
        <f>IFERROR(1-données_step[[#This Row],[S_DBO5]]/données_step[[#This Row],[E_DBO5]],"")</f>
        <v/>
      </c>
      <c r="BH342" s="536" t="str">
        <f>IFERROR(1-données_step[[#This Row],[S_DCO]]/données_step[[#This Row],[E_DCO]],"")</f>
        <v/>
      </c>
      <c r="BI342" s="535" t="str">
        <f>IFERROR(1-données_step[[#This Row],[S_COD]]/données_step[[#This Row],[E_COT]],"")</f>
        <v/>
      </c>
      <c r="BJ342" s="535" t="str">
        <f>IFERROR(1-données_step[[#This Row],[S_NH4]]/données_step[[#This Row],[E_NTOT]],"")</f>
        <v/>
      </c>
      <c r="BK342" s="535" t="str">
        <f>IFERROR(1-données_step[[#This Row],[S_PTOT]]/données_step[[#This Row],[E_PTOT]],"")</f>
        <v/>
      </c>
      <c r="BL342" s="521" t="str">
        <f>IFERROR(IF(données_step[[#This Row],[E_DCO]]/données_step[[#This Row],[E_DBO5]]=0,NA(),données_step[[#This Row],[E_DCO]]/données_step[[#This Row],[E_DBO5]]),"")</f>
        <v/>
      </c>
      <c r="BM342" s="521" t="str">
        <f>IFERROR(IF(données_step[[#This Row],[E_NH4]]/données_step[[#This Row],[E_NTOT]]=0,NA(),données_step[[#This Row],[E_NH4]]/données_step[[#This Row],[E_NTOT]]),"")</f>
        <v/>
      </c>
      <c r="BN342" s="521" t="str">
        <f>IFERROR(IF(données_step[[#This Row],[E_NTOT]]/données_step[[#This Row],[E_COT]]=0,NA(),données_step[[#This Row],[E_NTOT]]/données_step[[#This Row],[E_COT]]),"")</f>
        <v/>
      </c>
      <c r="BO342" s="521" t="str">
        <f>IFERROR(IF(données_step[[#This Row],[E_PTOT]]/données_step[[#This Row],[E_COT]]=0,NA(),données_step[[#This Row],[E_PTOT]]/données_step[[#This Row],[E_COT]]),"")</f>
        <v/>
      </c>
      <c r="BP342" s="521" t="e">
        <f>IF(données_step[[#This Row],[E_DCO]]/données_step[[#This Row],[E_COT]]=0,NA(),données_step[[#This Row],[E_DCO]]/données_step[[#This Row],[E_COT]])</f>
        <v>#DIV/0!</v>
      </c>
      <c r="BQ342" s="521" t="e">
        <f>IF(données_step[[#This Row],[E_NTOT]]/données_step[[#This Row],[E_DCO]]=0,NA(),données_step[[#This Row],[E_NTOT]]/données_step[[#This Row],[E_DCO]])</f>
        <v>#DIV/0!</v>
      </c>
      <c r="BR342" s="521" t="e">
        <f>IF(données_step[[#This Row],[E_PTOT]]/données_step[[#This Row],[E_DCO]]=0,NA(),données_step[[#This Row],[E_PTOT]]/données_step[[#This Row],[E_DCO]])</f>
        <v>#DIV/0!</v>
      </c>
      <c r="BS342" s="747" t="e">
        <f ca="1">test_NH4_temp(données_step[[#This Row],[S_NH4]],données_step[[#This Row],[Temp_eaux]])</f>
        <v>#NAME?</v>
      </c>
    </row>
    <row r="343" spans="1:71" x14ac:dyDescent="0.2">
      <c r="A343" s="222">
        <f>données_step[[#This Row],[Datum]]</f>
        <v>44894</v>
      </c>
      <c r="B343" s="223"/>
      <c r="C343" s="224">
        <f t="shared" si="79"/>
        <v>3</v>
      </c>
      <c r="D343" s="523" t="str">
        <f>IF(OR(données_step[[#This Row],[E_DBO5]]&lt;=0,données_step[[#This Row],[E_DBO5]]=""),"",données_step[[#This Row],[D_QTRAI]]*données_step[[#This Row],[E_DBO5]]/1000)</f>
        <v/>
      </c>
      <c r="E343" s="523" t="str">
        <f>IF(OR(données_step[[#This Row],[E_DCO]]&lt;=0,données_step[[#This Row],[E_DCO]]=""),"",données_step[[#This Row],[D_QTRAI]]*données_step[[#This Row],[E_DCO]]/1000)</f>
        <v/>
      </c>
      <c r="F343" s="523" t="str">
        <f>IF(OR(données_step[[#This Row],[E_COT]]&lt;=0,données_step[[#This Row],[E_COT]]=""),"",données_step[[#This Row],[D_QTRAI]]*données_step[[#This Row],[E_COT]]/1000)</f>
        <v/>
      </c>
      <c r="G343" s="523" t="str">
        <f>IF(OR(données_step[[#This Row],[E_NH4]]&lt;=0,données_step[[#This Row],[E_NH4]]=""),"",données_step[[#This Row],[D_QTRAI]]*données_step[[#This Row],[E_NH4]]/1000)</f>
        <v/>
      </c>
      <c r="H343" s="523" t="str">
        <f>IF(OR(données_step[[#This Row],[E_NTOT]]&lt;=0,données_step[[#This Row],[E_NTOT]]=""),"",données_step[[#This Row],[D_QTRAI]]*données_step[[#This Row],[E_NTOT]]/1000)</f>
        <v/>
      </c>
      <c r="I343" s="523" t="str">
        <f>IF(OR(données_step[[#This Row],[E_NTOT]]&lt;=0,données_step[[#This Row],[E_NTOT]]=""),"",données_step[[#This Row],[D_QTRAI]]*données_step[[#This Row],[E_PTOT]]/1000)</f>
        <v/>
      </c>
      <c r="J343" s="523" t="str">
        <f>IF(OR(données_step[[#This Row],[S_DBO5]]&lt;=0,données_step[[#This Row],[S_DBO5]]=""),"",données_step[[#This Row],[D_QTRAI]]*données_step[[#This Row],[S_DBO5]]/1000)</f>
        <v/>
      </c>
      <c r="K343" s="523" t="str">
        <f>IF(OR(données_step[[#This Row],[S_DCO]]&lt;=0,données_step[[#This Row],[S_DCO]]=""),"",données_step[[#This Row],[D_QTRAI]]*données_step[[#This Row],[S_DCO]]/1000)</f>
        <v/>
      </c>
      <c r="L343" s="523" t="str">
        <f>IF(OR(données_step[[#This Row],[S_COD]]&lt;=0,données_step[[#This Row],[S_COD]]=""),"",données_step[[#This Row],[D_QTRAI]]*données_step[[#This Row],[S_COD]]/1000)</f>
        <v/>
      </c>
      <c r="M343" s="523" t="str">
        <f>IF(OR(données_step[[#This Row],[S_NH4]]&lt;=0,données_step[[#This Row],[S_NH4]]=""),"",données_step[[#This Row],[D_QTRAI]]*données_step[[#This Row],[S_NH4]]/1000)</f>
        <v/>
      </c>
      <c r="N343" s="523" t="str">
        <f>IF(OR(données_step[[#This Row],[S_NO2]]&lt;=0,données_step[[#This Row],[S_NO2]]=""),"",données_step[[#This Row],[D_QTRAI]]*données_step[[#This Row],[S_NO2]]/1000)</f>
        <v/>
      </c>
      <c r="O343" s="523" t="str">
        <f>IF(OR(données_step[[#This Row],[S_NO3]]&lt;=0,données_step[[#This Row],[S_NO3]]=""),"",données_step[[#This Row],[D_QTRAI]]*données_step[[#This Row],[S_NO3]]/1000)</f>
        <v/>
      </c>
      <c r="P343" s="523" t="str">
        <f>IF(OR(données_step[[#This Row],[S_PTOT]]&lt;=0,données_step[[#This Row],[S_PTOT]]=""),"",données_step[[#This Row],[D_QTRAI]]*données_step[[#This Row],[S_PTOT]]/1000)</f>
        <v/>
      </c>
      <c r="Q343" s="523" t="str">
        <f>IF(OR(données_step[[#This Row],[S_MES]]&lt;=0,données_step[[#This Row],[S_MES]]=""),"",données_step[[#This Row],[D_QTRAI]]*données_step[[#This Row],[S_MES]]/1000)</f>
        <v/>
      </c>
      <c r="R343" s="523">
        <f>MAX(données_step[[#This Row],[D_QTRAI]],données_step[[#This Row],[D_QTRAI2]])</f>
        <v>0</v>
      </c>
      <c r="S343" s="523" t="str">
        <f>IF(AND($R343&gt;0,données_step[[#This Row],[E_DCO]]&gt;0),données_step[[#This Row],[E_DCO]],"")</f>
        <v/>
      </c>
      <c r="T343" s="523" t="str">
        <f>IF(S343="","",(1-données_step[[#This Row],[E_DCO]]/$V$7)*100)</f>
        <v/>
      </c>
      <c r="U343" s="523" t="str">
        <f t="shared" si="80"/>
        <v/>
      </c>
      <c r="V343" s="523" t="str">
        <f t="shared" si="81"/>
        <v/>
      </c>
      <c r="W343" s="523" t="str">
        <f t="shared" si="82"/>
        <v/>
      </c>
      <c r="X343" s="523" t="e">
        <f>IF(((100-100/$V$7*données_step[[#This Row],[E_DCO]])/100*QTS)&lt;0,NA(),IF(OR(U343&lt;0,U343=""),NA(),((100-100/$V$7*données_step[[#This Row],[E_DCO]])/100*QTS)))</f>
        <v>#NUM!</v>
      </c>
      <c r="Y343" s="523" t="str">
        <f>IF(AND($R343&gt;0,données_step[[#This Row],[E_COT]]&gt;0),données_step[[#This Row],[E_COT]],"")</f>
        <v/>
      </c>
      <c r="Z343" s="523" t="str">
        <f>IF(Y343="","",(1-données_step[[#This Row],[E_COT]]/$AB$7)*100)</f>
        <v/>
      </c>
      <c r="AA343" s="523" t="str">
        <f t="shared" si="83"/>
        <v/>
      </c>
      <c r="AB343" s="523" t="str">
        <f t="shared" si="84"/>
        <v/>
      </c>
      <c r="AC343" s="523" t="str">
        <f t="shared" si="85"/>
        <v/>
      </c>
      <c r="AD343" s="523" t="e">
        <f>IF(((100-100/$AB$7*données_step[[#This Row],[E_COT]])/100*QTS)&lt;0,NA(),IF(OR(AA343&lt;0,AA343=""),NA(),((100-100/$AB$7*données_step[[#This Row],[E_COT]])/100*QTS)))</f>
        <v>#NUM!</v>
      </c>
      <c r="AE343" s="523" t="str">
        <f>IF(AND($R343&gt;0,données_step[[#This Row],[E_NH4]]&gt;0),données_step[[#This Row],[E_NH4]],"")</f>
        <v/>
      </c>
      <c r="AF343" s="523" t="str">
        <f>IF(AE343="","",(1-données_step[[#This Row],[E_NH4]]/$AH$7)*100)</f>
        <v/>
      </c>
      <c r="AG343" s="523" t="str">
        <f t="shared" si="86"/>
        <v/>
      </c>
      <c r="AH343" s="523" t="str">
        <f t="shared" si="87"/>
        <v/>
      </c>
      <c r="AI343" s="523" t="str">
        <f t="shared" si="88"/>
        <v/>
      </c>
      <c r="AJ343" s="523" t="e">
        <f>IF(((100-100/$AH$7*données_step[[#This Row],[E_NH4]])/100*QTS)&lt;0,NA(),IF(OR(AG343&lt;0,AG343=""),NA(),((100-100/$AH$7*données_step[[#This Row],[E_NH4]])/100*QTS)))</f>
        <v>#NUM!</v>
      </c>
      <c r="AK343" s="523" t="str">
        <f>IF(AND($R343&gt;0,données_step[[#This Row],[E_PTOT]]&gt;0),données_step[[#This Row],[E_PTOT]],"")</f>
        <v/>
      </c>
      <c r="AL343" s="523" t="str">
        <f>IF(AK343="","",(1-données_step[[#This Row],[E_PTOT]]/$AN$7)*100)</f>
        <v/>
      </c>
      <c r="AM343" s="523" t="str">
        <f t="shared" si="89"/>
        <v/>
      </c>
      <c r="AN343" s="523" t="str">
        <f t="shared" si="90"/>
        <v/>
      </c>
      <c r="AO343" s="523" t="str">
        <f t="shared" si="91"/>
        <v/>
      </c>
      <c r="AP343" s="523" t="e">
        <f>IF(((100-100/$AN$7*données_step[[#This Row],[E_PTOT]])/100*QTS)&lt;0,NA(),IF(OR(AM343&lt;0,AM343=""),NA(),((100-100/$AN$7*données_step[[#This Row],[E_PTOT]])/100*QTS)))</f>
        <v>#NUM!</v>
      </c>
      <c r="AQ343" s="524" t="e">
        <f t="shared" si="92"/>
        <v>#NUM!</v>
      </c>
      <c r="AR343" s="524" t="str">
        <f t="shared" si="93"/>
        <v/>
      </c>
      <c r="AY343" s="523" t="str">
        <f>_xlfn.IFNA(IF(données_step[[#This Row],[E_DCO]]&lt;=0,NA(),charge_entree[[#This Row],[ch_E_DCO]]/constanten!$B$8*1000),"")</f>
        <v/>
      </c>
      <c r="AZ343" s="523" t="str">
        <f>_xlfn.IFNA(IF(données_step[[#This Row],[E_NTOT]]&lt;=0,NA(),charge_entree[[#This Row],[ch_E_NTOT]]/constanten!$B$10*1000),"")</f>
        <v/>
      </c>
      <c r="BA343" s="523" t="str">
        <f>_xlfn.IFNA(IF(données_step[[#This Row],[E_NH4]]&lt;=0,NA(),charge_entree[[#This Row],[ch_E_NH4]]/constanten!$B$12*1000),"")</f>
        <v/>
      </c>
      <c r="BB343" s="523" t="str">
        <f>_xlfn.IFNA(IF(données_step[[#This Row],[E_COT]]&lt;=0,NA(),charge_entree[[#This Row],[ch_E_COT]]/constanten!$B$9*1000),"")</f>
        <v/>
      </c>
      <c r="BC343" s="523" t="str">
        <f>IFERROR(_xlfn.IFNA(IF(données_step[[#This Row],[E_PTOT]]&lt;=0,NA(),charge_entree[[#This Row],[ch_E_PTOT]]/constanten!$B$15*1000),""),"")</f>
        <v/>
      </c>
      <c r="BD343" s="535" t="e">
        <f>calculs!E343 * (1-0.4) / (données_step[[#This Row],[X_BA_VOL]]*données_step[[#This Row],[X_BACONC]])</f>
        <v>#VALUE!</v>
      </c>
      <c r="BE343" s="522" t="e">
        <f>(données_step[[#This Row],[X_BA_VOL]]*données_step[[#This Row],[X_BACONC]])/((données_step[[#This Row],[D_QTRAI2]]*données_step[[#This Row],[S_MES]]/1000)+(données_step[[#This Row],[X_BX_Q]]*données_step[[#This Row],[X_BXCONC]]))</f>
        <v>#VALUE!</v>
      </c>
      <c r="BF343" s="890" t="str">
        <f>IFERROR(données_step[[#This Row],[D_QTRAI]]/AY343*1000,"")</f>
        <v/>
      </c>
      <c r="BG343" s="535" t="str">
        <f>IFERROR(1-données_step[[#This Row],[S_DBO5]]/données_step[[#This Row],[E_DBO5]],"")</f>
        <v/>
      </c>
      <c r="BH343" s="536" t="str">
        <f>IFERROR(1-données_step[[#This Row],[S_DCO]]/données_step[[#This Row],[E_DCO]],"")</f>
        <v/>
      </c>
      <c r="BI343" s="535" t="str">
        <f>IFERROR(1-données_step[[#This Row],[S_COD]]/données_step[[#This Row],[E_COT]],"")</f>
        <v/>
      </c>
      <c r="BJ343" s="535" t="str">
        <f>IFERROR(1-données_step[[#This Row],[S_NH4]]/données_step[[#This Row],[E_NTOT]],"")</f>
        <v/>
      </c>
      <c r="BK343" s="535" t="str">
        <f>IFERROR(1-données_step[[#This Row],[S_PTOT]]/données_step[[#This Row],[E_PTOT]],"")</f>
        <v/>
      </c>
      <c r="BL343" s="521" t="str">
        <f>IFERROR(IF(données_step[[#This Row],[E_DCO]]/données_step[[#This Row],[E_DBO5]]=0,NA(),données_step[[#This Row],[E_DCO]]/données_step[[#This Row],[E_DBO5]]),"")</f>
        <v/>
      </c>
      <c r="BM343" s="521" t="str">
        <f>IFERROR(IF(données_step[[#This Row],[E_NH4]]/données_step[[#This Row],[E_NTOT]]=0,NA(),données_step[[#This Row],[E_NH4]]/données_step[[#This Row],[E_NTOT]]),"")</f>
        <v/>
      </c>
      <c r="BN343" s="521" t="str">
        <f>IFERROR(IF(données_step[[#This Row],[E_NTOT]]/données_step[[#This Row],[E_COT]]=0,NA(),données_step[[#This Row],[E_NTOT]]/données_step[[#This Row],[E_COT]]),"")</f>
        <v/>
      </c>
      <c r="BO343" s="521" t="str">
        <f>IFERROR(IF(données_step[[#This Row],[E_PTOT]]/données_step[[#This Row],[E_COT]]=0,NA(),données_step[[#This Row],[E_PTOT]]/données_step[[#This Row],[E_COT]]),"")</f>
        <v/>
      </c>
      <c r="BP343" s="521" t="e">
        <f>IF(données_step[[#This Row],[E_DCO]]/données_step[[#This Row],[E_COT]]=0,NA(),données_step[[#This Row],[E_DCO]]/données_step[[#This Row],[E_COT]])</f>
        <v>#DIV/0!</v>
      </c>
      <c r="BQ343" s="521" t="e">
        <f>IF(données_step[[#This Row],[E_NTOT]]/données_step[[#This Row],[E_DCO]]=0,NA(),données_step[[#This Row],[E_NTOT]]/données_step[[#This Row],[E_DCO]])</f>
        <v>#DIV/0!</v>
      </c>
      <c r="BR343" s="521" t="e">
        <f>IF(données_step[[#This Row],[E_PTOT]]/données_step[[#This Row],[E_DCO]]=0,NA(),données_step[[#This Row],[E_PTOT]]/données_step[[#This Row],[E_DCO]])</f>
        <v>#DIV/0!</v>
      </c>
      <c r="BS343" s="747" t="e">
        <f ca="1">test_NH4_temp(données_step[[#This Row],[S_NH4]],données_step[[#This Row],[Temp_eaux]])</f>
        <v>#NAME?</v>
      </c>
    </row>
    <row r="344" spans="1:71" x14ac:dyDescent="0.2">
      <c r="A344" s="222">
        <f>données_step[[#This Row],[Datum]]</f>
        <v>44895</v>
      </c>
      <c r="B344" s="223"/>
      <c r="C344" s="224">
        <f t="shared" si="79"/>
        <v>4</v>
      </c>
      <c r="D344" s="523" t="str">
        <f>IF(OR(données_step[[#This Row],[E_DBO5]]&lt;=0,données_step[[#This Row],[E_DBO5]]=""),"",données_step[[#This Row],[D_QTRAI]]*données_step[[#This Row],[E_DBO5]]/1000)</f>
        <v/>
      </c>
      <c r="E344" s="523" t="str">
        <f>IF(OR(données_step[[#This Row],[E_DCO]]&lt;=0,données_step[[#This Row],[E_DCO]]=""),"",données_step[[#This Row],[D_QTRAI]]*données_step[[#This Row],[E_DCO]]/1000)</f>
        <v/>
      </c>
      <c r="F344" s="523" t="str">
        <f>IF(OR(données_step[[#This Row],[E_COT]]&lt;=0,données_step[[#This Row],[E_COT]]=""),"",données_step[[#This Row],[D_QTRAI]]*données_step[[#This Row],[E_COT]]/1000)</f>
        <v/>
      </c>
      <c r="G344" s="523" t="str">
        <f>IF(OR(données_step[[#This Row],[E_NH4]]&lt;=0,données_step[[#This Row],[E_NH4]]=""),"",données_step[[#This Row],[D_QTRAI]]*données_step[[#This Row],[E_NH4]]/1000)</f>
        <v/>
      </c>
      <c r="H344" s="523" t="str">
        <f>IF(OR(données_step[[#This Row],[E_NTOT]]&lt;=0,données_step[[#This Row],[E_NTOT]]=""),"",données_step[[#This Row],[D_QTRAI]]*données_step[[#This Row],[E_NTOT]]/1000)</f>
        <v/>
      </c>
      <c r="I344" s="523" t="str">
        <f>IF(OR(données_step[[#This Row],[E_NTOT]]&lt;=0,données_step[[#This Row],[E_NTOT]]=""),"",données_step[[#This Row],[D_QTRAI]]*données_step[[#This Row],[E_PTOT]]/1000)</f>
        <v/>
      </c>
      <c r="J344" s="523" t="str">
        <f>IF(OR(données_step[[#This Row],[S_DBO5]]&lt;=0,données_step[[#This Row],[S_DBO5]]=""),"",données_step[[#This Row],[D_QTRAI]]*données_step[[#This Row],[S_DBO5]]/1000)</f>
        <v/>
      </c>
      <c r="K344" s="523" t="str">
        <f>IF(OR(données_step[[#This Row],[S_DCO]]&lt;=0,données_step[[#This Row],[S_DCO]]=""),"",données_step[[#This Row],[D_QTRAI]]*données_step[[#This Row],[S_DCO]]/1000)</f>
        <v/>
      </c>
      <c r="L344" s="523" t="str">
        <f>IF(OR(données_step[[#This Row],[S_COD]]&lt;=0,données_step[[#This Row],[S_COD]]=""),"",données_step[[#This Row],[D_QTRAI]]*données_step[[#This Row],[S_COD]]/1000)</f>
        <v/>
      </c>
      <c r="M344" s="523" t="str">
        <f>IF(OR(données_step[[#This Row],[S_NH4]]&lt;=0,données_step[[#This Row],[S_NH4]]=""),"",données_step[[#This Row],[D_QTRAI]]*données_step[[#This Row],[S_NH4]]/1000)</f>
        <v/>
      </c>
      <c r="N344" s="523" t="str">
        <f>IF(OR(données_step[[#This Row],[S_NO2]]&lt;=0,données_step[[#This Row],[S_NO2]]=""),"",données_step[[#This Row],[D_QTRAI]]*données_step[[#This Row],[S_NO2]]/1000)</f>
        <v/>
      </c>
      <c r="O344" s="523" t="str">
        <f>IF(OR(données_step[[#This Row],[S_NO3]]&lt;=0,données_step[[#This Row],[S_NO3]]=""),"",données_step[[#This Row],[D_QTRAI]]*données_step[[#This Row],[S_NO3]]/1000)</f>
        <v/>
      </c>
      <c r="P344" s="523" t="str">
        <f>IF(OR(données_step[[#This Row],[S_PTOT]]&lt;=0,données_step[[#This Row],[S_PTOT]]=""),"",données_step[[#This Row],[D_QTRAI]]*données_step[[#This Row],[S_PTOT]]/1000)</f>
        <v/>
      </c>
      <c r="Q344" s="523" t="str">
        <f>IF(OR(données_step[[#This Row],[S_MES]]&lt;=0,données_step[[#This Row],[S_MES]]=""),"",données_step[[#This Row],[D_QTRAI]]*données_step[[#This Row],[S_MES]]/1000)</f>
        <v/>
      </c>
      <c r="R344" s="523">
        <f>MAX(données_step[[#This Row],[D_QTRAI]],données_step[[#This Row],[D_QTRAI2]])</f>
        <v>0</v>
      </c>
      <c r="S344" s="523" t="str">
        <f>IF(AND($R344&gt;0,données_step[[#This Row],[E_DCO]]&gt;0),données_step[[#This Row],[E_DCO]],"")</f>
        <v/>
      </c>
      <c r="T344" s="523" t="str">
        <f>IF(S344="","",(1-données_step[[#This Row],[E_DCO]]/$V$7)*100)</f>
        <v/>
      </c>
      <c r="U344" s="523" t="str">
        <f t="shared" si="80"/>
        <v/>
      </c>
      <c r="V344" s="523" t="str">
        <f t="shared" si="81"/>
        <v/>
      </c>
      <c r="W344" s="523" t="str">
        <f t="shared" si="82"/>
        <v/>
      </c>
      <c r="X344" s="523" t="e">
        <f>IF(((100-100/$V$7*données_step[[#This Row],[E_DCO]])/100*QTS)&lt;0,NA(),IF(OR(U344&lt;0,U344=""),NA(),((100-100/$V$7*données_step[[#This Row],[E_DCO]])/100*QTS)))</f>
        <v>#NUM!</v>
      </c>
      <c r="Y344" s="523" t="str">
        <f>IF(AND($R344&gt;0,données_step[[#This Row],[E_COT]]&gt;0),données_step[[#This Row],[E_COT]],"")</f>
        <v/>
      </c>
      <c r="Z344" s="523" t="str">
        <f>IF(Y344="","",(1-données_step[[#This Row],[E_COT]]/$AB$7)*100)</f>
        <v/>
      </c>
      <c r="AA344" s="523" t="str">
        <f t="shared" si="83"/>
        <v/>
      </c>
      <c r="AB344" s="523" t="str">
        <f t="shared" si="84"/>
        <v/>
      </c>
      <c r="AC344" s="523" t="str">
        <f t="shared" si="85"/>
        <v/>
      </c>
      <c r="AD344" s="523" t="e">
        <f>IF(((100-100/$AB$7*données_step[[#This Row],[E_COT]])/100*QTS)&lt;0,NA(),IF(OR(AA344&lt;0,AA344=""),NA(),((100-100/$AB$7*données_step[[#This Row],[E_COT]])/100*QTS)))</f>
        <v>#NUM!</v>
      </c>
      <c r="AE344" s="523" t="str">
        <f>IF(AND($R344&gt;0,données_step[[#This Row],[E_NH4]]&gt;0),données_step[[#This Row],[E_NH4]],"")</f>
        <v/>
      </c>
      <c r="AF344" s="523" t="str">
        <f>IF(AE344="","",(1-données_step[[#This Row],[E_NH4]]/$AH$7)*100)</f>
        <v/>
      </c>
      <c r="AG344" s="523" t="str">
        <f t="shared" si="86"/>
        <v/>
      </c>
      <c r="AH344" s="523" t="str">
        <f t="shared" si="87"/>
        <v/>
      </c>
      <c r="AI344" s="523" t="str">
        <f t="shared" si="88"/>
        <v/>
      </c>
      <c r="AJ344" s="523" t="e">
        <f>IF(((100-100/$AH$7*données_step[[#This Row],[E_NH4]])/100*QTS)&lt;0,NA(),IF(OR(AG344&lt;0,AG344=""),NA(),((100-100/$AH$7*données_step[[#This Row],[E_NH4]])/100*QTS)))</f>
        <v>#NUM!</v>
      </c>
      <c r="AK344" s="523" t="str">
        <f>IF(AND($R344&gt;0,données_step[[#This Row],[E_PTOT]]&gt;0),données_step[[#This Row],[E_PTOT]],"")</f>
        <v/>
      </c>
      <c r="AL344" s="523" t="str">
        <f>IF(AK344="","",(1-données_step[[#This Row],[E_PTOT]]/$AN$7)*100)</f>
        <v/>
      </c>
      <c r="AM344" s="523" t="str">
        <f t="shared" si="89"/>
        <v/>
      </c>
      <c r="AN344" s="523" t="str">
        <f t="shared" si="90"/>
        <v/>
      </c>
      <c r="AO344" s="523" t="str">
        <f t="shared" si="91"/>
        <v/>
      </c>
      <c r="AP344" s="523" t="e">
        <f>IF(((100-100/$AN$7*données_step[[#This Row],[E_PTOT]])/100*QTS)&lt;0,NA(),IF(OR(AM344&lt;0,AM344=""),NA(),((100-100/$AN$7*données_step[[#This Row],[E_PTOT]])/100*QTS)))</f>
        <v>#NUM!</v>
      </c>
      <c r="AQ344" s="524" t="e">
        <f t="shared" si="92"/>
        <v>#NUM!</v>
      </c>
      <c r="AR344" s="524" t="str">
        <f t="shared" si="93"/>
        <v/>
      </c>
      <c r="AY344" s="523" t="str">
        <f>_xlfn.IFNA(IF(données_step[[#This Row],[E_DCO]]&lt;=0,NA(),charge_entree[[#This Row],[ch_E_DCO]]/constanten!$B$8*1000),"")</f>
        <v/>
      </c>
      <c r="AZ344" s="523" t="str">
        <f>_xlfn.IFNA(IF(données_step[[#This Row],[E_NTOT]]&lt;=0,NA(),charge_entree[[#This Row],[ch_E_NTOT]]/constanten!$B$10*1000),"")</f>
        <v/>
      </c>
      <c r="BA344" s="523" t="str">
        <f>_xlfn.IFNA(IF(données_step[[#This Row],[E_NH4]]&lt;=0,NA(),charge_entree[[#This Row],[ch_E_NH4]]/constanten!$B$12*1000),"")</f>
        <v/>
      </c>
      <c r="BB344" s="523" t="str">
        <f>_xlfn.IFNA(IF(données_step[[#This Row],[E_COT]]&lt;=0,NA(),charge_entree[[#This Row],[ch_E_COT]]/constanten!$B$9*1000),"")</f>
        <v/>
      </c>
      <c r="BC344" s="523" t="str">
        <f>IFERROR(_xlfn.IFNA(IF(données_step[[#This Row],[E_PTOT]]&lt;=0,NA(),charge_entree[[#This Row],[ch_E_PTOT]]/constanten!$B$15*1000),""),"")</f>
        <v/>
      </c>
      <c r="BD344" s="535" t="e">
        <f>calculs!E344 * (1-0.4) / (données_step[[#This Row],[X_BA_VOL]]*données_step[[#This Row],[X_BACONC]])</f>
        <v>#VALUE!</v>
      </c>
      <c r="BE344" s="522" t="e">
        <f>(données_step[[#This Row],[X_BA_VOL]]*données_step[[#This Row],[X_BACONC]])/((données_step[[#This Row],[D_QTRAI2]]*données_step[[#This Row],[S_MES]]/1000)+(données_step[[#This Row],[X_BX_Q]]*données_step[[#This Row],[X_BXCONC]]))</f>
        <v>#VALUE!</v>
      </c>
      <c r="BF344" s="890" t="str">
        <f>IFERROR(données_step[[#This Row],[D_QTRAI]]/AY344*1000,"")</f>
        <v/>
      </c>
      <c r="BG344" s="535" t="str">
        <f>IFERROR(1-données_step[[#This Row],[S_DBO5]]/données_step[[#This Row],[E_DBO5]],"")</f>
        <v/>
      </c>
      <c r="BH344" s="536" t="str">
        <f>IFERROR(1-données_step[[#This Row],[S_DCO]]/données_step[[#This Row],[E_DCO]],"")</f>
        <v/>
      </c>
      <c r="BI344" s="535" t="str">
        <f>IFERROR(1-données_step[[#This Row],[S_COD]]/données_step[[#This Row],[E_COT]],"")</f>
        <v/>
      </c>
      <c r="BJ344" s="535" t="str">
        <f>IFERROR(1-données_step[[#This Row],[S_NH4]]/données_step[[#This Row],[E_NTOT]],"")</f>
        <v/>
      </c>
      <c r="BK344" s="535" t="str">
        <f>IFERROR(1-données_step[[#This Row],[S_PTOT]]/données_step[[#This Row],[E_PTOT]],"")</f>
        <v/>
      </c>
      <c r="BL344" s="521" t="str">
        <f>IFERROR(IF(données_step[[#This Row],[E_DCO]]/données_step[[#This Row],[E_DBO5]]=0,NA(),données_step[[#This Row],[E_DCO]]/données_step[[#This Row],[E_DBO5]]),"")</f>
        <v/>
      </c>
      <c r="BM344" s="521" t="str">
        <f>IFERROR(IF(données_step[[#This Row],[E_NH4]]/données_step[[#This Row],[E_NTOT]]=0,NA(),données_step[[#This Row],[E_NH4]]/données_step[[#This Row],[E_NTOT]]),"")</f>
        <v/>
      </c>
      <c r="BN344" s="521" t="str">
        <f>IFERROR(IF(données_step[[#This Row],[E_NTOT]]/données_step[[#This Row],[E_COT]]=0,NA(),données_step[[#This Row],[E_NTOT]]/données_step[[#This Row],[E_COT]]),"")</f>
        <v/>
      </c>
      <c r="BO344" s="521" t="str">
        <f>IFERROR(IF(données_step[[#This Row],[E_PTOT]]/données_step[[#This Row],[E_COT]]=0,NA(),données_step[[#This Row],[E_PTOT]]/données_step[[#This Row],[E_COT]]),"")</f>
        <v/>
      </c>
      <c r="BP344" s="521" t="e">
        <f>IF(données_step[[#This Row],[E_DCO]]/données_step[[#This Row],[E_COT]]=0,NA(),données_step[[#This Row],[E_DCO]]/données_step[[#This Row],[E_COT]])</f>
        <v>#DIV/0!</v>
      </c>
      <c r="BQ344" s="521" t="e">
        <f>IF(données_step[[#This Row],[E_NTOT]]/données_step[[#This Row],[E_DCO]]=0,NA(),données_step[[#This Row],[E_NTOT]]/données_step[[#This Row],[E_DCO]])</f>
        <v>#DIV/0!</v>
      </c>
      <c r="BR344" s="521" t="e">
        <f>IF(données_step[[#This Row],[E_PTOT]]/données_step[[#This Row],[E_DCO]]=0,NA(),données_step[[#This Row],[E_PTOT]]/données_step[[#This Row],[E_DCO]])</f>
        <v>#DIV/0!</v>
      </c>
      <c r="BS344" s="747" t="e">
        <f ca="1">test_NH4_temp(données_step[[#This Row],[S_NH4]],données_step[[#This Row],[Temp_eaux]])</f>
        <v>#NAME?</v>
      </c>
    </row>
    <row r="345" spans="1:71" x14ac:dyDescent="0.2">
      <c r="A345" s="222">
        <f>données_step[[#This Row],[Datum]]</f>
        <v>44896</v>
      </c>
      <c r="B345" s="223"/>
      <c r="C345" s="224">
        <f t="shared" si="79"/>
        <v>5</v>
      </c>
      <c r="D345" s="523" t="str">
        <f>IF(OR(données_step[[#This Row],[E_DBO5]]&lt;=0,données_step[[#This Row],[E_DBO5]]=""),"",données_step[[#This Row],[D_QTRAI]]*données_step[[#This Row],[E_DBO5]]/1000)</f>
        <v/>
      </c>
      <c r="E345" s="523" t="str">
        <f>IF(OR(données_step[[#This Row],[E_DCO]]&lt;=0,données_step[[#This Row],[E_DCO]]=""),"",données_step[[#This Row],[D_QTRAI]]*données_step[[#This Row],[E_DCO]]/1000)</f>
        <v/>
      </c>
      <c r="F345" s="523" t="str">
        <f>IF(OR(données_step[[#This Row],[E_COT]]&lt;=0,données_step[[#This Row],[E_COT]]=""),"",données_step[[#This Row],[D_QTRAI]]*données_step[[#This Row],[E_COT]]/1000)</f>
        <v/>
      </c>
      <c r="G345" s="523" t="str">
        <f>IF(OR(données_step[[#This Row],[E_NH4]]&lt;=0,données_step[[#This Row],[E_NH4]]=""),"",données_step[[#This Row],[D_QTRAI]]*données_step[[#This Row],[E_NH4]]/1000)</f>
        <v/>
      </c>
      <c r="H345" s="523" t="str">
        <f>IF(OR(données_step[[#This Row],[E_NTOT]]&lt;=0,données_step[[#This Row],[E_NTOT]]=""),"",données_step[[#This Row],[D_QTRAI]]*données_step[[#This Row],[E_NTOT]]/1000)</f>
        <v/>
      </c>
      <c r="I345" s="523" t="str">
        <f>IF(OR(données_step[[#This Row],[E_NTOT]]&lt;=0,données_step[[#This Row],[E_NTOT]]=""),"",données_step[[#This Row],[D_QTRAI]]*données_step[[#This Row],[E_PTOT]]/1000)</f>
        <v/>
      </c>
      <c r="J345" s="523" t="str">
        <f>IF(OR(données_step[[#This Row],[S_DBO5]]&lt;=0,données_step[[#This Row],[S_DBO5]]=""),"",données_step[[#This Row],[D_QTRAI]]*données_step[[#This Row],[S_DBO5]]/1000)</f>
        <v/>
      </c>
      <c r="K345" s="523" t="str">
        <f>IF(OR(données_step[[#This Row],[S_DCO]]&lt;=0,données_step[[#This Row],[S_DCO]]=""),"",données_step[[#This Row],[D_QTRAI]]*données_step[[#This Row],[S_DCO]]/1000)</f>
        <v/>
      </c>
      <c r="L345" s="523" t="str">
        <f>IF(OR(données_step[[#This Row],[S_COD]]&lt;=0,données_step[[#This Row],[S_COD]]=""),"",données_step[[#This Row],[D_QTRAI]]*données_step[[#This Row],[S_COD]]/1000)</f>
        <v/>
      </c>
      <c r="M345" s="523" t="str">
        <f>IF(OR(données_step[[#This Row],[S_NH4]]&lt;=0,données_step[[#This Row],[S_NH4]]=""),"",données_step[[#This Row],[D_QTRAI]]*données_step[[#This Row],[S_NH4]]/1000)</f>
        <v/>
      </c>
      <c r="N345" s="523" t="str">
        <f>IF(OR(données_step[[#This Row],[S_NO2]]&lt;=0,données_step[[#This Row],[S_NO2]]=""),"",données_step[[#This Row],[D_QTRAI]]*données_step[[#This Row],[S_NO2]]/1000)</f>
        <v/>
      </c>
      <c r="O345" s="523" t="str">
        <f>IF(OR(données_step[[#This Row],[S_NO3]]&lt;=0,données_step[[#This Row],[S_NO3]]=""),"",données_step[[#This Row],[D_QTRAI]]*données_step[[#This Row],[S_NO3]]/1000)</f>
        <v/>
      </c>
      <c r="P345" s="523" t="str">
        <f>IF(OR(données_step[[#This Row],[S_PTOT]]&lt;=0,données_step[[#This Row],[S_PTOT]]=""),"",données_step[[#This Row],[D_QTRAI]]*données_step[[#This Row],[S_PTOT]]/1000)</f>
        <v/>
      </c>
      <c r="Q345" s="523" t="str">
        <f>IF(OR(données_step[[#This Row],[S_MES]]&lt;=0,données_step[[#This Row],[S_MES]]=""),"",données_step[[#This Row],[D_QTRAI]]*données_step[[#This Row],[S_MES]]/1000)</f>
        <v/>
      </c>
      <c r="R345" s="523">
        <f>MAX(données_step[[#This Row],[D_QTRAI]],données_step[[#This Row],[D_QTRAI2]])</f>
        <v>0</v>
      </c>
      <c r="S345" s="523" t="str">
        <f>IF(AND($R345&gt;0,données_step[[#This Row],[E_DCO]]&gt;0),données_step[[#This Row],[E_DCO]],"")</f>
        <v/>
      </c>
      <c r="T345" s="523" t="str">
        <f>IF(S345="","",(1-données_step[[#This Row],[E_DCO]]/$V$7)*100)</f>
        <v/>
      </c>
      <c r="U345" s="523" t="str">
        <f t="shared" si="80"/>
        <v/>
      </c>
      <c r="V345" s="523" t="str">
        <f t="shared" si="81"/>
        <v/>
      </c>
      <c r="W345" s="523" t="str">
        <f t="shared" si="82"/>
        <v/>
      </c>
      <c r="X345" s="523" t="e">
        <f>IF(((100-100/$V$7*données_step[[#This Row],[E_DCO]])/100*QTS)&lt;0,NA(),IF(OR(U345&lt;0,U345=""),NA(),((100-100/$V$7*données_step[[#This Row],[E_DCO]])/100*QTS)))</f>
        <v>#NUM!</v>
      </c>
      <c r="Y345" s="523" t="str">
        <f>IF(AND($R345&gt;0,données_step[[#This Row],[E_COT]]&gt;0),données_step[[#This Row],[E_COT]],"")</f>
        <v/>
      </c>
      <c r="Z345" s="523" t="str">
        <f>IF(Y345="","",(1-données_step[[#This Row],[E_COT]]/$AB$7)*100)</f>
        <v/>
      </c>
      <c r="AA345" s="523" t="str">
        <f t="shared" si="83"/>
        <v/>
      </c>
      <c r="AB345" s="523" t="str">
        <f t="shared" si="84"/>
        <v/>
      </c>
      <c r="AC345" s="523" t="str">
        <f t="shared" si="85"/>
        <v/>
      </c>
      <c r="AD345" s="523" t="e">
        <f>IF(((100-100/$AB$7*données_step[[#This Row],[E_COT]])/100*QTS)&lt;0,NA(),IF(OR(AA345&lt;0,AA345=""),NA(),((100-100/$AB$7*données_step[[#This Row],[E_COT]])/100*QTS)))</f>
        <v>#NUM!</v>
      </c>
      <c r="AE345" s="523" t="str">
        <f>IF(AND($R345&gt;0,données_step[[#This Row],[E_NH4]]&gt;0),données_step[[#This Row],[E_NH4]],"")</f>
        <v/>
      </c>
      <c r="AF345" s="523" t="str">
        <f>IF(AE345="","",(1-données_step[[#This Row],[E_NH4]]/$AH$7)*100)</f>
        <v/>
      </c>
      <c r="AG345" s="523" t="str">
        <f t="shared" si="86"/>
        <v/>
      </c>
      <c r="AH345" s="523" t="str">
        <f t="shared" si="87"/>
        <v/>
      </c>
      <c r="AI345" s="523" t="str">
        <f t="shared" si="88"/>
        <v/>
      </c>
      <c r="AJ345" s="523" t="e">
        <f>IF(((100-100/$AH$7*données_step[[#This Row],[E_NH4]])/100*QTS)&lt;0,NA(),IF(OR(AG345&lt;0,AG345=""),NA(),((100-100/$AH$7*données_step[[#This Row],[E_NH4]])/100*QTS)))</f>
        <v>#NUM!</v>
      </c>
      <c r="AK345" s="523" t="str">
        <f>IF(AND($R345&gt;0,données_step[[#This Row],[E_PTOT]]&gt;0),données_step[[#This Row],[E_PTOT]],"")</f>
        <v/>
      </c>
      <c r="AL345" s="523" t="str">
        <f>IF(AK345="","",(1-données_step[[#This Row],[E_PTOT]]/$AN$7)*100)</f>
        <v/>
      </c>
      <c r="AM345" s="523" t="str">
        <f t="shared" si="89"/>
        <v/>
      </c>
      <c r="AN345" s="523" t="str">
        <f t="shared" si="90"/>
        <v/>
      </c>
      <c r="AO345" s="523" t="str">
        <f t="shared" si="91"/>
        <v/>
      </c>
      <c r="AP345" s="523" t="e">
        <f>IF(((100-100/$AN$7*données_step[[#This Row],[E_PTOT]])/100*QTS)&lt;0,NA(),IF(OR(AM345&lt;0,AM345=""),NA(),((100-100/$AN$7*données_step[[#This Row],[E_PTOT]])/100*QTS)))</f>
        <v>#NUM!</v>
      </c>
      <c r="AQ345" s="524" t="e">
        <f t="shared" si="92"/>
        <v>#NUM!</v>
      </c>
      <c r="AR345" s="524" t="str">
        <f t="shared" si="93"/>
        <v/>
      </c>
      <c r="AY345" s="523" t="str">
        <f>_xlfn.IFNA(IF(données_step[[#This Row],[E_DCO]]&lt;=0,NA(),charge_entree[[#This Row],[ch_E_DCO]]/constanten!$B$8*1000),"")</f>
        <v/>
      </c>
      <c r="AZ345" s="523" t="str">
        <f>_xlfn.IFNA(IF(données_step[[#This Row],[E_NTOT]]&lt;=0,NA(),charge_entree[[#This Row],[ch_E_NTOT]]/constanten!$B$10*1000),"")</f>
        <v/>
      </c>
      <c r="BA345" s="523" t="str">
        <f>_xlfn.IFNA(IF(données_step[[#This Row],[E_NH4]]&lt;=0,NA(),charge_entree[[#This Row],[ch_E_NH4]]/constanten!$B$12*1000),"")</f>
        <v/>
      </c>
      <c r="BB345" s="523" t="str">
        <f>_xlfn.IFNA(IF(données_step[[#This Row],[E_COT]]&lt;=0,NA(),charge_entree[[#This Row],[ch_E_COT]]/constanten!$B$9*1000),"")</f>
        <v/>
      </c>
      <c r="BC345" s="523" t="str">
        <f>IFERROR(_xlfn.IFNA(IF(données_step[[#This Row],[E_PTOT]]&lt;=0,NA(),charge_entree[[#This Row],[ch_E_PTOT]]/constanten!$B$15*1000),""),"")</f>
        <v/>
      </c>
      <c r="BD345" s="535" t="e">
        <f>calculs!E345 * (1-0.4) / (données_step[[#This Row],[X_BA_VOL]]*données_step[[#This Row],[X_BACONC]])</f>
        <v>#VALUE!</v>
      </c>
      <c r="BE345" s="522" t="e">
        <f>(données_step[[#This Row],[X_BA_VOL]]*données_step[[#This Row],[X_BACONC]])/((données_step[[#This Row],[D_QTRAI2]]*données_step[[#This Row],[S_MES]]/1000)+(données_step[[#This Row],[X_BX_Q]]*données_step[[#This Row],[X_BXCONC]]))</f>
        <v>#VALUE!</v>
      </c>
      <c r="BF345" s="890" t="str">
        <f>IFERROR(données_step[[#This Row],[D_QTRAI]]/AY345*1000,"")</f>
        <v/>
      </c>
      <c r="BG345" s="535" t="str">
        <f>IFERROR(1-données_step[[#This Row],[S_DBO5]]/données_step[[#This Row],[E_DBO5]],"")</f>
        <v/>
      </c>
      <c r="BH345" s="536" t="str">
        <f>IFERROR(1-données_step[[#This Row],[S_DCO]]/données_step[[#This Row],[E_DCO]],"")</f>
        <v/>
      </c>
      <c r="BI345" s="535" t="str">
        <f>IFERROR(1-données_step[[#This Row],[S_COD]]/données_step[[#This Row],[E_COT]],"")</f>
        <v/>
      </c>
      <c r="BJ345" s="535" t="str">
        <f>IFERROR(1-données_step[[#This Row],[S_NH4]]/données_step[[#This Row],[E_NTOT]],"")</f>
        <v/>
      </c>
      <c r="BK345" s="535" t="str">
        <f>IFERROR(1-données_step[[#This Row],[S_PTOT]]/données_step[[#This Row],[E_PTOT]],"")</f>
        <v/>
      </c>
      <c r="BL345" s="521" t="str">
        <f>IFERROR(IF(données_step[[#This Row],[E_DCO]]/données_step[[#This Row],[E_DBO5]]=0,NA(),données_step[[#This Row],[E_DCO]]/données_step[[#This Row],[E_DBO5]]),"")</f>
        <v/>
      </c>
      <c r="BM345" s="521" t="str">
        <f>IFERROR(IF(données_step[[#This Row],[E_NH4]]/données_step[[#This Row],[E_NTOT]]=0,NA(),données_step[[#This Row],[E_NH4]]/données_step[[#This Row],[E_NTOT]]),"")</f>
        <v/>
      </c>
      <c r="BN345" s="521" t="str">
        <f>IFERROR(IF(données_step[[#This Row],[E_NTOT]]/données_step[[#This Row],[E_COT]]=0,NA(),données_step[[#This Row],[E_NTOT]]/données_step[[#This Row],[E_COT]]),"")</f>
        <v/>
      </c>
      <c r="BO345" s="521" t="str">
        <f>IFERROR(IF(données_step[[#This Row],[E_PTOT]]/données_step[[#This Row],[E_COT]]=0,NA(),données_step[[#This Row],[E_PTOT]]/données_step[[#This Row],[E_COT]]),"")</f>
        <v/>
      </c>
      <c r="BP345" s="521" t="e">
        <f>IF(données_step[[#This Row],[E_DCO]]/données_step[[#This Row],[E_COT]]=0,NA(),données_step[[#This Row],[E_DCO]]/données_step[[#This Row],[E_COT]])</f>
        <v>#DIV/0!</v>
      </c>
      <c r="BQ345" s="521" t="e">
        <f>IF(données_step[[#This Row],[E_NTOT]]/données_step[[#This Row],[E_DCO]]=0,NA(),données_step[[#This Row],[E_NTOT]]/données_step[[#This Row],[E_DCO]])</f>
        <v>#DIV/0!</v>
      </c>
      <c r="BR345" s="521" t="e">
        <f>IF(données_step[[#This Row],[E_PTOT]]/données_step[[#This Row],[E_DCO]]=0,NA(),données_step[[#This Row],[E_PTOT]]/données_step[[#This Row],[E_DCO]])</f>
        <v>#DIV/0!</v>
      </c>
      <c r="BS345" s="747" t="e">
        <f ca="1">test_NH4_temp(données_step[[#This Row],[S_NH4]],données_step[[#This Row],[Temp_eaux]])</f>
        <v>#NAME?</v>
      </c>
    </row>
    <row r="346" spans="1:71" x14ac:dyDescent="0.2">
      <c r="A346" s="222">
        <f>données_step[[#This Row],[Datum]]</f>
        <v>44897</v>
      </c>
      <c r="B346" s="223"/>
      <c r="C346" s="224">
        <f t="shared" si="79"/>
        <v>6</v>
      </c>
      <c r="D346" s="523" t="str">
        <f>IF(OR(données_step[[#This Row],[E_DBO5]]&lt;=0,données_step[[#This Row],[E_DBO5]]=""),"",données_step[[#This Row],[D_QTRAI]]*données_step[[#This Row],[E_DBO5]]/1000)</f>
        <v/>
      </c>
      <c r="E346" s="523" t="str">
        <f>IF(OR(données_step[[#This Row],[E_DCO]]&lt;=0,données_step[[#This Row],[E_DCO]]=""),"",données_step[[#This Row],[D_QTRAI]]*données_step[[#This Row],[E_DCO]]/1000)</f>
        <v/>
      </c>
      <c r="F346" s="523" t="str">
        <f>IF(OR(données_step[[#This Row],[E_COT]]&lt;=0,données_step[[#This Row],[E_COT]]=""),"",données_step[[#This Row],[D_QTRAI]]*données_step[[#This Row],[E_COT]]/1000)</f>
        <v/>
      </c>
      <c r="G346" s="523" t="str">
        <f>IF(OR(données_step[[#This Row],[E_NH4]]&lt;=0,données_step[[#This Row],[E_NH4]]=""),"",données_step[[#This Row],[D_QTRAI]]*données_step[[#This Row],[E_NH4]]/1000)</f>
        <v/>
      </c>
      <c r="H346" s="523" t="str">
        <f>IF(OR(données_step[[#This Row],[E_NTOT]]&lt;=0,données_step[[#This Row],[E_NTOT]]=""),"",données_step[[#This Row],[D_QTRAI]]*données_step[[#This Row],[E_NTOT]]/1000)</f>
        <v/>
      </c>
      <c r="I346" s="523" t="str">
        <f>IF(OR(données_step[[#This Row],[E_NTOT]]&lt;=0,données_step[[#This Row],[E_NTOT]]=""),"",données_step[[#This Row],[D_QTRAI]]*données_step[[#This Row],[E_PTOT]]/1000)</f>
        <v/>
      </c>
      <c r="J346" s="523" t="str">
        <f>IF(OR(données_step[[#This Row],[S_DBO5]]&lt;=0,données_step[[#This Row],[S_DBO5]]=""),"",données_step[[#This Row],[D_QTRAI]]*données_step[[#This Row],[S_DBO5]]/1000)</f>
        <v/>
      </c>
      <c r="K346" s="523" t="str">
        <f>IF(OR(données_step[[#This Row],[S_DCO]]&lt;=0,données_step[[#This Row],[S_DCO]]=""),"",données_step[[#This Row],[D_QTRAI]]*données_step[[#This Row],[S_DCO]]/1000)</f>
        <v/>
      </c>
      <c r="L346" s="523" t="str">
        <f>IF(OR(données_step[[#This Row],[S_COD]]&lt;=0,données_step[[#This Row],[S_COD]]=""),"",données_step[[#This Row],[D_QTRAI]]*données_step[[#This Row],[S_COD]]/1000)</f>
        <v/>
      </c>
      <c r="M346" s="523" t="str">
        <f>IF(OR(données_step[[#This Row],[S_NH4]]&lt;=0,données_step[[#This Row],[S_NH4]]=""),"",données_step[[#This Row],[D_QTRAI]]*données_step[[#This Row],[S_NH4]]/1000)</f>
        <v/>
      </c>
      <c r="N346" s="523" t="str">
        <f>IF(OR(données_step[[#This Row],[S_NO2]]&lt;=0,données_step[[#This Row],[S_NO2]]=""),"",données_step[[#This Row],[D_QTRAI]]*données_step[[#This Row],[S_NO2]]/1000)</f>
        <v/>
      </c>
      <c r="O346" s="523" t="str">
        <f>IF(OR(données_step[[#This Row],[S_NO3]]&lt;=0,données_step[[#This Row],[S_NO3]]=""),"",données_step[[#This Row],[D_QTRAI]]*données_step[[#This Row],[S_NO3]]/1000)</f>
        <v/>
      </c>
      <c r="P346" s="523" t="str">
        <f>IF(OR(données_step[[#This Row],[S_PTOT]]&lt;=0,données_step[[#This Row],[S_PTOT]]=""),"",données_step[[#This Row],[D_QTRAI]]*données_step[[#This Row],[S_PTOT]]/1000)</f>
        <v/>
      </c>
      <c r="Q346" s="523" t="str">
        <f>IF(OR(données_step[[#This Row],[S_MES]]&lt;=0,données_step[[#This Row],[S_MES]]=""),"",données_step[[#This Row],[D_QTRAI]]*données_step[[#This Row],[S_MES]]/1000)</f>
        <v/>
      </c>
      <c r="R346" s="523">
        <f>MAX(données_step[[#This Row],[D_QTRAI]],données_step[[#This Row],[D_QTRAI2]])</f>
        <v>0</v>
      </c>
      <c r="S346" s="523" t="str">
        <f>IF(AND($R346&gt;0,données_step[[#This Row],[E_DCO]]&gt;0),données_step[[#This Row],[E_DCO]],"")</f>
        <v/>
      </c>
      <c r="T346" s="523" t="str">
        <f>IF(S346="","",(1-données_step[[#This Row],[E_DCO]]/$V$7)*100)</f>
        <v/>
      </c>
      <c r="U346" s="523" t="str">
        <f t="shared" si="80"/>
        <v/>
      </c>
      <c r="V346" s="523" t="str">
        <f t="shared" si="81"/>
        <v/>
      </c>
      <c r="W346" s="523" t="str">
        <f t="shared" si="82"/>
        <v/>
      </c>
      <c r="X346" s="523" t="e">
        <f>IF(((100-100/$V$7*données_step[[#This Row],[E_DCO]])/100*QTS)&lt;0,NA(),IF(OR(U346&lt;0,U346=""),NA(),((100-100/$V$7*données_step[[#This Row],[E_DCO]])/100*QTS)))</f>
        <v>#NUM!</v>
      </c>
      <c r="Y346" s="523" t="str">
        <f>IF(AND($R346&gt;0,données_step[[#This Row],[E_COT]]&gt;0),données_step[[#This Row],[E_COT]],"")</f>
        <v/>
      </c>
      <c r="Z346" s="523" t="str">
        <f>IF(Y346="","",(1-données_step[[#This Row],[E_COT]]/$AB$7)*100)</f>
        <v/>
      </c>
      <c r="AA346" s="523" t="str">
        <f t="shared" si="83"/>
        <v/>
      </c>
      <c r="AB346" s="523" t="str">
        <f t="shared" si="84"/>
        <v/>
      </c>
      <c r="AC346" s="523" t="str">
        <f t="shared" si="85"/>
        <v/>
      </c>
      <c r="AD346" s="523" t="e">
        <f>IF(((100-100/$AB$7*données_step[[#This Row],[E_COT]])/100*QTS)&lt;0,NA(),IF(OR(AA346&lt;0,AA346=""),NA(),((100-100/$AB$7*données_step[[#This Row],[E_COT]])/100*QTS)))</f>
        <v>#NUM!</v>
      </c>
      <c r="AE346" s="523" t="str">
        <f>IF(AND($R346&gt;0,données_step[[#This Row],[E_NH4]]&gt;0),données_step[[#This Row],[E_NH4]],"")</f>
        <v/>
      </c>
      <c r="AF346" s="523" t="str">
        <f>IF(AE346="","",(1-données_step[[#This Row],[E_NH4]]/$AH$7)*100)</f>
        <v/>
      </c>
      <c r="AG346" s="523" t="str">
        <f t="shared" si="86"/>
        <v/>
      </c>
      <c r="AH346" s="523" t="str">
        <f t="shared" si="87"/>
        <v/>
      </c>
      <c r="AI346" s="523" t="str">
        <f t="shared" si="88"/>
        <v/>
      </c>
      <c r="AJ346" s="523" t="e">
        <f>IF(((100-100/$AH$7*données_step[[#This Row],[E_NH4]])/100*QTS)&lt;0,NA(),IF(OR(AG346&lt;0,AG346=""),NA(),((100-100/$AH$7*données_step[[#This Row],[E_NH4]])/100*QTS)))</f>
        <v>#NUM!</v>
      </c>
      <c r="AK346" s="523" t="str">
        <f>IF(AND($R346&gt;0,données_step[[#This Row],[E_PTOT]]&gt;0),données_step[[#This Row],[E_PTOT]],"")</f>
        <v/>
      </c>
      <c r="AL346" s="523" t="str">
        <f>IF(AK346="","",(1-données_step[[#This Row],[E_PTOT]]/$AN$7)*100)</f>
        <v/>
      </c>
      <c r="AM346" s="523" t="str">
        <f t="shared" si="89"/>
        <v/>
      </c>
      <c r="AN346" s="523" t="str">
        <f t="shared" si="90"/>
        <v/>
      </c>
      <c r="AO346" s="523" t="str">
        <f t="shared" si="91"/>
        <v/>
      </c>
      <c r="AP346" s="523" t="e">
        <f>IF(((100-100/$AN$7*données_step[[#This Row],[E_PTOT]])/100*QTS)&lt;0,NA(),IF(OR(AM346&lt;0,AM346=""),NA(),((100-100/$AN$7*données_step[[#This Row],[E_PTOT]])/100*QTS)))</f>
        <v>#NUM!</v>
      </c>
      <c r="AQ346" s="524" t="e">
        <f t="shared" si="92"/>
        <v>#NUM!</v>
      </c>
      <c r="AR346" s="524" t="str">
        <f t="shared" si="93"/>
        <v/>
      </c>
      <c r="AY346" s="523" t="str">
        <f>_xlfn.IFNA(IF(données_step[[#This Row],[E_DCO]]&lt;=0,NA(),charge_entree[[#This Row],[ch_E_DCO]]/constanten!$B$8*1000),"")</f>
        <v/>
      </c>
      <c r="AZ346" s="523" t="str">
        <f>_xlfn.IFNA(IF(données_step[[#This Row],[E_NTOT]]&lt;=0,NA(),charge_entree[[#This Row],[ch_E_NTOT]]/constanten!$B$10*1000),"")</f>
        <v/>
      </c>
      <c r="BA346" s="523" t="str">
        <f>_xlfn.IFNA(IF(données_step[[#This Row],[E_NH4]]&lt;=0,NA(),charge_entree[[#This Row],[ch_E_NH4]]/constanten!$B$12*1000),"")</f>
        <v/>
      </c>
      <c r="BB346" s="523" t="str">
        <f>_xlfn.IFNA(IF(données_step[[#This Row],[E_COT]]&lt;=0,NA(),charge_entree[[#This Row],[ch_E_COT]]/constanten!$B$9*1000),"")</f>
        <v/>
      </c>
      <c r="BC346" s="523" t="str">
        <f>IFERROR(_xlfn.IFNA(IF(données_step[[#This Row],[E_PTOT]]&lt;=0,NA(),charge_entree[[#This Row],[ch_E_PTOT]]/constanten!$B$15*1000),""),"")</f>
        <v/>
      </c>
      <c r="BD346" s="535" t="e">
        <f>calculs!E346 * (1-0.4) / (données_step[[#This Row],[X_BA_VOL]]*données_step[[#This Row],[X_BACONC]])</f>
        <v>#VALUE!</v>
      </c>
      <c r="BE346" s="522" t="e">
        <f>(données_step[[#This Row],[X_BA_VOL]]*données_step[[#This Row],[X_BACONC]])/((données_step[[#This Row],[D_QTRAI2]]*données_step[[#This Row],[S_MES]]/1000)+(données_step[[#This Row],[X_BX_Q]]*données_step[[#This Row],[X_BXCONC]]))</f>
        <v>#VALUE!</v>
      </c>
      <c r="BF346" s="890" t="str">
        <f>IFERROR(données_step[[#This Row],[D_QTRAI]]/AY346*1000,"")</f>
        <v/>
      </c>
      <c r="BG346" s="535" t="str">
        <f>IFERROR(1-données_step[[#This Row],[S_DBO5]]/données_step[[#This Row],[E_DBO5]],"")</f>
        <v/>
      </c>
      <c r="BH346" s="536" t="str">
        <f>IFERROR(1-données_step[[#This Row],[S_DCO]]/données_step[[#This Row],[E_DCO]],"")</f>
        <v/>
      </c>
      <c r="BI346" s="535" t="str">
        <f>IFERROR(1-données_step[[#This Row],[S_COD]]/données_step[[#This Row],[E_COT]],"")</f>
        <v/>
      </c>
      <c r="BJ346" s="535" t="str">
        <f>IFERROR(1-données_step[[#This Row],[S_NH4]]/données_step[[#This Row],[E_NTOT]],"")</f>
        <v/>
      </c>
      <c r="BK346" s="535" t="str">
        <f>IFERROR(1-données_step[[#This Row],[S_PTOT]]/données_step[[#This Row],[E_PTOT]],"")</f>
        <v/>
      </c>
      <c r="BL346" s="521" t="str">
        <f>IFERROR(IF(données_step[[#This Row],[E_DCO]]/données_step[[#This Row],[E_DBO5]]=0,NA(),données_step[[#This Row],[E_DCO]]/données_step[[#This Row],[E_DBO5]]),"")</f>
        <v/>
      </c>
      <c r="BM346" s="521" t="str">
        <f>IFERROR(IF(données_step[[#This Row],[E_NH4]]/données_step[[#This Row],[E_NTOT]]=0,NA(),données_step[[#This Row],[E_NH4]]/données_step[[#This Row],[E_NTOT]]),"")</f>
        <v/>
      </c>
      <c r="BN346" s="521" t="str">
        <f>IFERROR(IF(données_step[[#This Row],[E_NTOT]]/données_step[[#This Row],[E_COT]]=0,NA(),données_step[[#This Row],[E_NTOT]]/données_step[[#This Row],[E_COT]]),"")</f>
        <v/>
      </c>
      <c r="BO346" s="521" t="str">
        <f>IFERROR(IF(données_step[[#This Row],[E_PTOT]]/données_step[[#This Row],[E_COT]]=0,NA(),données_step[[#This Row],[E_PTOT]]/données_step[[#This Row],[E_COT]]),"")</f>
        <v/>
      </c>
      <c r="BP346" s="521" t="e">
        <f>IF(données_step[[#This Row],[E_DCO]]/données_step[[#This Row],[E_COT]]=0,NA(),données_step[[#This Row],[E_DCO]]/données_step[[#This Row],[E_COT]])</f>
        <v>#DIV/0!</v>
      </c>
      <c r="BQ346" s="521" t="e">
        <f>IF(données_step[[#This Row],[E_NTOT]]/données_step[[#This Row],[E_DCO]]=0,NA(),données_step[[#This Row],[E_NTOT]]/données_step[[#This Row],[E_DCO]])</f>
        <v>#DIV/0!</v>
      </c>
      <c r="BR346" s="521" t="e">
        <f>IF(données_step[[#This Row],[E_PTOT]]/données_step[[#This Row],[E_DCO]]=0,NA(),données_step[[#This Row],[E_PTOT]]/données_step[[#This Row],[E_DCO]])</f>
        <v>#DIV/0!</v>
      </c>
      <c r="BS346" s="747" t="e">
        <f ca="1">test_NH4_temp(données_step[[#This Row],[S_NH4]],données_step[[#This Row],[Temp_eaux]])</f>
        <v>#NAME?</v>
      </c>
    </row>
    <row r="347" spans="1:71" x14ac:dyDescent="0.2">
      <c r="A347" s="222">
        <f>données_step[[#This Row],[Datum]]</f>
        <v>44898</v>
      </c>
      <c r="B347" s="223"/>
      <c r="C347" s="224">
        <f t="shared" si="79"/>
        <v>7</v>
      </c>
      <c r="D347" s="523" t="str">
        <f>IF(OR(données_step[[#This Row],[E_DBO5]]&lt;=0,données_step[[#This Row],[E_DBO5]]=""),"",données_step[[#This Row],[D_QTRAI]]*données_step[[#This Row],[E_DBO5]]/1000)</f>
        <v/>
      </c>
      <c r="E347" s="523" t="str">
        <f>IF(OR(données_step[[#This Row],[E_DCO]]&lt;=0,données_step[[#This Row],[E_DCO]]=""),"",données_step[[#This Row],[D_QTRAI]]*données_step[[#This Row],[E_DCO]]/1000)</f>
        <v/>
      </c>
      <c r="F347" s="523" t="str">
        <f>IF(OR(données_step[[#This Row],[E_COT]]&lt;=0,données_step[[#This Row],[E_COT]]=""),"",données_step[[#This Row],[D_QTRAI]]*données_step[[#This Row],[E_COT]]/1000)</f>
        <v/>
      </c>
      <c r="G347" s="523" t="str">
        <f>IF(OR(données_step[[#This Row],[E_NH4]]&lt;=0,données_step[[#This Row],[E_NH4]]=""),"",données_step[[#This Row],[D_QTRAI]]*données_step[[#This Row],[E_NH4]]/1000)</f>
        <v/>
      </c>
      <c r="H347" s="523" t="str">
        <f>IF(OR(données_step[[#This Row],[E_NTOT]]&lt;=0,données_step[[#This Row],[E_NTOT]]=""),"",données_step[[#This Row],[D_QTRAI]]*données_step[[#This Row],[E_NTOT]]/1000)</f>
        <v/>
      </c>
      <c r="I347" s="523" t="str">
        <f>IF(OR(données_step[[#This Row],[E_NTOT]]&lt;=0,données_step[[#This Row],[E_NTOT]]=""),"",données_step[[#This Row],[D_QTRAI]]*données_step[[#This Row],[E_PTOT]]/1000)</f>
        <v/>
      </c>
      <c r="J347" s="523" t="str">
        <f>IF(OR(données_step[[#This Row],[S_DBO5]]&lt;=0,données_step[[#This Row],[S_DBO5]]=""),"",données_step[[#This Row],[D_QTRAI]]*données_step[[#This Row],[S_DBO5]]/1000)</f>
        <v/>
      </c>
      <c r="K347" s="523" t="str">
        <f>IF(OR(données_step[[#This Row],[S_DCO]]&lt;=0,données_step[[#This Row],[S_DCO]]=""),"",données_step[[#This Row],[D_QTRAI]]*données_step[[#This Row],[S_DCO]]/1000)</f>
        <v/>
      </c>
      <c r="L347" s="523" t="str">
        <f>IF(OR(données_step[[#This Row],[S_COD]]&lt;=0,données_step[[#This Row],[S_COD]]=""),"",données_step[[#This Row],[D_QTRAI]]*données_step[[#This Row],[S_COD]]/1000)</f>
        <v/>
      </c>
      <c r="M347" s="523" t="str">
        <f>IF(OR(données_step[[#This Row],[S_NH4]]&lt;=0,données_step[[#This Row],[S_NH4]]=""),"",données_step[[#This Row],[D_QTRAI]]*données_step[[#This Row],[S_NH4]]/1000)</f>
        <v/>
      </c>
      <c r="N347" s="523" t="str">
        <f>IF(OR(données_step[[#This Row],[S_NO2]]&lt;=0,données_step[[#This Row],[S_NO2]]=""),"",données_step[[#This Row],[D_QTRAI]]*données_step[[#This Row],[S_NO2]]/1000)</f>
        <v/>
      </c>
      <c r="O347" s="523" t="str">
        <f>IF(OR(données_step[[#This Row],[S_NO3]]&lt;=0,données_step[[#This Row],[S_NO3]]=""),"",données_step[[#This Row],[D_QTRAI]]*données_step[[#This Row],[S_NO3]]/1000)</f>
        <v/>
      </c>
      <c r="P347" s="523" t="str">
        <f>IF(OR(données_step[[#This Row],[S_PTOT]]&lt;=0,données_step[[#This Row],[S_PTOT]]=""),"",données_step[[#This Row],[D_QTRAI]]*données_step[[#This Row],[S_PTOT]]/1000)</f>
        <v/>
      </c>
      <c r="Q347" s="523" t="str">
        <f>IF(OR(données_step[[#This Row],[S_MES]]&lt;=0,données_step[[#This Row],[S_MES]]=""),"",données_step[[#This Row],[D_QTRAI]]*données_step[[#This Row],[S_MES]]/1000)</f>
        <v/>
      </c>
      <c r="R347" s="523">
        <f>MAX(données_step[[#This Row],[D_QTRAI]],données_step[[#This Row],[D_QTRAI2]])</f>
        <v>0</v>
      </c>
      <c r="S347" s="523" t="str">
        <f>IF(AND($R347&gt;0,données_step[[#This Row],[E_DCO]]&gt;0),données_step[[#This Row],[E_DCO]],"")</f>
        <v/>
      </c>
      <c r="T347" s="523" t="str">
        <f>IF(S347="","",(1-données_step[[#This Row],[E_DCO]]/$V$7)*100)</f>
        <v/>
      </c>
      <c r="U347" s="523" t="str">
        <f t="shared" si="80"/>
        <v/>
      </c>
      <c r="V347" s="523" t="str">
        <f t="shared" si="81"/>
        <v/>
      </c>
      <c r="W347" s="523" t="str">
        <f t="shared" si="82"/>
        <v/>
      </c>
      <c r="X347" s="523" t="e">
        <f>IF(((100-100/$V$7*données_step[[#This Row],[E_DCO]])/100*QTS)&lt;0,NA(),IF(OR(U347&lt;0,U347=""),NA(),((100-100/$V$7*données_step[[#This Row],[E_DCO]])/100*QTS)))</f>
        <v>#NUM!</v>
      </c>
      <c r="Y347" s="523" t="str">
        <f>IF(AND($R347&gt;0,données_step[[#This Row],[E_COT]]&gt;0),données_step[[#This Row],[E_COT]],"")</f>
        <v/>
      </c>
      <c r="Z347" s="523" t="str">
        <f>IF(Y347="","",(1-données_step[[#This Row],[E_COT]]/$AB$7)*100)</f>
        <v/>
      </c>
      <c r="AA347" s="523" t="str">
        <f t="shared" si="83"/>
        <v/>
      </c>
      <c r="AB347" s="523" t="str">
        <f t="shared" si="84"/>
        <v/>
      </c>
      <c r="AC347" s="523" t="str">
        <f t="shared" si="85"/>
        <v/>
      </c>
      <c r="AD347" s="523" t="e">
        <f>IF(((100-100/$AB$7*données_step[[#This Row],[E_COT]])/100*QTS)&lt;0,NA(),IF(OR(AA347&lt;0,AA347=""),NA(),((100-100/$AB$7*données_step[[#This Row],[E_COT]])/100*QTS)))</f>
        <v>#NUM!</v>
      </c>
      <c r="AE347" s="523" t="str">
        <f>IF(AND($R347&gt;0,données_step[[#This Row],[E_NH4]]&gt;0),données_step[[#This Row],[E_NH4]],"")</f>
        <v/>
      </c>
      <c r="AF347" s="523" t="str">
        <f>IF(AE347="","",(1-données_step[[#This Row],[E_NH4]]/$AH$7)*100)</f>
        <v/>
      </c>
      <c r="AG347" s="523" t="str">
        <f t="shared" si="86"/>
        <v/>
      </c>
      <c r="AH347" s="523" t="str">
        <f t="shared" si="87"/>
        <v/>
      </c>
      <c r="AI347" s="523" t="str">
        <f t="shared" si="88"/>
        <v/>
      </c>
      <c r="AJ347" s="523" t="e">
        <f>IF(((100-100/$AH$7*données_step[[#This Row],[E_NH4]])/100*QTS)&lt;0,NA(),IF(OR(AG347&lt;0,AG347=""),NA(),((100-100/$AH$7*données_step[[#This Row],[E_NH4]])/100*QTS)))</f>
        <v>#NUM!</v>
      </c>
      <c r="AK347" s="523" t="str">
        <f>IF(AND($R347&gt;0,données_step[[#This Row],[E_PTOT]]&gt;0),données_step[[#This Row],[E_PTOT]],"")</f>
        <v/>
      </c>
      <c r="AL347" s="523" t="str">
        <f>IF(AK347="","",(1-données_step[[#This Row],[E_PTOT]]/$AN$7)*100)</f>
        <v/>
      </c>
      <c r="AM347" s="523" t="str">
        <f t="shared" si="89"/>
        <v/>
      </c>
      <c r="AN347" s="523" t="str">
        <f t="shared" si="90"/>
        <v/>
      </c>
      <c r="AO347" s="523" t="str">
        <f t="shared" si="91"/>
        <v/>
      </c>
      <c r="AP347" s="523" t="e">
        <f>IF(((100-100/$AN$7*données_step[[#This Row],[E_PTOT]])/100*QTS)&lt;0,NA(),IF(OR(AM347&lt;0,AM347=""),NA(),((100-100/$AN$7*données_step[[#This Row],[E_PTOT]])/100*QTS)))</f>
        <v>#NUM!</v>
      </c>
      <c r="AQ347" s="524" t="e">
        <f t="shared" si="92"/>
        <v>#NUM!</v>
      </c>
      <c r="AR347" s="524" t="str">
        <f t="shared" si="93"/>
        <v/>
      </c>
      <c r="AY347" s="523" t="str">
        <f>_xlfn.IFNA(IF(données_step[[#This Row],[E_DCO]]&lt;=0,NA(),charge_entree[[#This Row],[ch_E_DCO]]/constanten!$B$8*1000),"")</f>
        <v/>
      </c>
      <c r="AZ347" s="523" t="str">
        <f>_xlfn.IFNA(IF(données_step[[#This Row],[E_NTOT]]&lt;=0,NA(),charge_entree[[#This Row],[ch_E_NTOT]]/constanten!$B$10*1000),"")</f>
        <v/>
      </c>
      <c r="BA347" s="523" t="str">
        <f>_xlfn.IFNA(IF(données_step[[#This Row],[E_NH4]]&lt;=0,NA(),charge_entree[[#This Row],[ch_E_NH4]]/constanten!$B$12*1000),"")</f>
        <v/>
      </c>
      <c r="BB347" s="523" t="str">
        <f>_xlfn.IFNA(IF(données_step[[#This Row],[E_COT]]&lt;=0,NA(),charge_entree[[#This Row],[ch_E_COT]]/constanten!$B$9*1000),"")</f>
        <v/>
      </c>
      <c r="BC347" s="523" t="str">
        <f>IFERROR(_xlfn.IFNA(IF(données_step[[#This Row],[E_PTOT]]&lt;=0,NA(),charge_entree[[#This Row],[ch_E_PTOT]]/constanten!$B$15*1000),""),"")</f>
        <v/>
      </c>
      <c r="BD347" s="535" t="e">
        <f>calculs!E347 * (1-0.4) / (données_step[[#This Row],[X_BA_VOL]]*données_step[[#This Row],[X_BACONC]])</f>
        <v>#VALUE!</v>
      </c>
      <c r="BE347" s="522" t="e">
        <f>(données_step[[#This Row],[X_BA_VOL]]*données_step[[#This Row],[X_BACONC]])/((données_step[[#This Row],[D_QTRAI2]]*données_step[[#This Row],[S_MES]]/1000)+(données_step[[#This Row],[X_BX_Q]]*données_step[[#This Row],[X_BXCONC]]))</f>
        <v>#VALUE!</v>
      </c>
      <c r="BF347" s="890" t="str">
        <f>IFERROR(données_step[[#This Row],[D_QTRAI]]/AY347*1000,"")</f>
        <v/>
      </c>
      <c r="BG347" s="535" t="str">
        <f>IFERROR(1-données_step[[#This Row],[S_DBO5]]/données_step[[#This Row],[E_DBO5]],"")</f>
        <v/>
      </c>
      <c r="BH347" s="536" t="str">
        <f>IFERROR(1-données_step[[#This Row],[S_DCO]]/données_step[[#This Row],[E_DCO]],"")</f>
        <v/>
      </c>
      <c r="BI347" s="535" t="str">
        <f>IFERROR(1-données_step[[#This Row],[S_COD]]/données_step[[#This Row],[E_COT]],"")</f>
        <v/>
      </c>
      <c r="BJ347" s="535" t="str">
        <f>IFERROR(1-données_step[[#This Row],[S_NH4]]/données_step[[#This Row],[E_NTOT]],"")</f>
        <v/>
      </c>
      <c r="BK347" s="535" t="str">
        <f>IFERROR(1-données_step[[#This Row],[S_PTOT]]/données_step[[#This Row],[E_PTOT]],"")</f>
        <v/>
      </c>
      <c r="BL347" s="521" t="str">
        <f>IFERROR(IF(données_step[[#This Row],[E_DCO]]/données_step[[#This Row],[E_DBO5]]=0,NA(),données_step[[#This Row],[E_DCO]]/données_step[[#This Row],[E_DBO5]]),"")</f>
        <v/>
      </c>
      <c r="BM347" s="521" t="str">
        <f>IFERROR(IF(données_step[[#This Row],[E_NH4]]/données_step[[#This Row],[E_NTOT]]=0,NA(),données_step[[#This Row],[E_NH4]]/données_step[[#This Row],[E_NTOT]]),"")</f>
        <v/>
      </c>
      <c r="BN347" s="521" t="str">
        <f>IFERROR(IF(données_step[[#This Row],[E_NTOT]]/données_step[[#This Row],[E_COT]]=0,NA(),données_step[[#This Row],[E_NTOT]]/données_step[[#This Row],[E_COT]]),"")</f>
        <v/>
      </c>
      <c r="BO347" s="521" t="str">
        <f>IFERROR(IF(données_step[[#This Row],[E_PTOT]]/données_step[[#This Row],[E_COT]]=0,NA(),données_step[[#This Row],[E_PTOT]]/données_step[[#This Row],[E_COT]]),"")</f>
        <v/>
      </c>
      <c r="BP347" s="521" t="e">
        <f>IF(données_step[[#This Row],[E_DCO]]/données_step[[#This Row],[E_COT]]=0,NA(),données_step[[#This Row],[E_DCO]]/données_step[[#This Row],[E_COT]])</f>
        <v>#DIV/0!</v>
      </c>
      <c r="BQ347" s="521" t="e">
        <f>IF(données_step[[#This Row],[E_NTOT]]/données_step[[#This Row],[E_DCO]]=0,NA(),données_step[[#This Row],[E_NTOT]]/données_step[[#This Row],[E_DCO]])</f>
        <v>#DIV/0!</v>
      </c>
      <c r="BR347" s="521" t="e">
        <f>IF(données_step[[#This Row],[E_PTOT]]/données_step[[#This Row],[E_DCO]]=0,NA(),données_step[[#This Row],[E_PTOT]]/données_step[[#This Row],[E_DCO]])</f>
        <v>#DIV/0!</v>
      </c>
      <c r="BS347" s="747" t="e">
        <f ca="1">test_NH4_temp(données_step[[#This Row],[S_NH4]],données_step[[#This Row],[Temp_eaux]])</f>
        <v>#NAME?</v>
      </c>
    </row>
    <row r="348" spans="1:71" x14ac:dyDescent="0.2">
      <c r="A348" s="222">
        <f>données_step[[#This Row],[Datum]]</f>
        <v>44899</v>
      </c>
      <c r="B348" s="223"/>
      <c r="C348" s="224">
        <f t="shared" si="79"/>
        <v>1</v>
      </c>
      <c r="D348" s="523" t="str">
        <f>IF(OR(données_step[[#This Row],[E_DBO5]]&lt;=0,données_step[[#This Row],[E_DBO5]]=""),"",données_step[[#This Row],[D_QTRAI]]*données_step[[#This Row],[E_DBO5]]/1000)</f>
        <v/>
      </c>
      <c r="E348" s="523" t="str">
        <f>IF(OR(données_step[[#This Row],[E_DCO]]&lt;=0,données_step[[#This Row],[E_DCO]]=""),"",données_step[[#This Row],[D_QTRAI]]*données_step[[#This Row],[E_DCO]]/1000)</f>
        <v/>
      </c>
      <c r="F348" s="523" t="str">
        <f>IF(OR(données_step[[#This Row],[E_COT]]&lt;=0,données_step[[#This Row],[E_COT]]=""),"",données_step[[#This Row],[D_QTRAI]]*données_step[[#This Row],[E_COT]]/1000)</f>
        <v/>
      </c>
      <c r="G348" s="523" t="str">
        <f>IF(OR(données_step[[#This Row],[E_NH4]]&lt;=0,données_step[[#This Row],[E_NH4]]=""),"",données_step[[#This Row],[D_QTRAI]]*données_step[[#This Row],[E_NH4]]/1000)</f>
        <v/>
      </c>
      <c r="H348" s="523" t="str">
        <f>IF(OR(données_step[[#This Row],[E_NTOT]]&lt;=0,données_step[[#This Row],[E_NTOT]]=""),"",données_step[[#This Row],[D_QTRAI]]*données_step[[#This Row],[E_NTOT]]/1000)</f>
        <v/>
      </c>
      <c r="I348" s="523" t="str">
        <f>IF(OR(données_step[[#This Row],[E_NTOT]]&lt;=0,données_step[[#This Row],[E_NTOT]]=""),"",données_step[[#This Row],[D_QTRAI]]*données_step[[#This Row],[E_PTOT]]/1000)</f>
        <v/>
      </c>
      <c r="J348" s="523" t="str">
        <f>IF(OR(données_step[[#This Row],[S_DBO5]]&lt;=0,données_step[[#This Row],[S_DBO5]]=""),"",données_step[[#This Row],[D_QTRAI]]*données_step[[#This Row],[S_DBO5]]/1000)</f>
        <v/>
      </c>
      <c r="K348" s="523" t="str">
        <f>IF(OR(données_step[[#This Row],[S_DCO]]&lt;=0,données_step[[#This Row],[S_DCO]]=""),"",données_step[[#This Row],[D_QTRAI]]*données_step[[#This Row],[S_DCO]]/1000)</f>
        <v/>
      </c>
      <c r="L348" s="523" t="str">
        <f>IF(OR(données_step[[#This Row],[S_COD]]&lt;=0,données_step[[#This Row],[S_COD]]=""),"",données_step[[#This Row],[D_QTRAI]]*données_step[[#This Row],[S_COD]]/1000)</f>
        <v/>
      </c>
      <c r="M348" s="523" t="str">
        <f>IF(OR(données_step[[#This Row],[S_NH4]]&lt;=0,données_step[[#This Row],[S_NH4]]=""),"",données_step[[#This Row],[D_QTRAI]]*données_step[[#This Row],[S_NH4]]/1000)</f>
        <v/>
      </c>
      <c r="N348" s="523" t="str">
        <f>IF(OR(données_step[[#This Row],[S_NO2]]&lt;=0,données_step[[#This Row],[S_NO2]]=""),"",données_step[[#This Row],[D_QTRAI]]*données_step[[#This Row],[S_NO2]]/1000)</f>
        <v/>
      </c>
      <c r="O348" s="523" t="str">
        <f>IF(OR(données_step[[#This Row],[S_NO3]]&lt;=0,données_step[[#This Row],[S_NO3]]=""),"",données_step[[#This Row],[D_QTRAI]]*données_step[[#This Row],[S_NO3]]/1000)</f>
        <v/>
      </c>
      <c r="P348" s="523" t="str">
        <f>IF(OR(données_step[[#This Row],[S_PTOT]]&lt;=0,données_step[[#This Row],[S_PTOT]]=""),"",données_step[[#This Row],[D_QTRAI]]*données_step[[#This Row],[S_PTOT]]/1000)</f>
        <v/>
      </c>
      <c r="Q348" s="523" t="str">
        <f>IF(OR(données_step[[#This Row],[S_MES]]&lt;=0,données_step[[#This Row],[S_MES]]=""),"",données_step[[#This Row],[D_QTRAI]]*données_step[[#This Row],[S_MES]]/1000)</f>
        <v/>
      </c>
      <c r="R348" s="523">
        <f>MAX(données_step[[#This Row],[D_QTRAI]],données_step[[#This Row],[D_QTRAI2]])</f>
        <v>0</v>
      </c>
      <c r="S348" s="523" t="str">
        <f>IF(AND($R348&gt;0,données_step[[#This Row],[E_DCO]]&gt;0),données_step[[#This Row],[E_DCO]],"")</f>
        <v/>
      </c>
      <c r="T348" s="523" t="str">
        <f>IF(S348="","",(1-données_step[[#This Row],[E_DCO]]/$V$7)*100)</f>
        <v/>
      </c>
      <c r="U348" s="523" t="str">
        <f t="shared" si="80"/>
        <v/>
      </c>
      <c r="V348" s="523" t="str">
        <f t="shared" si="81"/>
        <v/>
      </c>
      <c r="W348" s="523" t="str">
        <f t="shared" si="82"/>
        <v/>
      </c>
      <c r="X348" s="523" t="e">
        <f>IF(((100-100/$V$7*données_step[[#This Row],[E_DCO]])/100*QTS)&lt;0,NA(),IF(OR(U348&lt;0,U348=""),NA(),((100-100/$V$7*données_step[[#This Row],[E_DCO]])/100*QTS)))</f>
        <v>#NUM!</v>
      </c>
      <c r="Y348" s="523" t="str">
        <f>IF(AND($R348&gt;0,données_step[[#This Row],[E_COT]]&gt;0),données_step[[#This Row],[E_COT]],"")</f>
        <v/>
      </c>
      <c r="Z348" s="523" t="str">
        <f>IF(Y348="","",(1-données_step[[#This Row],[E_COT]]/$AB$7)*100)</f>
        <v/>
      </c>
      <c r="AA348" s="523" t="str">
        <f t="shared" si="83"/>
        <v/>
      </c>
      <c r="AB348" s="523" t="str">
        <f t="shared" si="84"/>
        <v/>
      </c>
      <c r="AC348" s="523" t="str">
        <f t="shared" si="85"/>
        <v/>
      </c>
      <c r="AD348" s="523" t="e">
        <f>IF(((100-100/$AB$7*données_step[[#This Row],[E_COT]])/100*QTS)&lt;0,NA(),IF(OR(AA348&lt;0,AA348=""),NA(),((100-100/$AB$7*données_step[[#This Row],[E_COT]])/100*QTS)))</f>
        <v>#NUM!</v>
      </c>
      <c r="AE348" s="523" t="str">
        <f>IF(AND($R348&gt;0,données_step[[#This Row],[E_NH4]]&gt;0),données_step[[#This Row],[E_NH4]],"")</f>
        <v/>
      </c>
      <c r="AF348" s="523" t="str">
        <f>IF(AE348="","",(1-données_step[[#This Row],[E_NH4]]/$AH$7)*100)</f>
        <v/>
      </c>
      <c r="AG348" s="523" t="str">
        <f t="shared" si="86"/>
        <v/>
      </c>
      <c r="AH348" s="523" t="str">
        <f t="shared" si="87"/>
        <v/>
      </c>
      <c r="AI348" s="523" t="str">
        <f t="shared" si="88"/>
        <v/>
      </c>
      <c r="AJ348" s="523" t="e">
        <f>IF(((100-100/$AH$7*données_step[[#This Row],[E_NH4]])/100*QTS)&lt;0,NA(),IF(OR(AG348&lt;0,AG348=""),NA(),((100-100/$AH$7*données_step[[#This Row],[E_NH4]])/100*QTS)))</f>
        <v>#NUM!</v>
      </c>
      <c r="AK348" s="523" t="str">
        <f>IF(AND($R348&gt;0,données_step[[#This Row],[E_PTOT]]&gt;0),données_step[[#This Row],[E_PTOT]],"")</f>
        <v/>
      </c>
      <c r="AL348" s="523" t="str">
        <f>IF(AK348="","",(1-données_step[[#This Row],[E_PTOT]]/$AN$7)*100)</f>
        <v/>
      </c>
      <c r="AM348" s="523" t="str">
        <f t="shared" si="89"/>
        <v/>
      </c>
      <c r="AN348" s="523" t="str">
        <f t="shared" si="90"/>
        <v/>
      </c>
      <c r="AO348" s="523" t="str">
        <f t="shared" si="91"/>
        <v/>
      </c>
      <c r="AP348" s="523" t="e">
        <f>IF(((100-100/$AN$7*données_step[[#This Row],[E_PTOT]])/100*QTS)&lt;0,NA(),IF(OR(AM348&lt;0,AM348=""),NA(),((100-100/$AN$7*données_step[[#This Row],[E_PTOT]])/100*QTS)))</f>
        <v>#NUM!</v>
      </c>
      <c r="AQ348" s="524" t="e">
        <f t="shared" si="92"/>
        <v>#NUM!</v>
      </c>
      <c r="AR348" s="524" t="str">
        <f t="shared" si="93"/>
        <v/>
      </c>
      <c r="AY348" s="523" t="str">
        <f>_xlfn.IFNA(IF(données_step[[#This Row],[E_DCO]]&lt;=0,NA(),charge_entree[[#This Row],[ch_E_DCO]]/constanten!$B$8*1000),"")</f>
        <v/>
      </c>
      <c r="AZ348" s="523" t="str">
        <f>_xlfn.IFNA(IF(données_step[[#This Row],[E_NTOT]]&lt;=0,NA(),charge_entree[[#This Row],[ch_E_NTOT]]/constanten!$B$10*1000),"")</f>
        <v/>
      </c>
      <c r="BA348" s="523" t="str">
        <f>_xlfn.IFNA(IF(données_step[[#This Row],[E_NH4]]&lt;=0,NA(),charge_entree[[#This Row],[ch_E_NH4]]/constanten!$B$12*1000),"")</f>
        <v/>
      </c>
      <c r="BB348" s="523" t="str">
        <f>_xlfn.IFNA(IF(données_step[[#This Row],[E_COT]]&lt;=0,NA(),charge_entree[[#This Row],[ch_E_COT]]/constanten!$B$9*1000),"")</f>
        <v/>
      </c>
      <c r="BC348" s="523" t="str">
        <f>IFERROR(_xlfn.IFNA(IF(données_step[[#This Row],[E_PTOT]]&lt;=0,NA(),charge_entree[[#This Row],[ch_E_PTOT]]/constanten!$B$15*1000),""),"")</f>
        <v/>
      </c>
      <c r="BD348" s="535" t="e">
        <f>calculs!E348 * (1-0.4) / (données_step[[#This Row],[X_BA_VOL]]*données_step[[#This Row],[X_BACONC]])</f>
        <v>#VALUE!</v>
      </c>
      <c r="BE348" s="522" t="e">
        <f>(données_step[[#This Row],[X_BA_VOL]]*données_step[[#This Row],[X_BACONC]])/((données_step[[#This Row],[D_QTRAI2]]*données_step[[#This Row],[S_MES]]/1000)+(données_step[[#This Row],[X_BX_Q]]*données_step[[#This Row],[X_BXCONC]]))</f>
        <v>#VALUE!</v>
      </c>
      <c r="BF348" s="890" t="str">
        <f>IFERROR(données_step[[#This Row],[D_QTRAI]]/AY348*1000,"")</f>
        <v/>
      </c>
      <c r="BG348" s="535" t="str">
        <f>IFERROR(1-données_step[[#This Row],[S_DBO5]]/données_step[[#This Row],[E_DBO5]],"")</f>
        <v/>
      </c>
      <c r="BH348" s="536" t="str">
        <f>IFERROR(1-données_step[[#This Row],[S_DCO]]/données_step[[#This Row],[E_DCO]],"")</f>
        <v/>
      </c>
      <c r="BI348" s="535" t="str">
        <f>IFERROR(1-données_step[[#This Row],[S_COD]]/données_step[[#This Row],[E_COT]],"")</f>
        <v/>
      </c>
      <c r="BJ348" s="535" t="str">
        <f>IFERROR(1-données_step[[#This Row],[S_NH4]]/données_step[[#This Row],[E_NTOT]],"")</f>
        <v/>
      </c>
      <c r="BK348" s="535" t="str">
        <f>IFERROR(1-données_step[[#This Row],[S_PTOT]]/données_step[[#This Row],[E_PTOT]],"")</f>
        <v/>
      </c>
      <c r="BL348" s="521" t="str">
        <f>IFERROR(IF(données_step[[#This Row],[E_DCO]]/données_step[[#This Row],[E_DBO5]]=0,NA(),données_step[[#This Row],[E_DCO]]/données_step[[#This Row],[E_DBO5]]),"")</f>
        <v/>
      </c>
      <c r="BM348" s="521" t="str">
        <f>IFERROR(IF(données_step[[#This Row],[E_NH4]]/données_step[[#This Row],[E_NTOT]]=0,NA(),données_step[[#This Row],[E_NH4]]/données_step[[#This Row],[E_NTOT]]),"")</f>
        <v/>
      </c>
      <c r="BN348" s="521" t="str">
        <f>IFERROR(IF(données_step[[#This Row],[E_NTOT]]/données_step[[#This Row],[E_COT]]=0,NA(),données_step[[#This Row],[E_NTOT]]/données_step[[#This Row],[E_COT]]),"")</f>
        <v/>
      </c>
      <c r="BO348" s="521" t="str">
        <f>IFERROR(IF(données_step[[#This Row],[E_PTOT]]/données_step[[#This Row],[E_COT]]=0,NA(),données_step[[#This Row],[E_PTOT]]/données_step[[#This Row],[E_COT]]),"")</f>
        <v/>
      </c>
      <c r="BP348" s="521" t="e">
        <f>IF(données_step[[#This Row],[E_DCO]]/données_step[[#This Row],[E_COT]]=0,NA(),données_step[[#This Row],[E_DCO]]/données_step[[#This Row],[E_COT]])</f>
        <v>#DIV/0!</v>
      </c>
      <c r="BQ348" s="521" t="e">
        <f>IF(données_step[[#This Row],[E_NTOT]]/données_step[[#This Row],[E_DCO]]=0,NA(),données_step[[#This Row],[E_NTOT]]/données_step[[#This Row],[E_DCO]])</f>
        <v>#DIV/0!</v>
      </c>
      <c r="BR348" s="521" t="e">
        <f>IF(données_step[[#This Row],[E_PTOT]]/données_step[[#This Row],[E_DCO]]=0,NA(),données_step[[#This Row],[E_PTOT]]/données_step[[#This Row],[E_DCO]])</f>
        <v>#DIV/0!</v>
      </c>
      <c r="BS348" s="747" t="e">
        <f ca="1">test_NH4_temp(données_step[[#This Row],[S_NH4]],données_step[[#This Row],[Temp_eaux]])</f>
        <v>#NAME?</v>
      </c>
    </row>
    <row r="349" spans="1:71" x14ac:dyDescent="0.2">
      <c r="A349" s="222">
        <f>données_step[[#This Row],[Datum]]</f>
        <v>44900</v>
      </c>
      <c r="B349" s="223"/>
      <c r="C349" s="224">
        <f t="shared" si="79"/>
        <v>2</v>
      </c>
      <c r="D349" s="523" t="str">
        <f>IF(OR(données_step[[#This Row],[E_DBO5]]&lt;=0,données_step[[#This Row],[E_DBO5]]=""),"",données_step[[#This Row],[D_QTRAI]]*données_step[[#This Row],[E_DBO5]]/1000)</f>
        <v/>
      </c>
      <c r="E349" s="523" t="str">
        <f>IF(OR(données_step[[#This Row],[E_DCO]]&lt;=0,données_step[[#This Row],[E_DCO]]=""),"",données_step[[#This Row],[D_QTRAI]]*données_step[[#This Row],[E_DCO]]/1000)</f>
        <v/>
      </c>
      <c r="F349" s="523" t="str">
        <f>IF(OR(données_step[[#This Row],[E_COT]]&lt;=0,données_step[[#This Row],[E_COT]]=""),"",données_step[[#This Row],[D_QTRAI]]*données_step[[#This Row],[E_COT]]/1000)</f>
        <v/>
      </c>
      <c r="G349" s="523" t="str">
        <f>IF(OR(données_step[[#This Row],[E_NH4]]&lt;=0,données_step[[#This Row],[E_NH4]]=""),"",données_step[[#This Row],[D_QTRAI]]*données_step[[#This Row],[E_NH4]]/1000)</f>
        <v/>
      </c>
      <c r="H349" s="523" t="str">
        <f>IF(OR(données_step[[#This Row],[E_NTOT]]&lt;=0,données_step[[#This Row],[E_NTOT]]=""),"",données_step[[#This Row],[D_QTRAI]]*données_step[[#This Row],[E_NTOT]]/1000)</f>
        <v/>
      </c>
      <c r="I349" s="523" t="str">
        <f>IF(OR(données_step[[#This Row],[E_NTOT]]&lt;=0,données_step[[#This Row],[E_NTOT]]=""),"",données_step[[#This Row],[D_QTRAI]]*données_step[[#This Row],[E_PTOT]]/1000)</f>
        <v/>
      </c>
      <c r="J349" s="523" t="str">
        <f>IF(OR(données_step[[#This Row],[S_DBO5]]&lt;=0,données_step[[#This Row],[S_DBO5]]=""),"",données_step[[#This Row],[D_QTRAI]]*données_step[[#This Row],[S_DBO5]]/1000)</f>
        <v/>
      </c>
      <c r="K349" s="523" t="str">
        <f>IF(OR(données_step[[#This Row],[S_DCO]]&lt;=0,données_step[[#This Row],[S_DCO]]=""),"",données_step[[#This Row],[D_QTRAI]]*données_step[[#This Row],[S_DCO]]/1000)</f>
        <v/>
      </c>
      <c r="L349" s="523" t="str">
        <f>IF(OR(données_step[[#This Row],[S_COD]]&lt;=0,données_step[[#This Row],[S_COD]]=""),"",données_step[[#This Row],[D_QTRAI]]*données_step[[#This Row],[S_COD]]/1000)</f>
        <v/>
      </c>
      <c r="M349" s="523" t="str">
        <f>IF(OR(données_step[[#This Row],[S_NH4]]&lt;=0,données_step[[#This Row],[S_NH4]]=""),"",données_step[[#This Row],[D_QTRAI]]*données_step[[#This Row],[S_NH4]]/1000)</f>
        <v/>
      </c>
      <c r="N349" s="523" t="str">
        <f>IF(OR(données_step[[#This Row],[S_NO2]]&lt;=0,données_step[[#This Row],[S_NO2]]=""),"",données_step[[#This Row],[D_QTRAI]]*données_step[[#This Row],[S_NO2]]/1000)</f>
        <v/>
      </c>
      <c r="O349" s="523" t="str">
        <f>IF(OR(données_step[[#This Row],[S_NO3]]&lt;=0,données_step[[#This Row],[S_NO3]]=""),"",données_step[[#This Row],[D_QTRAI]]*données_step[[#This Row],[S_NO3]]/1000)</f>
        <v/>
      </c>
      <c r="P349" s="523" t="str">
        <f>IF(OR(données_step[[#This Row],[S_PTOT]]&lt;=0,données_step[[#This Row],[S_PTOT]]=""),"",données_step[[#This Row],[D_QTRAI]]*données_step[[#This Row],[S_PTOT]]/1000)</f>
        <v/>
      </c>
      <c r="Q349" s="523" t="str">
        <f>IF(OR(données_step[[#This Row],[S_MES]]&lt;=0,données_step[[#This Row],[S_MES]]=""),"",données_step[[#This Row],[D_QTRAI]]*données_step[[#This Row],[S_MES]]/1000)</f>
        <v/>
      </c>
      <c r="R349" s="523">
        <f>MAX(données_step[[#This Row],[D_QTRAI]],données_step[[#This Row],[D_QTRAI2]])</f>
        <v>0</v>
      </c>
      <c r="S349" s="523" t="str">
        <f>IF(AND($R349&gt;0,données_step[[#This Row],[E_DCO]]&gt;0),données_step[[#This Row],[E_DCO]],"")</f>
        <v/>
      </c>
      <c r="T349" s="523" t="str">
        <f>IF(S349="","",(1-données_step[[#This Row],[E_DCO]]/$V$7)*100)</f>
        <v/>
      </c>
      <c r="U349" s="523" t="str">
        <f t="shared" si="80"/>
        <v/>
      </c>
      <c r="V349" s="523" t="str">
        <f t="shared" si="81"/>
        <v/>
      </c>
      <c r="W349" s="523" t="str">
        <f t="shared" si="82"/>
        <v/>
      </c>
      <c r="X349" s="523" t="e">
        <f>IF(((100-100/$V$7*données_step[[#This Row],[E_DCO]])/100*QTS)&lt;0,NA(),IF(OR(U349&lt;0,U349=""),NA(),((100-100/$V$7*données_step[[#This Row],[E_DCO]])/100*QTS)))</f>
        <v>#NUM!</v>
      </c>
      <c r="Y349" s="523" t="str">
        <f>IF(AND($R349&gt;0,données_step[[#This Row],[E_COT]]&gt;0),données_step[[#This Row],[E_COT]],"")</f>
        <v/>
      </c>
      <c r="Z349" s="523" t="str">
        <f>IF(Y349="","",(1-données_step[[#This Row],[E_COT]]/$AB$7)*100)</f>
        <v/>
      </c>
      <c r="AA349" s="523" t="str">
        <f t="shared" si="83"/>
        <v/>
      </c>
      <c r="AB349" s="523" t="str">
        <f t="shared" si="84"/>
        <v/>
      </c>
      <c r="AC349" s="523" t="str">
        <f t="shared" si="85"/>
        <v/>
      </c>
      <c r="AD349" s="523" t="e">
        <f>IF(((100-100/$AB$7*données_step[[#This Row],[E_COT]])/100*QTS)&lt;0,NA(),IF(OR(AA349&lt;0,AA349=""),NA(),((100-100/$AB$7*données_step[[#This Row],[E_COT]])/100*QTS)))</f>
        <v>#NUM!</v>
      </c>
      <c r="AE349" s="523" t="str">
        <f>IF(AND($R349&gt;0,données_step[[#This Row],[E_NH4]]&gt;0),données_step[[#This Row],[E_NH4]],"")</f>
        <v/>
      </c>
      <c r="AF349" s="523" t="str">
        <f>IF(AE349="","",(1-données_step[[#This Row],[E_NH4]]/$AH$7)*100)</f>
        <v/>
      </c>
      <c r="AG349" s="523" t="str">
        <f t="shared" si="86"/>
        <v/>
      </c>
      <c r="AH349" s="523" t="str">
        <f t="shared" si="87"/>
        <v/>
      </c>
      <c r="AI349" s="523" t="str">
        <f t="shared" si="88"/>
        <v/>
      </c>
      <c r="AJ349" s="523" t="e">
        <f>IF(((100-100/$AH$7*données_step[[#This Row],[E_NH4]])/100*QTS)&lt;0,NA(),IF(OR(AG349&lt;0,AG349=""),NA(),((100-100/$AH$7*données_step[[#This Row],[E_NH4]])/100*QTS)))</f>
        <v>#NUM!</v>
      </c>
      <c r="AK349" s="523" t="str">
        <f>IF(AND($R349&gt;0,données_step[[#This Row],[E_PTOT]]&gt;0),données_step[[#This Row],[E_PTOT]],"")</f>
        <v/>
      </c>
      <c r="AL349" s="523" t="str">
        <f>IF(AK349="","",(1-données_step[[#This Row],[E_PTOT]]/$AN$7)*100)</f>
        <v/>
      </c>
      <c r="AM349" s="523" t="str">
        <f t="shared" si="89"/>
        <v/>
      </c>
      <c r="AN349" s="523" t="str">
        <f t="shared" si="90"/>
        <v/>
      </c>
      <c r="AO349" s="523" t="str">
        <f t="shared" si="91"/>
        <v/>
      </c>
      <c r="AP349" s="523" t="e">
        <f>IF(((100-100/$AN$7*données_step[[#This Row],[E_PTOT]])/100*QTS)&lt;0,NA(),IF(OR(AM349&lt;0,AM349=""),NA(),((100-100/$AN$7*données_step[[#This Row],[E_PTOT]])/100*QTS)))</f>
        <v>#NUM!</v>
      </c>
      <c r="AQ349" s="524" t="e">
        <f t="shared" si="92"/>
        <v>#NUM!</v>
      </c>
      <c r="AR349" s="524" t="str">
        <f t="shared" si="93"/>
        <v/>
      </c>
      <c r="AY349" s="523" t="str">
        <f>_xlfn.IFNA(IF(données_step[[#This Row],[E_DCO]]&lt;=0,NA(),charge_entree[[#This Row],[ch_E_DCO]]/constanten!$B$8*1000),"")</f>
        <v/>
      </c>
      <c r="AZ349" s="523" t="str">
        <f>_xlfn.IFNA(IF(données_step[[#This Row],[E_NTOT]]&lt;=0,NA(),charge_entree[[#This Row],[ch_E_NTOT]]/constanten!$B$10*1000),"")</f>
        <v/>
      </c>
      <c r="BA349" s="523" t="str">
        <f>_xlfn.IFNA(IF(données_step[[#This Row],[E_NH4]]&lt;=0,NA(),charge_entree[[#This Row],[ch_E_NH4]]/constanten!$B$12*1000),"")</f>
        <v/>
      </c>
      <c r="BB349" s="523" t="str">
        <f>_xlfn.IFNA(IF(données_step[[#This Row],[E_COT]]&lt;=0,NA(),charge_entree[[#This Row],[ch_E_COT]]/constanten!$B$9*1000),"")</f>
        <v/>
      </c>
      <c r="BC349" s="523" t="str">
        <f>IFERROR(_xlfn.IFNA(IF(données_step[[#This Row],[E_PTOT]]&lt;=0,NA(),charge_entree[[#This Row],[ch_E_PTOT]]/constanten!$B$15*1000),""),"")</f>
        <v/>
      </c>
      <c r="BD349" s="535" t="e">
        <f>calculs!E349 * (1-0.4) / (données_step[[#This Row],[X_BA_VOL]]*données_step[[#This Row],[X_BACONC]])</f>
        <v>#VALUE!</v>
      </c>
      <c r="BE349" s="522" t="e">
        <f>(données_step[[#This Row],[X_BA_VOL]]*données_step[[#This Row],[X_BACONC]])/((données_step[[#This Row],[D_QTRAI2]]*données_step[[#This Row],[S_MES]]/1000)+(données_step[[#This Row],[X_BX_Q]]*données_step[[#This Row],[X_BXCONC]]))</f>
        <v>#VALUE!</v>
      </c>
      <c r="BF349" s="890" t="str">
        <f>IFERROR(données_step[[#This Row],[D_QTRAI]]/AY349*1000,"")</f>
        <v/>
      </c>
      <c r="BG349" s="535" t="str">
        <f>IFERROR(1-données_step[[#This Row],[S_DBO5]]/données_step[[#This Row],[E_DBO5]],"")</f>
        <v/>
      </c>
      <c r="BH349" s="536" t="str">
        <f>IFERROR(1-données_step[[#This Row],[S_DCO]]/données_step[[#This Row],[E_DCO]],"")</f>
        <v/>
      </c>
      <c r="BI349" s="535" t="str">
        <f>IFERROR(1-données_step[[#This Row],[S_COD]]/données_step[[#This Row],[E_COT]],"")</f>
        <v/>
      </c>
      <c r="BJ349" s="535" t="str">
        <f>IFERROR(1-données_step[[#This Row],[S_NH4]]/données_step[[#This Row],[E_NTOT]],"")</f>
        <v/>
      </c>
      <c r="BK349" s="535" t="str">
        <f>IFERROR(1-données_step[[#This Row],[S_PTOT]]/données_step[[#This Row],[E_PTOT]],"")</f>
        <v/>
      </c>
      <c r="BL349" s="521" t="str">
        <f>IFERROR(IF(données_step[[#This Row],[E_DCO]]/données_step[[#This Row],[E_DBO5]]=0,NA(),données_step[[#This Row],[E_DCO]]/données_step[[#This Row],[E_DBO5]]),"")</f>
        <v/>
      </c>
      <c r="BM349" s="521" t="str">
        <f>IFERROR(IF(données_step[[#This Row],[E_NH4]]/données_step[[#This Row],[E_NTOT]]=0,NA(),données_step[[#This Row],[E_NH4]]/données_step[[#This Row],[E_NTOT]]),"")</f>
        <v/>
      </c>
      <c r="BN349" s="521" t="str">
        <f>IFERROR(IF(données_step[[#This Row],[E_NTOT]]/données_step[[#This Row],[E_COT]]=0,NA(),données_step[[#This Row],[E_NTOT]]/données_step[[#This Row],[E_COT]]),"")</f>
        <v/>
      </c>
      <c r="BO349" s="521" t="str">
        <f>IFERROR(IF(données_step[[#This Row],[E_PTOT]]/données_step[[#This Row],[E_COT]]=0,NA(),données_step[[#This Row],[E_PTOT]]/données_step[[#This Row],[E_COT]]),"")</f>
        <v/>
      </c>
      <c r="BP349" s="521" t="e">
        <f>IF(données_step[[#This Row],[E_DCO]]/données_step[[#This Row],[E_COT]]=0,NA(),données_step[[#This Row],[E_DCO]]/données_step[[#This Row],[E_COT]])</f>
        <v>#DIV/0!</v>
      </c>
      <c r="BQ349" s="521" t="e">
        <f>IF(données_step[[#This Row],[E_NTOT]]/données_step[[#This Row],[E_DCO]]=0,NA(),données_step[[#This Row],[E_NTOT]]/données_step[[#This Row],[E_DCO]])</f>
        <v>#DIV/0!</v>
      </c>
      <c r="BR349" s="521" t="e">
        <f>IF(données_step[[#This Row],[E_PTOT]]/données_step[[#This Row],[E_DCO]]=0,NA(),données_step[[#This Row],[E_PTOT]]/données_step[[#This Row],[E_DCO]])</f>
        <v>#DIV/0!</v>
      </c>
      <c r="BS349" s="747" t="e">
        <f ca="1">test_NH4_temp(données_step[[#This Row],[S_NH4]],données_step[[#This Row],[Temp_eaux]])</f>
        <v>#NAME?</v>
      </c>
    </row>
    <row r="350" spans="1:71" x14ac:dyDescent="0.2">
      <c r="A350" s="222">
        <f>données_step[[#This Row],[Datum]]</f>
        <v>44901</v>
      </c>
      <c r="B350" s="223"/>
      <c r="C350" s="224">
        <f t="shared" si="79"/>
        <v>3</v>
      </c>
      <c r="D350" s="523" t="str">
        <f>IF(OR(données_step[[#This Row],[E_DBO5]]&lt;=0,données_step[[#This Row],[E_DBO5]]=""),"",données_step[[#This Row],[D_QTRAI]]*données_step[[#This Row],[E_DBO5]]/1000)</f>
        <v/>
      </c>
      <c r="E350" s="523" t="str">
        <f>IF(OR(données_step[[#This Row],[E_DCO]]&lt;=0,données_step[[#This Row],[E_DCO]]=""),"",données_step[[#This Row],[D_QTRAI]]*données_step[[#This Row],[E_DCO]]/1000)</f>
        <v/>
      </c>
      <c r="F350" s="523" t="str">
        <f>IF(OR(données_step[[#This Row],[E_COT]]&lt;=0,données_step[[#This Row],[E_COT]]=""),"",données_step[[#This Row],[D_QTRAI]]*données_step[[#This Row],[E_COT]]/1000)</f>
        <v/>
      </c>
      <c r="G350" s="523" t="str">
        <f>IF(OR(données_step[[#This Row],[E_NH4]]&lt;=0,données_step[[#This Row],[E_NH4]]=""),"",données_step[[#This Row],[D_QTRAI]]*données_step[[#This Row],[E_NH4]]/1000)</f>
        <v/>
      </c>
      <c r="H350" s="523" t="str">
        <f>IF(OR(données_step[[#This Row],[E_NTOT]]&lt;=0,données_step[[#This Row],[E_NTOT]]=""),"",données_step[[#This Row],[D_QTRAI]]*données_step[[#This Row],[E_NTOT]]/1000)</f>
        <v/>
      </c>
      <c r="I350" s="523" t="str">
        <f>IF(OR(données_step[[#This Row],[E_NTOT]]&lt;=0,données_step[[#This Row],[E_NTOT]]=""),"",données_step[[#This Row],[D_QTRAI]]*données_step[[#This Row],[E_PTOT]]/1000)</f>
        <v/>
      </c>
      <c r="J350" s="523" t="str">
        <f>IF(OR(données_step[[#This Row],[S_DBO5]]&lt;=0,données_step[[#This Row],[S_DBO5]]=""),"",données_step[[#This Row],[D_QTRAI]]*données_step[[#This Row],[S_DBO5]]/1000)</f>
        <v/>
      </c>
      <c r="K350" s="523" t="str">
        <f>IF(OR(données_step[[#This Row],[S_DCO]]&lt;=0,données_step[[#This Row],[S_DCO]]=""),"",données_step[[#This Row],[D_QTRAI]]*données_step[[#This Row],[S_DCO]]/1000)</f>
        <v/>
      </c>
      <c r="L350" s="523" t="str">
        <f>IF(OR(données_step[[#This Row],[S_COD]]&lt;=0,données_step[[#This Row],[S_COD]]=""),"",données_step[[#This Row],[D_QTRAI]]*données_step[[#This Row],[S_COD]]/1000)</f>
        <v/>
      </c>
      <c r="M350" s="523" t="str">
        <f>IF(OR(données_step[[#This Row],[S_NH4]]&lt;=0,données_step[[#This Row],[S_NH4]]=""),"",données_step[[#This Row],[D_QTRAI]]*données_step[[#This Row],[S_NH4]]/1000)</f>
        <v/>
      </c>
      <c r="N350" s="523" t="str">
        <f>IF(OR(données_step[[#This Row],[S_NO2]]&lt;=0,données_step[[#This Row],[S_NO2]]=""),"",données_step[[#This Row],[D_QTRAI]]*données_step[[#This Row],[S_NO2]]/1000)</f>
        <v/>
      </c>
      <c r="O350" s="523" t="str">
        <f>IF(OR(données_step[[#This Row],[S_NO3]]&lt;=0,données_step[[#This Row],[S_NO3]]=""),"",données_step[[#This Row],[D_QTRAI]]*données_step[[#This Row],[S_NO3]]/1000)</f>
        <v/>
      </c>
      <c r="P350" s="523" t="str">
        <f>IF(OR(données_step[[#This Row],[S_PTOT]]&lt;=0,données_step[[#This Row],[S_PTOT]]=""),"",données_step[[#This Row],[D_QTRAI]]*données_step[[#This Row],[S_PTOT]]/1000)</f>
        <v/>
      </c>
      <c r="Q350" s="523" t="str">
        <f>IF(OR(données_step[[#This Row],[S_MES]]&lt;=0,données_step[[#This Row],[S_MES]]=""),"",données_step[[#This Row],[D_QTRAI]]*données_step[[#This Row],[S_MES]]/1000)</f>
        <v/>
      </c>
      <c r="R350" s="523">
        <f>MAX(données_step[[#This Row],[D_QTRAI]],données_step[[#This Row],[D_QTRAI2]])</f>
        <v>0</v>
      </c>
      <c r="S350" s="523" t="str">
        <f>IF(AND($R350&gt;0,données_step[[#This Row],[E_DCO]]&gt;0),données_step[[#This Row],[E_DCO]],"")</f>
        <v/>
      </c>
      <c r="T350" s="523" t="str">
        <f>IF(S350="","",(1-données_step[[#This Row],[E_DCO]]/$V$7)*100)</f>
        <v/>
      </c>
      <c r="U350" s="523" t="str">
        <f t="shared" si="80"/>
        <v/>
      </c>
      <c r="V350" s="523" t="str">
        <f t="shared" si="81"/>
        <v/>
      </c>
      <c r="W350" s="523" t="str">
        <f t="shared" si="82"/>
        <v/>
      </c>
      <c r="X350" s="523" t="e">
        <f>IF(((100-100/$V$7*données_step[[#This Row],[E_DCO]])/100*QTS)&lt;0,NA(),IF(OR(U350&lt;0,U350=""),NA(),((100-100/$V$7*données_step[[#This Row],[E_DCO]])/100*QTS)))</f>
        <v>#NUM!</v>
      </c>
      <c r="Y350" s="523" t="str">
        <f>IF(AND($R350&gt;0,données_step[[#This Row],[E_COT]]&gt;0),données_step[[#This Row],[E_COT]],"")</f>
        <v/>
      </c>
      <c r="Z350" s="523" t="str">
        <f>IF(Y350="","",(1-données_step[[#This Row],[E_COT]]/$AB$7)*100)</f>
        <v/>
      </c>
      <c r="AA350" s="523" t="str">
        <f t="shared" si="83"/>
        <v/>
      </c>
      <c r="AB350" s="523" t="str">
        <f t="shared" si="84"/>
        <v/>
      </c>
      <c r="AC350" s="523" t="str">
        <f t="shared" si="85"/>
        <v/>
      </c>
      <c r="AD350" s="523" t="e">
        <f>IF(((100-100/$AB$7*données_step[[#This Row],[E_COT]])/100*QTS)&lt;0,NA(),IF(OR(AA350&lt;0,AA350=""),NA(),((100-100/$AB$7*données_step[[#This Row],[E_COT]])/100*QTS)))</f>
        <v>#NUM!</v>
      </c>
      <c r="AE350" s="523" t="str">
        <f>IF(AND($R350&gt;0,données_step[[#This Row],[E_NH4]]&gt;0),données_step[[#This Row],[E_NH4]],"")</f>
        <v/>
      </c>
      <c r="AF350" s="523" t="str">
        <f>IF(AE350="","",(1-données_step[[#This Row],[E_NH4]]/$AH$7)*100)</f>
        <v/>
      </c>
      <c r="AG350" s="523" t="str">
        <f t="shared" si="86"/>
        <v/>
      </c>
      <c r="AH350" s="523" t="str">
        <f t="shared" si="87"/>
        <v/>
      </c>
      <c r="AI350" s="523" t="str">
        <f t="shared" si="88"/>
        <v/>
      </c>
      <c r="AJ350" s="523" t="e">
        <f>IF(((100-100/$AH$7*données_step[[#This Row],[E_NH4]])/100*QTS)&lt;0,NA(),IF(OR(AG350&lt;0,AG350=""),NA(),((100-100/$AH$7*données_step[[#This Row],[E_NH4]])/100*QTS)))</f>
        <v>#NUM!</v>
      </c>
      <c r="AK350" s="523" t="str">
        <f>IF(AND($R350&gt;0,données_step[[#This Row],[E_PTOT]]&gt;0),données_step[[#This Row],[E_PTOT]],"")</f>
        <v/>
      </c>
      <c r="AL350" s="523" t="str">
        <f>IF(AK350="","",(1-données_step[[#This Row],[E_PTOT]]/$AN$7)*100)</f>
        <v/>
      </c>
      <c r="AM350" s="523" t="str">
        <f t="shared" si="89"/>
        <v/>
      </c>
      <c r="AN350" s="523" t="str">
        <f t="shared" si="90"/>
        <v/>
      </c>
      <c r="AO350" s="523" t="str">
        <f t="shared" si="91"/>
        <v/>
      </c>
      <c r="AP350" s="523" t="e">
        <f>IF(((100-100/$AN$7*données_step[[#This Row],[E_PTOT]])/100*QTS)&lt;0,NA(),IF(OR(AM350&lt;0,AM350=""),NA(),((100-100/$AN$7*données_step[[#This Row],[E_PTOT]])/100*QTS)))</f>
        <v>#NUM!</v>
      </c>
      <c r="AQ350" s="524" t="e">
        <f t="shared" si="92"/>
        <v>#NUM!</v>
      </c>
      <c r="AR350" s="524" t="str">
        <f t="shared" si="93"/>
        <v/>
      </c>
      <c r="AY350" s="523" t="str">
        <f>_xlfn.IFNA(IF(données_step[[#This Row],[E_DCO]]&lt;=0,NA(),charge_entree[[#This Row],[ch_E_DCO]]/constanten!$B$8*1000),"")</f>
        <v/>
      </c>
      <c r="AZ350" s="523" t="str">
        <f>_xlfn.IFNA(IF(données_step[[#This Row],[E_NTOT]]&lt;=0,NA(),charge_entree[[#This Row],[ch_E_NTOT]]/constanten!$B$10*1000),"")</f>
        <v/>
      </c>
      <c r="BA350" s="523" t="str">
        <f>_xlfn.IFNA(IF(données_step[[#This Row],[E_NH4]]&lt;=0,NA(),charge_entree[[#This Row],[ch_E_NH4]]/constanten!$B$12*1000),"")</f>
        <v/>
      </c>
      <c r="BB350" s="523" t="str">
        <f>_xlfn.IFNA(IF(données_step[[#This Row],[E_COT]]&lt;=0,NA(),charge_entree[[#This Row],[ch_E_COT]]/constanten!$B$9*1000),"")</f>
        <v/>
      </c>
      <c r="BC350" s="523" t="str">
        <f>IFERROR(_xlfn.IFNA(IF(données_step[[#This Row],[E_PTOT]]&lt;=0,NA(),charge_entree[[#This Row],[ch_E_PTOT]]/constanten!$B$15*1000),""),"")</f>
        <v/>
      </c>
      <c r="BD350" s="535" t="e">
        <f>calculs!E350 * (1-0.4) / (données_step[[#This Row],[X_BA_VOL]]*données_step[[#This Row],[X_BACONC]])</f>
        <v>#VALUE!</v>
      </c>
      <c r="BE350" s="522" t="e">
        <f>(données_step[[#This Row],[X_BA_VOL]]*données_step[[#This Row],[X_BACONC]])/((données_step[[#This Row],[D_QTRAI2]]*données_step[[#This Row],[S_MES]]/1000)+(données_step[[#This Row],[X_BX_Q]]*données_step[[#This Row],[X_BXCONC]]))</f>
        <v>#VALUE!</v>
      </c>
      <c r="BF350" s="890" t="str">
        <f>IFERROR(données_step[[#This Row],[D_QTRAI]]/AY350*1000,"")</f>
        <v/>
      </c>
      <c r="BG350" s="535" t="str">
        <f>IFERROR(1-données_step[[#This Row],[S_DBO5]]/données_step[[#This Row],[E_DBO5]],"")</f>
        <v/>
      </c>
      <c r="BH350" s="536" t="str">
        <f>IFERROR(1-données_step[[#This Row],[S_DCO]]/données_step[[#This Row],[E_DCO]],"")</f>
        <v/>
      </c>
      <c r="BI350" s="535" t="str">
        <f>IFERROR(1-données_step[[#This Row],[S_COD]]/données_step[[#This Row],[E_COT]],"")</f>
        <v/>
      </c>
      <c r="BJ350" s="535" t="str">
        <f>IFERROR(1-données_step[[#This Row],[S_NH4]]/données_step[[#This Row],[E_NTOT]],"")</f>
        <v/>
      </c>
      <c r="BK350" s="535" t="str">
        <f>IFERROR(1-données_step[[#This Row],[S_PTOT]]/données_step[[#This Row],[E_PTOT]],"")</f>
        <v/>
      </c>
      <c r="BL350" s="521" t="str">
        <f>IFERROR(IF(données_step[[#This Row],[E_DCO]]/données_step[[#This Row],[E_DBO5]]=0,NA(),données_step[[#This Row],[E_DCO]]/données_step[[#This Row],[E_DBO5]]),"")</f>
        <v/>
      </c>
      <c r="BM350" s="521" t="str">
        <f>IFERROR(IF(données_step[[#This Row],[E_NH4]]/données_step[[#This Row],[E_NTOT]]=0,NA(),données_step[[#This Row],[E_NH4]]/données_step[[#This Row],[E_NTOT]]),"")</f>
        <v/>
      </c>
      <c r="BN350" s="521" t="str">
        <f>IFERROR(IF(données_step[[#This Row],[E_NTOT]]/données_step[[#This Row],[E_COT]]=0,NA(),données_step[[#This Row],[E_NTOT]]/données_step[[#This Row],[E_COT]]),"")</f>
        <v/>
      </c>
      <c r="BO350" s="521" t="str">
        <f>IFERROR(IF(données_step[[#This Row],[E_PTOT]]/données_step[[#This Row],[E_COT]]=0,NA(),données_step[[#This Row],[E_PTOT]]/données_step[[#This Row],[E_COT]]),"")</f>
        <v/>
      </c>
      <c r="BP350" s="521" t="e">
        <f>IF(données_step[[#This Row],[E_DCO]]/données_step[[#This Row],[E_COT]]=0,NA(),données_step[[#This Row],[E_DCO]]/données_step[[#This Row],[E_COT]])</f>
        <v>#DIV/0!</v>
      </c>
      <c r="BQ350" s="521" t="e">
        <f>IF(données_step[[#This Row],[E_NTOT]]/données_step[[#This Row],[E_DCO]]=0,NA(),données_step[[#This Row],[E_NTOT]]/données_step[[#This Row],[E_DCO]])</f>
        <v>#DIV/0!</v>
      </c>
      <c r="BR350" s="521" t="e">
        <f>IF(données_step[[#This Row],[E_PTOT]]/données_step[[#This Row],[E_DCO]]=0,NA(),données_step[[#This Row],[E_PTOT]]/données_step[[#This Row],[E_DCO]])</f>
        <v>#DIV/0!</v>
      </c>
      <c r="BS350" s="747" t="e">
        <f ca="1">test_NH4_temp(données_step[[#This Row],[S_NH4]],données_step[[#This Row],[Temp_eaux]])</f>
        <v>#NAME?</v>
      </c>
    </row>
    <row r="351" spans="1:71" x14ac:dyDescent="0.2">
      <c r="A351" s="222">
        <f>données_step[[#This Row],[Datum]]</f>
        <v>44902</v>
      </c>
      <c r="B351" s="223"/>
      <c r="C351" s="224">
        <f t="shared" si="79"/>
        <v>4</v>
      </c>
      <c r="D351" s="523" t="str">
        <f>IF(OR(données_step[[#This Row],[E_DBO5]]&lt;=0,données_step[[#This Row],[E_DBO5]]=""),"",données_step[[#This Row],[D_QTRAI]]*données_step[[#This Row],[E_DBO5]]/1000)</f>
        <v/>
      </c>
      <c r="E351" s="523" t="str">
        <f>IF(OR(données_step[[#This Row],[E_DCO]]&lt;=0,données_step[[#This Row],[E_DCO]]=""),"",données_step[[#This Row],[D_QTRAI]]*données_step[[#This Row],[E_DCO]]/1000)</f>
        <v/>
      </c>
      <c r="F351" s="523" t="str">
        <f>IF(OR(données_step[[#This Row],[E_COT]]&lt;=0,données_step[[#This Row],[E_COT]]=""),"",données_step[[#This Row],[D_QTRAI]]*données_step[[#This Row],[E_COT]]/1000)</f>
        <v/>
      </c>
      <c r="G351" s="523" t="str">
        <f>IF(OR(données_step[[#This Row],[E_NH4]]&lt;=0,données_step[[#This Row],[E_NH4]]=""),"",données_step[[#This Row],[D_QTRAI]]*données_step[[#This Row],[E_NH4]]/1000)</f>
        <v/>
      </c>
      <c r="H351" s="523" t="str">
        <f>IF(OR(données_step[[#This Row],[E_NTOT]]&lt;=0,données_step[[#This Row],[E_NTOT]]=""),"",données_step[[#This Row],[D_QTRAI]]*données_step[[#This Row],[E_NTOT]]/1000)</f>
        <v/>
      </c>
      <c r="I351" s="523" t="str">
        <f>IF(OR(données_step[[#This Row],[E_NTOT]]&lt;=0,données_step[[#This Row],[E_NTOT]]=""),"",données_step[[#This Row],[D_QTRAI]]*données_step[[#This Row],[E_PTOT]]/1000)</f>
        <v/>
      </c>
      <c r="J351" s="523" t="str">
        <f>IF(OR(données_step[[#This Row],[S_DBO5]]&lt;=0,données_step[[#This Row],[S_DBO5]]=""),"",données_step[[#This Row],[D_QTRAI]]*données_step[[#This Row],[S_DBO5]]/1000)</f>
        <v/>
      </c>
      <c r="K351" s="523" t="str">
        <f>IF(OR(données_step[[#This Row],[S_DCO]]&lt;=0,données_step[[#This Row],[S_DCO]]=""),"",données_step[[#This Row],[D_QTRAI]]*données_step[[#This Row],[S_DCO]]/1000)</f>
        <v/>
      </c>
      <c r="L351" s="523" t="str">
        <f>IF(OR(données_step[[#This Row],[S_COD]]&lt;=0,données_step[[#This Row],[S_COD]]=""),"",données_step[[#This Row],[D_QTRAI]]*données_step[[#This Row],[S_COD]]/1000)</f>
        <v/>
      </c>
      <c r="M351" s="523" t="str">
        <f>IF(OR(données_step[[#This Row],[S_NH4]]&lt;=0,données_step[[#This Row],[S_NH4]]=""),"",données_step[[#This Row],[D_QTRAI]]*données_step[[#This Row],[S_NH4]]/1000)</f>
        <v/>
      </c>
      <c r="N351" s="523" t="str">
        <f>IF(OR(données_step[[#This Row],[S_NO2]]&lt;=0,données_step[[#This Row],[S_NO2]]=""),"",données_step[[#This Row],[D_QTRAI]]*données_step[[#This Row],[S_NO2]]/1000)</f>
        <v/>
      </c>
      <c r="O351" s="523" t="str">
        <f>IF(OR(données_step[[#This Row],[S_NO3]]&lt;=0,données_step[[#This Row],[S_NO3]]=""),"",données_step[[#This Row],[D_QTRAI]]*données_step[[#This Row],[S_NO3]]/1000)</f>
        <v/>
      </c>
      <c r="P351" s="523" t="str">
        <f>IF(OR(données_step[[#This Row],[S_PTOT]]&lt;=0,données_step[[#This Row],[S_PTOT]]=""),"",données_step[[#This Row],[D_QTRAI]]*données_step[[#This Row],[S_PTOT]]/1000)</f>
        <v/>
      </c>
      <c r="Q351" s="523" t="str">
        <f>IF(OR(données_step[[#This Row],[S_MES]]&lt;=0,données_step[[#This Row],[S_MES]]=""),"",données_step[[#This Row],[D_QTRAI]]*données_step[[#This Row],[S_MES]]/1000)</f>
        <v/>
      </c>
      <c r="R351" s="523">
        <f>MAX(données_step[[#This Row],[D_QTRAI]],données_step[[#This Row],[D_QTRAI2]])</f>
        <v>0</v>
      </c>
      <c r="S351" s="523" t="str">
        <f>IF(AND($R351&gt;0,données_step[[#This Row],[E_DCO]]&gt;0),données_step[[#This Row],[E_DCO]],"")</f>
        <v/>
      </c>
      <c r="T351" s="523" t="str">
        <f>IF(S351="","",(1-données_step[[#This Row],[E_DCO]]/$V$7)*100)</f>
        <v/>
      </c>
      <c r="U351" s="523" t="str">
        <f t="shared" si="80"/>
        <v/>
      </c>
      <c r="V351" s="523" t="str">
        <f t="shared" si="81"/>
        <v/>
      </c>
      <c r="W351" s="523" t="str">
        <f t="shared" si="82"/>
        <v/>
      </c>
      <c r="X351" s="523" t="e">
        <f>IF(((100-100/$V$7*données_step[[#This Row],[E_DCO]])/100*QTS)&lt;0,NA(),IF(OR(U351&lt;0,U351=""),NA(),((100-100/$V$7*données_step[[#This Row],[E_DCO]])/100*QTS)))</f>
        <v>#NUM!</v>
      </c>
      <c r="Y351" s="523" t="str">
        <f>IF(AND($R351&gt;0,données_step[[#This Row],[E_COT]]&gt;0),données_step[[#This Row],[E_COT]],"")</f>
        <v/>
      </c>
      <c r="Z351" s="523" t="str">
        <f>IF(Y351="","",(1-données_step[[#This Row],[E_COT]]/$AB$7)*100)</f>
        <v/>
      </c>
      <c r="AA351" s="523" t="str">
        <f t="shared" si="83"/>
        <v/>
      </c>
      <c r="AB351" s="523" t="str">
        <f t="shared" si="84"/>
        <v/>
      </c>
      <c r="AC351" s="523" t="str">
        <f t="shared" si="85"/>
        <v/>
      </c>
      <c r="AD351" s="523" t="e">
        <f>IF(((100-100/$AB$7*données_step[[#This Row],[E_COT]])/100*QTS)&lt;0,NA(),IF(OR(AA351&lt;0,AA351=""),NA(),((100-100/$AB$7*données_step[[#This Row],[E_COT]])/100*QTS)))</f>
        <v>#NUM!</v>
      </c>
      <c r="AE351" s="523" t="str">
        <f>IF(AND($R351&gt;0,données_step[[#This Row],[E_NH4]]&gt;0),données_step[[#This Row],[E_NH4]],"")</f>
        <v/>
      </c>
      <c r="AF351" s="523" t="str">
        <f>IF(AE351="","",(1-données_step[[#This Row],[E_NH4]]/$AH$7)*100)</f>
        <v/>
      </c>
      <c r="AG351" s="523" t="str">
        <f t="shared" si="86"/>
        <v/>
      </c>
      <c r="AH351" s="523" t="str">
        <f t="shared" si="87"/>
        <v/>
      </c>
      <c r="AI351" s="523" t="str">
        <f t="shared" si="88"/>
        <v/>
      </c>
      <c r="AJ351" s="523" t="e">
        <f>IF(((100-100/$AH$7*données_step[[#This Row],[E_NH4]])/100*QTS)&lt;0,NA(),IF(OR(AG351&lt;0,AG351=""),NA(),((100-100/$AH$7*données_step[[#This Row],[E_NH4]])/100*QTS)))</f>
        <v>#NUM!</v>
      </c>
      <c r="AK351" s="523" t="str">
        <f>IF(AND($R351&gt;0,données_step[[#This Row],[E_PTOT]]&gt;0),données_step[[#This Row],[E_PTOT]],"")</f>
        <v/>
      </c>
      <c r="AL351" s="523" t="str">
        <f>IF(AK351="","",(1-données_step[[#This Row],[E_PTOT]]/$AN$7)*100)</f>
        <v/>
      </c>
      <c r="AM351" s="523" t="str">
        <f t="shared" si="89"/>
        <v/>
      </c>
      <c r="AN351" s="523" t="str">
        <f t="shared" si="90"/>
        <v/>
      </c>
      <c r="AO351" s="523" t="str">
        <f t="shared" si="91"/>
        <v/>
      </c>
      <c r="AP351" s="523" t="e">
        <f>IF(((100-100/$AN$7*données_step[[#This Row],[E_PTOT]])/100*QTS)&lt;0,NA(),IF(OR(AM351&lt;0,AM351=""),NA(),((100-100/$AN$7*données_step[[#This Row],[E_PTOT]])/100*QTS)))</f>
        <v>#NUM!</v>
      </c>
      <c r="AQ351" s="524" t="e">
        <f t="shared" si="92"/>
        <v>#NUM!</v>
      </c>
      <c r="AR351" s="524" t="str">
        <f t="shared" si="93"/>
        <v/>
      </c>
      <c r="AY351" s="523" t="str">
        <f>_xlfn.IFNA(IF(données_step[[#This Row],[E_DCO]]&lt;=0,NA(),charge_entree[[#This Row],[ch_E_DCO]]/constanten!$B$8*1000),"")</f>
        <v/>
      </c>
      <c r="AZ351" s="523" t="str">
        <f>_xlfn.IFNA(IF(données_step[[#This Row],[E_NTOT]]&lt;=0,NA(),charge_entree[[#This Row],[ch_E_NTOT]]/constanten!$B$10*1000),"")</f>
        <v/>
      </c>
      <c r="BA351" s="523" t="str">
        <f>_xlfn.IFNA(IF(données_step[[#This Row],[E_NH4]]&lt;=0,NA(),charge_entree[[#This Row],[ch_E_NH4]]/constanten!$B$12*1000),"")</f>
        <v/>
      </c>
      <c r="BB351" s="523" t="str">
        <f>_xlfn.IFNA(IF(données_step[[#This Row],[E_COT]]&lt;=0,NA(),charge_entree[[#This Row],[ch_E_COT]]/constanten!$B$9*1000),"")</f>
        <v/>
      </c>
      <c r="BC351" s="523" t="str">
        <f>IFERROR(_xlfn.IFNA(IF(données_step[[#This Row],[E_PTOT]]&lt;=0,NA(),charge_entree[[#This Row],[ch_E_PTOT]]/constanten!$B$15*1000),""),"")</f>
        <v/>
      </c>
      <c r="BD351" s="535" t="e">
        <f>calculs!E351 * (1-0.4) / (données_step[[#This Row],[X_BA_VOL]]*données_step[[#This Row],[X_BACONC]])</f>
        <v>#VALUE!</v>
      </c>
      <c r="BE351" s="522" t="e">
        <f>(données_step[[#This Row],[X_BA_VOL]]*données_step[[#This Row],[X_BACONC]])/((données_step[[#This Row],[D_QTRAI2]]*données_step[[#This Row],[S_MES]]/1000)+(données_step[[#This Row],[X_BX_Q]]*données_step[[#This Row],[X_BXCONC]]))</f>
        <v>#VALUE!</v>
      </c>
      <c r="BF351" s="890" t="str">
        <f>IFERROR(données_step[[#This Row],[D_QTRAI]]/AY351*1000,"")</f>
        <v/>
      </c>
      <c r="BG351" s="535" t="str">
        <f>IFERROR(1-données_step[[#This Row],[S_DBO5]]/données_step[[#This Row],[E_DBO5]],"")</f>
        <v/>
      </c>
      <c r="BH351" s="536" t="str">
        <f>IFERROR(1-données_step[[#This Row],[S_DCO]]/données_step[[#This Row],[E_DCO]],"")</f>
        <v/>
      </c>
      <c r="BI351" s="535" t="str">
        <f>IFERROR(1-données_step[[#This Row],[S_COD]]/données_step[[#This Row],[E_COT]],"")</f>
        <v/>
      </c>
      <c r="BJ351" s="535" t="str">
        <f>IFERROR(1-données_step[[#This Row],[S_NH4]]/données_step[[#This Row],[E_NTOT]],"")</f>
        <v/>
      </c>
      <c r="BK351" s="535" t="str">
        <f>IFERROR(1-données_step[[#This Row],[S_PTOT]]/données_step[[#This Row],[E_PTOT]],"")</f>
        <v/>
      </c>
      <c r="BL351" s="521" t="str">
        <f>IFERROR(IF(données_step[[#This Row],[E_DCO]]/données_step[[#This Row],[E_DBO5]]=0,NA(),données_step[[#This Row],[E_DCO]]/données_step[[#This Row],[E_DBO5]]),"")</f>
        <v/>
      </c>
      <c r="BM351" s="521" t="str">
        <f>IFERROR(IF(données_step[[#This Row],[E_NH4]]/données_step[[#This Row],[E_NTOT]]=0,NA(),données_step[[#This Row],[E_NH4]]/données_step[[#This Row],[E_NTOT]]),"")</f>
        <v/>
      </c>
      <c r="BN351" s="521" t="str">
        <f>IFERROR(IF(données_step[[#This Row],[E_NTOT]]/données_step[[#This Row],[E_COT]]=0,NA(),données_step[[#This Row],[E_NTOT]]/données_step[[#This Row],[E_COT]]),"")</f>
        <v/>
      </c>
      <c r="BO351" s="521" t="str">
        <f>IFERROR(IF(données_step[[#This Row],[E_PTOT]]/données_step[[#This Row],[E_COT]]=0,NA(),données_step[[#This Row],[E_PTOT]]/données_step[[#This Row],[E_COT]]),"")</f>
        <v/>
      </c>
      <c r="BP351" s="521" t="e">
        <f>IF(données_step[[#This Row],[E_DCO]]/données_step[[#This Row],[E_COT]]=0,NA(),données_step[[#This Row],[E_DCO]]/données_step[[#This Row],[E_COT]])</f>
        <v>#DIV/0!</v>
      </c>
      <c r="BQ351" s="521" t="e">
        <f>IF(données_step[[#This Row],[E_NTOT]]/données_step[[#This Row],[E_DCO]]=0,NA(),données_step[[#This Row],[E_NTOT]]/données_step[[#This Row],[E_DCO]])</f>
        <v>#DIV/0!</v>
      </c>
      <c r="BR351" s="521" t="e">
        <f>IF(données_step[[#This Row],[E_PTOT]]/données_step[[#This Row],[E_DCO]]=0,NA(),données_step[[#This Row],[E_PTOT]]/données_step[[#This Row],[E_DCO]])</f>
        <v>#DIV/0!</v>
      </c>
      <c r="BS351" s="747" t="e">
        <f ca="1">test_NH4_temp(données_step[[#This Row],[S_NH4]],données_step[[#This Row],[Temp_eaux]])</f>
        <v>#NAME?</v>
      </c>
    </row>
    <row r="352" spans="1:71" x14ac:dyDescent="0.2">
      <c r="A352" s="222">
        <f>données_step[[#This Row],[Datum]]</f>
        <v>44903</v>
      </c>
      <c r="B352" s="223"/>
      <c r="C352" s="224">
        <f t="shared" ref="C352:C375" si="94">WEEKDAY(A352)</f>
        <v>5</v>
      </c>
      <c r="D352" s="523" t="str">
        <f>IF(OR(données_step[[#This Row],[E_DBO5]]&lt;=0,données_step[[#This Row],[E_DBO5]]=""),"",données_step[[#This Row],[D_QTRAI]]*données_step[[#This Row],[E_DBO5]]/1000)</f>
        <v/>
      </c>
      <c r="E352" s="523" t="str">
        <f>IF(OR(données_step[[#This Row],[E_DCO]]&lt;=0,données_step[[#This Row],[E_DCO]]=""),"",données_step[[#This Row],[D_QTRAI]]*données_step[[#This Row],[E_DCO]]/1000)</f>
        <v/>
      </c>
      <c r="F352" s="523" t="str">
        <f>IF(OR(données_step[[#This Row],[E_COT]]&lt;=0,données_step[[#This Row],[E_COT]]=""),"",données_step[[#This Row],[D_QTRAI]]*données_step[[#This Row],[E_COT]]/1000)</f>
        <v/>
      </c>
      <c r="G352" s="523" t="str">
        <f>IF(OR(données_step[[#This Row],[E_NH4]]&lt;=0,données_step[[#This Row],[E_NH4]]=""),"",données_step[[#This Row],[D_QTRAI]]*données_step[[#This Row],[E_NH4]]/1000)</f>
        <v/>
      </c>
      <c r="H352" s="523" t="str">
        <f>IF(OR(données_step[[#This Row],[E_NTOT]]&lt;=0,données_step[[#This Row],[E_NTOT]]=""),"",données_step[[#This Row],[D_QTRAI]]*données_step[[#This Row],[E_NTOT]]/1000)</f>
        <v/>
      </c>
      <c r="I352" s="523" t="str">
        <f>IF(OR(données_step[[#This Row],[E_NTOT]]&lt;=0,données_step[[#This Row],[E_NTOT]]=""),"",données_step[[#This Row],[D_QTRAI]]*données_step[[#This Row],[E_PTOT]]/1000)</f>
        <v/>
      </c>
      <c r="J352" s="523" t="str">
        <f>IF(OR(données_step[[#This Row],[S_DBO5]]&lt;=0,données_step[[#This Row],[S_DBO5]]=""),"",données_step[[#This Row],[D_QTRAI]]*données_step[[#This Row],[S_DBO5]]/1000)</f>
        <v/>
      </c>
      <c r="K352" s="523" t="str">
        <f>IF(OR(données_step[[#This Row],[S_DCO]]&lt;=0,données_step[[#This Row],[S_DCO]]=""),"",données_step[[#This Row],[D_QTRAI]]*données_step[[#This Row],[S_DCO]]/1000)</f>
        <v/>
      </c>
      <c r="L352" s="523" t="str">
        <f>IF(OR(données_step[[#This Row],[S_COD]]&lt;=0,données_step[[#This Row],[S_COD]]=""),"",données_step[[#This Row],[D_QTRAI]]*données_step[[#This Row],[S_COD]]/1000)</f>
        <v/>
      </c>
      <c r="M352" s="523" t="str">
        <f>IF(OR(données_step[[#This Row],[S_NH4]]&lt;=0,données_step[[#This Row],[S_NH4]]=""),"",données_step[[#This Row],[D_QTRAI]]*données_step[[#This Row],[S_NH4]]/1000)</f>
        <v/>
      </c>
      <c r="N352" s="523" t="str">
        <f>IF(OR(données_step[[#This Row],[S_NO2]]&lt;=0,données_step[[#This Row],[S_NO2]]=""),"",données_step[[#This Row],[D_QTRAI]]*données_step[[#This Row],[S_NO2]]/1000)</f>
        <v/>
      </c>
      <c r="O352" s="523" t="str">
        <f>IF(OR(données_step[[#This Row],[S_NO3]]&lt;=0,données_step[[#This Row],[S_NO3]]=""),"",données_step[[#This Row],[D_QTRAI]]*données_step[[#This Row],[S_NO3]]/1000)</f>
        <v/>
      </c>
      <c r="P352" s="523" t="str">
        <f>IF(OR(données_step[[#This Row],[S_PTOT]]&lt;=0,données_step[[#This Row],[S_PTOT]]=""),"",données_step[[#This Row],[D_QTRAI]]*données_step[[#This Row],[S_PTOT]]/1000)</f>
        <v/>
      </c>
      <c r="Q352" s="523" t="str">
        <f>IF(OR(données_step[[#This Row],[S_MES]]&lt;=0,données_step[[#This Row],[S_MES]]=""),"",données_step[[#This Row],[D_QTRAI]]*données_step[[#This Row],[S_MES]]/1000)</f>
        <v/>
      </c>
      <c r="R352" s="523">
        <f>MAX(données_step[[#This Row],[D_QTRAI]],données_step[[#This Row],[D_QTRAI2]])</f>
        <v>0</v>
      </c>
      <c r="S352" s="523" t="str">
        <f>IF(AND($R352&gt;0,données_step[[#This Row],[E_DCO]]&gt;0),données_step[[#This Row],[E_DCO]],"")</f>
        <v/>
      </c>
      <c r="T352" s="523" t="str">
        <f>IF(S352="","",(1-données_step[[#This Row],[E_DCO]]/$V$7)*100)</f>
        <v/>
      </c>
      <c r="U352" s="523" t="str">
        <f t="shared" si="80"/>
        <v/>
      </c>
      <c r="V352" s="523" t="str">
        <f t="shared" si="81"/>
        <v/>
      </c>
      <c r="W352" s="523" t="str">
        <f t="shared" si="82"/>
        <v/>
      </c>
      <c r="X352" s="523" t="e">
        <f>IF(((100-100/$V$7*données_step[[#This Row],[E_DCO]])/100*QTS)&lt;0,NA(),IF(OR(U352&lt;0,U352=""),NA(),((100-100/$V$7*données_step[[#This Row],[E_DCO]])/100*QTS)))</f>
        <v>#NUM!</v>
      </c>
      <c r="Y352" s="523" t="str">
        <f>IF(AND($R352&gt;0,données_step[[#This Row],[E_COT]]&gt;0),données_step[[#This Row],[E_COT]],"")</f>
        <v/>
      </c>
      <c r="Z352" s="523" t="str">
        <f>IF(Y352="","",(1-données_step[[#This Row],[E_COT]]/$AB$7)*100)</f>
        <v/>
      </c>
      <c r="AA352" s="523" t="str">
        <f t="shared" si="83"/>
        <v/>
      </c>
      <c r="AB352" s="523" t="str">
        <f t="shared" si="84"/>
        <v/>
      </c>
      <c r="AC352" s="523" t="str">
        <f t="shared" si="85"/>
        <v/>
      </c>
      <c r="AD352" s="523" t="e">
        <f>IF(((100-100/$AB$7*données_step[[#This Row],[E_COT]])/100*QTS)&lt;0,NA(),IF(OR(AA352&lt;0,AA352=""),NA(),((100-100/$AB$7*données_step[[#This Row],[E_COT]])/100*QTS)))</f>
        <v>#NUM!</v>
      </c>
      <c r="AE352" s="523" t="str">
        <f>IF(AND($R352&gt;0,données_step[[#This Row],[E_NH4]]&gt;0),données_step[[#This Row],[E_NH4]],"")</f>
        <v/>
      </c>
      <c r="AF352" s="523" t="str">
        <f>IF(AE352="","",(1-données_step[[#This Row],[E_NH4]]/$AH$7)*100)</f>
        <v/>
      </c>
      <c r="AG352" s="523" t="str">
        <f t="shared" si="86"/>
        <v/>
      </c>
      <c r="AH352" s="523" t="str">
        <f t="shared" si="87"/>
        <v/>
      </c>
      <c r="AI352" s="523" t="str">
        <f t="shared" si="88"/>
        <v/>
      </c>
      <c r="AJ352" s="523" t="e">
        <f>IF(((100-100/$AH$7*données_step[[#This Row],[E_NH4]])/100*QTS)&lt;0,NA(),IF(OR(AG352&lt;0,AG352=""),NA(),((100-100/$AH$7*données_step[[#This Row],[E_NH4]])/100*QTS)))</f>
        <v>#NUM!</v>
      </c>
      <c r="AK352" s="523" t="str">
        <f>IF(AND($R352&gt;0,données_step[[#This Row],[E_PTOT]]&gt;0),données_step[[#This Row],[E_PTOT]],"")</f>
        <v/>
      </c>
      <c r="AL352" s="523" t="str">
        <f>IF(AK352="","",(1-données_step[[#This Row],[E_PTOT]]/$AN$7)*100)</f>
        <v/>
      </c>
      <c r="AM352" s="523" t="str">
        <f t="shared" si="89"/>
        <v/>
      </c>
      <c r="AN352" s="523" t="str">
        <f t="shared" si="90"/>
        <v/>
      </c>
      <c r="AO352" s="523" t="str">
        <f t="shared" si="91"/>
        <v/>
      </c>
      <c r="AP352" s="523" t="e">
        <f>IF(((100-100/$AN$7*données_step[[#This Row],[E_PTOT]])/100*QTS)&lt;0,NA(),IF(OR(AM352&lt;0,AM352=""),NA(),((100-100/$AN$7*données_step[[#This Row],[E_PTOT]])/100*QTS)))</f>
        <v>#NUM!</v>
      </c>
      <c r="AQ352" s="524" t="e">
        <f t="shared" si="92"/>
        <v>#NUM!</v>
      </c>
      <c r="AR352" s="524" t="str">
        <f t="shared" si="93"/>
        <v/>
      </c>
      <c r="AY352" s="523" t="str">
        <f>_xlfn.IFNA(IF(données_step[[#This Row],[E_DCO]]&lt;=0,NA(),charge_entree[[#This Row],[ch_E_DCO]]/constanten!$B$8*1000),"")</f>
        <v/>
      </c>
      <c r="AZ352" s="523" t="str">
        <f>_xlfn.IFNA(IF(données_step[[#This Row],[E_NTOT]]&lt;=0,NA(),charge_entree[[#This Row],[ch_E_NTOT]]/constanten!$B$10*1000),"")</f>
        <v/>
      </c>
      <c r="BA352" s="523" t="str">
        <f>_xlfn.IFNA(IF(données_step[[#This Row],[E_NH4]]&lt;=0,NA(),charge_entree[[#This Row],[ch_E_NH4]]/constanten!$B$12*1000),"")</f>
        <v/>
      </c>
      <c r="BB352" s="523" t="str">
        <f>_xlfn.IFNA(IF(données_step[[#This Row],[E_COT]]&lt;=0,NA(),charge_entree[[#This Row],[ch_E_COT]]/constanten!$B$9*1000),"")</f>
        <v/>
      </c>
      <c r="BC352" s="523" t="str">
        <f>IFERROR(_xlfn.IFNA(IF(données_step[[#This Row],[E_PTOT]]&lt;=0,NA(),charge_entree[[#This Row],[ch_E_PTOT]]/constanten!$B$15*1000),""),"")</f>
        <v/>
      </c>
      <c r="BD352" s="535" t="e">
        <f>calculs!E352 * (1-0.4) / (données_step[[#This Row],[X_BA_VOL]]*données_step[[#This Row],[X_BACONC]])</f>
        <v>#VALUE!</v>
      </c>
      <c r="BE352" s="522" t="e">
        <f>(données_step[[#This Row],[X_BA_VOL]]*données_step[[#This Row],[X_BACONC]])/((données_step[[#This Row],[D_QTRAI2]]*données_step[[#This Row],[S_MES]]/1000)+(données_step[[#This Row],[X_BX_Q]]*données_step[[#This Row],[X_BXCONC]]))</f>
        <v>#VALUE!</v>
      </c>
      <c r="BF352" s="890" t="str">
        <f>IFERROR(données_step[[#This Row],[D_QTRAI]]/AY352*1000,"")</f>
        <v/>
      </c>
      <c r="BG352" s="535" t="str">
        <f>IFERROR(1-données_step[[#This Row],[S_DBO5]]/données_step[[#This Row],[E_DBO5]],"")</f>
        <v/>
      </c>
      <c r="BH352" s="536" t="str">
        <f>IFERROR(1-données_step[[#This Row],[S_DCO]]/données_step[[#This Row],[E_DCO]],"")</f>
        <v/>
      </c>
      <c r="BI352" s="535" t="str">
        <f>IFERROR(1-données_step[[#This Row],[S_COD]]/données_step[[#This Row],[E_COT]],"")</f>
        <v/>
      </c>
      <c r="BJ352" s="535" t="str">
        <f>IFERROR(1-données_step[[#This Row],[S_NH4]]/données_step[[#This Row],[E_NTOT]],"")</f>
        <v/>
      </c>
      <c r="BK352" s="535" t="str">
        <f>IFERROR(1-données_step[[#This Row],[S_PTOT]]/données_step[[#This Row],[E_PTOT]],"")</f>
        <v/>
      </c>
      <c r="BL352" s="521" t="str">
        <f>IFERROR(IF(données_step[[#This Row],[E_DCO]]/données_step[[#This Row],[E_DBO5]]=0,NA(),données_step[[#This Row],[E_DCO]]/données_step[[#This Row],[E_DBO5]]),"")</f>
        <v/>
      </c>
      <c r="BM352" s="521" t="str">
        <f>IFERROR(IF(données_step[[#This Row],[E_NH4]]/données_step[[#This Row],[E_NTOT]]=0,NA(),données_step[[#This Row],[E_NH4]]/données_step[[#This Row],[E_NTOT]]),"")</f>
        <v/>
      </c>
      <c r="BN352" s="521" t="str">
        <f>IFERROR(IF(données_step[[#This Row],[E_NTOT]]/données_step[[#This Row],[E_COT]]=0,NA(),données_step[[#This Row],[E_NTOT]]/données_step[[#This Row],[E_COT]]),"")</f>
        <v/>
      </c>
      <c r="BO352" s="521" t="str">
        <f>IFERROR(IF(données_step[[#This Row],[E_PTOT]]/données_step[[#This Row],[E_COT]]=0,NA(),données_step[[#This Row],[E_PTOT]]/données_step[[#This Row],[E_COT]]),"")</f>
        <v/>
      </c>
      <c r="BP352" s="521" t="e">
        <f>IF(données_step[[#This Row],[E_DCO]]/données_step[[#This Row],[E_COT]]=0,NA(),données_step[[#This Row],[E_DCO]]/données_step[[#This Row],[E_COT]])</f>
        <v>#DIV/0!</v>
      </c>
      <c r="BQ352" s="521" t="e">
        <f>IF(données_step[[#This Row],[E_NTOT]]/données_step[[#This Row],[E_DCO]]=0,NA(),données_step[[#This Row],[E_NTOT]]/données_step[[#This Row],[E_DCO]])</f>
        <v>#DIV/0!</v>
      </c>
      <c r="BR352" s="521" t="e">
        <f>IF(données_step[[#This Row],[E_PTOT]]/données_step[[#This Row],[E_DCO]]=0,NA(),données_step[[#This Row],[E_PTOT]]/données_step[[#This Row],[E_DCO]])</f>
        <v>#DIV/0!</v>
      </c>
      <c r="BS352" s="747" t="e">
        <f ca="1">test_NH4_temp(données_step[[#This Row],[S_NH4]],données_step[[#This Row],[Temp_eaux]])</f>
        <v>#NAME?</v>
      </c>
    </row>
    <row r="353" spans="1:71" x14ac:dyDescent="0.2">
      <c r="A353" s="222">
        <f>données_step[[#This Row],[Datum]]</f>
        <v>44904</v>
      </c>
      <c r="B353" s="223"/>
      <c r="C353" s="224">
        <f t="shared" si="94"/>
        <v>6</v>
      </c>
      <c r="D353" s="523" t="str">
        <f>IF(OR(données_step[[#This Row],[E_DBO5]]&lt;=0,données_step[[#This Row],[E_DBO5]]=""),"",données_step[[#This Row],[D_QTRAI]]*données_step[[#This Row],[E_DBO5]]/1000)</f>
        <v/>
      </c>
      <c r="E353" s="523" t="str">
        <f>IF(OR(données_step[[#This Row],[E_DCO]]&lt;=0,données_step[[#This Row],[E_DCO]]=""),"",données_step[[#This Row],[D_QTRAI]]*données_step[[#This Row],[E_DCO]]/1000)</f>
        <v/>
      </c>
      <c r="F353" s="523" t="str">
        <f>IF(OR(données_step[[#This Row],[E_COT]]&lt;=0,données_step[[#This Row],[E_COT]]=""),"",données_step[[#This Row],[D_QTRAI]]*données_step[[#This Row],[E_COT]]/1000)</f>
        <v/>
      </c>
      <c r="G353" s="523" t="str">
        <f>IF(OR(données_step[[#This Row],[E_NH4]]&lt;=0,données_step[[#This Row],[E_NH4]]=""),"",données_step[[#This Row],[D_QTRAI]]*données_step[[#This Row],[E_NH4]]/1000)</f>
        <v/>
      </c>
      <c r="H353" s="523" t="str">
        <f>IF(OR(données_step[[#This Row],[E_NTOT]]&lt;=0,données_step[[#This Row],[E_NTOT]]=""),"",données_step[[#This Row],[D_QTRAI]]*données_step[[#This Row],[E_NTOT]]/1000)</f>
        <v/>
      </c>
      <c r="I353" s="523" t="str">
        <f>IF(OR(données_step[[#This Row],[E_NTOT]]&lt;=0,données_step[[#This Row],[E_NTOT]]=""),"",données_step[[#This Row],[D_QTRAI]]*données_step[[#This Row],[E_PTOT]]/1000)</f>
        <v/>
      </c>
      <c r="J353" s="523" t="str">
        <f>IF(OR(données_step[[#This Row],[S_DBO5]]&lt;=0,données_step[[#This Row],[S_DBO5]]=""),"",données_step[[#This Row],[D_QTRAI]]*données_step[[#This Row],[S_DBO5]]/1000)</f>
        <v/>
      </c>
      <c r="K353" s="523" t="str">
        <f>IF(OR(données_step[[#This Row],[S_DCO]]&lt;=0,données_step[[#This Row],[S_DCO]]=""),"",données_step[[#This Row],[D_QTRAI]]*données_step[[#This Row],[S_DCO]]/1000)</f>
        <v/>
      </c>
      <c r="L353" s="523" t="str">
        <f>IF(OR(données_step[[#This Row],[S_COD]]&lt;=0,données_step[[#This Row],[S_COD]]=""),"",données_step[[#This Row],[D_QTRAI]]*données_step[[#This Row],[S_COD]]/1000)</f>
        <v/>
      </c>
      <c r="M353" s="523" t="str">
        <f>IF(OR(données_step[[#This Row],[S_NH4]]&lt;=0,données_step[[#This Row],[S_NH4]]=""),"",données_step[[#This Row],[D_QTRAI]]*données_step[[#This Row],[S_NH4]]/1000)</f>
        <v/>
      </c>
      <c r="N353" s="523" t="str">
        <f>IF(OR(données_step[[#This Row],[S_NO2]]&lt;=0,données_step[[#This Row],[S_NO2]]=""),"",données_step[[#This Row],[D_QTRAI]]*données_step[[#This Row],[S_NO2]]/1000)</f>
        <v/>
      </c>
      <c r="O353" s="523" t="str">
        <f>IF(OR(données_step[[#This Row],[S_NO3]]&lt;=0,données_step[[#This Row],[S_NO3]]=""),"",données_step[[#This Row],[D_QTRAI]]*données_step[[#This Row],[S_NO3]]/1000)</f>
        <v/>
      </c>
      <c r="P353" s="523" t="str">
        <f>IF(OR(données_step[[#This Row],[S_PTOT]]&lt;=0,données_step[[#This Row],[S_PTOT]]=""),"",données_step[[#This Row],[D_QTRAI]]*données_step[[#This Row],[S_PTOT]]/1000)</f>
        <v/>
      </c>
      <c r="Q353" s="523" t="str">
        <f>IF(OR(données_step[[#This Row],[S_MES]]&lt;=0,données_step[[#This Row],[S_MES]]=""),"",données_step[[#This Row],[D_QTRAI]]*données_step[[#This Row],[S_MES]]/1000)</f>
        <v/>
      </c>
      <c r="R353" s="523">
        <f>MAX(données_step[[#This Row],[D_QTRAI]],données_step[[#This Row],[D_QTRAI2]])</f>
        <v>0</v>
      </c>
      <c r="S353" s="523" t="str">
        <f>IF(AND($R353&gt;0,données_step[[#This Row],[E_DCO]]&gt;0),données_step[[#This Row],[E_DCO]],"")</f>
        <v/>
      </c>
      <c r="T353" s="523" t="str">
        <f>IF(S353="","",(1-données_step[[#This Row],[E_DCO]]/$V$7)*100)</f>
        <v/>
      </c>
      <c r="U353" s="523" t="str">
        <f t="shared" si="80"/>
        <v/>
      </c>
      <c r="V353" s="523" t="str">
        <f t="shared" si="81"/>
        <v/>
      </c>
      <c r="W353" s="523" t="str">
        <f t="shared" si="82"/>
        <v/>
      </c>
      <c r="X353" s="523" t="e">
        <f>IF(((100-100/$V$7*données_step[[#This Row],[E_DCO]])/100*QTS)&lt;0,NA(),IF(OR(U353&lt;0,U353=""),NA(),((100-100/$V$7*données_step[[#This Row],[E_DCO]])/100*QTS)))</f>
        <v>#NUM!</v>
      </c>
      <c r="Y353" s="523" t="str">
        <f>IF(AND($R353&gt;0,données_step[[#This Row],[E_COT]]&gt;0),données_step[[#This Row],[E_COT]],"")</f>
        <v/>
      </c>
      <c r="Z353" s="523" t="str">
        <f>IF(Y353="","",(1-données_step[[#This Row],[E_COT]]/$AB$7)*100)</f>
        <v/>
      </c>
      <c r="AA353" s="523" t="str">
        <f t="shared" si="83"/>
        <v/>
      </c>
      <c r="AB353" s="523" t="str">
        <f t="shared" si="84"/>
        <v/>
      </c>
      <c r="AC353" s="523" t="str">
        <f t="shared" si="85"/>
        <v/>
      </c>
      <c r="AD353" s="523" t="e">
        <f>IF(((100-100/$AB$7*données_step[[#This Row],[E_COT]])/100*QTS)&lt;0,NA(),IF(OR(AA353&lt;0,AA353=""),NA(),((100-100/$AB$7*données_step[[#This Row],[E_COT]])/100*QTS)))</f>
        <v>#NUM!</v>
      </c>
      <c r="AE353" s="523" t="str">
        <f>IF(AND($R353&gt;0,données_step[[#This Row],[E_NH4]]&gt;0),données_step[[#This Row],[E_NH4]],"")</f>
        <v/>
      </c>
      <c r="AF353" s="523" t="str">
        <f>IF(AE353="","",(1-données_step[[#This Row],[E_NH4]]/$AH$7)*100)</f>
        <v/>
      </c>
      <c r="AG353" s="523" t="str">
        <f t="shared" si="86"/>
        <v/>
      </c>
      <c r="AH353" s="523" t="str">
        <f t="shared" si="87"/>
        <v/>
      </c>
      <c r="AI353" s="523" t="str">
        <f t="shared" si="88"/>
        <v/>
      </c>
      <c r="AJ353" s="523" t="e">
        <f>IF(((100-100/$AH$7*données_step[[#This Row],[E_NH4]])/100*QTS)&lt;0,NA(),IF(OR(AG353&lt;0,AG353=""),NA(),((100-100/$AH$7*données_step[[#This Row],[E_NH4]])/100*QTS)))</f>
        <v>#NUM!</v>
      </c>
      <c r="AK353" s="523" t="str">
        <f>IF(AND($R353&gt;0,données_step[[#This Row],[E_PTOT]]&gt;0),données_step[[#This Row],[E_PTOT]],"")</f>
        <v/>
      </c>
      <c r="AL353" s="523" t="str">
        <f>IF(AK353="","",(1-données_step[[#This Row],[E_PTOT]]/$AN$7)*100)</f>
        <v/>
      </c>
      <c r="AM353" s="523" t="str">
        <f t="shared" si="89"/>
        <v/>
      </c>
      <c r="AN353" s="523" t="str">
        <f t="shared" si="90"/>
        <v/>
      </c>
      <c r="AO353" s="523" t="str">
        <f t="shared" si="91"/>
        <v/>
      </c>
      <c r="AP353" s="523" t="e">
        <f>IF(((100-100/$AN$7*données_step[[#This Row],[E_PTOT]])/100*QTS)&lt;0,NA(),IF(OR(AM353&lt;0,AM353=""),NA(),((100-100/$AN$7*données_step[[#This Row],[E_PTOT]])/100*QTS)))</f>
        <v>#NUM!</v>
      </c>
      <c r="AQ353" s="524" t="e">
        <f t="shared" si="92"/>
        <v>#NUM!</v>
      </c>
      <c r="AR353" s="524" t="str">
        <f t="shared" si="93"/>
        <v/>
      </c>
      <c r="AY353" s="523" t="str">
        <f>_xlfn.IFNA(IF(données_step[[#This Row],[E_DCO]]&lt;=0,NA(),charge_entree[[#This Row],[ch_E_DCO]]/constanten!$B$8*1000),"")</f>
        <v/>
      </c>
      <c r="AZ353" s="523" t="str">
        <f>_xlfn.IFNA(IF(données_step[[#This Row],[E_NTOT]]&lt;=0,NA(),charge_entree[[#This Row],[ch_E_NTOT]]/constanten!$B$10*1000),"")</f>
        <v/>
      </c>
      <c r="BA353" s="523" t="str">
        <f>_xlfn.IFNA(IF(données_step[[#This Row],[E_NH4]]&lt;=0,NA(),charge_entree[[#This Row],[ch_E_NH4]]/constanten!$B$12*1000),"")</f>
        <v/>
      </c>
      <c r="BB353" s="523" t="str">
        <f>_xlfn.IFNA(IF(données_step[[#This Row],[E_COT]]&lt;=0,NA(),charge_entree[[#This Row],[ch_E_COT]]/constanten!$B$9*1000),"")</f>
        <v/>
      </c>
      <c r="BC353" s="523" t="str">
        <f>IFERROR(_xlfn.IFNA(IF(données_step[[#This Row],[E_PTOT]]&lt;=0,NA(),charge_entree[[#This Row],[ch_E_PTOT]]/constanten!$B$15*1000),""),"")</f>
        <v/>
      </c>
      <c r="BD353" s="535" t="e">
        <f>calculs!E353 * (1-0.4) / (données_step[[#This Row],[X_BA_VOL]]*données_step[[#This Row],[X_BACONC]])</f>
        <v>#VALUE!</v>
      </c>
      <c r="BE353" s="522" t="e">
        <f>(données_step[[#This Row],[X_BA_VOL]]*données_step[[#This Row],[X_BACONC]])/((données_step[[#This Row],[D_QTRAI2]]*données_step[[#This Row],[S_MES]]/1000)+(données_step[[#This Row],[X_BX_Q]]*données_step[[#This Row],[X_BXCONC]]))</f>
        <v>#VALUE!</v>
      </c>
      <c r="BF353" s="890" t="str">
        <f>IFERROR(données_step[[#This Row],[D_QTRAI]]/AY353*1000,"")</f>
        <v/>
      </c>
      <c r="BG353" s="535" t="str">
        <f>IFERROR(1-données_step[[#This Row],[S_DBO5]]/données_step[[#This Row],[E_DBO5]],"")</f>
        <v/>
      </c>
      <c r="BH353" s="536" t="str">
        <f>IFERROR(1-données_step[[#This Row],[S_DCO]]/données_step[[#This Row],[E_DCO]],"")</f>
        <v/>
      </c>
      <c r="BI353" s="535" t="str">
        <f>IFERROR(1-données_step[[#This Row],[S_COD]]/données_step[[#This Row],[E_COT]],"")</f>
        <v/>
      </c>
      <c r="BJ353" s="535" t="str">
        <f>IFERROR(1-données_step[[#This Row],[S_NH4]]/données_step[[#This Row],[E_NTOT]],"")</f>
        <v/>
      </c>
      <c r="BK353" s="535" t="str">
        <f>IFERROR(1-données_step[[#This Row],[S_PTOT]]/données_step[[#This Row],[E_PTOT]],"")</f>
        <v/>
      </c>
      <c r="BL353" s="521" t="str">
        <f>IFERROR(IF(données_step[[#This Row],[E_DCO]]/données_step[[#This Row],[E_DBO5]]=0,NA(),données_step[[#This Row],[E_DCO]]/données_step[[#This Row],[E_DBO5]]),"")</f>
        <v/>
      </c>
      <c r="BM353" s="521" t="str">
        <f>IFERROR(IF(données_step[[#This Row],[E_NH4]]/données_step[[#This Row],[E_NTOT]]=0,NA(),données_step[[#This Row],[E_NH4]]/données_step[[#This Row],[E_NTOT]]),"")</f>
        <v/>
      </c>
      <c r="BN353" s="521" t="str">
        <f>IFERROR(IF(données_step[[#This Row],[E_NTOT]]/données_step[[#This Row],[E_COT]]=0,NA(),données_step[[#This Row],[E_NTOT]]/données_step[[#This Row],[E_COT]]),"")</f>
        <v/>
      </c>
      <c r="BO353" s="521" t="str">
        <f>IFERROR(IF(données_step[[#This Row],[E_PTOT]]/données_step[[#This Row],[E_COT]]=0,NA(),données_step[[#This Row],[E_PTOT]]/données_step[[#This Row],[E_COT]]),"")</f>
        <v/>
      </c>
      <c r="BP353" s="521" t="e">
        <f>IF(données_step[[#This Row],[E_DCO]]/données_step[[#This Row],[E_COT]]=0,NA(),données_step[[#This Row],[E_DCO]]/données_step[[#This Row],[E_COT]])</f>
        <v>#DIV/0!</v>
      </c>
      <c r="BQ353" s="521" t="e">
        <f>IF(données_step[[#This Row],[E_NTOT]]/données_step[[#This Row],[E_DCO]]=0,NA(),données_step[[#This Row],[E_NTOT]]/données_step[[#This Row],[E_DCO]])</f>
        <v>#DIV/0!</v>
      </c>
      <c r="BR353" s="521" t="e">
        <f>IF(données_step[[#This Row],[E_PTOT]]/données_step[[#This Row],[E_DCO]]=0,NA(),données_step[[#This Row],[E_PTOT]]/données_step[[#This Row],[E_DCO]])</f>
        <v>#DIV/0!</v>
      </c>
      <c r="BS353" s="747" t="e">
        <f ca="1">test_NH4_temp(données_step[[#This Row],[S_NH4]],données_step[[#This Row],[Temp_eaux]])</f>
        <v>#NAME?</v>
      </c>
    </row>
    <row r="354" spans="1:71" x14ac:dyDescent="0.2">
      <c r="A354" s="222">
        <f>données_step[[#This Row],[Datum]]</f>
        <v>44905</v>
      </c>
      <c r="B354" s="223"/>
      <c r="C354" s="224">
        <f t="shared" si="94"/>
        <v>7</v>
      </c>
      <c r="D354" s="523" t="str">
        <f>IF(OR(données_step[[#This Row],[E_DBO5]]&lt;=0,données_step[[#This Row],[E_DBO5]]=""),"",données_step[[#This Row],[D_QTRAI]]*données_step[[#This Row],[E_DBO5]]/1000)</f>
        <v/>
      </c>
      <c r="E354" s="523" t="str">
        <f>IF(OR(données_step[[#This Row],[E_DCO]]&lt;=0,données_step[[#This Row],[E_DCO]]=""),"",données_step[[#This Row],[D_QTRAI]]*données_step[[#This Row],[E_DCO]]/1000)</f>
        <v/>
      </c>
      <c r="F354" s="523" t="str">
        <f>IF(OR(données_step[[#This Row],[E_COT]]&lt;=0,données_step[[#This Row],[E_COT]]=""),"",données_step[[#This Row],[D_QTRAI]]*données_step[[#This Row],[E_COT]]/1000)</f>
        <v/>
      </c>
      <c r="G354" s="523" t="str">
        <f>IF(OR(données_step[[#This Row],[E_NH4]]&lt;=0,données_step[[#This Row],[E_NH4]]=""),"",données_step[[#This Row],[D_QTRAI]]*données_step[[#This Row],[E_NH4]]/1000)</f>
        <v/>
      </c>
      <c r="H354" s="523" t="str">
        <f>IF(OR(données_step[[#This Row],[E_NTOT]]&lt;=0,données_step[[#This Row],[E_NTOT]]=""),"",données_step[[#This Row],[D_QTRAI]]*données_step[[#This Row],[E_NTOT]]/1000)</f>
        <v/>
      </c>
      <c r="I354" s="523" t="str">
        <f>IF(OR(données_step[[#This Row],[E_NTOT]]&lt;=0,données_step[[#This Row],[E_NTOT]]=""),"",données_step[[#This Row],[D_QTRAI]]*données_step[[#This Row],[E_PTOT]]/1000)</f>
        <v/>
      </c>
      <c r="J354" s="523" t="str">
        <f>IF(OR(données_step[[#This Row],[S_DBO5]]&lt;=0,données_step[[#This Row],[S_DBO5]]=""),"",données_step[[#This Row],[D_QTRAI]]*données_step[[#This Row],[S_DBO5]]/1000)</f>
        <v/>
      </c>
      <c r="K354" s="523" t="str">
        <f>IF(OR(données_step[[#This Row],[S_DCO]]&lt;=0,données_step[[#This Row],[S_DCO]]=""),"",données_step[[#This Row],[D_QTRAI]]*données_step[[#This Row],[S_DCO]]/1000)</f>
        <v/>
      </c>
      <c r="L354" s="523" t="str">
        <f>IF(OR(données_step[[#This Row],[S_COD]]&lt;=0,données_step[[#This Row],[S_COD]]=""),"",données_step[[#This Row],[D_QTRAI]]*données_step[[#This Row],[S_COD]]/1000)</f>
        <v/>
      </c>
      <c r="M354" s="523" t="str">
        <f>IF(OR(données_step[[#This Row],[S_NH4]]&lt;=0,données_step[[#This Row],[S_NH4]]=""),"",données_step[[#This Row],[D_QTRAI]]*données_step[[#This Row],[S_NH4]]/1000)</f>
        <v/>
      </c>
      <c r="N354" s="523" t="str">
        <f>IF(OR(données_step[[#This Row],[S_NO2]]&lt;=0,données_step[[#This Row],[S_NO2]]=""),"",données_step[[#This Row],[D_QTRAI]]*données_step[[#This Row],[S_NO2]]/1000)</f>
        <v/>
      </c>
      <c r="O354" s="523" t="str">
        <f>IF(OR(données_step[[#This Row],[S_NO3]]&lt;=0,données_step[[#This Row],[S_NO3]]=""),"",données_step[[#This Row],[D_QTRAI]]*données_step[[#This Row],[S_NO3]]/1000)</f>
        <v/>
      </c>
      <c r="P354" s="523" t="str">
        <f>IF(OR(données_step[[#This Row],[S_PTOT]]&lt;=0,données_step[[#This Row],[S_PTOT]]=""),"",données_step[[#This Row],[D_QTRAI]]*données_step[[#This Row],[S_PTOT]]/1000)</f>
        <v/>
      </c>
      <c r="Q354" s="523" t="str">
        <f>IF(OR(données_step[[#This Row],[S_MES]]&lt;=0,données_step[[#This Row],[S_MES]]=""),"",données_step[[#This Row],[D_QTRAI]]*données_step[[#This Row],[S_MES]]/1000)</f>
        <v/>
      </c>
      <c r="R354" s="523">
        <f>MAX(données_step[[#This Row],[D_QTRAI]],données_step[[#This Row],[D_QTRAI2]])</f>
        <v>0</v>
      </c>
      <c r="S354" s="523" t="str">
        <f>IF(AND($R354&gt;0,données_step[[#This Row],[E_DCO]]&gt;0),données_step[[#This Row],[E_DCO]],"")</f>
        <v/>
      </c>
      <c r="T354" s="523" t="str">
        <f>IF(S354="","",(1-données_step[[#This Row],[E_DCO]]/$V$7)*100)</f>
        <v/>
      </c>
      <c r="U354" s="523" t="str">
        <f t="shared" si="80"/>
        <v/>
      </c>
      <c r="V354" s="523" t="str">
        <f t="shared" si="81"/>
        <v/>
      </c>
      <c r="W354" s="523" t="str">
        <f t="shared" si="82"/>
        <v/>
      </c>
      <c r="X354" s="523" t="e">
        <f>IF(((100-100/$V$7*données_step[[#This Row],[E_DCO]])/100*QTS)&lt;0,NA(),IF(OR(U354&lt;0,U354=""),NA(),((100-100/$V$7*données_step[[#This Row],[E_DCO]])/100*QTS)))</f>
        <v>#NUM!</v>
      </c>
      <c r="Y354" s="523" t="str">
        <f>IF(AND($R354&gt;0,données_step[[#This Row],[E_COT]]&gt;0),données_step[[#This Row],[E_COT]],"")</f>
        <v/>
      </c>
      <c r="Z354" s="523" t="str">
        <f>IF(Y354="","",(1-données_step[[#This Row],[E_COT]]/$AB$7)*100)</f>
        <v/>
      </c>
      <c r="AA354" s="523" t="str">
        <f t="shared" si="83"/>
        <v/>
      </c>
      <c r="AB354" s="523" t="str">
        <f t="shared" si="84"/>
        <v/>
      </c>
      <c r="AC354" s="523" t="str">
        <f t="shared" si="85"/>
        <v/>
      </c>
      <c r="AD354" s="523" t="e">
        <f>IF(((100-100/$AB$7*données_step[[#This Row],[E_COT]])/100*QTS)&lt;0,NA(),IF(OR(AA354&lt;0,AA354=""),NA(),((100-100/$AB$7*données_step[[#This Row],[E_COT]])/100*QTS)))</f>
        <v>#NUM!</v>
      </c>
      <c r="AE354" s="523" t="str">
        <f>IF(AND($R354&gt;0,données_step[[#This Row],[E_NH4]]&gt;0),données_step[[#This Row],[E_NH4]],"")</f>
        <v/>
      </c>
      <c r="AF354" s="523" t="str">
        <f>IF(AE354="","",(1-données_step[[#This Row],[E_NH4]]/$AH$7)*100)</f>
        <v/>
      </c>
      <c r="AG354" s="523" t="str">
        <f t="shared" si="86"/>
        <v/>
      </c>
      <c r="AH354" s="523" t="str">
        <f t="shared" si="87"/>
        <v/>
      </c>
      <c r="AI354" s="523" t="str">
        <f t="shared" si="88"/>
        <v/>
      </c>
      <c r="AJ354" s="523" t="e">
        <f>IF(((100-100/$AH$7*données_step[[#This Row],[E_NH4]])/100*QTS)&lt;0,NA(),IF(OR(AG354&lt;0,AG354=""),NA(),((100-100/$AH$7*données_step[[#This Row],[E_NH4]])/100*QTS)))</f>
        <v>#NUM!</v>
      </c>
      <c r="AK354" s="523" t="str">
        <f>IF(AND($R354&gt;0,données_step[[#This Row],[E_PTOT]]&gt;0),données_step[[#This Row],[E_PTOT]],"")</f>
        <v/>
      </c>
      <c r="AL354" s="523" t="str">
        <f>IF(AK354="","",(1-données_step[[#This Row],[E_PTOT]]/$AN$7)*100)</f>
        <v/>
      </c>
      <c r="AM354" s="523" t="str">
        <f t="shared" si="89"/>
        <v/>
      </c>
      <c r="AN354" s="523" t="str">
        <f t="shared" si="90"/>
        <v/>
      </c>
      <c r="AO354" s="523" t="str">
        <f t="shared" si="91"/>
        <v/>
      </c>
      <c r="AP354" s="523" t="e">
        <f>IF(((100-100/$AN$7*données_step[[#This Row],[E_PTOT]])/100*QTS)&lt;0,NA(),IF(OR(AM354&lt;0,AM354=""),NA(),((100-100/$AN$7*données_step[[#This Row],[E_PTOT]])/100*QTS)))</f>
        <v>#NUM!</v>
      </c>
      <c r="AQ354" s="524" t="e">
        <f t="shared" si="92"/>
        <v>#NUM!</v>
      </c>
      <c r="AR354" s="524" t="str">
        <f t="shared" si="93"/>
        <v/>
      </c>
      <c r="AY354" s="523" t="str">
        <f>_xlfn.IFNA(IF(données_step[[#This Row],[E_DCO]]&lt;=0,NA(),charge_entree[[#This Row],[ch_E_DCO]]/constanten!$B$8*1000),"")</f>
        <v/>
      </c>
      <c r="AZ354" s="523" t="str">
        <f>_xlfn.IFNA(IF(données_step[[#This Row],[E_NTOT]]&lt;=0,NA(),charge_entree[[#This Row],[ch_E_NTOT]]/constanten!$B$10*1000),"")</f>
        <v/>
      </c>
      <c r="BA354" s="523" t="str">
        <f>_xlfn.IFNA(IF(données_step[[#This Row],[E_NH4]]&lt;=0,NA(),charge_entree[[#This Row],[ch_E_NH4]]/constanten!$B$12*1000),"")</f>
        <v/>
      </c>
      <c r="BB354" s="523" t="str">
        <f>_xlfn.IFNA(IF(données_step[[#This Row],[E_COT]]&lt;=0,NA(),charge_entree[[#This Row],[ch_E_COT]]/constanten!$B$9*1000),"")</f>
        <v/>
      </c>
      <c r="BC354" s="523" t="str">
        <f>IFERROR(_xlfn.IFNA(IF(données_step[[#This Row],[E_PTOT]]&lt;=0,NA(),charge_entree[[#This Row],[ch_E_PTOT]]/constanten!$B$15*1000),""),"")</f>
        <v/>
      </c>
      <c r="BD354" s="535" t="e">
        <f>calculs!E354 * (1-0.4) / (données_step[[#This Row],[X_BA_VOL]]*données_step[[#This Row],[X_BACONC]])</f>
        <v>#VALUE!</v>
      </c>
      <c r="BE354" s="522" t="e">
        <f>(données_step[[#This Row],[X_BA_VOL]]*données_step[[#This Row],[X_BACONC]])/((données_step[[#This Row],[D_QTRAI2]]*données_step[[#This Row],[S_MES]]/1000)+(données_step[[#This Row],[X_BX_Q]]*données_step[[#This Row],[X_BXCONC]]))</f>
        <v>#VALUE!</v>
      </c>
      <c r="BF354" s="890" t="str">
        <f>IFERROR(données_step[[#This Row],[D_QTRAI]]/AY354*1000,"")</f>
        <v/>
      </c>
      <c r="BG354" s="535" t="str">
        <f>IFERROR(1-données_step[[#This Row],[S_DBO5]]/données_step[[#This Row],[E_DBO5]],"")</f>
        <v/>
      </c>
      <c r="BH354" s="536" t="str">
        <f>IFERROR(1-données_step[[#This Row],[S_DCO]]/données_step[[#This Row],[E_DCO]],"")</f>
        <v/>
      </c>
      <c r="BI354" s="535" t="str">
        <f>IFERROR(1-données_step[[#This Row],[S_COD]]/données_step[[#This Row],[E_COT]],"")</f>
        <v/>
      </c>
      <c r="BJ354" s="535" t="str">
        <f>IFERROR(1-données_step[[#This Row],[S_NH4]]/données_step[[#This Row],[E_NTOT]],"")</f>
        <v/>
      </c>
      <c r="BK354" s="535" t="str">
        <f>IFERROR(1-données_step[[#This Row],[S_PTOT]]/données_step[[#This Row],[E_PTOT]],"")</f>
        <v/>
      </c>
      <c r="BL354" s="521" t="str">
        <f>IFERROR(IF(données_step[[#This Row],[E_DCO]]/données_step[[#This Row],[E_DBO5]]=0,NA(),données_step[[#This Row],[E_DCO]]/données_step[[#This Row],[E_DBO5]]),"")</f>
        <v/>
      </c>
      <c r="BM354" s="521" t="str">
        <f>IFERROR(IF(données_step[[#This Row],[E_NH4]]/données_step[[#This Row],[E_NTOT]]=0,NA(),données_step[[#This Row],[E_NH4]]/données_step[[#This Row],[E_NTOT]]),"")</f>
        <v/>
      </c>
      <c r="BN354" s="521" t="str">
        <f>IFERROR(IF(données_step[[#This Row],[E_NTOT]]/données_step[[#This Row],[E_COT]]=0,NA(),données_step[[#This Row],[E_NTOT]]/données_step[[#This Row],[E_COT]]),"")</f>
        <v/>
      </c>
      <c r="BO354" s="521" t="str">
        <f>IFERROR(IF(données_step[[#This Row],[E_PTOT]]/données_step[[#This Row],[E_COT]]=0,NA(),données_step[[#This Row],[E_PTOT]]/données_step[[#This Row],[E_COT]]),"")</f>
        <v/>
      </c>
      <c r="BP354" s="521" t="e">
        <f>IF(données_step[[#This Row],[E_DCO]]/données_step[[#This Row],[E_COT]]=0,NA(),données_step[[#This Row],[E_DCO]]/données_step[[#This Row],[E_COT]])</f>
        <v>#DIV/0!</v>
      </c>
      <c r="BQ354" s="521" t="e">
        <f>IF(données_step[[#This Row],[E_NTOT]]/données_step[[#This Row],[E_DCO]]=0,NA(),données_step[[#This Row],[E_NTOT]]/données_step[[#This Row],[E_DCO]])</f>
        <v>#DIV/0!</v>
      </c>
      <c r="BR354" s="521" t="e">
        <f>IF(données_step[[#This Row],[E_PTOT]]/données_step[[#This Row],[E_DCO]]=0,NA(),données_step[[#This Row],[E_PTOT]]/données_step[[#This Row],[E_DCO]])</f>
        <v>#DIV/0!</v>
      </c>
      <c r="BS354" s="747" t="e">
        <f ca="1">test_NH4_temp(données_step[[#This Row],[S_NH4]],données_step[[#This Row],[Temp_eaux]])</f>
        <v>#NAME?</v>
      </c>
    </row>
    <row r="355" spans="1:71" x14ac:dyDescent="0.2">
      <c r="A355" s="222">
        <f>données_step[[#This Row],[Datum]]</f>
        <v>44906</v>
      </c>
      <c r="B355" s="223"/>
      <c r="C355" s="224">
        <f t="shared" si="94"/>
        <v>1</v>
      </c>
      <c r="D355" s="523" t="str">
        <f>IF(OR(données_step[[#This Row],[E_DBO5]]&lt;=0,données_step[[#This Row],[E_DBO5]]=""),"",données_step[[#This Row],[D_QTRAI]]*données_step[[#This Row],[E_DBO5]]/1000)</f>
        <v/>
      </c>
      <c r="E355" s="523" t="str">
        <f>IF(OR(données_step[[#This Row],[E_DCO]]&lt;=0,données_step[[#This Row],[E_DCO]]=""),"",données_step[[#This Row],[D_QTRAI]]*données_step[[#This Row],[E_DCO]]/1000)</f>
        <v/>
      </c>
      <c r="F355" s="523" t="str">
        <f>IF(OR(données_step[[#This Row],[E_COT]]&lt;=0,données_step[[#This Row],[E_COT]]=""),"",données_step[[#This Row],[D_QTRAI]]*données_step[[#This Row],[E_COT]]/1000)</f>
        <v/>
      </c>
      <c r="G355" s="523" t="str">
        <f>IF(OR(données_step[[#This Row],[E_NH4]]&lt;=0,données_step[[#This Row],[E_NH4]]=""),"",données_step[[#This Row],[D_QTRAI]]*données_step[[#This Row],[E_NH4]]/1000)</f>
        <v/>
      </c>
      <c r="H355" s="523" t="str">
        <f>IF(OR(données_step[[#This Row],[E_NTOT]]&lt;=0,données_step[[#This Row],[E_NTOT]]=""),"",données_step[[#This Row],[D_QTRAI]]*données_step[[#This Row],[E_NTOT]]/1000)</f>
        <v/>
      </c>
      <c r="I355" s="523" t="str">
        <f>IF(OR(données_step[[#This Row],[E_NTOT]]&lt;=0,données_step[[#This Row],[E_NTOT]]=""),"",données_step[[#This Row],[D_QTRAI]]*données_step[[#This Row],[E_PTOT]]/1000)</f>
        <v/>
      </c>
      <c r="J355" s="523" t="str">
        <f>IF(OR(données_step[[#This Row],[S_DBO5]]&lt;=0,données_step[[#This Row],[S_DBO5]]=""),"",données_step[[#This Row],[D_QTRAI]]*données_step[[#This Row],[S_DBO5]]/1000)</f>
        <v/>
      </c>
      <c r="K355" s="523" t="str">
        <f>IF(OR(données_step[[#This Row],[S_DCO]]&lt;=0,données_step[[#This Row],[S_DCO]]=""),"",données_step[[#This Row],[D_QTRAI]]*données_step[[#This Row],[S_DCO]]/1000)</f>
        <v/>
      </c>
      <c r="L355" s="523" t="str">
        <f>IF(OR(données_step[[#This Row],[S_COD]]&lt;=0,données_step[[#This Row],[S_COD]]=""),"",données_step[[#This Row],[D_QTRAI]]*données_step[[#This Row],[S_COD]]/1000)</f>
        <v/>
      </c>
      <c r="M355" s="523" t="str">
        <f>IF(OR(données_step[[#This Row],[S_NH4]]&lt;=0,données_step[[#This Row],[S_NH4]]=""),"",données_step[[#This Row],[D_QTRAI]]*données_step[[#This Row],[S_NH4]]/1000)</f>
        <v/>
      </c>
      <c r="N355" s="523" t="str">
        <f>IF(OR(données_step[[#This Row],[S_NO2]]&lt;=0,données_step[[#This Row],[S_NO2]]=""),"",données_step[[#This Row],[D_QTRAI]]*données_step[[#This Row],[S_NO2]]/1000)</f>
        <v/>
      </c>
      <c r="O355" s="523" t="str">
        <f>IF(OR(données_step[[#This Row],[S_NO3]]&lt;=0,données_step[[#This Row],[S_NO3]]=""),"",données_step[[#This Row],[D_QTRAI]]*données_step[[#This Row],[S_NO3]]/1000)</f>
        <v/>
      </c>
      <c r="P355" s="523" t="str">
        <f>IF(OR(données_step[[#This Row],[S_PTOT]]&lt;=0,données_step[[#This Row],[S_PTOT]]=""),"",données_step[[#This Row],[D_QTRAI]]*données_step[[#This Row],[S_PTOT]]/1000)</f>
        <v/>
      </c>
      <c r="Q355" s="523" t="str">
        <f>IF(OR(données_step[[#This Row],[S_MES]]&lt;=0,données_step[[#This Row],[S_MES]]=""),"",données_step[[#This Row],[D_QTRAI]]*données_step[[#This Row],[S_MES]]/1000)</f>
        <v/>
      </c>
      <c r="R355" s="523">
        <f>MAX(données_step[[#This Row],[D_QTRAI]],données_step[[#This Row],[D_QTRAI2]])</f>
        <v>0</v>
      </c>
      <c r="S355" s="523" t="str">
        <f>IF(AND($R355&gt;0,données_step[[#This Row],[E_DCO]]&gt;0),données_step[[#This Row],[E_DCO]],"")</f>
        <v/>
      </c>
      <c r="T355" s="523" t="str">
        <f>IF(S355="","",(1-données_step[[#This Row],[E_DCO]]/$V$7)*100)</f>
        <v/>
      </c>
      <c r="U355" s="523" t="str">
        <f t="shared" si="80"/>
        <v/>
      </c>
      <c r="V355" s="523" t="str">
        <f t="shared" si="81"/>
        <v/>
      </c>
      <c r="W355" s="523" t="str">
        <f t="shared" si="82"/>
        <v/>
      </c>
      <c r="X355" s="523" t="e">
        <f>IF(((100-100/$V$7*données_step[[#This Row],[E_DCO]])/100*QTS)&lt;0,NA(),IF(OR(U355&lt;0,U355=""),NA(),((100-100/$V$7*données_step[[#This Row],[E_DCO]])/100*QTS)))</f>
        <v>#NUM!</v>
      </c>
      <c r="Y355" s="523" t="str">
        <f>IF(AND($R355&gt;0,données_step[[#This Row],[E_COT]]&gt;0),données_step[[#This Row],[E_COT]],"")</f>
        <v/>
      </c>
      <c r="Z355" s="523" t="str">
        <f>IF(Y355="","",(1-données_step[[#This Row],[E_COT]]/$AB$7)*100)</f>
        <v/>
      </c>
      <c r="AA355" s="523" t="str">
        <f t="shared" si="83"/>
        <v/>
      </c>
      <c r="AB355" s="523" t="str">
        <f t="shared" si="84"/>
        <v/>
      </c>
      <c r="AC355" s="523" t="str">
        <f t="shared" si="85"/>
        <v/>
      </c>
      <c r="AD355" s="523" t="e">
        <f>IF(((100-100/$AB$7*données_step[[#This Row],[E_COT]])/100*QTS)&lt;0,NA(),IF(OR(AA355&lt;0,AA355=""),NA(),((100-100/$AB$7*données_step[[#This Row],[E_COT]])/100*QTS)))</f>
        <v>#NUM!</v>
      </c>
      <c r="AE355" s="523" t="str">
        <f>IF(AND($R355&gt;0,données_step[[#This Row],[E_NH4]]&gt;0),données_step[[#This Row],[E_NH4]],"")</f>
        <v/>
      </c>
      <c r="AF355" s="523" t="str">
        <f>IF(AE355="","",(1-données_step[[#This Row],[E_NH4]]/$AH$7)*100)</f>
        <v/>
      </c>
      <c r="AG355" s="523" t="str">
        <f t="shared" si="86"/>
        <v/>
      </c>
      <c r="AH355" s="523" t="str">
        <f t="shared" si="87"/>
        <v/>
      </c>
      <c r="AI355" s="523" t="str">
        <f t="shared" si="88"/>
        <v/>
      </c>
      <c r="AJ355" s="523" t="e">
        <f>IF(((100-100/$AH$7*données_step[[#This Row],[E_NH4]])/100*QTS)&lt;0,NA(),IF(OR(AG355&lt;0,AG355=""),NA(),((100-100/$AH$7*données_step[[#This Row],[E_NH4]])/100*QTS)))</f>
        <v>#NUM!</v>
      </c>
      <c r="AK355" s="523" t="str">
        <f>IF(AND($R355&gt;0,données_step[[#This Row],[E_PTOT]]&gt;0),données_step[[#This Row],[E_PTOT]],"")</f>
        <v/>
      </c>
      <c r="AL355" s="523" t="str">
        <f>IF(AK355="","",(1-données_step[[#This Row],[E_PTOT]]/$AN$7)*100)</f>
        <v/>
      </c>
      <c r="AM355" s="523" t="str">
        <f t="shared" si="89"/>
        <v/>
      </c>
      <c r="AN355" s="523" t="str">
        <f t="shared" si="90"/>
        <v/>
      </c>
      <c r="AO355" s="523" t="str">
        <f t="shared" si="91"/>
        <v/>
      </c>
      <c r="AP355" s="523" t="e">
        <f>IF(((100-100/$AN$7*données_step[[#This Row],[E_PTOT]])/100*QTS)&lt;0,NA(),IF(OR(AM355&lt;0,AM355=""),NA(),((100-100/$AN$7*données_step[[#This Row],[E_PTOT]])/100*QTS)))</f>
        <v>#NUM!</v>
      </c>
      <c r="AQ355" s="524" t="e">
        <f t="shared" si="92"/>
        <v>#NUM!</v>
      </c>
      <c r="AR355" s="524" t="str">
        <f t="shared" si="93"/>
        <v/>
      </c>
      <c r="AY355" s="523" t="str">
        <f>_xlfn.IFNA(IF(données_step[[#This Row],[E_DCO]]&lt;=0,NA(),charge_entree[[#This Row],[ch_E_DCO]]/constanten!$B$8*1000),"")</f>
        <v/>
      </c>
      <c r="AZ355" s="523" t="str">
        <f>_xlfn.IFNA(IF(données_step[[#This Row],[E_NTOT]]&lt;=0,NA(),charge_entree[[#This Row],[ch_E_NTOT]]/constanten!$B$10*1000),"")</f>
        <v/>
      </c>
      <c r="BA355" s="523" t="str">
        <f>_xlfn.IFNA(IF(données_step[[#This Row],[E_NH4]]&lt;=0,NA(),charge_entree[[#This Row],[ch_E_NH4]]/constanten!$B$12*1000),"")</f>
        <v/>
      </c>
      <c r="BB355" s="523" t="str">
        <f>_xlfn.IFNA(IF(données_step[[#This Row],[E_COT]]&lt;=0,NA(),charge_entree[[#This Row],[ch_E_COT]]/constanten!$B$9*1000),"")</f>
        <v/>
      </c>
      <c r="BC355" s="523" t="str">
        <f>IFERROR(_xlfn.IFNA(IF(données_step[[#This Row],[E_PTOT]]&lt;=0,NA(),charge_entree[[#This Row],[ch_E_PTOT]]/constanten!$B$15*1000),""),"")</f>
        <v/>
      </c>
      <c r="BD355" s="535" t="e">
        <f>calculs!E355 * (1-0.4) / (données_step[[#This Row],[X_BA_VOL]]*données_step[[#This Row],[X_BACONC]])</f>
        <v>#VALUE!</v>
      </c>
      <c r="BE355" s="522" t="e">
        <f>(données_step[[#This Row],[X_BA_VOL]]*données_step[[#This Row],[X_BACONC]])/((données_step[[#This Row],[D_QTRAI2]]*données_step[[#This Row],[S_MES]]/1000)+(données_step[[#This Row],[X_BX_Q]]*données_step[[#This Row],[X_BXCONC]]))</f>
        <v>#VALUE!</v>
      </c>
      <c r="BF355" s="890" t="str">
        <f>IFERROR(données_step[[#This Row],[D_QTRAI]]/AY355*1000,"")</f>
        <v/>
      </c>
      <c r="BG355" s="535" t="str">
        <f>IFERROR(1-données_step[[#This Row],[S_DBO5]]/données_step[[#This Row],[E_DBO5]],"")</f>
        <v/>
      </c>
      <c r="BH355" s="536" t="str">
        <f>IFERROR(1-données_step[[#This Row],[S_DCO]]/données_step[[#This Row],[E_DCO]],"")</f>
        <v/>
      </c>
      <c r="BI355" s="535" t="str">
        <f>IFERROR(1-données_step[[#This Row],[S_COD]]/données_step[[#This Row],[E_COT]],"")</f>
        <v/>
      </c>
      <c r="BJ355" s="535" t="str">
        <f>IFERROR(1-données_step[[#This Row],[S_NH4]]/données_step[[#This Row],[E_NTOT]],"")</f>
        <v/>
      </c>
      <c r="BK355" s="535" t="str">
        <f>IFERROR(1-données_step[[#This Row],[S_PTOT]]/données_step[[#This Row],[E_PTOT]],"")</f>
        <v/>
      </c>
      <c r="BL355" s="521" t="str">
        <f>IFERROR(IF(données_step[[#This Row],[E_DCO]]/données_step[[#This Row],[E_DBO5]]=0,NA(),données_step[[#This Row],[E_DCO]]/données_step[[#This Row],[E_DBO5]]),"")</f>
        <v/>
      </c>
      <c r="BM355" s="521" t="str">
        <f>IFERROR(IF(données_step[[#This Row],[E_NH4]]/données_step[[#This Row],[E_NTOT]]=0,NA(),données_step[[#This Row],[E_NH4]]/données_step[[#This Row],[E_NTOT]]),"")</f>
        <v/>
      </c>
      <c r="BN355" s="521" t="str">
        <f>IFERROR(IF(données_step[[#This Row],[E_NTOT]]/données_step[[#This Row],[E_COT]]=0,NA(),données_step[[#This Row],[E_NTOT]]/données_step[[#This Row],[E_COT]]),"")</f>
        <v/>
      </c>
      <c r="BO355" s="521" t="str">
        <f>IFERROR(IF(données_step[[#This Row],[E_PTOT]]/données_step[[#This Row],[E_COT]]=0,NA(),données_step[[#This Row],[E_PTOT]]/données_step[[#This Row],[E_COT]]),"")</f>
        <v/>
      </c>
      <c r="BP355" s="521" t="e">
        <f>IF(données_step[[#This Row],[E_DCO]]/données_step[[#This Row],[E_COT]]=0,NA(),données_step[[#This Row],[E_DCO]]/données_step[[#This Row],[E_COT]])</f>
        <v>#DIV/0!</v>
      </c>
      <c r="BQ355" s="521" t="e">
        <f>IF(données_step[[#This Row],[E_NTOT]]/données_step[[#This Row],[E_DCO]]=0,NA(),données_step[[#This Row],[E_NTOT]]/données_step[[#This Row],[E_DCO]])</f>
        <v>#DIV/0!</v>
      </c>
      <c r="BR355" s="521" t="e">
        <f>IF(données_step[[#This Row],[E_PTOT]]/données_step[[#This Row],[E_DCO]]=0,NA(),données_step[[#This Row],[E_PTOT]]/données_step[[#This Row],[E_DCO]])</f>
        <v>#DIV/0!</v>
      </c>
      <c r="BS355" s="747" t="e">
        <f ca="1">test_NH4_temp(données_step[[#This Row],[S_NH4]],données_step[[#This Row],[Temp_eaux]])</f>
        <v>#NAME?</v>
      </c>
    </row>
    <row r="356" spans="1:71" x14ac:dyDescent="0.2">
      <c r="A356" s="222">
        <f>données_step[[#This Row],[Datum]]</f>
        <v>44907</v>
      </c>
      <c r="B356" s="223"/>
      <c r="C356" s="224">
        <f t="shared" si="94"/>
        <v>2</v>
      </c>
      <c r="D356" s="523" t="str">
        <f>IF(OR(données_step[[#This Row],[E_DBO5]]&lt;=0,données_step[[#This Row],[E_DBO5]]=""),"",données_step[[#This Row],[D_QTRAI]]*données_step[[#This Row],[E_DBO5]]/1000)</f>
        <v/>
      </c>
      <c r="E356" s="523" t="str">
        <f>IF(OR(données_step[[#This Row],[E_DCO]]&lt;=0,données_step[[#This Row],[E_DCO]]=""),"",données_step[[#This Row],[D_QTRAI]]*données_step[[#This Row],[E_DCO]]/1000)</f>
        <v/>
      </c>
      <c r="F356" s="523" t="str">
        <f>IF(OR(données_step[[#This Row],[E_COT]]&lt;=0,données_step[[#This Row],[E_COT]]=""),"",données_step[[#This Row],[D_QTRAI]]*données_step[[#This Row],[E_COT]]/1000)</f>
        <v/>
      </c>
      <c r="G356" s="523" t="str">
        <f>IF(OR(données_step[[#This Row],[E_NH4]]&lt;=0,données_step[[#This Row],[E_NH4]]=""),"",données_step[[#This Row],[D_QTRAI]]*données_step[[#This Row],[E_NH4]]/1000)</f>
        <v/>
      </c>
      <c r="H356" s="523" t="str">
        <f>IF(OR(données_step[[#This Row],[E_NTOT]]&lt;=0,données_step[[#This Row],[E_NTOT]]=""),"",données_step[[#This Row],[D_QTRAI]]*données_step[[#This Row],[E_NTOT]]/1000)</f>
        <v/>
      </c>
      <c r="I356" s="523" t="str">
        <f>IF(OR(données_step[[#This Row],[E_NTOT]]&lt;=0,données_step[[#This Row],[E_NTOT]]=""),"",données_step[[#This Row],[D_QTRAI]]*données_step[[#This Row],[E_PTOT]]/1000)</f>
        <v/>
      </c>
      <c r="J356" s="523" t="str">
        <f>IF(OR(données_step[[#This Row],[S_DBO5]]&lt;=0,données_step[[#This Row],[S_DBO5]]=""),"",données_step[[#This Row],[D_QTRAI]]*données_step[[#This Row],[S_DBO5]]/1000)</f>
        <v/>
      </c>
      <c r="K356" s="523" t="str">
        <f>IF(OR(données_step[[#This Row],[S_DCO]]&lt;=0,données_step[[#This Row],[S_DCO]]=""),"",données_step[[#This Row],[D_QTRAI]]*données_step[[#This Row],[S_DCO]]/1000)</f>
        <v/>
      </c>
      <c r="L356" s="523" t="str">
        <f>IF(OR(données_step[[#This Row],[S_COD]]&lt;=0,données_step[[#This Row],[S_COD]]=""),"",données_step[[#This Row],[D_QTRAI]]*données_step[[#This Row],[S_COD]]/1000)</f>
        <v/>
      </c>
      <c r="M356" s="523" t="str">
        <f>IF(OR(données_step[[#This Row],[S_NH4]]&lt;=0,données_step[[#This Row],[S_NH4]]=""),"",données_step[[#This Row],[D_QTRAI]]*données_step[[#This Row],[S_NH4]]/1000)</f>
        <v/>
      </c>
      <c r="N356" s="523" t="str">
        <f>IF(OR(données_step[[#This Row],[S_NO2]]&lt;=0,données_step[[#This Row],[S_NO2]]=""),"",données_step[[#This Row],[D_QTRAI]]*données_step[[#This Row],[S_NO2]]/1000)</f>
        <v/>
      </c>
      <c r="O356" s="523" t="str">
        <f>IF(OR(données_step[[#This Row],[S_NO3]]&lt;=0,données_step[[#This Row],[S_NO3]]=""),"",données_step[[#This Row],[D_QTRAI]]*données_step[[#This Row],[S_NO3]]/1000)</f>
        <v/>
      </c>
      <c r="P356" s="523" t="str">
        <f>IF(OR(données_step[[#This Row],[S_PTOT]]&lt;=0,données_step[[#This Row],[S_PTOT]]=""),"",données_step[[#This Row],[D_QTRAI]]*données_step[[#This Row],[S_PTOT]]/1000)</f>
        <v/>
      </c>
      <c r="Q356" s="523" t="str">
        <f>IF(OR(données_step[[#This Row],[S_MES]]&lt;=0,données_step[[#This Row],[S_MES]]=""),"",données_step[[#This Row],[D_QTRAI]]*données_step[[#This Row],[S_MES]]/1000)</f>
        <v/>
      </c>
      <c r="R356" s="523">
        <f>MAX(données_step[[#This Row],[D_QTRAI]],données_step[[#This Row],[D_QTRAI2]])</f>
        <v>0</v>
      </c>
      <c r="S356" s="523" t="str">
        <f>IF(AND($R356&gt;0,données_step[[#This Row],[E_DCO]]&gt;0),données_step[[#This Row],[E_DCO]],"")</f>
        <v/>
      </c>
      <c r="T356" s="523" t="str">
        <f>IF(S356="","",(1-données_step[[#This Row],[E_DCO]]/$V$7)*100)</f>
        <v/>
      </c>
      <c r="U356" s="523" t="str">
        <f t="shared" si="80"/>
        <v/>
      </c>
      <c r="V356" s="523" t="str">
        <f t="shared" si="81"/>
        <v/>
      </c>
      <c r="W356" s="523" t="str">
        <f t="shared" si="82"/>
        <v/>
      </c>
      <c r="X356" s="523" t="e">
        <f>IF(((100-100/$V$7*données_step[[#This Row],[E_DCO]])/100*QTS)&lt;0,NA(),IF(OR(U356&lt;0,U356=""),NA(),((100-100/$V$7*données_step[[#This Row],[E_DCO]])/100*QTS)))</f>
        <v>#NUM!</v>
      </c>
      <c r="Y356" s="523" t="str">
        <f>IF(AND($R356&gt;0,données_step[[#This Row],[E_COT]]&gt;0),données_step[[#This Row],[E_COT]],"")</f>
        <v/>
      </c>
      <c r="Z356" s="523" t="str">
        <f>IF(Y356="","",(1-données_step[[#This Row],[E_COT]]/$AB$7)*100)</f>
        <v/>
      </c>
      <c r="AA356" s="523" t="str">
        <f t="shared" si="83"/>
        <v/>
      </c>
      <c r="AB356" s="523" t="str">
        <f t="shared" si="84"/>
        <v/>
      </c>
      <c r="AC356" s="523" t="str">
        <f t="shared" si="85"/>
        <v/>
      </c>
      <c r="AD356" s="523" t="e">
        <f>IF(((100-100/$AB$7*données_step[[#This Row],[E_COT]])/100*QTS)&lt;0,NA(),IF(OR(AA356&lt;0,AA356=""),NA(),((100-100/$AB$7*données_step[[#This Row],[E_COT]])/100*QTS)))</f>
        <v>#NUM!</v>
      </c>
      <c r="AE356" s="523" t="str">
        <f>IF(AND($R356&gt;0,données_step[[#This Row],[E_NH4]]&gt;0),données_step[[#This Row],[E_NH4]],"")</f>
        <v/>
      </c>
      <c r="AF356" s="523" t="str">
        <f>IF(AE356="","",(1-données_step[[#This Row],[E_NH4]]/$AH$7)*100)</f>
        <v/>
      </c>
      <c r="AG356" s="523" t="str">
        <f t="shared" si="86"/>
        <v/>
      </c>
      <c r="AH356" s="523" t="str">
        <f t="shared" si="87"/>
        <v/>
      </c>
      <c r="AI356" s="523" t="str">
        <f t="shared" si="88"/>
        <v/>
      </c>
      <c r="AJ356" s="523" t="e">
        <f>IF(((100-100/$AH$7*données_step[[#This Row],[E_NH4]])/100*QTS)&lt;0,NA(),IF(OR(AG356&lt;0,AG356=""),NA(),((100-100/$AH$7*données_step[[#This Row],[E_NH4]])/100*QTS)))</f>
        <v>#NUM!</v>
      </c>
      <c r="AK356" s="523" t="str">
        <f>IF(AND($R356&gt;0,données_step[[#This Row],[E_PTOT]]&gt;0),données_step[[#This Row],[E_PTOT]],"")</f>
        <v/>
      </c>
      <c r="AL356" s="523" t="str">
        <f>IF(AK356="","",(1-données_step[[#This Row],[E_PTOT]]/$AN$7)*100)</f>
        <v/>
      </c>
      <c r="AM356" s="523" t="str">
        <f t="shared" si="89"/>
        <v/>
      </c>
      <c r="AN356" s="523" t="str">
        <f t="shared" si="90"/>
        <v/>
      </c>
      <c r="AO356" s="523" t="str">
        <f t="shared" si="91"/>
        <v/>
      </c>
      <c r="AP356" s="523" t="e">
        <f>IF(((100-100/$AN$7*données_step[[#This Row],[E_PTOT]])/100*QTS)&lt;0,NA(),IF(OR(AM356&lt;0,AM356=""),NA(),((100-100/$AN$7*données_step[[#This Row],[E_PTOT]])/100*QTS)))</f>
        <v>#NUM!</v>
      </c>
      <c r="AQ356" s="524" t="e">
        <f t="shared" si="92"/>
        <v>#NUM!</v>
      </c>
      <c r="AR356" s="524" t="str">
        <f t="shared" si="93"/>
        <v/>
      </c>
      <c r="AY356" s="523" t="str">
        <f>_xlfn.IFNA(IF(données_step[[#This Row],[E_DCO]]&lt;=0,NA(),charge_entree[[#This Row],[ch_E_DCO]]/constanten!$B$8*1000),"")</f>
        <v/>
      </c>
      <c r="AZ356" s="523" t="str">
        <f>_xlfn.IFNA(IF(données_step[[#This Row],[E_NTOT]]&lt;=0,NA(),charge_entree[[#This Row],[ch_E_NTOT]]/constanten!$B$10*1000),"")</f>
        <v/>
      </c>
      <c r="BA356" s="523" t="str">
        <f>_xlfn.IFNA(IF(données_step[[#This Row],[E_NH4]]&lt;=0,NA(),charge_entree[[#This Row],[ch_E_NH4]]/constanten!$B$12*1000),"")</f>
        <v/>
      </c>
      <c r="BB356" s="523" t="str">
        <f>_xlfn.IFNA(IF(données_step[[#This Row],[E_COT]]&lt;=0,NA(),charge_entree[[#This Row],[ch_E_COT]]/constanten!$B$9*1000),"")</f>
        <v/>
      </c>
      <c r="BC356" s="523" t="str">
        <f>IFERROR(_xlfn.IFNA(IF(données_step[[#This Row],[E_PTOT]]&lt;=0,NA(),charge_entree[[#This Row],[ch_E_PTOT]]/constanten!$B$15*1000),""),"")</f>
        <v/>
      </c>
      <c r="BD356" s="535" t="e">
        <f>calculs!E356 * (1-0.4) / (données_step[[#This Row],[X_BA_VOL]]*données_step[[#This Row],[X_BACONC]])</f>
        <v>#VALUE!</v>
      </c>
      <c r="BE356" s="522" t="e">
        <f>(données_step[[#This Row],[X_BA_VOL]]*données_step[[#This Row],[X_BACONC]])/((données_step[[#This Row],[D_QTRAI2]]*données_step[[#This Row],[S_MES]]/1000)+(données_step[[#This Row],[X_BX_Q]]*données_step[[#This Row],[X_BXCONC]]))</f>
        <v>#VALUE!</v>
      </c>
      <c r="BF356" s="890" t="str">
        <f>IFERROR(données_step[[#This Row],[D_QTRAI]]/AY356*1000,"")</f>
        <v/>
      </c>
      <c r="BG356" s="535" t="str">
        <f>IFERROR(1-données_step[[#This Row],[S_DBO5]]/données_step[[#This Row],[E_DBO5]],"")</f>
        <v/>
      </c>
      <c r="BH356" s="536" t="str">
        <f>IFERROR(1-données_step[[#This Row],[S_DCO]]/données_step[[#This Row],[E_DCO]],"")</f>
        <v/>
      </c>
      <c r="BI356" s="535" t="str">
        <f>IFERROR(1-données_step[[#This Row],[S_COD]]/données_step[[#This Row],[E_COT]],"")</f>
        <v/>
      </c>
      <c r="BJ356" s="535" t="str">
        <f>IFERROR(1-données_step[[#This Row],[S_NH4]]/données_step[[#This Row],[E_NTOT]],"")</f>
        <v/>
      </c>
      <c r="BK356" s="535" t="str">
        <f>IFERROR(1-données_step[[#This Row],[S_PTOT]]/données_step[[#This Row],[E_PTOT]],"")</f>
        <v/>
      </c>
      <c r="BL356" s="521" t="str">
        <f>IFERROR(IF(données_step[[#This Row],[E_DCO]]/données_step[[#This Row],[E_DBO5]]=0,NA(),données_step[[#This Row],[E_DCO]]/données_step[[#This Row],[E_DBO5]]),"")</f>
        <v/>
      </c>
      <c r="BM356" s="521" t="str">
        <f>IFERROR(IF(données_step[[#This Row],[E_NH4]]/données_step[[#This Row],[E_NTOT]]=0,NA(),données_step[[#This Row],[E_NH4]]/données_step[[#This Row],[E_NTOT]]),"")</f>
        <v/>
      </c>
      <c r="BN356" s="521" t="str">
        <f>IFERROR(IF(données_step[[#This Row],[E_NTOT]]/données_step[[#This Row],[E_COT]]=0,NA(),données_step[[#This Row],[E_NTOT]]/données_step[[#This Row],[E_COT]]),"")</f>
        <v/>
      </c>
      <c r="BO356" s="521" t="str">
        <f>IFERROR(IF(données_step[[#This Row],[E_PTOT]]/données_step[[#This Row],[E_COT]]=0,NA(),données_step[[#This Row],[E_PTOT]]/données_step[[#This Row],[E_COT]]),"")</f>
        <v/>
      </c>
      <c r="BP356" s="521" t="e">
        <f>IF(données_step[[#This Row],[E_DCO]]/données_step[[#This Row],[E_COT]]=0,NA(),données_step[[#This Row],[E_DCO]]/données_step[[#This Row],[E_COT]])</f>
        <v>#DIV/0!</v>
      </c>
      <c r="BQ356" s="521" t="e">
        <f>IF(données_step[[#This Row],[E_NTOT]]/données_step[[#This Row],[E_DCO]]=0,NA(),données_step[[#This Row],[E_NTOT]]/données_step[[#This Row],[E_DCO]])</f>
        <v>#DIV/0!</v>
      </c>
      <c r="BR356" s="521" t="e">
        <f>IF(données_step[[#This Row],[E_PTOT]]/données_step[[#This Row],[E_DCO]]=0,NA(),données_step[[#This Row],[E_PTOT]]/données_step[[#This Row],[E_DCO]])</f>
        <v>#DIV/0!</v>
      </c>
      <c r="BS356" s="747" t="e">
        <f ca="1">test_NH4_temp(données_step[[#This Row],[S_NH4]],données_step[[#This Row],[Temp_eaux]])</f>
        <v>#NAME?</v>
      </c>
    </row>
    <row r="357" spans="1:71" x14ac:dyDescent="0.2">
      <c r="A357" s="222">
        <f>données_step[[#This Row],[Datum]]</f>
        <v>44908</v>
      </c>
      <c r="B357" s="223"/>
      <c r="C357" s="224">
        <f t="shared" si="94"/>
        <v>3</v>
      </c>
      <c r="D357" s="523" t="str">
        <f>IF(OR(données_step[[#This Row],[E_DBO5]]&lt;=0,données_step[[#This Row],[E_DBO5]]=""),"",données_step[[#This Row],[D_QTRAI]]*données_step[[#This Row],[E_DBO5]]/1000)</f>
        <v/>
      </c>
      <c r="E357" s="523" t="str">
        <f>IF(OR(données_step[[#This Row],[E_DCO]]&lt;=0,données_step[[#This Row],[E_DCO]]=""),"",données_step[[#This Row],[D_QTRAI]]*données_step[[#This Row],[E_DCO]]/1000)</f>
        <v/>
      </c>
      <c r="F357" s="523" t="str">
        <f>IF(OR(données_step[[#This Row],[E_COT]]&lt;=0,données_step[[#This Row],[E_COT]]=""),"",données_step[[#This Row],[D_QTRAI]]*données_step[[#This Row],[E_COT]]/1000)</f>
        <v/>
      </c>
      <c r="G357" s="523" t="str">
        <f>IF(OR(données_step[[#This Row],[E_NH4]]&lt;=0,données_step[[#This Row],[E_NH4]]=""),"",données_step[[#This Row],[D_QTRAI]]*données_step[[#This Row],[E_NH4]]/1000)</f>
        <v/>
      </c>
      <c r="H357" s="523" t="str">
        <f>IF(OR(données_step[[#This Row],[E_NTOT]]&lt;=0,données_step[[#This Row],[E_NTOT]]=""),"",données_step[[#This Row],[D_QTRAI]]*données_step[[#This Row],[E_NTOT]]/1000)</f>
        <v/>
      </c>
      <c r="I357" s="523" t="str">
        <f>IF(OR(données_step[[#This Row],[E_NTOT]]&lt;=0,données_step[[#This Row],[E_NTOT]]=""),"",données_step[[#This Row],[D_QTRAI]]*données_step[[#This Row],[E_PTOT]]/1000)</f>
        <v/>
      </c>
      <c r="J357" s="523" t="str">
        <f>IF(OR(données_step[[#This Row],[S_DBO5]]&lt;=0,données_step[[#This Row],[S_DBO5]]=""),"",données_step[[#This Row],[D_QTRAI]]*données_step[[#This Row],[S_DBO5]]/1000)</f>
        <v/>
      </c>
      <c r="K357" s="523" t="str">
        <f>IF(OR(données_step[[#This Row],[S_DCO]]&lt;=0,données_step[[#This Row],[S_DCO]]=""),"",données_step[[#This Row],[D_QTRAI]]*données_step[[#This Row],[S_DCO]]/1000)</f>
        <v/>
      </c>
      <c r="L357" s="523" t="str">
        <f>IF(OR(données_step[[#This Row],[S_COD]]&lt;=0,données_step[[#This Row],[S_COD]]=""),"",données_step[[#This Row],[D_QTRAI]]*données_step[[#This Row],[S_COD]]/1000)</f>
        <v/>
      </c>
      <c r="M357" s="523" t="str">
        <f>IF(OR(données_step[[#This Row],[S_NH4]]&lt;=0,données_step[[#This Row],[S_NH4]]=""),"",données_step[[#This Row],[D_QTRAI]]*données_step[[#This Row],[S_NH4]]/1000)</f>
        <v/>
      </c>
      <c r="N357" s="523" t="str">
        <f>IF(OR(données_step[[#This Row],[S_NO2]]&lt;=0,données_step[[#This Row],[S_NO2]]=""),"",données_step[[#This Row],[D_QTRAI]]*données_step[[#This Row],[S_NO2]]/1000)</f>
        <v/>
      </c>
      <c r="O357" s="523" t="str">
        <f>IF(OR(données_step[[#This Row],[S_NO3]]&lt;=0,données_step[[#This Row],[S_NO3]]=""),"",données_step[[#This Row],[D_QTRAI]]*données_step[[#This Row],[S_NO3]]/1000)</f>
        <v/>
      </c>
      <c r="P357" s="523" t="str">
        <f>IF(OR(données_step[[#This Row],[S_PTOT]]&lt;=0,données_step[[#This Row],[S_PTOT]]=""),"",données_step[[#This Row],[D_QTRAI]]*données_step[[#This Row],[S_PTOT]]/1000)</f>
        <v/>
      </c>
      <c r="Q357" s="523" t="str">
        <f>IF(OR(données_step[[#This Row],[S_MES]]&lt;=0,données_step[[#This Row],[S_MES]]=""),"",données_step[[#This Row],[D_QTRAI]]*données_step[[#This Row],[S_MES]]/1000)</f>
        <v/>
      </c>
      <c r="R357" s="523">
        <f>MAX(données_step[[#This Row],[D_QTRAI]],données_step[[#This Row],[D_QTRAI2]])</f>
        <v>0</v>
      </c>
      <c r="S357" s="523" t="str">
        <f>IF(AND($R357&gt;0,données_step[[#This Row],[E_DCO]]&gt;0),données_step[[#This Row],[E_DCO]],"")</f>
        <v/>
      </c>
      <c r="T357" s="523" t="str">
        <f>IF(S357="","",(1-données_step[[#This Row],[E_DCO]]/$V$7)*100)</f>
        <v/>
      </c>
      <c r="U357" s="523" t="str">
        <f t="shared" si="80"/>
        <v/>
      </c>
      <c r="V357" s="523" t="str">
        <f t="shared" si="81"/>
        <v/>
      </c>
      <c r="W357" s="523" t="str">
        <f t="shared" si="82"/>
        <v/>
      </c>
      <c r="X357" s="523" t="e">
        <f>IF(((100-100/$V$7*données_step[[#This Row],[E_DCO]])/100*QTS)&lt;0,NA(),IF(OR(U357&lt;0,U357=""),NA(),((100-100/$V$7*données_step[[#This Row],[E_DCO]])/100*QTS)))</f>
        <v>#NUM!</v>
      </c>
      <c r="Y357" s="523" t="str">
        <f>IF(AND($R357&gt;0,données_step[[#This Row],[E_COT]]&gt;0),données_step[[#This Row],[E_COT]],"")</f>
        <v/>
      </c>
      <c r="Z357" s="523" t="str">
        <f>IF(Y357="","",(1-données_step[[#This Row],[E_COT]]/$AB$7)*100)</f>
        <v/>
      </c>
      <c r="AA357" s="523" t="str">
        <f t="shared" si="83"/>
        <v/>
      </c>
      <c r="AB357" s="523" t="str">
        <f t="shared" si="84"/>
        <v/>
      </c>
      <c r="AC357" s="523" t="str">
        <f t="shared" si="85"/>
        <v/>
      </c>
      <c r="AD357" s="523" t="e">
        <f>IF(((100-100/$AB$7*données_step[[#This Row],[E_COT]])/100*QTS)&lt;0,NA(),IF(OR(AA357&lt;0,AA357=""),NA(),((100-100/$AB$7*données_step[[#This Row],[E_COT]])/100*QTS)))</f>
        <v>#NUM!</v>
      </c>
      <c r="AE357" s="523" t="str">
        <f>IF(AND($R357&gt;0,données_step[[#This Row],[E_NH4]]&gt;0),données_step[[#This Row],[E_NH4]],"")</f>
        <v/>
      </c>
      <c r="AF357" s="523" t="str">
        <f>IF(AE357="","",(1-données_step[[#This Row],[E_NH4]]/$AH$7)*100)</f>
        <v/>
      </c>
      <c r="AG357" s="523" t="str">
        <f t="shared" si="86"/>
        <v/>
      </c>
      <c r="AH357" s="523" t="str">
        <f t="shared" si="87"/>
        <v/>
      </c>
      <c r="AI357" s="523" t="str">
        <f t="shared" si="88"/>
        <v/>
      </c>
      <c r="AJ357" s="523" t="e">
        <f>IF(((100-100/$AH$7*données_step[[#This Row],[E_NH4]])/100*QTS)&lt;0,NA(),IF(OR(AG357&lt;0,AG357=""),NA(),((100-100/$AH$7*données_step[[#This Row],[E_NH4]])/100*QTS)))</f>
        <v>#NUM!</v>
      </c>
      <c r="AK357" s="523" t="str">
        <f>IF(AND($R357&gt;0,données_step[[#This Row],[E_PTOT]]&gt;0),données_step[[#This Row],[E_PTOT]],"")</f>
        <v/>
      </c>
      <c r="AL357" s="523" t="str">
        <f>IF(AK357="","",(1-données_step[[#This Row],[E_PTOT]]/$AN$7)*100)</f>
        <v/>
      </c>
      <c r="AM357" s="523" t="str">
        <f t="shared" si="89"/>
        <v/>
      </c>
      <c r="AN357" s="523" t="str">
        <f t="shared" si="90"/>
        <v/>
      </c>
      <c r="AO357" s="523" t="str">
        <f t="shared" si="91"/>
        <v/>
      </c>
      <c r="AP357" s="523" t="e">
        <f>IF(((100-100/$AN$7*données_step[[#This Row],[E_PTOT]])/100*QTS)&lt;0,NA(),IF(OR(AM357&lt;0,AM357=""),NA(),((100-100/$AN$7*données_step[[#This Row],[E_PTOT]])/100*QTS)))</f>
        <v>#NUM!</v>
      </c>
      <c r="AQ357" s="524" t="e">
        <f t="shared" si="92"/>
        <v>#NUM!</v>
      </c>
      <c r="AR357" s="524" t="str">
        <f t="shared" si="93"/>
        <v/>
      </c>
      <c r="AY357" s="523" t="str">
        <f>_xlfn.IFNA(IF(données_step[[#This Row],[E_DCO]]&lt;=0,NA(),charge_entree[[#This Row],[ch_E_DCO]]/constanten!$B$8*1000),"")</f>
        <v/>
      </c>
      <c r="AZ357" s="523" t="str">
        <f>_xlfn.IFNA(IF(données_step[[#This Row],[E_NTOT]]&lt;=0,NA(),charge_entree[[#This Row],[ch_E_NTOT]]/constanten!$B$10*1000),"")</f>
        <v/>
      </c>
      <c r="BA357" s="523" t="str">
        <f>_xlfn.IFNA(IF(données_step[[#This Row],[E_NH4]]&lt;=0,NA(),charge_entree[[#This Row],[ch_E_NH4]]/constanten!$B$12*1000),"")</f>
        <v/>
      </c>
      <c r="BB357" s="523" t="str">
        <f>_xlfn.IFNA(IF(données_step[[#This Row],[E_COT]]&lt;=0,NA(),charge_entree[[#This Row],[ch_E_COT]]/constanten!$B$9*1000),"")</f>
        <v/>
      </c>
      <c r="BC357" s="523" t="str">
        <f>IFERROR(_xlfn.IFNA(IF(données_step[[#This Row],[E_PTOT]]&lt;=0,NA(),charge_entree[[#This Row],[ch_E_PTOT]]/constanten!$B$15*1000),""),"")</f>
        <v/>
      </c>
      <c r="BD357" s="535" t="e">
        <f>calculs!E357 * (1-0.4) / (données_step[[#This Row],[X_BA_VOL]]*données_step[[#This Row],[X_BACONC]])</f>
        <v>#VALUE!</v>
      </c>
      <c r="BE357" s="522" t="e">
        <f>(données_step[[#This Row],[X_BA_VOL]]*données_step[[#This Row],[X_BACONC]])/((données_step[[#This Row],[D_QTRAI2]]*données_step[[#This Row],[S_MES]]/1000)+(données_step[[#This Row],[X_BX_Q]]*données_step[[#This Row],[X_BXCONC]]))</f>
        <v>#VALUE!</v>
      </c>
      <c r="BF357" s="890" t="str">
        <f>IFERROR(données_step[[#This Row],[D_QTRAI]]/AY357*1000,"")</f>
        <v/>
      </c>
      <c r="BG357" s="535" t="str">
        <f>IFERROR(1-données_step[[#This Row],[S_DBO5]]/données_step[[#This Row],[E_DBO5]],"")</f>
        <v/>
      </c>
      <c r="BH357" s="536" t="str">
        <f>IFERROR(1-données_step[[#This Row],[S_DCO]]/données_step[[#This Row],[E_DCO]],"")</f>
        <v/>
      </c>
      <c r="BI357" s="535" t="str">
        <f>IFERROR(1-données_step[[#This Row],[S_COD]]/données_step[[#This Row],[E_COT]],"")</f>
        <v/>
      </c>
      <c r="BJ357" s="535" t="str">
        <f>IFERROR(1-données_step[[#This Row],[S_NH4]]/données_step[[#This Row],[E_NTOT]],"")</f>
        <v/>
      </c>
      <c r="BK357" s="535" t="str">
        <f>IFERROR(1-données_step[[#This Row],[S_PTOT]]/données_step[[#This Row],[E_PTOT]],"")</f>
        <v/>
      </c>
      <c r="BL357" s="521" t="str">
        <f>IFERROR(IF(données_step[[#This Row],[E_DCO]]/données_step[[#This Row],[E_DBO5]]=0,NA(),données_step[[#This Row],[E_DCO]]/données_step[[#This Row],[E_DBO5]]),"")</f>
        <v/>
      </c>
      <c r="BM357" s="521" t="str">
        <f>IFERROR(IF(données_step[[#This Row],[E_NH4]]/données_step[[#This Row],[E_NTOT]]=0,NA(),données_step[[#This Row],[E_NH4]]/données_step[[#This Row],[E_NTOT]]),"")</f>
        <v/>
      </c>
      <c r="BN357" s="521" t="str">
        <f>IFERROR(IF(données_step[[#This Row],[E_NTOT]]/données_step[[#This Row],[E_COT]]=0,NA(),données_step[[#This Row],[E_NTOT]]/données_step[[#This Row],[E_COT]]),"")</f>
        <v/>
      </c>
      <c r="BO357" s="521" t="str">
        <f>IFERROR(IF(données_step[[#This Row],[E_PTOT]]/données_step[[#This Row],[E_COT]]=0,NA(),données_step[[#This Row],[E_PTOT]]/données_step[[#This Row],[E_COT]]),"")</f>
        <v/>
      </c>
      <c r="BP357" s="521" t="e">
        <f>IF(données_step[[#This Row],[E_DCO]]/données_step[[#This Row],[E_COT]]=0,NA(),données_step[[#This Row],[E_DCO]]/données_step[[#This Row],[E_COT]])</f>
        <v>#DIV/0!</v>
      </c>
      <c r="BQ357" s="521" t="e">
        <f>IF(données_step[[#This Row],[E_NTOT]]/données_step[[#This Row],[E_DCO]]=0,NA(),données_step[[#This Row],[E_NTOT]]/données_step[[#This Row],[E_DCO]])</f>
        <v>#DIV/0!</v>
      </c>
      <c r="BR357" s="521" t="e">
        <f>IF(données_step[[#This Row],[E_PTOT]]/données_step[[#This Row],[E_DCO]]=0,NA(),données_step[[#This Row],[E_PTOT]]/données_step[[#This Row],[E_DCO]])</f>
        <v>#DIV/0!</v>
      </c>
      <c r="BS357" s="747" t="e">
        <f ca="1">test_NH4_temp(données_step[[#This Row],[S_NH4]],données_step[[#This Row],[Temp_eaux]])</f>
        <v>#NAME?</v>
      </c>
    </row>
    <row r="358" spans="1:71" x14ac:dyDescent="0.2">
      <c r="A358" s="222">
        <f>données_step[[#This Row],[Datum]]</f>
        <v>44909</v>
      </c>
      <c r="B358" s="223"/>
      <c r="C358" s="224">
        <f t="shared" si="94"/>
        <v>4</v>
      </c>
      <c r="D358" s="523" t="str">
        <f>IF(OR(données_step[[#This Row],[E_DBO5]]&lt;=0,données_step[[#This Row],[E_DBO5]]=""),"",données_step[[#This Row],[D_QTRAI]]*données_step[[#This Row],[E_DBO5]]/1000)</f>
        <v/>
      </c>
      <c r="E358" s="523" t="str">
        <f>IF(OR(données_step[[#This Row],[E_DCO]]&lt;=0,données_step[[#This Row],[E_DCO]]=""),"",données_step[[#This Row],[D_QTRAI]]*données_step[[#This Row],[E_DCO]]/1000)</f>
        <v/>
      </c>
      <c r="F358" s="523" t="str">
        <f>IF(OR(données_step[[#This Row],[E_COT]]&lt;=0,données_step[[#This Row],[E_COT]]=""),"",données_step[[#This Row],[D_QTRAI]]*données_step[[#This Row],[E_COT]]/1000)</f>
        <v/>
      </c>
      <c r="G358" s="523" t="str">
        <f>IF(OR(données_step[[#This Row],[E_NH4]]&lt;=0,données_step[[#This Row],[E_NH4]]=""),"",données_step[[#This Row],[D_QTRAI]]*données_step[[#This Row],[E_NH4]]/1000)</f>
        <v/>
      </c>
      <c r="H358" s="523" t="str">
        <f>IF(OR(données_step[[#This Row],[E_NTOT]]&lt;=0,données_step[[#This Row],[E_NTOT]]=""),"",données_step[[#This Row],[D_QTRAI]]*données_step[[#This Row],[E_NTOT]]/1000)</f>
        <v/>
      </c>
      <c r="I358" s="523" t="str">
        <f>IF(OR(données_step[[#This Row],[E_NTOT]]&lt;=0,données_step[[#This Row],[E_NTOT]]=""),"",données_step[[#This Row],[D_QTRAI]]*données_step[[#This Row],[E_PTOT]]/1000)</f>
        <v/>
      </c>
      <c r="J358" s="523" t="str">
        <f>IF(OR(données_step[[#This Row],[S_DBO5]]&lt;=0,données_step[[#This Row],[S_DBO5]]=""),"",données_step[[#This Row],[D_QTRAI]]*données_step[[#This Row],[S_DBO5]]/1000)</f>
        <v/>
      </c>
      <c r="K358" s="523" t="str">
        <f>IF(OR(données_step[[#This Row],[S_DCO]]&lt;=0,données_step[[#This Row],[S_DCO]]=""),"",données_step[[#This Row],[D_QTRAI]]*données_step[[#This Row],[S_DCO]]/1000)</f>
        <v/>
      </c>
      <c r="L358" s="523" t="str">
        <f>IF(OR(données_step[[#This Row],[S_COD]]&lt;=0,données_step[[#This Row],[S_COD]]=""),"",données_step[[#This Row],[D_QTRAI]]*données_step[[#This Row],[S_COD]]/1000)</f>
        <v/>
      </c>
      <c r="M358" s="523" t="str">
        <f>IF(OR(données_step[[#This Row],[S_NH4]]&lt;=0,données_step[[#This Row],[S_NH4]]=""),"",données_step[[#This Row],[D_QTRAI]]*données_step[[#This Row],[S_NH4]]/1000)</f>
        <v/>
      </c>
      <c r="N358" s="523" t="str">
        <f>IF(OR(données_step[[#This Row],[S_NO2]]&lt;=0,données_step[[#This Row],[S_NO2]]=""),"",données_step[[#This Row],[D_QTRAI]]*données_step[[#This Row],[S_NO2]]/1000)</f>
        <v/>
      </c>
      <c r="O358" s="523" t="str">
        <f>IF(OR(données_step[[#This Row],[S_NO3]]&lt;=0,données_step[[#This Row],[S_NO3]]=""),"",données_step[[#This Row],[D_QTRAI]]*données_step[[#This Row],[S_NO3]]/1000)</f>
        <v/>
      </c>
      <c r="P358" s="523" t="str">
        <f>IF(OR(données_step[[#This Row],[S_PTOT]]&lt;=0,données_step[[#This Row],[S_PTOT]]=""),"",données_step[[#This Row],[D_QTRAI]]*données_step[[#This Row],[S_PTOT]]/1000)</f>
        <v/>
      </c>
      <c r="Q358" s="523" t="str">
        <f>IF(OR(données_step[[#This Row],[S_MES]]&lt;=0,données_step[[#This Row],[S_MES]]=""),"",données_step[[#This Row],[D_QTRAI]]*données_step[[#This Row],[S_MES]]/1000)</f>
        <v/>
      </c>
      <c r="R358" s="523">
        <f>MAX(données_step[[#This Row],[D_QTRAI]],données_step[[#This Row],[D_QTRAI2]])</f>
        <v>0</v>
      </c>
      <c r="S358" s="523" t="str">
        <f>IF(AND($R358&gt;0,données_step[[#This Row],[E_DCO]]&gt;0),données_step[[#This Row],[E_DCO]],"")</f>
        <v/>
      </c>
      <c r="T358" s="523" t="str">
        <f>IF(S358="","",(1-données_step[[#This Row],[E_DCO]]/$V$7)*100)</f>
        <v/>
      </c>
      <c r="U358" s="523" t="str">
        <f t="shared" si="80"/>
        <v/>
      </c>
      <c r="V358" s="523" t="str">
        <f t="shared" si="81"/>
        <v/>
      </c>
      <c r="W358" s="523" t="str">
        <f t="shared" si="82"/>
        <v/>
      </c>
      <c r="X358" s="523" t="e">
        <f>IF(((100-100/$V$7*données_step[[#This Row],[E_DCO]])/100*QTS)&lt;0,NA(),IF(OR(U358&lt;0,U358=""),NA(),((100-100/$V$7*données_step[[#This Row],[E_DCO]])/100*QTS)))</f>
        <v>#NUM!</v>
      </c>
      <c r="Y358" s="523" t="str">
        <f>IF(AND($R358&gt;0,données_step[[#This Row],[E_COT]]&gt;0),données_step[[#This Row],[E_COT]],"")</f>
        <v/>
      </c>
      <c r="Z358" s="523" t="str">
        <f>IF(Y358="","",(1-données_step[[#This Row],[E_COT]]/$AB$7)*100)</f>
        <v/>
      </c>
      <c r="AA358" s="523" t="str">
        <f t="shared" si="83"/>
        <v/>
      </c>
      <c r="AB358" s="523" t="str">
        <f t="shared" si="84"/>
        <v/>
      </c>
      <c r="AC358" s="523" t="str">
        <f t="shared" si="85"/>
        <v/>
      </c>
      <c r="AD358" s="523" t="e">
        <f>IF(((100-100/$AB$7*données_step[[#This Row],[E_COT]])/100*QTS)&lt;0,NA(),IF(OR(AA358&lt;0,AA358=""),NA(),((100-100/$AB$7*données_step[[#This Row],[E_COT]])/100*QTS)))</f>
        <v>#NUM!</v>
      </c>
      <c r="AE358" s="523" t="str">
        <f>IF(AND($R358&gt;0,données_step[[#This Row],[E_NH4]]&gt;0),données_step[[#This Row],[E_NH4]],"")</f>
        <v/>
      </c>
      <c r="AF358" s="523" t="str">
        <f>IF(AE358="","",(1-données_step[[#This Row],[E_NH4]]/$AH$7)*100)</f>
        <v/>
      </c>
      <c r="AG358" s="523" t="str">
        <f t="shared" si="86"/>
        <v/>
      </c>
      <c r="AH358" s="523" t="str">
        <f t="shared" si="87"/>
        <v/>
      </c>
      <c r="AI358" s="523" t="str">
        <f t="shared" si="88"/>
        <v/>
      </c>
      <c r="AJ358" s="523" t="e">
        <f>IF(((100-100/$AH$7*données_step[[#This Row],[E_NH4]])/100*QTS)&lt;0,NA(),IF(OR(AG358&lt;0,AG358=""),NA(),((100-100/$AH$7*données_step[[#This Row],[E_NH4]])/100*QTS)))</f>
        <v>#NUM!</v>
      </c>
      <c r="AK358" s="523" t="str">
        <f>IF(AND($R358&gt;0,données_step[[#This Row],[E_PTOT]]&gt;0),données_step[[#This Row],[E_PTOT]],"")</f>
        <v/>
      </c>
      <c r="AL358" s="523" t="str">
        <f>IF(AK358="","",(1-données_step[[#This Row],[E_PTOT]]/$AN$7)*100)</f>
        <v/>
      </c>
      <c r="AM358" s="523" t="str">
        <f t="shared" si="89"/>
        <v/>
      </c>
      <c r="AN358" s="523" t="str">
        <f t="shared" si="90"/>
        <v/>
      </c>
      <c r="AO358" s="523" t="str">
        <f t="shared" si="91"/>
        <v/>
      </c>
      <c r="AP358" s="523" t="e">
        <f>IF(((100-100/$AN$7*données_step[[#This Row],[E_PTOT]])/100*QTS)&lt;0,NA(),IF(OR(AM358&lt;0,AM358=""),NA(),((100-100/$AN$7*données_step[[#This Row],[E_PTOT]])/100*QTS)))</f>
        <v>#NUM!</v>
      </c>
      <c r="AQ358" s="524" t="e">
        <f t="shared" si="92"/>
        <v>#NUM!</v>
      </c>
      <c r="AR358" s="524" t="str">
        <f t="shared" si="93"/>
        <v/>
      </c>
      <c r="AY358" s="523" t="str">
        <f>_xlfn.IFNA(IF(données_step[[#This Row],[E_DCO]]&lt;=0,NA(),charge_entree[[#This Row],[ch_E_DCO]]/constanten!$B$8*1000),"")</f>
        <v/>
      </c>
      <c r="AZ358" s="523" t="str">
        <f>_xlfn.IFNA(IF(données_step[[#This Row],[E_NTOT]]&lt;=0,NA(),charge_entree[[#This Row],[ch_E_NTOT]]/constanten!$B$10*1000),"")</f>
        <v/>
      </c>
      <c r="BA358" s="523" t="str">
        <f>_xlfn.IFNA(IF(données_step[[#This Row],[E_NH4]]&lt;=0,NA(),charge_entree[[#This Row],[ch_E_NH4]]/constanten!$B$12*1000),"")</f>
        <v/>
      </c>
      <c r="BB358" s="523" t="str">
        <f>_xlfn.IFNA(IF(données_step[[#This Row],[E_COT]]&lt;=0,NA(),charge_entree[[#This Row],[ch_E_COT]]/constanten!$B$9*1000),"")</f>
        <v/>
      </c>
      <c r="BC358" s="523" t="str">
        <f>IFERROR(_xlfn.IFNA(IF(données_step[[#This Row],[E_PTOT]]&lt;=0,NA(),charge_entree[[#This Row],[ch_E_PTOT]]/constanten!$B$15*1000),""),"")</f>
        <v/>
      </c>
      <c r="BD358" s="535" t="e">
        <f>calculs!E358 * (1-0.4) / (données_step[[#This Row],[X_BA_VOL]]*données_step[[#This Row],[X_BACONC]])</f>
        <v>#VALUE!</v>
      </c>
      <c r="BE358" s="522" t="e">
        <f>(données_step[[#This Row],[X_BA_VOL]]*données_step[[#This Row],[X_BACONC]])/((données_step[[#This Row],[D_QTRAI2]]*données_step[[#This Row],[S_MES]]/1000)+(données_step[[#This Row],[X_BX_Q]]*données_step[[#This Row],[X_BXCONC]]))</f>
        <v>#VALUE!</v>
      </c>
      <c r="BF358" s="890" t="str">
        <f>IFERROR(données_step[[#This Row],[D_QTRAI]]/AY358*1000,"")</f>
        <v/>
      </c>
      <c r="BG358" s="535" t="str">
        <f>IFERROR(1-données_step[[#This Row],[S_DBO5]]/données_step[[#This Row],[E_DBO5]],"")</f>
        <v/>
      </c>
      <c r="BH358" s="536" t="str">
        <f>IFERROR(1-données_step[[#This Row],[S_DCO]]/données_step[[#This Row],[E_DCO]],"")</f>
        <v/>
      </c>
      <c r="BI358" s="535" t="str">
        <f>IFERROR(1-données_step[[#This Row],[S_COD]]/données_step[[#This Row],[E_COT]],"")</f>
        <v/>
      </c>
      <c r="BJ358" s="535" t="str">
        <f>IFERROR(1-données_step[[#This Row],[S_NH4]]/données_step[[#This Row],[E_NTOT]],"")</f>
        <v/>
      </c>
      <c r="BK358" s="535" t="str">
        <f>IFERROR(1-données_step[[#This Row],[S_PTOT]]/données_step[[#This Row],[E_PTOT]],"")</f>
        <v/>
      </c>
      <c r="BL358" s="521" t="str">
        <f>IFERROR(IF(données_step[[#This Row],[E_DCO]]/données_step[[#This Row],[E_DBO5]]=0,NA(),données_step[[#This Row],[E_DCO]]/données_step[[#This Row],[E_DBO5]]),"")</f>
        <v/>
      </c>
      <c r="BM358" s="521" t="str">
        <f>IFERROR(IF(données_step[[#This Row],[E_NH4]]/données_step[[#This Row],[E_NTOT]]=0,NA(),données_step[[#This Row],[E_NH4]]/données_step[[#This Row],[E_NTOT]]),"")</f>
        <v/>
      </c>
      <c r="BN358" s="521" t="str">
        <f>IFERROR(IF(données_step[[#This Row],[E_NTOT]]/données_step[[#This Row],[E_COT]]=0,NA(),données_step[[#This Row],[E_NTOT]]/données_step[[#This Row],[E_COT]]),"")</f>
        <v/>
      </c>
      <c r="BO358" s="521" t="str">
        <f>IFERROR(IF(données_step[[#This Row],[E_PTOT]]/données_step[[#This Row],[E_COT]]=0,NA(),données_step[[#This Row],[E_PTOT]]/données_step[[#This Row],[E_COT]]),"")</f>
        <v/>
      </c>
      <c r="BP358" s="521" t="e">
        <f>IF(données_step[[#This Row],[E_DCO]]/données_step[[#This Row],[E_COT]]=0,NA(),données_step[[#This Row],[E_DCO]]/données_step[[#This Row],[E_COT]])</f>
        <v>#DIV/0!</v>
      </c>
      <c r="BQ358" s="521" t="e">
        <f>IF(données_step[[#This Row],[E_NTOT]]/données_step[[#This Row],[E_DCO]]=0,NA(),données_step[[#This Row],[E_NTOT]]/données_step[[#This Row],[E_DCO]])</f>
        <v>#DIV/0!</v>
      </c>
      <c r="BR358" s="521" t="e">
        <f>IF(données_step[[#This Row],[E_PTOT]]/données_step[[#This Row],[E_DCO]]=0,NA(),données_step[[#This Row],[E_PTOT]]/données_step[[#This Row],[E_DCO]])</f>
        <v>#DIV/0!</v>
      </c>
      <c r="BS358" s="747" t="e">
        <f ca="1">test_NH4_temp(données_step[[#This Row],[S_NH4]],données_step[[#This Row],[Temp_eaux]])</f>
        <v>#NAME?</v>
      </c>
    </row>
    <row r="359" spans="1:71" x14ac:dyDescent="0.2">
      <c r="A359" s="222">
        <f>données_step[[#This Row],[Datum]]</f>
        <v>44910</v>
      </c>
      <c r="B359" s="223"/>
      <c r="C359" s="224">
        <f t="shared" si="94"/>
        <v>5</v>
      </c>
      <c r="D359" s="523" t="str">
        <f>IF(OR(données_step[[#This Row],[E_DBO5]]&lt;=0,données_step[[#This Row],[E_DBO5]]=""),"",données_step[[#This Row],[D_QTRAI]]*données_step[[#This Row],[E_DBO5]]/1000)</f>
        <v/>
      </c>
      <c r="E359" s="523" t="str">
        <f>IF(OR(données_step[[#This Row],[E_DCO]]&lt;=0,données_step[[#This Row],[E_DCO]]=""),"",données_step[[#This Row],[D_QTRAI]]*données_step[[#This Row],[E_DCO]]/1000)</f>
        <v/>
      </c>
      <c r="F359" s="523" t="str">
        <f>IF(OR(données_step[[#This Row],[E_COT]]&lt;=0,données_step[[#This Row],[E_COT]]=""),"",données_step[[#This Row],[D_QTRAI]]*données_step[[#This Row],[E_COT]]/1000)</f>
        <v/>
      </c>
      <c r="G359" s="523" t="str">
        <f>IF(OR(données_step[[#This Row],[E_NH4]]&lt;=0,données_step[[#This Row],[E_NH4]]=""),"",données_step[[#This Row],[D_QTRAI]]*données_step[[#This Row],[E_NH4]]/1000)</f>
        <v/>
      </c>
      <c r="H359" s="523" t="str">
        <f>IF(OR(données_step[[#This Row],[E_NTOT]]&lt;=0,données_step[[#This Row],[E_NTOT]]=""),"",données_step[[#This Row],[D_QTRAI]]*données_step[[#This Row],[E_NTOT]]/1000)</f>
        <v/>
      </c>
      <c r="I359" s="523" t="str">
        <f>IF(OR(données_step[[#This Row],[E_NTOT]]&lt;=0,données_step[[#This Row],[E_NTOT]]=""),"",données_step[[#This Row],[D_QTRAI]]*données_step[[#This Row],[E_PTOT]]/1000)</f>
        <v/>
      </c>
      <c r="J359" s="523" t="str">
        <f>IF(OR(données_step[[#This Row],[S_DBO5]]&lt;=0,données_step[[#This Row],[S_DBO5]]=""),"",données_step[[#This Row],[D_QTRAI]]*données_step[[#This Row],[S_DBO5]]/1000)</f>
        <v/>
      </c>
      <c r="K359" s="523" t="str">
        <f>IF(OR(données_step[[#This Row],[S_DCO]]&lt;=0,données_step[[#This Row],[S_DCO]]=""),"",données_step[[#This Row],[D_QTRAI]]*données_step[[#This Row],[S_DCO]]/1000)</f>
        <v/>
      </c>
      <c r="L359" s="523" t="str">
        <f>IF(OR(données_step[[#This Row],[S_COD]]&lt;=0,données_step[[#This Row],[S_COD]]=""),"",données_step[[#This Row],[D_QTRAI]]*données_step[[#This Row],[S_COD]]/1000)</f>
        <v/>
      </c>
      <c r="M359" s="523" t="str">
        <f>IF(OR(données_step[[#This Row],[S_NH4]]&lt;=0,données_step[[#This Row],[S_NH4]]=""),"",données_step[[#This Row],[D_QTRAI]]*données_step[[#This Row],[S_NH4]]/1000)</f>
        <v/>
      </c>
      <c r="N359" s="523" t="str">
        <f>IF(OR(données_step[[#This Row],[S_NO2]]&lt;=0,données_step[[#This Row],[S_NO2]]=""),"",données_step[[#This Row],[D_QTRAI]]*données_step[[#This Row],[S_NO2]]/1000)</f>
        <v/>
      </c>
      <c r="O359" s="523" t="str">
        <f>IF(OR(données_step[[#This Row],[S_NO3]]&lt;=0,données_step[[#This Row],[S_NO3]]=""),"",données_step[[#This Row],[D_QTRAI]]*données_step[[#This Row],[S_NO3]]/1000)</f>
        <v/>
      </c>
      <c r="P359" s="523" t="str">
        <f>IF(OR(données_step[[#This Row],[S_PTOT]]&lt;=0,données_step[[#This Row],[S_PTOT]]=""),"",données_step[[#This Row],[D_QTRAI]]*données_step[[#This Row],[S_PTOT]]/1000)</f>
        <v/>
      </c>
      <c r="Q359" s="523" t="str">
        <f>IF(OR(données_step[[#This Row],[S_MES]]&lt;=0,données_step[[#This Row],[S_MES]]=""),"",données_step[[#This Row],[D_QTRAI]]*données_step[[#This Row],[S_MES]]/1000)</f>
        <v/>
      </c>
      <c r="R359" s="523">
        <f>MAX(données_step[[#This Row],[D_QTRAI]],données_step[[#This Row],[D_QTRAI2]])</f>
        <v>0</v>
      </c>
      <c r="S359" s="523" t="str">
        <f>IF(AND($R359&gt;0,données_step[[#This Row],[E_DCO]]&gt;0),données_step[[#This Row],[E_DCO]],"")</f>
        <v/>
      </c>
      <c r="T359" s="523" t="str">
        <f>IF(S359="","",(1-données_step[[#This Row],[E_DCO]]/$V$7)*100)</f>
        <v/>
      </c>
      <c r="U359" s="523" t="str">
        <f t="shared" si="80"/>
        <v/>
      </c>
      <c r="V359" s="523" t="str">
        <f t="shared" si="81"/>
        <v/>
      </c>
      <c r="W359" s="523" t="str">
        <f t="shared" si="82"/>
        <v/>
      </c>
      <c r="X359" s="523" t="e">
        <f>IF(((100-100/$V$7*données_step[[#This Row],[E_DCO]])/100*QTS)&lt;0,NA(),IF(OR(U359&lt;0,U359=""),NA(),((100-100/$V$7*données_step[[#This Row],[E_DCO]])/100*QTS)))</f>
        <v>#NUM!</v>
      </c>
      <c r="Y359" s="523" t="str">
        <f>IF(AND($R359&gt;0,données_step[[#This Row],[E_COT]]&gt;0),données_step[[#This Row],[E_COT]],"")</f>
        <v/>
      </c>
      <c r="Z359" s="523" t="str">
        <f>IF(Y359="","",(1-données_step[[#This Row],[E_COT]]/$AB$7)*100)</f>
        <v/>
      </c>
      <c r="AA359" s="523" t="str">
        <f t="shared" si="83"/>
        <v/>
      </c>
      <c r="AB359" s="523" t="str">
        <f t="shared" si="84"/>
        <v/>
      </c>
      <c r="AC359" s="523" t="str">
        <f t="shared" si="85"/>
        <v/>
      </c>
      <c r="AD359" s="523" t="e">
        <f>IF(((100-100/$AB$7*données_step[[#This Row],[E_COT]])/100*QTS)&lt;0,NA(),IF(OR(AA359&lt;0,AA359=""),NA(),((100-100/$AB$7*données_step[[#This Row],[E_COT]])/100*QTS)))</f>
        <v>#NUM!</v>
      </c>
      <c r="AE359" s="523" t="str">
        <f>IF(AND($R359&gt;0,données_step[[#This Row],[E_NH4]]&gt;0),données_step[[#This Row],[E_NH4]],"")</f>
        <v/>
      </c>
      <c r="AF359" s="523" t="str">
        <f>IF(AE359="","",(1-données_step[[#This Row],[E_NH4]]/$AH$7)*100)</f>
        <v/>
      </c>
      <c r="AG359" s="523" t="str">
        <f t="shared" si="86"/>
        <v/>
      </c>
      <c r="AH359" s="523" t="str">
        <f t="shared" si="87"/>
        <v/>
      </c>
      <c r="AI359" s="523" t="str">
        <f t="shared" si="88"/>
        <v/>
      </c>
      <c r="AJ359" s="523" t="e">
        <f>IF(((100-100/$AH$7*données_step[[#This Row],[E_NH4]])/100*QTS)&lt;0,NA(),IF(OR(AG359&lt;0,AG359=""),NA(),((100-100/$AH$7*données_step[[#This Row],[E_NH4]])/100*QTS)))</f>
        <v>#NUM!</v>
      </c>
      <c r="AK359" s="523" t="str">
        <f>IF(AND($R359&gt;0,données_step[[#This Row],[E_PTOT]]&gt;0),données_step[[#This Row],[E_PTOT]],"")</f>
        <v/>
      </c>
      <c r="AL359" s="523" t="str">
        <f>IF(AK359="","",(1-données_step[[#This Row],[E_PTOT]]/$AN$7)*100)</f>
        <v/>
      </c>
      <c r="AM359" s="523" t="str">
        <f t="shared" si="89"/>
        <v/>
      </c>
      <c r="AN359" s="523" t="str">
        <f t="shared" si="90"/>
        <v/>
      </c>
      <c r="AO359" s="523" t="str">
        <f t="shared" si="91"/>
        <v/>
      </c>
      <c r="AP359" s="523" t="e">
        <f>IF(((100-100/$AN$7*données_step[[#This Row],[E_PTOT]])/100*QTS)&lt;0,NA(),IF(OR(AM359&lt;0,AM359=""),NA(),((100-100/$AN$7*données_step[[#This Row],[E_PTOT]])/100*QTS)))</f>
        <v>#NUM!</v>
      </c>
      <c r="AQ359" s="524" t="e">
        <f t="shared" si="92"/>
        <v>#NUM!</v>
      </c>
      <c r="AR359" s="524" t="str">
        <f t="shared" si="93"/>
        <v/>
      </c>
      <c r="AY359" s="523" t="str">
        <f>_xlfn.IFNA(IF(données_step[[#This Row],[E_DCO]]&lt;=0,NA(),charge_entree[[#This Row],[ch_E_DCO]]/constanten!$B$8*1000),"")</f>
        <v/>
      </c>
      <c r="AZ359" s="523" t="str">
        <f>_xlfn.IFNA(IF(données_step[[#This Row],[E_NTOT]]&lt;=0,NA(),charge_entree[[#This Row],[ch_E_NTOT]]/constanten!$B$10*1000),"")</f>
        <v/>
      </c>
      <c r="BA359" s="523" t="str">
        <f>_xlfn.IFNA(IF(données_step[[#This Row],[E_NH4]]&lt;=0,NA(),charge_entree[[#This Row],[ch_E_NH4]]/constanten!$B$12*1000),"")</f>
        <v/>
      </c>
      <c r="BB359" s="523" t="str">
        <f>_xlfn.IFNA(IF(données_step[[#This Row],[E_COT]]&lt;=0,NA(),charge_entree[[#This Row],[ch_E_COT]]/constanten!$B$9*1000),"")</f>
        <v/>
      </c>
      <c r="BC359" s="523" t="str">
        <f>IFERROR(_xlfn.IFNA(IF(données_step[[#This Row],[E_PTOT]]&lt;=0,NA(),charge_entree[[#This Row],[ch_E_PTOT]]/constanten!$B$15*1000),""),"")</f>
        <v/>
      </c>
      <c r="BD359" s="535" t="e">
        <f>calculs!E359 * (1-0.4) / (données_step[[#This Row],[X_BA_VOL]]*données_step[[#This Row],[X_BACONC]])</f>
        <v>#VALUE!</v>
      </c>
      <c r="BE359" s="522" t="e">
        <f>(données_step[[#This Row],[X_BA_VOL]]*données_step[[#This Row],[X_BACONC]])/((données_step[[#This Row],[D_QTRAI2]]*données_step[[#This Row],[S_MES]]/1000)+(données_step[[#This Row],[X_BX_Q]]*données_step[[#This Row],[X_BXCONC]]))</f>
        <v>#VALUE!</v>
      </c>
      <c r="BF359" s="890" t="str">
        <f>IFERROR(données_step[[#This Row],[D_QTRAI]]/AY359*1000,"")</f>
        <v/>
      </c>
      <c r="BG359" s="535" t="str">
        <f>IFERROR(1-données_step[[#This Row],[S_DBO5]]/données_step[[#This Row],[E_DBO5]],"")</f>
        <v/>
      </c>
      <c r="BH359" s="536" t="str">
        <f>IFERROR(1-données_step[[#This Row],[S_DCO]]/données_step[[#This Row],[E_DCO]],"")</f>
        <v/>
      </c>
      <c r="BI359" s="535" t="str">
        <f>IFERROR(1-données_step[[#This Row],[S_COD]]/données_step[[#This Row],[E_COT]],"")</f>
        <v/>
      </c>
      <c r="BJ359" s="535" t="str">
        <f>IFERROR(1-données_step[[#This Row],[S_NH4]]/données_step[[#This Row],[E_NTOT]],"")</f>
        <v/>
      </c>
      <c r="BK359" s="535" t="str">
        <f>IFERROR(1-données_step[[#This Row],[S_PTOT]]/données_step[[#This Row],[E_PTOT]],"")</f>
        <v/>
      </c>
      <c r="BL359" s="521" t="str">
        <f>IFERROR(IF(données_step[[#This Row],[E_DCO]]/données_step[[#This Row],[E_DBO5]]=0,NA(),données_step[[#This Row],[E_DCO]]/données_step[[#This Row],[E_DBO5]]),"")</f>
        <v/>
      </c>
      <c r="BM359" s="521" t="str">
        <f>IFERROR(IF(données_step[[#This Row],[E_NH4]]/données_step[[#This Row],[E_NTOT]]=0,NA(),données_step[[#This Row],[E_NH4]]/données_step[[#This Row],[E_NTOT]]),"")</f>
        <v/>
      </c>
      <c r="BN359" s="521" t="str">
        <f>IFERROR(IF(données_step[[#This Row],[E_NTOT]]/données_step[[#This Row],[E_COT]]=0,NA(),données_step[[#This Row],[E_NTOT]]/données_step[[#This Row],[E_COT]]),"")</f>
        <v/>
      </c>
      <c r="BO359" s="521" t="str">
        <f>IFERROR(IF(données_step[[#This Row],[E_PTOT]]/données_step[[#This Row],[E_COT]]=0,NA(),données_step[[#This Row],[E_PTOT]]/données_step[[#This Row],[E_COT]]),"")</f>
        <v/>
      </c>
      <c r="BP359" s="521" t="e">
        <f>IF(données_step[[#This Row],[E_DCO]]/données_step[[#This Row],[E_COT]]=0,NA(),données_step[[#This Row],[E_DCO]]/données_step[[#This Row],[E_COT]])</f>
        <v>#DIV/0!</v>
      </c>
      <c r="BQ359" s="521" t="e">
        <f>IF(données_step[[#This Row],[E_NTOT]]/données_step[[#This Row],[E_DCO]]=0,NA(),données_step[[#This Row],[E_NTOT]]/données_step[[#This Row],[E_DCO]])</f>
        <v>#DIV/0!</v>
      </c>
      <c r="BR359" s="521" t="e">
        <f>IF(données_step[[#This Row],[E_PTOT]]/données_step[[#This Row],[E_DCO]]=0,NA(),données_step[[#This Row],[E_PTOT]]/données_step[[#This Row],[E_DCO]])</f>
        <v>#DIV/0!</v>
      </c>
      <c r="BS359" s="747" t="e">
        <f ca="1">test_NH4_temp(données_step[[#This Row],[S_NH4]],données_step[[#This Row],[Temp_eaux]])</f>
        <v>#NAME?</v>
      </c>
    </row>
    <row r="360" spans="1:71" x14ac:dyDescent="0.2">
      <c r="A360" s="222">
        <f>données_step[[#This Row],[Datum]]</f>
        <v>44911</v>
      </c>
      <c r="B360" s="223"/>
      <c r="C360" s="224">
        <f t="shared" si="94"/>
        <v>6</v>
      </c>
      <c r="D360" s="523" t="str">
        <f>IF(OR(données_step[[#This Row],[E_DBO5]]&lt;=0,données_step[[#This Row],[E_DBO5]]=""),"",données_step[[#This Row],[D_QTRAI]]*données_step[[#This Row],[E_DBO5]]/1000)</f>
        <v/>
      </c>
      <c r="E360" s="523" t="str">
        <f>IF(OR(données_step[[#This Row],[E_DCO]]&lt;=0,données_step[[#This Row],[E_DCO]]=""),"",données_step[[#This Row],[D_QTRAI]]*données_step[[#This Row],[E_DCO]]/1000)</f>
        <v/>
      </c>
      <c r="F360" s="523" t="str">
        <f>IF(OR(données_step[[#This Row],[E_COT]]&lt;=0,données_step[[#This Row],[E_COT]]=""),"",données_step[[#This Row],[D_QTRAI]]*données_step[[#This Row],[E_COT]]/1000)</f>
        <v/>
      </c>
      <c r="G360" s="523" t="str">
        <f>IF(OR(données_step[[#This Row],[E_NH4]]&lt;=0,données_step[[#This Row],[E_NH4]]=""),"",données_step[[#This Row],[D_QTRAI]]*données_step[[#This Row],[E_NH4]]/1000)</f>
        <v/>
      </c>
      <c r="H360" s="523" t="str">
        <f>IF(OR(données_step[[#This Row],[E_NTOT]]&lt;=0,données_step[[#This Row],[E_NTOT]]=""),"",données_step[[#This Row],[D_QTRAI]]*données_step[[#This Row],[E_NTOT]]/1000)</f>
        <v/>
      </c>
      <c r="I360" s="523" t="str">
        <f>IF(OR(données_step[[#This Row],[E_NTOT]]&lt;=0,données_step[[#This Row],[E_NTOT]]=""),"",données_step[[#This Row],[D_QTRAI]]*données_step[[#This Row],[E_PTOT]]/1000)</f>
        <v/>
      </c>
      <c r="J360" s="523" t="str">
        <f>IF(OR(données_step[[#This Row],[S_DBO5]]&lt;=0,données_step[[#This Row],[S_DBO5]]=""),"",données_step[[#This Row],[D_QTRAI]]*données_step[[#This Row],[S_DBO5]]/1000)</f>
        <v/>
      </c>
      <c r="K360" s="523" t="str">
        <f>IF(OR(données_step[[#This Row],[S_DCO]]&lt;=0,données_step[[#This Row],[S_DCO]]=""),"",données_step[[#This Row],[D_QTRAI]]*données_step[[#This Row],[S_DCO]]/1000)</f>
        <v/>
      </c>
      <c r="L360" s="523" t="str">
        <f>IF(OR(données_step[[#This Row],[S_COD]]&lt;=0,données_step[[#This Row],[S_COD]]=""),"",données_step[[#This Row],[D_QTRAI]]*données_step[[#This Row],[S_COD]]/1000)</f>
        <v/>
      </c>
      <c r="M360" s="523" t="str">
        <f>IF(OR(données_step[[#This Row],[S_NH4]]&lt;=0,données_step[[#This Row],[S_NH4]]=""),"",données_step[[#This Row],[D_QTRAI]]*données_step[[#This Row],[S_NH4]]/1000)</f>
        <v/>
      </c>
      <c r="N360" s="523" t="str">
        <f>IF(OR(données_step[[#This Row],[S_NO2]]&lt;=0,données_step[[#This Row],[S_NO2]]=""),"",données_step[[#This Row],[D_QTRAI]]*données_step[[#This Row],[S_NO2]]/1000)</f>
        <v/>
      </c>
      <c r="O360" s="523" t="str">
        <f>IF(OR(données_step[[#This Row],[S_NO3]]&lt;=0,données_step[[#This Row],[S_NO3]]=""),"",données_step[[#This Row],[D_QTRAI]]*données_step[[#This Row],[S_NO3]]/1000)</f>
        <v/>
      </c>
      <c r="P360" s="523" t="str">
        <f>IF(OR(données_step[[#This Row],[S_PTOT]]&lt;=0,données_step[[#This Row],[S_PTOT]]=""),"",données_step[[#This Row],[D_QTRAI]]*données_step[[#This Row],[S_PTOT]]/1000)</f>
        <v/>
      </c>
      <c r="Q360" s="523" t="str">
        <f>IF(OR(données_step[[#This Row],[S_MES]]&lt;=0,données_step[[#This Row],[S_MES]]=""),"",données_step[[#This Row],[D_QTRAI]]*données_step[[#This Row],[S_MES]]/1000)</f>
        <v/>
      </c>
      <c r="R360" s="523">
        <f>MAX(données_step[[#This Row],[D_QTRAI]],données_step[[#This Row],[D_QTRAI2]])</f>
        <v>0</v>
      </c>
      <c r="S360" s="523" t="str">
        <f>IF(AND($R360&gt;0,données_step[[#This Row],[E_DCO]]&gt;0),données_step[[#This Row],[E_DCO]],"")</f>
        <v/>
      </c>
      <c r="T360" s="523" t="str">
        <f>IF(S360="","",(1-données_step[[#This Row],[E_DCO]]/$V$7)*100)</f>
        <v/>
      </c>
      <c r="U360" s="523" t="str">
        <f t="shared" si="80"/>
        <v/>
      </c>
      <c r="V360" s="523" t="str">
        <f t="shared" si="81"/>
        <v/>
      </c>
      <c r="W360" s="523" t="str">
        <f t="shared" si="82"/>
        <v/>
      </c>
      <c r="X360" s="523" t="e">
        <f>IF(((100-100/$V$7*données_step[[#This Row],[E_DCO]])/100*QTS)&lt;0,NA(),IF(OR(U360&lt;0,U360=""),NA(),((100-100/$V$7*données_step[[#This Row],[E_DCO]])/100*QTS)))</f>
        <v>#NUM!</v>
      </c>
      <c r="Y360" s="523" t="str">
        <f>IF(AND($R360&gt;0,données_step[[#This Row],[E_COT]]&gt;0),données_step[[#This Row],[E_COT]],"")</f>
        <v/>
      </c>
      <c r="Z360" s="523" t="str">
        <f>IF(Y360="","",(1-données_step[[#This Row],[E_COT]]/$AB$7)*100)</f>
        <v/>
      </c>
      <c r="AA360" s="523" t="str">
        <f t="shared" si="83"/>
        <v/>
      </c>
      <c r="AB360" s="523" t="str">
        <f t="shared" si="84"/>
        <v/>
      </c>
      <c r="AC360" s="523" t="str">
        <f t="shared" si="85"/>
        <v/>
      </c>
      <c r="AD360" s="523" t="e">
        <f>IF(((100-100/$AB$7*données_step[[#This Row],[E_COT]])/100*QTS)&lt;0,NA(),IF(OR(AA360&lt;0,AA360=""),NA(),((100-100/$AB$7*données_step[[#This Row],[E_COT]])/100*QTS)))</f>
        <v>#NUM!</v>
      </c>
      <c r="AE360" s="523" t="str">
        <f>IF(AND($R360&gt;0,données_step[[#This Row],[E_NH4]]&gt;0),données_step[[#This Row],[E_NH4]],"")</f>
        <v/>
      </c>
      <c r="AF360" s="523" t="str">
        <f>IF(AE360="","",(1-données_step[[#This Row],[E_NH4]]/$AH$7)*100)</f>
        <v/>
      </c>
      <c r="AG360" s="523" t="str">
        <f t="shared" si="86"/>
        <v/>
      </c>
      <c r="AH360" s="523" t="str">
        <f t="shared" si="87"/>
        <v/>
      </c>
      <c r="AI360" s="523" t="str">
        <f t="shared" si="88"/>
        <v/>
      </c>
      <c r="AJ360" s="523" t="e">
        <f>IF(((100-100/$AH$7*données_step[[#This Row],[E_NH4]])/100*QTS)&lt;0,NA(),IF(OR(AG360&lt;0,AG360=""),NA(),((100-100/$AH$7*données_step[[#This Row],[E_NH4]])/100*QTS)))</f>
        <v>#NUM!</v>
      </c>
      <c r="AK360" s="523" t="str">
        <f>IF(AND($R360&gt;0,données_step[[#This Row],[E_PTOT]]&gt;0),données_step[[#This Row],[E_PTOT]],"")</f>
        <v/>
      </c>
      <c r="AL360" s="523" t="str">
        <f>IF(AK360="","",(1-données_step[[#This Row],[E_PTOT]]/$AN$7)*100)</f>
        <v/>
      </c>
      <c r="AM360" s="523" t="str">
        <f t="shared" si="89"/>
        <v/>
      </c>
      <c r="AN360" s="523" t="str">
        <f t="shared" si="90"/>
        <v/>
      </c>
      <c r="AO360" s="523" t="str">
        <f t="shared" si="91"/>
        <v/>
      </c>
      <c r="AP360" s="523" t="e">
        <f>IF(((100-100/$AN$7*données_step[[#This Row],[E_PTOT]])/100*QTS)&lt;0,NA(),IF(OR(AM360&lt;0,AM360=""),NA(),((100-100/$AN$7*données_step[[#This Row],[E_PTOT]])/100*QTS)))</f>
        <v>#NUM!</v>
      </c>
      <c r="AQ360" s="524" t="e">
        <f t="shared" si="92"/>
        <v>#NUM!</v>
      </c>
      <c r="AR360" s="524" t="str">
        <f t="shared" si="93"/>
        <v/>
      </c>
      <c r="AY360" s="523" t="str">
        <f>_xlfn.IFNA(IF(données_step[[#This Row],[E_DCO]]&lt;=0,NA(),charge_entree[[#This Row],[ch_E_DCO]]/constanten!$B$8*1000),"")</f>
        <v/>
      </c>
      <c r="AZ360" s="523" t="str">
        <f>_xlfn.IFNA(IF(données_step[[#This Row],[E_NTOT]]&lt;=0,NA(),charge_entree[[#This Row],[ch_E_NTOT]]/constanten!$B$10*1000),"")</f>
        <v/>
      </c>
      <c r="BA360" s="523" t="str">
        <f>_xlfn.IFNA(IF(données_step[[#This Row],[E_NH4]]&lt;=0,NA(),charge_entree[[#This Row],[ch_E_NH4]]/constanten!$B$12*1000),"")</f>
        <v/>
      </c>
      <c r="BB360" s="523" t="str">
        <f>_xlfn.IFNA(IF(données_step[[#This Row],[E_COT]]&lt;=0,NA(),charge_entree[[#This Row],[ch_E_COT]]/constanten!$B$9*1000),"")</f>
        <v/>
      </c>
      <c r="BC360" s="523" t="str">
        <f>IFERROR(_xlfn.IFNA(IF(données_step[[#This Row],[E_PTOT]]&lt;=0,NA(),charge_entree[[#This Row],[ch_E_PTOT]]/constanten!$B$15*1000),""),"")</f>
        <v/>
      </c>
      <c r="BD360" s="535" t="e">
        <f>calculs!E360 * (1-0.4) / (données_step[[#This Row],[X_BA_VOL]]*données_step[[#This Row],[X_BACONC]])</f>
        <v>#VALUE!</v>
      </c>
      <c r="BE360" s="522" t="e">
        <f>(données_step[[#This Row],[X_BA_VOL]]*données_step[[#This Row],[X_BACONC]])/((données_step[[#This Row],[D_QTRAI2]]*données_step[[#This Row],[S_MES]]/1000)+(données_step[[#This Row],[X_BX_Q]]*données_step[[#This Row],[X_BXCONC]]))</f>
        <v>#VALUE!</v>
      </c>
      <c r="BF360" s="890" t="str">
        <f>IFERROR(données_step[[#This Row],[D_QTRAI]]/AY360*1000,"")</f>
        <v/>
      </c>
      <c r="BG360" s="535" t="str">
        <f>IFERROR(1-données_step[[#This Row],[S_DBO5]]/données_step[[#This Row],[E_DBO5]],"")</f>
        <v/>
      </c>
      <c r="BH360" s="536" t="str">
        <f>IFERROR(1-données_step[[#This Row],[S_DCO]]/données_step[[#This Row],[E_DCO]],"")</f>
        <v/>
      </c>
      <c r="BI360" s="535" t="str">
        <f>IFERROR(1-données_step[[#This Row],[S_COD]]/données_step[[#This Row],[E_COT]],"")</f>
        <v/>
      </c>
      <c r="BJ360" s="535" t="str">
        <f>IFERROR(1-données_step[[#This Row],[S_NH4]]/données_step[[#This Row],[E_NTOT]],"")</f>
        <v/>
      </c>
      <c r="BK360" s="535" t="str">
        <f>IFERROR(1-données_step[[#This Row],[S_PTOT]]/données_step[[#This Row],[E_PTOT]],"")</f>
        <v/>
      </c>
      <c r="BL360" s="521" t="str">
        <f>IFERROR(IF(données_step[[#This Row],[E_DCO]]/données_step[[#This Row],[E_DBO5]]=0,NA(),données_step[[#This Row],[E_DCO]]/données_step[[#This Row],[E_DBO5]]),"")</f>
        <v/>
      </c>
      <c r="BM360" s="521" t="str">
        <f>IFERROR(IF(données_step[[#This Row],[E_NH4]]/données_step[[#This Row],[E_NTOT]]=0,NA(),données_step[[#This Row],[E_NH4]]/données_step[[#This Row],[E_NTOT]]),"")</f>
        <v/>
      </c>
      <c r="BN360" s="521" t="str">
        <f>IFERROR(IF(données_step[[#This Row],[E_NTOT]]/données_step[[#This Row],[E_COT]]=0,NA(),données_step[[#This Row],[E_NTOT]]/données_step[[#This Row],[E_COT]]),"")</f>
        <v/>
      </c>
      <c r="BO360" s="521" t="str">
        <f>IFERROR(IF(données_step[[#This Row],[E_PTOT]]/données_step[[#This Row],[E_COT]]=0,NA(),données_step[[#This Row],[E_PTOT]]/données_step[[#This Row],[E_COT]]),"")</f>
        <v/>
      </c>
      <c r="BP360" s="521" t="e">
        <f>IF(données_step[[#This Row],[E_DCO]]/données_step[[#This Row],[E_COT]]=0,NA(),données_step[[#This Row],[E_DCO]]/données_step[[#This Row],[E_COT]])</f>
        <v>#DIV/0!</v>
      </c>
      <c r="BQ360" s="521" t="e">
        <f>IF(données_step[[#This Row],[E_NTOT]]/données_step[[#This Row],[E_DCO]]=0,NA(),données_step[[#This Row],[E_NTOT]]/données_step[[#This Row],[E_DCO]])</f>
        <v>#DIV/0!</v>
      </c>
      <c r="BR360" s="521" t="e">
        <f>IF(données_step[[#This Row],[E_PTOT]]/données_step[[#This Row],[E_DCO]]=0,NA(),données_step[[#This Row],[E_PTOT]]/données_step[[#This Row],[E_DCO]])</f>
        <v>#DIV/0!</v>
      </c>
      <c r="BS360" s="747" t="e">
        <f ca="1">test_NH4_temp(données_step[[#This Row],[S_NH4]],données_step[[#This Row],[Temp_eaux]])</f>
        <v>#NAME?</v>
      </c>
    </row>
    <row r="361" spans="1:71" x14ac:dyDescent="0.2">
      <c r="A361" s="222">
        <f>données_step[[#This Row],[Datum]]</f>
        <v>44912</v>
      </c>
      <c r="B361" s="223"/>
      <c r="C361" s="224">
        <f t="shared" si="94"/>
        <v>7</v>
      </c>
      <c r="D361" s="523" t="str">
        <f>IF(OR(données_step[[#This Row],[E_DBO5]]&lt;=0,données_step[[#This Row],[E_DBO5]]=""),"",données_step[[#This Row],[D_QTRAI]]*données_step[[#This Row],[E_DBO5]]/1000)</f>
        <v/>
      </c>
      <c r="E361" s="523" t="str">
        <f>IF(OR(données_step[[#This Row],[E_DCO]]&lt;=0,données_step[[#This Row],[E_DCO]]=""),"",données_step[[#This Row],[D_QTRAI]]*données_step[[#This Row],[E_DCO]]/1000)</f>
        <v/>
      </c>
      <c r="F361" s="523" t="str">
        <f>IF(OR(données_step[[#This Row],[E_COT]]&lt;=0,données_step[[#This Row],[E_COT]]=""),"",données_step[[#This Row],[D_QTRAI]]*données_step[[#This Row],[E_COT]]/1000)</f>
        <v/>
      </c>
      <c r="G361" s="523" t="str">
        <f>IF(OR(données_step[[#This Row],[E_NH4]]&lt;=0,données_step[[#This Row],[E_NH4]]=""),"",données_step[[#This Row],[D_QTRAI]]*données_step[[#This Row],[E_NH4]]/1000)</f>
        <v/>
      </c>
      <c r="H361" s="523" t="str">
        <f>IF(OR(données_step[[#This Row],[E_NTOT]]&lt;=0,données_step[[#This Row],[E_NTOT]]=""),"",données_step[[#This Row],[D_QTRAI]]*données_step[[#This Row],[E_NTOT]]/1000)</f>
        <v/>
      </c>
      <c r="I361" s="523" t="str">
        <f>IF(OR(données_step[[#This Row],[E_NTOT]]&lt;=0,données_step[[#This Row],[E_NTOT]]=""),"",données_step[[#This Row],[D_QTRAI]]*données_step[[#This Row],[E_PTOT]]/1000)</f>
        <v/>
      </c>
      <c r="J361" s="523" t="str">
        <f>IF(OR(données_step[[#This Row],[S_DBO5]]&lt;=0,données_step[[#This Row],[S_DBO5]]=""),"",données_step[[#This Row],[D_QTRAI]]*données_step[[#This Row],[S_DBO5]]/1000)</f>
        <v/>
      </c>
      <c r="K361" s="523" t="str">
        <f>IF(OR(données_step[[#This Row],[S_DCO]]&lt;=0,données_step[[#This Row],[S_DCO]]=""),"",données_step[[#This Row],[D_QTRAI]]*données_step[[#This Row],[S_DCO]]/1000)</f>
        <v/>
      </c>
      <c r="L361" s="523" t="str">
        <f>IF(OR(données_step[[#This Row],[S_COD]]&lt;=0,données_step[[#This Row],[S_COD]]=""),"",données_step[[#This Row],[D_QTRAI]]*données_step[[#This Row],[S_COD]]/1000)</f>
        <v/>
      </c>
      <c r="M361" s="523" t="str">
        <f>IF(OR(données_step[[#This Row],[S_NH4]]&lt;=0,données_step[[#This Row],[S_NH4]]=""),"",données_step[[#This Row],[D_QTRAI]]*données_step[[#This Row],[S_NH4]]/1000)</f>
        <v/>
      </c>
      <c r="N361" s="523" t="str">
        <f>IF(OR(données_step[[#This Row],[S_NO2]]&lt;=0,données_step[[#This Row],[S_NO2]]=""),"",données_step[[#This Row],[D_QTRAI]]*données_step[[#This Row],[S_NO2]]/1000)</f>
        <v/>
      </c>
      <c r="O361" s="523" t="str">
        <f>IF(OR(données_step[[#This Row],[S_NO3]]&lt;=0,données_step[[#This Row],[S_NO3]]=""),"",données_step[[#This Row],[D_QTRAI]]*données_step[[#This Row],[S_NO3]]/1000)</f>
        <v/>
      </c>
      <c r="P361" s="523" t="str">
        <f>IF(OR(données_step[[#This Row],[S_PTOT]]&lt;=0,données_step[[#This Row],[S_PTOT]]=""),"",données_step[[#This Row],[D_QTRAI]]*données_step[[#This Row],[S_PTOT]]/1000)</f>
        <v/>
      </c>
      <c r="Q361" s="523" t="str">
        <f>IF(OR(données_step[[#This Row],[S_MES]]&lt;=0,données_step[[#This Row],[S_MES]]=""),"",données_step[[#This Row],[D_QTRAI]]*données_step[[#This Row],[S_MES]]/1000)</f>
        <v/>
      </c>
      <c r="R361" s="523">
        <f>MAX(données_step[[#This Row],[D_QTRAI]],données_step[[#This Row],[D_QTRAI2]])</f>
        <v>0</v>
      </c>
      <c r="S361" s="523" t="str">
        <f>IF(AND($R361&gt;0,données_step[[#This Row],[E_DCO]]&gt;0),données_step[[#This Row],[E_DCO]],"")</f>
        <v/>
      </c>
      <c r="T361" s="523" t="str">
        <f>IF(S361="","",(1-données_step[[#This Row],[E_DCO]]/$V$7)*100)</f>
        <v/>
      </c>
      <c r="U361" s="523" t="str">
        <f t="shared" si="80"/>
        <v/>
      </c>
      <c r="V361" s="523" t="str">
        <f t="shared" si="81"/>
        <v/>
      </c>
      <c r="W361" s="523" t="str">
        <f t="shared" si="82"/>
        <v/>
      </c>
      <c r="X361" s="523" t="e">
        <f>IF(((100-100/$V$7*données_step[[#This Row],[E_DCO]])/100*QTS)&lt;0,NA(),IF(OR(U361&lt;0,U361=""),NA(),((100-100/$V$7*données_step[[#This Row],[E_DCO]])/100*QTS)))</f>
        <v>#NUM!</v>
      </c>
      <c r="Y361" s="523" t="str">
        <f>IF(AND($R361&gt;0,données_step[[#This Row],[E_COT]]&gt;0),données_step[[#This Row],[E_COT]],"")</f>
        <v/>
      </c>
      <c r="Z361" s="523" t="str">
        <f>IF(Y361="","",(1-données_step[[#This Row],[E_COT]]/$AB$7)*100)</f>
        <v/>
      </c>
      <c r="AA361" s="523" t="str">
        <f t="shared" si="83"/>
        <v/>
      </c>
      <c r="AB361" s="523" t="str">
        <f t="shared" si="84"/>
        <v/>
      </c>
      <c r="AC361" s="523" t="str">
        <f t="shared" si="85"/>
        <v/>
      </c>
      <c r="AD361" s="523" t="e">
        <f>IF(((100-100/$AB$7*données_step[[#This Row],[E_COT]])/100*QTS)&lt;0,NA(),IF(OR(AA361&lt;0,AA361=""),NA(),((100-100/$AB$7*données_step[[#This Row],[E_COT]])/100*QTS)))</f>
        <v>#NUM!</v>
      </c>
      <c r="AE361" s="523" t="str">
        <f>IF(AND($R361&gt;0,données_step[[#This Row],[E_NH4]]&gt;0),données_step[[#This Row],[E_NH4]],"")</f>
        <v/>
      </c>
      <c r="AF361" s="523" t="str">
        <f>IF(AE361="","",(1-données_step[[#This Row],[E_NH4]]/$AH$7)*100)</f>
        <v/>
      </c>
      <c r="AG361" s="523" t="str">
        <f t="shared" si="86"/>
        <v/>
      </c>
      <c r="AH361" s="523" t="str">
        <f t="shared" si="87"/>
        <v/>
      </c>
      <c r="AI361" s="523" t="str">
        <f t="shared" si="88"/>
        <v/>
      </c>
      <c r="AJ361" s="523" t="e">
        <f>IF(((100-100/$AH$7*données_step[[#This Row],[E_NH4]])/100*QTS)&lt;0,NA(),IF(OR(AG361&lt;0,AG361=""),NA(),((100-100/$AH$7*données_step[[#This Row],[E_NH4]])/100*QTS)))</f>
        <v>#NUM!</v>
      </c>
      <c r="AK361" s="523" t="str">
        <f>IF(AND($R361&gt;0,données_step[[#This Row],[E_PTOT]]&gt;0),données_step[[#This Row],[E_PTOT]],"")</f>
        <v/>
      </c>
      <c r="AL361" s="523" t="str">
        <f>IF(AK361="","",(1-données_step[[#This Row],[E_PTOT]]/$AN$7)*100)</f>
        <v/>
      </c>
      <c r="AM361" s="523" t="str">
        <f t="shared" si="89"/>
        <v/>
      </c>
      <c r="AN361" s="523" t="str">
        <f t="shared" si="90"/>
        <v/>
      </c>
      <c r="AO361" s="523" t="str">
        <f t="shared" si="91"/>
        <v/>
      </c>
      <c r="AP361" s="523" t="e">
        <f>IF(((100-100/$AN$7*données_step[[#This Row],[E_PTOT]])/100*QTS)&lt;0,NA(),IF(OR(AM361&lt;0,AM361=""),NA(),((100-100/$AN$7*données_step[[#This Row],[E_PTOT]])/100*QTS)))</f>
        <v>#NUM!</v>
      </c>
      <c r="AQ361" s="524" t="e">
        <f t="shared" si="92"/>
        <v>#NUM!</v>
      </c>
      <c r="AR361" s="524" t="str">
        <f t="shared" si="93"/>
        <v/>
      </c>
      <c r="AY361" s="523" t="str">
        <f>_xlfn.IFNA(IF(données_step[[#This Row],[E_DCO]]&lt;=0,NA(),charge_entree[[#This Row],[ch_E_DCO]]/constanten!$B$8*1000),"")</f>
        <v/>
      </c>
      <c r="AZ361" s="523" t="str">
        <f>_xlfn.IFNA(IF(données_step[[#This Row],[E_NTOT]]&lt;=0,NA(),charge_entree[[#This Row],[ch_E_NTOT]]/constanten!$B$10*1000),"")</f>
        <v/>
      </c>
      <c r="BA361" s="523" t="str">
        <f>_xlfn.IFNA(IF(données_step[[#This Row],[E_NH4]]&lt;=0,NA(),charge_entree[[#This Row],[ch_E_NH4]]/constanten!$B$12*1000),"")</f>
        <v/>
      </c>
      <c r="BB361" s="523" t="str">
        <f>_xlfn.IFNA(IF(données_step[[#This Row],[E_COT]]&lt;=0,NA(),charge_entree[[#This Row],[ch_E_COT]]/constanten!$B$9*1000),"")</f>
        <v/>
      </c>
      <c r="BC361" s="523" t="str">
        <f>IFERROR(_xlfn.IFNA(IF(données_step[[#This Row],[E_PTOT]]&lt;=0,NA(),charge_entree[[#This Row],[ch_E_PTOT]]/constanten!$B$15*1000),""),"")</f>
        <v/>
      </c>
      <c r="BD361" s="535" t="e">
        <f>calculs!E361 * (1-0.4) / (données_step[[#This Row],[X_BA_VOL]]*données_step[[#This Row],[X_BACONC]])</f>
        <v>#VALUE!</v>
      </c>
      <c r="BE361" s="522" t="e">
        <f>(données_step[[#This Row],[X_BA_VOL]]*données_step[[#This Row],[X_BACONC]])/((données_step[[#This Row],[D_QTRAI2]]*données_step[[#This Row],[S_MES]]/1000)+(données_step[[#This Row],[X_BX_Q]]*données_step[[#This Row],[X_BXCONC]]))</f>
        <v>#VALUE!</v>
      </c>
      <c r="BF361" s="890" t="str">
        <f>IFERROR(données_step[[#This Row],[D_QTRAI]]/AY361*1000,"")</f>
        <v/>
      </c>
      <c r="BG361" s="535" t="str">
        <f>IFERROR(1-données_step[[#This Row],[S_DBO5]]/données_step[[#This Row],[E_DBO5]],"")</f>
        <v/>
      </c>
      <c r="BH361" s="536" t="str">
        <f>IFERROR(1-données_step[[#This Row],[S_DCO]]/données_step[[#This Row],[E_DCO]],"")</f>
        <v/>
      </c>
      <c r="BI361" s="535" t="str">
        <f>IFERROR(1-données_step[[#This Row],[S_COD]]/données_step[[#This Row],[E_COT]],"")</f>
        <v/>
      </c>
      <c r="BJ361" s="535" t="str">
        <f>IFERROR(1-données_step[[#This Row],[S_NH4]]/données_step[[#This Row],[E_NTOT]],"")</f>
        <v/>
      </c>
      <c r="BK361" s="535" t="str">
        <f>IFERROR(1-données_step[[#This Row],[S_PTOT]]/données_step[[#This Row],[E_PTOT]],"")</f>
        <v/>
      </c>
      <c r="BL361" s="521" t="str">
        <f>IFERROR(IF(données_step[[#This Row],[E_DCO]]/données_step[[#This Row],[E_DBO5]]=0,NA(),données_step[[#This Row],[E_DCO]]/données_step[[#This Row],[E_DBO5]]),"")</f>
        <v/>
      </c>
      <c r="BM361" s="521" t="str">
        <f>IFERROR(IF(données_step[[#This Row],[E_NH4]]/données_step[[#This Row],[E_NTOT]]=0,NA(),données_step[[#This Row],[E_NH4]]/données_step[[#This Row],[E_NTOT]]),"")</f>
        <v/>
      </c>
      <c r="BN361" s="521" t="str">
        <f>IFERROR(IF(données_step[[#This Row],[E_NTOT]]/données_step[[#This Row],[E_COT]]=0,NA(),données_step[[#This Row],[E_NTOT]]/données_step[[#This Row],[E_COT]]),"")</f>
        <v/>
      </c>
      <c r="BO361" s="521" t="str">
        <f>IFERROR(IF(données_step[[#This Row],[E_PTOT]]/données_step[[#This Row],[E_COT]]=0,NA(),données_step[[#This Row],[E_PTOT]]/données_step[[#This Row],[E_COT]]),"")</f>
        <v/>
      </c>
      <c r="BP361" s="521" t="e">
        <f>IF(données_step[[#This Row],[E_DCO]]/données_step[[#This Row],[E_COT]]=0,NA(),données_step[[#This Row],[E_DCO]]/données_step[[#This Row],[E_COT]])</f>
        <v>#DIV/0!</v>
      </c>
      <c r="BQ361" s="521" t="e">
        <f>IF(données_step[[#This Row],[E_NTOT]]/données_step[[#This Row],[E_DCO]]=0,NA(),données_step[[#This Row],[E_NTOT]]/données_step[[#This Row],[E_DCO]])</f>
        <v>#DIV/0!</v>
      </c>
      <c r="BR361" s="521" t="e">
        <f>IF(données_step[[#This Row],[E_PTOT]]/données_step[[#This Row],[E_DCO]]=0,NA(),données_step[[#This Row],[E_PTOT]]/données_step[[#This Row],[E_DCO]])</f>
        <v>#DIV/0!</v>
      </c>
      <c r="BS361" s="747" t="e">
        <f ca="1">test_NH4_temp(données_step[[#This Row],[S_NH4]],données_step[[#This Row],[Temp_eaux]])</f>
        <v>#NAME?</v>
      </c>
    </row>
    <row r="362" spans="1:71" x14ac:dyDescent="0.2">
      <c r="A362" s="222">
        <f>données_step[[#This Row],[Datum]]</f>
        <v>44913</v>
      </c>
      <c r="B362" s="223"/>
      <c r="C362" s="224">
        <f t="shared" si="94"/>
        <v>1</v>
      </c>
      <c r="D362" s="523" t="str">
        <f>IF(OR(données_step[[#This Row],[E_DBO5]]&lt;=0,données_step[[#This Row],[E_DBO5]]=""),"",données_step[[#This Row],[D_QTRAI]]*données_step[[#This Row],[E_DBO5]]/1000)</f>
        <v/>
      </c>
      <c r="E362" s="523" t="str">
        <f>IF(OR(données_step[[#This Row],[E_DCO]]&lt;=0,données_step[[#This Row],[E_DCO]]=""),"",données_step[[#This Row],[D_QTRAI]]*données_step[[#This Row],[E_DCO]]/1000)</f>
        <v/>
      </c>
      <c r="F362" s="523" t="str">
        <f>IF(OR(données_step[[#This Row],[E_COT]]&lt;=0,données_step[[#This Row],[E_COT]]=""),"",données_step[[#This Row],[D_QTRAI]]*données_step[[#This Row],[E_COT]]/1000)</f>
        <v/>
      </c>
      <c r="G362" s="523" t="str">
        <f>IF(OR(données_step[[#This Row],[E_NH4]]&lt;=0,données_step[[#This Row],[E_NH4]]=""),"",données_step[[#This Row],[D_QTRAI]]*données_step[[#This Row],[E_NH4]]/1000)</f>
        <v/>
      </c>
      <c r="H362" s="523" t="str">
        <f>IF(OR(données_step[[#This Row],[E_NTOT]]&lt;=0,données_step[[#This Row],[E_NTOT]]=""),"",données_step[[#This Row],[D_QTRAI]]*données_step[[#This Row],[E_NTOT]]/1000)</f>
        <v/>
      </c>
      <c r="I362" s="523" t="str">
        <f>IF(OR(données_step[[#This Row],[E_NTOT]]&lt;=0,données_step[[#This Row],[E_NTOT]]=""),"",données_step[[#This Row],[D_QTRAI]]*données_step[[#This Row],[E_PTOT]]/1000)</f>
        <v/>
      </c>
      <c r="J362" s="523" t="str">
        <f>IF(OR(données_step[[#This Row],[S_DBO5]]&lt;=0,données_step[[#This Row],[S_DBO5]]=""),"",données_step[[#This Row],[D_QTRAI]]*données_step[[#This Row],[S_DBO5]]/1000)</f>
        <v/>
      </c>
      <c r="K362" s="523" t="str">
        <f>IF(OR(données_step[[#This Row],[S_DCO]]&lt;=0,données_step[[#This Row],[S_DCO]]=""),"",données_step[[#This Row],[D_QTRAI]]*données_step[[#This Row],[S_DCO]]/1000)</f>
        <v/>
      </c>
      <c r="L362" s="523" t="str">
        <f>IF(OR(données_step[[#This Row],[S_COD]]&lt;=0,données_step[[#This Row],[S_COD]]=""),"",données_step[[#This Row],[D_QTRAI]]*données_step[[#This Row],[S_COD]]/1000)</f>
        <v/>
      </c>
      <c r="M362" s="523" t="str">
        <f>IF(OR(données_step[[#This Row],[S_NH4]]&lt;=0,données_step[[#This Row],[S_NH4]]=""),"",données_step[[#This Row],[D_QTRAI]]*données_step[[#This Row],[S_NH4]]/1000)</f>
        <v/>
      </c>
      <c r="N362" s="523" t="str">
        <f>IF(OR(données_step[[#This Row],[S_NO2]]&lt;=0,données_step[[#This Row],[S_NO2]]=""),"",données_step[[#This Row],[D_QTRAI]]*données_step[[#This Row],[S_NO2]]/1000)</f>
        <v/>
      </c>
      <c r="O362" s="523" t="str">
        <f>IF(OR(données_step[[#This Row],[S_NO3]]&lt;=0,données_step[[#This Row],[S_NO3]]=""),"",données_step[[#This Row],[D_QTRAI]]*données_step[[#This Row],[S_NO3]]/1000)</f>
        <v/>
      </c>
      <c r="P362" s="523" t="str">
        <f>IF(OR(données_step[[#This Row],[S_PTOT]]&lt;=0,données_step[[#This Row],[S_PTOT]]=""),"",données_step[[#This Row],[D_QTRAI]]*données_step[[#This Row],[S_PTOT]]/1000)</f>
        <v/>
      </c>
      <c r="Q362" s="523" t="str">
        <f>IF(OR(données_step[[#This Row],[S_MES]]&lt;=0,données_step[[#This Row],[S_MES]]=""),"",données_step[[#This Row],[D_QTRAI]]*données_step[[#This Row],[S_MES]]/1000)</f>
        <v/>
      </c>
      <c r="R362" s="523">
        <f>MAX(données_step[[#This Row],[D_QTRAI]],données_step[[#This Row],[D_QTRAI2]])</f>
        <v>0</v>
      </c>
      <c r="S362" s="523" t="str">
        <f>IF(AND($R362&gt;0,données_step[[#This Row],[E_DCO]]&gt;0),données_step[[#This Row],[E_DCO]],"")</f>
        <v/>
      </c>
      <c r="T362" s="523" t="str">
        <f>IF(S362="","",(1-données_step[[#This Row],[E_DCO]]/$V$7)*100)</f>
        <v/>
      </c>
      <c r="U362" s="523" t="str">
        <f t="shared" si="80"/>
        <v/>
      </c>
      <c r="V362" s="523" t="str">
        <f t="shared" si="81"/>
        <v/>
      </c>
      <c r="W362" s="523" t="str">
        <f t="shared" si="82"/>
        <v/>
      </c>
      <c r="X362" s="523" t="e">
        <f>IF(((100-100/$V$7*données_step[[#This Row],[E_DCO]])/100*QTS)&lt;0,NA(),IF(OR(U362&lt;0,U362=""),NA(),((100-100/$V$7*données_step[[#This Row],[E_DCO]])/100*QTS)))</f>
        <v>#NUM!</v>
      </c>
      <c r="Y362" s="523" t="str">
        <f>IF(AND($R362&gt;0,données_step[[#This Row],[E_COT]]&gt;0),données_step[[#This Row],[E_COT]],"")</f>
        <v/>
      </c>
      <c r="Z362" s="523" t="str">
        <f>IF(Y362="","",(1-données_step[[#This Row],[E_COT]]/$AB$7)*100)</f>
        <v/>
      </c>
      <c r="AA362" s="523" t="str">
        <f t="shared" si="83"/>
        <v/>
      </c>
      <c r="AB362" s="523" t="str">
        <f t="shared" si="84"/>
        <v/>
      </c>
      <c r="AC362" s="523" t="str">
        <f t="shared" si="85"/>
        <v/>
      </c>
      <c r="AD362" s="523" t="e">
        <f>IF(((100-100/$AB$7*données_step[[#This Row],[E_COT]])/100*QTS)&lt;0,NA(),IF(OR(AA362&lt;0,AA362=""),NA(),((100-100/$AB$7*données_step[[#This Row],[E_COT]])/100*QTS)))</f>
        <v>#NUM!</v>
      </c>
      <c r="AE362" s="523" t="str">
        <f>IF(AND($R362&gt;0,données_step[[#This Row],[E_NH4]]&gt;0),données_step[[#This Row],[E_NH4]],"")</f>
        <v/>
      </c>
      <c r="AF362" s="523" t="str">
        <f>IF(AE362="","",(1-données_step[[#This Row],[E_NH4]]/$AH$7)*100)</f>
        <v/>
      </c>
      <c r="AG362" s="523" t="str">
        <f t="shared" si="86"/>
        <v/>
      </c>
      <c r="AH362" s="523" t="str">
        <f t="shared" si="87"/>
        <v/>
      </c>
      <c r="AI362" s="523" t="str">
        <f t="shared" si="88"/>
        <v/>
      </c>
      <c r="AJ362" s="523" t="e">
        <f>IF(((100-100/$AH$7*données_step[[#This Row],[E_NH4]])/100*QTS)&lt;0,NA(),IF(OR(AG362&lt;0,AG362=""),NA(),((100-100/$AH$7*données_step[[#This Row],[E_NH4]])/100*QTS)))</f>
        <v>#NUM!</v>
      </c>
      <c r="AK362" s="523" t="str">
        <f>IF(AND($R362&gt;0,données_step[[#This Row],[E_PTOT]]&gt;0),données_step[[#This Row],[E_PTOT]],"")</f>
        <v/>
      </c>
      <c r="AL362" s="523" t="str">
        <f>IF(AK362="","",(1-données_step[[#This Row],[E_PTOT]]/$AN$7)*100)</f>
        <v/>
      </c>
      <c r="AM362" s="523" t="str">
        <f t="shared" si="89"/>
        <v/>
      </c>
      <c r="AN362" s="523" t="str">
        <f t="shared" si="90"/>
        <v/>
      </c>
      <c r="AO362" s="523" t="str">
        <f t="shared" si="91"/>
        <v/>
      </c>
      <c r="AP362" s="523" t="e">
        <f>IF(((100-100/$AN$7*données_step[[#This Row],[E_PTOT]])/100*QTS)&lt;0,NA(),IF(OR(AM362&lt;0,AM362=""),NA(),((100-100/$AN$7*données_step[[#This Row],[E_PTOT]])/100*QTS)))</f>
        <v>#NUM!</v>
      </c>
      <c r="AQ362" s="524" t="e">
        <f t="shared" si="92"/>
        <v>#NUM!</v>
      </c>
      <c r="AR362" s="524" t="str">
        <f t="shared" si="93"/>
        <v/>
      </c>
      <c r="AY362" s="523" t="str">
        <f>_xlfn.IFNA(IF(données_step[[#This Row],[E_DCO]]&lt;=0,NA(),charge_entree[[#This Row],[ch_E_DCO]]/constanten!$B$8*1000),"")</f>
        <v/>
      </c>
      <c r="AZ362" s="523" t="str">
        <f>_xlfn.IFNA(IF(données_step[[#This Row],[E_NTOT]]&lt;=0,NA(),charge_entree[[#This Row],[ch_E_NTOT]]/constanten!$B$10*1000),"")</f>
        <v/>
      </c>
      <c r="BA362" s="523" t="str">
        <f>_xlfn.IFNA(IF(données_step[[#This Row],[E_NH4]]&lt;=0,NA(),charge_entree[[#This Row],[ch_E_NH4]]/constanten!$B$12*1000),"")</f>
        <v/>
      </c>
      <c r="BB362" s="523" t="str">
        <f>_xlfn.IFNA(IF(données_step[[#This Row],[E_COT]]&lt;=0,NA(),charge_entree[[#This Row],[ch_E_COT]]/constanten!$B$9*1000),"")</f>
        <v/>
      </c>
      <c r="BC362" s="523" t="str">
        <f>IFERROR(_xlfn.IFNA(IF(données_step[[#This Row],[E_PTOT]]&lt;=0,NA(),charge_entree[[#This Row],[ch_E_PTOT]]/constanten!$B$15*1000),""),"")</f>
        <v/>
      </c>
      <c r="BD362" s="535" t="e">
        <f>calculs!E362 * (1-0.4) / (données_step[[#This Row],[X_BA_VOL]]*données_step[[#This Row],[X_BACONC]])</f>
        <v>#VALUE!</v>
      </c>
      <c r="BE362" s="522" t="e">
        <f>(données_step[[#This Row],[X_BA_VOL]]*données_step[[#This Row],[X_BACONC]])/((données_step[[#This Row],[D_QTRAI2]]*données_step[[#This Row],[S_MES]]/1000)+(données_step[[#This Row],[X_BX_Q]]*données_step[[#This Row],[X_BXCONC]]))</f>
        <v>#VALUE!</v>
      </c>
      <c r="BF362" s="890" t="str">
        <f>IFERROR(données_step[[#This Row],[D_QTRAI]]/AY362*1000,"")</f>
        <v/>
      </c>
      <c r="BG362" s="535" t="str">
        <f>IFERROR(1-données_step[[#This Row],[S_DBO5]]/données_step[[#This Row],[E_DBO5]],"")</f>
        <v/>
      </c>
      <c r="BH362" s="536" t="str">
        <f>IFERROR(1-données_step[[#This Row],[S_DCO]]/données_step[[#This Row],[E_DCO]],"")</f>
        <v/>
      </c>
      <c r="BI362" s="535" t="str">
        <f>IFERROR(1-données_step[[#This Row],[S_COD]]/données_step[[#This Row],[E_COT]],"")</f>
        <v/>
      </c>
      <c r="BJ362" s="535" t="str">
        <f>IFERROR(1-données_step[[#This Row],[S_NH4]]/données_step[[#This Row],[E_NTOT]],"")</f>
        <v/>
      </c>
      <c r="BK362" s="535" t="str">
        <f>IFERROR(1-données_step[[#This Row],[S_PTOT]]/données_step[[#This Row],[E_PTOT]],"")</f>
        <v/>
      </c>
      <c r="BL362" s="521" t="str">
        <f>IFERROR(IF(données_step[[#This Row],[E_DCO]]/données_step[[#This Row],[E_DBO5]]=0,NA(),données_step[[#This Row],[E_DCO]]/données_step[[#This Row],[E_DBO5]]),"")</f>
        <v/>
      </c>
      <c r="BM362" s="521" t="str">
        <f>IFERROR(IF(données_step[[#This Row],[E_NH4]]/données_step[[#This Row],[E_NTOT]]=0,NA(),données_step[[#This Row],[E_NH4]]/données_step[[#This Row],[E_NTOT]]),"")</f>
        <v/>
      </c>
      <c r="BN362" s="521" t="str">
        <f>IFERROR(IF(données_step[[#This Row],[E_NTOT]]/données_step[[#This Row],[E_COT]]=0,NA(),données_step[[#This Row],[E_NTOT]]/données_step[[#This Row],[E_COT]]),"")</f>
        <v/>
      </c>
      <c r="BO362" s="521" t="str">
        <f>IFERROR(IF(données_step[[#This Row],[E_PTOT]]/données_step[[#This Row],[E_COT]]=0,NA(),données_step[[#This Row],[E_PTOT]]/données_step[[#This Row],[E_COT]]),"")</f>
        <v/>
      </c>
      <c r="BP362" s="521" t="e">
        <f>IF(données_step[[#This Row],[E_DCO]]/données_step[[#This Row],[E_COT]]=0,NA(),données_step[[#This Row],[E_DCO]]/données_step[[#This Row],[E_COT]])</f>
        <v>#DIV/0!</v>
      </c>
      <c r="BQ362" s="521" t="e">
        <f>IF(données_step[[#This Row],[E_NTOT]]/données_step[[#This Row],[E_DCO]]=0,NA(),données_step[[#This Row],[E_NTOT]]/données_step[[#This Row],[E_DCO]])</f>
        <v>#DIV/0!</v>
      </c>
      <c r="BR362" s="521" t="e">
        <f>IF(données_step[[#This Row],[E_PTOT]]/données_step[[#This Row],[E_DCO]]=0,NA(),données_step[[#This Row],[E_PTOT]]/données_step[[#This Row],[E_DCO]])</f>
        <v>#DIV/0!</v>
      </c>
      <c r="BS362" s="747" t="e">
        <f ca="1">test_NH4_temp(données_step[[#This Row],[S_NH4]],données_step[[#This Row],[Temp_eaux]])</f>
        <v>#NAME?</v>
      </c>
    </row>
    <row r="363" spans="1:71" x14ac:dyDescent="0.2">
      <c r="A363" s="222">
        <f>données_step[[#This Row],[Datum]]</f>
        <v>44914</v>
      </c>
      <c r="B363" s="223"/>
      <c r="C363" s="224">
        <f t="shared" si="94"/>
        <v>2</v>
      </c>
      <c r="D363" s="523" t="str">
        <f>IF(OR(données_step[[#This Row],[E_DBO5]]&lt;=0,données_step[[#This Row],[E_DBO5]]=""),"",données_step[[#This Row],[D_QTRAI]]*données_step[[#This Row],[E_DBO5]]/1000)</f>
        <v/>
      </c>
      <c r="E363" s="523" t="str">
        <f>IF(OR(données_step[[#This Row],[E_DCO]]&lt;=0,données_step[[#This Row],[E_DCO]]=""),"",données_step[[#This Row],[D_QTRAI]]*données_step[[#This Row],[E_DCO]]/1000)</f>
        <v/>
      </c>
      <c r="F363" s="523" t="str">
        <f>IF(OR(données_step[[#This Row],[E_COT]]&lt;=0,données_step[[#This Row],[E_COT]]=""),"",données_step[[#This Row],[D_QTRAI]]*données_step[[#This Row],[E_COT]]/1000)</f>
        <v/>
      </c>
      <c r="G363" s="523" t="str">
        <f>IF(OR(données_step[[#This Row],[E_NH4]]&lt;=0,données_step[[#This Row],[E_NH4]]=""),"",données_step[[#This Row],[D_QTRAI]]*données_step[[#This Row],[E_NH4]]/1000)</f>
        <v/>
      </c>
      <c r="H363" s="523" t="str">
        <f>IF(OR(données_step[[#This Row],[E_NTOT]]&lt;=0,données_step[[#This Row],[E_NTOT]]=""),"",données_step[[#This Row],[D_QTRAI]]*données_step[[#This Row],[E_NTOT]]/1000)</f>
        <v/>
      </c>
      <c r="I363" s="523" t="str">
        <f>IF(OR(données_step[[#This Row],[E_NTOT]]&lt;=0,données_step[[#This Row],[E_NTOT]]=""),"",données_step[[#This Row],[D_QTRAI]]*données_step[[#This Row],[E_PTOT]]/1000)</f>
        <v/>
      </c>
      <c r="J363" s="523" t="str">
        <f>IF(OR(données_step[[#This Row],[S_DBO5]]&lt;=0,données_step[[#This Row],[S_DBO5]]=""),"",données_step[[#This Row],[D_QTRAI]]*données_step[[#This Row],[S_DBO5]]/1000)</f>
        <v/>
      </c>
      <c r="K363" s="523" t="str">
        <f>IF(OR(données_step[[#This Row],[S_DCO]]&lt;=0,données_step[[#This Row],[S_DCO]]=""),"",données_step[[#This Row],[D_QTRAI]]*données_step[[#This Row],[S_DCO]]/1000)</f>
        <v/>
      </c>
      <c r="L363" s="523" t="str">
        <f>IF(OR(données_step[[#This Row],[S_COD]]&lt;=0,données_step[[#This Row],[S_COD]]=""),"",données_step[[#This Row],[D_QTRAI]]*données_step[[#This Row],[S_COD]]/1000)</f>
        <v/>
      </c>
      <c r="M363" s="523" t="str">
        <f>IF(OR(données_step[[#This Row],[S_NH4]]&lt;=0,données_step[[#This Row],[S_NH4]]=""),"",données_step[[#This Row],[D_QTRAI]]*données_step[[#This Row],[S_NH4]]/1000)</f>
        <v/>
      </c>
      <c r="N363" s="523" t="str">
        <f>IF(OR(données_step[[#This Row],[S_NO2]]&lt;=0,données_step[[#This Row],[S_NO2]]=""),"",données_step[[#This Row],[D_QTRAI]]*données_step[[#This Row],[S_NO2]]/1000)</f>
        <v/>
      </c>
      <c r="O363" s="523" t="str">
        <f>IF(OR(données_step[[#This Row],[S_NO3]]&lt;=0,données_step[[#This Row],[S_NO3]]=""),"",données_step[[#This Row],[D_QTRAI]]*données_step[[#This Row],[S_NO3]]/1000)</f>
        <v/>
      </c>
      <c r="P363" s="523" t="str">
        <f>IF(OR(données_step[[#This Row],[S_PTOT]]&lt;=0,données_step[[#This Row],[S_PTOT]]=""),"",données_step[[#This Row],[D_QTRAI]]*données_step[[#This Row],[S_PTOT]]/1000)</f>
        <v/>
      </c>
      <c r="Q363" s="523" t="str">
        <f>IF(OR(données_step[[#This Row],[S_MES]]&lt;=0,données_step[[#This Row],[S_MES]]=""),"",données_step[[#This Row],[D_QTRAI]]*données_step[[#This Row],[S_MES]]/1000)</f>
        <v/>
      </c>
      <c r="R363" s="523">
        <f>MAX(données_step[[#This Row],[D_QTRAI]],données_step[[#This Row],[D_QTRAI2]])</f>
        <v>0</v>
      </c>
      <c r="S363" s="523" t="str">
        <f>IF(AND($R363&gt;0,données_step[[#This Row],[E_DCO]]&gt;0),données_step[[#This Row],[E_DCO]],"")</f>
        <v/>
      </c>
      <c r="T363" s="523" t="str">
        <f>IF(S363="","",(1-données_step[[#This Row],[E_DCO]]/$V$7)*100)</f>
        <v/>
      </c>
      <c r="U363" s="523" t="str">
        <f t="shared" si="80"/>
        <v/>
      </c>
      <c r="V363" s="523" t="str">
        <f t="shared" si="81"/>
        <v/>
      </c>
      <c r="W363" s="523" t="str">
        <f t="shared" si="82"/>
        <v/>
      </c>
      <c r="X363" s="523" t="e">
        <f>IF(((100-100/$V$7*données_step[[#This Row],[E_DCO]])/100*QTS)&lt;0,NA(),IF(OR(U363&lt;0,U363=""),NA(),((100-100/$V$7*données_step[[#This Row],[E_DCO]])/100*QTS)))</f>
        <v>#NUM!</v>
      </c>
      <c r="Y363" s="523" t="str">
        <f>IF(AND($R363&gt;0,données_step[[#This Row],[E_COT]]&gt;0),données_step[[#This Row],[E_COT]],"")</f>
        <v/>
      </c>
      <c r="Z363" s="523" t="str">
        <f>IF(Y363="","",(1-données_step[[#This Row],[E_COT]]/$AB$7)*100)</f>
        <v/>
      </c>
      <c r="AA363" s="523" t="str">
        <f t="shared" si="83"/>
        <v/>
      </c>
      <c r="AB363" s="523" t="str">
        <f t="shared" si="84"/>
        <v/>
      </c>
      <c r="AC363" s="523" t="str">
        <f t="shared" si="85"/>
        <v/>
      </c>
      <c r="AD363" s="523" t="e">
        <f>IF(((100-100/$AB$7*données_step[[#This Row],[E_COT]])/100*QTS)&lt;0,NA(),IF(OR(AA363&lt;0,AA363=""),NA(),((100-100/$AB$7*données_step[[#This Row],[E_COT]])/100*QTS)))</f>
        <v>#NUM!</v>
      </c>
      <c r="AE363" s="523" t="str">
        <f>IF(AND($R363&gt;0,données_step[[#This Row],[E_NH4]]&gt;0),données_step[[#This Row],[E_NH4]],"")</f>
        <v/>
      </c>
      <c r="AF363" s="523" t="str">
        <f>IF(AE363="","",(1-données_step[[#This Row],[E_NH4]]/$AH$7)*100)</f>
        <v/>
      </c>
      <c r="AG363" s="523" t="str">
        <f t="shared" si="86"/>
        <v/>
      </c>
      <c r="AH363" s="523" t="str">
        <f t="shared" si="87"/>
        <v/>
      </c>
      <c r="AI363" s="523" t="str">
        <f t="shared" si="88"/>
        <v/>
      </c>
      <c r="AJ363" s="523" t="e">
        <f>IF(((100-100/$AH$7*données_step[[#This Row],[E_NH4]])/100*QTS)&lt;0,NA(),IF(OR(AG363&lt;0,AG363=""),NA(),((100-100/$AH$7*données_step[[#This Row],[E_NH4]])/100*QTS)))</f>
        <v>#NUM!</v>
      </c>
      <c r="AK363" s="523" t="str">
        <f>IF(AND($R363&gt;0,données_step[[#This Row],[E_PTOT]]&gt;0),données_step[[#This Row],[E_PTOT]],"")</f>
        <v/>
      </c>
      <c r="AL363" s="523" t="str">
        <f>IF(AK363="","",(1-données_step[[#This Row],[E_PTOT]]/$AN$7)*100)</f>
        <v/>
      </c>
      <c r="AM363" s="523" t="str">
        <f t="shared" si="89"/>
        <v/>
      </c>
      <c r="AN363" s="523" t="str">
        <f t="shared" si="90"/>
        <v/>
      </c>
      <c r="AO363" s="523" t="str">
        <f t="shared" si="91"/>
        <v/>
      </c>
      <c r="AP363" s="523" t="e">
        <f>IF(((100-100/$AN$7*données_step[[#This Row],[E_PTOT]])/100*QTS)&lt;0,NA(),IF(OR(AM363&lt;0,AM363=""),NA(),((100-100/$AN$7*données_step[[#This Row],[E_PTOT]])/100*QTS)))</f>
        <v>#NUM!</v>
      </c>
      <c r="AQ363" s="524" t="e">
        <f t="shared" si="92"/>
        <v>#NUM!</v>
      </c>
      <c r="AR363" s="524" t="str">
        <f t="shared" si="93"/>
        <v/>
      </c>
      <c r="AY363" s="523" t="str">
        <f>_xlfn.IFNA(IF(données_step[[#This Row],[E_DCO]]&lt;=0,NA(),charge_entree[[#This Row],[ch_E_DCO]]/constanten!$B$8*1000),"")</f>
        <v/>
      </c>
      <c r="AZ363" s="523" t="str">
        <f>_xlfn.IFNA(IF(données_step[[#This Row],[E_NTOT]]&lt;=0,NA(),charge_entree[[#This Row],[ch_E_NTOT]]/constanten!$B$10*1000),"")</f>
        <v/>
      </c>
      <c r="BA363" s="523" t="str">
        <f>_xlfn.IFNA(IF(données_step[[#This Row],[E_NH4]]&lt;=0,NA(),charge_entree[[#This Row],[ch_E_NH4]]/constanten!$B$12*1000),"")</f>
        <v/>
      </c>
      <c r="BB363" s="523" t="str">
        <f>_xlfn.IFNA(IF(données_step[[#This Row],[E_COT]]&lt;=0,NA(),charge_entree[[#This Row],[ch_E_COT]]/constanten!$B$9*1000),"")</f>
        <v/>
      </c>
      <c r="BC363" s="523" t="str">
        <f>IFERROR(_xlfn.IFNA(IF(données_step[[#This Row],[E_PTOT]]&lt;=0,NA(),charge_entree[[#This Row],[ch_E_PTOT]]/constanten!$B$15*1000),""),"")</f>
        <v/>
      </c>
      <c r="BD363" s="535" t="e">
        <f>calculs!E363 * (1-0.4) / (données_step[[#This Row],[X_BA_VOL]]*données_step[[#This Row],[X_BACONC]])</f>
        <v>#VALUE!</v>
      </c>
      <c r="BE363" s="522" t="e">
        <f>(données_step[[#This Row],[X_BA_VOL]]*données_step[[#This Row],[X_BACONC]])/((données_step[[#This Row],[D_QTRAI2]]*données_step[[#This Row],[S_MES]]/1000)+(données_step[[#This Row],[X_BX_Q]]*données_step[[#This Row],[X_BXCONC]]))</f>
        <v>#VALUE!</v>
      </c>
      <c r="BF363" s="890" t="str">
        <f>IFERROR(données_step[[#This Row],[D_QTRAI]]/AY363*1000,"")</f>
        <v/>
      </c>
      <c r="BG363" s="535" t="str">
        <f>IFERROR(1-données_step[[#This Row],[S_DBO5]]/données_step[[#This Row],[E_DBO5]],"")</f>
        <v/>
      </c>
      <c r="BH363" s="536" t="str">
        <f>IFERROR(1-données_step[[#This Row],[S_DCO]]/données_step[[#This Row],[E_DCO]],"")</f>
        <v/>
      </c>
      <c r="BI363" s="535" t="str">
        <f>IFERROR(1-données_step[[#This Row],[S_COD]]/données_step[[#This Row],[E_COT]],"")</f>
        <v/>
      </c>
      <c r="BJ363" s="535" t="str">
        <f>IFERROR(1-données_step[[#This Row],[S_NH4]]/données_step[[#This Row],[E_NTOT]],"")</f>
        <v/>
      </c>
      <c r="BK363" s="535" t="str">
        <f>IFERROR(1-données_step[[#This Row],[S_PTOT]]/données_step[[#This Row],[E_PTOT]],"")</f>
        <v/>
      </c>
      <c r="BL363" s="521" t="str">
        <f>IFERROR(IF(données_step[[#This Row],[E_DCO]]/données_step[[#This Row],[E_DBO5]]=0,NA(),données_step[[#This Row],[E_DCO]]/données_step[[#This Row],[E_DBO5]]),"")</f>
        <v/>
      </c>
      <c r="BM363" s="521" t="str">
        <f>IFERROR(IF(données_step[[#This Row],[E_NH4]]/données_step[[#This Row],[E_NTOT]]=0,NA(),données_step[[#This Row],[E_NH4]]/données_step[[#This Row],[E_NTOT]]),"")</f>
        <v/>
      </c>
      <c r="BN363" s="521" t="str">
        <f>IFERROR(IF(données_step[[#This Row],[E_NTOT]]/données_step[[#This Row],[E_COT]]=0,NA(),données_step[[#This Row],[E_NTOT]]/données_step[[#This Row],[E_COT]]),"")</f>
        <v/>
      </c>
      <c r="BO363" s="521" t="str">
        <f>IFERROR(IF(données_step[[#This Row],[E_PTOT]]/données_step[[#This Row],[E_COT]]=0,NA(),données_step[[#This Row],[E_PTOT]]/données_step[[#This Row],[E_COT]]),"")</f>
        <v/>
      </c>
      <c r="BP363" s="521" t="e">
        <f>IF(données_step[[#This Row],[E_DCO]]/données_step[[#This Row],[E_COT]]=0,NA(),données_step[[#This Row],[E_DCO]]/données_step[[#This Row],[E_COT]])</f>
        <v>#DIV/0!</v>
      </c>
      <c r="BQ363" s="521" t="e">
        <f>IF(données_step[[#This Row],[E_NTOT]]/données_step[[#This Row],[E_DCO]]=0,NA(),données_step[[#This Row],[E_NTOT]]/données_step[[#This Row],[E_DCO]])</f>
        <v>#DIV/0!</v>
      </c>
      <c r="BR363" s="521" t="e">
        <f>IF(données_step[[#This Row],[E_PTOT]]/données_step[[#This Row],[E_DCO]]=0,NA(),données_step[[#This Row],[E_PTOT]]/données_step[[#This Row],[E_DCO]])</f>
        <v>#DIV/0!</v>
      </c>
      <c r="BS363" s="747" t="e">
        <f ca="1">test_NH4_temp(données_step[[#This Row],[S_NH4]],données_step[[#This Row],[Temp_eaux]])</f>
        <v>#NAME?</v>
      </c>
    </row>
    <row r="364" spans="1:71" x14ac:dyDescent="0.2">
      <c r="A364" s="222">
        <f>données_step[[#This Row],[Datum]]</f>
        <v>44915</v>
      </c>
      <c r="B364" s="223"/>
      <c r="C364" s="224">
        <f t="shared" si="94"/>
        <v>3</v>
      </c>
      <c r="D364" s="523" t="str">
        <f>IF(OR(données_step[[#This Row],[E_DBO5]]&lt;=0,données_step[[#This Row],[E_DBO5]]=""),"",données_step[[#This Row],[D_QTRAI]]*données_step[[#This Row],[E_DBO5]]/1000)</f>
        <v/>
      </c>
      <c r="E364" s="523" t="str">
        <f>IF(OR(données_step[[#This Row],[E_DCO]]&lt;=0,données_step[[#This Row],[E_DCO]]=""),"",données_step[[#This Row],[D_QTRAI]]*données_step[[#This Row],[E_DCO]]/1000)</f>
        <v/>
      </c>
      <c r="F364" s="523" t="str">
        <f>IF(OR(données_step[[#This Row],[E_COT]]&lt;=0,données_step[[#This Row],[E_COT]]=""),"",données_step[[#This Row],[D_QTRAI]]*données_step[[#This Row],[E_COT]]/1000)</f>
        <v/>
      </c>
      <c r="G364" s="523" t="str">
        <f>IF(OR(données_step[[#This Row],[E_NH4]]&lt;=0,données_step[[#This Row],[E_NH4]]=""),"",données_step[[#This Row],[D_QTRAI]]*données_step[[#This Row],[E_NH4]]/1000)</f>
        <v/>
      </c>
      <c r="H364" s="523" t="str">
        <f>IF(OR(données_step[[#This Row],[E_NTOT]]&lt;=0,données_step[[#This Row],[E_NTOT]]=""),"",données_step[[#This Row],[D_QTRAI]]*données_step[[#This Row],[E_NTOT]]/1000)</f>
        <v/>
      </c>
      <c r="I364" s="523" t="str">
        <f>IF(OR(données_step[[#This Row],[E_NTOT]]&lt;=0,données_step[[#This Row],[E_NTOT]]=""),"",données_step[[#This Row],[D_QTRAI]]*données_step[[#This Row],[E_PTOT]]/1000)</f>
        <v/>
      </c>
      <c r="J364" s="523" t="str">
        <f>IF(OR(données_step[[#This Row],[S_DBO5]]&lt;=0,données_step[[#This Row],[S_DBO5]]=""),"",données_step[[#This Row],[D_QTRAI]]*données_step[[#This Row],[S_DBO5]]/1000)</f>
        <v/>
      </c>
      <c r="K364" s="523" t="str">
        <f>IF(OR(données_step[[#This Row],[S_DCO]]&lt;=0,données_step[[#This Row],[S_DCO]]=""),"",données_step[[#This Row],[D_QTRAI]]*données_step[[#This Row],[S_DCO]]/1000)</f>
        <v/>
      </c>
      <c r="L364" s="523" t="str">
        <f>IF(OR(données_step[[#This Row],[S_COD]]&lt;=0,données_step[[#This Row],[S_COD]]=""),"",données_step[[#This Row],[D_QTRAI]]*données_step[[#This Row],[S_COD]]/1000)</f>
        <v/>
      </c>
      <c r="M364" s="523" t="str">
        <f>IF(OR(données_step[[#This Row],[S_NH4]]&lt;=0,données_step[[#This Row],[S_NH4]]=""),"",données_step[[#This Row],[D_QTRAI]]*données_step[[#This Row],[S_NH4]]/1000)</f>
        <v/>
      </c>
      <c r="N364" s="523" t="str">
        <f>IF(OR(données_step[[#This Row],[S_NO2]]&lt;=0,données_step[[#This Row],[S_NO2]]=""),"",données_step[[#This Row],[D_QTRAI]]*données_step[[#This Row],[S_NO2]]/1000)</f>
        <v/>
      </c>
      <c r="O364" s="523" t="str">
        <f>IF(OR(données_step[[#This Row],[S_NO3]]&lt;=0,données_step[[#This Row],[S_NO3]]=""),"",données_step[[#This Row],[D_QTRAI]]*données_step[[#This Row],[S_NO3]]/1000)</f>
        <v/>
      </c>
      <c r="P364" s="523" t="str">
        <f>IF(OR(données_step[[#This Row],[S_PTOT]]&lt;=0,données_step[[#This Row],[S_PTOT]]=""),"",données_step[[#This Row],[D_QTRAI]]*données_step[[#This Row],[S_PTOT]]/1000)</f>
        <v/>
      </c>
      <c r="Q364" s="523" t="str">
        <f>IF(OR(données_step[[#This Row],[S_MES]]&lt;=0,données_step[[#This Row],[S_MES]]=""),"",données_step[[#This Row],[D_QTRAI]]*données_step[[#This Row],[S_MES]]/1000)</f>
        <v/>
      </c>
      <c r="R364" s="523">
        <f>MAX(données_step[[#This Row],[D_QTRAI]],données_step[[#This Row],[D_QTRAI2]])</f>
        <v>0</v>
      </c>
      <c r="S364" s="523" t="str">
        <f>IF(AND($R364&gt;0,données_step[[#This Row],[E_DCO]]&gt;0),données_step[[#This Row],[E_DCO]],"")</f>
        <v/>
      </c>
      <c r="T364" s="523" t="str">
        <f>IF(S364="","",(1-données_step[[#This Row],[E_DCO]]/$V$7)*100)</f>
        <v/>
      </c>
      <c r="U364" s="523" t="str">
        <f t="shared" si="80"/>
        <v/>
      </c>
      <c r="V364" s="523" t="str">
        <f t="shared" si="81"/>
        <v/>
      </c>
      <c r="W364" s="523" t="str">
        <f t="shared" si="82"/>
        <v/>
      </c>
      <c r="X364" s="523" t="e">
        <f>IF(((100-100/$V$7*données_step[[#This Row],[E_DCO]])/100*QTS)&lt;0,NA(),IF(OR(U364&lt;0,U364=""),NA(),((100-100/$V$7*données_step[[#This Row],[E_DCO]])/100*QTS)))</f>
        <v>#NUM!</v>
      </c>
      <c r="Y364" s="523" t="str">
        <f>IF(AND($R364&gt;0,données_step[[#This Row],[E_COT]]&gt;0),données_step[[#This Row],[E_COT]],"")</f>
        <v/>
      </c>
      <c r="Z364" s="523" t="str">
        <f>IF(Y364="","",(1-données_step[[#This Row],[E_COT]]/$AB$7)*100)</f>
        <v/>
      </c>
      <c r="AA364" s="523" t="str">
        <f t="shared" si="83"/>
        <v/>
      </c>
      <c r="AB364" s="523" t="str">
        <f t="shared" si="84"/>
        <v/>
      </c>
      <c r="AC364" s="523" t="str">
        <f t="shared" si="85"/>
        <v/>
      </c>
      <c r="AD364" s="523" t="e">
        <f>IF(((100-100/$AB$7*données_step[[#This Row],[E_COT]])/100*QTS)&lt;0,NA(),IF(OR(AA364&lt;0,AA364=""),NA(),((100-100/$AB$7*données_step[[#This Row],[E_COT]])/100*QTS)))</f>
        <v>#NUM!</v>
      </c>
      <c r="AE364" s="523" t="str">
        <f>IF(AND($R364&gt;0,données_step[[#This Row],[E_NH4]]&gt;0),données_step[[#This Row],[E_NH4]],"")</f>
        <v/>
      </c>
      <c r="AF364" s="523" t="str">
        <f>IF(AE364="","",(1-données_step[[#This Row],[E_NH4]]/$AH$7)*100)</f>
        <v/>
      </c>
      <c r="AG364" s="523" t="str">
        <f t="shared" si="86"/>
        <v/>
      </c>
      <c r="AH364" s="523" t="str">
        <f t="shared" si="87"/>
        <v/>
      </c>
      <c r="AI364" s="523" t="str">
        <f t="shared" si="88"/>
        <v/>
      </c>
      <c r="AJ364" s="523" t="e">
        <f>IF(((100-100/$AH$7*données_step[[#This Row],[E_NH4]])/100*QTS)&lt;0,NA(),IF(OR(AG364&lt;0,AG364=""),NA(),((100-100/$AH$7*données_step[[#This Row],[E_NH4]])/100*QTS)))</f>
        <v>#NUM!</v>
      </c>
      <c r="AK364" s="523" t="str">
        <f>IF(AND($R364&gt;0,données_step[[#This Row],[E_PTOT]]&gt;0),données_step[[#This Row],[E_PTOT]],"")</f>
        <v/>
      </c>
      <c r="AL364" s="523" t="str">
        <f>IF(AK364="","",(1-données_step[[#This Row],[E_PTOT]]/$AN$7)*100)</f>
        <v/>
      </c>
      <c r="AM364" s="523" t="str">
        <f t="shared" si="89"/>
        <v/>
      </c>
      <c r="AN364" s="523" t="str">
        <f t="shared" si="90"/>
        <v/>
      </c>
      <c r="AO364" s="523" t="str">
        <f t="shared" si="91"/>
        <v/>
      </c>
      <c r="AP364" s="523" t="e">
        <f>IF(((100-100/$AN$7*données_step[[#This Row],[E_PTOT]])/100*QTS)&lt;0,NA(),IF(OR(AM364&lt;0,AM364=""),NA(),((100-100/$AN$7*données_step[[#This Row],[E_PTOT]])/100*QTS)))</f>
        <v>#NUM!</v>
      </c>
      <c r="AQ364" s="524" t="e">
        <f t="shared" si="92"/>
        <v>#NUM!</v>
      </c>
      <c r="AR364" s="524" t="str">
        <f t="shared" si="93"/>
        <v/>
      </c>
      <c r="AY364" s="523" t="str">
        <f>_xlfn.IFNA(IF(données_step[[#This Row],[E_DCO]]&lt;=0,NA(),charge_entree[[#This Row],[ch_E_DCO]]/constanten!$B$8*1000),"")</f>
        <v/>
      </c>
      <c r="AZ364" s="523" t="str">
        <f>_xlfn.IFNA(IF(données_step[[#This Row],[E_NTOT]]&lt;=0,NA(),charge_entree[[#This Row],[ch_E_NTOT]]/constanten!$B$10*1000),"")</f>
        <v/>
      </c>
      <c r="BA364" s="523" t="str">
        <f>_xlfn.IFNA(IF(données_step[[#This Row],[E_NH4]]&lt;=0,NA(),charge_entree[[#This Row],[ch_E_NH4]]/constanten!$B$12*1000),"")</f>
        <v/>
      </c>
      <c r="BB364" s="523" t="str">
        <f>_xlfn.IFNA(IF(données_step[[#This Row],[E_COT]]&lt;=0,NA(),charge_entree[[#This Row],[ch_E_COT]]/constanten!$B$9*1000),"")</f>
        <v/>
      </c>
      <c r="BC364" s="523" t="str">
        <f>IFERROR(_xlfn.IFNA(IF(données_step[[#This Row],[E_PTOT]]&lt;=0,NA(),charge_entree[[#This Row],[ch_E_PTOT]]/constanten!$B$15*1000),""),"")</f>
        <v/>
      </c>
      <c r="BD364" s="535" t="e">
        <f>calculs!E364 * (1-0.4) / (données_step[[#This Row],[X_BA_VOL]]*données_step[[#This Row],[X_BACONC]])</f>
        <v>#VALUE!</v>
      </c>
      <c r="BE364" s="522" t="e">
        <f>(données_step[[#This Row],[X_BA_VOL]]*données_step[[#This Row],[X_BACONC]])/((données_step[[#This Row],[D_QTRAI2]]*données_step[[#This Row],[S_MES]]/1000)+(données_step[[#This Row],[X_BX_Q]]*données_step[[#This Row],[X_BXCONC]]))</f>
        <v>#VALUE!</v>
      </c>
      <c r="BF364" s="890" t="str">
        <f>IFERROR(données_step[[#This Row],[D_QTRAI]]/AY364*1000,"")</f>
        <v/>
      </c>
      <c r="BG364" s="535" t="str">
        <f>IFERROR(1-données_step[[#This Row],[S_DBO5]]/données_step[[#This Row],[E_DBO5]],"")</f>
        <v/>
      </c>
      <c r="BH364" s="536" t="str">
        <f>IFERROR(1-données_step[[#This Row],[S_DCO]]/données_step[[#This Row],[E_DCO]],"")</f>
        <v/>
      </c>
      <c r="BI364" s="535" t="str">
        <f>IFERROR(1-données_step[[#This Row],[S_COD]]/données_step[[#This Row],[E_COT]],"")</f>
        <v/>
      </c>
      <c r="BJ364" s="535" t="str">
        <f>IFERROR(1-données_step[[#This Row],[S_NH4]]/données_step[[#This Row],[E_NTOT]],"")</f>
        <v/>
      </c>
      <c r="BK364" s="535" t="str">
        <f>IFERROR(1-données_step[[#This Row],[S_PTOT]]/données_step[[#This Row],[E_PTOT]],"")</f>
        <v/>
      </c>
      <c r="BL364" s="521" t="str">
        <f>IFERROR(IF(données_step[[#This Row],[E_DCO]]/données_step[[#This Row],[E_DBO5]]=0,NA(),données_step[[#This Row],[E_DCO]]/données_step[[#This Row],[E_DBO5]]),"")</f>
        <v/>
      </c>
      <c r="BM364" s="521" t="str">
        <f>IFERROR(IF(données_step[[#This Row],[E_NH4]]/données_step[[#This Row],[E_NTOT]]=0,NA(),données_step[[#This Row],[E_NH4]]/données_step[[#This Row],[E_NTOT]]),"")</f>
        <v/>
      </c>
      <c r="BN364" s="521" t="str">
        <f>IFERROR(IF(données_step[[#This Row],[E_NTOT]]/données_step[[#This Row],[E_COT]]=0,NA(),données_step[[#This Row],[E_NTOT]]/données_step[[#This Row],[E_COT]]),"")</f>
        <v/>
      </c>
      <c r="BO364" s="521" t="str">
        <f>IFERROR(IF(données_step[[#This Row],[E_PTOT]]/données_step[[#This Row],[E_COT]]=0,NA(),données_step[[#This Row],[E_PTOT]]/données_step[[#This Row],[E_COT]]),"")</f>
        <v/>
      </c>
      <c r="BP364" s="521" t="e">
        <f>IF(données_step[[#This Row],[E_DCO]]/données_step[[#This Row],[E_COT]]=0,NA(),données_step[[#This Row],[E_DCO]]/données_step[[#This Row],[E_COT]])</f>
        <v>#DIV/0!</v>
      </c>
      <c r="BQ364" s="521" t="e">
        <f>IF(données_step[[#This Row],[E_NTOT]]/données_step[[#This Row],[E_DCO]]=0,NA(),données_step[[#This Row],[E_NTOT]]/données_step[[#This Row],[E_DCO]])</f>
        <v>#DIV/0!</v>
      </c>
      <c r="BR364" s="521" t="e">
        <f>IF(données_step[[#This Row],[E_PTOT]]/données_step[[#This Row],[E_DCO]]=0,NA(),données_step[[#This Row],[E_PTOT]]/données_step[[#This Row],[E_DCO]])</f>
        <v>#DIV/0!</v>
      </c>
      <c r="BS364" s="747" t="e">
        <f ca="1">test_NH4_temp(données_step[[#This Row],[S_NH4]],données_step[[#This Row],[Temp_eaux]])</f>
        <v>#NAME?</v>
      </c>
    </row>
    <row r="365" spans="1:71" x14ac:dyDescent="0.2">
      <c r="A365" s="222">
        <f>données_step[[#This Row],[Datum]]</f>
        <v>44916</v>
      </c>
      <c r="B365" s="223"/>
      <c r="C365" s="224">
        <f t="shared" si="94"/>
        <v>4</v>
      </c>
      <c r="D365" s="523" t="str">
        <f>IF(OR(données_step[[#This Row],[E_DBO5]]&lt;=0,données_step[[#This Row],[E_DBO5]]=""),"",données_step[[#This Row],[D_QTRAI]]*données_step[[#This Row],[E_DBO5]]/1000)</f>
        <v/>
      </c>
      <c r="E365" s="523" t="str">
        <f>IF(OR(données_step[[#This Row],[E_DCO]]&lt;=0,données_step[[#This Row],[E_DCO]]=""),"",données_step[[#This Row],[D_QTRAI]]*données_step[[#This Row],[E_DCO]]/1000)</f>
        <v/>
      </c>
      <c r="F365" s="523" t="str">
        <f>IF(OR(données_step[[#This Row],[E_COT]]&lt;=0,données_step[[#This Row],[E_COT]]=""),"",données_step[[#This Row],[D_QTRAI]]*données_step[[#This Row],[E_COT]]/1000)</f>
        <v/>
      </c>
      <c r="G365" s="523" t="str">
        <f>IF(OR(données_step[[#This Row],[E_NH4]]&lt;=0,données_step[[#This Row],[E_NH4]]=""),"",données_step[[#This Row],[D_QTRAI]]*données_step[[#This Row],[E_NH4]]/1000)</f>
        <v/>
      </c>
      <c r="H365" s="523" t="str">
        <f>IF(OR(données_step[[#This Row],[E_NTOT]]&lt;=0,données_step[[#This Row],[E_NTOT]]=""),"",données_step[[#This Row],[D_QTRAI]]*données_step[[#This Row],[E_NTOT]]/1000)</f>
        <v/>
      </c>
      <c r="I365" s="523" t="str">
        <f>IF(OR(données_step[[#This Row],[E_NTOT]]&lt;=0,données_step[[#This Row],[E_NTOT]]=""),"",données_step[[#This Row],[D_QTRAI]]*données_step[[#This Row],[E_PTOT]]/1000)</f>
        <v/>
      </c>
      <c r="J365" s="523" t="str">
        <f>IF(OR(données_step[[#This Row],[S_DBO5]]&lt;=0,données_step[[#This Row],[S_DBO5]]=""),"",données_step[[#This Row],[D_QTRAI]]*données_step[[#This Row],[S_DBO5]]/1000)</f>
        <v/>
      </c>
      <c r="K365" s="523" t="str">
        <f>IF(OR(données_step[[#This Row],[S_DCO]]&lt;=0,données_step[[#This Row],[S_DCO]]=""),"",données_step[[#This Row],[D_QTRAI]]*données_step[[#This Row],[S_DCO]]/1000)</f>
        <v/>
      </c>
      <c r="L365" s="523" t="str">
        <f>IF(OR(données_step[[#This Row],[S_COD]]&lt;=0,données_step[[#This Row],[S_COD]]=""),"",données_step[[#This Row],[D_QTRAI]]*données_step[[#This Row],[S_COD]]/1000)</f>
        <v/>
      </c>
      <c r="M365" s="523" t="str">
        <f>IF(OR(données_step[[#This Row],[S_NH4]]&lt;=0,données_step[[#This Row],[S_NH4]]=""),"",données_step[[#This Row],[D_QTRAI]]*données_step[[#This Row],[S_NH4]]/1000)</f>
        <v/>
      </c>
      <c r="N365" s="523" t="str">
        <f>IF(OR(données_step[[#This Row],[S_NO2]]&lt;=0,données_step[[#This Row],[S_NO2]]=""),"",données_step[[#This Row],[D_QTRAI]]*données_step[[#This Row],[S_NO2]]/1000)</f>
        <v/>
      </c>
      <c r="O365" s="523" t="str">
        <f>IF(OR(données_step[[#This Row],[S_NO3]]&lt;=0,données_step[[#This Row],[S_NO3]]=""),"",données_step[[#This Row],[D_QTRAI]]*données_step[[#This Row],[S_NO3]]/1000)</f>
        <v/>
      </c>
      <c r="P365" s="523" t="str">
        <f>IF(OR(données_step[[#This Row],[S_PTOT]]&lt;=0,données_step[[#This Row],[S_PTOT]]=""),"",données_step[[#This Row],[D_QTRAI]]*données_step[[#This Row],[S_PTOT]]/1000)</f>
        <v/>
      </c>
      <c r="Q365" s="523" t="str">
        <f>IF(OR(données_step[[#This Row],[S_MES]]&lt;=0,données_step[[#This Row],[S_MES]]=""),"",données_step[[#This Row],[D_QTRAI]]*données_step[[#This Row],[S_MES]]/1000)</f>
        <v/>
      </c>
      <c r="R365" s="523">
        <f>MAX(données_step[[#This Row],[D_QTRAI]],données_step[[#This Row],[D_QTRAI2]])</f>
        <v>0</v>
      </c>
      <c r="S365" s="523" t="str">
        <f>IF(AND($R365&gt;0,données_step[[#This Row],[E_DCO]]&gt;0),données_step[[#This Row],[E_DCO]],"")</f>
        <v/>
      </c>
      <c r="T365" s="523" t="str">
        <f>IF(S365="","",(1-données_step[[#This Row],[E_DCO]]/$V$7)*100)</f>
        <v/>
      </c>
      <c r="U365" s="523" t="str">
        <f t="shared" si="80"/>
        <v/>
      </c>
      <c r="V365" s="523" t="str">
        <f t="shared" si="81"/>
        <v/>
      </c>
      <c r="W365" s="523" t="str">
        <f t="shared" si="82"/>
        <v/>
      </c>
      <c r="X365" s="523" t="e">
        <f>IF(((100-100/$V$7*données_step[[#This Row],[E_DCO]])/100*QTS)&lt;0,NA(),IF(OR(U365&lt;0,U365=""),NA(),((100-100/$V$7*données_step[[#This Row],[E_DCO]])/100*QTS)))</f>
        <v>#NUM!</v>
      </c>
      <c r="Y365" s="523" t="str">
        <f>IF(AND($R365&gt;0,données_step[[#This Row],[E_COT]]&gt;0),données_step[[#This Row],[E_COT]],"")</f>
        <v/>
      </c>
      <c r="Z365" s="523" t="str">
        <f>IF(Y365="","",(1-données_step[[#This Row],[E_COT]]/$AB$7)*100)</f>
        <v/>
      </c>
      <c r="AA365" s="523" t="str">
        <f t="shared" si="83"/>
        <v/>
      </c>
      <c r="AB365" s="523" t="str">
        <f t="shared" si="84"/>
        <v/>
      </c>
      <c r="AC365" s="523" t="str">
        <f t="shared" si="85"/>
        <v/>
      </c>
      <c r="AD365" s="523" t="e">
        <f>IF(((100-100/$AB$7*données_step[[#This Row],[E_COT]])/100*QTS)&lt;0,NA(),IF(OR(AA365&lt;0,AA365=""),NA(),((100-100/$AB$7*données_step[[#This Row],[E_COT]])/100*QTS)))</f>
        <v>#NUM!</v>
      </c>
      <c r="AE365" s="523" t="str">
        <f>IF(AND($R365&gt;0,données_step[[#This Row],[E_NH4]]&gt;0),données_step[[#This Row],[E_NH4]],"")</f>
        <v/>
      </c>
      <c r="AF365" s="523" t="str">
        <f>IF(AE365="","",(1-données_step[[#This Row],[E_NH4]]/$AH$7)*100)</f>
        <v/>
      </c>
      <c r="AG365" s="523" t="str">
        <f t="shared" si="86"/>
        <v/>
      </c>
      <c r="AH365" s="523" t="str">
        <f t="shared" si="87"/>
        <v/>
      </c>
      <c r="AI365" s="523" t="str">
        <f t="shared" si="88"/>
        <v/>
      </c>
      <c r="AJ365" s="523" t="e">
        <f>IF(((100-100/$AH$7*données_step[[#This Row],[E_NH4]])/100*QTS)&lt;0,NA(),IF(OR(AG365&lt;0,AG365=""),NA(),((100-100/$AH$7*données_step[[#This Row],[E_NH4]])/100*QTS)))</f>
        <v>#NUM!</v>
      </c>
      <c r="AK365" s="523" t="str">
        <f>IF(AND($R365&gt;0,données_step[[#This Row],[E_PTOT]]&gt;0),données_step[[#This Row],[E_PTOT]],"")</f>
        <v/>
      </c>
      <c r="AL365" s="523" t="str">
        <f>IF(AK365="","",(1-données_step[[#This Row],[E_PTOT]]/$AN$7)*100)</f>
        <v/>
      </c>
      <c r="AM365" s="523" t="str">
        <f t="shared" si="89"/>
        <v/>
      </c>
      <c r="AN365" s="523" t="str">
        <f t="shared" si="90"/>
        <v/>
      </c>
      <c r="AO365" s="523" t="str">
        <f t="shared" si="91"/>
        <v/>
      </c>
      <c r="AP365" s="523" t="e">
        <f>IF(((100-100/$AN$7*données_step[[#This Row],[E_PTOT]])/100*QTS)&lt;0,NA(),IF(OR(AM365&lt;0,AM365=""),NA(),((100-100/$AN$7*données_step[[#This Row],[E_PTOT]])/100*QTS)))</f>
        <v>#NUM!</v>
      </c>
      <c r="AQ365" s="524" t="e">
        <f t="shared" si="92"/>
        <v>#NUM!</v>
      </c>
      <c r="AR365" s="524" t="str">
        <f t="shared" si="93"/>
        <v/>
      </c>
      <c r="AY365" s="523" t="str">
        <f>_xlfn.IFNA(IF(données_step[[#This Row],[E_DCO]]&lt;=0,NA(),charge_entree[[#This Row],[ch_E_DCO]]/constanten!$B$8*1000),"")</f>
        <v/>
      </c>
      <c r="AZ365" s="523" t="str">
        <f>_xlfn.IFNA(IF(données_step[[#This Row],[E_NTOT]]&lt;=0,NA(),charge_entree[[#This Row],[ch_E_NTOT]]/constanten!$B$10*1000),"")</f>
        <v/>
      </c>
      <c r="BA365" s="523" t="str">
        <f>_xlfn.IFNA(IF(données_step[[#This Row],[E_NH4]]&lt;=0,NA(),charge_entree[[#This Row],[ch_E_NH4]]/constanten!$B$12*1000),"")</f>
        <v/>
      </c>
      <c r="BB365" s="523" t="str">
        <f>_xlfn.IFNA(IF(données_step[[#This Row],[E_COT]]&lt;=0,NA(),charge_entree[[#This Row],[ch_E_COT]]/constanten!$B$9*1000),"")</f>
        <v/>
      </c>
      <c r="BC365" s="523" t="str">
        <f>IFERROR(_xlfn.IFNA(IF(données_step[[#This Row],[E_PTOT]]&lt;=0,NA(),charge_entree[[#This Row],[ch_E_PTOT]]/constanten!$B$15*1000),""),"")</f>
        <v/>
      </c>
      <c r="BD365" s="535" t="e">
        <f>calculs!E365 * (1-0.4) / (données_step[[#This Row],[X_BA_VOL]]*données_step[[#This Row],[X_BACONC]])</f>
        <v>#VALUE!</v>
      </c>
      <c r="BE365" s="522" t="e">
        <f>(données_step[[#This Row],[X_BA_VOL]]*données_step[[#This Row],[X_BACONC]])/((données_step[[#This Row],[D_QTRAI2]]*données_step[[#This Row],[S_MES]]/1000)+(données_step[[#This Row],[X_BX_Q]]*données_step[[#This Row],[X_BXCONC]]))</f>
        <v>#VALUE!</v>
      </c>
      <c r="BF365" s="890" t="str">
        <f>IFERROR(données_step[[#This Row],[D_QTRAI]]/AY365*1000,"")</f>
        <v/>
      </c>
      <c r="BG365" s="535" t="str">
        <f>IFERROR(1-données_step[[#This Row],[S_DBO5]]/données_step[[#This Row],[E_DBO5]],"")</f>
        <v/>
      </c>
      <c r="BH365" s="536" t="str">
        <f>IFERROR(1-données_step[[#This Row],[S_DCO]]/données_step[[#This Row],[E_DCO]],"")</f>
        <v/>
      </c>
      <c r="BI365" s="535" t="str">
        <f>IFERROR(1-données_step[[#This Row],[S_COD]]/données_step[[#This Row],[E_COT]],"")</f>
        <v/>
      </c>
      <c r="BJ365" s="535" t="str">
        <f>IFERROR(1-données_step[[#This Row],[S_NH4]]/données_step[[#This Row],[E_NTOT]],"")</f>
        <v/>
      </c>
      <c r="BK365" s="535" t="str">
        <f>IFERROR(1-données_step[[#This Row],[S_PTOT]]/données_step[[#This Row],[E_PTOT]],"")</f>
        <v/>
      </c>
      <c r="BL365" s="521" t="str">
        <f>IFERROR(IF(données_step[[#This Row],[E_DCO]]/données_step[[#This Row],[E_DBO5]]=0,NA(),données_step[[#This Row],[E_DCO]]/données_step[[#This Row],[E_DBO5]]),"")</f>
        <v/>
      </c>
      <c r="BM365" s="521" t="str">
        <f>IFERROR(IF(données_step[[#This Row],[E_NH4]]/données_step[[#This Row],[E_NTOT]]=0,NA(),données_step[[#This Row],[E_NH4]]/données_step[[#This Row],[E_NTOT]]),"")</f>
        <v/>
      </c>
      <c r="BN365" s="521" t="str">
        <f>IFERROR(IF(données_step[[#This Row],[E_NTOT]]/données_step[[#This Row],[E_COT]]=0,NA(),données_step[[#This Row],[E_NTOT]]/données_step[[#This Row],[E_COT]]),"")</f>
        <v/>
      </c>
      <c r="BO365" s="521" t="str">
        <f>IFERROR(IF(données_step[[#This Row],[E_PTOT]]/données_step[[#This Row],[E_COT]]=0,NA(),données_step[[#This Row],[E_PTOT]]/données_step[[#This Row],[E_COT]]),"")</f>
        <v/>
      </c>
      <c r="BP365" s="521" t="e">
        <f>IF(données_step[[#This Row],[E_DCO]]/données_step[[#This Row],[E_COT]]=0,NA(),données_step[[#This Row],[E_DCO]]/données_step[[#This Row],[E_COT]])</f>
        <v>#DIV/0!</v>
      </c>
      <c r="BQ365" s="521" t="e">
        <f>IF(données_step[[#This Row],[E_NTOT]]/données_step[[#This Row],[E_DCO]]=0,NA(),données_step[[#This Row],[E_NTOT]]/données_step[[#This Row],[E_DCO]])</f>
        <v>#DIV/0!</v>
      </c>
      <c r="BR365" s="521" t="e">
        <f>IF(données_step[[#This Row],[E_PTOT]]/données_step[[#This Row],[E_DCO]]=0,NA(),données_step[[#This Row],[E_PTOT]]/données_step[[#This Row],[E_DCO]])</f>
        <v>#DIV/0!</v>
      </c>
      <c r="BS365" s="747" t="e">
        <f ca="1">test_NH4_temp(données_step[[#This Row],[S_NH4]],données_step[[#This Row],[Temp_eaux]])</f>
        <v>#NAME?</v>
      </c>
    </row>
    <row r="366" spans="1:71" x14ac:dyDescent="0.2">
      <c r="A366" s="222">
        <f>données_step[[#This Row],[Datum]]</f>
        <v>44917</v>
      </c>
      <c r="B366" s="223"/>
      <c r="C366" s="224">
        <f t="shared" si="94"/>
        <v>5</v>
      </c>
      <c r="D366" s="523" t="str">
        <f>IF(OR(données_step[[#This Row],[E_DBO5]]&lt;=0,données_step[[#This Row],[E_DBO5]]=""),"",données_step[[#This Row],[D_QTRAI]]*données_step[[#This Row],[E_DBO5]]/1000)</f>
        <v/>
      </c>
      <c r="E366" s="523" t="str">
        <f>IF(OR(données_step[[#This Row],[E_DCO]]&lt;=0,données_step[[#This Row],[E_DCO]]=""),"",données_step[[#This Row],[D_QTRAI]]*données_step[[#This Row],[E_DCO]]/1000)</f>
        <v/>
      </c>
      <c r="F366" s="523" t="str">
        <f>IF(OR(données_step[[#This Row],[E_COT]]&lt;=0,données_step[[#This Row],[E_COT]]=""),"",données_step[[#This Row],[D_QTRAI]]*données_step[[#This Row],[E_COT]]/1000)</f>
        <v/>
      </c>
      <c r="G366" s="523" t="str">
        <f>IF(OR(données_step[[#This Row],[E_NH4]]&lt;=0,données_step[[#This Row],[E_NH4]]=""),"",données_step[[#This Row],[D_QTRAI]]*données_step[[#This Row],[E_NH4]]/1000)</f>
        <v/>
      </c>
      <c r="H366" s="523" t="str">
        <f>IF(OR(données_step[[#This Row],[E_NTOT]]&lt;=0,données_step[[#This Row],[E_NTOT]]=""),"",données_step[[#This Row],[D_QTRAI]]*données_step[[#This Row],[E_NTOT]]/1000)</f>
        <v/>
      </c>
      <c r="I366" s="523" t="str">
        <f>IF(OR(données_step[[#This Row],[E_NTOT]]&lt;=0,données_step[[#This Row],[E_NTOT]]=""),"",données_step[[#This Row],[D_QTRAI]]*données_step[[#This Row],[E_PTOT]]/1000)</f>
        <v/>
      </c>
      <c r="J366" s="523" t="str">
        <f>IF(OR(données_step[[#This Row],[S_DBO5]]&lt;=0,données_step[[#This Row],[S_DBO5]]=""),"",données_step[[#This Row],[D_QTRAI]]*données_step[[#This Row],[S_DBO5]]/1000)</f>
        <v/>
      </c>
      <c r="K366" s="523" t="str">
        <f>IF(OR(données_step[[#This Row],[S_DCO]]&lt;=0,données_step[[#This Row],[S_DCO]]=""),"",données_step[[#This Row],[D_QTRAI]]*données_step[[#This Row],[S_DCO]]/1000)</f>
        <v/>
      </c>
      <c r="L366" s="523" t="str">
        <f>IF(OR(données_step[[#This Row],[S_COD]]&lt;=0,données_step[[#This Row],[S_COD]]=""),"",données_step[[#This Row],[D_QTRAI]]*données_step[[#This Row],[S_COD]]/1000)</f>
        <v/>
      </c>
      <c r="M366" s="523" t="str">
        <f>IF(OR(données_step[[#This Row],[S_NH4]]&lt;=0,données_step[[#This Row],[S_NH4]]=""),"",données_step[[#This Row],[D_QTRAI]]*données_step[[#This Row],[S_NH4]]/1000)</f>
        <v/>
      </c>
      <c r="N366" s="523" t="str">
        <f>IF(OR(données_step[[#This Row],[S_NO2]]&lt;=0,données_step[[#This Row],[S_NO2]]=""),"",données_step[[#This Row],[D_QTRAI]]*données_step[[#This Row],[S_NO2]]/1000)</f>
        <v/>
      </c>
      <c r="O366" s="523" t="str">
        <f>IF(OR(données_step[[#This Row],[S_NO3]]&lt;=0,données_step[[#This Row],[S_NO3]]=""),"",données_step[[#This Row],[D_QTRAI]]*données_step[[#This Row],[S_NO3]]/1000)</f>
        <v/>
      </c>
      <c r="P366" s="523" t="str">
        <f>IF(OR(données_step[[#This Row],[S_PTOT]]&lt;=0,données_step[[#This Row],[S_PTOT]]=""),"",données_step[[#This Row],[D_QTRAI]]*données_step[[#This Row],[S_PTOT]]/1000)</f>
        <v/>
      </c>
      <c r="Q366" s="523" t="str">
        <f>IF(OR(données_step[[#This Row],[S_MES]]&lt;=0,données_step[[#This Row],[S_MES]]=""),"",données_step[[#This Row],[D_QTRAI]]*données_step[[#This Row],[S_MES]]/1000)</f>
        <v/>
      </c>
      <c r="R366" s="523">
        <f>MAX(données_step[[#This Row],[D_QTRAI]],données_step[[#This Row],[D_QTRAI2]])</f>
        <v>0</v>
      </c>
      <c r="S366" s="523" t="str">
        <f>IF(AND($R366&gt;0,données_step[[#This Row],[E_DCO]]&gt;0),données_step[[#This Row],[E_DCO]],"")</f>
        <v/>
      </c>
      <c r="T366" s="523" t="str">
        <f>IF(S366="","",(1-données_step[[#This Row],[E_DCO]]/$V$7)*100)</f>
        <v/>
      </c>
      <c r="U366" s="523" t="str">
        <f t="shared" si="80"/>
        <v/>
      </c>
      <c r="V366" s="523" t="str">
        <f t="shared" si="81"/>
        <v/>
      </c>
      <c r="W366" s="523" t="str">
        <f t="shared" si="82"/>
        <v/>
      </c>
      <c r="X366" s="523" t="e">
        <f>IF(((100-100/$V$7*données_step[[#This Row],[E_DCO]])/100*QTS)&lt;0,NA(),IF(OR(U366&lt;0,U366=""),NA(),((100-100/$V$7*données_step[[#This Row],[E_DCO]])/100*QTS)))</f>
        <v>#NUM!</v>
      </c>
      <c r="Y366" s="523" t="str">
        <f>IF(AND($R366&gt;0,données_step[[#This Row],[E_COT]]&gt;0),données_step[[#This Row],[E_COT]],"")</f>
        <v/>
      </c>
      <c r="Z366" s="523" t="str">
        <f>IF(Y366="","",(1-données_step[[#This Row],[E_COT]]/$AB$7)*100)</f>
        <v/>
      </c>
      <c r="AA366" s="523" t="str">
        <f t="shared" si="83"/>
        <v/>
      </c>
      <c r="AB366" s="523" t="str">
        <f t="shared" si="84"/>
        <v/>
      </c>
      <c r="AC366" s="523" t="str">
        <f t="shared" si="85"/>
        <v/>
      </c>
      <c r="AD366" s="523" t="e">
        <f>IF(((100-100/$AB$7*données_step[[#This Row],[E_COT]])/100*QTS)&lt;0,NA(),IF(OR(AA366&lt;0,AA366=""),NA(),((100-100/$AB$7*données_step[[#This Row],[E_COT]])/100*QTS)))</f>
        <v>#NUM!</v>
      </c>
      <c r="AE366" s="523" t="str">
        <f>IF(AND($R366&gt;0,données_step[[#This Row],[E_NH4]]&gt;0),données_step[[#This Row],[E_NH4]],"")</f>
        <v/>
      </c>
      <c r="AF366" s="523" t="str">
        <f>IF(AE366="","",(1-données_step[[#This Row],[E_NH4]]/$AH$7)*100)</f>
        <v/>
      </c>
      <c r="AG366" s="523" t="str">
        <f t="shared" si="86"/>
        <v/>
      </c>
      <c r="AH366" s="523" t="str">
        <f t="shared" si="87"/>
        <v/>
      </c>
      <c r="AI366" s="523" t="str">
        <f t="shared" si="88"/>
        <v/>
      </c>
      <c r="AJ366" s="523" t="e">
        <f>IF(((100-100/$AH$7*données_step[[#This Row],[E_NH4]])/100*QTS)&lt;0,NA(),IF(OR(AG366&lt;0,AG366=""),NA(),((100-100/$AH$7*données_step[[#This Row],[E_NH4]])/100*QTS)))</f>
        <v>#NUM!</v>
      </c>
      <c r="AK366" s="523" t="str">
        <f>IF(AND($R366&gt;0,données_step[[#This Row],[E_PTOT]]&gt;0),données_step[[#This Row],[E_PTOT]],"")</f>
        <v/>
      </c>
      <c r="AL366" s="523" t="str">
        <f>IF(AK366="","",(1-données_step[[#This Row],[E_PTOT]]/$AN$7)*100)</f>
        <v/>
      </c>
      <c r="AM366" s="523" t="str">
        <f t="shared" si="89"/>
        <v/>
      </c>
      <c r="AN366" s="523" t="str">
        <f t="shared" si="90"/>
        <v/>
      </c>
      <c r="AO366" s="523" t="str">
        <f t="shared" si="91"/>
        <v/>
      </c>
      <c r="AP366" s="523" t="e">
        <f>IF(((100-100/$AN$7*données_step[[#This Row],[E_PTOT]])/100*QTS)&lt;0,NA(),IF(OR(AM366&lt;0,AM366=""),NA(),((100-100/$AN$7*données_step[[#This Row],[E_PTOT]])/100*QTS)))</f>
        <v>#NUM!</v>
      </c>
      <c r="AQ366" s="524" t="e">
        <f t="shared" si="92"/>
        <v>#NUM!</v>
      </c>
      <c r="AR366" s="524" t="str">
        <f t="shared" si="93"/>
        <v/>
      </c>
      <c r="AY366" s="523" t="str">
        <f>_xlfn.IFNA(IF(données_step[[#This Row],[E_DCO]]&lt;=0,NA(),charge_entree[[#This Row],[ch_E_DCO]]/constanten!$B$8*1000),"")</f>
        <v/>
      </c>
      <c r="AZ366" s="523" t="str">
        <f>_xlfn.IFNA(IF(données_step[[#This Row],[E_NTOT]]&lt;=0,NA(),charge_entree[[#This Row],[ch_E_NTOT]]/constanten!$B$10*1000),"")</f>
        <v/>
      </c>
      <c r="BA366" s="523" t="str">
        <f>_xlfn.IFNA(IF(données_step[[#This Row],[E_NH4]]&lt;=0,NA(),charge_entree[[#This Row],[ch_E_NH4]]/constanten!$B$12*1000),"")</f>
        <v/>
      </c>
      <c r="BB366" s="523" t="str">
        <f>_xlfn.IFNA(IF(données_step[[#This Row],[E_COT]]&lt;=0,NA(),charge_entree[[#This Row],[ch_E_COT]]/constanten!$B$9*1000),"")</f>
        <v/>
      </c>
      <c r="BC366" s="523" t="str">
        <f>IFERROR(_xlfn.IFNA(IF(données_step[[#This Row],[E_PTOT]]&lt;=0,NA(),charge_entree[[#This Row],[ch_E_PTOT]]/constanten!$B$15*1000),""),"")</f>
        <v/>
      </c>
      <c r="BD366" s="535" t="e">
        <f>calculs!E366 * (1-0.4) / (données_step[[#This Row],[X_BA_VOL]]*données_step[[#This Row],[X_BACONC]])</f>
        <v>#VALUE!</v>
      </c>
      <c r="BE366" s="522" t="e">
        <f>(données_step[[#This Row],[X_BA_VOL]]*données_step[[#This Row],[X_BACONC]])/((données_step[[#This Row],[D_QTRAI2]]*données_step[[#This Row],[S_MES]]/1000)+(données_step[[#This Row],[X_BX_Q]]*données_step[[#This Row],[X_BXCONC]]))</f>
        <v>#VALUE!</v>
      </c>
      <c r="BF366" s="890" t="str">
        <f>IFERROR(données_step[[#This Row],[D_QTRAI]]/AY366*1000,"")</f>
        <v/>
      </c>
      <c r="BG366" s="535" t="str">
        <f>IFERROR(1-données_step[[#This Row],[S_DBO5]]/données_step[[#This Row],[E_DBO5]],"")</f>
        <v/>
      </c>
      <c r="BH366" s="536" t="str">
        <f>IFERROR(1-données_step[[#This Row],[S_DCO]]/données_step[[#This Row],[E_DCO]],"")</f>
        <v/>
      </c>
      <c r="BI366" s="535" t="str">
        <f>IFERROR(1-données_step[[#This Row],[S_COD]]/données_step[[#This Row],[E_COT]],"")</f>
        <v/>
      </c>
      <c r="BJ366" s="535" t="str">
        <f>IFERROR(1-données_step[[#This Row],[S_NH4]]/données_step[[#This Row],[E_NTOT]],"")</f>
        <v/>
      </c>
      <c r="BK366" s="535" t="str">
        <f>IFERROR(1-données_step[[#This Row],[S_PTOT]]/données_step[[#This Row],[E_PTOT]],"")</f>
        <v/>
      </c>
      <c r="BL366" s="521" t="str">
        <f>IFERROR(IF(données_step[[#This Row],[E_DCO]]/données_step[[#This Row],[E_DBO5]]=0,NA(),données_step[[#This Row],[E_DCO]]/données_step[[#This Row],[E_DBO5]]),"")</f>
        <v/>
      </c>
      <c r="BM366" s="521" t="str">
        <f>IFERROR(IF(données_step[[#This Row],[E_NH4]]/données_step[[#This Row],[E_NTOT]]=0,NA(),données_step[[#This Row],[E_NH4]]/données_step[[#This Row],[E_NTOT]]),"")</f>
        <v/>
      </c>
      <c r="BN366" s="521" t="str">
        <f>IFERROR(IF(données_step[[#This Row],[E_NTOT]]/données_step[[#This Row],[E_COT]]=0,NA(),données_step[[#This Row],[E_NTOT]]/données_step[[#This Row],[E_COT]]),"")</f>
        <v/>
      </c>
      <c r="BO366" s="521" t="str">
        <f>IFERROR(IF(données_step[[#This Row],[E_PTOT]]/données_step[[#This Row],[E_COT]]=0,NA(),données_step[[#This Row],[E_PTOT]]/données_step[[#This Row],[E_COT]]),"")</f>
        <v/>
      </c>
      <c r="BP366" s="521" t="e">
        <f>IF(données_step[[#This Row],[E_DCO]]/données_step[[#This Row],[E_COT]]=0,NA(),données_step[[#This Row],[E_DCO]]/données_step[[#This Row],[E_COT]])</f>
        <v>#DIV/0!</v>
      </c>
      <c r="BQ366" s="521" t="e">
        <f>IF(données_step[[#This Row],[E_NTOT]]/données_step[[#This Row],[E_DCO]]=0,NA(),données_step[[#This Row],[E_NTOT]]/données_step[[#This Row],[E_DCO]])</f>
        <v>#DIV/0!</v>
      </c>
      <c r="BR366" s="521" t="e">
        <f>IF(données_step[[#This Row],[E_PTOT]]/données_step[[#This Row],[E_DCO]]=0,NA(),données_step[[#This Row],[E_PTOT]]/données_step[[#This Row],[E_DCO]])</f>
        <v>#DIV/0!</v>
      </c>
      <c r="BS366" s="747" t="e">
        <f ca="1">test_NH4_temp(données_step[[#This Row],[S_NH4]],données_step[[#This Row],[Temp_eaux]])</f>
        <v>#NAME?</v>
      </c>
    </row>
    <row r="367" spans="1:71" x14ac:dyDescent="0.2">
      <c r="A367" s="222">
        <f>données_step[[#This Row],[Datum]]</f>
        <v>44918</v>
      </c>
      <c r="B367" s="223"/>
      <c r="C367" s="224">
        <f t="shared" si="94"/>
        <v>6</v>
      </c>
      <c r="D367" s="523" t="str">
        <f>IF(OR(données_step[[#This Row],[E_DBO5]]&lt;=0,données_step[[#This Row],[E_DBO5]]=""),"",données_step[[#This Row],[D_QTRAI]]*données_step[[#This Row],[E_DBO5]]/1000)</f>
        <v/>
      </c>
      <c r="E367" s="523" t="str">
        <f>IF(OR(données_step[[#This Row],[E_DCO]]&lt;=0,données_step[[#This Row],[E_DCO]]=""),"",données_step[[#This Row],[D_QTRAI]]*données_step[[#This Row],[E_DCO]]/1000)</f>
        <v/>
      </c>
      <c r="F367" s="523" t="str">
        <f>IF(OR(données_step[[#This Row],[E_COT]]&lt;=0,données_step[[#This Row],[E_COT]]=""),"",données_step[[#This Row],[D_QTRAI]]*données_step[[#This Row],[E_COT]]/1000)</f>
        <v/>
      </c>
      <c r="G367" s="523" t="str">
        <f>IF(OR(données_step[[#This Row],[E_NH4]]&lt;=0,données_step[[#This Row],[E_NH4]]=""),"",données_step[[#This Row],[D_QTRAI]]*données_step[[#This Row],[E_NH4]]/1000)</f>
        <v/>
      </c>
      <c r="H367" s="523" t="str">
        <f>IF(OR(données_step[[#This Row],[E_NTOT]]&lt;=0,données_step[[#This Row],[E_NTOT]]=""),"",données_step[[#This Row],[D_QTRAI]]*données_step[[#This Row],[E_NTOT]]/1000)</f>
        <v/>
      </c>
      <c r="I367" s="523" t="str">
        <f>IF(OR(données_step[[#This Row],[E_NTOT]]&lt;=0,données_step[[#This Row],[E_NTOT]]=""),"",données_step[[#This Row],[D_QTRAI]]*données_step[[#This Row],[E_PTOT]]/1000)</f>
        <v/>
      </c>
      <c r="J367" s="523" t="str">
        <f>IF(OR(données_step[[#This Row],[S_DBO5]]&lt;=0,données_step[[#This Row],[S_DBO5]]=""),"",données_step[[#This Row],[D_QTRAI]]*données_step[[#This Row],[S_DBO5]]/1000)</f>
        <v/>
      </c>
      <c r="K367" s="523" t="str">
        <f>IF(OR(données_step[[#This Row],[S_DCO]]&lt;=0,données_step[[#This Row],[S_DCO]]=""),"",données_step[[#This Row],[D_QTRAI]]*données_step[[#This Row],[S_DCO]]/1000)</f>
        <v/>
      </c>
      <c r="L367" s="523" t="str">
        <f>IF(OR(données_step[[#This Row],[S_COD]]&lt;=0,données_step[[#This Row],[S_COD]]=""),"",données_step[[#This Row],[D_QTRAI]]*données_step[[#This Row],[S_COD]]/1000)</f>
        <v/>
      </c>
      <c r="M367" s="523" t="str">
        <f>IF(OR(données_step[[#This Row],[S_NH4]]&lt;=0,données_step[[#This Row],[S_NH4]]=""),"",données_step[[#This Row],[D_QTRAI]]*données_step[[#This Row],[S_NH4]]/1000)</f>
        <v/>
      </c>
      <c r="N367" s="523" t="str">
        <f>IF(OR(données_step[[#This Row],[S_NO2]]&lt;=0,données_step[[#This Row],[S_NO2]]=""),"",données_step[[#This Row],[D_QTRAI]]*données_step[[#This Row],[S_NO2]]/1000)</f>
        <v/>
      </c>
      <c r="O367" s="523" t="str">
        <f>IF(OR(données_step[[#This Row],[S_NO3]]&lt;=0,données_step[[#This Row],[S_NO3]]=""),"",données_step[[#This Row],[D_QTRAI]]*données_step[[#This Row],[S_NO3]]/1000)</f>
        <v/>
      </c>
      <c r="P367" s="523" t="str">
        <f>IF(OR(données_step[[#This Row],[S_PTOT]]&lt;=0,données_step[[#This Row],[S_PTOT]]=""),"",données_step[[#This Row],[D_QTRAI]]*données_step[[#This Row],[S_PTOT]]/1000)</f>
        <v/>
      </c>
      <c r="Q367" s="523" t="str">
        <f>IF(OR(données_step[[#This Row],[S_MES]]&lt;=0,données_step[[#This Row],[S_MES]]=""),"",données_step[[#This Row],[D_QTRAI]]*données_step[[#This Row],[S_MES]]/1000)</f>
        <v/>
      </c>
      <c r="R367" s="523">
        <f>MAX(données_step[[#This Row],[D_QTRAI]],données_step[[#This Row],[D_QTRAI2]])</f>
        <v>0</v>
      </c>
      <c r="S367" s="523" t="str">
        <f>IF(AND($R367&gt;0,données_step[[#This Row],[E_DCO]]&gt;0),données_step[[#This Row],[E_DCO]],"")</f>
        <v/>
      </c>
      <c r="T367" s="523" t="str">
        <f>IF(S367="","",(1-données_step[[#This Row],[E_DCO]]/$V$7)*100)</f>
        <v/>
      </c>
      <c r="U367" s="523" t="str">
        <f t="shared" si="80"/>
        <v/>
      </c>
      <c r="V367" s="523" t="str">
        <f t="shared" si="81"/>
        <v/>
      </c>
      <c r="W367" s="523" t="str">
        <f t="shared" si="82"/>
        <v/>
      </c>
      <c r="X367" s="523" t="e">
        <f>IF(((100-100/$V$7*données_step[[#This Row],[E_DCO]])/100*QTS)&lt;0,NA(),IF(OR(U367&lt;0,U367=""),NA(),((100-100/$V$7*données_step[[#This Row],[E_DCO]])/100*QTS)))</f>
        <v>#NUM!</v>
      </c>
      <c r="Y367" s="523" t="str">
        <f>IF(AND($R367&gt;0,données_step[[#This Row],[E_COT]]&gt;0),données_step[[#This Row],[E_COT]],"")</f>
        <v/>
      </c>
      <c r="Z367" s="523" t="str">
        <f>IF(Y367="","",(1-données_step[[#This Row],[E_COT]]/$AB$7)*100)</f>
        <v/>
      </c>
      <c r="AA367" s="523" t="str">
        <f t="shared" si="83"/>
        <v/>
      </c>
      <c r="AB367" s="523" t="str">
        <f t="shared" si="84"/>
        <v/>
      </c>
      <c r="AC367" s="523" t="str">
        <f t="shared" si="85"/>
        <v/>
      </c>
      <c r="AD367" s="523" t="e">
        <f>IF(((100-100/$AB$7*données_step[[#This Row],[E_COT]])/100*QTS)&lt;0,NA(),IF(OR(AA367&lt;0,AA367=""),NA(),((100-100/$AB$7*données_step[[#This Row],[E_COT]])/100*QTS)))</f>
        <v>#NUM!</v>
      </c>
      <c r="AE367" s="523" t="str">
        <f>IF(AND($R367&gt;0,données_step[[#This Row],[E_NH4]]&gt;0),données_step[[#This Row],[E_NH4]],"")</f>
        <v/>
      </c>
      <c r="AF367" s="523" t="str">
        <f>IF(AE367="","",(1-données_step[[#This Row],[E_NH4]]/$AH$7)*100)</f>
        <v/>
      </c>
      <c r="AG367" s="523" t="str">
        <f t="shared" si="86"/>
        <v/>
      </c>
      <c r="AH367" s="523" t="str">
        <f t="shared" si="87"/>
        <v/>
      </c>
      <c r="AI367" s="523" t="str">
        <f t="shared" si="88"/>
        <v/>
      </c>
      <c r="AJ367" s="523" t="e">
        <f>IF(((100-100/$AH$7*données_step[[#This Row],[E_NH4]])/100*QTS)&lt;0,NA(),IF(OR(AG367&lt;0,AG367=""),NA(),((100-100/$AH$7*données_step[[#This Row],[E_NH4]])/100*QTS)))</f>
        <v>#NUM!</v>
      </c>
      <c r="AK367" s="523" t="str">
        <f>IF(AND($R367&gt;0,données_step[[#This Row],[E_PTOT]]&gt;0),données_step[[#This Row],[E_PTOT]],"")</f>
        <v/>
      </c>
      <c r="AL367" s="523" t="str">
        <f>IF(AK367="","",(1-données_step[[#This Row],[E_PTOT]]/$AN$7)*100)</f>
        <v/>
      </c>
      <c r="AM367" s="523" t="str">
        <f t="shared" si="89"/>
        <v/>
      </c>
      <c r="AN367" s="523" t="str">
        <f t="shared" si="90"/>
        <v/>
      </c>
      <c r="AO367" s="523" t="str">
        <f t="shared" si="91"/>
        <v/>
      </c>
      <c r="AP367" s="523" t="e">
        <f>IF(((100-100/$AN$7*données_step[[#This Row],[E_PTOT]])/100*QTS)&lt;0,NA(),IF(OR(AM367&lt;0,AM367=""),NA(),((100-100/$AN$7*données_step[[#This Row],[E_PTOT]])/100*QTS)))</f>
        <v>#NUM!</v>
      </c>
      <c r="AQ367" s="524" t="e">
        <f t="shared" si="92"/>
        <v>#NUM!</v>
      </c>
      <c r="AR367" s="524" t="str">
        <f t="shared" si="93"/>
        <v/>
      </c>
      <c r="AY367" s="523" t="str">
        <f>_xlfn.IFNA(IF(données_step[[#This Row],[E_DCO]]&lt;=0,NA(),charge_entree[[#This Row],[ch_E_DCO]]/constanten!$B$8*1000),"")</f>
        <v/>
      </c>
      <c r="AZ367" s="523" t="str">
        <f>_xlfn.IFNA(IF(données_step[[#This Row],[E_NTOT]]&lt;=0,NA(),charge_entree[[#This Row],[ch_E_NTOT]]/constanten!$B$10*1000),"")</f>
        <v/>
      </c>
      <c r="BA367" s="523" t="str">
        <f>_xlfn.IFNA(IF(données_step[[#This Row],[E_NH4]]&lt;=0,NA(),charge_entree[[#This Row],[ch_E_NH4]]/constanten!$B$12*1000),"")</f>
        <v/>
      </c>
      <c r="BB367" s="523" t="str">
        <f>_xlfn.IFNA(IF(données_step[[#This Row],[E_COT]]&lt;=0,NA(),charge_entree[[#This Row],[ch_E_COT]]/constanten!$B$9*1000),"")</f>
        <v/>
      </c>
      <c r="BC367" s="523" t="str">
        <f>IFERROR(_xlfn.IFNA(IF(données_step[[#This Row],[E_PTOT]]&lt;=0,NA(),charge_entree[[#This Row],[ch_E_PTOT]]/constanten!$B$15*1000),""),"")</f>
        <v/>
      </c>
      <c r="BD367" s="535" t="e">
        <f>calculs!E367 * (1-0.4) / (données_step[[#This Row],[X_BA_VOL]]*données_step[[#This Row],[X_BACONC]])</f>
        <v>#VALUE!</v>
      </c>
      <c r="BE367" s="522" t="e">
        <f>(données_step[[#This Row],[X_BA_VOL]]*données_step[[#This Row],[X_BACONC]])/((données_step[[#This Row],[D_QTRAI2]]*données_step[[#This Row],[S_MES]]/1000)+(données_step[[#This Row],[X_BX_Q]]*données_step[[#This Row],[X_BXCONC]]))</f>
        <v>#VALUE!</v>
      </c>
      <c r="BF367" s="890" t="str">
        <f>IFERROR(données_step[[#This Row],[D_QTRAI]]/AY367*1000,"")</f>
        <v/>
      </c>
      <c r="BG367" s="535" t="str">
        <f>IFERROR(1-données_step[[#This Row],[S_DBO5]]/données_step[[#This Row],[E_DBO5]],"")</f>
        <v/>
      </c>
      <c r="BH367" s="536" t="str">
        <f>IFERROR(1-données_step[[#This Row],[S_DCO]]/données_step[[#This Row],[E_DCO]],"")</f>
        <v/>
      </c>
      <c r="BI367" s="535" t="str">
        <f>IFERROR(1-données_step[[#This Row],[S_COD]]/données_step[[#This Row],[E_COT]],"")</f>
        <v/>
      </c>
      <c r="BJ367" s="535" t="str">
        <f>IFERROR(1-données_step[[#This Row],[S_NH4]]/données_step[[#This Row],[E_NTOT]],"")</f>
        <v/>
      </c>
      <c r="BK367" s="535" t="str">
        <f>IFERROR(1-données_step[[#This Row],[S_PTOT]]/données_step[[#This Row],[E_PTOT]],"")</f>
        <v/>
      </c>
      <c r="BL367" s="521" t="str">
        <f>IFERROR(IF(données_step[[#This Row],[E_DCO]]/données_step[[#This Row],[E_DBO5]]=0,NA(),données_step[[#This Row],[E_DCO]]/données_step[[#This Row],[E_DBO5]]),"")</f>
        <v/>
      </c>
      <c r="BM367" s="521" t="str">
        <f>IFERROR(IF(données_step[[#This Row],[E_NH4]]/données_step[[#This Row],[E_NTOT]]=0,NA(),données_step[[#This Row],[E_NH4]]/données_step[[#This Row],[E_NTOT]]),"")</f>
        <v/>
      </c>
      <c r="BN367" s="521" t="str">
        <f>IFERROR(IF(données_step[[#This Row],[E_NTOT]]/données_step[[#This Row],[E_COT]]=0,NA(),données_step[[#This Row],[E_NTOT]]/données_step[[#This Row],[E_COT]]),"")</f>
        <v/>
      </c>
      <c r="BO367" s="521" t="str">
        <f>IFERROR(IF(données_step[[#This Row],[E_PTOT]]/données_step[[#This Row],[E_COT]]=0,NA(),données_step[[#This Row],[E_PTOT]]/données_step[[#This Row],[E_COT]]),"")</f>
        <v/>
      </c>
      <c r="BP367" s="521" t="e">
        <f>IF(données_step[[#This Row],[E_DCO]]/données_step[[#This Row],[E_COT]]=0,NA(),données_step[[#This Row],[E_DCO]]/données_step[[#This Row],[E_COT]])</f>
        <v>#DIV/0!</v>
      </c>
      <c r="BQ367" s="521" t="e">
        <f>IF(données_step[[#This Row],[E_NTOT]]/données_step[[#This Row],[E_DCO]]=0,NA(),données_step[[#This Row],[E_NTOT]]/données_step[[#This Row],[E_DCO]])</f>
        <v>#DIV/0!</v>
      </c>
      <c r="BR367" s="521" t="e">
        <f>IF(données_step[[#This Row],[E_PTOT]]/données_step[[#This Row],[E_DCO]]=0,NA(),données_step[[#This Row],[E_PTOT]]/données_step[[#This Row],[E_DCO]])</f>
        <v>#DIV/0!</v>
      </c>
      <c r="BS367" s="747" t="e">
        <f ca="1">test_NH4_temp(données_step[[#This Row],[S_NH4]],données_step[[#This Row],[Temp_eaux]])</f>
        <v>#NAME?</v>
      </c>
    </row>
    <row r="368" spans="1:71" x14ac:dyDescent="0.2">
      <c r="A368" s="222">
        <f>données_step[[#This Row],[Datum]]</f>
        <v>44919</v>
      </c>
      <c r="B368" s="223"/>
      <c r="C368" s="224">
        <f t="shared" si="94"/>
        <v>7</v>
      </c>
      <c r="D368" s="523" t="str">
        <f>IF(OR(données_step[[#This Row],[E_DBO5]]&lt;=0,données_step[[#This Row],[E_DBO5]]=""),"",données_step[[#This Row],[D_QTRAI]]*données_step[[#This Row],[E_DBO5]]/1000)</f>
        <v/>
      </c>
      <c r="E368" s="523" t="str">
        <f>IF(OR(données_step[[#This Row],[E_DCO]]&lt;=0,données_step[[#This Row],[E_DCO]]=""),"",données_step[[#This Row],[D_QTRAI]]*données_step[[#This Row],[E_DCO]]/1000)</f>
        <v/>
      </c>
      <c r="F368" s="523" t="str">
        <f>IF(OR(données_step[[#This Row],[E_COT]]&lt;=0,données_step[[#This Row],[E_COT]]=""),"",données_step[[#This Row],[D_QTRAI]]*données_step[[#This Row],[E_COT]]/1000)</f>
        <v/>
      </c>
      <c r="G368" s="523" t="str">
        <f>IF(OR(données_step[[#This Row],[E_NH4]]&lt;=0,données_step[[#This Row],[E_NH4]]=""),"",données_step[[#This Row],[D_QTRAI]]*données_step[[#This Row],[E_NH4]]/1000)</f>
        <v/>
      </c>
      <c r="H368" s="523" t="str">
        <f>IF(OR(données_step[[#This Row],[E_NTOT]]&lt;=0,données_step[[#This Row],[E_NTOT]]=""),"",données_step[[#This Row],[D_QTRAI]]*données_step[[#This Row],[E_NTOT]]/1000)</f>
        <v/>
      </c>
      <c r="I368" s="523" t="str">
        <f>IF(OR(données_step[[#This Row],[E_NTOT]]&lt;=0,données_step[[#This Row],[E_NTOT]]=""),"",données_step[[#This Row],[D_QTRAI]]*données_step[[#This Row],[E_PTOT]]/1000)</f>
        <v/>
      </c>
      <c r="J368" s="523" t="str">
        <f>IF(OR(données_step[[#This Row],[S_DBO5]]&lt;=0,données_step[[#This Row],[S_DBO5]]=""),"",données_step[[#This Row],[D_QTRAI]]*données_step[[#This Row],[S_DBO5]]/1000)</f>
        <v/>
      </c>
      <c r="K368" s="523" t="str">
        <f>IF(OR(données_step[[#This Row],[S_DCO]]&lt;=0,données_step[[#This Row],[S_DCO]]=""),"",données_step[[#This Row],[D_QTRAI]]*données_step[[#This Row],[S_DCO]]/1000)</f>
        <v/>
      </c>
      <c r="L368" s="523" t="str">
        <f>IF(OR(données_step[[#This Row],[S_COD]]&lt;=0,données_step[[#This Row],[S_COD]]=""),"",données_step[[#This Row],[D_QTRAI]]*données_step[[#This Row],[S_COD]]/1000)</f>
        <v/>
      </c>
      <c r="M368" s="523" t="str">
        <f>IF(OR(données_step[[#This Row],[S_NH4]]&lt;=0,données_step[[#This Row],[S_NH4]]=""),"",données_step[[#This Row],[D_QTRAI]]*données_step[[#This Row],[S_NH4]]/1000)</f>
        <v/>
      </c>
      <c r="N368" s="523" t="str">
        <f>IF(OR(données_step[[#This Row],[S_NO2]]&lt;=0,données_step[[#This Row],[S_NO2]]=""),"",données_step[[#This Row],[D_QTRAI]]*données_step[[#This Row],[S_NO2]]/1000)</f>
        <v/>
      </c>
      <c r="O368" s="523" t="str">
        <f>IF(OR(données_step[[#This Row],[S_NO3]]&lt;=0,données_step[[#This Row],[S_NO3]]=""),"",données_step[[#This Row],[D_QTRAI]]*données_step[[#This Row],[S_NO3]]/1000)</f>
        <v/>
      </c>
      <c r="P368" s="523" t="str">
        <f>IF(OR(données_step[[#This Row],[S_PTOT]]&lt;=0,données_step[[#This Row],[S_PTOT]]=""),"",données_step[[#This Row],[D_QTRAI]]*données_step[[#This Row],[S_PTOT]]/1000)</f>
        <v/>
      </c>
      <c r="Q368" s="523" t="str">
        <f>IF(OR(données_step[[#This Row],[S_MES]]&lt;=0,données_step[[#This Row],[S_MES]]=""),"",données_step[[#This Row],[D_QTRAI]]*données_step[[#This Row],[S_MES]]/1000)</f>
        <v/>
      </c>
      <c r="R368" s="523">
        <f>MAX(données_step[[#This Row],[D_QTRAI]],données_step[[#This Row],[D_QTRAI2]])</f>
        <v>0</v>
      </c>
      <c r="S368" s="523" t="str">
        <f>IF(AND($R368&gt;0,données_step[[#This Row],[E_DCO]]&gt;0),données_step[[#This Row],[E_DCO]],"")</f>
        <v/>
      </c>
      <c r="T368" s="523" t="str">
        <f>IF(S368="","",(1-données_step[[#This Row],[E_DCO]]/$V$7)*100)</f>
        <v/>
      </c>
      <c r="U368" s="523" t="str">
        <f t="shared" si="80"/>
        <v/>
      </c>
      <c r="V368" s="523" t="str">
        <f t="shared" si="81"/>
        <v/>
      </c>
      <c r="W368" s="523" t="str">
        <f t="shared" si="82"/>
        <v/>
      </c>
      <c r="X368" s="523" t="e">
        <f>IF(((100-100/$V$7*données_step[[#This Row],[E_DCO]])/100*QTS)&lt;0,NA(),IF(OR(U368&lt;0,U368=""),NA(),((100-100/$V$7*données_step[[#This Row],[E_DCO]])/100*QTS)))</f>
        <v>#NUM!</v>
      </c>
      <c r="Y368" s="523" t="str">
        <f>IF(AND($R368&gt;0,données_step[[#This Row],[E_COT]]&gt;0),données_step[[#This Row],[E_COT]],"")</f>
        <v/>
      </c>
      <c r="Z368" s="523" t="str">
        <f>IF(Y368="","",(1-données_step[[#This Row],[E_COT]]/$AB$7)*100)</f>
        <v/>
      </c>
      <c r="AA368" s="523" t="str">
        <f t="shared" si="83"/>
        <v/>
      </c>
      <c r="AB368" s="523" t="str">
        <f t="shared" si="84"/>
        <v/>
      </c>
      <c r="AC368" s="523" t="str">
        <f t="shared" si="85"/>
        <v/>
      </c>
      <c r="AD368" s="523" t="e">
        <f>IF(((100-100/$AB$7*données_step[[#This Row],[E_COT]])/100*QTS)&lt;0,NA(),IF(OR(AA368&lt;0,AA368=""),NA(),((100-100/$AB$7*données_step[[#This Row],[E_COT]])/100*QTS)))</f>
        <v>#NUM!</v>
      </c>
      <c r="AE368" s="523" t="str">
        <f>IF(AND($R368&gt;0,données_step[[#This Row],[E_NH4]]&gt;0),données_step[[#This Row],[E_NH4]],"")</f>
        <v/>
      </c>
      <c r="AF368" s="523" t="str">
        <f>IF(AE368="","",(1-données_step[[#This Row],[E_NH4]]/$AH$7)*100)</f>
        <v/>
      </c>
      <c r="AG368" s="523" t="str">
        <f t="shared" si="86"/>
        <v/>
      </c>
      <c r="AH368" s="523" t="str">
        <f t="shared" si="87"/>
        <v/>
      </c>
      <c r="AI368" s="523" t="str">
        <f t="shared" si="88"/>
        <v/>
      </c>
      <c r="AJ368" s="523" t="e">
        <f>IF(((100-100/$AH$7*données_step[[#This Row],[E_NH4]])/100*QTS)&lt;0,NA(),IF(OR(AG368&lt;0,AG368=""),NA(),((100-100/$AH$7*données_step[[#This Row],[E_NH4]])/100*QTS)))</f>
        <v>#NUM!</v>
      </c>
      <c r="AK368" s="523" t="str">
        <f>IF(AND($R368&gt;0,données_step[[#This Row],[E_PTOT]]&gt;0),données_step[[#This Row],[E_PTOT]],"")</f>
        <v/>
      </c>
      <c r="AL368" s="523" t="str">
        <f>IF(AK368="","",(1-données_step[[#This Row],[E_PTOT]]/$AN$7)*100)</f>
        <v/>
      </c>
      <c r="AM368" s="523" t="str">
        <f t="shared" si="89"/>
        <v/>
      </c>
      <c r="AN368" s="523" t="str">
        <f t="shared" si="90"/>
        <v/>
      </c>
      <c r="AO368" s="523" t="str">
        <f t="shared" si="91"/>
        <v/>
      </c>
      <c r="AP368" s="523" t="e">
        <f>IF(((100-100/$AN$7*données_step[[#This Row],[E_PTOT]])/100*QTS)&lt;0,NA(),IF(OR(AM368&lt;0,AM368=""),NA(),((100-100/$AN$7*données_step[[#This Row],[E_PTOT]])/100*QTS)))</f>
        <v>#NUM!</v>
      </c>
      <c r="AQ368" s="524" t="e">
        <f t="shared" si="92"/>
        <v>#NUM!</v>
      </c>
      <c r="AR368" s="524" t="str">
        <f t="shared" si="93"/>
        <v/>
      </c>
      <c r="AY368" s="523" t="str">
        <f>_xlfn.IFNA(IF(données_step[[#This Row],[E_DCO]]&lt;=0,NA(),charge_entree[[#This Row],[ch_E_DCO]]/constanten!$B$8*1000),"")</f>
        <v/>
      </c>
      <c r="AZ368" s="523" t="str">
        <f>_xlfn.IFNA(IF(données_step[[#This Row],[E_NTOT]]&lt;=0,NA(),charge_entree[[#This Row],[ch_E_NTOT]]/constanten!$B$10*1000),"")</f>
        <v/>
      </c>
      <c r="BA368" s="523" t="str">
        <f>_xlfn.IFNA(IF(données_step[[#This Row],[E_NH4]]&lt;=0,NA(),charge_entree[[#This Row],[ch_E_NH4]]/constanten!$B$12*1000),"")</f>
        <v/>
      </c>
      <c r="BB368" s="523" t="str">
        <f>_xlfn.IFNA(IF(données_step[[#This Row],[E_COT]]&lt;=0,NA(),charge_entree[[#This Row],[ch_E_COT]]/constanten!$B$9*1000),"")</f>
        <v/>
      </c>
      <c r="BC368" s="523" t="str">
        <f>IFERROR(_xlfn.IFNA(IF(données_step[[#This Row],[E_PTOT]]&lt;=0,NA(),charge_entree[[#This Row],[ch_E_PTOT]]/constanten!$B$15*1000),""),"")</f>
        <v/>
      </c>
      <c r="BD368" s="535" t="e">
        <f>calculs!E368 * (1-0.4) / (données_step[[#This Row],[X_BA_VOL]]*données_step[[#This Row],[X_BACONC]])</f>
        <v>#VALUE!</v>
      </c>
      <c r="BE368" s="522" t="e">
        <f>(données_step[[#This Row],[X_BA_VOL]]*données_step[[#This Row],[X_BACONC]])/((données_step[[#This Row],[D_QTRAI2]]*données_step[[#This Row],[S_MES]]/1000)+(données_step[[#This Row],[X_BX_Q]]*données_step[[#This Row],[X_BXCONC]]))</f>
        <v>#VALUE!</v>
      </c>
      <c r="BF368" s="890" t="str">
        <f>IFERROR(données_step[[#This Row],[D_QTRAI]]/AY368*1000,"")</f>
        <v/>
      </c>
      <c r="BG368" s="535" t="str">
        <f>IFERROR(1-données_step[[#This Row],[S_DBO5]]/données_step[[#This Row],[E_DBO5]],"")</f>
        <v/>
      </c>
      <c r="BH368" s="536" t="str">
        <f>IFERROR(1-données_step[[#This Row],[S_DCO]]/données_step[[#This Row],[E_DCO]],"")</f>
        <v/>
      </c>
      <c r="BI368" s="535" t="str">
        <f>IFERROR(1-données_step[[#This Row],[S_COD]]/données_step[[#This Row],[E_COT]],"")</f>
        <v/>
      </c>
      <c r="BJ368" s="535" t="str">
        <f>IFERROR(1-données_step[[#This Row],[S_NH4]]/données_step[[#This Row],[E_NTOT]],"")</f>
        <v/>
      </c>
      <c r="BK368" s="535" t="str">
        <f>IFERROR(1-données_step[[#This Row],[S_PTOT]]/données_step[[#This Row],[E_PTOT]],"")</f>
        <v/>
      </c>
      <c r="BL368" s="521" t="str">
        <f>IFERROR(IF(données_step[[#This Row],[E_DCO]]/données_step[[#This Row],[E_DBO5]]=0,NA(),données_step[[#This Row],[E_DCO]]/données_step[[#This Row],[E_DBO5]]),"")</f>
        <v/>
      </c>
      <c r="BM368" s="521" t="str">
        <f>IFERROR(IF(données_step[[#This Row],[E_NH4]]/données_step[[#This Row],[E_NTOT]]=0,NA(),données_step[[#This Row],[E_NH4]]/données_step[[#This Row],[E_NTOT]]),"")</f>
        <v/>
      </c>
      <c r="BN368" s="521" t="str">
        <f>IFERROR(IF(données_step[[#This Row],[E_NTOT]]/données_step[[#This Row],[E_COT]]=0,NA(),données_step[[#This Row],[E_NTOT]]/données_step[[#This Row],[E_COT]]),"")</f>
        <v/>
      </c>
      <c r="BO368" s="521" t="str">
        <f>IFERROR(IF(données_step[[#This Row],[E_PTOT]]/données_step[[#This Row],[E_COT]]=0,NA(),données_step[[#This Row],[E_PTOT]]/données_step[[#This Row],[E_COT]]),"")</f>
        <v/>
      </c>
      <c r="BP368" s="521" t="e">
        <f>IF(données_step[[#This Row],[E_DCO]]/données_step[[#This Row],[E_COT]]=0,NA(),données_step[[#This Row],[E_DCO]]/données_step[[#This Row],[E_COT]])</f>
        <v>#DIV/0!</v>
      </c>
      <c r="BQ368" s="521" t="e">
        <f>IF(données_step[[#This Row],[E_NTOT]]/données_step[[#This Row],[E_DCO]]=0,NA(),données_step[[#This Row],[E_NTOT]]/données_step[[#This Row],[E_DCO]])</f>
        <v>#DIV/0!</v>
      </c>
      <c r="BR368" s="521" t="e">
        <f>IF(données_step[[#This Row],[E_PTOT]]/données_step[[#This Row],[E_DCO]]=0,NA(),données_step[[#This Row],[E_PTOT]]/données_step[[#This Row],[E_DCO]])</f>
        <v>#DIV/0!</v>
      </c>
      <c r="BS368" s="747" t="e">
        <f ca="1">test_NH4_temp(données_step[[#This Row],[S_NH4]],données_step[[#This Row],[Temp_eaux]])</f>
        <v>#NAME?</v>
      </c>
    </row>
    <row r="369" spans="1:71" x14ac:dyDescent="0.2">
      <c r="A369" s="222">
        <f>données_step[[#This Row],[Datum]]</f>
        <v>44920</v>
      </c>
      <c r="B369" s="223"/>
      <c r="C369" s="224">
        <f t="shared" si="94"/>
        <v>1</v>
      </c>
      <c r="D369" s="523" t="str">
        <f>IF(OR(données_step[[#This Row],[E_DBO5]]&lt;=0,données_step[[#This Row],[E_DBO5]]=""),"",données_step[[#This Row],[D_QTRAI]]*données_step[[#This Row],[E_DBO5]]/1000)</f>
        <v/>
      </c>
      <c r="E369" s="523" t="str">
        <f>IF(OR(données_step[[#This Row],[E_DCO]]&lt;=0,données_step[[#This Row],[E_DCO]]=""),"",données_step[[#This Row],[D_QTRAI]]*données_step[[#This Row],[E_DCO]]/1000)</f>
        <v/>
      </c>
      <c r="F369" s="523" t="str">
        <f>IF(OR(données_step[[#This Row],[E_COT]]&lt;=0,données_step[[#This Row],[E_COT]]=""),"",données_step[[#This Row],[D_QTRAI]]*données_step[[#This Row],[E_COT]]/1000)</f>
        <v/>
      </c>
      <c r="G369" s="523" t="str">
        <f>IF(OR(données_step[[#This Row],[E_NH4]]&lt;=0,données_step[[#This Row],[E_NH4]]=""),"",données_step[[#This Row],[D_QTRAI]]*données_step[[#This Row],[E_NH4]]/1000)</f>
        <v/>
      </c>
      <c r="H369" s="523" t="str">
        <f>IF(OR(données_step[[#This Row],[E_NTOT]]&lt;=0,données_step[[#This Row],[E_NTOT]]=""),"",données_step[[#This Row],[D_QTRAI]]*données_step[[#This Row],[E_NTOT]]/1000)</f>
        <v/>
      </c>
      <c r="I369" s="523" t="str">
        <f>IF(OR(données_step[[#This Row],[E_NTOT]]&lt;=0,données_step[[#This Row],[E_NTOT]]=""),"",données_step[[#This Row],[D_QTRAI]]*données_step[[#This Row],[E_PTOT]]/1000)</f>
        <v/>
      </c>
      <c r="J369" s="523" t="str">
        <f>IF(OR(données_step[[#This Row],[S_DBO5]]&lt;=0,données_step[[#This Row],[S_DBO5]]=""),"",données_step[[#This Row],[D_QTRAI]]*données_step[[#This Row],[S_DBO5]]/1000)</f>
        <v/>
      </c>
      <c r="K369" s="523" t="str">
        <f>IF(OR(données_step[[#This Row],[S_DCO]]&lt;=0,données_step[[#This Row],[S_DCO]]=""),"",données_step[[#This Row],[D_QTRAI]]*données_step[[#This Row],[S_DCO]]/1000)</f>
        <v/>
      </c>
      <c r="L369" s="523" t="str">
        <f>IF(OR(données_step[[#This Row],[S_COD]]&lt;=0,données_step[[#This Row],[S_COD]]=""),"",données_step[[#This Row],[D_QTRAI]]*données_step[[#This Row],[S_COD]]/1000)</f>
        <v/>
      </c>
      <c r="M369" s="523" t="str">
        <f>IF(OR(données_step[[#This Row],[S_NH4]]&lt;=0,données_step[[#This Row],[S_NH4]]=""),"",données_step[[#This Row],[D_QTRAI]]*données_step[[#This Row],[S_NH4]]/1000)</f>
        <v/>
      </c>
      <c r="N369" s="523" t="str">
        <f>IF(OR(données_step[[#This Row],[S_NO2]]&lt;=0,données_step[[#This Row],[S_NO2]]=""),"",données_step[[#This Row],[D_QTRAI]]*données_step[[#This Row],[S_NO2]]/1000)</f>
        <v/>
      </c>
      <c r="O369" s="523" t="str">
        <f>IF(OR(données_step[[#This Row],[S_NO3]]&lt;=0,données_step[[#This Row],[S_NO3]]=""),"",données_step[[#This Row],[D_QTRAI]]*données_step[[#This Row],[S_NO3]]/1000)</f>
        <v/>
      </c>
      <c r="P369" s="523" t="str">
        <f>IF(OR(données_step[[#This Row],[S_PTOT]]&lt;=0,données_step[[#This Row],[S_PTOT]]=""),"",données_step[[#This Row],[D_QTRAI]]*données_step[[#This Row],[S_PTOT]]/1000)</f>
        <v/>
      </c>
      <c r="Q369" s="523" t="str">
        <f>IF(OR(données_step[[#This Row],[S_MES]]&lt;=0,données_step[[#This Row],[S_MES]]=""),"",données_step[[#This Row],[D_QTRAI]]*données_step[[#This Row],[S_MES]]/1000)</f>
        <v/>
      </c>
      <c r="R369" s="523">
        <f>MAX(données_step[[#This Row],[D_QTRAI]],données_step[[#This Row],[D_QTRAI2]])</f>
        <v>0</v>
      </c>
      <c r="S369" s="523" t="str">
        <f>IF(AND($R369&gt;0,données_step[[#This Row],[E_DCO]]&gt;0),données_step[[#This Row],[E_DCO]],"")</f>
        <v/>
      </c>
      <c r="T369" s="523" t="str">
        <f>IF(S369="","",(1-données_step[[#This Row],[E_DCO]]/$V$7)*100)</f>
        <v/>
      </c>
      <c r="U369" s="523" t="str">
        <f t="shared" si="80"/>
        <v/>
      </c>
      <c r="V369" s="523" t="str">
        <f t="shared" si="81"/>
        <v/>
      </c>
      <c r="W369" s="523" t="str">
        <f t="shared" si="82"/>
        <v/>
      </c>
      <c r="X369" s="523" t="e">
        <f>IF(((100-100/$V$7*données_step[[#This Row],[E_DCO]])/100*QTS)&lt;0,NA(),IF(OR(U369&lt;0,U369=""),NA(),((100-100/$V$7*données_step[[#This Row],[E_DCO]])/100*QTS)))</f>
        <v>#NUM!</v>
      </c>
      <c r="Y369" s="523" t="str">
        <f>IF(AND($R369&gt;0,données_step[[#This Row],[E_COT]]&gt;0),données_step[[#This Row],[E_COT]],"")</f>
        <v/>
      </c>
      <c r="Z369" s="523" t="str">
        <f>IF(Y369="","",(1-données_step[[#This Row],[E_COT]]/$AB$7)*100)</f>
        <v/>
      </c>
      <c r="AA369" s="523" t="str">
        <f t="shared" si="83"/>
        <v/>
      </c>
      <c r="AB369" s="523" t="str">
        <f t="shared" si="84"/>
        <v/>
      </c>
      <c r="AC369" s="523" t="str">
        <f t="shared" si="85"/>
        <v/>
      </c>
      <c r="AD369" s="523" t="e">
        <f>IF(((100-100/$AB$7*données_step[[#This Row],[E_COT]])/100*QTS)&lt;0,NA(),IF(OR(AA369&lt;0,AA369=""),NA(),((100-100/$AB$7*données_step[[#This Row],[E_COT]])/100*QTS)))</f>
        <v>#NUM!</v>
      </c>
      <c r="AE369" s="523" t="str">
        <f>IF(AND($R369&gt;0,données_step[[#This Row],[E_NH4]]&gt;0),données_step[[#This Row],[E_NH4]],"")</f>
        <v/>
      </c>
      <c r="AF369" s="523" t="str">
        <f>IF(AE369="","",(1-données_step[[#This Row],[E_NH4]]/$AH$7)*100)</f>
        <v/>
      </c>
      <c r="AG369" s="523" t="str">
        <f t="shared" si="86"/>
        <v/>
      </c>
      <c r="AH369" s="523" t="str">
        <f t="shared" si="87"/>
        <v/>
      </c>
      <c r="AI369" s="523" t="str">
        <f t="shared" si="88"/>
        <v/>
      </c>
      <c r="AJ369" s="523" t="e">
        <f>IF(((100-100/$AH$7*données_step[[#This Row],[E_NH4]])/100*QTS)&lt;0,NA(),IF(OR(AG369&lt;0,AG369=""),NA(),((100-100/$AH$7*données_step[[#This Row],[E_NH4]])/100*QTS)))</f>
        <v>#NUM!</v>
      </c>
      <c r="AK369" s="523" t="str">
        <f>IF(AND($R369&gt;0,données_step[[#This Row],[E_PTOT]]&gt;0),données_step[[#This Row],[E_PTOT]],"")</f>
        <v/>
      </c>
      <c r="AL369" s="523" t="str">
        <f>IF(AK369="","",(1-données_step[[#This Row],[E_PTOT]]/$AN$7)*100)</f>
        <v/>
      </c>
      <c r="AM369" s="523" t="str">
        <f t="shared" si="89"/>
        <v/>
      </c>
      <c r="AN369" s="523" t="str">
        <f t="shared" si="90"/>
        <v/>
      </c>
      <c r="AO369" s="523" t="str">
        <f t="shared" si="91"/>
        <v/>
      </c>
      <c r="AP369" s="523" t="e">
        <f>IF(((100-100/$AN$7*données_step[[#This Row],[E_PTOT]])/100*QTS)&lt;0,NA(),IF(OR(AM369&lt;0,AM369=""),NA(),((100-100/$AN$7*données_step[[#This Row],[E_PTOT]])/100*QTS)))</f>
        <v>#NUM!</v>
      </c>
      <c r="AQ369" s="524" t="e">
        <f t="shared" si="92"/>
        <v>#NUM!</v>
      </c>
      <c r="AR369" s="524" t="str">
        <f t="shared" si="93"/>
        <v/>
      </c>
      <c r="AY369" s="523" t="str">
        <f>_xlfn.IFNA(IF(données_step[[#This Row],[E_DCO]]&lt;=0,NA(),charge_entree[[#This Row],[ch_E_DCO]]/constanten!$B$8*1000),"")</f>
        <v/>
      </c>
      <c r="AZ369" s="523" t="str">
        <f>_xlfn.IFNA(IF(données_step[[#This Row],[E_NTOT]]&lt;=0,NA(),charge_entree[[#This Row],[ch_E_NTOT]]/constanten!$B$10*1000),"")</f>
        <v/>
      </c>
      <c r="BA369" s="523" t="str">
        <f>_xlfn.IFNA(IF(données_step[[#This Row],[E_NH4]]&lt;=0,NA(),charge_entree[[#This Row],[ch_E_NH4]]/constanten!$B$12*1000),"")</f>
        <v/>
      </c>
      <c r="BB369" s="523" t="str">
        <f>_xlfn.IFNA(IF(données_step[[#This Row],[E_COT]]&lt;=0,NA(),charge_entree[[#This Row],[ch_E_COT]]/constanten!$B$9*1000),"")</f>
        <v/>
      </c>
      <c r="BC369" s="523" t="str">
        <f>IFERROR(_xlfn.IFNA(IF(données_step[[#This Row],[E_PTOT]]&lt;=0,NA(),charge_entree[[#This Row],[ch_E_PTOT]]/constanten!$B$15*1000),""),"")</f>
        <v/>
      </c>
      <c r="BD369" s="535" t="e">
        <f>calculs!E369 * (1-0.4) / (données_step[[#This Row],[X_BA_VOL]]*données_step[[#This Row],[X_BACONC]])</f>
        <v>#VALUE!</v>
      </c>
      <c r="BE369" s="522" t="e">
        <f>(données_step[[#This Row],[X_BA_VOL]]*données_step[[#This Row],[X_BACONC]])/((données_step[[#This Row],[D_QTRAI2]]*données_step[[#This Row],[S_MES]]/1000)+(données_step[[#This Row],[X_BX_Q]]*données_step[[#This Row],[X_BXCONC]]))</f>
        <v>#VALUE!</v>
      </c>
      <c r="BF369" s="890" t="str">
        <f>IFERROR(données_step[[#This Row],[D_QTRAI]]/AY369*1000,"")</f>
        <v/>
      </c>
      <c r="BG369" s="535" t="str">
        <f>IFERROR(1-données_step[[#This Row],[S_DBO5]]/données_step[[#This Row],[E_DBO5]],"")</f>
        <v/>
      </c>
      <c r="BH369" s="536" t="str">
        <f>IFERROR(1-données_step[[#This Row],[S_DCO]]/données_step[[#This Row],[E_DCO]],"")</f>
        <v/>
      </c>
      <c r="BI369" s="535" t="str">
        <f>IFERROR(1-données_step[[#This Row],[S_COD]]/données_step[[#This Row],[E_COT]],"")</f>
        <v/>
      </c>
      <c r="BJ369" s="535" t="str">
        <f>IFERROR(1-données_step[[#This Row],[S_NH4]]/données_step[[#This Row],[E_NTOT]],"")</f>
        <v/>
      </c>
      <c r="BK369" s="535" t="str">
        <f>IFERROR(1-données_step[[#This Row],[S_PTOT]]/données_step[[#This Row],[E_PTOT]],"")</f>
        <v/>
      </c>
      <c r="BL369" s="521" t="str">
        <f>IFERROR(IF(données_step[[#This Row],[E_DCO]]/données_step[[#This Row],[E_DBO5]]=0,NA(),données_step[[#This Row],[E_DCO]]/données_step[[#This Row],[E_DBO5]]),"")</f>
        <v/>
      </c>
      <c r="BM369" s="521" t="str">
        <f>IFERROR(IF(données_step[[#This Row],[E_NH4]]/données_step[[#This Row],[E_NTOT]]=0,NA(),données_step[[#This Row],[E_NH4]]/données_step[[#This Row],[E_NTOT]]),"")</f>
        <v/>
      </c>
      <c r="BN369" s="521" t="str">
        <f>IFERROR(IF(données_step[[#This Row],[E_NTOT]]/données_step[[#This Row],[E_COT]]=0,NA(),données_step[[#This Row],[E_NTOT]]/données_step[[#This Row],[E_COT]]),"")</f>
        <v/>
      </c>
      <c r="BO369" s="521" t="str">
        <f>IFERROR(IF(données_step[[#This Row],[E_PTOT]]/données_step[[#This Row],[E_COT]]=0,NA(),données_step[[#This Row],[E_PTOT]]/données_step[[#This Row],[E_COT]]),"")</f>
        <v/>
      </c>
      <c r="BP369" s="521" t="e">
        <f>IF(données_step[[#This Row],[E_DCO]]/données_step[[#This Row],[E_COT]]=0,NA(),données_step[[#This Row],[E_DCO]]/données_step[[#This Row],[E_COT]])</f>
        <v>#DIV/0!</v>
      </c>
      <c r="BQ369" s="521" t="e">
        <f>IF(données_step[[#This Row],[E_NTOT]]/données_step[[#This Row],[E_DCO]]=0,NA(),données_step[[#This Row],[E_NTOT]]/données_step[[#This Row],[E_DCO]])</f>
        <v>#DIV/0!</v>
      </c>
      <c r="BR369" s="521" t="e">
        <f>IF(données_step[[#This Row],[E_PTOT]]/données_step[[#This Row],[E_DCO]]=0,NA(),données_step[[#This Row],[E_PTOT]]/données_step[[#This Row],[E_DCO]])</f>
        <v>#DIV/0!</v>
      </c>
      <c r="BS369" s="747" t="e">
        <f ca="1">test_NH4_temp(données_step[[#This Row],[S_NH4]],données_step[[#This Row],[Temp_eaux]])</f>
        <v>#NAME?</v>
      </c>
    </row>
    <row r="370" spans="1:71" x14ac:dyDescent="0.2">
      <c r="A370" s="222">
        <f>données_step[[#This Row],[Datum]]</f>
        <v>44921</v>
      </c>
      <c r="B370" s="223"/>
      <c r="C370" s="224">
        <f t="shared" si="94"/>
        <v>2</v>
      </c>
      <c r="D370" s="523" t="str">
        <f>IF(OR(données_step[[#This Row],[E_DBO5]]&lt;=0,données_step[[#This Row],[E_DBO5]]=""),"",données_step[[#This Row],[D_QTRAI]]*données_step[[#This Row],[E_DBO5]]/1000)</f>
        <v/>
      </c>
      <c r="E370" s="523" t="str">
        <f>IF(OR(données_step[[#This Row],[E_DCO]]&lt;=0,données_step[[#This Row],[E_DCO]]=""),"",données_step[[#This Row],[D_QTRAI]]*données_step[[#This Row],[E_DCO]]/1000)</f>
        <v/>
      </c>
      <c r="F370" s="523" t="str">
        <f>IF(OR(données_step[[#This Row],[E_COT]]&lt;=0,données_step[[#This Row],[E_COT]]=""),"",données_step[[#This Row],[D_QTRAI]]*données_step[[#This Row],[E_COT]]/1000)</f>
        <v/>
      </c>
      <c r="G370" s="523" t="str">
        <f>IF(OR(données_step[[#This Row],[E_NH4]]&lt;=0,données_step[[#This Row],[E_NH4]]=""),"",données_step[[#This Row],[D_QTRAI]]*données_step[[#This Row],[E_NH4]]/1000)</f>
        <v/>
      </c>
      <c r="H370" s="523" t="str">
        <f>IF(OR(données_step[[#This Row],[E_NTOT]]&lt;=0,données_step[[#This Row],[E_NTOT]]=""),"",données_step[[#This Row],[D_QTRAI]]*données_step[[#This Row],[E_NTOT]]/1000)</f>
        <v/>
      </c>
      <c r="I370" s="523" t="str">
        <f>IF(OR(données_step[[#This Row],[E_NTOT]]&lt;=0,données_step[[#This Row],[E_NTOT]]=""),"",données_step[[#This Row],[D_QTRAI]]*données_step[[#This Row],[E_PTOT]]/1000)</f>
        <v/>
      </c>
      <c r="J370" s="523" t="str">
        <f>IF(OR(données_step[[#This Row],[S_DBO5]]&lt;=0,données_step[[#This Row],[S_DBO5]]=""),"",données_step[[#This Row],[D_QTRAI]]*données_step[[#This Row],[S_DBO5]]/1000)</f>
        <v/>
      </c>
      <c r="K370" s="523" t="str">
        <f>IF(OR(données_step[[#This Row],[S_DCO]]&lt;=0,données_step[[#This Row],[S_DCO]]=""),"",données_step[[#This Row],[D_QTRAI]]*données_step[[#This Row],[S_DCO]]/1000)</f>
        <v/>
      </c>
      <c r="L370" s="523" t="str">
        <f>IF(OR(données_step[[#This Row],[S_COD]]&lt;=0,données_step[[#This Row],[S_COD]]=""),"",données_step[[#This Row],[D_QTRAI]]*données_step[[#This Row],[S_COD]]/1000)</f>
        <v/>
      </c>
      <c r="M370" s="523" t="str">
        <f>IF(OR(données_step[[#This Row],[S_NH4]]&lt;=0,données_step[[#This Row],[S_NH4]]=""),"",données_step[[#This Row],[D_QTRAI]]*données_step[[#This Row],[S_NH4]]/1000)</f>
        <v/>
      </c>
      <c r="N370" s="523" t="str">
        <f>IF(OR(données_step[[#This Row],[S_NO2]]&lt;=0,données_step[[#This Row],[S_NO2]]=""),"",données_step[[#This Row],[D_QTRAI]]*données_step[[#This Row],[S_NO2]]/1000)</f>
        <v/>
      </c>
      <c r="O370" s="523" t="str">
        <f>IF(OR(données_step[[#This Row],[S_NO3]]&lt;=0,données_step[[#This Row],[S_NO3]]=""),"",données_step[[#This Row],[D_QTRAI]]*données_step[[#This Row],[S_NO3]]/1000)</f>
        <v/>
      </c>
      <c r="P370" s="523" t="str">
        <f>IF(OR(données_step[[#This Row],[S_PTOT]]&lt;=0,données_step[[#This Row],[S_PTOT]]=""),"",données_step[[#This Row],[D_QTRAI]]*données_step[[#This Row],[S_PTOT]]/1000)</f>
        <v/>
      </c>
      <c r="Q370" s="523" t="str">
        <f>IF(OR(données_step[[#This Row],[S_MES]]&lt;=0,données_step[[#This Row],[S_MES]]=""),"",données_step[[#This Row],[D_QTRAI]]*données_step[[#This Row],[S_MES]]/1000)</f>
        <v/>
      </c>
      <c r="R370" s="523">
        <f>MAX(données_step[[#This Row],[D_QTRAI]],données_step[[#This Row],[D_QTRAI2]])</f>
        <v>0</v>
      </c>
      <c r="S370" s="523" t="str">
        <f>IF(AND($R370&gt;0,données_step[[#This Row],[E_DCO]]&gt;0),données_step[[#This Row],[E_DCO]],"")</f>
        <v/>
      </c>
      <c r="T370" s="523" t="str">
        <f>IF(S370="","",(1-données_step[[#This Row],[E_DCO]]/$V$7)*100)</f>
        <v/>
      </c>
      <c r="U370" s="523" t="str">
        <f t="shared" si="80"/>
        <v/>
      </c>
      <c r="V370" s="523" t="str">
        <f t="shared" si="81"/>
        <v/>
      </c>
      <c r="W370" s="523" t="str">
        <f t="shared" si="82"/>
        <v/>
      </c>
      <c r="X370" s="523" t="e">
        <f>IF(((100-100/$V$7*données_step[[#This Row],[E_DCO]])/100*QTS)&lt;0,NA(),IF(OR(U370&lt;0,U370=""),NA(),((100-100/$V$7*données_step[[#This Row],[E_DCO]])/100*QTS)))</f>
        <v>#NUM!</v>
      </c>
      <c r="Y370" s="523" t="str">
        <f>IF(AND($R370&gt;0,données_step[[#This Row],[E_COT]]&gt;0),données_step[[#This Row],[E_COT]],"")</f>
        <v/>
      </c>
      <c r="Z370" s="523" t="str">
        <f>IF(Y370="","",(1-données_step[[#This Row],[E_COT]]/$AB$7)*100)</f>
        <v/>
      </c>
      <c r="AA370" s="523" t="str">
        <f t="shared" si="83"/>
        <v/>
      </c>
      <c r="AB370" s="523" t="str">
        <f t="shared" si="84"/>
        <v/>
      </c>
      <c r="AC370" s="523" t="str">
        <f t="shared" si="85"/>
        <v/>
      </c>
      <c r="AD370" s="523" t="e">
        <f>IF(((100-100/$AB$7*données_step[[#This Row],[E_COT]])/100*QTS)&lt;0,NA(),IF(OR(AA370&lt;0,AA370=""),NA(),((100-100/$AB$7*données_step[[#This Row],[E_COT]])/100*QTS)))</f>
        <v>#NUM!</v>
      </c>
      <c r="AE370" s="523" t="str">
        <f>IF(AND($R370&gt;0,données_step[[#This Row],[E_NH4]]&gt;0),données_step[[#This Row],[E_NH4]],"")</f>
        <v/>
      </c>
      <c r="AF370" s="523" t="str">
        <f>IF(AE370="","",(1-données_step[[#This Row],[E_NH4]]/$AH$7)*100)</f>
        <v/>
      </c>
      <c r="AG370" s="523" t="str">
        <f t="shared" si="86"/>
        <v/>
      </c>
      <c r="AH370" s="523" t="str">
        <f t="shared" si="87"/>
        <v/>
      </c>
      <c r="AI370" s="523" t="str">
        <f t="shared" si="88"/>
        <v/>
      </c>
      <c r="AJ370" s="523" t="e">
        <f>IF(((100-100/$AH$7*données_step[[#This Row],[E_NH4]])/100*QTS)&lt;0,NA(),IF(OR(AG370&lt;0,AG370=""),NA(),((100-100/$AH$7*données_step[[#This Row],[E_NH4]])/100*QTS)))</f>
        <v>#NUM!</v>
      </c>
      <c r="AK370" s="523" t="str">
        <f>IF(AND($R370&gt;0,données_step[[#This Row],[E_PTOT]]&gt;0),données_step[[#This Row],[E_PTOT]],"")</f>
        <v/>
      </c>
      <c r="AL370" s="523" t="str">
        <f>IF(AK370="","",(1-données_step[[#This Row],[E_PTOT]]/$AN$7)*100)</f>
        <v/>
      </c>
      <c r="AM370" s="523" t="str">
        <f t="shared" si="89"/>
        <v/>
      </c>
      <c r="AN370" s="523" t="str">
        <f t="shared" si="90"/>
        <v/>
      </c>
      <c r="AO370" s="523" t="str">
        <f t="shared" si="91"/>
        <v/>
      </c>
      <c r="AP370" s="523" t="e">
        <f>IF(((100-100/$AN$7*données_step[[#This Row],[E_PTOT]])/100*QTS)&lt;0,NA(),IF(OR(AM370&lt;0,AM370=""),NA(),((100-100/$AN$7*données_step[[#This Row],[E_PTOT]])/100*QTS)))</f>
        <v>#NUM!</v>
      </c>
      <c r="AQ370" s="524" t="e">
        <f t="shared" si="92"/>
        <v>#NUM!</v>
      </c>
      <c r="AR370" s="524" t="str">
        <f t="shared" si="93"/>
        <v/>
      </c>
      <c r="AY370" s="523" t="str">
        <f>_xlfn.IFNA(IF(données_step[[#This Row],[E_DCO]]&lt;=0,NA(),charge_entree[[#This Row],[ch_E_DCO]]/constanten!$B$8*1000),"")</f>
        <v/>
      </c>
      <c r="AZ370" s="523" t="str">
        <f>_xlfn.IFNA(IF(données_step[[#This Row],[E_NTOT]]&lt;=0,NA(),charge_entree[[#This Row],[ch_E_NTOT]]/constanten!$B$10*1000),"")</f>
        <v/>
      </c>
      <c r="BA370" s="523" t="str">
        <f>_xlfn.IFNA(IF(données_step[[#This Row],[E_NH4]]&lt;=0,NA(),charge_entree[[#This Row],[ch_E_NH4]]/constanten!$B$12*1000),"")</f>
        <v/>
      </c>
      <c r="BB370" s="523" t="str">
        <f>_xlfn.IFNA(IF(données_step[[#This Row],[E_COT]]&lt;=0,NA(),charge_entree[[#This Row],[ch_E_COT]]/constanten!$B$9*1000),"")</f>
        <v/>
      </c>
      <c r="BC370" s="523" t="str">
        <f>IFERROR(_xlfn.IFNA(IF(données_step[[#This Row],[E_PTOT]]&lt;=0,NA(),charge_entree[[#This Row],[ch_E_PTOT]]/constanten!$B$15*1000),""),"")</f>
        <v/>
      </c>
      <c r="BD370" s="535" t="e">
        <f>calculs!E370 * (1-0.4) / (données_step[[#This Row],[X_BA_VOL]]*données_step[[#This Row],[X_BACONC]])</f>
        <v>#VALUE!</v>
      </c>
      <c r="BE370" s="522" t="e">
        <f>(données_step[[#This Row],[X_BA_VOL]]*données_step[[#This Row],[X_BACONC]])/((données_step[[#This Row],[D_QTRAI2]]*données_step[[#This Row],[S_MES]]/1000)+(données_step[[#This Row],[X_BX_Q]]*données_step[[#This Row],[X_BXCONC]]))</f>
        <v>#VALUE!</v>
      </c>
      <c r="BF370" s="890" t="str">
        <f>IFERROR(données_step[[#This Row],[D_QTRAI]]/AY370*1000,"")</f>
        <v/>
      </c>
      <c r="BG370" s="535" t="str">
        <f>IFERROR(1-données_step[[#This Row],[S_DBO5]]/données_step[[#This Row],[E_DBO5]],"")</f>
        <v/>
      </c>
      <c r="BH370" s="536" t="str">
        <f>IFERROR(1-données_step[[#This Row],[S_DCO]]/données_step[[#This Row],[E_DCO]],"")</f>
        <v/>
      </c>
      <c r="BI370" s="535" t="str">
        <f>IFERROR(1-données_step[[#This Row],[S_COD]]/données_step[[#This Row],[E_COT]],"")</f>
        <v/>
      </c>
      <c r="BJ370" s="535" t="str">
        <f>IFERROR(1-données_step[[#This Row],[S_NH4]]/données_step[[#This Row],[E_NTOT]],"")</f>
        <v/>
      </c>
      <c r="BK370" s="535" t="str">
        <f>IFERROR(1-données_step[[#This Row],[S_PTOT]]/données_step[[#This Row],[E_PTOT]],"")</f>
        <v/>
      </c>
      <c r="BL370" s="521" t="str">
        <f>IFERROR(IF(données_step[[#This Row],[E_DCO]]/données_step[[#This Row],[E_DBO5]]=0,NA(),données_step[[#This Row],[E_DCO]]/données_step[[#This Row],[E_DBO5]]),"")</f>
        <v/>
      </c>
      <c r="BM370" s="521" t="str">
        <f>IFERROR(IF(données_step[[#This Row],[E_NH4]]/données_step[[#This Row],[E_NTOT]]=0,NA(),données_step[[#This Row],[E_NH4]]/données_step[[#This Row],[E_NTOT]]),"")</f>
        <v/>
      </c>
      <c r="BN370" s="521" t="str">
        <f>IFERROR(IF(données_step[[#This Row],[E_NTOT]]/données_step[[#This Row],[E_COT]]=0,NA(),données_step[[#This Row],[E_NTOT]]/données_step[[#This Row],[E_COT]]),"")</f>
        <v/>
      </c>
      <c r="BO370" s="521" t="str">
        <f>IFERROR(IF(données_step[[#This Row],[E_PTOT]]/données_step[[#This Row],[E_COT]]=0,NA(),données_step[[#This Row],[E_PTOT]]/données_step[[#This Row],[E_COT]]),"")</f>
        <v/>
      </c>
      <c r="BP370" s="521" t="e">
        <f>IF(données_step[[#This Row],[E_DCO]]/données_step[[#This Row],[E_COT]]=0,NA(),données_step[[#This Row],[E_DCO]]/données_step[[#This Row],[E_COT]])</f>
        <v>#DIV/0!</v>
      </c>
      <c r="BQ370" s="521" t="e">
        <f>IF(données_step[[#This Row],[E_NTOT]]/données_step[[#This Row],[E_DCO]]=0,NA(),données_step[[#This Row],[E_NTOT]]/données_step[[#This Row],[E_DCO]])</f>
        <v>#DIV/0!</v>
      </c>
      <c r="BR370" s="521" t="e">
        <f>IF(données_step[[#This Row],[E_PTOT]]/données_step[[#This Row],[E_DCO]]=0,NA(),données_step[[#This Row],[E_PTOT]]/données_step[[#This Row],[E_DCO]])</f>
        <v>#DIV/0!</v>
      </c>
      <c r="BS370" s="747" t="e">
        <f ca="1">test_NH4_temp(données_step[[#This Row],[S_NH4]],données_step[[#This Row],[Temp_eaux]])</f>
        <v>#NAME?</v>
      </c>
    </row>
    <row r="371" spans="1:71" x14ac:dyDescent="0.2">
      <c r="A371" s="222">
        <f>données_step[[#This Row],[Datum]]</f>
        <v>44922</v>
      </c>
      <c r="B371" s="223"/>
      <c r="C371" s="224">
        <f t="shared" si="94"/>
        <v>3</v>
      </c>
      <c r="D371" s="523" t="str">
        <f>IF(OR(données_step[[#This Row],[E_DBO5]]&lt;=0,données_step[[#This Row],[E_DBO5]]=""),"",données_step[[#This Row],[D_QTRAI]]*données_step[[#This Row],[E_DBO5]]/1000)</f>
        <v/>
      </c>
      <c r="E371" s="523" t="str">
        <f>IF(OR(données_step[[#This Row],[E_DCO]]&lt;=0,données_step[[#This Row],[E_DCO]]=""),"",données_step[[#This Row],[D_QTRAI]]*données_step[[#This Row],[E_DCO]]/1000)</f>
        <v/>
      </c>
      <c r="F371" s="523" t="str">
        <f>IF(OR(données_step[[#This Row],[E_COT]]&lt;=0,données_step[[#This Row],[E_COT]]=""),"",données_step[[#This Row],[D_QTRAI]]*données_step[[#This Row],[E_COT]]/1000)</f>
        <v/>
      </c>
      <c r="G371" s="523" t="str">
        <f>IF(OR(données_step[[#This Row],[E_NH4]]&lt;=0,données_step[[#This Row],[E_NH4]]=""),"",données_step[[#This Row],[D_QTRAI]]*données_step[[#This Row],[E_NH4]]/1000)</f>
        <v/>
      </c>
      <c r="H371" s="523" t="str">
        <f>IF(OR(données_step[[#This Row],[E_NTOT]]&lt;=0,données_step[[#This Row],[E_NTOT]]=""),"",données_step[[#This Row],[D_QTRAI]]*données_step[[#This Row],[E_NTOT]]/1000)</f>
        <v/>
      </c>
      <c r="I371" s="523" t="str">
        <f>IF(OR(données_step[[#This Row],[E_NTOT]]&lt;=0,données_step[[#This Row],[E_NTOT]]=""),"",données_step[[#This Row],[D_QTRAI]]*données_step[[#This Row],[E_PTOT]]/1000)</f>
        <v/>
      </c>
      <c r="J371" s="523" t="str">
        <f>IF(OR(données_step[[#This Row],[S_DBO5]]&lt;=0,données_step[[#This Row],[S_DBO5]]=""),"",données_step[[#This Row],[D_QTRAI]]*données_step[[#This Row],[S_DBO5]]/1000)</f>
        <v/>
      </c>
      <c r="K371" s="523" t="str">
        <f>IF(OR(données_step[[#This Row],[S_DCO]]&lt;=0,données_step[[#This Row],[S_DCO]]=""),"",données_step[[#This Row],[D_QTRAI]]*données_step[[#This Row],[S_DCO]]/1000)</f>
        <v/>
      </c>
      <c r="L371" s="523" t="str">
        <f>IF(OR(données_step[[#This Row],[S_COD]]&lt;=0,données_step[[#This Row],[S_COD]]=""),"",données_step[[#This Row],[D_QTRAI]]*données_step[[#This Row],[S_COD]]/1000)</f>
        <v/>
      </c>
      <c r="M371" s="523" t="str">
        <f>IF(OR(données_step[[#This Row],[S_NH4]]&lt;=0,données_step[[#This Row],[S_NH4]]=""),"",données_step[[#This Row],[D_QTRAI]]*données_step[[#This Row],[S_NH4]]/1000)</f>
        <v/>
      </c>
      <c r="N371" s="523" t="str">
        <f>IF(OR(données_step[[#This Row],[S_NO2]]&lt;=0,données_step[[#This Row],[S_NO2]]=""),"",données_step[[#This Row],[D_QTRAI]]*données_step[[#This Row],[S_NO2]]/1000)</f>
        <v/>
      </c>
      <c r="O371" s="523" t="str">
        <f>IF(OR(données_step[[#This Row],[S_NO3]]&lt;=0,données_step[[#This Row],[S_NO3]]=""),"",données_step[[#This Row],[D_QTRAI]]*données_step[[#This Row],[S_NO3]]/1000)</f>
        <v/>
      </c>
      <c r="P371" s="523" t="str">
        <f>IF(OR(données_step[[#This Row],[S_PTOT]]&lt;=0,données_step[[#This Row],[S_PTOT]]=""),"",données_step[[#This Row],[D_QTRAI]]*données_step[[#This Row],[S_PTOT]]/1000)</f>
        <v/>
      </c>
      <c r="Q371" s="523" t="str">
        <f>IF(OR(données_step[[#This Row],[S_MES]]&lt;=0,données_step[[#This Row],[S_MES]]=""),"",données_step[[#This Row],[D_QTRAI]]*données_step[[#This Row],[S_MES]]/1000)</f>
        <v/>
      </c>
      <c r="R371" s="523">
        <f>MAX(données_step[[#This Row],[D_QTRAI]],données_step[[#This Row],[D_QTRAI2]])</f>
        <v>0</v>
      </c>
      <c r="S371" s="523" t="str">
        <f>IF(AND($R371&gt;0,données_step[[#This Row],[E_DCO]]&gt;0),données_step[[#This Row],[E_DCO]],"")</f>
        <v/>
      </c>
      <c r="T371" s="523" t="str">
        <f>IF(S371="","",(1-données_step[[#This Row],[E_DCO]]/$V$7)*100)</f>
        <v/>
      </c>
      <c r="U371" s="523" t="str">
        <f t="shared" si="80"/>
        <v/>
      </c>
      <c r="V371" s="523" t="str">
        <f t="shared" si="81"/>
        <v/>
      </c>
      <c r="W371" s="523" t="str">
        <f t="shared" si="82"/>
        <v/>
      </c>
      <c r="X371" s="523" t="e">
        <f>IF(((100-100/$V$7*données_step[[#This Row],[E_DCO]])/100*QTS)&lt;0,NA(),IF(OR(U371&lt;0,U371=""),NA(),((100-100/$V$7*données_step[[#This Row],[E_DCO]])/100*QTS)))</f>
        <v>#NUM!</v>
      </c>
      <c r="Y371" s="523" t="str">
        <f>IF(AND($R371&gt;0,données_step[[#This Row],[E_COT]]&gt;0),données_step[[#This Row],[E_COT]],"")</f>
        <v/>
      </c>
      <c r="Z371" s="523" t="str">
        <f>IF(Y371="","",(1-données_step[[#This Row],[E_COT]]/$AB$7)*100)</f>
        <v/>
      </c>
      <c r="AA371" s="523" t="str">
        <f t="shared" si="83"/>
        <v/>
      </c>
      <c r="AB371" s="523" t="str">
        <f t="shared" si="84"/>
        <v/>
      </c>
      <c r="AC371" s="523" t="str">
        <f t="shared" si="85"/>
        <v/>
      </c>
      <c r="AD371" s="523" t="e">
        <f>IF(((100-100/$AB$7*données_step[[#This Row],[E_COT]])/100*QTS)&lt;0,NA(),IF(OR(AA371&lt;0,AA371=""),NA(),((100-100/$AB$7*données_step[[#This Row],[E_COT]])/100*QTS)))</f>
        <v>#NUM!</v>
      </c>
      <c r="AE371" s="523" t="str">
        <f>IF(AND($R371&gt;0,données_step[[#This Row],[E_NH4]]&gt;0),données_step[[#This Row],[E_NH4]],"")</f>
        <v/>
      </c>
      <c r="AF371" s="523" t="str">
        <f>IF(AE371="","",(1-données_step[[#This Row],[E_NH4]]/$AH$7)*100)</f>
        <v/>
      </c>
      <c r="AG371" s="523" t="str">
        <f t="shared" si="86"/>
        <v/>
      </c>
      <c r="AH371" s="523" t="str">
        <f t="shared" si="87"/>
        <v/>
      </c>
      <c r="AI371" s="523" t="str">
        <f t="shared" si="88"/>
        <v/>
      </c>
      <c r="AJ371" s="523" t="e">
        <f>IF(((100-100/$AH$7*données_step[[#This Row],[E_NH4]])/100*QTS)&lt;0,NA(),IF(OR(AG371&lt;0,AG371=""),NA(),((100-100/$AH$7*données_step[[#This Row],[E_NH4]])/100*QTS)))</f>
        <v>#NUM!</v>
      </c>
      <c r="AK371" s="523" t="str">
        <f>IF(AND($R371&gt;0,données_step[[#This Row],[E_PTOT]]&gt;0),données_step[[#This Row],[E_PTOT]],"")</f>
        <v/>
      </c>
      <c r="AL371" s="523" t="str">
        <f>IF(AK371="","",(1-données_step[[#This Row],[E_PTOT]]/$AN$7)*100)</f>
        <v/>
      </c>
      <c r="AM371" s="523" t="str">
        <f t="shared" si="89"/>
        <v/>
      </c>
      <c r="AN371" s="523" t="str">
        <f t="shared" si="90"/>
        <v/>
      </c>
      <c r="AO371" s="523" t="str">
        <f t="shared" si="91"/>
        <v/>
      </c>
      <c r="AP371" s="523" t="e">
        <f>IF(((100-100/$AN$7*données_step[[#This Row],[E_PTOT]])/100*QTS)&lt;0,NA(),IF(OR(AM371&lt;0,AM371=""),NA(),((100-100/$AN$7*données_step[[#This Row],[E_PTOT]])/100*QTS)))</f>
        <v>#NUM!</v>
      </c>
      <c r="AQ371" s="524" t="e">
        <f t="shared" si="92"/>
        <v>#NUM!</v>
      </c>
      <c r="AR371" s="524" t="str">
        <f t="shared" si="93"/>
        <v/>
      </c>
      <c r="AY371" s="523" t="str">
        <f>_xlfn.IFNA(IF(données_step[[#This Row],[E_DCO]]&lt;=0,NA(),charge_entree[[#This Row],[ch_E_DCO]]/constanten!$B$8*1000),"")</f>
        <v/>
      </c>
      <c r="AZ371" s="523" t="str">
        <f>_xlfn.IFNA(IF(données_step[[#This Row],[E_NTOT]]&lt;=0,NA(),charge_entree[[#This Row],[ch_E_NTOT]]/constanten!$B$10*1000),"")</f>
        <v/>
      </c>
      <c r="BA371" s="523" t="str">
        <f>_xlfn.IFNA(IF(données_step[[#This Row],[E_NH4]]&lt;=0,NA(),charge_entree[[#This Row],[ch_E_NH4]]/constanten!$B$12*1000),"")</f>
        <v/>
      </c>
      <c r="BB371" s="523" t="str">
        <f>_xlfn.IFNA(IF(données_step[[#This Row],[E_COT]]&lt;=0,NA(),charge_entree[[#This Row],[ch_E_COT]]/constanten!$B$9*1000),"")</f>
        <v/>
      </c>
      <c r="BC371" s="523" t="str">
        <f>IFERROR(_xlfn.IFNA(IF(données_step[[#This Row],[E_PTOT]]&lt;=0,NA(),charge_entree[[#This Row],[ch_E_PTOT]]/constanten!$B$15*1000),""),"")</f>
        <v/>
      </c>
      <c r="BD371" s="535" t="e">
        <f>calculs!E371 * (1-0.4) / (données_step[[#This Row],[X_BA_VOL]]*données_step[[#This Row],[X_BACONC]])</f>
        <v>#VALUE!</v>
      </c>
      <c r="BE371" s="522" t="e">
        <f>(données_step[[#This Row],[X_BA_VOL]]*données_step[[#This Row],[X_BACONC]])/((données_step[[#This Row],[D_QTRAI2]]*données_step[[#This Row],[S_MES]]/1000)+(données_step[[#This Row],[X_BX_Q]]*données_step[[#This Row],[X_BXCONC]]))</f>
        <v>#VALUE!</v>
      </c>
      <c r="BF371" s="890" t="str">
        <f>IFERROR(données_step[[#This Row],[D_QTRAI]]/AY371*1000,"")</f>
        <v/>
      </c>
      <c r="BG371" s="535" t="str">
        <f>IFERROR(1-données_step[[#This Row],[S_DBO5]]/données_step[[#This Row],[E_DBO5]],"")</f>
        <v/>
      </c>
      <c r="BH371" s="536" t="str">
        <f>IFERROR(1-données_step[[#This Row],[S_DCO]]/données_step[[#This Row],[E_DCO]],"")</f>
        <v/>
      </c>
      <c r="BI371" s="535" t="str">
        <f>IFERROR(1-données_step[[#This Row],[S_COD]]/données_step[[#This Row],[E_COT]],"")</f>
        <v/>
      </c>
      <c r="BJ371" s="535" t="str">
        <f>IFERROR(1-données_step[[#This Row],[S_NH4]]/données_step[[#This Row],[E_NTOT]],"")</f>
        <v/>
      </c>
      <c r="BK371" s="535" t="str">
        <f>IFERROR(1-données_step[[#This Row],[S_PTOT]]/données_step[[#This Row],[E_PTOT]],"")</f>
        <v/>
      </c>
      <c r="BL371" s="521" t="str">
        <f>IFERROR(IF(données_step[[#This Row],[E_DCO]]/données_step[[#This Row],[E_DBO5]]=0,NA(),données_step[[#This Row],[E_DCO]]/données_step[[#This Row],[E_DBO5]]),"")</f>
        <v/>
      </c>
      <c r="BM371" s="521" t="str">
        <f>IFERROR(IF(données_step[[#This Row],[E_NH4]]/données_step[[#This Row],[E_NTOT]]=0,NA(),données_step[[#This Row],[E_NH4]]/données_step[[#This Row],[E_NTOT]]),"")</f>
        <v/>
      </c>
      <c r="BN371" s="521" t="str">
        <f>IFERROR(IF(données_step[[#This Row],[E_NTOT]]/données_step[[#This Row],[E_COT]]=0,NA(),données_step[[#This Row],[E_NTOT]]/données_step[[#This Row],[E_COT]]),"")</f>
        <v/>
      </c>
      <c r="BO371" s="521" t="str">
        <f>IFERROR(IF(données_step[[#This Row],[E_PTOT]]/données_step[[#This Row],[E_COT]]=0,NA(),données_step[[#This Row],[E_PTOT]]/données_step[[#This Row],[E_COT]]),"")</f>
        <v/>
      </c>
      <c r="BP371" s="521" t="e">
        <f>IF(données_step[[#This Row],[E_DCO]]/données_step[[#This Row],[E_COT]]=0,NA(),données_step[[#This Row],[E_DCO]]/données_step[[#This Row],[E_COT]])</f>
        <v>#DIV/0!</v>
      </c>
      <c r="BQ371" s="521" t="e">
        <f>IF(données_step[[#This Row],[E_NTOT]]/données_step[[#This Row],[E_DCO]]=0,NA(),données_step[[#This Row],[E_NTOT]]/données_step[[#This Row],[E_DCO]])</f>
        <v>#DIV/0!</v>
      </c>
      <c r="BR371" s="521" t="e">
        <f>IF(données_step[[#This Row],[E_PTOT]]/données_step[[#This Row],[E_DCO]]=0,NA(),données_step[[#This Row],[E_PTOT]]/données_step[[#This Row],[E_DCO]])</f>
        <v>#DIV/0!</v>
      </c>
      <c r="BS371" s="747" t="e">
        <f ca="1">test_NH4_temp(données_step[[#This Row],[S_NH4]],données_step[[#This Row],[Temp_eaux]])</f>
        <v>#NAME?</v>
      </c>
    </row>
    <row r="372" spans="1:71" x14ac:dyDescent="0.2">
      <c r="A372" s="222">
        <f>données_step[[#This Row],[Datum]]</f>
        <v>44923</v>
      </c>
      <c r="B372" s="223"/>
      <c r="C372" s="224">
        <f t="shared" si="94"/>
        <v>4</v>
      </c>
      <c r="D372" s="523" t="str">
        <f>IF(OR(données_step[[#This Row],[E_DBO5]]&lt;=0,données_step[[#This Row],[E_DBO5]]=""),"",données_step[[#This Row],[D_QTRAI]]*données_step[[#This Row],[E_DBO5]]/1000)</f>
        <v/>
      </c>
      <c r="E372" s="523" t="str">
        <f>IF(OR(données_step[[#This Row],[E_DCO]]&lt;=0,données_step[[#This Row],[E_DCO]]=""),"",données_step[[#This Row],[D_QTRAI]]*données_step[[#This Row],[E_DCO]]/1000)</f>
        <v/>
      </c>
      <c r="F372" s="523" t="str">
        <f>IF(OR(données_step[[#This Row],[E_COT]]&lt;=0,données_step[[#This Row],[E_COT]]=""),"",données_step[[#This Row],[D_QTRAI]]*données_step[[#This Row],[E_COT]]/1000)</f>
        <v/>
      </c>
      <c r="G372" s="523" t="str">
        <f>IF(OR(données_step[[#This Row],[E_NH4]]&lt;=0,données_step[[#This Row],[E_NH4]]=""),"",données_step[[#This Row],[D_QTRAI]]*données_step[[#This Row],[E_NH4]]/1000)</f>
        <v/>
      </c>
      <c r="H372" s="523" t="str">
        <f>IF(OR(données_step[[#This Row],[E_NTOT]]&lt;=0,données_step[[#This Row],[E_NTOT]]=""),"",données_step[[#This Row],[D_QTRAI]]*données_step[[#This Row],[E_NTOT]]/1000)</f>
        <v/>
      </c>
      <c r="I372" s="523" t="str">
        <f>IF(OR(données_step[[#This Row],[E_NTOT]]&lt;=0,données_step[[#This Row],[E_NTOT]]=""),"",données_step[[#This Row],[D_QTRAI]]*données_step[[#This Row],[E_PTOT]]/1000)</f>
        <v/>
      </c>
      <c r="J372" s="523" t="str">
        <f>IF(OR(données_step[[#This Row],[S_DBO5]]&lt;=0,données_step[[#This Row],[S_DBO5]]=""),"",données_step[[#This Row],[D_QTRAI]]*données_step[[#This Row],[S_DBO5]]/1000)</f>
        <v/>
      </c>
      <c r="K372" s="523" t="str">
        <f>IF(OR(données_step[[#This Row],[S_DCO]]&lt;=0,données_step[[#This Row],[S_DCO]]=""),"",données_step[[#This Row],[D_QTRAI]]*données_step[[#This Row],[S_DCO]]/1000)</f>
        <v/>
      </c>
      <c r="L372" s="523" t="str">
        <f>IF(OR(données_step[[#This Row],[S_COD]]&lt;=0,données_step[[#This Row],[S_COD]]=""),"",données_step[[#This Row],[D_QTRAI]]*données_step[[#This Row],[S_COD]]/1000)</f>
        <v/>
      </c>
      <c r="M372" s="523" t="str">
        <f>IF(OR(données_step[[#This Row],[S_NH4]]&lt;=0,données_step[[#This Row],[S_NH4]]=""),"",données_step[[#This Row],[D_QTRAI]]*données_step[[#This Row],[S_NH4]]/1000)</f>
        <v/>
      </c>
      <c r="N372" s="523" t="str">
        <f>IF(OR(données_step[[#This Row],[S_NO2]]&lt;=0,données_step[[#This Row],[S_NO2]]=""),"",données_step[[#This Row],[D_QTRAI]]*données_step[[#This Row],[S_NO2]]/1000)</f>
        <v/>
      </c>
      <c r="O372" s="523" t="str">
        <f>IF(OR(données_step[[#This Row],[S_NO3]]&lt;=0,données_step[[#This Row],[S_NO3]]=""),"",données_step[[#This Row],[D_QTRAI]]*données_step[[#This Row],[S_NO3]]/1000)</f>
        <v/>
      </c>
      <c r="P372" s="523" t="str">
        <f>IF(OR(données_step[[#This Row],[S_PTOT]]&lt;=0,données_step[[#This Row],[S_PTOT]]=""),"",données_step[[#This Row],[D_QTRAI]]*données_step[[#This Row],[S_PTOT]]/1000)</f>
        <v/>
      </c>
      <c r="Q372" s="523" t="str">
        <f>IF(OR(données_step[[#This Row],[S_MES]]&lt;=0,données_step[[#This Row],[S_MES]]=""),"",données_step[[#This Row],[D_QTRAI]]*données_step[[#This Row],[S_MES]]/1000)</f>
        <v/>
      </c>
      <c r="R372" s="523">
        <f>MAX(données_step[[#This Row],[D_QTRAI]],données_step[[#This Row],[D_QTRAI2]])</f>
        <v>0</v>
      </c>
      <c r="S372" s="523" t="str">
        <f>IF(AND($R372&gt;0,données_step[[#This Row],[E_DCO]]&gt;0),données_step[[#This Row],[E_DCO]],"")</f>
        <v/>
      </c>
      <c r="T372" s="523" t="str">
        <f>IF(S372="","",(1-données_step[[#This Row],[E_DCO]]/$V$7)*100)</f>
        <v/>
      </c>
      <c r="U372" s="523" t="str">
        <f t="shared" si="80"/>
        <v/>
      </c>
      <c r="V372" s="523" t="str">
        <f t="shared" si="81"/>
        <v/>
      </c>
      <c r="W372" s="523" t="str">
        <f t="shared" si="82"/>
        <v/>
      </c>
      <c r="X372" s="523" t="e">
        <f>IF(((100-100/$V$7*données_step[[#This Row],[E_DCO]])/100*QTS)&lt;0,NA(),IF(OR(U372&lt;0,U372=""),NA(),((100-100/$V$7*données_step[[#This Row],[E_DCO]])/100*QTS)))</f>
        <v>#NUM!</v>
      </c>
      <c r="Y372" s="523" t="str">
        <f>IF(AND($R372&gt;0,données_step[[#This Row],[E_COT]]&gt;0),données_step[[#This Row],[E_COT]],"")</f>
        <v/>
      </c>
      <c r="Z372" s="523" t="str">
        <f>IF(Y372="","",(1-données_step[[#This Row],[E_COT]]/$AB$7)*100)</f>
        <v/>
      </c>
      <c r="AA372" s="523" t="str">
        <f t="shared" si="83"/>
        <v/>
      </c>
      <c r="AB372" s="523" t="str">
        <f t="shared" si="84"/>
        <v/>
      </c>
      <c r="AC372" s="523" t="str">
        <f t="shared" si="85"/>
        <v/>
      </c>
      <c r="AD372" s="523" t="e">
        <f>IF(((100-100/$AB$7*données_step[[#This Row],[E_COT]])/100*QTS)&lt;0,NA(),IF(OR(AA372&lt;0,AA372=""),NA(),((100-100/$AB$7*données_step[[#This Row],[E_COT]])/100*QTS)))</f>
        <v>#NUM!</v>
      </c>
      <c r="AE372" s="523" t="str">
        <f>IF(AND($R372&gt;0,données_step[[#This Row],[E_NH4]]&gt;0),données_step[[#This Row],[E_NH4]],"")</f>
        <v/>
      </c>
      <c r="AF372" s="523" t="str">
        <f>IF(AE372="","",(1-données_step[[#This Row],[E_NH4]]/$AH$7)*100)</f>
        <v/>
      </c>
      <c r="AG372" s="523" t="str">
        <f t="shared" si="86"/>
        <v/>
      </c>
      <c r="AH372" s="523" t="str">
        <f t="shared" si="87"/>
        <v/>
      </c>
      <c r="AI372" s="523" t="str">
        <f t="shared" si="88"/>
        <v/>
      </c>
      <c r="AJ372" s="523" t="e">
        <f>IF(((100-100/$AH$7*données_step[[#This Row],[E_NH4]])/100*QTS)&lt;0,NA(),IF(OR(AG372&lt;0,AG372=""),NA(),((100-100/$AH$7*données_step[[#This Row],[E_NH4]])/100*QTS)))</f>
        <v>#NUM!</v>
      </c>
      <c r="AK372" s="523" t="str">
        <f>IF(AND($R372&gt;0,données_step[[#This Row],[E_PTOT]]&gt;0),données_step[[#This Row],[E_PTOT]],"")</f>
        <v/>
      </c>
      <c r="AL372" s="523" t="str">
        <f>IF(AK372="","",(1-données_step[[#This Row],[E_PTOT]]/$AN$7)*100)</f>
        <v/>
      </c>
      <c r="AM372" s="523" t="str">
        <f t="shared" si="89"/>
        <v/>
      </c>
      <c r="AN372" s="523" t="str">
        <f t="shared" si="90"/>
        <v/>
      </c>
      <c r="AO372" s="523" t="str">
        <f t="shared" si="91"/>
        <v/>
      </c>
      <c r="AP372" s="523" t="e">
        <f>IF(((100-100/$AN$7*données_step[[#This Row],[E_PTOT]])/100*QTS)&lt;0,NA(),IF(OR(AM372&lt;0,AM372=""),NA(),((100-100/$AN$7*données_step[[#This Row],[E_PTOT]])/100*QTS)))</f>
        <v>#NUM!</v>
      </c>
      <c r="AQ372" s="524" t="e">
        <f t="shared" si="92"/>
        <v>#NUM!</v>
      </c>
      <c r="AR372" s="524" t="str">
        <f t="shared" si="93"/>
        <v/>
      </c>
      <c r="AY372" s="523" t="str">
        <f>_xlfn.IFNA(IF(données_step[[#This Row],[E_DCO]]&lt;=0,NA(),charge_entree[[#This Row],[ch_E_DCO]]/constanten!$B$8*1000),"")</f>
        <v/>
      </c>
      <c r="AZ372" s="523" t="str">
        <f>_xlfn.IFNA(IF(données_step[[#This Row],[E_NTOT]]&lt;=0,NA(),charge_entree[[#This Row],[ch_E_NTOT]]/constanten!$B$10*1000),"")</f>
        <v/>
      </c>
      <c r="BA372" s="523" t="str">
        <f>_xlfn.IFNA(IF(données_step[[#This Row],[E_NH4]]&lt;=0,NA(),charge_entree[[#This Row],[ch_E_NH4]]/constanten!$B$12*1000),"")</f>
        <v/>
      </c>
      <c r="BB372" s="523" t="str">
        <f>_xlfn.IFNA(IF(données_step[[#This Row],[E_COT]]&lt;=0,NA(),charge_entree[[#This Row],[ch_E_COT]]/constanten!$B$9*1000),"")</f>
        <v/>
      </c>
      <c r="BC372" s="523" t="str">
        <f>IFERROR(_xlfn.IFNA(IF(données_step[[#This Row],[E_PTOT]]&lt;=0,NA(),charge_entree[[#This Row],[ch_E_PTOT]]/constanten!$B$15*1000),""),"")</f>
        <v/>
      </c>
      <c r="BD372" s="535" t="e">
        <f>calculs!E372 * (1-0.4) / (données_step[[#This Row],[X_BA_VOL]]*données_step[[#This Row],[X_BACONC]])</f>
        <v>#VALUE!</v>
      </c>
      <c r="BE372" s="522" t="e">
        <f>(données_step[[#This Row],[X_BA_VOL]]*données_step[[#This Row],[X_BACONC]])/((données_step[[#This Row],[D_QTRAI2]]*données_step[[#This Row],[S_MES]]/1000)+(données_step[[#This Row],[X_BX_Q]]*données_step[[#This Row],[X_BXCONC]]))</f>
        <v>#VALUE!</v>
      </c>
      <c r="BF372" s="890" t="str">
        <f>IFERROR(données_step[[#This Row],[D_QTRAI]]/AY372*1000,"")</f>
        <v/>
      </c>
      <c r="BG372" s="535" t="str">
        <f>IFERROR(1-données_step[[#This Row],[S_DBO5]]/données_step[[#This Row],[E_DBO5]],"")</f>
        <v/>
      </c>
      <c r="BH372" s="536" t="str">
        <f>IFERROR(1-données_step[[#This Row],[S_DCO]]/données_step[[#This Row],[E_DCO]],"")</f>
        <v/>
      </c>
      <c r="BI372" s="535" t="str">
        <f>IFERROR(1-données_step[[#This Row],[S_COD]]/données_step[[#This Row],[E_COT]],"")</f>
        <v/>
      </c>
      <c r="BJ372" s="535" t="str">
        <f>IFERROR(1-données_step[[#This Row],[S_NH4]]/données_step[[#This Row],[E_NTOT]],"")</f>
        <v/>
      </c>
      <c r="BK372" s="535" t="str">
        <f>IFERROR(1-données_step[[#This Row],[S_PTOT]]/données_step[[#This Row],[E_PTOT]],"")</f>
        <v/>
      </c>
      <c r="BL372" s="521" t="str">
        <f>IFERROR(IF(données_step[[#This Row],[E_DCO]]/données_step[[#This Row],[E_DBO5]]=0,NA(),données_step[[#This Row],[E_DCO]]/données_step[[#This Row],[E_DBO5]]),"")</f>
        <v/>
      </c>
      <c r="BM372" s="521" t="str">
        <f>IFERROR(IF(données_step[[#This Row],[E_NH4]]/données_step[[#This Row],[E_NTOT]]=0,NA(),données_step[[#This Row],[E_NH4]]/données_step[[#This Row],[E_NTOT]]),"")</f>
        <v/>
      </c>
      <c r="BN372" s="521" t="str">
        <f>IFERROR(IF(données_step[[#This Row],[E_NTOT]]/données_step[[#This Row],[E_COT]]=0,NA(),données_step[[#This Row],[E_NTOT]]/données_step[[#This Row],[E_COT]]),"")</f>
        <v/>
      </c>
      <c r="BO372" s="521" t="str">
        <f>IFERROR(IF(données_step[[#This Row],[E_PTOT]]/données_step[[#This Row],[E_COT]]=0,NA(),données_step[[#This Row],[E_PTOT]]/données_step[[#This Row],[E_COT]]),"")</f>
        <v/>
      </c>
      <c r="BP372" s="521" t="e">
        <f>IF(données_step[[#This Row],[E_DCO]]/données_step[[#This Row],[E_COT]]=0,NA(),données_step[[#This Row],[E_DCO]]/données_step[[#This Row],[E_COT]])</f>
        <v>#DIV/0!</v>
      </c>
      <c r="BQ372" s="521" t="e">
        <f>IF(données_step[[#This Row],[E_NTOT]]/données_step[[#This Row],[E_DCO]]=0,NA(),données_step[[#This Row],[E_NTOT]]/données_step[[#This Row],[E_DCO]])</f>
        <v>#DIV/0!</v>
      </c>
      <c r="BR372" s="521" t="e">
        <f>IF(données_step[[#This Row],[E_PTOT]]/données_step[[#This Row],[E_DCO]]=0,NA(),données_step[[#This Row],[E_PTOT]]/données_step[[#This Row],[E_DCO]])</f>
        <v>#DIV/0!</v>
      </c>
      <c r="BS372" s="747" t="e">
        <f ca="1">test_NH4_temp(données_step[[#This Row],[S_NH4]],données_step[[#This Row],[Temp_eaux]])</f>
        <v>#NAME?</v>
      </c>
    </row>
    <row r="373" spans="1:71" x14ac:dyDescent="0.2">
      <c r="A373" s="222">
        <f>données_step[[#This Row],[Datum]]</f>
        <v>44924</v>
      </c>
      <c r="B373" s="223"/>
      <c r="C373" s="224">
        <f t="shared" si="94"/>
        <v>5</v>
      </c>
      <c r="D373" s="523" t="str">
        <f>IF(OR(données_step[[#This Row],[E_DBO5]]&lt;=0,données_step[[#This Row],[E_DBO5]]=""),"",données_step[[#This Row],[D_QTRAI]]*données_step[[#This Row],[E_DBO5]]/1000)</f>
        <v/>
      </c>
      <c r="E373" s="523" t="str">
        <f>IF(OR(données_step[[#This Row],[E_DCO]]&lt;=0,données_step[[#This Row],[E_DCO]]=""),"",données_step[[#This Row],[D_QTRAI]]*données_step[[#This Row],[E_DCO]]/1000)</f>
        <v/>
      </c>
      <c r="F373" s="523" t="str">
        <f>IF(OR(données_step[[#This Row],[E_COT]]&lt;=0,données_step[[#This Row],[E_COT]]=""),"",données_step[[#This Row],[D_QTRAI]]*données_step[[#This Row],[E_COT]]/1000)</f>
        <v/>
      </c>
      <c r="G373" s="523" t="str">
        <f>IF(OR(données_step[[#This Row],[E_NH4]]&lt;=0,données_step[[#This Row],[E_NH4]]=""),"",données_step[[#This Row],[D_QTRAI]]*données_step[[#This Row],[E_NH4]]/1000)</f>
        <v/>
      </c>
      <c r="H373" s="523" t="str">
        <f>IF(OR(données_step[[#This Row],[E_NTOT]]&lt;=0,données_step[[#This Row],[E_NTOT]]=""),"",données_step[[#This Row],[D_QTRAI]]*données_step[[#This Row],[E_NTOT]]/1000)</f>
        <v/>
      </c>
      <c r="I373" s="523" t="str">
        <f>IF(OR(données_step[[#This Row],[E_NTOT]]&lt;=0,données_step[[#This Row],[E_NTOT]]=""),"",données_step[[#This Row],[D_QTRAI]]*données_step[[#This Row],[E_PTOT]]/1000)</f>
        <v/>
      </c>
      <c r="J373" s="523" t="str">
        <f>IF(OR(données_step[[#This Row],[S_DBO5]]&lt;=0,données_step[[#This Row],[S_DBO5]]=""),"",données_step[[#This Row],[D_QTRAI]]*données_step[[#This Row],[S_DBO5]]/1000)</f>
        <v/>
      </c>
      <c r="K373" s="523" t="str">
        <f>IF(OR(données_step[[#This Row],[S_DCO]]&lt;=0,données_step[[#This Row],[S_DCO]]=""),"",données_step[[#This Row],[D_QTRAI]]*données_step[[#This Row],[S_DCO]]/1000)</f>
        <v/>
      </c>
      <c r="L373" s="523" t="str">
        <f>IF(OR(données_step[[#This Row],[S_COD]]&lt;=0,données_step[[#This Row],[S_COD]]=""),"",données_step[[#This Row],[D_QTRAI]]*données_step[[#This Row],[S_COD]]/1000)</f>
        <v/>
      </c>
      <c r="M373" s="523" t="str">
        <f>IF(OR(données_step[[#This Row],[S_NH4]]&lt;=0,données_step[[#This Row],[S_NH4]]=""),"",données_step[[#This Row],[D_QTRAI]]*données_step[[#This Row],[S_NH4]]/1000)</f>
        <v/>
      </c>
      <c r="N373" s="523" t="str">
        <f>IF(OR(données_step[[#This Row],[S_NO2]]&lt;=0,données_step[[#This Row],[S_NO2]]=""),"",données_step[[#This Row],[D_QTRAI]]*données_step[[#This Row],[S_NO2]]/1000)</f>
        <v/>
      </c>
      <c r="O373" s="523" t="str">
        <f>IF(OR(données_step[[#This Row],[S_NO3]]&lt;=0,données_step[[#This Row],[S_NO3]]=""),"",données_step[[#This Row],[D_QTRAI]]*données_step[[#This Row],[S_NO3]]/1000)</f>
        <v/>
      </c>
      <c r="P373" s="523" t="str">
        <f>IF(OR(données_step[[#This Row],[S_PTOT]]&lt;=0,données_step[[#This Row],[S_PTOT]]=""),"",données_step[[#This Row],[D_QTRAI]]*données_step[[#This Row],[S_PTOT]]/1000)</f>
        <v/>
      </c>
      <c r="Q373" s="523" t="str">
        <f>IF(OR(données_step[[#This Row],[S_MES]]&lt;=0,données_step[[#This Row],[S_MES]]=""),"",données_step[[#This Row],[D_QTRAI]]*données_step[[#This Row],[S_MES]]/1000)</f>
        <v/>
      </c>
      <c r="R373" s="523">
        <f>MAX(données_step[[#This Row],[D_QTRAI]],données_step[[#This Row],[D_QTRAI2]])</f>
        <v>0</v>
      </c>
      <c r="S373" s="523" t="str">
        <f>IF(AND($R373&gt;0,données_step[[#This Row],[E_DCO]]&gt;0),données_step[[#This Row],[E_DCO]],"")</f>
        <v/>
      </c>
      <c r="T373" s="523" t="str">
        <f>IF(S373="","",(1-données_step[[#This Row],[E_DCO]]/$V$7)*100)</f>
        <v/>
      </c>
      <c r="U373" s="523" t="str">
        <f t="shared" si="80"/>
        <v/>
      </c>
      <c r="V373" s="523" t="str">
        <f t="shared" si="81"/>
        <v/>
      </c>
      <c r="W373" s="523" t="str">
        <f t="shared" si="82"/>
        <v/>
      </c>
      <c r="X373" s="523" t="e">
        <f>IF(((100-100/$V$7*données_step[[#This Row],[E_DCO]])/100*QTS)&lt;0,NA(),IF(OR(U373&lt;0,U373=""),NA(),((100-100/$V$7*données_step[[#This Row],[E_DCO]])/100*QTS)))</f>
        <v>#NUM!</v>
      </c>
      <c r="Y373" s="523" t="str">
        <f>IF(AND($R373&gt;0,données_step[[#This Row],[E_COT]]&gt;0),données_step[[#This Row],[E_COT]],"")</f>
        <v/>
      </c>
      <c r="Z373" s="523" t="str">
        <f>IF(Y373="","",(1-données_step[[#This Row],[E_COT]]/$AB$7)*100)</f>
        <v/>
      </c>
      <c r="AA373" s="523" t="str">
        <f t="shared" si="83"/>
        <v/>
      </c>
      <c r="AB373" s="523" t="str">
        <f t="shared" si="84"/>
        <v/>
      </c>
      <c r="AC373" s="523" t="str">
        <f t="shared" si="85"/>
        <v/>
      </c>
      <c r="AD373" s="523" t="e">
        <f>IF(((100-100/$AB$7*données_step[[#This Row],[E_COT]])/100*QTS)&lt;0,NA(),IF(OR(AA373&lt;0,AA373=""),NA(),((100-100/$AB$7*données_step[[#This Row],[E_COT]])/100*QTS)))</f>
        <v>#NUM!</v>
      </c>
      <c r="AE373" s="523" t="str">
        <f>IF(AND($R373&gt;0,données_step[[#This Row],[E_NH4]]&gt;0),données_step[[#This Row],[E_NH4]],"")</f>
        <v/>
      </c>
      <c r="AF373" s="523" t="str">
        <f>IF(AE373="","",(1-données_step[[#This Row],[E_NH4]]/$AH$7)*100)</f>
        <v/>
      </c>
      <c r="AG373" s="523" t="str">
        <f t="shared" si="86"/>
        <v/>
      </c>
      <c r="AH373" s="523" t="str">
        <f t="shared" si="87"/>
        <v/>
      </c>
      <c r="AI373" s="523" t="str">
        <f t="shared" si="88"/>
        <v/>
      </c>
      <c r="AJ373" s="523" t="e">
        <f>IF(((100-100/$AH$7*données_step[[#This Row],[E_NH4]])/100*QTS)&lt;0,NA(),IF(OR(AG373&lt;0,AG373=""),NA(),((100-100/$AH$7*données_step[[#This Row],[E_NH4]])/100*QTS)))</f>
        <v>#NUM!</v>
      </c>
      <c r="AK373" s="523" t="str">
        <f>IF(AND($R373&gt;0,données_step[[#This Row],[E_PTOT]]&gt;0),données_step[[#This Row],[E_PTOT]],"")</f>
        <v/>
      </c>
      <c r="AL373" s="523" t="str">
        <f>IF(AK373="","",(1-données_step[[#This Row],[E_PTOT]]/$AN$7)*100)</f>
        <v/>
      </c>
      <c r="AM373" s="523" t="str">
        <f t="shared" si="89"/>
        <v/>
      </c>
      <c r="AN373" s="523" t="str">
        <f t="shared" si="90"/>
        <v/>
      </c>
      <c r="AO373" s="523" t="str">
        <f t="shared" si="91"/>
        <v/>
      </c>
      <c r="AP373" s="523" t="e">
        <f>IF(((100-100/$AN$7*données_step[[#This Row],[E_PTOT]])/100*QTS)&lt;0,NA(),IF(OR(AM373&lt;0,AM373=""),NA(),((100-100/$AN$7*données_step[[#This Row],[E_PTOT]])/100*QTS)))</f>
        <v>#NUM!</v>
      </c>
      <c r="AQ373" s="524" t="e">
        <f t="shared" si="92"/>
        <v>#NUM!</v>
      </c>
      <c r="AR373" s="524" t="str">
        <f t="shared" si="93"/>
        <v/>
      </c>
      <c r="AY373" s="523" t="str">
        <f>_xlfn.IFNA(IF(données_step[[#This Row],[E_DCO]]&lt;=0,NA(),charge_entree[[#This Row],[ch_E_DCO]]/constanten!$B$8*1000),"")</f>
        <v/>
      </c>
      <c r="AZ373" s="523" t="str">
        <f>_xlfn.IFNA(IF(données_step[[#This Row],[E_NTOT]]&lt;=0,NA(),charge_entree[[#This Row],[ch_E_NTOT]]/constanten!$B$10*1000),"")</f>
        <v/>
      </c>
      <c r="BA373" s="523" t="str">
        <f>_xlfn.IFNA(IF(données_step[[#This Row],[E_NH4]]&lt;=0,NA(),charge_entree[[#This Row],[ch_E_NH4]]/constanten!$B$12*1000),"")</f>
        <v/>
      </c>
      <c r="BB373" s="523" t="str">
        <f>_xlfn.IFNA(IF(données_step[[#This Row],[E_COT]]&lt;=0,NA(),charge_entree[[#This Row],[ch_E_COT]]/constanten!$B$9*1000),"")</f>
        <v/>
      </c>
      <c r="BC373" s="523" t="str">
        <f>IFERROR(_xlfn.IFNA(IF(données_step[[#This Row],[E_PTOT]]&lt;=0,NA(),charge_entree[[#This Row],[ch_E_PTOT]]/constanten!$B$15*1000),""),"")</f>
        <v/>
      </c>
      <c r="BD373" s="535" t="e">
        <f>calculs!E373 * (1-0.4) / (données_step[[#This Row],[X_BA_VOL]]*données_step[[#This Row],[X_BACONC]])</f>
        <v>#VALUE!</v>
      </c>
      <c r="BE373" s="522" t="e">
        <f>(données_step[[#This Row],[X_BA_VOL]]*données_step[[#This Row],[X_BACONC]])/((données_step[[#This Row],[D_QTRAI2]]*données_step[[#This Row],[S_MES]]/1000)+(données_step[[#This Row],[X_BX_Q]]*données_step[[#This Row],[X_BXCONC]]))</f>
        <v>#VALUE!</v>
      </c>
      <c r="BF373" s="890" t="str">
        <f>IFERROR(données_step[[#This Row],[D_QTRAI]]/AY373*1000,"")</f>
        <v/>
      </c>
      <c r="BG373" s="535" t="str">
        <f>IFERROR(1-données_step[[#This Row],[S_DBO5]]/données_step[[#This Row],[E_DBO5]],"")</f>
        <v/>
      </c>
      <c r="BH373" s="536" t="str">
        <f>IFERROR(1-données_step[[#This Row],[S_DCO]]/données_step[[#This Row],[E_DCO]],"")</f>
        <v/>
      </c>
      <c r="BI373" s="535" t="str">
        <f>IFERROR(1-données_step[[#This Row],[S_COD]]/données_step[[#This Row],[E_COT]],"")</f>
        <v/>
      </c>
      <c r="BJ373" s="535" t="str">
        <f>IFERROR(1-données_step[[#This Row],[S_NH4]]/données_step[[#This Row],[E_NTOT]],"")</f>
        <v/>
      </c>
      <c r="BK373" s="535" t="str">
        <f>IFERROR(1-données_step[[#This Row],[S_PTOT]]/données_step[[#This Row],[E_PTOT]],"")</f>
        <v/>
      </c>
      <c r="BL373" s="521" t="str">
        <f>IFERROR(IF(données_step[[#This Row],[E_DCO]]/données_step[[#This Row],[E_DBO5]]=0,NA(),données_step[[#This Row],[E_DCO]]/données_step[[#This Row],[E_DBO5]]),"")</f>
        <v/>
      </c>
      <c r="BM373" s="521" t="str">
        <f>IFERROR(IF(données_step[[#This Row],[E_NH4]]/données_step[[#This Row],[E_NTOT]]=0,NA(),données_step[[#This Row],[E_NH4]]/données_step[[#This Row],[E_NTOT]]),"")</f>
        <v/>
      </c>
      <c r="BN373" s="521" t="str">
        <f>IFERROR(IF(données_step[[#This Row],[E_NTOT]]/données_step[[#This Row],[E_COT]]=0,NA(),données_step[[#This Row],[E_NTOT]]/données_step[[#This Row],[E_COT]]),"")</f>
        <v/>
      </c>
      <c r="BO373" s="521" t="str">
        <f>IFERROR(IF(données_step[[#This Row],[E_PTOT]]/données_step[[#This Row],[E_COT]]=0,NA(),données_step[[#This Row],[E_PTOT]]/données_step[[#This Row],[E_COT]]),"")</f>
        <v/>
      </c>
      <c r="BP373" s="521" t="e">
        <f>IF(données_step[[#This Row],[E_DCO]]/données_step[[#This Row],[E_COT]]=0,NA(),données_step[[#This Row],[E_DCO]]/données_step[[#This Row],[E_COT]])</f>
        <v>#DIV/0!</v>
      </c>
      <c r="BQ373" s="521" t="e">
        <f>IF(données_step[[#This Row],[E_NTOT]]/données_step[[#This Row],[E_DCO]]=0,NA(),données_step[[#This Row],[E_NTOT]]/données_step[[#This Row],[E_DCO]])</f>
        <v>#DIV/0!</v>
      </c>
      <c r="BR373" s="521" t="e">
        <f>IF(données_step[[#This Row],[E_PTOT]]/données_step[[#This Row],[E_DCO]]=0,NA(),données_step[[#This Row],[E_PTOT]]/données_step[[#This Row],[E_DCO]])</f>
        <v>#DIV/0!</v>
      </c>
      <c r="BS373" s="747" t="e">
        <f ca="1">test_NH4_temp(données_step[[#This Row],[S_NH4]],données_step[[#This Row],[Temp_eaux]])</f>
        <v>#NAME?</v>
      </c>
    </row>
    <row r="374" spans="1:71" x14ac:dyDescent="0.2">
      <c r="A374" s="222">
        <f>données_step[[#This Row],[Datum]]</f>
        <v>44925</v>
      </c>
      <c r="B374" s="223"/>
      <c r="C374" s="224">
        <f t="shared" si="94"/>
        <v>6</v>
      </c>
      <c r="D374" s="523" t="str">
        <f>IF(OR(données_step[[#This Row],[E_DBO5]]&lt;=0,données_step[[#This Row],[E_DBO5]]=""),"",données_step[[#This Row],[D_QTRAI]]*données_step[[#This Row],[E_DBO5]]/1000)</f>
        <v/>
      </c>
      <c r="E374" s="523" t="str">
        <f>IF(OR(données_step[[#This Row],[E_DCO]]&lt;=0,données_step[[#This Row],[E_DCO]]=""),"",données_step[[#This Row],[D_QTRAI]]*données_step[[#This Row],[E_DCO]]/1000)</f>
        <v/>
      </c>
      <c r="F374" s="523" t="str">
        <f>IF(OR(données_step[[#This Row],[E_COT]]&lt;=0,données_step[[#This Row],[E_COT]]=""),"",données_step[[#This Row],[D_QTRAI]]*données_step[[#This Row],[E_COT]]/1000)</f>
        <v/>
      </c>
      <c r="G374" s="523" t="str">
        <f>IF(OR(données_step[[#This Row],[E_NH4]]&lt;=0,données_step[[#This Row],[E_NH4]]=""),"",données_step[[#This Row],[D_QTRAI]]*données_step[[#This Row],[E_NH4]]/1000)</f>
        <v/>
      </c>
      <c r="H374" s="523" t="str">
        <f>IF(OR(données_step[[#This Row],[E_NTOT]]&lt;=0,données_step[[#This Row],[E_NTOT]]=""),"",données_step[[#This Row],[D_QTRAI]]*données_step[[#This Row],[E_NTOT]]/1000)</f>
        <v/>
      </c>
      <c r="I374" s="523" t="str">
        <f>IF(OR(données_step[[#This Row],[E_NTOT]]&lt;=0,données_step[[#This Row],[E_NTOT]]=""),"",données_step[[#This Row],[D_QTRAI]]*données_step[[#This Row],[E_PTOT]]/1000)</f>
        <v/>
      </c>
      <c r="J374" s="523" t="str">
        <f>IF(OR(données_step[[#This Row],[S_DBO5]]&lt;=0,données_step[[#This Row],[S_DBO5]]=""),"",données_step[[#This Row],[D_QTRAI]]*données_step[[#This Row],[S_DBO5]]/1000)</f>
        <v/>
      </c>
      <c r="K374" s="523" t="str">
        <f>IF(OR(données_step[[#This Row],[S_DCO]]&lt;=0,données_step[[#This Row],[S_DCO]]=""),"",données_step[[#This Row],[D_QTRAI]]*données_step[[#This Row],[S_DCO]]/1000)</f>
        <v/>
      </c>
      <c r="L374" s="523" t="str">
        <f>IF(OR(données_step[[#This Row],[S_COD]]&lt;=0,données_step[[#This Row],[S_COD]]=""),"",données_step[[#This Row],[D_QTRAI]]*données_step[[#This Row],[S_COD]]/1000)</f>
        <v/>
      </c>
      <c r="M374" s="523" t="str">
        <f>IF(OR(données_step[[#This Row],[S_NH4]]&lt;=0,données_step[[#This Row],[S_NH4]]=""),"",données_step[[#This Row],[D_QTRAI]]*données_step[[#This Row],[S_NH4]]/1000)</f>
        <v/>
      </c>
      <c r="N374" s="523" t="str">
        <f>IF(OR(données_step[[#This Row],[S_NO2]]&lt;=0,données_step[[#This Row],[S_NO2]]=""),"",données_step[[#This Row],[D_QTRAI]]*données_step[[#This Row],[S_NO2]]/1000)</f>
        <v/>
      </c>
      <c r="O374" s="523" t="str">
        <f>IF(OR(données_step[[#This Row],[S_NO3]]&lt;=0,données_step[[#This Row],[S_NO3]]=""),"",données_step[[#This Row],[D_QTRAI]]*données_step[[#This Row],[S_NO3]]/1000)</f>
        <v/>
      </c>
      <c r="P374" s="523" t="str">
        <f>IF(OR(données_step[[#This Row],[S_PTOT]]&lt;=0,données_step[[#This Row],[S_PTOT]]=""),"",données_step[[#This Row],[D_QTRAI]]*données_step[[#This Row],[S_PTOT]]/1000)</f>
        <v/>
      </c>
      <c r="Q374" s="523" t="str">
        <f>IF(OR(données_step[[#This Row],[S_MES]]&lt;=0,données_step[[#This Row],[S_MES]]=""),"",données_step[[#This Row],[D_QTRAI]]*données_step[[#This Row],[S_MES]]/1000)</f>
        <v/>
      </c>
      <c r="R374" s="523">
        <f>MAX(données_step[[#This Row],[D_QTRAI]],données_step[[#This Row],[D_QTRAI2]])</f>
        <v>0</v>
      </c>
      <c r="S374" s="523" t="str">
        <f>IF(AND($R374&gt;0,données_step[[#This Row],[E_DCO]]&gt;0),données_step[[#This Row],[E_DCO]],"")</f>
        <v/>
      </c>
      <c r="T374" s="523" t="str">
        <f>IF(S374="","",(1-données_step[[#This Row],[E_DCO]]/$V$7)*100)</f>
        <v/>
      </c>
      <c r="U374" s="523" t="str">
        <f t="shared" si="80"/>
        <v/>
      </c>
      <c r="V374" s="523" t="str">
        <f t="shared" si="81"/>
        <v/>
      </c>
      <c r="W374" s="523" t="str">
        <f t="shared" si="82"/>
        <v/>
      </c>
      <c r="X374" s="523" t="e">
        <f>IF(((100-100/$V$7*données_step[[#This Row],[E_DCO]])/100*QTS)&lt;0,NA(),IF(OR(U374&lt;0,U374=""),NA(),((100-100/$V$7*données_step[[#This Row],[E_DCO]])/100*QTS)))</f>
        <v>#NUM!</v>
      </c>
      <c r="Y374" s="523" t="str">
        <f>IF(AND($R374&gt;0,données_step[[#This Row],[E_COT]]&gt;0),données_step[[#This Row],[E_COT]],"")</f>
        <v/>
      </c>
      <c r="Z374" s="523" t="str">
        <f>IF(Y374="","",(1-données_step[[#This Row],[E_COT]]/$AB$7)*100)</f>
        <v/>
      </c>
      <c r="AA374" s="523" t="str">
        <f t="shared" si="83"/>
        <v/>
      </c>
      <c r="AB374" s="523" t="str">
        <f t="shared" si="84"/>
        <v/>
      </c>
      <c r="AC374" s="523" t="str">
        <f t="shared" si="85"/>
        <v/>
      </c>
      <c r="AD374" s="523" t="e">
        <f>IF(((100-100/$AB$7*données_step[[#This Row],[E_COT]])/100*QTS)&lt;0,NA(),IF(OR(AA374&lt;0,AA374=""),NA(),((100-100/$AB$7*données_step[[#This Row],[E_COT]])/100*QTS)))</f>
        <v>#NUM!</v>
      </c>
      <c r="AE374" s="523" t="str">
        <f>IF(AND($R374&gt;0,données_step[[#This Row],[E_NH4]]&gt;0),données_step[[#This Row],[E_NH4]],"")</f>
        <v/>
      </c>
      <c r="AF374" s="523" t="str">
        <f>IF(AE374="","",(1-données_step[[#This Row],[E_NH4]]/$AH$7)*100)</f>
        <v/>
      </c>
      <c r="AG374" s="523" t="str">
        <f t="shared" si="86"/>
        <v/>
      </c>
      <c r="AH374" s="523" t="str">
        <f t="shared" si="87"/>
        <v/>
      </c>
      <c r="AI374" s="523" t="str">
        <f t="shared" si="88"/>
        <v/>
      </c>
      <c r="AJ374" s="523" t="e">
        <f>IF(((100-100/$AH$7*données_step[[#This Row],[E_NH4]])/100*QTS)&lt;0,NA(),IF(OR(AG374&lt;0,AG374=""),NA(),((100-100/$AH$7*données_step[[#This Row],[E_NH4]])/100*QTS)))</f>
        <v>#NUM!</v>
      </c>
      <c r="AK374" s="523" t="str">
        <f>IF(AND($R374&gt;0,données_step[[#This Row],[E_PTOT]]&gt;0),données_step[[#This Row],[E_PTOT]],"")</f>
        <v/>
      </c>
      <c r="AL374" s="523" t="str">
        <f>IF(AK374="","",(1-données_step[[#This Row],[E_PTOT]]/$AN$7)*100)</f>
        <v/>
      </c>
      <c r="AM374" s="523" t="str">
        <f t="shared" si="89"/>
        <v/>
      </c>
      <c r="AN374" s="523" t="str">
        <f t="shared" si="90"/>
        <v/>
      </c>
      <c r="AO374" s="523" t="str">
        <f t="shared" si="91"/>
        <v/>
      </c>
      <c r="AP374" s="523" t="e">
        <f>IF(((100-100/$AN$7*données_step[[#This Row],[E_PTOT]])/100*QTS)&lt;0,NA(),IF(OR(AM374&lt;0,AM374=""),NA(),((100-100/$AN$7*données_step[[#This Row],[E_PTOT]])/100*QTS)))</f>
        <v>#NUM!</v>
      </c>
      <c r="AQ374" s="524" t="e">
        <f t="shared" si="92"/>
        <v>#NUM!</v>
      </c>
      <c r="AR374" s="524" t="str">
        <f t="shared" si="93"/>
        <v/>
      </c>
      <c r="AY374" s="523" t="str">
        <f>_xlfn.IFNA(IF(données_step[[#This Row],[E_DCO]]&lt;=0,NA(),charge_entree[[#This Row],[ch_E_DCO]]/constanten!$B$8*1000),"")</f>
        <v/>
      </c>
      <c r="AZ374" s="523" t="str">
        <f>_xlfn.IFNA(IF(données_step[[#This Row],[E_NTOT]]&lt;=0,NA(),charge_entree[[#This Row],[ch_E_NTOT]]/constanten!$B$10*1000),"")</f>
        <v/>
      </c>
      <c r="BA374" s="523" t="str">
        <f>_xlfn.IFNA(IF(données_step[[#This Row],[E_NH4]]&lt;=0,NA(),charge_entree[[#This Row],[ch_E_NH4]]/constanten!$B$12*1000),"")</f>
        <v/>
      </c>
      <c r="BB374" s="523" t="str">
        <f>_xlfn.IFNA(IF(données_step[[#This Row],[E_COT]]&lt;=0,NA(),charge_entree[[#This Row],[ch_E_COT]]/constanten!$B$9*1000),"")</f>
        <v/>
      </c>
      <c r="BC374" s="523" t="str">
        <f>IFERROR(_xlfn.IFNA(IF(données_step[[#This Row],[E_PTOT]]&lt;=0,NA(),charge_entree[[#This Row],[ch_E_PTOT]]/constanten!$B$15*1000),""),"")</f>
        <v/>
      </c>
      <c r="BD374" s="535" t="e">
        <f>calculs!E374 * (1-0.4) / (données_step[[#This Row],[X_BA_VOL]]*données_step[[#This Row],[X_BACONC]])</f>
        <v>#VALUE!</v>
      </c>
      <c r="BE374" s="522" t="e">
        <f>(données_step[[#This Row],[X_BA_VOL]]*données_step[[#This Row],[X_BACONC]])/((données_step[[#This Row],[D_QTRAI2]]*données_step[[#This Row],[S_MES]]/1000)+(données_step[[#This Row],[X_BX_Q]]*données_step[[#This Row],[X_BXCONC]]))</f>
        <v>#VALUE!</v>
      </c>
      <c r="BF374" s="890" t="str">
        <f>IFERROR(données_step[[#This Row],[D_QTRAI]]/AY374*1000,"")</f>
        <v/>
      </c>
      <c r="BG374" s="535" t="str">
        <f>IFERROR(1-données_step[[#This Row],[S_DBO5]]/données_step[[#This Row],[E_DBO5]],"")</f>
        <v/>
      </c>
      <c r="BH374" s="536" t="str">
        <f>IFERROR(1-données_step[[#This Row],[S_DCO]]/données_step[[#This Row],[E_DCO]],"")</f>
        <v/>
      </c>
      <c r="BI374" s="535" t="str">
        <f>IFERROR(1-données_step[[#This Row],[S_COD]]/données_step[[#This Row],[E_COT]],"")</f>
        <v/>
      </c>
      <c r="BJ374" s="535" t="str">
        <f>IFERROR(1-données_step[[#This Row],[S_NH4]]/données_step[[#This Row],[E_NTOT]],"")</f>
        <v/>
      </c>
      <c r="BK374" s="535" t="str">
        <f>IFERROR(1-données_step[[#This Row],[S_PTOT]]/données_step[[#This Row],[E_PTOT]],"")</f>
        <v/>
      </c>
      <c r="BL374" s="521" t="str">
        <f>IFERROR(IF(données_step[[#This Row],[E_DCO]]/données_step[[#This Row],[E_DBO5]]=0,NA(),données_step[[#This Row],[E_DCO]]/données_step[[#This Row],[E_DBO5]]),"")</f>
        <v/>
      </c>
      <c r="BM374" s="521" t="str">
        <f>IFERROR(IF(données_step[[#This Row],[E_NH4]]/données_step[[#This Row],[E_NTOT]]=0,NA(),données_step[[#This Row],[E_NH4]]/données_step[[#This Row],[E_NTOT]]),"")</f>
        <v/>
      </c>
      <c r="BN374" s="521" t="str">
        <f>IFERROR(IF(données_step[[#This Row],[E_NTOT]]/données_step[[#This Row],[E_COT]]=0,NA(),données_step[[#This Row],[E_NTOT]]/données_step[[#This Row],[E_COT]]),"")</f>
        <v/>
      </c>
      <c r="BO374" s="521" t="str">
        <f>IFERROR(IF(données_step[[#This Row],[E_PTOT]]/données_step[[#This Row],[E_COT]]=0,NA(),données_step[[#This Row],[E_PTOT]]/données_step[[#This Row],[E_COT]]),"")</f>
        <v/>
      </c>
      <c r="BP374" s="521" t="e">
        <f>IF(données_step[[#This Row],[E_DCO]]/données_step[[#This Row],[E_COT]]=0,NA(),données_step[[#This Row],[E_DCO]]/données_step[[#This Row],[E_COT]])</f>
        <v>#DIV/0!</v>
      </c>
      <c r="BQ374" s="521" t="e">
        <f>IF(données_step[[#This Row],[E_NTOT]]/données_step[[#This Row],[E_DCO]]=0,NA(),données_step[[#This Row],[E_NTOT]]/données_step[[#This Row],[E_DCO]])</f>
        <v>#DIV/0!</v>
      </c>
      <c r="BR374" s="521" t="e">
        <f>IF(données_step[[#This Row],[E_PTOT]]/données_step[[#This Row],[E_DCO]]=0,NA(),données_step[[#This Row],[E_PTOT]]/données_step[[#This Row],[E_DCO]])</f>
        <v>#DIV/0!</v>
      </c>
      <c r="BS374" s="747" t="e">
        <f ca="1">test_NH4_temp(données_step[[#This Row],[S_NH4]],données_step[[#This Row],[Temp_eaux]])</f>
        <v>#NAME?</v>
      </c>
    </row>
    <row r="375" spans="1:71" x14ac:dyDescent="0.2">
      <c r="A375" s="222">
        <f>données_step[[#This Row],[Datum]]</f>
        <v>44926</v>
      </c>
      <c r="B375" s="223"/>
      <c r="C375" s="224">
        <f t="shared" si="94"/>
        <v>7</v>
      </c>
      <c r="D375" s="523" t="str">
        <f>IF(OR(données_step[[#This Row],[E_DBO5]]&lt;=0,données_step[[#This Row],[E_DBO5]]=""),"",données_step[[#This Row],[D_QTRAI]]*données_step[[#This Row],[E_DBO5]]/1000)</f>
        <v/>
      </c>
      <c r="E375" s="523" t="str">
        <f>IF(OR(données_step[[#This Row],[E_DCO]]&lt;=0,données_step[[#This Row],[E_DCO]]=""),"",données_step[[#This Row],[D_QTRAI]]*données_step[[#This Row],[E_DCO]]/1000)</f>
        <v/>
      </c>
      <c r="F375" s="523" t="str">
        <f>IF(OR(données_step[[#This Row],[E_COT]]&lt;=0,données_step[[#This Row],[E_COT]]=""),"",données_step[[#This Row],[D_QTRAI]]*données_step[[#This Row],[E_COT]]/1000)</f>
        <v/>
      </c>
      <c r="G375" s="523" t="str">
        <f>IF(OR(données_step[[#This Row],[E_NH4]]&lt;=0,données_step[[#This Row],[E_NH4]]=""),"",données_step[[#This Row],[D_QTRAI]]*données_step[[#This Row],[E_NH4]]/1000)</f>
        <v/>
      </c>
      <c r="H375" s="523" t="str">
        <f>IF(OR(données_step[[#This Row],[E_NTOT]]&lt;=0,données_step[[#This Row],[E_NTOT]]=""),"",données_step[[#This Row],[D_QTRAI]]*données_step[[#This Row],[E_NTOT]]/1000)</f>
        <v/>
      </c>
      <c r="I375" s="523" t="str">
        <f>IF(OR(données_step[[#This Row],[E_NTOT]]&lt;=0,données_step[[#This Row],[E_NTOT]]=""),"",données_step[[#This Row],[D_QTRAI]]*données_step[[#This Row],[E_PTOT]]/1000)</f>
        <v/>
      </c>
      <c r="J375" s="523" t="str">
        <f>IF(OR(données_step[[#This Row],[S_DBO5]]&lt;=0,données_step[[#This Row],[S_DBO5]]=""),"",données_step[[#This Row],[D_QTRAI]]*données_step[[#This Row],[S_DBO5]]/1000)</f>
        <v/>
      </c>
      <c r="K375" s="523" t="str">
        <f>IF(OR(données_step[[#This Row],[S_DCO]]&lt;=0,données_step[[#This Row],[S_DCO]]=""),"",données_step[[#This Row],[D_QTRAI]]*données_step[[#This Row],[S_DCO]]/1000)</f>
        <v/>
      </c>
      <c r="L375" s="523" t="str">
        <f>IF(OR(données_step[[#This Row],[S_COD]]&lt;=0,données_step[[#This Row],[S_COD]]=""),"",données_step[[#This Row],[D_QTRAI]]*données_step[[#This Row],[S_COD]]/1000)</f>
        <v/>
      </c>
      <c r="M375" s="523" t="str">
        <f>IF(OR(données_step[[#This Row],[S_NH4]]&lt;=0,données_step[[#This Row],[S_NH4]]=""),"",données_step[[#This Row],[D_QTRAI]]*données_step[[#This Row],[S_NH4]]/1000)</f>
        <v/>
      </c>
      <c r="N375" s="523" t="str">
        <f>IF(OR(données_step[[#This Row],[S_NO2]]&lt;=0,données_step[[#This Row],[S_NO2]]=""),"",données_step[[#This Row],[D_QTRAI]]*données_step[[#This Row],[S_NO2]]/1000)</f>
        <v/>
      </c>
      <c r="O375" s="523" t="str">
        <f>IF(OR(données_step[[#This Row],[S_NO3]]&lt;=0,données_step[[#This Row],[S_NO3]]=""),"",données_step[[#This Row],[D_QTRAI]]*données_step[[#This Row],[S_NO3]]/1000)</f>
        <v/>
      </c>
      <c r="P375" s="523" t="str">
        <f>IF(OR(données_step[[#This Row],[S_PTOT]]&lt;=0,données_step[[#This Row],[S_PTOT]]=""),"",données_step[[#This Row],[D_QTRAI]]*données_step[[#This Row],[S_PTOT]]/1000)</f>
        <v/>
      </c>
      <c r="Q375" s="523" t="str">
        <f>IF(OR(données_step[[#This Row],[S_MES]]&lt;=0,données_step[[#This Row],[S_MES]]=""),"",données_step[[#This Row],[D_QTRAI]]*données_step[[#This Row],[S_MES]]/1000)</f>
        <v/>
      </c>
      <c r="R375" s="523">
        <f>MAX(données_step[[#This Row],[D_QTRAI]],données_step[[#This Row],[D_QTRAI2]])</f>
        <v>0</v>
      </c>
      <c r="S375" s="523" t="str">
        <f>IF(AND($R375&gt;0,données_step[[#This Row],[E_DCO]]&gt;0),données_step[[#This Row],[E_DCO]],"")</f>
        <v/>
      </c>
      <c r="T375" s="523" t="str">
        <f>IF(S375="","",(1-données_step[[#This Row],[E_DCO]]/$V$7)*100)</f>
        <v/>
      </c>
      <c r="U375" s="523" t="str">
        <f t="shared" si="80"/>
        <v/>
      </c>
      <c r="V375" s="523" t="str">
        <f t="shared" si="81"/>
        <v/>
      </c>
      <c r="W375" s="523" t="str">
        <f t="shared" si="82"/>
        <v/>
      </c>
      <c r="X375" s="523" t="e">
        <f>IF(((100-100/$V$7*données_step[[#This Row],[E_DCO]])/100*QTS)&lt;0,NA(),IF(OR(U375&lt;0,U375=""),NA(),((100-100/$V$7*données_step[[#This Row],[E_DCO]])/100*QTS)))</f>
        <v>#NUM!</v>
      </c>
      <c r="Y375" s="523" t="str">
        <f>IF(AND($R375&gt;0,données_step[[#This Row],[E_COT]]&gt;0),données_step[[#This Row],[E_COT]],"")</f>
        <v/>
      </c>
      <c r="Z375" s="523" t="str">
        <f>IF(Y375="","",(1-données_step[[#This Row],[E_COT]]/$AB$7)*100)</f>
        <v/>
      </c>
      <c r="AA375" s="523" t="str">
        <f t="shared" si="83"/>
        <v/>
      </c>
      <c r="AB375" s="523" t="str">
        <f t="shared" si="84"/>
        <v/>
      </c>
      <c r="AC375" s="523" t="str">
        <f t="shared" si="85"/>
        <v/>
      </c>
      <c r="AD375" s="523" t="e">
        <f>IF(((100-100/$AB$7*données_step[[#This Row],[E_COT]])/100*QTS)&lt;0,NA(),IF(OR(AA375&lt;0,AA375=""),NA(),((100-100/$AB$7*données_step[[#This Row],[E_COT]])/100*QTS)))</f>
        <v>#NUM!</v>
      </c>
      <c r="AE375" s="523" t="str">
        <f>IF(AND($R375&gt;0,données_step[[#This Row],[E_NH4]]&gt;0),données_step[[#This Row],[E_NH4]],"")</f>
        <v/>
      </c>
      <c r="AF375" s="523" t="str">
        <f>IF(AE375="","",(1-données_step[[#This Row],[E_NH4]]/$AH$7)*100)</f>
        <v/>
      </c>
      <c r="AG375" s="523" t="str">
        <f t="shared" si="86"/>
        <v/>
      </c>
      <c r="AH375" s="523" t="str">
        <f t="shared" si="87"/>
        <v/>
      </c>
      <c r="AI375" s="523" t="str">
        <f t="shared" si="88"/>
        <v/>
      </c>
      <c r="AJ375" s="523" t="e">
        <f>IF(((100-100/$AH$7*données_step[[#This Row],[E_NH4]])/100*QTS)&lt;0,NA(),IF(OR(AG375&lt;0,AG375=""),NA(),((100-100/$AH$7*données_step[[#This Row],[E_NH4]])/100*QTS)))</f>
        <v>#NUM!</v>
      </c>
      <c r="AK375" s="523" t="str">
        <f>IF(AND($R375&gt;0,données_step[[#This Row],[E_PTOT]]&gt;0),données_step[[#This Row],[E_PTOT]],"")</f>
        <v/>
      </c>
      <c r="AL375" s="523" t="str">
        <f>IF(AK375="","",(1-données_step[[#This Row],[E_PTOT]]/$AN$7)*100)</f>
        <v/>
      </c>
      <c r="AM375" s="523" t="str">
        <f t="shared" si="89"/>
        <v/>
      </c>
      <c r="AN375" s="523" t="str">
        <f t="shared" si="90"/>
        <v/>
      </c>
      <c r="AO375" s="523" t="str">
        <f t="shared" si="91"/>
        <v/>
      </c>
      <c r="AP375" s="523" t="e">
        <f>IF(((100-100/$AN$7*données_step[[#This Row],[E_PTOT]])/100*QTS)&lt;0,NA(),IF(OR(AM375&lt;0,AM375=""),NA(),((100-100/$AN$7*données_step[[#This Row],[E_PTOT]])/100*QTS)))</f>
        <v>#NUM!</v>
      </c>
      <c r="AQ375" s="524" t="e">
        <f t="shared" si="92"/>
        <v>#NUM!</v>
      </c>
      <c r="AR375" s="524" t="str">
        <f t="shared" si="93"/>
        <v/>
      </c>
      <c r="AY375" s="523" t="str">
        <f>_xlfn.IFNA(IF(données_step[[#This Row],[E_DCO]]&lt;=0,NA(),charge_entree[[#This Row],[ch_E_DCO]]/constanten!$B$8*1000),"")</f>
        <v/>
      </c>
      <c r="AZ375" s="523" t="str">
        <f>_xlfn.IFNA(IF(données_step[[#This Row],[E_NTOT]]&lt;=0,NA(),charge_entree[[#This Row],[ch_E_NTOT]]/constanten!$B$10*1000),"")</f>
        <v/>
      </c>
      <c r="BA375" s="523" t="str">
        <f>_xlfn.IFNA(IF(données_step[[#This Row],[E_NH4]]&lt;=0,NA(),charge_entree[[#This Row],[ch_E_NH4]]/constanten!$B$12*1000),"")</f>
        <v/>
      </c>
      <c r="BB375" s="523" t="str">
        <f>_xlfn.IFNA(IF(données_step[[#This Row],[E_COT]]&lt;=0,NA(),charge_entree[[#This Row],[ch_E_COT]]/constanten!$B$9*1000),"")</f>
        <v/>
      </c>
      <c r="BC375" s="523" t="str">
        <f>IFERROR(_xlfn.IFNA(IF(données_step[[#This Row],[E_PTOT]]&lt;=0,NA(),charge_entree[[#This Row],[ch_E_PTOT]]/constanten!$B$15*1000),""),"")</f>
        <v/>
      </c>
      <c r="BD375" s="535" t="e">
        <f>calculs!E375 * (1-0.4) / (données_step[[#This Row],[X_BA_VOL]]*données_step[[#This Row],[X_BACONC]])</f>
        <v>#VALUE!</v>
      </c>
      <c r="BE375" s="522" t="e">
        <f>(données_step[[#This Row],[X_BA_VOL]]*données_step[[#This Row],[X_BACONC]])/((données_step[[#This Row],[D_QTRAI2]]*données_step[[#This Row],[S_MES]]/1000)+(données_step[[#This Row],[X_BX_Q]]*données_step[[#This Row],[X_BXCONC]]))</f>
        <v>#VALUE!</v>
      </c>
      <c r="BF375" s="890" t="str">
        <f>IFERROR(données_step[[#This Row],[D_QTRAI]]/AY375*1000,"")</f>
        <v/>
      </c>
      <c r="BG375" s="535" t="str">
        <f>IFERROR(1-données_step[[#This Row],[S_DBO5]]/données_step[[#This Row],[E_DBO5]],"")</f>
        <v/>
      </c>
      <c r="BH375" s="536" t="str">
        <f>IFERROR(1-données_step[[#This Row],[S_DCO]]/données_step[[#This Row],[E_DCO]],"")</f>
        <v/>
      </c>
      <c r="BI375" s="535" t="str">
        <f>IFERROR(1-données_step[[#This Row],[S_COD]]/données_step[[#This Row],[E_COT]],"")</f>
        <v/>
      </c>
      <c r="BJ375" s="535" t="str">
        <f>IFERROR(1-données_step[[#This Row],[S_NH4]]/données_step[[#This Row],[E_NTOT]],"")</f>
        <v/>
      </c>
      <c r="BK375" s="535" t="str">
        <f>IFERROR(1-données_step[[#This Row],[S_PTOT]]/données_step[[#This Row],[E_PTOT]],"")</f>
        <v/>
      </c>
      <c r="BL375" s="521" t="str">
        <f>IFERROR(IF(données_step[[#This Row],[E_DCO]]/données_step[[#This Row],[E_DBO5]]=0,NA(),données_step[[#This Row],[E_DCO]]/données_step[[#This Row],[E_DBO5]]),"")</f>
        <v/>
      </c>
      <c r="BM375" s="521" t="str">
        <f>IFERROR(IF(données_step[[#This Row],[E_NH4]]/données_step[[#This Row],[E_NTOT]]=0,NA(),données_step[[#This Row],[E_NH4]]/données_step[[#This Row],[E_NTOT]]),"")</f>
        <v/>
      </c>
      <c r="BN375" s="521" t="str">
        <f>IFERROR(IF(données_step[[#This Row],[E_NTOT]]/données_step[[#This Row],[E_COT]]=0,NA(),données_step[[#This Row],[E_NTOT]]/données_step[[#This Row],[E_COT]]),"")</f>
        <v/>
      </c>
      <c r="BO375" s="521" t="str">
        <f>IFERROR(IF(données_step[[#This Row],[E_PTOT]]/données_step[[#This Row],[E_COT]]=0,NA(),données_step[[#This Row],[E_PTOT]]/données_step[[#This Row],[E_COT]]),"")</f>
        <v/>
      </c>
      <c r="BP375" s="521" t="e">
        <f>IF(données_step[[#This Row],[E_DCO]]/données_step[[#This Row],[E_COT]]=0,NA(),données_step[[#This Row],[E_DCO]]/données_step[[#This Row],[E_COT]])</f>
        <v>#DIV/0!</v>
      </c>
      <c r="BQ375" s="521" t="e">
        <f>IF(données_step[[#This Row],[E_NTOT]]/données_step[[#This Row],[E_DCO]]=0,NA(),données_step[[#This Row],[E_NTOT]]/données_step[[#This Row],[E_DCO]])</f>
        <v>#DIV/0!</v>
      </c>
      <c r="BR375" s="521" t="e">
        <f>IF(données_step[[#This Row],[E_PTOT]]/données_step[[#This Row],[E_DCO]]=0,NA(),données_step[[#This Row],[E_PTOT]]/données_step[[#This Row],[E_DCO]])</f>
        <v>#DIV/0!</v>
      </c>
      <c r="BS375" s="747" t="e">
        <f ca="1">test_NH4_temp(données_step[[#This Row],[S_NH4]],données_step[[#This Row],[Temp_eaux]])</f>
        <v>#NAME?</v>
      </c>
    </row>
    <row r="376" spans="1:71" x14ac:dyDescent="0.2">
      <c r="A376" s="222">
        <f>données_step[[#This Row],[Datum]]</f>
        <v>0</v>
      </c>
      <c r="B376" s="223"/>
      <c r="C376" s="224">
        <f>WEEKDAY(A376)</f>
        <v>7</v>
      </c>
      <c r="D376" s="523" t="str">
        <f>IF(OR(données_step[[#This Row],[E_DBO5]]&lt;=0,données_step[[#This Row],[E_DBO5]]=""),"",données_step[[#This Row],[D_QTRAI]]*données_step[[#This Row],[E_DBO5]]/1000)</f>
        <v/>
      </c>
      <c r="E376" s="523" t="str">
        <f>IF(OR(données_step[[#This Row],[E_DCO]]&lt;=0,données_step[[#This Row],[E_DCO]]=""),"",données_step[[#This Row],[D_QTRAI]]*données_step[[#This Row],[E_DCO]]/1000)</f>
        <v/>
      </c>
      <c r="F376" s="523" t="str">
        <f>IF(OR(données_step[[#This Row],[E_COT]]&lt;=0,données_step[[#This Row],[E_COT]]=""),"",données_step[[#This Row],[D_QTRAI]]*données_step[[#This Row],[E_COT]]/1000)</f>
        <v/>
      </c>
      <c r="G376" s="523" t="str">
        <f>IF(OR(données_step[[#This Row],[E_NH4]]&lt;=0,données_step[[#This Row],[E_NH4]]=""),"",données_step[[#This Row],[D_QTRAI]]*données_step[[#This Row],[E_NH4]]/1000)</f>
        <v/>
      </c>
      <c r="H376" s="523" t="str">
        <f>IF(OR(données_step[[#This Row],[E_NTOT]]&lt;=0,données_step[[#This Row],[E_NTOT]]=""),"",données_step[[#This Row],[D_QTRAI]]*données_step[[#This Row],[E_NTOT]]/1000)</f>
        <v/>
      </c>
      <c r="I376" s="523" t="str">
        <f>IF(OR(données_step[[#This Row],[E_NTOT]]&lt;=0,données_step[[#This Row],[E_NTOT]]=""),"",données_step[[#This Row],[D_QTRAI]]*données_step[[#This Row],[E_PTOT]]/1000)</f>
        <v/>
      </c>
      <c r="J376" s="523" t="str">
        <f>IF(OR(données_step[[#This Row],[S_DBO5]]&lt;=0,données_step[[#This Row],[S_DBO5]]=""),"",données_step[[#This Row],[D_QTRAI]]*données_step[[#This Row],[S_DBO5]]/1000)</f>
        <v/>
      </c>
      <c r="K376" s="523" t="str">
        <f>IF(OR(données_step[[#This Row],[S_DCO]]&lt;=0,données_step[[#This Row],[S_DCO]]=""),"",données_step[[#This Row],[D_QTRAI]]*données_step[[#This Row],[S_DCO]]/1000)</f>
        <v/>
      </c>
      <c r="L376" s="523" t="str">
        <f>IF(OR(données_step[[#This Row],[S_COD]]&lt;=0,données_step[[#This Row],[S_COD]]=""),"",données_step[[#This Row],[D_QTRAI]]*données_step[[#This Row],[S_COD]]/1000)</f>
        <v/>
      </c>
      <c r="M376" s="523" t="str">
        <f>IF(OR(données_step[[#This Row],[S_NH4]]&lt;=0,données_step[[#This Row],[S_NH4]]=""),"",données_step[[#This Row],[D_QTRAI]]*données_step[[#This Row],[S_NH4]]/1000)</f>
        <v/>
      </c>
      <c r="N376" s="523" t="str">
        <f>IF(OR(données_step[[#This Row],[S_NO2]]&lt;=0,données_step[[#This Row],[S_NO2]]=""),"",données_step[[#This Row],[D_QTRAI]]*données_step[[#This Row],[S_NO2]]/1000)</f>
        <v/>
      </c>
      <c r="O376" s="523" t="str">
        <f>IF(OR(données_step[[#This Row],[S_NO3]]&lt;=0,données_step[[#This Row],[S_NO3]]=""),"",données_step[[#This Row],[D_QTRAI]]*données_step[[#This Row],[S_NO3]]/1000)</f>
        <v/>
      </c>
      <c r="P376" s="523" t="str">
        <f>IF(OR(données_step[[#This Row],[S_PTOT]]&lt;=0,données_step[[#This Row],[S_PTOT]]=""),"",données_step[[#This Row],[D_QTRAI]]*données_step[[#This Row],[S_PTOT]]/1000)</f>
        <v/>
      </c>
      <c r="Q376" s="523" t="str">
        <f>IF(OR(données_step[[#This Row],[S_MES]]&lt;=0,données_step[[#This Row],[S_MES]]=""),"",données_step[[#This Row],[D_QTRAI]]*données_step[[#This Row],[S_MES]]/1000)</f>
        <v/>
      </c>
      <c r="R376" s="523">
        <f>MAX(données_step[[#This Row],[D_QTRAI]],données_step[[#This Row],[D_QTRAI2]])</f>
        <v>0</v>
      </c>
      <c r="S376" s="523" t="str">
        <f>IF(AND($R376&gt;0,données_step[[#This Row],[E_DCO]]&gt;0),données_step[[#This Row],[E_DCO]],"")</f>
        <v/>
      </c>
      <c r="T376" s="523" t="str">
        <f>IF(S376="","",(1-données_step[[#This Row],[E_DCO]]/$V$7)*100)</f>
        <v/>
      </c>
      <c r="U376" s="523" t="str">
        <f t="shared" si="80"/>
        <v/>
      </c>
      <c r="V376" s="523" t="str">
        <f t="shared" si="81"/>
        <v/>
      </c>
      <c r="W376" s="523" t="str">
        <f t="shared" si="82"/>
        <v/>
      </c>
      <c r="X376" s="523" t="e">
        <f>IF(((100-100/$V$7*données_step[[#This Row],[E_DCO]])/100*QTS)&lt;0,NA(),IF(OR(U376&lt;0,U376=""),NA(),((100-100/$V$7*données_step[[#This Row],[E_DCO]])/100*QTS)))</f>
        <v>#NUM!</v>
      </c>
      <c r="Y376" s="523" t="str">
        <f>IF(AND($R376&gt;0,données_step[[#This Row],[E_COT]]&gt;0),données_step[[#This Row],[E_COT]],"")</f>
        <v/>
      </c>
      <c r="Z376" s="523" t="str">
        <f>IF(Y376="","",(1-données_step[[#This Row],[E_COT]]/$AB$7)*100)</f>
        <v/>
      </c>
      <c r="AA376" s="523" t="str">
        <f t="shared" si="83"/>
        <v/>
      </c>
      <c r="AB376" s="523" t="str">
        <f t="shared" si="84"/>
        <v/>
      </c>
      <c r="AC376" s="523" t="str">
        <f t="shared" si="85"/>
        <v/>
      </c>
      <c r="AD376" s="523" t="e">
        <f>IF(((100-100/$AB$7*données_step[[#This Row],[E_COT]])/100*QTS)&lt;0,NA(),IF(OR(AA376&lt;0,AA376=""),NA(),((100-100/$AB$7*données_step[[#This Row],[E_COT]])/100*QTS)))</f>
        <v>#NUM!</v>
      </c>
      <c r="AE376" s="523" t="str">
        <f>IF(AND($R376&gt;0,données_step[[#This Row],[E_NH4]]&gt;0),données_step[[#This Row],[E_NH4]],"")</f>
        <v/>
      </c>
      <c r="AF376" s="523" t="str">
        <f>IF(AE376="","",(1-données_step[[#This Row],[E_NH4]]/$AH$7)*100)</f>
        <v/>
      </c>
      <c r="AG376" s="523" t="str">
        <f t="shared" si="86"/>
        <v/>
      </c>
      <c r="AH376" s="523" t="str">
        <f t="shared" si="87"/>
        <v/>
      </c>
      <c r="AI376" s="523" t="str">
        <f t="shared" si="88"/>
        <v/>
      </c>
      <c r="AJ376" s="523" t="e">
        <f>IF(((100-100/$AH$7*données_step[[#This Row],[E_NH4]])/100*QTS)&lt;0,NA(),IF(OR(AG376&lt;0,AG376=""),NA(),((100-100/$AH$7*données_step[[#This Row],[E_NH4]])/100*QTS)))</f>
        <v>#NUM!</v>
      </c>
      <c r="AK376" s="523" t="str">
        <f>IF(AND($R376&gt;0,données_step[[#This Row],[E_PTOT]]&gt;0),données_step[[#This Row],[E_PTOT]],"")</f>
        <v/>
      </c>
      <c r="AL376" s="523" t="str">
        <f>IF(AK376="","",(1-données_step[[#This Row],[E_PTOT]]/$AN$7)*100)</f>
        <v/>
      </c>
      <c r="AM376" s="523" t="str">
        <f t="shared" si="89"/>
        <v/>
      </c>
      <c r="AN376" s="523" t="str">
        <f t="shared" si="90"/>
        <v/>
      </c>
      <c r="AO376" s="523" t="str">
        <f t="shared" si="91"/>
        <v/>
      </c>
      <c r="AP376" s="523" t="e">
        <f>IF(((100-100/$AN$7*données_step[[#This Row],[E_PTOT]])/100*QTS)&lt;0,NA(),IF(OR(AM376&lt;0,AM376=""),NA(),((100-100/$AN$7*données_step[[#This Row],[E_PTOT]])/100*QTS)))</f>
        <v>#NUM!</v>
      </c>
      <c r="AQ376" s="524" t="e">
        <f t="shared" si="92"/>
        <v>#NUM!</v>
      </c>
      <c r="AR376" s="524" t="str">
        <f t="shared" si="93"/>
        <v/>
      </c>
      <c r="AS376" s="501"/>
      <c r="AT376" s="501"/>
      <c r="AU376" s="501"/>
      <c r="AV376" s="501"/>
      <c r="AW376" s="501"/>
      <c r="AX376" s="501"/>
      <c r="AY376" s="523" t="str">
        <f>_xlfn.IFNA(IF(données_step[[#This Row],[E_DCO]]&lt;=0,NA(),charge_entree[[#This Row],[ch_E_DCO]]/constanten!$B$8*1000),"")</f>
        <v/>
      </c>
      <c r="AZ376" s="523" t="str">
        <f>_xlfn.IFNA(IF(données_step[[#This Row],[E_NTOT]]&lt;=0,NA(),charge_entree[[#This Row],[ch_E_NTOT]]/constanten!$B$10*1000),"")</f>
        <v/>
      </c>
      <c r="BA376" s="523" t="str">
        <f>_xlfn.IFNA(IF(données_step[[#This Row],[E_NH4]]&lt;=0,NA(),charge_entree[[#This Row],[ch_E_NH4]]/constanten!$B$12*1000),"")</f>
        <v/>
      </c>
      <c r="BB376" s="523" t="str">
        <f>_xlfn.IFNA(IF(données_step[[#This Row],[E_COT]]&lt;=0,NA(),charge_entree[[#This Row],[ch_E_COT]]/constanten!$B$9*1000),"")</f>
        <v/>
      </c>
      <c r="BC376" s="523" t="str">
        <f>IFERROR(_xlfn.IFNA(IF(données_step[[#This Row],[E_PTOT]]&lt;=0,NA(),charge_entree[[#This Row],[ch_E_PTOT]]/constanten!$B$15*1000),""),"")</f>
        <v/>
      </c>
      <c r="BD376" s="535" t="e">
        <f>calculs!E376 * (1-0.4) / (données_step[[#This Row],[X_BA_VOL]]*données_step[[#This Row],[X_BACONC]])</f>
        <v>#VALUE!</v>
      </c>
      <c r="BE376" s="522" t="e">
        <f>(données_step[[#This Row],[X_BA_VOL]]*données_step[[#This Row],[X_BACONC]])/((données_step[[#This Row],[D_QTRAI2]]*données_step[[#This Row],[S_MES]]/1000)+(données_step[[#This Row],[X_BX_Q]]*données_step[[#This Row],[X_BXCONC]]))</f>
        <v>#VALUE!</v>
      </c>
      <c r="BF376" s="890" t="str">
        <f>IFERROR(données_step[[#This Row],[D_QTRAI]]/AY376*1000,"")</f>
        <v/>
      </c>
      <c r="BG376" s="535" t="str">
        <f>IFERROR(1-données_step[[#This Row],[S_DBO5]]/données_step[[#This Row],[E_DBO5]],"")</f>
        <v/>
      </c>
      <c r="BH376" s="536" t="str">
        <f>IFERROR(1-données_step[[#This Row],[S_DCO]]/données_step[[#This Row],[E_DCO]],"")</f>
        <v/>
      </c>
      <c r="BI376" s="535" t="str">
        <f>IFERROR(1-données_step[[#This Row],[S_COD]]/données_step[[#This Row],[E_COT]],"")</f>
        <v/>
      </c>
      <c r="BJ376" s="535" t="str">
        <f>IFERROR(1-données_step[[#This Row],[S_NH4]]/données_step[[#This Row],[E_NTOT]],"")</f>
        <v/>
      </c>
      <c r="BK376" s="535" t="str">
        <f>IFERROR(1-données_step[[#This Row],[S_PTOT]]/données_step[[#This Row],[E_PTOT]],"")</f>
        <v/>
      </c>
      <c r="BL376" s="521" t="str">
        <f>IFERROR(IF(données_step[[#This Row],[E_DCO]]/données_step[[#This Row],[E_DBO5]]=0,NA(),données_step[[#This Row],[E_DCO]]/données_step[[#This Row],[E_DBO5]]),"")</f>
        <v/>
      </c>
      <c r="BM376" s="521" t="str">
        <f>IFERROR(IF(données_step[[#This Row],[E_NH4]]/données_step[[#This Row],[E_NTOT]]=0,NA(),données_step[[#This Row],[E_NH4]]/données_step[[#This Row],[E_NTOT]]),"")</f>
        <v/>
      </c>
      <c r="BN376" s="521" t="str">
        <f>IFERROR(IF(données_step[[#This Row],[E_NTOT]]/données_step[[#This Row],[E_COT]]=0,NA(),données_step[[#This Row],[E_NTOT]]/données_step[[#This Row],[E_COT]]),"")</f>
        <v/>
      </c>
      <c r="BO376" s="521" t="str">
        <f>IFERROR(IF(données_step[[#This Row],[E_PTOT]]/données_step[[#This Row],[E_COT]]=0,NA(),données_step[[#This Row],[E_PTOT]]/données_step[[#This Row],[E_COT]]),"")</f>
        <v/>
      </c>
      <c r="BP376" s="521" t="e">
        <f>IF(données_step[[#This Row],[E_DCO]]/données_step[[#This Row],[E_COT]]=0,NA(),données_step[[#This Row],[E_DCO]]/données_step[[#This Row],[E_COT]])</f>
        <v>#DIV/0!</v>
      </c>
      <c r="BQ376" s="521" t="e">
        <f>IF(données_step[[#This Row],[E_NTOT]]/données_step[[#This Row],[E_DCO]]=0,NA(),données_step[[#This Row],[E_NTOT]]/données_step[[#This Row],[E_DCO]])</f>
        <v>#DIV/0!</v>
      </c>
      <c r="BR376" s="521" t="e">
        <f>IF(données_step[[#This Row],[E_PTOT]]/données_step[[#This Row],[E_DCO]]=0,NA(),données_step[[#This Row],[E_PTOT]]/données_step[[#This Row],[E_DCO]])</f>
        <v>#DIV/0!</v>
      </c>
      <c r="BS376" s="747" t="e">
        <f ca="1">test_NH4_temp(données_step[[#This Row],[S_NH4]],données_step[[#This Row],[Temp_eaux]])</f>
        <v>#NAME?</v>
      </c>
    </row>
    <row r="377" spans="1:71" s="515" customFormat="1" x14ac:dyDescent="0.2">
      <c r="G377" s="516"/>
      <c r="H377" s="516"/>
      <c r="I377" s="516"/>
      <c r="J377" s="516"/>
      <c r="K377" s="516"/>
      <c r="L377" s="516"/>
      <c r="M377" s="516"/>
      <c r="N377" s="516"/>
      <c r="O377" s="516"/>
      <c r="P377" s="516"/>
      <c r="Q377" s="516"/>
    </row>
    <row r="378" spans="1:71" x14ac:dyDescent="0.2">
      <c r="A378" s="501"/>
      <c r="B378" s="501"/>
      <c r="C378" s="501"/>
      <c r="D378" s="501"/>
      <c r="E378" s="501"/>
      <c r="F378" s="501"/>
      <c r="G378" s="7"/>
      <c r="H378" s="7"/>
      <c r="I378" s="7"/>
      <c r="J378" s="7"/>
      <c r="K378" s="7"/>
      <c r="L378" s="7"/>
      <c r="M378" s="7"/>
      <c r="N378" s="7"/>
      <c r="O378" s="7"/>
      <c r="P378" s="7"/>
      <c r="Q378" s="7"/>
    </row>
    <row r="379" spans="1:71" x14ac:dyDescent="0.2">
      <c r="A379" s="514"/>
      <c r="B379" s="514"/>
      <c r="C379" s="514"/>
      <c r="D379" s="514"/>
      <c r="E379" s="501"/>
      <c r="F379" s="501"/>
      <c r="G379" s="7"/>
      <c r="H379" s="7"/>
      <c r="I379" s="7"/>
      <c r="J379" s="7"/>
      <c r="K379" s="7"/>
      <c r="L379" s="7"/>
      <c r="M379" s="7"/>
      <c r="N379" s="7"/>
      <c r="O379" s="7"/>
      <c r="P379" s="7"/>
      <c r="Q379" s="7"/>
    </row>
    <row r="380" spans="1:71" x14ac:dyDescent="0.2">
      <c r="A380" s="537" t="s">
        <v>154</v>
      </c>
      <c r="B380" s="545"/>
      <c r="C380" s="545"/>
      <c r="D380" s="545">
        <f>MIN(D11:D376)</f>
        <v>0</v>
      </c>
      <c r="E380" s="545">
        <f t="shared" ref="E380:Q380" si="95">MIN(E11:E376)</f>
        <v>0</v>
      </c>
      <c r="F380" s="545">
        <f t="shared" si="95"/>
        <v>0</v>
      </c>
      <c r="G380" s="545">
        <f t="shared" si="95"/>
        <v>0</v>
      </c>
      <c r="H380" s="545">
        <f t="shared" si="95"/>
        <v>0</v>
      </c>
      <c r="I380" s="545">
        <f t="shared" si="95"/>
        <v>0</v>
      </c>
      <c r="J380" s="545">
        <f t="shared" si="95"/>
        <v>0</v>
      </c>
      <c r="K380" s="545">
        <f t="shared" si="95"/>
        <v>0</v>
      </c>
      <c r="L380" s="545">
        <f t="shared" si="95"/>
        <v>0</v>
      </c>
      <c r="M380" s="545">
        <f t="shared" si="95"/>
        <v>0</v>
      </c>
      <c r="N380" s="545">
        <f t="shared" si="95"/>
        <v>0</v>
      </c>
      <c r="O380" s="545">
        <f t="shared" si="95"/>
        <v>0</v>
      </c>
      <c r="P380" s="545">
        <f t="shared" si="95"/>
        <v>0</v>
      </c>
      <c r="Q380" s="545">
        <f t="shared" si="95"/>
        <v>0</v>
      </c>
      <c r="R380" s="545"/>
      <c r="S380" s="545">
        <f>MIN(S11:S376)</f>
        <v>0</v>
      </c>
      <c r="T380" s="545">
        <f>MIN(T11:T376)</f>
        <v>0</v>
      </c>
      <c r="U380" s="545">
        <f>MIN(U11:U376)</f>
        <v>0</v>
      </c>
      <c r="V380" s="545"/>
      <c r="W380" s="545"/>
      <c r="X380" s="545"/>
      <c r="Y380" s="545">
        <f>MIN(Y11:Y376)</f>
        <v>0</v>
      </c>
      <c r="Z380" s="545">
        <f>MIN(Z11:Z376)</f>
        <v>0</v>
      </c>
      <c r="AA380" s="545">
        <f>MIN(AA11:AA376)</f>
        <v>0</v>
      </c>
      <c r="AB380" s="545"/>
      <c r="AC380" s="545"/>
      <c r="AD380" s="545"/>
      <c r="AE380" s="545">
        <f>MIN(AE11:AE376)</f>
        <v>0</v>
      </c>
      <c r="AF380" s="545">
        <f>MIN(AF11:AF376)</f>
        <v>0</v>
      </c>
      <c r="AG380" s="545">
        <f>MIN(AG11:AG376)</f>
        <v>0</v>
      </c>
      <c r="AH380" s="545"/>
      <c r="AI380" s="545"/>
      <c r="AJ380" s="545"/>
      <c r="AK380" s="545">
        <f>MIN(AK11:AK376)</f>
        <v>0</v>
      </c>
      <c r="AL380" s="545">
        <f>MIN(AL11:AL376)</f>
        <v>0</v>
      </c>
      <c r="AM380" s="545">
        <f>MIN(AM11:AM376)</f>
        <v>0</v>
      </c>
      <c r="AN380" s="545"/>
      <c r="AO380" s="545"/>
      <c r="AP380" s="545"/>
      <c r="AQ380" s="545"/>
      <c r="AR380" s="545"/>
      <c r="AS380" s="545"/>
      <c r="AT380" s="545"/>
      <c r="AU380" s="545"/>
      <c r="AV380" s="545"/>
      <c r="AW380" s="545"/>
      <c r="AX380" s="545"/>
      <c r="AY380" s="545">
        <f>MIN(AY11:AY376)</f>
        <v>0</v>
      </c>
      <c r="AZ380" s="545">
        <f t="shared" ref="AZ380:BC380" si="96">MIN(AZ11:AZ376)</f>
        <v>0</v>
      </c>
      <c r="BA380" s="545">
        <f t="shared" si="96"/>
        <v>0</v>
      </c>
      <c r="BB380" s="545">
        <f t="shared" si="96"/>
        <v>0</v>
      </c>
      <c r="BC380" s="545">
        <f t="shared" si="96"/>
        <v>0</v>
      </c>
      <c r="BD380" s="545"/>
      <c r="BE380" s="545"/>
      <c r="BF380" s="545"/>
      <c r="BG380" s="545">
        <f>MIN(BG11:BG376)</f>
        <v>0</v>
      </c>
      <c r="BH380" s="545">
        <f t="shared" ref="BH380:BK380" si="97">MIN(BH11:BH376)</f>
        <v>0</v>
      </c>
      <c r="BI380" s="545">
        <f t="shared" si="97"/>
        <v>0</v>
      </c>
      <c r="BJ380" s="545">
        <f t="shared" si="97"/>
        <v>0</v>
      </c>
      <c r="BK380" s="545">
        <f t="shared" si="97"/>
        <v>0</v>
      </c>
      <c r="BL380" s="545"/>
      <c r="BM380" s="545"/>
      <c r="BN380" s="545"/>
      <c r="BO380" s="545"/>
      <c r="BP380" s="545"/>
      <c r="BQ380" s="545"/>
      <c r="BR380" s="545"/>
    </row>
    <row r="381" spans="1:71" x14ac:dyDescent="0.2">
      <c r="A381" s="538" t="s">
        <v>155</v>
      </c>
      <c r="B381" s="546"/>
      <c r="C381" s="546"/>
      <c r="D381" s="546">
        <f>MAX(D11:D376)</f>
        <v>0</v>
      </c>
      <c r="E381" s="546">
        <f t="shared" ref="E381:Q381" si="98">MAX(E11:E376)</f>
        <v>0</v>
      </c>
      <c r="F381" s="546">
        <f t="shared" si="98"/>
        <v>0</v>
      </c>
      <c r="G381" s="546">
        <f t="shared" si="98"/>
        <v>0</v>
      </c>
      <c r="H381" s="546">
        <f t="shared" si="98"/>
        <v>0</v>
      </c>
      <c r="I381" s="546">
        <f t="shared" si="98"/>
        <v>0</v>
      </c>
      <c r="J381" s="546">
        <f t="shared" si="98"/>
        <v>0</v>
      </c>
      <c r="K381" s="546">
        <f t="shared" si="98"/>
        <v>0</v>
      </c>
      <c r="L381" s="546">
        <f t="shared" si="98"/>
        <v>0</v>
      </c>
      <c r="M381" s="546">
        <f t="shared" si="98"/>
        <v>0</v>
      </c>
      <c r="N381" s="546">
        <f t="shared" si="98"/>
        <v>0</v>
      </c>
      <c r="O381" s="546">
        <f t="shared" si="98"/>
        <v>0</v>
      </c>
      <c r="P381" s="546">
        <f t="shared" si="98"/>
        <v>0</v>
      </c>
      <c r="Q381" s="546">
        <f t="shared" si="98"/>
        <v>0</v>
      </c>
      <c r="R381" s="546"/>
      <c r="S381" s="546">
        <f>MAX(S11:S376)</f>
        <v>0</v>
      </c>
      <c r="T381" s="546">
        <f>MAX(T11:T376)</f>
        <v>0</v>
      </c>
      <c r="U381" s="546">
        <f>MAX(U11:U376)</f>
        <v>0</v>
      </c>
      <c r="V381" s="546"/>
      <c r="W381" s="546"/>
      <c r="X381" s="546"/>
      <c r="Y381" s="546">
        <f>MAX(Y11:Y376)</f>
        <v>0</v>
      </c>
      <c r="Z381" s="546">
        <f>MAX(Z11:Z376)</f>
        <v>0</v>
      </c>
      <c r="AA381" s="546">
        <f>MAX(AA11:AA376)</f>
        <v>0</v>
      </c>
      <c r="AB381" s="546"/>
      <c r="AC381" s="546"/>
      <c r="AD381" s="546"/>
      <c r="AE381" s="546">
        <f>MAX(AE11:AE376)</f>
        <v>0</v>
      </c>
      <c r="AF381" s="546">
        <f>MAX(AF11:AF376)</f>
        <v>0</v>
      </c>
      <c r="AG381" s="546">
        <f>MAX(AG11:AG376)</f>
        <v>0</v>
      </c>
      <c r="AH381" s="546"/>
      <c r="AI381" s="546"/>
      <c r="AJ381" s="546"/>
      <c r="AK381" s="546">
        <f>MAX(AK11:AK376)</f>
        <v>0</v>
      </c>
      <c r="AL381" s="546">
        <f>MAX(AL11:AL376)</f>
        <v>0</v>
      </c>
      <c r="AM381" s="546">
        <f>MAX(AM11:AM376)</f>
        <v>0</v>
      </c>
      <c r="AN381" s="546"/>
      <c r="AO381" s="546"/>
      <c r="AP381" s="546"/>
      <c r="AQ381" s="546"/>
      <c r="AR381" s="546"/>
      <c r="AS381" s="546"/>
      <c r="AT381" s="546"/>
      <c r="AU381" s="546"/>
      <c r="AV381" s="546"/>
      <c r="AW381" s="546"/>
      <c r="AX381" s="546"/>
      <c r="AY381" s="546">
        <f>MAX(AY11:AY376)</f>
        <v>0</v>
      </c>
      <c r="AZ381" s="546">
        <f t="shared" ref="AZ381:BC381" si="99">MAX(AZ11:AZ376)</f>
        <v>0</v>
      </c>
      <c r="BA381" s="546">
        <f t="shared" si="99"/>
        <v>0</v>
      </c>
      <c r="BB381" s="546">
        <f t="shared" si="99"/>
        <v>0</v>
      </c>
      <c r="BC381" s="546">
        <f t="shared" si="99"/>
        <v>0</v>
      </c>
      <c r="BD381" s="546"/>
      <c r="BE381" s="546"/>
      <c r="BF381" s="546"/>
      <c r="BG381" s="546">
        <f>MAX(BG11:BG376)</f>
        <v>0</v>
      </c>
      <c r="BH381" s="546">
        <f t="shared" ref="BH381:BK381" si="100">MAX(BH11:BH376)</f>
        <v>0</v>
      </c>
      <c r="BI381" s="546">
        <f t="shared" si="100"/>
        <v>0</v>
      </c>
      <c r="BJ381" s="546">
        <f t="shared" si="100"/>
        <v>0</v>
      </c>
      <c r="BK381" s="546">
        <f t="shared" si="100"/>
        <v>0</v>
      </c>
      <c r="BL381" s="546"/>
      <c r="BM381" s="546"/>
      <c r="BN381" s="546"/>
      <c r="BO381" s="546"/>
      <c r="BP381" s="546"/>
      <c r="BQ381" s="546"/>
      <c r="BR381" s="546"/>
    </row>
    <row r="382" spans="1:71" x14ac:dyDescent="0.2">
      <c r="A382" s="539" t="s">
        <v>341</v>
      </c>
      <c r="B382" s="547"/>
      <c r="C382" s="547"/>
      <c r="D382" s="547" t="e">
        <f>AVERAGE(D11:D376)</f>
        <v>#DIV/0!</v>
      </c>
      <c r="E382" s="547" t="e">
        <f t="shared" ref="E382:Q382" si="101">AVERAGE(E11:E376)</f>
        <v>#DIV/0!</v>
      </c>
      <c r="F382" s="547" t="e">
        <f t="shared" si="101"/>
        <v>#DIV/0!</v>
      </c>
      <c r="G382" s="547" t="e">
        <f t="shared" si="101"/>
        <v>#DIV/0!</v>
      </c>
      <c r="H382" s="547" t="e">
        <f t="shared" si="101"/>
        <v>#DIV/0!</v>
      </c>
      <c r="I382" s="547" t="e">
        <f t="shared" si="101"/>
        <v>#DIV/0!</v>
      </c>
      <c r="J382" s="547" t="e">
        <f t="shared" si="101"/>
        <v>#DIV/0!</v>
      </c>
      <c r="K382" s="547" t="e">
        <f t="shared" si="101"/>
        <v>#DIV/0!</v>
      </c>
      <c r="L382" s="547" t="e">
        <f t="shared" si="101"/>
        <v>#DIV/0!</v>
      </c>
      <c r="M382" s="547" t="e">
        <f t="shared" si="101"/>
        <v>#DIV/0!</v>
      </c>
      <c r="N382" s="547" t="e">
        <f t="shared" si="101"/>
        <v>#DIV/0!</v>
      </c>
      <c r="O382" s="547" t="e">
        <f t="shared" si="101"/>
        <v>#DIV/0!</v>
      </c>
      <c r="P382" s="547" t="e">
        <f t="shared" si="101"/>
        <v>#DIV/0!</v>
      </c>
      <c r="Q382" s="547" t="e">
        <f t="shared" si="101"/>
        <v>#DIV/0!</v>
      </c>
      <c r="R382" s="547"/>
      <c r="S382" s="547" t="e">
        <f>AVERAGE(S11:S376)</f>
        <v>#DIV/0!</v>
      </c>
      <c r="T382" s="547" t="e">
        <f>AVERAGE(T11:T376)</f>
        <v>#DIV/0!</v>
      </c>
      <c r="U382" s="547" t="e">
        <f>AVERAGE(U11:U376)</f>
        <v>#DIV/0!</v>
      </c>
      <c r="V382" s="547"/>
      <c r="W382" s="547"/>
      <c r="X382" s="547"/>
      <c r="Y382" s="547" t="e">
        <f>AVERAGE(Y11:Y376)</f>
        <v>#DIV/0!</v>
      </c>
      <c r="Z382" s="547" t="e">
        <f>AVERAGE(Z11:Z376)</f>
        <v>#DIV/0!</v>
      </c>
      <c r="AA382" s="547" t="e">
        <f>AVERAGE(AA11:AA376)</f>
        <v>#DIV/0!</v>
      </c>
      <c r="AB382" s="547"/>
      <c r="AC382" s="547"/>
      <c r="AD382" s="547"/>
      <c r="AE382" s="547" t="e">
        <f>AVERAGE(AE11:AE376)</f>
        <v>#DIV/0!</v>
      </c>
      <c r="AF382" s="547" t="e">
        <f>AVERAGE(AF11:AF376)</f>
        <v>#DIV/0!</v>
      </c>
      <c r="AG382" s="547" t="e">
        <f>AVERAGE(AG11:AG376)</f>
        <v>#DIV/0!</v>
      </c>
      <c r="AH382" s="547"/>
      <c r="AI382" s="547"/>
      <c r="AJ382" s="547"/>
      <c r="AK382" s="547" t="e">
        <f>AVERAGE(AK11:AK376)</f>
        <v>#DIV/0!</v>
      </c>
      <c r="AL382" s="547" t="e">
        <f>AVERAGE(AL11:AL376)</f>
        <v>#DIV/0!</v>
      </c>
      <c r="AM382" s="547" t="e">
        <f>AVERAGE(AM11:AM376)</f>
        <v>#DIV/0!</v>
      </c>
      <c r="AN382" s="547"/>
      <c r="AO382" s="547"/>
      <c r="AP382" s="547"/>
      <c r="AQ382" s="547"/>
      <c r="AR382" s="547"/>
      <c r="AS382" s="547"/>
      <c r="AT382" s="547"/>
      <c r="AU382" s="547"/>
      <c r="AV382" s="547"/>
      <c r="AW382" s="547"/>
      <c r="AX382" s="547"/>
      <c r="AY382" s="547" t="e">
        <f>AVERAGE(AY11:AY376)</f>
        <v>#DIV/0!</v>
      </c>
      <c r="AZ382" s="547" t="e">
        <f t="shared" ref="AZ382:BC382" si="102">AVERAGE(AZ11:AZ376)</f>
        <v>#DIV/0!</v>
      </c>
      <c r="BA382" s="547" t="e">
        <f t="shared" si="102"/>
        <v>#DIV/0!</v>
      </c>
      <c r="BB382" s="547" t="e">
        <f t="shared" si="102"/>
        <v>#DIV/0!</v>
      </c>
      <c r="BC382" s="547" t="e">
        <f t="shared" si="102"/>
        <v>#DIV/0!</v>
      </c>
      <c r="BD382" s="547"/>
      <c r="BE382" s="547"/>
      <c r="BF382" s="547"/>
      <c r="BG382" s="547" t="e">
        <f>AVERAGE(BG11:BG376)</f>
        <v>#DIV/0!</v>
      </c>
      <c r="BH382" s="547" t="e">
        <f>AVERAGE(BH11:BH376)</f>
        <v>#DIV/0!</v>
      </c>
      <c r="BI382" s="547" t="e">
        <f t="shared" ref="BI382:BK382" si="103">AVERAGE(BI11:BI376)</f>
        <v>#DIV/0!</v>
      </c>
      <c r="BJ382" s="547" t="e">
        <f t="shared" si="103"/>
        <v>#DIV/0!</v>
      </c>
      <c r="BK382" s="547" t="e">
        <f t="shared" si="103"/>
        <v>#DIV/0!</v>
      </c>
      <c r="BL382" s="547"/>
      <c r="BM382" s="547"/>
      <c r="BN382" s="547"/>
      <c r="BO382" s="547"/>
      <c r="BP382" s="547"/>
      <c r="BQ382" s="547"/>
      <c r="BR382" s="547"/>
    </row>
    <row r="383" spans="1:71" x14ac:dyDescent="0.2">
      <c r="A383" s="540" t="s">
        <v>342</v>
      </c>
      <c r="B383" s="553"/>
      <c r="C383" s="553"/>
      <c r="D383" s="553">
        <f>COUNT(D11:D376)</f>
        <v>0</v>
      </c>
      <c r="E383" s="553">
        <f t="shared" ref="E383:Q383" si="104">COUNT(E11:E376)</f>
        <v>0</v>
      </c>
      <c r="F383" s="553">
        <f t="shared" si="104"/>
        <v>0</v>
      </c>
      <c r="G383" s="553">
        <f t="shared" si="104"/>
        <v>0</v>
      </c>
      <c r="H383" s="553">
        <f t="shared" si="104"/>
        <v>0</v>
      </c>
      <c r="I383" s="553">
        <f t="shared" si="104"/>
        <v>0</v>
      </c>
      <c r="J383" s="553">
        <f t="shared" si="104"/>
        <v>0</v>
      </c>
      <c r="K383" s="553">
        <f t="shared" si="104"/>
        <v>0</v>
      </c>
      <c r="L383" s="553">
        <f t="shared" si="104"/>
        <v>0</v>
      </c>
      <c r="M383" s="553">
        <f t="shared" si="104"/>
        <v>0</v>
      </c>
      <c r="N383" s="553">
        <f t="shared" si="104"/>
        <v>0</v>
      </c>
      <c r="O383" s="553">
        <f t="shared" si="104"/>
        <v>0</v>
      </c>
      <c r="P383" s="553">
        <f t="shared" si="104"/>
        <v>0</v>
      </c>
      <c r="Q383" s="553">
        <f t="shared" si="104"/>
        <v>0</v>
      </c>
      <c r="R383" s="553"/>
      <c r="S383" s="553">
        <f>COUNT(S11:S376)</f>
        <v>0</v>
      </c>
      <c r="T383" s="553">
        <f>COUNT(T11:T376)</f>
        <v>0</v>
      </c>
      <c r="U383" s="553">
        <f>COUNT(U11:U376)</f>
        <v>0</v>
      </c>
      <c r="V383" s="553"/>
      <c r="W383" s="553"/>
      <c r="X383" s="553"/>
      <c r="Y383" s="553">
        <f>COUNT(Y11:Y376)</f>
        <v>0</v>
      </c>
      <c r="Z383" s="553">
        <f>COUNT(Z11:Z376)</f>
        <v>0</v>
      </c>
      <c r="AA383" s="553">
        <f>COUNT(AA11:AA376)</f>
        <v>0</v>
      </c>
      <c r="AB383" s="553"/>
      <c r="AC383" s="553"/>
      <c r="AD383" s="553"/>
      <c r="AE383" s="553">
        <f>COUNT(AE11:AE376)</f>
        <v>0</v>
      </c>
      <c r="AF383" s="553">
        <f>COUNT(AF11:AF376)</f>
        <v>0</v>
      </c>
      <c r="AG383" s="553">
        <f>COUNT(AG11:AG376)</f>
        <v>0</v>
      </c>
      <c r="AH383" s="553"/>
      <c r="AI383" s="553"/>
      <c r="AJ383" s="553"/>
      <c r="AK383" s="553">
        <f>COUNT(AK11:AK376)</f>
        <v>0</v>
      </c>
      <c r="AL383" s="553">
        <f>COUNT(AL11:AL376)</f>
        <v>0</v>
      </c>
      <c r="AM383" s="553">
        <f>COUNT(AM11:AM376)</f>
        <v>0</v>
      </c>
      <c r="AN383" s="553"/>
      <c r="AO383" s="553"/>
      <c r="AP383" s="553"/>
      <c r="AQ383" s="553"/>
      <c r="AR383" s="553"/>
      <c r="AS383" s="553"/>
      <c r="AT383" s="553"/>
      <c r="AU383" s="553"/>
      <c r="AV383" s="553"/>
      <c r="AW383" s="553"/>
      <c r="AX383" s="553"/>
      <c r="AY383" s="553">
        <f>COUNT(AY11:AY376)</f>
        <v>0</v>
      </c>
      <c r="AZ383" s="553">
        <f t="shared" ref="AZ383:BC383" si="105">COUNT(AZ11:AZ376)</f>
        <v>0</v>
      </c>
      <c r="BA383" s="553">
        <f t="shared" si="105"/>
        <v>0</v>
      </c>
      <c r="BB383" s="553">
        <f t="shared" si="105"/>
        <v>0</v>
      </c>
      <c r="BC383" s="553">
        <f t="shared" si="105"/>
        <v>0</v>
      </c>
      <c r="BD383" s="553"/>
      <c r="BE383" s="553"/>
      <c r="BF383" s="553"/>
      <c r="BG383" s="553">
        <f>COUNT(BG11:BG376)</f>
        <v>0</v>
      </c>
      <c r="BH383" s="553">
        <f t="shared" ref="BH383:BK383" si="106">COUNT(BH11:BH376)</f>
        <v>0</v>
      </c>
      <c r="BI383" s="553">
        <f t="shared" si="106"/>
        <v>0</v>
      </c>
      <c r="BJ383" s="553">
        <f t="shared" si="106"/>
        <v>0</v>
      </c>
      <c r="BK383" s="553">
        <f t="shared" si="106"/>
        <v>0</v>
      </c>
      <c r="BL383" s="553"/>
      <c r="BM383" s="553"/>
      <c r="BN383" s="553"/>
      <c r="BO383" s="553"/>
      <c r="BP383" s="553"/>
      <c r="BQ383" s="553"/>
      <c r="BR383" s="553"/>
    </row>
    <row r="384" spans="1:71" x14ac:dyDescent="0.2">
      <c r="A384" s="541" t="s">
        <v>343</v>
      </c>
      <c r="B384" s="548"/>
      <c r="C384" s="548"/>
      <c r="D384" s="548">
        <f>SUM(D11:D376)</f>
        <v>0</v>
      </c>
      <c r="E384" s="548">
        <f t="shared" ref="E384:Q384" si="107">SUM(E11:E376)</f>
        <v>0</v>
      </c>
      <c r="F384" s="548">
        <f t="shared" si="107"/>
        <v>0</v>
      </c>
      <c r="G384" s="548">
        <f t="shared" si="107"/>
        <v>0</v>
      </c>
      <c r="H384" s="548">
        <f t="shared" si="107"/>
        <v>0</v>
      </c>
      <c r="I384" s="548">
        <f t="shared" si="107"/>
        <v>0</v>
      </c>
      <c r="J384" s="548">
        <f t="shared" si="107"/>
        <v>0</v>
      </c>
      <c r="K384" s="548">
        <f t="shared" si="107"/>
        <v>0</v>
      </c>
      <c r="L384" s="548">
        <f t="shared" si="107"/>
        <v>0</v>
      </c>
      <c r="M384" s="548">
        <f t="shared" si="107"/>
        <v>0</v>
      </c>
      <c r="N384" s="548">
        <f t="shared" si="107"/>
        <v>0</v>
      </c>
      <c r="O384" s="548">
        <f t="shared" si="107"/>
        <v>0</v>
      </c>
      <c r="P384" s="548">
        <f t="shared" si="107"/>
        <v>0</v>
      </c>
      <c r="Q384" s="548">
        <f t="shared" si="107"/>
        <v>0</v>
      </c>
      <c r="R384" s="548"/>
      <c r="S384" s="548">
        <f>SUM(S11:S376)</f>
        <v>0</v>
      </c>
      <c r="T384" s="548">
        <f>SUM(T11:T376)</f>
        <v>0</v>
      </c>
      <c r="U384" s="548">
        <f>SUM(U11:U376)</f>
        <v>0</v>
      </c>
      <c r="V384" s="548"/>
      <c r="W384" s="548"/>
      <c r="X384" s="548"/>
      <c r="Y384" s="548">
        <f>SUM(Y11:Y376)</f>
        <v>0</v>
      </c>
      <c r="Z384" s="548">
        <f>SUM(Z11:Z376)</f>
        <v>0</v>
      </c>
      <c r="AA384" s="548">
        <f>SUM(AA11:AA376)</f>
        <v>0</v>
      </c>
      <c r="AB384" s="548"/>
      <c r="AC384" s="548"/>
      <c r="AD384" s="548"/>
      <c r="AE384" s="548">
        <f>SUM(AE11:AE376)</f>
        <v>0</v>
      </c>
      <c r="AF384" s="548">
        <f>SUM(AF11:AF376)</f>
        <v>0</v>
      </c>
      <c r="AG384" s="548">
        <f>SUM(AG11:AG376)</f>
        <v>0</v>
      </c>
      <c r="AH384" s="548"/>
      <c r="AI384" s="548"/>
      <c r="AJ384" s="548"/>
      <c r="AK384" s="548">
        <f>SUM(AK11:AK376)</f>
        <v>0</v>
      </c>
      <c r="AL384" s="548">
        <f>SUM(AL11:AL376)</f>
        <v>0</v>
      </c>
      <c r="AM384" s="548">
        <f>SUM(AM11:AM376)</f>
        <v>0</v>
      </c>
      <c r="AN384" s="548"/>
      <c r="AO384" s="548"/>
      <c r="AP384" s="548"/>
      <c r="AQ384" s="548"/>
      <c r="AR384" s="548"/>
      <c r="AS384" s="548"/>
      <c r="AT384" s="548"/>
      <c r="AU384" s="548"/>
      <c r="AV384" s="548"/>
      <c r="AW384" s="548"/>
      <c r="AX384" s="548"/>
      <c r="AY384" s="548">
        <f>SUM(AY11:AY376)</f>
        <v>0</v>
      </c>
      <c r="AZ384" s="548">
        <f t="shared" ref="AZ384:BC384" si="108">SUM(AZ11:AZ376)</f>
        <v>0</v>
      </c>
      <c r="BA384" s="548">
        <f t="shared" si="108"/>
        <v>0</v>
      </c>
      <c r="BB384" s="548">
        <f t="shared" si="108"/>
        <v>0</v>
      </c>
      <c r="BC384" s="548">
        <f t="shared" si="108"/>
        <v>0</v>
      </c>
      <c r="BD384" s="548"/>
      <c r="BE384" s="548"/>
      <c r="BF384" s="548"/>
      <c r="BG384" s="548">
        <f>SUM(BG11:BG376)</f>
        <v>0</v>
      </c>
      <c r="BH384" s="548">
        <f t="shared" ref="BH384:BK384" si="109">SUM(BH11:BH376)</f>
        <v>0</v>
      </c>
      <c r="BI384" s="548">
        <f t="shared" si="109"/>
        <v>0</v>
      </c>
      <c r="BJ384" s="548">
        <f t="shared" si="109"/>
        <v>0</v>
      </c>
      <c r="BK384" s="548">
        <f t="shared" si="109"/>
        <v>0</v>
      </c>
      <c r="BL384" s="548"/>
      <c r="BM384" s="548"/>
      <c r="BN384" s="548"/>
      <c r="BO384" s="548"/>
      <c r="BP384" s="548"/>
      <c r="BQ384" s="548"/>
      <c r="BR384" s="548"/>
    </row>
    <row r="385" spans="1:70" x14ac:dyDescent="0.2">
      <c r="A385" s="59" t="s">
        <v>168</v>
      </c>
      <c r="B385" s="549"/>
      <c r="C385" s="549"/>
      <c r="D385" s="549" t="e">
        <f>PERCENTILE(D11:D376,0.2)</f>
        <v>#NUM!</v>
      </c>
      <c r="E385" s="549" t="e">
        <f t="shared" ref="E385:Q385" si="110">PERCENTILE(E11:E376,0.2)</f>
        <v>#NUM!</v>
      </c>
      <c r="F385" s="549" t="e">
        <f t="shared" si="110"/>
        <v>#NUM!</v>
      </c>
      <c r="G385" s="549" t="e">
        <f t="shared" si="110"/>
        <v>#NUM!</v>
      </c>
      <c r="H385" s="549" t="e">
        <f t="shared" si="110"/>
        <v>#NUM!</v>
      </c>
      <c r="I385" s="549" t="e">
        <f t="shared" si="110"/>
        <v>#NUM!</v>
      </c>
      <c r="J385" s="549" t="e">
        <f t="shared" si="110"/>
        <v>#NUM!</v>
      </c>
      <c r="K385" s="549" t="e">
        <f t="shared" si="110"/>
        <v>#NUM!</v>
      </c>
      <c r="L385" s="549" t="e">
        <f t="shared" si="110"/>
        <v>#NUM!</v>
      </c>
      <c r="M385" s="549" t="e">
        <f t="shared" si="110"/>
        <v>#NUM!</v>
      </c>
      <c r="N385" s="549" t="e">
        <f t="shared" si="110"/>
        <v>#NUM!</v>
      </c>
      <c r="O385" s="549" t="e">
        <f t="shared" si="110"/>
        <v>#NUM!</v>
      </c>
      <c r="P385" s="549" t="e">
        <f t="shared" si="110"/>
        <v>#NUM!</v>
      </c>
      <c r="Q385" s="549" t="e">
        <f t="shared" si="110"/>
        <v>#NUM!</v>
      </c>
      <c r="R385" s="549"/>
      <c r="S385" s="549" t="e">
        <f>PERCENTILE(S11:S376,0.2)</f>
        <v>#NUM!</v>
      </c>
      <c r="T385" s="549" t="e">
        <f>PERCENTILE(T11:T376,0.2)</f>
        <v>#NUM!</v>
      </c>
      <c r="U385" s="549" t="e">
        <f>PERCENTILE(U11:U376,0.2)</f>
        <v>#NUM!</v>
      </c>
      <c r="V385" s="549"/>
      <c r="W385" s="549"/>
      <c r="X385" s="549"/>
      <c r="Y385" s="549" t="e">
        <f>PERCENTILE(Y11:Y376,0.2)</f>
        <v>#NUM!</v>
      </c>
      <c r="Z385" s="549" t="e">
        <f>PERCENTILE(Z11:Z376,0.2)</f>
        <v>#NUM!</v>
      </c>
      <c r="AA385" s="549" t="e">
        <f>PERCENTILE(AA11:AA376,0.2)</f>
        <v>#NUM!</v>
      </c>
      <c r="AB385" s="549"/>
      <c r="AC385" s="549"/>
      <c r="AD385" s="549"/>
      <c r="AE385" s="549" t="e">
        <f>PERCENTILE(AE11:AE376,0.2)</f>
        <v>#NUM!</v>
      </c>
      <c r="AF385" s="549" t="e">
        <f>PERCENTILE(AF11:AF376,0.2)</f>
        <v>#NUM!</v>
      </c>
      <c r="AG385" s="549" t="e">
        <f>PERCENTILE(AG11:AG376,0.2)</f>
        <v>#NUM!</v>
      </c>
      <c r="AH385" s="549"/>
      <c r="AI385" s="549"/>
      <c r="AJ385" s="549"/>
      <c r="AK385" s="549" t="e">
        <f>PERCENTILE(AK11:AK376,0.2)</f>
        <v>#NUM!</v>
      </c>
      <c r="AL385" s="549" t="e">
        <f>PERCENTILE(AL11:AL376,0.2)</f>
        <v>#NUM!</v>
      </c>
      <c r="AM385" s="549" t="e">
        <f>PERCENTILE(AM11:AM376,0.2)</f>
        <v>#NUM!</v>
      </c>
      <c r="AN385" s="549"/>
      <c r="AO385" s="549"/>
      <c r="AP385" s="549"/>
      <c r="AQ385" s="549"/>
      <c r="AR385" s="549"/>
      <c r="AS385" s="549"/>
      <c r="AT385" s="549"/>
      <c r="AU385" s="549"/>
      <c r="AV385" s="549"/>
      <c r="AW385" s="549"/>
      <c r="AX385" s="549"/>
      <c r="AY385" s="549" t="e">
        <f>PERCENTILE(AY11:AY376,0.2)</f>
        <v>#NUM!</v>
      </c>
      <c r="AZ385" s="549" t="e">
        <f t="shared" ref="AZ385:BC385" si="111">PERCENTILE(AZ11:AZ376,0.2)</f>
        <v>#NUM!</v>
      </c>
      <c r="BA385" s="549" t="e">
        <f t="shared" si="111"/>
        <v>#NUM!</v>
      </c>
      <c r="BB385" s="549" t="e">
        <f t="shared" si="111"/>
        <v>#NUM!</v>
      </c>
      <c r="BC385" s="549" t="e">
        <f t="shared" si="111"/>
        <v>#NUM!</v>
      </c>
      <c r="BD385" s="549"/>
      <c r="BE385" s="549"/>
      <c r="BF385" s="549"/>
      <c r="BG385" s="549" t="e">
        <f>PERCENTILE(BG11:BG376,0.2)</f>
        <v>#NUM!</v>
      </c>
      <c r="BH385" s="549" t="e">
        <f t="shared" ref="BH385:BK385" si="112">PERCENTILE(BH11:BH376,0.2)</f>
        <v>#NUM!</v>
      </c>
      <c r="BI385" s="549" t="e">
        <f t="shared" si="112"/>
        <v>#NUM!</v>
      </c>
      <c r="BJ385" s="549" t="e">
        <f t="shared" si="112"/>
        <v>#NUM!</v>
      </c>
      <c r="BK385" s="549" t="e">
        <f t="shared" si="112"/>
        <v>#NUM!</v>
      </c>
      <c r="BL385" s="549"/>
      <c r="BM385" s="549"/>
      <c r="BN385" s="549"/>
      <c r="BO385" s="549"/>
      <c r="BP385" s="549"/>
      <c r="BQ385" s="549"/>
      <c r="BR385" s="549"/>
    </row>
    <row r="386" spans="1:70" x14ac:dyDescent="0.2">
      <c r="A386" s="542" t="s">
        <v>162</v>
      </c>
      <c r="B386" s="550"/>
      <c r="C386" s="550"/>
      <c r="D386" s="550" t="e">
        <f>PERCENTILE(D11:D376,0.5)</f>
        <v>#NUM!</v>
      </c>
      <c r="E386" s="550" t="e">
        <f t="shared" ref="E386:Q386" si="113">PERCENTILE(E11:E376,0.5)</f>
        <v>#NUM!</v>
      </c>
      <c r="F386" s="550" t="e">
        <f t="shared" si="113"/>
        <v>#NUM!</v>
      </c>
      <c r="G386" s="550" t="e">
        <f t="shared" si="113"/>
        <v>#NUM!</v>
      </c>
      <c r="H386" s="550" t="e">
        <f t="shared" si="113"/>
        <v>#NUM!</v>
      </c>
      <c r="I386" s="550" t="e">
        <f t="shared" si="113"/>
        <v>#NUM!</v>
      </c>
      <c r="J386" s="550" t="e">
        <f t="shared" si="113"/>
        <v>#NUM!</v>
      </c>
      <c r="K386" s="550" t="e">
        <f t="shared" si="113"/>
        <v>#NUM!</v>
      </c>
      <c r="L386" s="550" t="e">
        <f t="shared" si="113"/>
        <v>#NUM!</v>
      </c>
      <c r="M386" s="550" t="e">
        <f t="shared" si="113"/>
        <v>#NUM!</v>
      </c>
      <c r="N386" s="550" t="e">
        <f t="shared" si="113"/>
        <v>#NUM!</v>
      </c>
      <c r="O386" s="550" t="e">
        <f t="shared" si="113"/>
        <v>#NUM!</v>
      </c>
      <c r="P386" s="550" t="e">
        <f t="shared" si="113"/>
        <v>#NUM!</v>
      </c>
      <c r="Q386" s="550" t="e">
        <f t="shared" si="113"/>
        <v>#NUM!</v>
      </c>
      <c r="R386" s="550"/>
      <c r="S386" s="550" t="e">
        <f>PERCENTILE(S11:S376,0.5)</f>
        <v>#NUM!</v>
      </c>
      <c r="T386" s="550" t="e">
        <f>PERCENTILE(T11:T376,0.5)</f>
        <v>#NUM!</v>
      </c>
      <c r="U386" s="550" t="e">
        <f>PERCENTILE(U11:U376,0.5)</f>
        <v>#NUM!</v>
      </c>
      <c r="V386" s="550"/>
      <c r="W386" s="550"/>
      <c r="X386" s="550"/>
      <c r="Y386" s="550" t="e">
        <f>PERCENTILE(Y11:Y376,0.5)</f>
        <v>#NUM!</v>
      </c>
      <c r="Z386" s="550" t="e">
        <f>PERCENTILE(Z11:Z376,0.5)</f>
        <v>#NUM!</v>
      </c>
      <c r="AA386" s="550" t="e">
        <f>PERCENTILE(AA11:AA376,0.5)</f>
        <v>#NUM!</v>
      </c>
      <c r="AB386" s="550"/>
      <c r="AC386" s="550"/>
      <c r="AD386" s="550"/>
      <c r="AE386" s="550" t="e">
        <f>PERCENTILE(AE11:AE376,0.5)</f>
        <v>#NUM!</v>
      </c>
      <c r="AF386" s="550" t="e">
        <f>PERCENTILE(AF11:AF376,0.5)</f>
        <v>#NUM!</v>
      </c>
      <c r="AG386" s="550" t="e">
        <f>PERCENTILE(AG11:AG376,0.5)</f>
        <v>#NUM!</v>
      </c>
      <c r="AH386" s="550"/>
      <c r="AI386" s="550"/>
      <c r="AJ386" s="550"/>
      <c r="AK386" s="550" t="e">
        <f>PERCENTILE(AK11:AK376,0.5)</f>
        <v>#NUM!</v>
      </c>
      <c r="AL386" s="550" t="e">
        <f>PERCENTILE(AL11:AL376,0.5)</f>
        <v>#NUM!</v>
      </c>
      <c r="AM386" s="550" t="e">
        <f>PERCENTILE(AM11:AM376,0.5)</f>
        <v>#NUM!</v>
      </c>
      <c r="AN386" s="550"/>
      <c r="AO386" s="550"/>
      <c r="AP386" s="550"/>
      <c r="AQ386" s="550"/>
      <c r="AR386" s="550"/>
      <c r="AS386" s="550"/>
      <c r="AT386" s="550"/>
      <c r="AU386" s="550"/>
      <c r="AV386" s="550"/>
      <c r="AW386" s="550"/>
      <c r="AX386" s="550"/>
      <c r="AY386" s="550" t="e">
        <f>PERCENTILE(AY11:AY376,0.5)</f>
        <v>#NUM!</v>
      </c>
      <c r="AZ386" s="550" t="e">
        <f t="shared" ref="AZ386:BC386" si="114">PERCENTILE(AZ11:AZ376,0.5)</f>
        <v>#NUM!</v>
      </c>
      <c r="BA386" s="550" t="e">
        <f t="shared" si="114"/>
        <v>#NUM!</v>
      </c>
      <c r="BB386" s="550" t="e">
        <f t="shared" si="114"/>
        <v>#NUM!</v>
      </c>
      <c r="BC386" s="550" t="e">
        <f t="shared" si="114"/>
        <v>#NUM!</v>
      </c>
      <c r="BD386" s="550"/>
      <c r="BE386" s="550"/>
      <c r="BF386" s="550"/>
      <c r="BG386" s="550" t="e">
        <f>PERCENTILE(BG11:BG376,0.5)</f>
        <v>#NUM!</v>
      </c>
      <c r="BH386" s="550" t="e">
        <f t="shared" ref="BH386:BK386" si="115">PERCENTILE(BH11:BH376,0.5)</f>
        <v>#NUM!</v>
      </c>
      <c r="BI386" s="550" t="e">
        <f t="shared" si="115"/>
        <v>#NUM!</v>
      </c>
      <c r="BJ386" s="550" t="e">
        <f t="shared" si="115"/>
        <v>#NUM!</v>
      </c>
      <c r="BK386" s="550" t="e">
        <f t="shared" si="115"/>
        <v>#NUM!</v>
      </c>
      <c r="BL386" s="550"/>
      <c r="BM386" s="550"/>
      <c r="BN386" s="550"/>
      <c r="BO386" s="550"/>
      <c r="BP386" s="550"/>
      <c r="BQ386" s="550"/>
      <c r="BR386" s="550"/>
    </row>
    <row r="387" spans="1:70" x14ac:dyDescent="0.2">
      <c r="A387" s="59" t="s">
        <v>163</v>
      </c>
      <c r="B387" s="549"/>
      <c r="C387" s="549"/>
      <c r="D387" s="549" t="e">
        <f>PERCENTILE(D11:D376,0.85)</f>
        <v>#NUM!</v>
      </c>
      <c r="E387" s="549" t="e">
        <f t="shared" ref="E387:Q387" si="116">PERCENTILE(E11:E376,0.85)</f>
        <v>#NUM!</v>
      </c>
      <c r="F387" s="549" t="e">
        <f t="shared" si="116"/>
        <v>#NUM!</v>
      </c>
      <c r="G387" s="549" t="e">
        <f t="shared" si="116"/>
        <v>#NUM!</v>
      </c>
      <c r="H387" s="549" t="e">
        <f t="shared" si="116"/>
        <v>#NUM!</v>
      </c>
      <c r="I387" s="549" t="e">
        <f t="shared" si="116"/>
        <v>#NUM!</v>
      </c>
      <c r="J387" s="549" t="e">
        <f t="shared" si="116"/>
        <v>#NUM!</v>
      </c>
      <c r="K387" s="549" t="e">
        <f t="shared" si="116"/>
        <v>#NUM!</v>
      </c>
      <c r="L387" s="549" t="e">
        <f t="shared" si="116"/>
        <v>#NUM!</v>
      </c>
      <c r="M387" s="549" t="e">
        <f t="shared" si="116"/>
        <v>#NUM!</v>
      </c>
      <c r="N387" s="549" t="e">
        <f t="shared" si="116"/>
        <v>#NUM!</v>
      </c>
      <c r="O387" s="549" t="e">
        <f t="shared" si="116"/>
        <v>#NUM!</v>
      </c>
      <c r="P387" s="549" t="e">
        <f t="shared" si="116"/>
        <v>#NUM!</v>
      </c>
      <c r="Q387" s="549" t="e">
        <f t="shared" si="116"/>
        <v>#NUM!</v>
      </c>
      <c r="R387" s="549"/>
      <c r="S387" s="549" t="e">
        <f>PERCENTILE(S11:S376,0.85)</f>
        <v>#NUM!</v>
      </c>
      <c r="T387" s="549" t="e">
        <f>PERCENTILE(T11:T376,0.85)</f>
        <v>#NUM!</v>
      </c>
      <c r="U387" s="549" t="e">
        <f>PERCENTILE(U11:U376,0.85)</f>
        <v>#NUM!</v>
      </c>
      <c r="V387" s="549"/>
      <c r="W387" s="549"/>
      <c r="X387" s="549"/>
      <c r="Y387" s="549" t="e">
        <f>PERCENTILE(Y11:Y376,0.85)</f>
        <v>#NUM!</v>
      </c>
      <c r="Z387" s="549" t="e">
        <f>PERCENTILE(Z11:Z376,0.85)</f>
        <v>#NUM!</v>
      </c>
      <c r="AA387" s="549" t="e">
        <f>PERCENTILE(AA11:AA376,0.85)</f>
        <v>#NUM!</v>
      </c>
      <c r="AB387" s="549"/>
      <c r="AC387" s="549"/>
      <c r="AD387" s="549"/>
      <c r="AE387" s="549" t="e">
        <f>PERCENTILE(AE11:AE376,0.85)</f>
        <v>#NUM!</v>
      </c>
      <c r="AF387" s="549" t="e">
        <f>PERCENTILE(AF11:AF376,0.85)</f>
        <v>#NUM!</v>
      </c>
      <c r="AG387" s="549" t="e">
        <f>PERCENTILE(AG11:AG376,0.85)</f>
        <v>#NUM!</v>
      </c>
      <c r="AH387" s="549"/>
      <c r="AI387" s="549"/>
      <c r="AJ387" s="549"/>
      <c r="AK387" s="549" t="e">
        <f>PERCENTILE(AK11:AK376,0.85)</f>
        <v>#NUM!</v>
      </c>
      <c r="AL387" s="549" t="e">
        <f>PERCENTILE(AL11:AL376,0.85)</f>
        <v>#NUM!</v>
      </c>
      <c r="AM387" s="549" t="e">
        <f>PERCENTILE(AM11:AM376,0.85)</f>
        <v>#NUM!</v>
      </c>
      <c r="AN387" s="549"/>
      <c r="AO387" s="549"/>
      <c r="AP387" s="549"/>
      <c r="AQ387" s="549"/>
      <c r="AR387" s="549"/>
      <c r="AS387" s="549"/>
      <c r="AT387" s="549"/>
      <c r="AU387" s="549"/>
      <c r="AV387" s="549"/>
      <c r="AW387" s="549"/>
      <c r="AX387" s="549"/>
      <c r="AY387" s="549" t="e">
        <f>PERCENTILE(AY11:AY376,0.85)</f>
        <v>#NUM!</v>
      </c>
      <c r="AZ387" s="549" t="e">
        <f t="shared" ref="AZ387:BC387" si="117">PERCENTILE(AZ11:AZ376,0.85)</f>
        <v>#NUM!</v>
      </c>
      <c r="BA387" s="549" t="e">
        <f t="shared" si="117"/>
        <v>#NUM!</v>
      </c>
      <c r="BB387" s="549" t="e">
        <f t="shared" si="117"/>
        <v>#NUM!</v>
      </c>
      <c r="BC387" s="549" t="e">
        <f t="shared" si="117"/>
        <v>#NUM!</v>
      </c>
      <c r="BD387" s="549"/>
      <c r="BE387" s="549"/>
      <c r="BF387" s="549"/>
      <c r="BG387" s="549" t="e">
        <f>PERCENTILE(BG11:BG376,0.85)</f>
        <v>#NUM!</v>
      </c>
      <c r="BH387" s="549" t="e">
        <f t="shared" ref="BH387:BK387" si="118">PERCENTILE(BH11:BH376,0.85)</f>
        <v>#NUM!</v>
      </c>
      <c r="BI387" s="549" t="e">
        <f t="shared" si="118"/>
        <v>#NUM!</v>
      </c>
      <c r="BJ387" s="549" t="e">
        <f t="shared" si="118"/>
        <v>#NUM!</v>
      </c>
      <c r="BK387" s="549" t="e">
        <f t="shared" si="118"/>
        <v>#NUM!</v>
      </c>
      <c r="BL387" s="549"/>
      <c r="BM387" s="549"/>
      <c r="BN387" s="549"/>
      <c r="BO387" s="549"/>
      <c r="BP387" s="549"/>
      <c r="BQ387" s="549"/>
      <c r="BR387" s="549"/>
    </row>
    <row r="388" spans="1:70" x14ac:dyDescent="0.2">
      <c r="A388" s="542" t="s">
        <v>164</v>
      </c>
      <c r="B388" s="550"/>
      <c r="C388" s="550"/>
      <c r="D388" s="550" t="e">
        <f>PERCENTILE(D11:D376,0.95)</f>
        <v>#NUM!</v>
      </c>
      <c r="E388" s="550" t="e">
        <f t="shared" ref="E388:Q388" si="119">PERCENTILE(E11:E376,0.95)</f>
        <v>#NUM!</v>
      </c>
      <c r="F388" s="550" t="e">
        <f t="shared" si="119"/>
        <v>#NUM!</v>
      </c>
      <c r="G388" s="550" t="e">
        <f t="shared" si="119"/>
        <v>#NUM!</v>
      </c>
      <c r="H388" s="550" t="e">
        <f t="shared" si="119"/>
        <v>#NUM!</v>
      </c>
      <c r="I388" s="550" t="e">
        <f t="shared" si="119"/>
        <v>#NUM!</v>
      </c>
      <c r="J388" s="550" t="e">
        <f t="shared" si="119"/>
        <v>#NUM!</v>
      </c>
      <c r="K388" s="550" t="e">
        <f t="shared" si="119"/>
        <v>#NUM!</v>
      </c>
      <c r="L388" s="550" t="e">
        <f t="shared" si="119"/>
        <v>#NUM!</v>
      </c>
      <c r="M388" s="550" t="e">
        <f t="shared" si="119"/>
        <v>#NUM!</v>
      </c>
      <c r="N388" s="550" t="e">
        <f t="shared" si="119"/>
        <v>#NUM!</v>
      </c>
      <c r="O388" s="550" t="e">
        <f t="shared" si="119"/>
        <v>#NUM!</v>
      </c>
      <c r="P388" s="550" t="e">
        <f t="shared" si="119"/>
        <v>#NUM!</v>
      </c>
      <c r="Q388" s="550" t="e">
        <f t="shared" si="119"/>
        <v>#NUM!</v>
      </c>
      <c r="R388" s="550"/>
      <c r="S388" s="550" t="e">
        <f>PERCENTILE(S11:S376,0.95)</f>
        <v>#NUM!</v>
      </c>
      <c r="T388" s="550" t="e">
        <f>PERCENTILE(T11:T376,0.95)</f>
        <v>#NUM!</v>
      </c>
      <c r="U388" s="550" t="e">
        <f>PERCENTILE(U11:U376,0.95)</f>
        <v>#NUM!</v>
      </c>
      <c r="V388" s="550"/>
      <c r="W388" s="550"/>
      <c r="X388" s="550"/>
      <c r="Y388" s="550" t="e">
        <f>PERCENTILE(Y11:Y376,0.95)</f>
        <v>#NUM!</v>
      </c>
      <c r="Z388" s="550" t="e">
        <f>PERCENTILE(Z11:Z376,0.95)</f>
        <v>#NUM!</v>
      </c>
      <c r="AA388" s="550" t="e">
        <f>PERCENTILE(AA11:AA376,0.95)</f>
        <v>#NUM!</v>
      </c>
      <c r="AB388" s="550"/>
      <c r="AC388" s="550"/>
      <c r="AD388" s="550"/>
      <c r="AE388" s="550" t="e">
        <f>PERCENTILE(AE11:AE376,0.95)</f>
        <v>#NUM!</v>
      </c>
      <c r="AF388" s="550" t="e">
        <f>PERCENTILE(AF11:AF376,0.95)</f>
        <v>#NUM!</v>
      </c>
      <c r="AG388" s="550" t="e">
        <f>PERCENTILE(AG11:AG376,0.95)</f>
        <v>#NUM!</v>
      </c>
      <c r="AH388" s="550"/>
      <c r="AI388" s="550"/>
      <c r="AJ388" s="550"/>
      <c r="AK388" s="550" t="e">
        <f>PERCENTILE(AK11:AK376,0.95)</f>
        <v>#NUM!</v>
      </c>
      <c r="AL388" s="550" t="e">
        <f>PERCENTILE(AL11:AL376,0.95)</f>
        <v>#NUM!</v>
      </c>
      <c r="AM388" s="550" t="e">
        <f>PERCENTILE(AM11:AM376,0.95)</f>
        <v>#NUM!</v>
      </c>
      <c r="AN388" s="550"/>
      <c r="AO388" s="550"/>
      <c r="AP388" s="550"/>
      <c r="AQ388" s="550"/>
      <c r="AR388" s="550"/>
      <c r="AS388" s="550"/>
      <c r="AT388" s="550"/>
      <c r="AU388" s="550"/>
      <c r="AV388" s="550"/>
      <c r="AW388" s="550"/>
      <c r="AX388" s="550"/>
      <c r="AY388" s="550" t="e">
        <f>PERCENTILE(AY11:AY376,0.95)</f>
        <v>#NUM!</v>
      </c>
      <c r="AZ388" s="550" t="e">
        <f t="shared" ref="AZ388:BC388" si="120">PERCENTILE(AZ11:AZ376,0.95)</f>
        <v>#NUM!</v>
      </c>
      <c r="BA388" s="550" t="e">
        <f t="shared" si="120"/>
        <v>#NUM!</v>
      </c>
      <c r="BB388" s="550" t="e">
        <f t="shared" si="120"/>
        <v>#NUM!</v>
      </c>
      <c r="BC388" s="550" t="e">
        <f t="shared" si="120"/>
        <v>#NUM!</v>
      </c>
      <c r="BD388" s="550"/>
      <c r="BE388" s="550"/>
      <c r="BF388" s="550"/>
      <c r="BG388" s="550" t="e">
        <f>PERCENTILE(BG11:BG376,0.95)</f>
        <v>#NUM!</v>
      </c>
      <c r="BH388" s="550" t="e">
        <f t="shared" ref="BH388:BK388" si="121">PERCENTILE(BH11:BH376,0.95)</f>
        <v>#NUM!</v>
      </c>
      <c r="BI388" s="550" t="e">
        <f t="shared" si="121"/>
        <v>#NUM!</v>
      </c>
      <c r="BJ388" s="550" t="e">
        <f t="shared" si="121"/>
        <v>#NUM!</v>
      </c>
      <c r="BK388" s="550" t="e">
        <f t="shared" si="121"/>
        <v>#NUM!</v>
      </c>
      <c r="BL388" s="550"/>
      <c r="BM388" s="550"/>
      <c r="BN388" s="550"/>
      <c r="BO388" s="550"/>
      <c r="BP388" s="550"/>
      <c r="BQ388" s="550"/>
      <c r="BR388" s="550"/>
    </row>
    <row r="389" spans="1:70" x14ac:dyDescent="0.2">
      <c r="A389" s="543" t="s">
        <v>344</v>
      </c>
      <c r="B389" s="551"/>
      <c r="C389" s="551"/>
      <c r="D389" s="551" t="e">
        <f>_xlfn.VAR.S(D11:D376)</f>
        <v>#DIV/0!</v>
      </c>
      <c r="E389" s="551" t="e">
        <f t="shared" ref="E389:Q389" si="122">_xlfn.VAR.S(E11:E376)</f>
        <v>#DIV/0!</v>
      </c>
      <c r="F389" s="551" t="e">
        <f t="shared" si="122"/>
        <v>#DIV/0!</v>
      </c>
      <c r="G389" s="551" t="e">
        <f t="shared" si="122"/>
        <v>#DIV/0!</v>
      </c>
      <c r="H389" s="551" t="e">
        <f t="shared" si="122"/>
        <v>#DIV/0!</v>
      </c>
      <c r="I389" s="551" t="e">
        <f t="shared" si="122"/>
        <v>#DIV/0!</v>
      </c>
      <c r="J389" s="551" t="e">
        <f t="shared" si="122"/>
        <v>#DIV/0!</v>
      </c>
      <c r="K389" s="551" t="e">
        <f t="shared" si="122"/>
        <v>#DIV/0!</v>
      </c>
      <c r="L389" s="551" t="e">
        <f t="shared" si="122"/>
        <v>#DIV/0!</v>
      </c>
      <c r="M389" s="551" t="e">
        <f t="shared" si="122"/>
        <v>#DIV/0!</v>
      </c>
      <c r="N389" s="551" t="e">
        <f t="shared" si="122"/>
        <v>#DIV/0!</v>
      </c>
      <c r="O389" s="551" t="e">
        <f t="shared" si="122"/>
        <v>#DIV/0!</v>
      </c>
      <c r="P389" s="551" t="e">
        <f t="shared" si="122"/>
        <v>#DIV/0!</v>
      </c>
      <c r="Q389" s="551" t="e">
        <f t="shared" si="122"/>
        <v>#DIV/0!</v>
      </c>
      <c r="R389" s="551"/>
      <c r="S389" s="551" t="e">
        <f>_xlfn.VAR.S(S11:S376)</f>
        <v>#DIV/0!</v>
      </c>
      <c r="T389" s="551" t="e">
        <f>_xlfn.VAR.S(T11:T376)</f>
        <v>#DIV/0!</v>
      </c>
      <c r="U389" s="551" t="e">
        <f>_xlfn.VAR.S(U11:U376)</f>
        <v>#DIV/0!</v>
      </c>
      <c r="V389" s="551"/>
      <c r="W389" s="551"/>
      <c r="X389" s="551"/>
      <c r="Y389" s="551" t="e">
        <f>_xlfn.VAR.S(Y11:Y376)</f>
        <v>#DIV/0!</v>
      </c>
      <c r="Z389" s="551" t="e">
        <f>_xlfn.VAR.S(Z11:Z376)</f>
        <v>#DIV/0!</v>
      </c>
      <c r="AA389" s="551" t="e">
        <f>_xlfn.VAR.S(AA11:AA376)</f>
        <v>#DIV/0!</v>
      </c>
      <c r="AB389" s="551"/>
      <c r="AC389" s="551"/>
      <c r="AD389" s="551"/>
      <c r="AE389" s="551" t="e">
        <f>_xlfn.VAR.S(AE11:AE376)</f>
        <v>#DIV/0!</v>
      </c>
      <c r="AF389" s="551" t="e">
        <f>_xlfn.VAR.S(AF11:AF376)</f>
        <v>#DIV/0!</v>
      </c>
      <c r="AG389" s="551" t="e">
        <f>_xlfn.VAR.S(AG11:AG376)</f>
        <v>#DIV/0!</v>
      </c>
      <c r="AH389" s="551"/>
      <c r="AI389" s="551"/>
      <c r="AJ389" s="551"/>
      <c r="AK389" s="551" t="e">
        <f>_xlfn.VAR.S(AK11:AK376)</f>
        <v>#DIV/0!</v>
      </c>
      <c r="AL389" s="551" t="e">
        <f>_xlfn.VAR.S(AL11:AL376)</f>
        <v>#DIV/0!</v>
      </c>
      <c r="AM389" s="551" t="e">
        <f>_xlfn.VAR.S(AM11:AM376)</f>
        <v>#DIV/0!</v>
      </c>
      <c r="AN389" s="551"/>
      <c r="AO389" s="551"/>
      <c r="AP389" s="551"/>
      <c r="AQ389" s="551"/>
      <c r="AR389" s="551"/>
      <c r="AS389" s="551"/>
      <c r="AT389" s="551"/>
      <c r="AU389" s="551"/>
      <c r="AV389" s="551"/>
      <c r="AW389" s="551"/>
      <c r="AX389" s="551"/>
      <c r="AY389" s="551" t="e">
        <f>_xlfn.VAR.S(AY11:AY376)</f>
        <v>#DIV/0!</v>
      </c>
      <c r="AZ389" s="551" t="e">
        <f t="shared" ref="AZ389:BC389" si="123">_xlfn.VAR.S(AZ11:AZ376)</f>
        <v>#DIV/0!</v>
      </c>
      <c r="BA389" s="551" t="e">
        <f t="shared" si="123"/>
        <v>#DIV/0!</v>
      </c>
      <c r="BB389" s="551" t="e">
        <f t="shared" si="123"/>
        <v>#DIV/0!</v>
      </c>
      <c r="BC389" s="551" t="e">
        <f t="shared" si="123"/>
        <v>#DIV/0!</v>
      </c>
      <c r="BD389" s="551"/>
      <c r="BE389" s="551"/>
      <c r="BF389" s="551"/>
      <c r="BG389" s="551" t="e">
        <f>_xlfn.VAR.S(BG11:BG376)</f>
        <v>#DIV/0!</v>
      </c>
      <c r="BH389" s="551" t="e">
        <f t="shared" ref="BH389:BK389" si="124">_xlfn.VAR.S(BH11:BH376)</f>
        <v>#DIV/0!</v>
      </c>
      <c r="BI389" s="551" t="e">
        <f t="shared" si="124"/>
        <v>#DIV/0!</v>
      </c>
      <c r="BJ389" s="551" t="e">
        <f t="shared" si="124"/>
        <v>#DIV/0!</v>
      </c>
      <c r="BK389" s="551" t="e">
        <f t="shared" si="124"/>
        <v>#DIV/0!</v>
      </c>
      <c r="BL389" s="551"/>
      <c r="BM389" s="551"/>
      <c r="BN389" s="551"/>
      <c r="BO389" s="551"/>
      <c r="BP389" s="551"/>
      <c r="BQ389" s="551"/>
      <c r="BR389" s="551"/>
    </row>
    <row r="390" spans="1:70" x14ac:dyDescent="0.2">
      <c r="A390" s="544" t="s">
        <v>345</v>
      </c>
      <c r="B390" s="552"/>
      <c r="C390" s="552"/>
      <c r="D390" s="552" t="e">
        <f>SQRT(D389)</f>
        <v>#DIV/0!</v>
      </c>
      <c r="E390" s="552" t="e">
        <f t="shared" ref="E390:Q390" si="125">SQRT(E389)</f>
        <v>#DIV/0!</v>
      </c>
      <c r="F390" s="552" t="e">
        <f t="shared" si="125"/>
        <v>#DIV/0!</v>
      </c>
      <c r="G390" s="552" t="e">
        <f t="shared" si="125"/>
        <v>#DIV/0!</v>
      </c>
      <c r="H390" s="552" t="e">
        <f t="shared" si="125"/>
        <v>#DIV/0!</v>
      </c>
      <c r="I390" s="552" t="e">
        <f t="shared" si="125"/>
        <v>#DIV/0!</v>
      </c>
      <c r="J390" s="552" t="e">
        <f t="shared" si="125"/>
        <v>#DIV/0!</v>
      </c>
      <c r="K390" s="552" t="e">
        <f t="shared" si="125"/>
        <v>#DIV/0!</v>
      </c>
      <c r="L390" s="552" t="e">
        <f t="shared" si="125"/>
        <v>#DIV/0!</v>
      </c>
      <c r="M390" s="552" t="e">
        <f t="shared" si="125"/>
        <v>#DIV/0!</v>
      </c>
      <c r="N390" s="552" t="e">
        <f t="shared" si="125"/>
        <v>#DIV/0!</v>
      </c>
      <c r="O390" s="552" t="e">
        <f t="shared" si="125"/>
        <v>#DIV/0!</v>
      </c>
      <c r="P390" s="552" t="e">
        <f t="shared" si="125"/>
        <v>#DIV/0!</v>
      </c>
      <c r="Q390" s="552" t="e">
        <f t="shared" si="125"/>
        <v>#DIV/0!</v>
      </c>
      <c r="R390" s="552"/>
      <c r="S390" s="552" t="e">
        <f>SQRT(S389)</f>
        <v>#DIV/0!</v>
      </c>
      <c r="T390" s="552" t="e">
        <f>SQRT(T389)</f>
        <v>#DIV/0!</v>
      </c>
      <c r="U390" s="552" t="e">
        <f>SQRT(U389)</f>
        <v>#DIV/0!</v>
      </c>
      <c r="V390" s="552"/>
      <c r="W390" s="552"/>
      <c r="X390" s="552"/>
      <c r="Y390" s="552" t="e">
        <f>SQRT(Y389)</f>
        <v>#DIV/0!</v>
      </c>
      <c r="Z390" s="552" t="e">
        <f>SQRT(Z389)</f>
        <v>#DIV/0!</v>
      </c>
      <c r="AA390" s="552" t="e">
        <f>SQRT(AA389)</f>
        <v>#DIV/0!</v>
      </c>
      <c r="AB390" s="552"/>
      <c r="AC390" s="552"/>
      <c r="AD390" s="552"/>
      <c r="AE390" s="552" t="e">
        <f>SQRT(AE389)</f>
        <v>#DIV/0!</v>
      </c>
      <c r="AF390" s="552" t="e">
        <f>SQRT(AF389)</f>
        <v>#DIV/0!</v>
      </c>
      <c r="AG390" s="552" t="e">
        <f>SQRT(AG389)</f>
        <v>#DIV/0!</v>
      </c>
      <c r="AH390" s="552"/>
      <c r="AI390" s="552"/>
      <c r="AJ390" s="552"/>
      <c r="AK390" s="552" t="e">
        <f>SQRT(AK389)</f>
        <v>#DIV/0!</v>
      </c>
      <c r="AL390" s="552" t="e">
        <f>SQRT(AL389)</f>
        <v>#DIV/0!</v>
      </c>
      <c r="AM390" s="552" t="e">
        <f>SQRT(AM389)</f>
        <v>#DIV/0!</v>
      </c>
      <c r="AN390" s="552"/>
      <c r="AO390" s="552"/>
      <c r="AP390" s="552"/>
      <c r="AQ390" s="552"/>
      <c r="AR390" s="552"/>
      <c r="AS390" s="552"/>
      <c r="AT390" s="552"/>
      <c r="AU390" s="552"/>
      <c r="AV390" s="552"/>
      <c r="AW390" s="552"/>
      <c r="AX390" s="552"/>
      <c r="AY390" s="552" t="e">
        <f>SQRT(AY389)</f>
        <v>#DIV/0!</v>
      </c>
      <c r="AZ390" s="552" t="e">
        <f t="shared" ref="AZ390:BC390" si="126">SQRT(AZ389)</f>
        <v>#DIV/0!</v>
      </c>
      <c r="BA390" s="552" t="e">
        <f t="shared" si="126"/>
        <v>#DIV/0!</v>
      </c>
      <c r="BB390" s="552" t="e">
        <f t="shared" si="126"/>
        <v>#DIV/0!</v>
      </c>
      <c r="BC390" s="552" t="e">
        <f t="shared" si="126"/>
        <v>#DIV/0!</v>
      </c>
      <c r="BD390" s="552"/>
      <c r="BE390" s="552"/>
      <c r="BF390" s="552"/>
      <c r="BG390" s="552" t="e">
        <f>SQRT(BG389)</f>
        <v>#DIV/0!</v>
      </c>
      <c r="BH390" s="552" t="e">
        <f t="shared" ref="BH390:BK390" si="127">SQRT(BH389)</f>
        <v>#DIV/0!</v>
      </c>
      <c r="BI390" s="552" t="e">
        <f t="shared" si="127"/>
        <v>#DIV/0!</v>
      </c>
      <c r="BJ390" s="552" t="e">
        <f t="shared" si="127"/>
        <v>#DIV/0!</v>
      </c>
      <c r="BK390" s="552" t="e">
        <f t="shared" si="127"/>
        <v>#DIV/0!</v>
      </c>
      <c r="BL390" s="552"/>
      <c r="BM390" s="552"/>
      <c r="BN390" s="552"/>
      <c r="BO390" s="552"/>
      <c r="BP390" s="552"/>
      <c r="BQ390" s="552"/>
      <c r="BR390" s="552"/>
    </row>
    <row r="391" spans="1:70" x14ac:dyDescent="0.2">
      <c r="A391" s="501"/>
      <c r="B391" s="501"/>
      <c r="C391" s="501"/>
      <c r="D391" s="501"/>
      <c r="E391" s="501"/>
      <c r="F391" s="501"/>
      <c r="G391" s="7"/>
      <c r="H391" s="7"/>
      <c r="I391" s="7"/>
      <c r="J391" s="7"/>
      <c r="K391" s="7"/>
      <c r="L391" s="7"/>
      <c r="M391" s="7"/>
      <c r="N391" s="7"/>
      <c r="O391" s="7"/>
      <c r="P391" s="7"/>
      <c r="Q391" s="7"/>
    </row>
    <row r="392" spans="1:70" x14ac:dyDescent="0.2">
      <c r="A392" s="501"/>
      <c r="B392" s="501"/>
      <c r="C392" s="501"/>
      <c r="D392" s="501"/>
      <c r="E392" s="501"/>
      <c r="F392" s="501"/>
      <c r="G392" s="7"/>
      <c r="H392" s="7"/>
      <c r="I392" s="7"/>
      <c r="J392" s="7"/>
      <c r="K392" s="7"/>
      <c r="L392" s="7"/>
      <c r="M392" s="7"/>
      <c r="N392" s="7"/>
      <c r="O392" s="7"/>
      <c r="P392" s="7"/>
      <c r="Q392" s="7"/>
    </row>
    <row r="393" spans="1:70" x14ac:dyDescent="0.2">
      <c r="A393" s="501"/>
      <c r="B393" s="501"/>
      <c r="C393" s="501"/>
      <c r="D393" s="501"/>
      <c r="E393" s="501"/>
      <c r="F393" s="501"/>
      <c r="G393" s="7"/>
      <c r="H393" s="7"/>
      <c r="I393" s="7"/>
      <c r="J393" s="7"/>
      <c r="K393" s="7"/>
      <c r="L393" s="7"/>
      <c r="M393" s="7"/>
      <c r="N393" s="7"/>
      <c r="O393" s="7"/>
      <c r="P393" s="7"/>
      <c r="Q393" s="7"/>
    </row>
    <row r="394" spans="1:70" x14ac:dyDescent="0.2">
      <c r="A394" s="501"/>
      <c r="B394" s="501"/>
      <c r="C394" s="501"/>
      <c r="D394" s="501"/>
      <c r="E394" s="501"/>
      <c r="F394" s="501"/>
      <c r="G394" s="7"/>
      <c r="H394" s="7"/>
      <c r="I394" s="7"/>
      <c r="J394" s="7"/>
      <c r="K394" s="7"/>
      <c r="L394" s="7"/>
      <c r="M394" s="7"/>
      <c r="N394" s="7"/>
      <c r="O394" s="7"/>
      <c r="P394" s="7"/>
      <c r="Q394" s="7"/>
    </row>
    <row r="395" spans="1:70" x14ac:dyDescent="0.2">
      <c r="A395" s="501"/>
      <c r="B395" s="501"/>
      <c r="C395" s="501"/>
      <c r="D395" s="501"/>
      <c r="E395" s="501"/>
      <c r="F395" s="501"/>
      <c r="G395" s="7"/>
      <c r="H395" s="7"/>
      <c r="I395" s="7"/>
      <c r="J395" s="7"/>
      <c r="K395" s="7"/>
      <c r="L395" s="7"/>
      <c r="M395" s="7"/>
      <c r="N395" s="7"/>
      <c r="O395" s="7"/>
      <c r="P395" s="7"/>
      <c r="Q395" s="7"/>
    </row>
    <row r="396" spans="1:70" x14ac:dyDescent="0.2">
      <c r="A396" s="501"/>
      <c r="B396" s="501"/>
      <c r="C396" s="501"/>
      <c r="D396" s="501"/>
      <c r="E396" s="501"/>
      <c r="F396" s="501"/>
      <c r="G396" s="7"/>
      <c r="H396" s="7"/>
      <c r="I396" s="7"/>
      <c r="J396" s="7"/>
      <c r="K396" s="7"/>
      <c r="L396" s="7"/>
      <c r="M396" s="7"/>
      <c r="N396" s="7"/>
      <c r="O396" s="7"/>
      <c r="P396" s="7"/>
      <c r="Q396" s="7"/>
    </row>
    <row r="397" spans="1:70" x14ac:dyDescent="0.2">
      <c r="A397" s="501"/>
      <c r="B397" s="501"/>
      <c r="C397" s="501"/>
      <c r="D397" s="501"/>
      <c r="E397" s="501"/>
      <c r="F397" s="501"/>
      <c r="G397" s="7"/>
      <c r="H397" s="7"/>
      <c r="I397" s="7"/>
      <c r="J397" s="7"/>
      <c r="K397" s="7"/>
      <c r="L397" s="7"/>
      <c r="M397" s="7"/>
      <c r="N397" s="7"/>
      <c r="O397" s="7"/>
      <c r="P397" s="7"/>
      <c r="Q397" s="7"/>
    </row>
    <row r="398" spans="1:70" x14ac:dyDescent="0.2">
      <c r="A398" s="501"/>
      <c r="B398" s="501"/>
      <c r="C398" s="501"/>
      <c r="D398" s="501"/>
      <c r="E398" s="501"/>
      <c r="F398" s="501"/>
      <c r="G398" s="7"/>
      <c r="H398" s="7"/>
      <c r="I398" s="7"/>
      <c r="J398" s="7"/>
      <c r="K398" s="7"/>
      <c r="L398" s="7"/>
      <c r="M398" s="7"/>
      <c r="N398" s="7"/>
      <c r="O398" s="7"/>
      <c r="P398" s="7"/>
      <c r="Q398" s="7"/>
    </row>
    <row r="399" spans="1:70" x14ac:dyDescent="0.2">
      <c r="A399" s="501"/>
      <c r="B399" s="501"/>
      <c r="C399" s="501"/>
      <c r="D399" s="501"/>
      <c r="E399" s="501"/>
      <c r="F399" s="501"/>
      <c r="G399" s="7"/>
      <c r="H399" s="7"/>
      <c r="I399" s="7"/>
      <c r="J399" s="7"/>
      <c r="K399" s="7"/>
      <c r="L399" s="7"/>
      <c r="M399" s="7"/>
      <c r="N399" s="7"/>
      <c r="O399" s="7"/>
      <c r="P399" s="7"/>
      <c r="Q399" s="7"/>
    </row>
    <row r="400" spans="1:70" x14ac:dyDescent="0.2">
      <c r="A400" s="501"/>
      <c r="B400" s="501"/>
      <c r="C400" s="501"/>
      <c r="D400" s="501"/>
      <c r="E400" s="501"/>
      <c r="F400" s="501"/>
      <c r="G400" s="7"/>
      <c r="H400" s="7"/>
      <c r="I400" s="7"/>
      <c r="J400" s="7"/>
      <c r="K400" s="7"/>
      <c r="L400" s="7"/>
      <c r="M400" s="7"/>
      <c r="N400" s="7"/>
      <c r="O400" s="7"/>
      <c r="P400" s="7"/>
      <c r="Q400" s="7"/>
    </row>
    <row r="401" spans="1:17" x14ac:dyDescent="0.2">
      <c r="A401" s="501"/>
      <c r="B401" s="501"/>
      <c r="C401" s="501"/>
      <c r="D401" s="501"/>
      <c r="E401" s="501"/>
      <c r="F401" s="501"/>
      <c r="G401" s="7"/>
      <c r="H401" s="7"/>
      <c r="I401" s="7"/>
      <c r="J401" s="7"/>
      <c r="K401" s="7"/>
      <c r="L401" s="7"/>
      <c r="M401" s="7"/>
      <c r="N401" s="7"/>
      <c r="O401" s="7"/>
      <c r="P401" s="7"/>
      <c r="Q401" s="7"/>
    </row>
    <row r="402" spans="1:17" x14ac:dyDescent="0.2">
      <c r="A402" s="501"/>
      <c r="B402" s="501"/>
      <c r="C402" s="501"/>
      <c r="D402" s="501"/>
      <c r="E402" s="501"/>
      <c r="F402" s="501"/>
      <c r="G402" s="7"/>
      <c r="H402" s="7"/>
      <c r="I402" s="7"/>
      <c r="J402" s="7"/>
      <c r="K402" s="7"/>
      <c r="L402" s="7"/>
      <c r="M402" s="7"/>
      <c r="N402" s="7"/>
      <c r="O402" s="7"/>
      <c r="P402" s="7"/>
      <c r="Q402" s="7"/>
    </row>
    <row r="403" spans="1:17" x14ac:dyDescent="0.2">
      <c r="A403" s="501"/>
      <c r="B403" s="501"/>
      <c r="C403" s="501"/>
      <c r="D403" s="501"/>
      <c r="E403" s="501"/>
      <c r="F403" s="501"/>
      <c r="G403" s="7"/>
      <c r="H403" s="7"/>
      <c r="I403" s="7"/>
      <c r="J403" s="7"/>
      <c r="K403" s="7"/>
      <c r="L403" s="7"/>
      <c r="M403" s="7"/>
      <c r="N403" s="7"/>
      <c r="O403" s="7"/>
      <c r="P403" s="7"/>
      <c r="Q403" s="7"/>
    </row>
    <row r="404" spans="1:17" x14ac:dyDescent="0.2">
      <c r="A404" s="501"/>
      <c r="B404" s="501"/>
      <c r="C404" s="501"/>
      <c r="D404" s="501"/>
      <c r="E404" s="501"/>
      <c r="F404" s="501"/>
      <c r="G404" s="7"/>
      <c r="H404" s="7"/>
      <c r="I404" s="7"/>
      <c r="J404" s="7"/>
      <c r="K404" s="7"/>
      <c r="L404" s="7"/>
      <c r="M404" s="7"/>
      <c r="N404" s="7"/>
      <c r="O404" s="7"/>
      <c r="P404" s="7"/>
      <c r="Q404" s="7"/>
    </row>
    <row r="405" spans="1:17" x14ac:dyDescent="0.2">
      <c r="A405" s="501"/>
      <c r="B405" s="501"/>
      <c r="C405" s="501"/>
      <c r="D405" s="501"/>
      <c r="E405" s="501"/>
      <c r="F405" s="501"/>
      <c r="G405" s="7"/>
      <c r="H405" s="7"/>
      <c r="I405" s="7"/>
      <c r="J405" s="7"/>
      <c r="K405" s="7"/>
      <c r="L405" s="7"/>
      <c r="M405" s="7"/>
      <c r="N405" s="7"/>
      <c r="O405" s="7"/>
      <c r="P405" s="7"/>
      <c r="Q405" s="7"/>
    </row>
    <row r="406" spans="1:17" x14ac:dyDescent="0.2">
      <c r="A406" s="501"/>
      <c r="B406" s="501"/>
      <c r="C406" s="501"/>
      <c r="D406" s="501"/>
      <c r="E406" s="501"/>
      <c r="F406" s="501"/>
      <c r="G406" s="7"/>
      <c r="H406" s="7"/>
      <c r="I406" s="7"/>
      <c r="J406" s="7"/>
      <c r="K406" s="7"/>
      <c r="L406" s="7"/>
      <c r="M406" s="7"/>
      <c r="N406" s="7"/>
      <c r="O406" s="7"/>
      <c r="P406" s="7"/>
      <c r="Q406" s="7"/>
    </row>
    <row r="407" spans="1:17" x14ac:dyDescent="0.2">
      <c r="A407" s="501"/>
      <c r="B407" s="501"/>
      <c r="C407" s="501"/>
      <c r="D407" s="501"/>
      <c r="E407" s="501"/>
      <c r="F407" s="501"/>
      <c r="G407" s="7"/>
      <c r="H407" s="7"/>
      <c r="I407" s="7"/>
      <c r="J407" s="7"/>
      <c r="K407" s="7"/>
      <c r="L407" s="7"/>
      <c r="M407" s="7"/>
      <c r="N407" s="7"/>
      <c r="O407" s="7"/>
      <c r="P407" s="7"/>
      <c r="Q407" s="7"/>
    </row>
    <row r="408" spans="1:17" x14ac:dyDescent="0.2">
      <c r="A408" s="501"/>
      <c r="B408" s="501"/>
      <c r="C408" s="501"/>
      <c r="D408" s="501"/>
      <c r="E408" s="501"/>
      <c r="F408" s="501"/>
      <c r="G408" s="7"/>
      <c r="H408" s="7"/>
      <c r="I408" s="7"/>
      <c r="J408" s="7"/>
      <c r="K408" s="7"/>
      <c r="L408" s="7"/>
      <c r="M408" s="7"/>
      <c r="N408" s="7"/>
      <c r="O408" s="7"/>
      <c r="P408" s="7"/>
      <c r="Q408" s="7"/>
    </row>
    <row r="409" spans="1:17" x14ac:dyDescent="0.2">
      <c r="A409" s="501"/>
      <c r="B409" s="501"/>
      <c r="C409" s="501"/>
      <c r="D409" s="501"/>
      <c r="E409" s="501"/>
      <c r="F409" s="501"/>
      <c r="G409" s="7"/>
      <c r="H409" s="7"/>
      <c r="I409" s="7"/>
      <c r="J409" s="7"/>
      <c r="K409" s="7"/>
      <c r="L409" s="7"/>
      <c r="M409" s="7"/>
      <c r="N409" s="7"/>
      <c r="O409" s="7"/>
      <c r="P409" s="7"/>
      <c r="Q409" s="7"/>
    </row>
    <row r="410" spans="1:17" x14ac:dyDescent="0.2">
      <c r="A410" s="501"/>
      <c r="B410" s="501"/>
      <c r="C410" s="501"/>
      <c r="D410" s="501"/>
      <c r="E410" s="501"/>
      <c r="F410" s="501"/>
      <c r="G410" s="7"/>
      <c r="H410" s="7"/>
      <c r="I410" s="7"/>
      <c r="J410" s="7"/>
      <c r="K410" s="7"/>
      <c r="L410" s="7"/>
      <c r="M410" s="7"/>
      <c r="N410" s="7"/>
      <c r="O410" s="7"/>
      <c r="P410" s="7"/>
      <c r="Q410" s="7"/>
    </row>
    <row r="411" spans="1:17" x14ac:dyDescent="0.2">
      <c r="A411" s="501"/>
      <c r="B411" s="501"/>
      <c r="C411" s="501"/>
      <c r="D411" s="501"/>
      <c r="E411" s="501"/>
      <c r="F411" s="501"/>
      <c r="G411" s="7"/>
      <c r="H411" s="7"/>
      <c r="I411" s="7"/>
      <c r="J411" s="7"/>
      <c r="K411" s="7"/>
      <c r="L411" s="7"/>
      <c r="M411" s="7"/>
      <c r="N411" s="7"/>
      <c r="O411" s="7"/>
      <c r="P411" s="7"/>
      <c r="Q411" s="7"/>
    </row>
    <row r="412" spans="1:17" x14ac:dyDescent="0.2">
      <c r="A412" s="501"/>
      <c r="B412" s="501"/>
      <c r="C412" s="501"/>
      <c r="D412" s="501"/>
      <c r="E412" s="501"/>
      <c r="F412" s="501"/>
      <c r="G412" s="7"/>
      <c r="H412" s="7"/>
      <c r="I412" s="7"/>
      <c r="J412" s="7"/>
      <c r="K412" s="7"/>
      <c r="L412" s="7"/>
      <c r="M412" s="7"/>
      <c r="N412" s="7"/>
      <c r="O412" s="7"/>
      <c r="P412" s="7"/>
      <c r="Q412" s="7"/>
    </row>
    <row r="413" spans="1:17" x14ac:dyDescent="0.2">
      <c r="A413" s="501"/>
      <c r="B413" s="501"/>
      <c r="C413" s="501"/>
      <c r="D413" s="501"/>
      <c r="E413" s="501"/>
      <c r="F413" s="501"/>
      <c r="G413" s="7"/>
      <c r="H413" s="7"/>
      <c r="I413" s="7"/>
      <c r="J413" s="7"/>
      <c r="K413" s="7"/>
      <c r="L413" s="7"/>
      <c r="M413" s="7"/>
      <c r="N413" s="7"/>
      <c r="O413" s="7"/>
      <c r="P413" s="7"/>
      <c r="Q413" s="7"/>
    </row>
    <row r="414" spans="1:17" x14ac:dyDescent="0.2">
      <c r="A414" s="501"/>
      <c r="B414" s="501"/>
      <c r="C414" s="501"/>
      <c r="D414" s="501"/>
      <c r="E414" s="501"/>
      <c r="F414" s="501"/>
      <c r="G414" s="7"/>
      <c r="H414" s="7"/>
      <c r="I414" s="7"/>
      <c r="J414" s="7"/>
      <c r="K414" s="7"/>
      <c r="L414" s="7"/>
      <c r="M414" s="7"/>
      <c r="N414" s="7"/>
      <c r="O414" s="7"/>
      <c r="P414" s="7"/>
      <c r="Q414" s="7"/>
    </row>
    <row r="415" spans="1:17" x14ac:dyDescent="0.2">
      <c r="A415" s="501"/>
      <c r="B415" s="501"/>
      <c r="C415" s="501"/>
      <c r="D415" s="501"/>
      <c r="E415" s="501"/>
      <c r="F415" s="501"/>
      <c r="G415" s="7"/>
      <c r="H415" s="7"/>
      <c r="I415" s="7"/>
      <c r="J415" s="7"/>
      <c r="K415" s="7"/>
      <c r="L415" s="7"/>
      <c r="M415" s="7"/>
      <c r="N415" s="7"/>
      <c r="O415" s="7"/>
      <c r="P415" s="7"/>
      <c r="Q415" s="7"/>
    </row>
    <row r="416" spans="1:17" x14ac:dyDescent="0.2">
      <c r="A416" s="501"/>
      <c r="B416" s="501"/>
      <c r="C416" s="501"/>
      <c r="D416" s="501"/>
      <c r="E416" s="501"/>
      <c r="F416" s="501"/>
      <c r="G416" s="7"/>
      <c r="H416" s="7"/>
      <c r="I416" s="7"/>
      <c r="J416" s="7"/>
      <c r="K416" s="7"/>
      <c r="L416" s="7"/>
      <c r="M416" s="7"/>
      <c r="N416" s="7"/>
      <c r="O416" s="7"/>
      <c r="P416" s="7"/>
      <c r="Q416" s="7"/>
    </row>
    <row r="417" spans="1:17" x14ac:dyDescent="0.2">
      <c r="A417" s="501"/>
      <c r="B417" s="501"/>
      <c r="C417" s="501"/>
      <c r="D417" s="501"/>
      <c r="E417" s="501"/>
      <c r="F417" s="501"/>
      <c r="G417" s="7"/>
      <c r="H417" s="7"/>
      <c r="I417" s="7"/>
      <c r="J417" s="7"/>
      <c r="K417" s="7"/>
      <c r="L417" s="7"/>
      <c r="M417" s="7"/>
      <c r="N417" s="7"/>
      <c r="O417" s="7"/>
      <c r="P417" s="7"/>
      <c r="Q417" s="7"/>
    </row>
    <row r="418" spans="1:17" x14ac:dyDescent="0.2">
      <c r="A418" s="501"/>
      <c r="B418" s="501"/>
      <c r="C418" s="501"/>
      <c r="D418" s="501"/>
      <c r="E418" s="501"/>
      <c r="F418" s="501"/>
      <c r="G418" s="7"/>
      <c r="H418" s="7"/>
      <c r="I418" s="7"/>
      <c r="J418" s="7"/>
      <c r="K418" s="7"/>
      <c r="L418" s="7"/>
      <c r="M418" s="7"/>
      <c r="N418" s="7"/>
      <c r="O418" s="7"/>
      <c r="P418" s="7"/>
      <c r="Q418" s="7"/>
    </row>
    <row r="419" spans="1:17" x14ac:dyDescent="0.2">
      <c r="A419" s="501"/>
      <c r="B419" s="501"/>
      <c r="C419" s="501"/>
      <c r="D419" s="501"/>
      <c r="E419" s="501"/>
      <c r="F419" s="501"/>
      <c r="G419" s="7"/>
      <c r="H419" s="7"/>
      <c r="I419" s="7"/>
      <c r="J419" s="7"/>
      <c r="K419" s="7"/>
      <c r="L419" s="7"/>
      <c r="M419" s="7"/>
      <c r="N419" s="7"/>
      <c r="O419" s="7"/>
      <c r="P419" s="7"/>
      <c r="Q419" s="7"/>
    </row>
    <row r="420" spans="1:17" x14ac:dyDescent="0.2">
      <c r="A420" s="501"/>
      <c r="B420" s="501"/>
      <c r="C420" s="501"/>
      <c r="D420" s="501"/>
      <c r="E420" s="501"/>
      <c r="F420" s="501"/>
      <c r="G420" s="7"/>
      <c r="H420" s="7"/>
      <c r="I420" s="7"/>
      <c r="J420" s="7"/>
      <c r="K420" s="7"/>
      <c r="L420" s="7"/>
      <c r="M420" s="7"/>
      <c r="N420" s="7"/>
      <c r="O420" s="7"/>
      <c r="P420" s="7"/>
      <c r="Q420" s="7"/>
    </row>
    <row r="421" spans="1:17" x14ac:dyDescent="0.2">
      <c r="A421" s="501"/>
      <c r="B421" s="501"/>
      <c r="C421" s="501"/>
      <c r="D421" s="501"/>
      <c r="E421" s="501"/>
      <c r="F421" s="501"/>
      <c r="G421" s="7"/>
      <c r="H421" s="7"/>
      <c r="I421" s="7"/>
      <c r="J421" s="7"/>
      <c r="K421" s="7"/>
      <c r="L421" s="7"/>
      <c r="M421" s="7"/>
      <c r="N421" s="7"/>
      <c r="O421" s="7"/>
      <c r="P421" s="7"/>
      <c r="Q421" s="7"/>
    </row>
    <row r="422" spans="1:17" x14ac:dyDescent="0.2">
      <c r="A422" s="501"/>
      <c r="B422" s="501"/>
      <c r="C422" s="501"/>
      <c r="D422" s="501"/>
      <c r="E422" s="501"/>
      <c r="F422" s="501"/>
      <c r="G422" s="7"/>
      <c r="H422" s="7"/>
      <c r="I422" s="7"/>
      <c r="J422" s="7"/>
      <c r="K422" s="7"/>
      <c r="L422" s="7"/>
      <c r="M422" s="7"/>
      <c r="N422" s="7"/>
      <c r="O422" s="7"/>
      <c r="P422" s="7"/>
      <c r="Q422" s="7"/>
    </row>
    <row r="423" spans="1:17" x14ac:dyDescent="0.2">
      <c r="A423" s="501"/>
      <c r="B423" s="501"/>
      <c r="C423" s="501"/>
      <c r="D423" s="501"/>
      <c r="E423" s="501"/>
      <c r="F423" s="501"/>
      <c r="G423" s="7"/>
      <c r="H423" s="7"/>
      <c r="I423" s="7"/>
      <c r="J423" s="7"/>
      <c r="K423" s="7"/>
      <c r="L423" s="7"/>
      <c r="M423" s="7"/>
      <c r="N423" s="7"/>
      <c r="O423" s="7"/>
      <c r="P423" s="7"/>
      <c r="Q423" s="7"/>
    </row>
    <row r="424" spans="1:17" x14ac:dyDescent="0.2">
      <c r="A424" s="501"/>
      <c r="B424" s="501"/>
      <c r="C424" s="501"/>
      <c r="D424" s="501"/>
      <c r="E424" s="501"/>
      <c r="F424" s="501"/>
      <c r="G424" s="7"/>
      <c r="H424" s="7"/>
      <c r="I424" s="7"/>
      <c r="J424" s="7"/>
      <c r="K424" s="7"/>
      <c r="L424" s="7"/>
      <c r="M424" s="7"/>
      <c r="N424" s="7"/>
      <c r="O424" s="7"/>
      <c r="P424" s="7"/>
      <c r="Q424" s="7"/>
    </row>
    <row r="425" spans="1:17" x14ac:dyDescent="0.2">
      <c r="A425" s="501"/>
      <c r="B425" s="501"/>
      <c r="C425" s="501"/>
      <c r="D425" s="501"/>
      <c r="E425" s="501"/>
      <c r="F425" s="501"/>
      <c r="G425" s="7"/>
      <c r="H425" s="7"/>
      <c r="I425" s="7"/>
      <c r="J425" s="7"/>
      <c r="K425" s="7"/>
      <c r="L425" s="7"/>
      <c r="M425" s="7"/>
      <c r="N425" s="7"/>
      <c r="O425" s="7"/>
      <c r="P425" s="7"/>
      <c r="Q425" s="7"/>
    </row>
    <row r="426" spans="1:17" x14ac:dyDescent="0.2">
      <c r="A426" s="501"/>
      <c r="B426" s="501"/>
      <c r="C426" s="501"/>
      <c r="D426" s="501"/>
      <c r="E426" s="501"/>
      <c r="F426" s="501"/>
      <c r="G426" s="7"/>
      <c r="H426" s="7"/>
      <c r="I426" s="7"/>
      <c r="J426" s="7"/>
      <c r="K426" s="7"/>
      <c r="L426" s="7"/>
      <c r="M426" s="7"/>
      <c r="N426" s="7"/>
      <c r="O426" s="7"/>
      <c r="P426" s="7"/>
      <c r="Q426" s="7"/>
    </row>
    <row r="427" spans="1:17" x14ac:dyDescent="0.2">
      <c r="A427" s="501"/>
      <c r="B427" s="501"/>
      <c r="C427" s="501"/>
      <c r="D427" s="501"/>
      <c r="E427" s="501"/>
      <c r="F427" s="501"/>
      <c r="G427" s="7"/>
      <c r="H427" s="7"/>
      <c r="I427" s="7"/>
      <c r="J427" s="7"/>
      <c r="K427" s="7"/>
      <c r="L427" s="7"/>
      <c r="M427" s="7"/>
      <c r="N427" s="7"/>
      <c r="O427" s="7"/>
      <c r="P427" s="7"/>
      <c r="Q427" s="7"/>
    </row>
    <row r="428" spans="1:17" x14ac:dyDescent="0.2">
      <c r="A428" s="501"/>
      <c r="B428" s="501"/>
      <c r="C428" s="501"/>
      <c r="D428" s="501"/>
      <c r="E428" s="501"/>
      <c r="F428" s="501"/>
      <c r="G428" s="7"/>
      <c r="H428" s="7"/>
      <c r="I428" s="7"/>
      <c r="J428" s="7"/>
      <c r="K428" s="7"/>
      <c r="L428" s="7"/>
      <c r="M428" s="7"/>
      <c r="N428" s="7"/>
      <c r="O428" s="7"/>
      <c r="P428" s="7"/>
      <c r="Q428" s="7"/>
    </row>
    <row r="429" spans="1:17" x14ac:dyDescent="0.2">
      <c r="A429" s="501"/>
      <c r="B429" s="501"/>
      <c r="C429" s="501"/>
      <c r="D429" s="501"/>
      <c r="E429" s="501"/>
      <c r="F429" s="501"/>
      <c r="G429" s="7"/>
      <c r="H429" s="7"/>
      <c r="I429" s="7"/>
      <c r="J429" s="7"/>
      <c r="K429" s="7"/>
      <c r="L429" s="7"/>
      <c r="M429" s="7"/>
      <c r="N429" s="7"/>
      <c r="O429" s="7"/>
      <c r="P429" s="7"/>
      <c r="Q429" s="7"/>
    </row>
    <row r="430" spans="1:17" x14ac:dyDescent="0.2">
      <c r="A430" s="501"/>
      <c r="B430" s="501"/>
      <c r="C430" s="501"/>
      <c r="D430" s="501"/>
      <c r="E430" s="501"/>
      <c r="F430" s="501"/>
      <c r="G430" s="7"/>
      <c r="H430" s="7"/>
      <c r="I430" s="7"/>
      <c r="J430" s="7"/>
      <c r="K430" s="7"/>
      <c r="L430" s="7"/>
      <c r="M430" s="7"/>
      <c r="N430" s="7"/>
      <c r="O430" s="7"/>
      <c r="P430" s="7"/>
      <c r="Q430" s="7"/>
    </row>
    <row r="431" spans="1:17" x14ac:dyDescent="0.2">
      <c r="A431" s="501"/>
      <c r="B431" s="501"/>
      <c r="C431" s="501"/>
      <c r="D431" s="501"/>
      <c r="E431" s="501"/>
      <c r="F431" s="501"/>
      <c r="G431" s="7"/>
      <c r="H431" s="7"/>
      <c r="I431" s="7"/>
      <c r="J431" s="7"/>
      <c r="K431" s="7"/>
      <c r="L431" s="7"/>
      <c r="M431" s="7"/>
      <c r="N431" s="7"/>
      <c r="O431" s="7"/>
      <c r="P431" s="7"/>
      <c r="Q431" s="7"/>
    </row>
    <row r="432" spans="1:17" x14ac:dyDescent="0.2">
      <c r="A432" s="501"/>
      <c r="B432" s="501"/>
      <c r="C432" s="501"/>
      <c r="D432" s="501"/>
      <c r="E432" s="501"/>
      <c r="F432" s="501"/>
      <c r="G432" s="7"/>
      <c r="H432" s="7"/>
      <c r="I432" s="7"/>
      <c r="J432" s="7"/>
      <c r="K432" s="7"/>
      <c r="L432" s="7"/>
      <c r="M432" s="7"/>
      <c r="N432" s="7"/>
      <c r="O432" s="7"/>
      <c r="P432" s="7"/>
      <c r="Q432" s="7"/>
    </row>
    <row r="433" spans="1:17" x14ac:dyDescent="0.2">
      <c r="A433" s="501"/>
      <c r="B433" s="501"/>
      <c r="C433" s="501"/>
      <c r="D433" s="501"/>
      <c r="E433" s="501"/>
      <c r="F433" s="501"/>
      <c r="G433" s="7"/>
      <c r="H433" s="7"/>
      <c r="I433" s="7"/>
      <c r="J433" s="7"/>
      <c r="K433" s="7"/>
      <c r="L433" s="7"/>
      <c r="M433" s="7"/>
      <c r="N433" s="7"/>
      <c r="O433" s="7"/>
      <c r="P433" s="7"/>
      <c r="Q433" s="7"/>
    </row>
    <row r="434" spans="1:17" x14ac:dyDescent="0.2">
      <c r="A434" s="501"/>
      <c r="B434" s="501"/>
      <c r="C434" s="501"/>
      <c r="D434" s="501"/>
      <c r="E434" s="501"/>
      <c r="F434" s="501"/>
      <c r="G434" s="7"/>
      <c r="H434" s="7"/>
      <c r="I434" s="7"/>
      <c r="J434" s="7"/>
      <c r="K434" s="7"/>
      <c r="L434" s="7"/>
      <c r="M434" s="7"/>
      <c r="N434" s="7"/>
      <c r="O434" s="7"/>
      <c r="P434" s="7"/>
      <c r="Q434" s="7"/>
    </row>
    <row r="435" spans="1:17" x14ac:dyDescent="0.2">
      <c r="A435" s="501"/>
      <c r="B435" s="501"/>
      <c r="C435" s="501"/>
      <c r="D435" s="501"/>
      <c r="E435" s="501"/>
      <c r="F435" s="501"/>
      <c r="G435" s="7"/>
      <c r="H435" s="7"/>
      <c r="I435" s="7"/>
      <c r="J435" s="7"/>
      <c r="K435" s="7"/>
      <c r="L435" s="7"/>
      <c r="M435" s="7"/>
      <c r="N435" s="7"/>
      <c r="O435" s="7"/>
      <c r="P435" s="7"/>
      <c r="Q435" s="7"/>
    </row>
    <row r="436" spans="1:17" x14ac:dyDescent="0.2">
      <c r="A436" s="501"/>
      <c r="B436" s="501"/>
      <c r="C436" s="501"/>
      <c r="D436" s="501"/>
      <c r="E436" s="501"/>
      <c r="F436" s="501"/>
      <c r="G436" s="7"/>
      <c r="H436" s="7"/>
      <c r="I436" s="7"/>
      <c r="J436" s="7"/>
      <c r="K436" s="7"/>
      <c r="L436" s="7"/>
      <c r="M436" s="7"/>
      <c r="N436" s="7"/>
      <c r="O436" s="7"/>
      <c r="P436" s="7"/>
      <c r="Q436" s="7"/>
    </row>
    <row r="437" spans="1:17" x14ac:dyDescent="0.2">
      <c r="A437" s="501"/>
      <c r="B437" s="501"/>
      <c r="C437" s="501"/>
      <c r="D437" s="501"/>
      <c r="E437" s="501"/>
      <c r="F437" s="501"/>
      <c r="G437" s="7"/>
      <c r="H437" s="7"/>
      <c r="I437" s="7"/>
      <c r="J437" s="7"/>
      <c r="K437" s="7"/>
      <c r="L437" s="7"/>
      <c r="M437" s="7"/>
      <c r="N437" s="7"/>
      <c r="O437" s="7"/>
      <c r="P437" s="7"/>
      <c r="Q437" s="7"/>
    </row>
    <row r="438" spans="1:17" x14ac:dyDescent="0.2">
      <c r="A438" s="501"/>
      <c r="B438" s="501"/>
      <c r="C438" s="501"/>
      <c r="D438" s="501"/>
      <c r="E438" s="501"/>
      <c r="F438" s="501"/>
      <c r="G438" s="7"/>
      <c r="H438" s="7"/>
      <c r="I438" s="7"/>
      <c r="J438" s="7"/>
      <c r="K438" s="7"/>
      <c r="L438" s="7"/>
      <c r="M438" s="7"/>
      <c r="N438" s="7"/>
      <c r="O438" s="7"/>
      <c r="P438" s="7"/>
      <c r="Q438" s="7"/>
    </row>
    <row r="439" spans="1:17" x14ac:dyDescent="0.2">
      <c r="A439" s="501"/>
      <c r="B439" s="501"/>
      <c r="C439" s="501"/>
      <c r="D439" s="501"/>
      <c r="E439" s="501"/>
      <c r="F439" s="501"/>
      <c r="G439" s="7"/>
      <c r="H439" s="7"/>
      <c r="I439" s="7"/>
      <c r="J439" s="7"/>
      <c r="K439" s="7"/>
      <c r="L439" s="7"/>
      <c r="M439" s="7"/>
      <c r="N439" s="7"/>
      <c r="O439" s="7"/>
      <c r="P439" s="7"/>
      <c r="Q439" s="7"/>
    </row>
    <row r="440" spans="1:17" x14ac:dyDescent="0.2">
      <c r="A440" s="501"/>
      <c r="B440" s="501"/>
      <c r="C440" s="501"/>
      <c r="D440" s="501"/>
      <c r="E440" s="501"/>
      <c r="F440" s="501"/>
      <c r="G440" s="7"/>
      <c r="H440" s="7"/>
      <c r="I440" s="7"/>
      <c r="J440" s="7"/>
      <c r="K440" s="7"/>
      <c r="L440" s="7"/>
      <c r="M440" s="7"/>
      <c r="N440" s="7"/>
      <c r="O440" s="7"/>
      <c r="P440" s="7"/>
      <c r="Q440" s="7"/>
    </row>
    <row r="441" spans="1:17" x14ac:dyDescent="0.2">
      <c r="A441" s="501"/>
      <c r="B441" s="501"/>
      <c r="C441" s="501"/>
      <c r="D441" s="501"/>
      <c r="E441" s="501"/>
      <c r="F441" s="501"/>
      <c r="G441" s="7"/>
      <c r="H441" s="7"/>
      <c r="I441" s="7"/>
      <c r="J441" s="7"/>
      <c r="K441" s="7"/>
      <c r="L441" s="7"/>
      <c r="M441" s="7"/>
      <c r="N441" s="7"/>
      <c r="O441" s="7"/>
      <c r="P441" s="7"/>
      <c r="Q441" s="7"/>
    </row>
    <row r="442" spans="1:17" x14ac:dyDescent="0.2">
      <c r="A442" s="501"/>
      <c r="B442" s="501"/>
      <c r="C442" s="501"/>
      <c r="D442" s="501"/>
      <c r="E442" s="501"/>
      <c r="F442" s="501"/>
      <c r="G442" s="7"/>
      <c r="H442" s="7"/>
      <c r="I442" s="7"/>
      <c r="J442" s="7"/>
      <c r="K442" s="7"/>
      <c r="L442" s="7"/>
      <c r="M442" s="7"/>
      <c r="N442" s="7"/>
      <c r="O442" s="7"/>
      <c r="P442" s="7"/>
      <c r="Q442" s="7"/>
    </row>
    <row r="443" spans="1:17" x14ac:dyDescent="0.2">
      <c r="A443" s="501"/>
      <c r="B443" s="501"/>
      <c r="C443" s="501"/>
      <c r="D443" s="501"/>
      <c r="E443" s="501"/>
      <c r="F443" s="501"/>
      <c r="G443" s="7"/>
      <c r="H443" s="7"/>
      <c r="I443" s="7"/>
      <c r="J443" s="7"/>
      <c r="K443" s="7"/>
      <c r="L443" s="7"/>
      <c r="M443" s="7"/>
      <c r="N443" s="7"/>
      <c r="O443" s="7"/>
      <c r="P443" s="7"/>
      <c r="Q443" s="7"/>
    </row>
    <row r="444" spans="1:17" x14ac:dyDescent="0.2">
      <c r="A444" s="501"/>
      <c r="B444" s="501"/>
      <c r="C444" s="501"/>
      <c r="D444" s="501"/>
      <c r="E444" s="501"/>
      <c r="F444" s="501"/>
      <c r="G444" s="7"/>
      <c r="H444" s="7"/>
      <c r="I444" s="7"/>
      <c r="J444" s="7"/>
      <c r="K444" s="7"/>
      <c r="L444" s="7"/>
      <c r="M444" s="7"/>
      <c r="N444" s="7"/>
      <c r="O444" s="7"/>
      <c r="P444" s="7"/>
      <c r="Q444" s="7"/>
    </row>
    <row r="445" spans="1:17" x14ac:dyDescent="0.2">
      <c r="A445" s="501"/>
      <c r="B445" s="501"/>
      <c r="C445" s="501"/>
      <c r="D445" s="501"/>
      <c r="E445" s="501"/>
      <c r="F445" s="501"/>
      <c r="G445" s="7"/>
      <c r="H445" s="7"/>
      <c r="I445" s="7"/>
      <c r="J445" s="7"/>
      <c r="K445" s="7"/>
      <c r="L445" s="7"/>
      <c r="M445" s="7"/>
      <c r="N445" s="7"/>
      <c r="O445" s="7"/>
      <c r="P445" s="7"/>
      <c r="Q445" s="7"/>
    </row>
    <row r="446" spans="1:17" x14ac:dyDescent="0.2">
      <c r="A446" s="501"/>
      <c r="B446" s="501"/>
      <c r="C446" s="501"/>
      <c r="D446" s="501"/>
      <c r="E446" s="501"/>
      <c r="F446" s="501"/>
      <c r="G446" s="7"/>
      <c r="H446" s="7"/>
      <c r="I446" s="7"/>
      <c r="J446" s="7"/>
      <c r="K446" s="7"/>
      <c r="L446" s="7"/>
      <c r="M446" s="7"/>
      <c r="N446" s="7"/>
      <c r="O446" s="7"/>
      <c r="P446" s="7"/>
      <c r="Q446" s="7"/>
    </row>
    <row r="447" spans="1:17" x14ac:dyDescent="0.2">
      <c r="A447" s="501"/>
      <c r="B447" s="501"/>
      <c r="C447" s="501"/>
      <c r="D447" s="501"/>
      <c r="E447" s="501"/>
      <c r="F447" s="501"/>
      <c r="G447" s="7"/>
      <c r="H447" s="7"/>
      <c r="I447" s="7"/>
      <c r="J447" s="7"/>
      <c r="K447" s="7"/>
      <c r="L447" s="7"/>
      <c r="M447" s="7"/>
      <c r="N447" s="7"/>
      <c r="O447" s="7"/>
      <c r="P447" s="7"/>
      <c r="Q447" s="7"/>
    </row>
    <row r="448" spans="1:17" x14ac:dyDescent="0.2">
      <c r="A448" s="501"/>
      <c r="B448" s="501"/>
      <c r="C448" s="501"/>
      <c r="D448" s="501"/>
      <c r="E448" s="501"/>
      <c r="F448" s="501"/>
      <c r="G448" s="7"/>
      <c r="H448" s="7"/>
      <c r="I448" s="7"/>
      <c r="J448" s="7"/>
      <c r="K448" s="7"/>
      <c r="L448" s="7"/>
      <c r="M448" s="7"/>
      <c r="N448" s="7"/>
      <c r="O448" s="7"/>
      <c r="P448" s="7"/>
      <c r="Q448" s="7"/>
    </row>
    <row r="449" spans="1:17" x14ac:dyDescent="0.2">
      <c r="A449" s="501"/>
      <c r="B449" s="501"/>
      <c r="C449" s="501"/>
      <c r="D449" s="501"/>
      <c r="E449" s="501"/>
      <c r="F449" s="501"/>
      <c r="G449" s="7"/>
      <c r="H449" s="7"/>
      <c r="I449" s="7"/>
      <c r="J449" s="7"/>
      <c r="K449" s="7"/>
      <c r="L449" s="7"/>
      <c r="M449" s="7"/>
      <c r="N449" s="7"/>
      <c r="O449" s="7"/>
      <c r="P449" s="7"/>
      <c r="Q449" s="7"/>
    </row>
    <row r="450" spans="1:17" x14ac:dyDescent="0.2">
      <c r="A450" s="501"/>
      <c r="B450" s="501"/>
      <c r="C450" s="501"/>
      <c r="D450" s="501"/>
      <c r="E450" s="501"/>
      <c r="F450" s="501"/>
      <c r="G450" s="7"/>
      <c r="H450" s="7"/>
      <c r="I450" s="7"/>
      <c r="J450" s="7"/>
      <c r="K450" s="7"/>
      <c r="L450" s="7"/>
      <c r="M450" s="7"/>
      <c r="N450" s="7"/>
      <c r="O450" s="7"/>
      <c r="P450" s="7"/>
      <c r="Q450" s="7"/>
    </row>
    <row r="451" spans="1:17" x14ac:dyDescent="0.2">
      <c r="A451" s="501"/>
      <c r="B451" s="501"/>
      <c r="C451" s="501"/>
      <c r="D451" s="501"/>
      <c r="E451" s="501"/>
      <c r="F451" s="501"/>
      <c r="G451" s="7"/>
      <c r="H451" s="7"/>
      <c r="I451" s="7"/>
      <c r="J451" s="7"/>
      <c r="K451" s="7"/>
      <c r="L451" s="7"/>
      <c r="M451" s="7"/>
      <c r="N451" s="7"/>
      <c r="O451" s="7"/>
      <c r="P451" s="7"/>
      <c r="Q451" s="7"/>
    </row>
    <row r="452" spans="1:17" x14ac:dyDescent="0.2">
      <c r="A452" s="501"/>
      <c r="B452" s="501"/>
      <c r="C452" s="501"/>
      <c r="D452" s="501"/>
      <c r="E452" s="501"/>
      <c r="F452" s="501"/>
    </row>
  </sheetData>
  <mergeCells count="5">
    <mergeCell ref="D6:I6"/>
    <mergeCell ref="J6:Q6"/>
    <mergeCell ref="AY6:BC6"/>
    <mergeCell ref="BF6:BF7"/>
    <mergeCell ref="BS6:BS9"/>
  </mergeCells>
  <pageMargins left="0.7" right="0.7" top="0.75" bottom="0.75" header="0.3" footer="0.3"/>
  <pageSetup paperSize="301"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23</vt:i4>
      </vt:variant>
      <vt:variant>
        <vt:lpstr>Plages nommées</vt:lpstr>
      </vt:variant>
      <vt:variant>
        <vt:i4>68</vt:i4>
      </vt:variant>
    </vt:vector>
  </HeadingPairs>
  <TitlesOfParts>
    <vt:vector size="91" baseType="lpstr">
      <vt:lpstr>info-FR,DE</vt:lpstr>
      <vt:lpstr>basis</vt:lpstr>
      <vt:lpstr>general</vt:lpstr>
      <vt:lpstr>analyses</vt:lpstr>
      <vt:lpstr>boues</vt:lpstr>
      <vt:lpstr>liste-STEP</vt:lpstr>
      <vt:lpstr>Energie+CHF</vt:lpstr>
      <vt:lpstr>BD</vt:lpstr>
      <vt:lpstr>calculs</vt:lpstr>
      <vt:lpstr>calcul-stats</vt:lpstr>
      <vt:lpstr>hab.rac</vt:lpstr>
      <vt:lpstr>rapport-individuel</vt:lpstr>
      <vt:lpstr>stats</vt:lpstr>
      <vt:lpstr>graph-EH-entrée</vt:lpstr>
      <vt:lpstr>graph-rapports</vt:lpstr>
      <vt:lpstr>graph-debits</vt:lpstr>
      <vt:lpstr>graph-concentrations</vt:lpstr>
      <vt:lpstr>graph-rendements</vt:lpstr>
      <vt:lpstr>graph-charges</vt:lpstr>
      <vt:lpstr>graph-ECP</vt:lpstr>
      <vt:lpstr>graph-bio</vt:lpstr>
      <vt:lpstr>schema</vt:lpstr>
      <vt:lpstr>constanten</vt:lpstr>
      <vt:lpstr>Analyses_effectuées_par_le_labo</vt:lpstr>
      <vt:lpstr>Analyses_effectuées_par_le_labo__N°_du_Labo</vt:lpstr>
      <vt:lpstr>annee</vt:lpstr>
      <vt:lpstr>autre</vt:lpstr>
      <vt:lpstr>Biofiltre</vt:lpstr>
      <vt:lpstr>Biogaz_specifique_par_EH</vt:lpstr>
      <vt:lpstr>Boues_activées</vt:lpstr>
      <vt:lpstr>boues_digerees_specifique_par_EH</vt:lpstr>
      <vt:lpstr>boues_fraiches_specifique_par_EH</vt:lpstr>
      <vt:lpstr>Bypass_DP_sans_eaux_usées_industrielles</vt:lpstr>
      <vt:lpstr>capbio</vt:lpstr>
      <vt:lpstr>Charbon_actif</vt:lpstr>
      <vt:lpstr>Chenal_d_oxydation</vt:lpstr>
      <vt:lpstr>Choix_du_débimètre_utilisé_pour_calculs</vt:lpstr>
      <vt:lpstr>choix_STEP</vt:lpstr>
      <vt:lpstr>Classique</vt:lpstr>
      <vt:lpstr>commentaire_général</vt:lpstr>
      <vt:lpstr>DBO5_specifique_par_EH</vt:lpstr>
      <vt:lpstr>DCO_specifique_par_EH</vt:lpstr>
      <vt:lpstr>DCOc</vt:lpstr>
      <vt:lpstr>DCOrdt</vt:lpstr>
      <vt:lpstr>debit_specifique_par_EH</vt:lpstr>
      <vt:lpstr>Décantation_primaire</vt:lpstr>
      <vt:lpstr>Dégrilleur_grossier</vt:lpstr>
      <vt:lpstr>Déshuileur</vt:lpstr>
      <vt:lpstr>Déshydratation</vt:lpstr>
      <vt:lpstr>Dessableur</vt:lpstr>
      <vt:lpstr>Disque_biologique</vt:lpstr>
      <vt:lpstr>Echantillonnage_proportionnel_au_débit</vt:lpstr>
      <vt:lpstr>EH_part_indus</vt:lpstr>
      <vt:lpstr>En_service</vt:lpstr>
      <vt:lpstr>Epaississement_des_boues</vt:lpstr>
      <vt:lpstr>Est_en_Valais</vt:lpstr>
      <vt:lpstr>Exploitant_nom</vt:lpstr>
      <vt:lpstr>Exploitant_prénom</vt:lpstr>
      <vt:lpstr>FDCO_ENTREE</vt:lpstr>
      <vt:lpstr>FDCO_SORTIE</vt:lpstr>
      <vt:lpstr>Filtration</vt:lpstr>
      <vt:lpstr>Flottation</vt:lpstr>
      <vt:lpstr>Incinération</vt:lpstr>
      <vt:lpstr>Jahr</vt:lpstr>
      <vt:lpstr>Lagunage_Phytoplancton</vt:lpstr>
      <vt:lpstr>Langue</vt:lpstr>
      <vt:lpstr>Le_preleveur_de_sortie_mesure</vt:lpstr>
      <vt:lpstr>List_STEP</vt:lpstr>
      <vt:lpstr>liste_noms_step</vt:lpstr>
      <vt:lpstr>Lit_bactérien</vt:lpstr>
      <vt:lpstr>Membrane</vt:lpstr>
      <vt:lpstr>MES_specifique_par_EH</vt:lpstr>
      <vt:lpstr>Methode_d_analyse_de_la_DBO5</vt:lpstr>
      <vt:lpstr>Micro_tamis</vt:lpstr>
      <vt:lpstr>NH4__specifique_par_EH</vt:lpstr>
      <vt:lpstr>NoSTEP</vt:lpstr>
      <vt:lpstr>Ntot_specifique_par_EH</vt:lpstr>
      <vt:lpstr>Ozonation</vt:lpstr>
      <vt:lpstr>Ptot_specifique_par_EH</vt:lpstr>
      <vt:lpstr>QTS</vt:lpstr>
      <vt:lpstr>Relevage</vt:lpstr>
      <vt:lpstr>Responsable</vt:lpstr>
      <vt:lpstr>Salsnes</vt:lpstr>
      <vt:lpstr>Séchage</vt:lpstr>
      <vt:lpstr>Stabilisation</vt:lpstr>
      <vt:lpstr>STEP</vt:lpstr>
      <vt:lpstr>Tamiseur</vt:lpstr>
      <vt:lpstr>TOC_specifique_par_EH</vt:lpstr>
      <vt:lpstr>Type_STEP</vt:lpstr>
      <vt:lpstr>Valorisation_du_biogaz</vt:lpstr>
      <vt:lpstr>'graph-EH-entrée'!Zone_d_impression</vt:lpstr>
    </vt:vector>
  </TitlesOfParts>
  <Company>Etat du Valais - Staat Wallis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AC_VS</dc:creator>
  <cp:lastModifiedBy>Gabriel RIEDO</cp:lastModifiedBy>
  <cp:lastPrinted>2021-11-17T13:35:34Z</cp:lastPrinted>
  <dcterms:created xsi:type="dcterms:W3CDTF">2007-01-15T13:14:59Z</dcterms:created>
  <dcterms:modified xsi:type="dcterms:W3CDTF">2023-01-12T09:54:33Z</dcterms:modified>
</cp:coreProperties>
</file>